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tyles.xml" ContentType="application/vnd.openxmlformats-officedocument.spreadsheetml.styles+xml"/>
  <Override PartName="/xl/tables/table105.xml" ContentType="application/vnd.openxmlformats-officedocument.spreadsheetml.table+xml"/>
  <Override PartName="/xl/tables/table172.xml" ContentType="application/vnd.openxmlformats-officedocument.spreadsheetml.table+xml"/>
  <Override PartName="/xl/tables/table118.xml" ContentType="application/vnd.openxmlformats-officedocument.spreadsheetml.table+xml"/>
  <Override PartName="/xl/tables/table70.xml" ContentType="application/vnd.openxmlformats-officedocument.spreadsheetml.table+xml"/>
  <Override PartName="/xl/tables/table5.xml" ContentType="application/vnd.openxmlformats-officedocument.spreadsheetml.table+xml"/>
  <Override PartName="/xl/tables/table159.xml" ContentType="application/vnd.openxmlformats-officedocument.spreadsheetml.table+xml"/>
  <Override PartName="/xl/tables/table44.xml" ContentType="application/vnd.openxmlformats-officedocument.spreadsheetml.table+xml"/>
  <Override PartName="/xl/tables/table57.xml" ContentType="application/vnd.openxmlformats-officedocument.spreadsheetml.table+xml"/>
  <Override PartName="/xl/tables/table6.xml" ContentType="application/vnd.openxmlformats-officedocument.spreadsheetml.table+xml"/>
  <Override PartName="/xl/tables/table27.xml" ContentType="application/vnd.openxmlformats-officedocument.spreadsheetml.table+xml"/>
  <Override PartName="/xl/tables/table11.xml" ContentType="application/vnd.openxmlformats-officedocument.spreadsheetml.table+xml"/>
  <Override PartName="/xl/tables/table68.xml" ContentType="application/vnd.openxmlformats-officedocument.spreadsheetml.table+xml"/>
  <Override PartName="/xl/tables/table25.xml" ContentType="application/vnd.openxmlformats-officedocument.spreadsheetml.table+xml"/>
  <Override PartName="/xl/tables/table150.xml" ContentType="application/vnd.openxmlformats-officedocument.spreadsheetml.table+xml"/>
  <Override PartName="/xl/tables/table99.xml" ContentType="application/vnd.openxmlformats-officedocument.spreadsheetml.table+xml"/>
  <Override PartName="/xl/tables/table42.xml" ContentType="application/vnd.openxmlformats-officedocument.spreadsheetml.table+xml"/>
  <Override PartName="/xl/tables/table157.xml" ContentType="application/vnd.openxmlformats-officedocument.spreadsheetml.table+xml"/>
  <Override PartName="/xl/tables/table112.xml" ContentType="application/vnd.openxmlformats-officedocument.spreadsheetml.table+xml"/>
  <Override PartName="/xl/tables/table54.xml" ContentType="application/vnd.openxmlformats-officedocument.spreadsheetml.table+xml"/>
  <Override PartName="/xl/tables/table130.xml" ContentType="application/vnd.openxmlformats-officedocument.spreadsheetml.table+xml"/>
  <Override PartName="/xl/tables/table72.xml" ContentType="application/vnd.openxmlformats-officedocument.spreadsheetml.table+xml"/>
  <Override PartName="/xl/tables/table144.xml" ContentType="application/vnd.openxmlformats-officedocument.spreadsheetml.table+xml"/>
  <Override PartName="/xl/tables/table8.xml" ContentType="application/vnd.openxmlformats-officedocument.spreadsheetml.table+xml"/>
  <Override PartName="/xl/tables/table96.xml" ContentType="application/vnd.openxmlformats-officedocument.spreadsheetml.table+xml"/>
  <Override PartName="/xl/tables/table22.xml" ContentType="application/vnd.openxmlformats-officedocument.spreadsheetml.table+xml"/>
  <Override PartName="/xl/tables/table1.xml" ContentType="application/vnd.openxmlformats-officedocument.spreadsheetml.table+xml"/>
  <Override PartName="/xl/tables/table41.xml" ContentType="application/vnd.openxmlformats-officedocument.spreadsheetml.table+xml"/>
  <Override PartName="/xl/tables/table156.xml" ContentType="application/vnd.openxmlformats-officedocument.spreadsheetml.table+xml"/>
  <Override PartName="/xl/tables/table67.xml" ContentType="application/vnd.openxmlformats-officedocument.spreadsheetml.table+xml"/>
  <Override PartName="/xl/tables/table80.xml" ContentType="application/vnd.openxmlformats-officedocument.spreadsheetml.table+xml"/>
  <Override PartName="/xl/tables/table13.xml" ContentType="application/vnd.openxmlformats-officedocument.spreadsheetml.table+xml"/>
  <Override PartName="/xl/tables/table128.xml" ContentType="application/vnd.openxmlformats-officedocument.spreadsheetml.table+xml"/>
  <Override PartName="/xl/tables/table81.xml" ContentType="application/vnd.openxmlformats-officedocument.spreadsheetml.table+xml"/>
  <Override PartName="/xl/tables/table109.xml" ContentType="application/vnd.openxmlformats-officedocument.spreadsheetml.table+xml"/>
  <Override PartName="/xl/tables/table127.xml" ContentType="application/vnd.openxmlformats-officedocument.spreadsheetml.table+xml"/>
  <Override PartName="/xl/tables/table141.xml" ContentType="application/vnd.openxmlformats-officedocument.spreadsheetml.table+xml"/>
  <Override PartName="/xl/tables/table1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46.xml" ContentType="application/vnd.openxmlformats-officedocument.spreadsheetml.table+xml"/>
  <Override PartName="/xl/tables/table59.xml" ContentType="application/vnd.openxmlformats-officedocument.spreadsheetml.table+xml"/>
  <Override PartName="/xl/tables/table101.xml" ContentType="application/vnd.openxmlformats-officedocument.spreadsheetml.table+xml"/>
  <Override PartName="/xl/tables/table114.xml" ContentType="application/vnd.openxmlformats-officedocument.spreadsheetml.table+xml"/>
  <Override PartName="/xl/tables/table132.xml" ContentType="application/vnd.openxmlformats-officedocument.spreadsheetml.table+xml"/>
  <Override PartName="/xl/tables/table146.xml" ContentType="application/vnd.openxmlformats-officedocument.spreadsheetml.table+xml"/>
  <Override PartName="/xl/tables/table31.xml" ContentType="application/vnd.openxmlformats-officedocument.spreadsheetml.table+xml"/>
  <Override PartName="/xl/tables/table88.xml" ContentType="application/vnd.openxmlformats-officedocument.spreadsheetml.table+xml"/>
  <Override PartName="/xl/tables/table161.xml" ContentType="application/vnd.openxmlformats-officedocument.spreadsheetml.table+xml"/>
  <Override PartName="/xl/tables/table17.xml" ContentType="application/vnd.openxmlformats-officedocument.spreadsheetml.table+xml"/>
  <Override PartName="/xl/tables/table142.xml" ContentType="application/vnd.openxmlformats-officedocument.spreadsheetml.table+xml"/>
  <Override PartName="/xl/tables/table50.xml" ContentType="application/vnd.openxmlformats-officedocument.spreadsheetml.table+xml"/>
  <Override PartName="/xl/tables/table165.xml" ContentType="application/vnd.openxmlformats-officedocument.spreadsheetml.table+xml"/>
  <Override PartName="/xl/tables/table63.xml" ContentType="application/vnd.openxmlformats-officedocument.spreadsheetml.table+xml"/>
  <Override PartName="/xl/tables/table76.xml" ContentType="application/vnd.openxmlformats-officedocument.spreadsheetml.table+xml"/>
  <Override PartName="/xl/tables/table89.xml" ContentType="application/vnd.openxmlformats-officedocument.spreadsheetml.table+xml"/>
  <Override PartName="/xl/tables/table136.xml" ContentType="application/vnd.openxmlformats-officedocument.spreadsheetml.table+xml"/>
  <Override PartName="/xl/tables/table2.xml" ContentType="application/vnd.openxmlformats-officedocument.spreadsheetml.table+xml"/>
  <Override PartName="/xl/tables/table23.xml" ContentType="application/vnd.openxmlformats-officedocument.spreadsheetml.table+xml"/>
  <Override PartName="/xl/tables/table40.xml" ContentType="application/vnd.openxmlformats-officedocument.spreadsheetml.table+xml"/>
  <Override PartName="/xl/tables/table9.xml" ContentType="application/vnd.openxmlformats-officedocument.spreadsheetml.table+xml"/>
  <Override PartName="/xl/tables/table97.xml" ContentType="application/vnd.openxmlformats-officedocument.spreadsheetml.table+xml"/>
  <Override PartName="/xl/tables/table55.xml" ContentType="application/vnd.openxmlformats-officedocument.spreadsheetml.table+xml"/>
  <Override PartName="/xl/tables/table110.xml" ContentType="application/vnd.openxmlformats-officedocument.spreadsheetml.table+xml"/>
  <Override PartName="/xl/tables/table30.xml" ContentType="application/vnd.openxmlformats-officedocument.spreadsheetml.table+xml"/>
  <Override PartName="/xl/tables/table49.xml" ContentType="application/vnd.openxmlformats-officedocument.spreadsheetml.table+xml"/>
  <Override PartName="/xl/tables/table62.xml" ContentType="application/vnd.openxmlformats-officedocument.spreadsheetml.table+xml"/>
  <Override PartName="/xl/tables/table7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104.xml" ContentType="application/vnd.openxmlformats-officedocument.spreadsheetml.table+xml"/>
  <Override PartName="/xl/tables/table117.xml" ContentType="application/vnd.openxmlformats-officedocument.spreadsheetml.table+xml"/>
  <Override PartName="/xl/tables/table135.xml" ContentType="application/vnd.openxmlformats-officedocument.spreadsheetml.table+xml"/>
  <Override PartName="/xl/tables/table149.xml" ContentType="application/vnd.openxmlformats-officedocument.spreadsheetml.table+xml"/>
  <Override PartName="/xl/tables/table164.xml" ContentType="application/vnd.openxmlformats-officedocument.spreadsheetml.table+xml"/>
  <Override PartName="/xl/tables/table15.xml" ContentType="application/vnd.openxmlformats-officedocument.spreadsheetml.table+xml"/>
  <Override PartName="/xl/tables/table29.xml" ContentType="application/vnd.openxmlformats-officedocument.spreadsheetml.table+xml"/>
  <Override PartName="/xl/tables/table48.xml" ContentType="application/vnd.openxmlformats-officedocument.spreadsheetml.table+xml"/>
  <Override PartName="/xl/tables/table61.xml" ContentType="application/vnd.openxmlformats-officedocument.spreadsheetml.table+xml"/>
  <Override PartName="/xl/tables/table74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103.xml" ContentType="application/vnd.openxmlformats-officedocument.spreadsheetml.table+xml"/>
  <Override PartName="/xl/tables/table116.xml" ContentType="application/vnd.openxmlformats-officedocument.spreadsheetml.table+xml"/>
  <Override PartName="/xl/tables/table134.xml" ContentType="application/vnd.openxmlformats-officedocument.spreadsheetml.table+xml"/>
  <Override PartName="/xl/tables/table148.xml" ContentType="application/vnd.openxmlformats-officedocument.spreadsheetml.table+xml"/>
  <Override PartName="/xl/tables/table163.xml" ContentType="application/vnd.openxmlformats-officedocument.spreadsheetml.table+xml"/>
  <Override PartName="/xl/tables/table14.xml" ContentType="application/vnd.openxmlformats-officedocument.spreadsheetml.table+xml"/>
  <Override PartName="/xl/tables/table28.xml" ContentType="application/vnd.openxmlformats-officedocument.spreadsheetml.table+xml"/>
  <Override PartName="/xl/tables/table47.xml" ContentType="application/vnd.openxmlformats-officedocument.spreadsheetml.table+xml"/>
  <Override PartName="/xl/tables/table60.xml" ContentType="application/vnd.openxmlformats-officedocument.spreadsheetml.table+xml"/>
  <Override PartName="/xl/tables/table73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102.xml" ContentType="application/vnd.openxmlformats-officedocument.spreadsheetml.table+xml"/>
  <Override PartName="/xl/tables/table115.xml" ContentType="application/vnd.openxmlformats-officedocument.spreadsheetml.table+xml"/>
  <Override PartName="/xl/tables/table133.xml" ContentType="application/vnd.openxmlformats-officedocument.spreadsheetml.table+xml"/>
  <Override PartName="/xl/tables/table147.xml" ContentType="application/vnd.openxmlformats-officedocument.spreadsheetml.table+xml"/>
  <Override PartName="/xl/tables/table16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0.xml" ContentType="application/vnd.openxmlformats-officedocument.spreadsheetml.table+xml"/>
  <Override PartName="/xl/tables/table24.xml" ContentType="application/vnd.openxmlformats-officedocument.spreadsheetml.table+xml"/>
  <Override PartName="/xl/tables/table43.xml" ContentType="application/vnd.openxmlformats-officedocument.spreadsheetml.table+xml"/>
  <Override PartName="/xl/tables/table56.xml" ContentType="application/vnd.openxmlformats-officedocument.spreadsheetml.table+xml"/>
  <Override PartName="/xl/tables/table69.xml" ContentType="application/vnd.openxmlformats-officedocument.spreadsheetml.table+xml"/>
  <Override PartName="/xl/tables/table98.xml" ContentType="application/vnd.openxmlformats-officedocument.spreadsheetml.table+xml"/>
  <Override PartName="/xl/tables/table111.xml" ContentType="application/vnd.openxmlformats-officedocument.spreadsheetml.table+xml"/>
  <Override PartName="/xl/tables/table129.xml" ContentType="application/vnd.openxmlformats-officedocument.spreadsheetml.table+xml"/>
  <Override PartName="/xl/tables/table143.xml" ContentType="application/vnd.openxmlformats-officedocument.spreadsheetml.table+xml"/>
  <Override PartName="/xl/tables/table158.xml" ContentType="application/vnd.openxmlformats-officedocument.spreadsheetml.table+xml"/>
  <Override PartName="/xl/tables/table20.xml" ContentType="application/vnd.openxmlformats-officedocument.spreadsheetml.table+xml"/>
  <Override PartName="/xl/tables/table34.xml" ContentType="application/vnd.openxmlformats-officedocument.spreadsheetml.table+xml"/>
  <Override PartName="/xl/tables/table53.xml" ContentType="application/vnd.openxmlformats-officedocument.spreadsheetml.table+xml"/>
  <Override PartName="/xl/tables/table66.xml" ContentType="application/vnd.openxmlformats-officedocument.spreadsheetml.table+xml"/>
  <Override PartName="/xl/tables/table79.xml" ContentType="application/vnd.openxmlformats-officedocument.spreadsheetml.table+xml"/>
  <Override PartName="/xl/tables/table108.xml" ContentType="application/vnd.openxmlformats-officedocument.spreadsheetml.table+xml"/>
  <Override PartName="/xl/tables/table121.xml" ContentType="application/vnd.openxmlformats-officedocument.spreadsheetml.table+xml"/>
  <Override PartName="/xl/tables/table139.xml" ContentType="application/vnd.openxmlformats-officedocument.spreadsheetml.table+xml"/>
  <Override PartName="/xl/tables/table153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9.xml" ContentType="application/vnd.openxmlformats-officedocument.spreadsheetml.table+xml"/>
  <Override PartName="/xl/tables/table33.xml" ContentType="application/vnd.openxmlformats-officedocument.spreadsheetml.table+xml"/>
  <Override PartName="/xl/tables/table52.xml" ContentType="application/vnd.openxmlformats-officedocument.spreadsheetml.table+xml"/>
  <Override PartName="/xl/tables/table65.xml" ContentType="application/vnd.openxmlformats-officedocument.spreadsheetml.table+xml"/>
  <Override PartName="/xl/tables/table78.xml" ContentType="application/vnd.openxmlformats-officedocument.spreadsheetml.table+xml"/>
  <Override PartName="/xl/tables/table92.xml" ContentType="application/vnd.openxmlformats-officedocument.spreadsheetml.table+xml"/>
  <Override PartName="/xl/tables/table94.xml" ContentType="application/vnd.openxmlformats-officedocument.spreadsheetml.table+xml"/>
  <Override PartName="/xl/tables/table107.xml" ContentType="application/vnd.openxmlformats-officedocument.spreadsheetml.table+xml"/>
  <Override PartName="/xl/tables/table120.xml" ContentType="application/vnd.openxmlformats-officedocument.spreadsheetml.table+xml"/>
  <Override PartName="/xl/tables/table138.xml" ContentType="application/vnd.openxmlformats-officedocument.spreadsheetml.table+xml"/>
  <Override PartName="/xl/tables/table152.xml" ContentType="application/vnd.openxmlformats-officedocument.spreadsheetml.table+xml"/>
  <Override PartName="/xl/tables/table167.xml" ContentType="application/vnd.openxmlformats-officedocument.spreadsheetml.table+xml"/>
  <Override PartName="/xl/tables/table18.xml" ContentType="application/vnd.openxmlformats-officedocument.spreadsheetml.table+xml"/>
  <Override PartName="/xl/tables/table32.xml" ContentType="application/vnd.openxmlformats-officedocument.spreadsheetml.table+xml"/>
  <Override PartName="/xl/tables/table51.xml" ContentType="application/vnd.openxmlformats-officedocument.spreadsheetml.table+xml"/>
  <Override PartName="/xl/tables/table64.xml" ContentType="application/vnd.openxmlformats-officedocument.spreadsheetml.table+xml"/>
  <Override PartName="/xl/tables/table77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106.xml" ContentType="application/vnd.openxmlformats-officedocument.spreadsheetml.table+xml"/>
  <Override PartName="/xl/tables/table119.xml" ContentType="application/vnd.openxmlformats-officedocument.spreadsheetml.table+xml"/>
  <Override PartName="/xl/tables/table137.xml" ContentType="application/vnd.openxmlformats-officedocument.spreadsheetml.table+xml"/>
  <Override PartName="/xl/tables/table151.xml" ContentType="application/vnd.openxmlformats-officedocument.spreadsheetml.table+xml"/>
  <Override PartName="/xl/tables/table166.xml" ContentType="application/vnd.openxmlformats-officedocument.spreadsheetml.table+xml"/>
  <Override PartName="/xl/tables/table12.xml" ContentType="application/vnd.openxmlformats-officedocument.spreadsheetml.table+xml"/>
  <Override PartName="/xl/tables/table26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45.xml" ContentType="application/vnd.openxmlformats-officedocument.spreadsheetml.table+xml"/>
  <Override PartName="/xl/tables/table58.xml" ContentType="application/vnd.openxmlformats-officedocument.spreadsheetml.table+xml"/>
  <Override PartName="/xl/tables/table71.xml" ContentType="application/vnd.openxmlformats-officedocument.spreadsheetml.table+xml"/>
  <Override PartName="/xl/tables/table100.xml" ContentType="application/vnd.openxmlformats-officedocument.spreadsheetml.table+xml"/>
  <Override PartName="/xl/tables/table113.xml" ContentType="application/vnd.openxmlformats-officedocument.spreadsheetml.table+xml"/>
  <Override PartName="/xl/tables/table131.xml" ContentType="application/vnd.openxmlformats-officedocument.spreadsheetml.table+xml"/>
  <Override PartName="/xl/tables/table145.xml" ContentType="application/vnd.openxmlformats-officedocument.spreadsheetml.table+xml"/>
  <Override PartName="/xl/tables/table160.xml" ContentType="application/vnd.openxmlformats-officedocument.spreadsheetml.table+xml"/>
  <Override PartName="/xl/tables/table7.xml" ContentType="application/vnd.openxmlformats-officedocument.spreadsheetml.table+xml"/>
  <Override PartName="/xl/tables/table21.xml" ContentType="application/vnd.openxmlformats-officedocument.spreadsheetml.table+xml"/>
  <Override PartName="/xl/tables/table39.xml" ContentType="application/vnd.openxmlformats-officedocument.spreadsheetml.table+xml"/>
  <Override PartName="/xl/tables/table93.xml" ContentType="application/vnd.openxmlformats-officedocument.spreadsheetml.table+xml"/>
  <Override PartName="/xl/tables/table95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40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71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sharedStrings.xml" ContentType="application/vnd.openxmlformats-officedocument.spreadsheetml.sharedStrings+xml"/>
  <Override PartName="/xl/media/image57.png" ContentType="image/png"/>
  <Override PartName="/xl/media/image1.png" ContentType="image/png"/>
  <Override PartName="/xl/media/image298.png" ContentType="image/png"/>
  <Override PartName="/xl/media/image58.png" ContentType="image/png"/>
  <Override PartName="/xl/media/image130.png" ContentType="image/png"/>
  <Override PartName="/xl/media/image2.png" ContentType="image/png"/>
  <Override PartName="/xl/media/image299.png" ContentType="image/png"/>
  <Override PartName="/xl/media/image3.png" ContentType="image/png"/>
  <Override PartName="/xl/media/image131.png" ContentType="image/png"/>
  <Override PartName="/xl/media/image59.png" ContentType="image/png"/>
  <Override PartName="/xl/media/image70.png" ContentType="image/png"/>
  <Override PartName="/xl/media/image4.png" ContentType="image/png"/>
  <Override PartName="/xl/media/image302.png" ContentType="image/png"/>
  <Override PartName="/xl/media/image73.png" ContentType="image/png"/>
  <Override PartName="/xl/media/image7.png" ContentType="image/png"/>
  <Override PartName="/xl/media/image5.jpeg" ContentType="image/jpeg"/>
  <Override PartName="/xl/media/image11.png" ContentType="image/png"/>
  <Override PartName="/xl/media/image301.png" ContentType="image/png"/>
  <Override PartName="/xl/media/image72.png" ContentType="image/png"/>
  <Override PartName="/xl/media/image6.png" ContentType="image/png"/>
  <Override PartName="/xl/media/image303.png" ContentType="image/png"/>
  <Override PartName="/xl/media/image74.png" ContentType="image/png"/>
  <Override PartName="/xl/media/image8.png" ContentType="image/png"/>
  <Override PartName="/xl/media/image304.png" ContentType="image/png"/>
  <Override PartName="/xl/media/image75.png" ContentType="image/png"/>
  <Override PartName="/xl/media/image9.png" ContentType="image/png"/>
  <Override PartName="/xl/media/image10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380.png" ContentType="image/png"/>
  <Override PartName="/xl/media/image17.png" ContentType="image/png"/>
  <Override PartName="/xl/media/image381.png" ContentType="image/png"/>
  <Override PartName="/xl/media/image18.png" ContentType="image/png"/>
  <Override PartName="/xl/media/image382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390.png" ContentType="image/png"/>
  <Override PartName="/xl/media/image27.png" ContentType="image/png"/>
  <Override PartName="/xl/media/image391.png" ContentType="image/png"/>
  <Override PartName="/xl/media/image100.png" ContentType="image/png"/>
  <Override PartName="/xl/media/image28.png" ContentType="image/png"/>
  <Override PartName="/xl/media/image392.png" ContentType="image/png"/>
  <Override PartName="/xl/media/image101.png" ContentType="image/png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110.png" ContentType="image/png"/>
  <Override PartName="/xl/media/image38.png" ContentType="image/png"/>
  <Override PartName="/xl/media/image39.png" ContentType="image/png"/>
  <Override PartName="/xl/media/image111.png" ContentType="image/png"/>
  <Override PartName="/xl/media/image40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47.png" ContentType="image/png"/>
  <Override PartName="/xl/media/image48.png" ContentType="image/png"/>
  <Override PartName="/xl/media/image120.png" ContentType="image/png"/>
  <Override PartName="/xl/media/image49.png" ContentType="image/png"/>
  <Override PartName="/xl/media/image121.png" ContentType="image/png"/>
  <Override PartName="/xl/media/image50.png" ContentType="image/png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media/image55.png" ContentType="image/png"/>
  <Override PartName="/xl/media/image56.png" ContentType="image/png"/>
  <Override PartName="/xl/media/image60.png" ContentType="image/png"/>
  <Override PartName="/xl/media/image61.png" ContentType="image/png"/>
  <Override PartName="/xl/media/image62.png" ContentType="image/png"/>
  <Override PartName="/xl/media/image63.png" ContentType="image/png"/>
  <Override PartName="/xl/media/image64.png" ContentType="image/png"/>
  <Override PartName="/xl/media/image65.png" ContentType="image/png"/>
  <Override PartName="/xl/media/image66.png" ContentType="image/png"/>
  <Override PartName="/xl/media/image67.png" ContentType="image/png"/>
  <Override PartName="/xl/media/image68.png" ContentType="image/png"/>
  <Override PartName="/xl/media/image140.png" ContentType="image/png"/>
  <Override PartName="/xl/media/image69.png" ContentType="image/png"/>
  <Override PartName="/xl/media/image141.png" ContentType="image/png"/>
  <Override PartName="/xl/media/image71.png" ContentType="image/png"/>
  <Override PartName="/xl/media/image300.png" ContentType="image/png"/>
  <Override PartName="/xl/media/image76.png" ContentType="image/png"/>
  <Override PartName="/xl/media/image305.png" ContentType="image/png"/>
  <Override PartName="/xl/media/image77.png" ContentType="image/png"/>
  <Override PartName="/xl/media/image306.png" ContentType="image/png"/>
  <Override PartName="/xl/media/image78.png" ContentType="image/png"/>
  <Override PartName="/xl/media/image150.png" ContentType="image/png"/>
  <Override PartName="/xl/media/image307.png" ContentType="image/png"/>
  <Override PartName="/xl/media/image79.png" ContentType="image/png"/>
  <Override PartName="/xl/media/image151.png" ContentType="image/png"/>
  <Override PartName="/xl/media/image308.png" ContentType="image/png"/>
  <Override PartName="/xl/media/image80.png" ContentType="image/png"/>
  <Override PartName="/xl/media/image81.png" ContentType="image/png"/>
  <Override PartName="/xl/media/image310.png" ContentType="image/png"/>
  <Override PartName="/xl/media/image82.png" ContentType="image/png"/>
  <Override PartName="/xl/media/image311.png" ContentType="image/png"/>
  <Override PartName="/xl/media/image83.png" ContentType="image/png"/>
  <Override PartName="/xl/media/image312.png" ContentType="image/png"/>
  <Override PartName="/xl/media/image84.png" ContentType="image/png"/>
  <Override PartName="/xl/media/image313.png" ContentType="image/png"/>
  <Override PartName="/xl/media/image85.png" ContentType="image/png"/>
  <Override PartName="/xl/media/image314.png" ContentType="image/png"/>
  <Override PartName="/xl/media/image86.png" ContentType="image/png"/>
  <Override PartName="/xl/media/image315.png" ContentType="image/png"/>
  <Override PartName="/xl/media/image87.png" ContentType="image/png"/>
  <Override PartName="/xl/media/image316.png" ContentType="image/png"/>
  <Override PartName="/xl/media/image88.png" ContentType="image/png"/>
  <Override PartName="/xl/media/image160.png" ContentType="image/png"/>
  <Override PartName="/xl/media/image317.png" ContentType="image/png"/>
  <Override PartName="/xl/media/image89.png" ContentType="image/png"/>
  <Override PartName="/xl/media/image161.png" ContentType="image/png"/>
  <Override PartName="/xl/media/image318.png" ContentType="image/png"/>
  <Override PartName="/xl/media/image90.png" ContentType="image/png"/>
  <Override PartName="/xl/media/image91.png" ContentType="image/png"/>
  <Override PartName="/xl/media/image320.png" ContentType="image/png"/>
  <Override PartName="/xl/media/image92.png" ContentType="image/png"/>
  <Override PartName="/xl/media/image321.png" ContentType="image/png"/>
  <Override PartName="/xl/media/image93.png" ContentType="image/png"/>
  <Override PartName="/xl/media/image322.png" ContentType="image/png"/>
  <Override PartName="/xl/media/image94.png" ContentType="image/png"/>
  <Override PartName="/xl/media/image323.png" ContentType="image/png"/>
  <Override PartName="/xl/media/image95.png" ContentType="image/png"/>
  <Override PartName="/xl/media/image324.png" ContentType="image/png"/>
  <Override PartName="/xl/media/image96.png" ContentType="image/png"/>
  <Override PartName="/xl/media/image325.png" ContentType="image/png"/>
  <Override PartName="/xl/media/image97.png" ContentType="image/png"/>
  <Override PartName="/xl/media/image326.png" ContentType="image/png"/>
  <Override PartName="/xl/media/image98.png" ContentType="image/png"/>
  <Override PartName="/xl/media/image170.png" ContentType="image/png"/>
  <Override PartName="/xl/media/image327.png" ContentType="image/png"/>
  <Override PartName="/xl/media/image99.png" ContentType="image/png"/>
  <Override PartName="/xl/media/image171.png" ContentType="image/png"/>
  <Override PartName="/xl/media/image328.png" ContentType="image/png"/>
  <Override PartName="/xl/media/image102.png" ContentType="image/png"/>
  <Override PartName="/xl/media/image393.png" ContentType="image/png"/>
  <Override PartName="/xl/media/image103.png" ContentType="image/png"/>
  <Override PartName="/xl/media/image394.png" ContentType="image/png"/>
  <Override PartName="/xl/media/image104.png" ContentType="image/png"/>
  <Override PartName="/xl/media/image395.png" ContentType="image/png"/>
  <Override PartName="/xl/media/image105.png" ContentType="image/png"/>
  <Override PartName="/xl/media/image396.png" ContentType="image/png"/>
  <Override PartName="/xl/media/image106.png" ContentType="image/png"/>
  <Override PartName="/xl/media/image397.png" ContentType="image/png"/>
  <Override PartName="/xl/media/image107.png" ContentType="image/png"/>
  <Override PartName="/xl/media/image398.png" ContentType="image/png"/>
  <Override PartName="/xl/media/image108.png" ContentType="image/png"/>
  <Override PartName="/xl/media/image399.png" ContentType="image/png"/>
  <Override PartName="/xl/media/image109.png" ContentType="image/png"/>
  <Override PartName="/xl/media/image112.png" ContentType="image/png"/>
  <Override PartName="/xl/media/image113.png" ContentType="image/png"/>
  <Override PartName="/xl/media/image114.png" ContentType="image/png"/>
  <Override PartName="/xl/media/image115.png" ContentType="image/png"/>
  <Override PartName="/xl/media/image116.png" ContentType="image/png"/>
  <Override PartName="/xl/media/image117.png" ContentType="image/png"/>
  <Override PartName="/xl/media/image118.png" ContentType="image/png"/>
  <Override PartName="/xl/media/image119.png" ContentType="image/png"/>
  <Override PartName="/xl/media/image122.png" ContentType="image/png"/>
  <Override PartName="/xl/media/image123.png" ContentType="image/png"/>
  <Override PartName="/xl/media/image124.png" ContentType="image/png"/>
  <Override PartName="/xl/media/image125.png" ContentType="image/png"/>
  <Override PartName="/xl/media/image126.png" ContentType="image/png"/>
  <Override PartName="/xl/media/image127.png" ContentType="image/png"/>
  <Override PartName="/xl/media/image128.png" ContentType="image/png"/>
  <Override PartName="/xl/media/image129.png" ContentType="image/png"/>
  <Override PartName="/xl/media/image132.png" ContentType="image/png"/>
  <Override PartName="/xl/media/image133.png" ContentType="image/png"/>
  <Override PartName="/xl/media/image134.png" ContentType="image/png"/>
  <Override PartName="/xl/media/image135.png" ContentType="image/png"/>
  <Override PartName="/xl/media/image136.png" ContentType="image/png"/>
  <Override PartName="/xl/media/image137.png" ContentType="image/png"/>
  <Override PartName="/xl/media/image138.png" ContentType="image/png"/>
  <Override PartName="/xl/media/image139.png" ContentType="image/png"/>
  <Override PartName="/xl/media/image142.png" ContentType="image/png"/>
  <Override PartName="/xl/media/image143.png" ContentType="image/png"/>
  <Override PartName="/xl/media/image144.png" ContentType="image/png"/>
  <Override PartName="/xl/media/image145.png" ContentType="image/png"/>
  <Override PartName="/xl/media/image146.png" ContentType="image/png"/>
  <Override PartName="/xl/media/image147.png" ContentType="image/png"/>
  <Override PartName="/xl/media/image148.png" ContentType="image/png"/>
  <Override PartName="/xl/media/image149.png" ContentType="image/png"/>
  <Override PartName="/xl/media/image152.png" ContentType="image/png"/>
  <Override PartName="/xl/media/image309.png" ContentType="image/png"/>
  <Override PartName="/xl/media/image153.png" ContentType="image/png"/>
  <Override PartName="/xl/media/image154.png" ContentType="image/png"/>
  <Override PartName="/xl/media/image155.png" ContentType="image/png"/>
  <Override PartName="/xl/media/image156.png" ContentType="image/png"/>
  <Override PartName="/xl/media/image157.png" ContentType="image/png"/>
  <Override PartName="/xl/media/image158.png" ContentType="image/png"/>
  <Override PartName="/xl/media/image159.png" ContentType="image/png"/>
  <Override PartName="/xl/media/image162.png" ContentType="image/png"/>
  <Override PartName="/xl/media/image319.png" ContentType="image/png"/>
  <Override PartName="/xl/media/image163.png" ContentType="image/png"/>
  <Override PartName="/xl/media/image164.png" ContentType="image/png"/>
  <Override PartName="/xl/media/image165.png" ContentType="image/png"/>
  <Override PartName="/xl/media/image166.png" ContentType="image/png"/>
  <Override PartName="/xl/media/image167.png" ContentType="image/png"/>
  <Override PartName="/xl/media/image168.png" ContentType="image/png"/>
  <Override PartName="/xl/media/image169.png" ContentType="image/png"/>
  <Override PartName="/xl/media/image172.png" ContentType="image/png"/>
  <Override PartName="/xl/media/image329.png" ContentType="image/png"/>
  <Override PartName="/xl/media/image173.png" ContentType="image/png"/>
  <Override PartName="/xl/media/image174.png" ContentType="image/png"/>
  <Override PartName="/xl/media/image175.png" ContentType="image/png"/>
  <Override PartName="/xl/media/image176.png" ContentType="image/png"/>
  <Override PartName="/xl/media/image177.png" ContentType="image/png"/>
  <Override PartName="/xl/media/image178.png" ContentType="image/png"/>
  <Override PartName="/xl/media/image179.png" ContentType="image/png"/>
  <Override PartName="/xl/media/image180.png" ContentType="image/png"/>
  <Override PartName="/xl/media/image337.png" ContentType="image/png"/>
  <Override PartName="/xl/media/image181.png" ContentType="image/png"/>
  <Override PartName="/xl/media/image338.png" ContentType="image/png"/>
  <Override PartName="/xl/media/image182.png" ContentType="image/png"/>
  <Override PartName="/xl/media/image339.png" ContentType="image/png"/>
  <Override PartName="/xl/media/image183.png" ContentType="image/png"/>
  <Override PartName="/xl/media/image184.png" ContentType="image/png"/>
  <Override PartName="/xl/media/image185.png" ContentType="image/png"/>
  <Override PartName="/xl/media/image186.png" ContentType="image/png"/>
  <Override PartName="/xl/media/image187.png" ContentType="image/png"/>
  <Override PartName="/xl/media/image188.png" ContentType="image/png"/>
  <Override PartName="/xl/media/image189.png" ContentType="image/png"/>
  <Override PartName="/xl/media/image190.png" ContentType="image/png"/>
  <Override PartName="/xl/media/image347.png" ContentType="image/png"/>
  <Override PartName="/xl/media/image191.png" ContentType="image/png"/>
  <Override PartName="/xl/media/image348.png" ContentType="image/png"/>
  <Override PartName="/xl/media/image192.png" ContentType="image/png"/>
  <Override PartName="/xl/media/image349.png" ContentType="image/png"/>
  <Override PartName="/xl/media/image193.png" ContentType="image/png"/>
  <Override PartName="/xl/media/image194.png" ContentType="image/png"/>
  <Override PartName="/xl/media/image195.png" ContentType="image/png"/>
  <Override PartName="/xl/media/image196.png" ContentType="image/png"/>
  <Override PartName="/xl/media/image197.png" ContentType="image/png"/>
  <Override PartName="/xl/media/image198.png" ContentType="image/png"/>
  <Override PartName="/xl/media/image199.png" ContentType="image/png"/>
  <Override PartName="/xl/media/image200.png" ContentType="image/png"/>
  <Override PartName="/xl/media/image201.png" ContentType="image/png"/>
  <Override PartName="/xl/media/image202.png" ContentType="image/png"/>
  <Override PartName="/xl/media/image203.png" ContentType="image/png"/>
  <Override PartName="/xl/media/image204.png" ContentType="image/png"/>
  <Override PartName="/xl/media/image205.png" ContentType="image/png"/>
  <Override PartName="/xl/media/image206.png" ContentType="image/png"/>
  <Override PartName="/xl/media/image207.png" ContentType="image/png"/>
  <Override PartName="/xl/media/image208.png" ContentType="image/png"/>
  <Override PartName="/xl/media/image209.png" ContentType="image/png"/>
  <Override PartName="/xl/media/image210.png" ContentType="image/png"/>
  <Override PartName="/xl/media/image211.png" ContentType="image/png"/>
  <Override PartName="/xl/media/image212.png" ContentType="image/png"/>
  <Override PartName="/xl/media/image213.png" ContentType="image/png"/>
  <Override PartName="/xl/media/image214.png" ContentType="image/png"/>
  <Override PartName="/xl/media/image215.png" ContentType="image/png"/>
  <Override PartName="/xl/media/image216.png" ContentType="image/png"/>
  <Override PartName="/xl/media/image217.png" ContentType="image/png"/>
  <Override PartName="/xl/media/image218.png" ContentType="image/png"/>
  <Override PartName="/xl/media/image219.png" ContentType="image/png"/>
  <Override PartName="/xl/media/image220.png" ContentType="image/png"/>
  <Override PartName="/xl/media/image221.png" ContentType="image/png"/>
  <Override PartName="/xl/media/image222.png" ContentType="image/png"/>
  <Override PartName="/xl/media/image223.png" ContentType="image/png"/>
  <Override PartName="/xl/media/image224.png" ContentType="image/png"/>
  <Override PartName="/xl/media/image225.png" ContentType="image/png"/>
  <Override PartName="/xl/media/image226.png" ContentType="image/png"/>
  <Override PartName="/xl/media/image227.png" ContentType="image/png"/>
  <Override PartName="/xl/media/image228.png" ContentType="image/png"/>
  <Override PartName="/xl/media/image229.png" ContentType="image/png"/>
  <Override PartName="/xl/media/image230.png" ContentType="image/png"/>
  <Override PartName="/xl/media/image231.png" ContentType="image/png"/>
  <Override PartName="/xl/media/image232.png" ContentType="image/png"/>
  <Override PartName="/xl/media/image233.png" ContentType="image/png"/>
  <Override PartName="/xl/media/image234.png" ContentType="image/png"/>
  <Override PartName="/xl/media/image235.png" ContentType="image/png"/>
  <Override PartName="/xl/media/image236.png" ContentType="image/png"/>
  <Override PartName="/xl/media/image237.png" ContentType="image/png"/>
  <Override PartName="/xl/media/image238.png" ContentType="image/png"/>
  <Override PartName="/xl/media/image239.png" ContentType="image/png"/>
  <Override PartName="/xl/media/image240.png" ContentType="image/png"/>
  <Override PartName="/xl/media/image241.png" ContentType="image/png"/>
  <Override PartName="/xl/media/image242.png" ContentType="image/png"/>
  <Override PartName="/xl/media/image243.png" ContentType="image/png"/>
  <Override PartName="/xl/media/image244.png" ContentType="image/png"/>
  <Override PartName="/xl/media/image245.png" ContentType="image/png"/>
  <Override PartName="/xl/media/image246.png" ContentType="image/png"/>
  <Override PartName="/xl/media/image247.png" ContentType="image/png"/>
  <Override PartName="/xl/media/image248.png" ContentType="image/png"/>
  <Override PartName="/xl/media/image249.png" ContentType="image/png"/>
  <Override PartName="/xl/media/image250.png" ContentType="image/png"/>
  <Override PartName="/xl/media/image407.png" ContentType="image/png"/>
  <Override PartName="/xl/media/image251.png" ContentType="image/png"/>
  <Override PartName="/xl/media/image408.png" ContentType="image/png"/>
  <Override PartName="/xl/media/image252.png" ContentType="image/png"/>
  <Override PartName="/xl/media/image409.png" ContentType="image/png"/>
  <Override PartName="/xl/media/image253.png" ContentType="image/png"/>
  <Override PartName="/xl/media/image254.png" ContentType="image/png"/>
  <Override PartName="/xl/media/image255.png" ContentType="image/png"/>
  <Override PartName="/xl/media/image256.png" ContentType="image/png"/>
  <Override PartName="/xl/media/image257.png" ContentType="image/png"/>
  <Override PartName="/xl/media/image258.png" ContentType="image/png"/>
  <Override PartName="/xl/media/image259.png" ContentType="image/png"/>
  <Override PartName="/xl/media/image260.png" ContentType="image/png"/>
  <Override PartName="/xl/media/image261.png" ContentType="image/png"/>
  <Override PartName="/xl/media/image262.png" ContentType="image/png"/>
  <Override PartName="/xl/media/image263.png" ContentType="image/png"/>
  <Override PartName="/xl/media/image264.png" ContentType="image/png"/>
  <Override PartName="/xl/media/image265.png" ContentType="image/png"/>
  <Override PartName="/xl/media/image266.png" ContentType="image/png"/>
  <Override PartName="/xl/media/image267.png" ContentType="image/png"/>
  <Override PartName="/xl/media/image268.png" ContentType="image/png"/>
  <Override PartName="/xl/media/image269.png" ContentType="image/png"/>
  <Override PartName="/xl/media/image270.png" ContentType="image/png"/>
  <Override PartName="/xl/media/image271.png" ContentType="image/png"/>
  <Override PartName="/xl/media/image272.png" ContentType="image/png"/>
  <Override PartName="/xl/media/image273.png" ContentType="image/png"/>
  <Override PartName="/xl/media/image274.png" ContentType="image/png"/>
  <Override PartName="/xl/media/image275.png" ContentType="image/png"/>
  <Override PartName="/xl/media/image276.png" ContentType="image/png"/>
  <Override PartName="/xl/media/image277.png" ContentType="image/png"/>
  <Override PartName="/xl/media/image278.png" ContentType="image/png"/>
  <Override PartName="/xl/media/image279.png" ContentType="image/png"/>
  <Override PartName="/xl/media/image280.png" ContentType="image/png"/>
  <Override PartName="/xl/media/image281.png" ContentType="image/png"/>
  <Override PartName="/xl/media/image282.png" ContentType="image/png"/>
  <Override PartName="/xl/media/image283.png" ContentType="image/png"/>
  <Override PartName="/xl/media/image284.png" ContentType="image/png"/>
  <Override PartName="/xl/media/image285.png" ContentType="image/png"/>
  <Override PartName="/xl/media/image286.png" ContentType="image/png"/>
  <Override PartName="/xl/media/image287.png" ContentType="image/png"/>
  <Override PartName="/xl/media/image288.png" ContentType="image/png"/>
  <Override PartName="/xl/media/image289.png" ContentType="image/png"/>
  <Override PartName="/xl/media/image290.png" ContentType="image/png"/>
  <Override PartName="/xl/media/image291.png" ContentType="image/png"/>
  <Override PartName="/xl/media/image292.png" ContentType="image/png"/>
  <Override PartName="/xl/media/image293.png" ContentType="image/png"/>
  <Override PartName="/xl/media/image294.png" ContentType="image/png"/>
  <Override PartName="/xl/media/image295.png" ContentType="image/png"/>
  <Override PartName="/xl/media/image296.png" ContentType="image/png"/>
  <Override PartName="/xl/media/image297.png" ContentType="image/png"/>
  <Override PartName="/xl/media/image330.png" ContentType="image/png"/>
  <Override PartName="/xl/media/image331.png" ContentType="image/png"/>
  <Override PartName="/xl/media/image332.png" ContentType="image/png"/>
  <Override PartName="/xl/media/image333.png" ContentType="image/png"/>
  <Override PartName="/xl/media/image334.png" ContentType="image/png"/>
  <Override PartName="/xl/media/image335.png" ContentType="image/png"/>
  <Override PartName="/xl/media/image336.png" ContentType="image/png"/>
  <Override PartName="/xl/media/image340.png" ContentType="image/png"/>
  <Override PartName="/xl/media/image341.png" ContentType="image/png"/>
  <Override PartName="/xl/media/image342.png" ContentType="image/png"/>
  <Override PartName="/xl/media/image343.png" ContentType="image/png"/>
  <Override PartName="/xl/media/image344.png" ContentType="image/png"/>
  <Override PartName="/xl/media/image345.png" ContentType="image/png"/>
  <Override PartName="/xl/media/image346.png" ContentType="image/png"/>
  <Override PartName="/xl/media/image350.png" ContentType="image/png"/>
  <Override PartName="/xl/media/image351.png" ContentType="image/png"/>
  <Override PartName="/xl/media/image352.png" ContentType="image/png"/>
  <Override PartName="/xl/media/image353.png" ContentType="image/png"/>
  <Override PartName="/xl/media/image354.png" ContentType="image/png"/>
  <Override PartName="/xl/media/image355.png" ContentType="image/png"/>
  <Override PartName="/xl/media/image356.png" ContentType="image/png"/>
  <Override PartName="/xl/media/image357.png" ContentType="image/png"/>
  <Override PartName="/xl/media/image358.png" ContentType="image/png"/>
  <Override PartName="/xl/media/image359.png" ContentType="image/png"/>
  <Override PartName="/xl/media/image360.png" ContentType="image/png"/>
  <Override PartName="/xl/media/image361.png" ContentType="image/png"/>
  <Override PartName="/xl/media/image362.png" ContentType="image/png"/>
  <Override PartName="/xl/media/image363.png" ContentType="image/png"/>
  <Override PartName="/xl/media/image364.png" ContentType="image/png"/>
  <Override PartName="/xl/media/image365.png" ContentType="image/png"/>
  <Override PartName="/xl/media/image366.png" ContentType="image/png"/>
  <Override PartName="/xl/media/image367.png" ContentType="image/png"/>
  <Override PartName="/xl/media/image368.png" ContentType="image/png"/>
  <Override PartName="/xl/media/image369.png" ContentType="image/png"/>
  <Override PartName="/xl/media/image370.png" ContentType="image/png"/>
  <Override PartName="/xl/media/image371.png" ContentType="image/png"/>
  <Override PartName="/xl/media/image372.png" ContentType="image/png"/>
  <Override PartName="/xl/media/image373.png" ContentType="image/png"/>
  <Override PartName="/xl/media/image374.png" ContentType="image/png"/>
  <Override PartName="/xl/media/image375.png" ContentType="image/png"/>
  <Override PartName="/xl/media/image376.png" ContentType="image/png"/>
  <Override PartName="/xl/media/image377.png" ContentType="image/png"/>
  <Override PartName="/xl/media/image378.png" ContentType="image/png"/>
  <Override PartName="/xl/media/image379.png" ContentType="image/png"/>
  <Override PartName="/xl/media/image383.png" ContentType="image/png"/>
  <Override PartName="/xl/media/image384.png" ContentType="image/png"/>
  <Override PartName="/xl/media/image385.png" ContentType="image/png"/>
  <Override PartName="/xl/media/image386.png" ContentType="image/png"/>
  <Override PartName="/xl/media/image387.png" ContentType="image/png"/>
  <Override PartName="/xl/media/image388.png" ContentType="image/png"/>
  <Override PartName="/xl/media/image389.png" ContentType="image/png"/>
  <Override PartName="/xl/media/image400.png" ContentType="image/png"/>
  <Override PartName="/xl/media/image401.png" ContentType="image/png"/>
  <Override PartName="/xl/media/image402.png" ContentType="image/png"/>
  <Override PartName="/xl/media/image403.png" ContentType="image/png"/>
  <Override PartName="/xl/media/image404.png" ContentType="image/png"/>
  <Override PartName="/xl/media/image405.png" ContentType="image/png"/>
  <Override PartName="/xl/media/image406.png" ContentType="image/png"/>
  <Override PartName="/xl/media/image410.png" ContentType="image/png"/>
  <Override PartName="/xl/media/image411.png" ContentType="image/png"/>
  <Override PartName="/xl/media/image412.png" ContentType="image/png"/>
  <Override PartName="/xl/media/image413.png" ContentType="image/png"/>
  <Override PartName="/xl/media/image414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🏠" sheetId="1" state="visible" r:id="rId2"/>
    <sheet name="⚙️" sheetId="2" state="visible" r:id="rId3"/>
    <sheet name="🔒" sheetId="3" state="visible" r:id="rId4"/>
    <sheet name="ANUAL" sheetId="4" state="visible" r:id="rId5"/>
    <sheet name="1" sheetId="5" state="visible" r:id="rId6"/>
    <sheet name="2" sheetId="6" state="visible" r:id="rId7"/>
    <sheet name="3" sheetId="7" state="visible" r:id="rId8"/>
    <sheet name="4" sheetId="8" state="visible" r:id="rId9"/>
    <sheet name="5" sheetId="9" state="visible" r:id="rId10"/>
    <sheet name="6" sheetId="10" state="visible" r:id="rId11"/>
    <sheet name="7" sheetId="11" state="visible" r:id="rId12"/>
    <sheet name="8" sheetId="12" state="visible" r:id="rId13"/>
    <sheet name="9" sheetId="13" state="visible" r:id="rId14"/>
    <sheet name="10" sheetId="14" state="visible" r:id="rId15"/>
    <sheet name="11" sheetId="15" state="visible" r:id="rId16"/>
    <sheet name="12" sheetId="16" state="visible" r:id="rId17"/>
    <sheet name="📈" sheetId="17" state="visible" r:id="rId18"/>
    <sheet name="DADOS" sheetId="18" state="hidden" r:id="rId19"/>
  </sheets>
  <definedNames>
    <definedName function="false" hidden="false" name="AnoCalendário" vbProcedure="false">'📈'!$R$3</definedName>
    <definedName function="false" hidden="false" name="DiasESemanas" vbProcedure="false">{0,1,2,3,4,5,6} + {0;1;2;3;4;5}*7</definedName>
    <definedName function="false" hidden="false" name="InícioDaSemana" vbProcedure="false">'📈'!$R$4</definedName>
    <definedName function="false" hidden="false" name="RegiãoTítuloColuna1..H12.1" vbProcedure="false">'📈'!$E$12</definedName>
    <definedName function="false" hidden="false" name="RegiãoTítuloColuna1..H12.4" vbProcedure="false">'📈'!$E$12</definedName>
    <definedName function="false" hidden="false" name="RegiãoTítuloColuna2..C14.1" vbProcedure="false">'📈'!$E$12</definedName>
    <definedName function="false" hidden="false" name="_xlchart.v1.0" vbProcedure="false">ANUAL!$AQ$132:$AQ$141</definedName>
    <definedName function="false" hidden="false" name="_xlchart.v1.1" vbProcedure="false">DADOS!$AF$3:$AF$12</definedName>
    <definedName function="false" hidden="false" name="_xlchart.v1.10" vbProcedure="false">ANUAL!$AQ$60:$AQ$72</definedName>
    <definedName function="false" hidden="false" name="_xlchart.v1.11" vbProcedure="false">DADOS!$T$3:$T$15</definedName>
    <definedName function="false" hidden="false" name="_xlchart.v1.12" vbProcedure="false">ANUAL!$AQ$113:$AQ$122</definedName>
    <definedName function="false" hidden="false" name="_xlchart.v1.13" vbProcedure="false">DADOS!$AD$3:$AD$12</definedName>
    <definedName function="false" hidden="false" name="_xlchart.v1.14" vbProcedure="false">ANUAL!$AQ$82:$AQ$86</definedName>
    <definedName function="false" hidden="false" name="_xlchart.v1.15" vbProcedure="false">DADOS!$X$3:$X$7</definedName>
    <definedName function="false" hidden="false" name="_xlchart.v1.16" vbProcedure="false">ANUAL!$AQ$37:$AQ$50</definedName>
    <definedName function="false" hidden="false" name="_xlchart.v1.17" vbProcedure="false">DADOS!$R$3:$R$16</definedName>
    <definedName function="false" hidden="false" name="_xlchart.v1.18" vbProcedure="false">ANUAL!$AQ$96:$AQ$103</definedName>
    <definedName function="false" hidden="false" name="_xlchart.v1.19" vbProcedure="false">DADOS!$Z$3:$Z$10</definedName>
    <definedName function="false" hidden="false" name="_xlchart.v1.2" vbProcedure="false">ANUAL!$AQ$206:$AQ$213</definedName>
    <definedName function="false" hidden="false" name="_xlchart.v1.3" vbProcedure="false">DADOS!$AP$3:$AP$10</definedName>
    <definedName function="false" hidden="false" name="_xlchart.v1.4" vbProcedure="false">ANUAL!$AQ$168:$AQ$177</definedName>
    <definedName function="false" hidden="false" name="_xlchart.v1.5" vbProcedure="false">DADOS!$AL$3:$AL$12</definedName>
    <definedName function="false" hidden="false" name="_xlchart.v1.6" vbProcedure="false">ANUAL!$AQ$187:$AQ$196</definedName>
    <definedName function="false" hidden="false" name="_xlchart.v1.7" vbProcedure="false">DADOS!$AN$3:$AN$12</definedName>
    <definedName function="false" hidden="false" name="_xlchart.v1.8" vbProcedure="false">ANUAL!$AQ$151:$AQ$158</definedName>
    <definedName function="false" hidden="false" name="_xlchart.v1.9" vbProcedure="false">DADOS!$AH$3:$AH$10</definedName>
    <definedName function="false" hidden="false" localSheetId="0" name="DiasESemanas" vbProcedure="false">{0,1,2,3,4,5,6} + {0;1;2;3;4;5}*7</definedName>
    <definedName function="false" hidden="false" localSheetId="1" name="DiasESemanas" vbProcedure="false">{0,1,2,3,4,5,6} + {0;1;2;3;4;5}*7</definedName>
    <definedName function="false" hidden="false" localSheetId="2" name="DiasESemanas" vbProcedure="false">{0,1,2,3,4,5,6} + {0;1;2;3;4;5}*7</definedName>
    <definedName function="false" hidden="false" localSheetId="3" name="DiasESemanas" vbProcedure="false">{0,1,2,3,4,5,6} + {0;1;2;3;4;5}*7</definedName>
    <definedName function="false" hidden="false" localSheetId="4" name="DiasESemanas" vbProcedure="false">{0,1,2,3,4,5,6} + {0;1;2;3;4;5}*7</definedName>
    <definedName function="false" hidden="false" localSheetId="5" name="DiasESemanas" vbProcedure="false">{0,1,2,3,4,5,6} + {0;1;2;3;4;5}*7</definedName>
    <definedName function="false" hidden="false" localSheetId="6" name="DiasESemanas" vbProcedure="false">{0,1,2,3,4,5,6} + {0;1;2;3;4;5}*7</definedName>
    <definedName function="false" hidden="false" localSheetId="7" name="DiasESemanas" vbProcedure="false">{0,1,2,3,4,5,6} + {0;1;2;3;4;5}*7</definedName>
    <definedName function="false" hidden="false" localSheetId="8" name="DiasESemanas" vbProcedure="false">{0,1,2,3,4,5,6} + {0;1;2;3;4;5}*7</definedName>
    <definedName function="false" hidden="false" localSheetId="9" name="DiasESemanas" vbProcedure="false">{0,1,2,3,4,5,6} + {0;1;2;3;4;5}*7</definedName>
    <definedName function="false" hidden="false" localSheetId="10" name="DiasESemanas" vbProcedure="false">{0,1,2,3,4,5,6} + {0;1;2;3;4;5}*7</definedName>
    <definedName function="false" hidden="false" localSheetId="11" name="DiasESemanas" vbProcedure="false">{0,1,2,3,4,5,6} + {0;1;2;3;4;5}*7</definedName>
    <definedName function="false" hidden="false" localSheetId="12" name="DiasESemanas" vbProcedure="false">{0,1,2,3,4,5,6} + {0;1;2;3;4;5}*7</definedName>
    <definedName function="false" hidden="false" localSheetId="13" name="DiasESemanas" vbProcedure="false">{0,1,2,3,4,5,6} + {0;1;2;3;4;5}*7</definedName>
    <definedName function="false" hidden="false" localSheetId="14" name="DiasESemanas" vbProcedure="false">{0,1,2,3,4,5,6} + {0;1;2;3;4;5}*7</definedName>
    <definedName function="false" hidden="false" localSheetId="15" name="DiasESemanas" vbProcedure="false">{0,1,2,3,4,5,6} + {0;1;2;3;4;5}*7</definedName>
    <definedName function="false" hidden="false" localSheetId="17" name="DiasESemanas" vbProcedure="false">{0,1,2,3,4,5,6} + {0;1;2;3;4;5}*7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<sst xmlns="http://schemas.openxmlformats.org/spreadsheetml/2006/main" count="6787" uniqueCount="246">
  <si>
    <t xml:space="preserve">PLANILHA DE GASTOS COMPLETA</t>
  </si>
  <si>
    <t xml:space="preserve">Configuração</t>
  </si>
  <si>
    <t xml:space="preserve">TOTAL</t>
  </si>
  <si>
    <t xml:space="preserve">MÉTODO DO POTE</t>
  </si>
  <si>
    <t xml:space="preserve">Saldo inicial</t>
  </si>
  <si>
    <t xml:space="preserve">DESPESAS FIXAS</t>
  </si>
  <si>
    <t xml:space="preserve">%</t>
  </si>
  <si>
    <t xml:space="preserve">Mês de início</t>
  </si>
  <si>
    <t xml:space="preserve">JANEIRO</t>
  </si>
  <si>
    <t xml:space="preserve">DESPESAS DOAÇÕES E PRESENTES</t>
  </si>
  <si>
    <t xml:space="preserve">Tipo de meta (Método do pote)</t>
  </si>
  <si>
    <t xml:space="preserve">MANUAL</t>
  </si>
  <si>
    <t xml:space="preserve">DESPESAS LAZER</t>
  </si>
  <si>
    <t xml:space="preserve">DESPESAS EDUCAÇÃO</t>
  </si>
  <si>
    <t xml:space="preserve">RESERVA EMERGÊNCIA</t>
  </si>
  <si>
    <t xml:space="preserve">INVESTIMENTOS</t>
  </si>
  <si>
    <t xml:space="preserve">LIVRO DE
REGISTROS</t>
  </si>
  <si>
    <t xml:space="preserve">ANUAL</t>
  </si>
  <si>
    <t xml:space="preserve">DIA</t>
  </si>
  <si>
    <t xml:space="preserve">MÊS</t>
  </si>
  <si>
    <t xml:space="preserve">DATA 
REGISTRO</t>
  </si>
  <si>
    <t xml:space="preserve">REGISTRO</t>
  </si>
  <si>
    <t xml:space="preserve">TIPO</t>
  </si>
  <si>
    <t xml:space="preserve">CATEGORIA</t>
  </si>
  <si>
    <t xml:space="preserve">DESCRIÇÃO</t>
  </si>
  <si>
    <t xml:space="preserve">VALOR</t>
  </si>
  <si>
    <t xml:space="preserve">FORMATO</t>
  </si>
  <si>
    <t xml:space="preserve">SITUAÇÃO</t>
  </si>
  <si>
    <t xml:space="preserve">DATA
MOVIMENTAÇÃO</t>
  </si>
  <si>
    <t xml:space="preserve">▼ SAÍDA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</si>
  <si>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</si>
  <si>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</si>
  <si>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</si>
  <si>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</si>
  <si>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</si>
  <si>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</si>
  <si>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</si>
  <si>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</si>
  <si>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</si>
  <si>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</si>
  <si>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</si>
  <si>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</si>
  <si>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VALOR INICIAL CAIXA</t>
  </si>
  <si>
    <t xml:space="preserve">VALOR INICIAL INVESTIMENTO</t>
  </si>
  <si>
    <t xml:space="preserve">VALOR INICIAL RESERVA</t>
  </si>
  <si>
    <t xml:space="preserve">DISPONÍVEL</t>
  </si>
  <si>
    <t xml:space="preserve">GANHEI</t>
  </si>
  <si>
    <t xml:space="preserve">GASTEI</t>
  </si>
  <si>
    <t xml:space="preserve">INVESTI</t>
  </si>
  <si>
    <t xml:space="preserve">RESERVEI</t>
  </si>
  <si>
    <t xml:space="preserve">REGISTROS</t>
  </si>
  <si>
    <t xml:space="preserve">RADAR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</si>
  <si>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</si>
  <si>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</si>
  <si>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</si>
  <si>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</si>
  <si>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</si>
  <si>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</si>
  <si>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</si>
  <si>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</si>
  <si>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</si>
  <si>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</si>
  <si>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</si>
  <si>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</si>
  <si>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🔽</t>
  </si>
  <si>
    <t xml:space="preserve">REALIZADO</t>
  </si>
  <si>
    <t xml:space="preserve">PROGRAMADO</t>
  </si>
  <si>
    <t xml:space="preserve">% PARTICIPAÇÃO</t>
  </si>
  <si>
    <t xml:space="preserve">ATUAL</t>
  </si>
  <si>
    <t xml:space="preserve">Coluna1</t>
  </si>
  <si>
    <t xml:space="preserve">TOTAL (R$)</t>
  </si>
  <si>
    <t xml:space="preserve">RECEITAS</t>
  </si>
  <si>
    <t xml:space="preserve">DESPESAS</t>
  </si>
  <si>
    <t xml:space="preserve">SALDO</t>
  </si>
  <si>
    <t xml:space="preserve">DESPESA FIXA</t>
  </si>
  <si>
    <t xml:space="preserve">PAGO</t>
  </si>
  <si>
    <t xml:space="preserve">PARTICIPAÇÃO</t>
  </si>
  <si>
    <t xml:space="preserve">ativar frases de motivação?</t>
  </si>
  <si>
    <t xml:space="preserve">% total</t>
  </si>
  <si>
    <t xml:space="preserve">DESPESA VARIÁVEL</t>
  </si>
  <si>
    <t xml:space="preserve">PAGAR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</si>
  <si>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</si>
  <si>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</si>
  <si>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</si>
  <si>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</si>
  <si>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</si>
  <si>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</si>
  <si>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</si>
  <si>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</si>
  <si>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</si>
  <si>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</si>
  <si>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</si>
  <si>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</si>
  <si>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</si>
  <si>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</si>
  <si>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</si>
  <si>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</si>
  <si>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</si>
  <si>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</si>
  <si>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</si>
  <si>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</si>
  <si>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</si>
  <si>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</si>
  <si>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</si>
  <si>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</si>
  <si>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</si>
  <si>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</si>
  <si>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</si>
  <si>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</si>
  <si>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</si>
  <si>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</si>
  <si>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R$</t>
  </si>
  <si>
    <t xml:space="preserve">Ponteiro</t>
  </si>
  <si>
    <t xml:space="preserve">Valores</t>
  </si>
  <si>
    <t xml:space="preserve">Antes</t>
  </si>
  <si>
    <t xml:space="preserve">Depois</t>
  </si>
  <si>
    <t xml:space="preserve">DOAÇÕES E PRESENTES</t>
  </si>
  <si>
    <t xml:space="preserve">LAZER</t>
  </si>
  <si>
    <t xml:space="preserve">EDUCAÇÃO</t>
  </si>
  <si>
    <t xml:space="preserve">Valor</t>
  </si>
  <si>
    <t xml:space="preserve">RISCOS</t>
  </si>
  <si>
    <t xml:space="preserve">RISCO BAIXO</t>
  </si>
  <si>
    <t xml:space="preserve">RISCO ALTO</t>
  </si>
  <si>
    <t xml:space="preserve">RISCO MÉDIO</t>
  </si>
  <si>
    <t xml:space="preserve"> </t>
  </si>
  <si>
    <t xml:space="preserve">PERÍODO</t>
  </si>
  <si>
    <t xml:space="preserve">OBJETIVO</t>
  </si>
  <si>
    <t xml:space="preserve">OPÇÕES</t>
  </si>
  <si>
    <t xml:space="preserve">LIMITE GASTO</t>
  </si>
  <si>
    <t xml:space="preserve">DESAFIO</t>
  </si>
  <si>
    <t xml:space="preserve">PESSOAL</t>
  </si>
  <si>
    <t xml:space="preserve">FAMILIAR</t>
  </si>
  <si>
    <t xml:space="preserve">EMPRESA</t>
  </si>
  <si>
    <t xml:space="preserve">REFORMA</t>
  </si>
  <si>
    <t xml:space="preserve">FACULDADE</t>
  </si>
  <si>
    <t xml:space="preserve">CASAMENTO</t>
  </si>
  <si>
    <t xml:space="preserve">SIMPLES</t>
  </si>
  <si>
    <t xml:space="preserve">SIM</t>
  </si>
  <si>
    <t xml:space="preserve">SAÍDA</t>
  </si>
  <si>
    <t xml:space="preserve">ENTRADA</t>
  </si>
  <si>
    <t xml:space="preserve">RECEITA FIXA</t>
  </si>
  <si>
    <t xml:space="preserve">RECEITA VARIÁVEL</t>
  </si>
  <si>
    <t xml:space="preserve">INVESTIMENTO</t>
  </si>
  <si>
    <t xml:space="preserve">RENDA FIXA</t>
  </si>
  <si>
    <t xml:space="preserve">RENDA VARIÁVEL</t>
  </si>
  <si>
    <t xml:space="preserve">OUTROS INVESTIMENTOS</t>
  </si>
  <si>
    <t xml:space="preserve">RESERVA</t>
  </si>
  <si>
    <t xml:space="preserve">RESERVA RENDA FIXA</t>
  </si>
  <si>
    <t xml:space="preserve">RESERVA RENDA VARIÁVEL</t>
  </si>
  <si>
    <t xml:space="preserve">RESERVA OUTROS INVESTIMENTOS</t>
  </si>
  <si>
    <t xml:space="preserve">TIPO DE DESPESA</t>
  </si>
  <si>
    <t xml:space="preserve">SUB-CATEGORIA</t>
  </si>
  <si>
    <t xml:space="preserve">TIPO DE RECEITA</t>
  </si>
  <si>
    <t xml:space="preserve">jantotal[@[TOTAL (R$)]]</t>
  </si>
  <si>
    <t xml:space="preserve">AVANÇADA</t>
  </si>
  <si>
    <t xml:space="preserve">NÃO</t>
  </si>
  <si>
    <t xml:space="preserve">AUTOMÁTICO</t>
  </si>
  <si>
    <t xml:space="preserve">PREVISTO</t>
  </si>
  <si>
    <t xml:space="preserve">DINHEIRO</t>
  </si>
  <si>
    <t xml:space="preserve">▲ ENTRADA</t>
  </si>
  <si>
    <t xml:space="preserve">💧 ÁGUA</t>
  </si>
  <si>
    <t xml:space="preserve">🍕 ALIMENTAÇÃO</t>
  </si>
  <si>
    <t xml:space="preserve">💵 ALUGUEL</t>
  </si>
  <si>
    <t xml:space="preserve">🏅 BÔNUS</t>
  </si>
  <si>
    <t xml:space="preserve">📝 CDB</t>
  </si>
  <si>
    <t xml:space="preserve">📝 AÇÃO</t>
  </si>
  <si>
    <t xml:space="preserve">📝 COE</t>
  </si>
  <si>
    <t xml:space="preserve">FIXA</t>
  </si>
  <si>
    <t xml:space="preserve">MORADIA</t>
  </si>
  <si>
    <t xml:space="preserve">ALUGUEL</t>
  </si>
  <si>
    <t xml:space="preserve">CARTÃO DE DÉBITO</t>
  </si>
  <si>
    <t xml:space="preserve">🐶 ANIMAIS DE ESTIMAÇÃO</t>
  </si>
  <si>
    <t xml:space="preserve">💳 CARTÃO DE CRÉDITO</t>
  </si>
  <si>
    <t xml:space="preserve">💸APOSENTADORIA</t>
  </si>
  <si>
    <t xml:space="preserve">🤑 COMISSÃO</t>
  </si>
  <si>
    <t xml:space="preserve">📝 CRA</t>
  </si>
  <si>
    <t xml:space="preserve">📝 COMÓDITE</t>
  </si>
  <si>
    <t xml:space="preserve">📝 FOREX</t>
  </si>
  <si>
    <t xml:space="preserve">ASSINATURA</t>
  </si>
  <si>
    <t xml:space="preserve">NETFLIX</t>
  </si>
  <si>
    <t xml:space="preserve">CARTÃO DE CRÉDITO</t>
  </si>
  <si>
    <t xml:space="preserve">🔖 ASSINATURAS E SERVIÇOS</t>
  </si>
  <si>
    <t xml:space="preserve">✍️ CHEQUE ESPECIAL</t>
  </si>
  <si>
    <t xml:space="preserve">🎀 MESADA</t>
  </si>
  <si>
    <t xml:space="preserve">🎗️ HERANÇA</t>
  </si>
  <si>
    <t xml:space="preserve">OUTROS</t>
  </si>
  <si>
    <t xml:space="preserve">📝 CRI</t>
  </si>
  <si>
    <t xml:space="preserve">📝 CONTRATO DE FUTUROS</t>
  </si>
  <si>
    <t xml:space="preserve">📝 FUNDO DE INVESTIMENTO</t>
  </si>
  <si>
    <t xml:space="preserve">ENERGIA</t>
  </si>
  <si>
    <t xml:space="preserve">MORAR SOZINHO</t>
  </si>
  <si>
    <t xml:space="preserve">TRANSFERÊNCIA</t>
  </si>
  <si>
    <t xml:space="preserve">📱 CELULAR</t>
  </si>
  <si>
    <t xml:space="preserve">💄 CUIDADOS PESSOAIS</t>
  </si>
  <si>
    <t xml:space="preserve">💰 SALÁRIO</t>
  </si>
  <si>
    <t xml:space="preserve">💲 INVESTIMENTOS</t>
  </si>
  <si>
    <t xml:space="preserve">📝 DEBÊNTURE</t>
  </si>
  <si>
    <t xml:space="preserve">📝 CONTRATO DE OPÇÕES</t>
  </si>
  <si>
    <t xml:space="preserve">📝 NOVA EMPRESA</t>
  </si>
  <si>
    <t xml:space="preserve">INTERNET</t>
  </si>
  <si>
    <t xml:space="preserve">MÁXIMO/MINIMO</t>
  </si>
  <si>
    <t xml:space="preserve">DEPÓSITO</t>
  </si>
  <si>
    <t xml:space="preserve">📖 EDUCAÇÃO</t>
  </si>
  <si>
    <t xml:space="preserve">🤝 DOAÇÃO</t>
  </si>
  <si>
    <t xml:space="preserve">📎 OUTROS</t>
  </si>
  <si>
    <t xml:space="preserve">🧾 NOTA DE SERVIÇO</t>
  </si>
  <si>
    <t xml:space="preserve">📝 EXTERIOR</t>
  </si>
  <si>
    <t xml:space="preserve">📝 CRIPTOMOEDA</t>
  </si>
  <si>
    <t xml:space="preserve">📝 PEER TO COMPANY</t>
  </si>
  <si>
    <t xml:space="preserve">VARIÁVEL</t>
  </si>
  <si>
    <t xml:space="preserve">ENTRETENIMENTO</t>
  </si>
  <si>
    <t xml:space="preserve">FESTA</t>
  </si>
  <si>
    <t xml:space="preserve">💣</t>
  </si>
  <si>
    <t xml:space="preserve">OUTRO</t>
  </si>
  <si>
    <t xml:space="preserve">🏦 EMPRÉSTIMO</t>
  </si>
  <si>
    <t xml:space="preserve">🎁 PRESENTE</t>
  </si>
  <si>
    <t xml:space="preserve">📝 LC</t>
  </si>
  <si>
    <t xml:space="preserve">📝 ETF</t>
  </si>
  <si>
    <t xml:space="preserve">📝 PEER TO PEER</t>
  </si>
  <si>
    <t xml:space="preserve">COMPRAS</t>
  </si>
  <si>
    <t xml:space="preserve">ROUPAS</t>
  </si>
  <si>
    <t xml:space="preserve">🐄</t>
  </si>
  <si>
    <t xml:space="preserve">💡 ENERGIA</t>
  </si>
  <si>
    <t xml:space="preserve">🎭 LAZER</t>
  </si>
  <si>
    <t xml:space="preserve">👷‍♀️ TRABALHO TEMPORÁRIO</t>
  </si>
  <si>
    <t xml:space="preserve">📝 LCA</t>
  </si>
  <si>
    <t xml:space="preserve">📝 PREVIDÊNCIA PRIVADA</t>
  </si>
  <si>
    <t xml:space="preserve">PRESENTES</t>
  </si>
  <si>
    <t xml:space="preserve">NATAL</t>
  </si>
  <si>
    <t xml:space="preserve">💎</t>
  </si>
  <si>
    <t xml:space="preserve">👨‍👩‍👧 FAMÍLIA</t>
  </si>
  <si>
    <t xml:space="preserve">🛒 MERCADO</t>
  </si>
  <si>
    <t xml:space="preserve">📝 LCI</t>
  </si>
  <si>
    <t xml:space="preserve">📝 FII</t>
  </si>
  <si>
    <t xml:space="preserve">🚑</t>
  </si>
  <si>
    <t xml:space="preserve">🔢 IMPOSTOS</t>
  </si>
  <si>
    <t xml:space="preserve">🎁 PRESENTES</t>
  </si>
  <si>
    <t xml:space="preserve">📝 TESOURO DIRETO</t>
  </si>
  <si>
    <t xml:space="preserve">📝 MOEDA</t>
  </si>
  <si>
    <t xml:space="preserve">🖱️ INTERNET</t>
  </si>
  <si>
    <t xml:space="preserve">💊 SAÚDE</t>
  </si>
  <si>
    <t xml:space="preserve">🏠 MORADIA</t>
  </si>
  <si>
    <t xml:space="preserve">🚍 TRANSPORTE</t>
  </si>
  <si>
    <t xml:space="preserve">DESAFIO AUTOMÁTICO</t>
  </si>
  <si>
    <t xml:space="preserve">🛍️ VESTUÁRIO</t>
  </si>
  <si>
    <t xml:space="preserve">📞 TELEFONE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</si>
</sst>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-&quot;R$&quot;* #,##0.00_-;&quot;-R$&quot;* #,##0.00_-;_-&quot;R$&quot;* \-??_-;_-@_-"/>
    <numFmt numFmtId="166" formatCode="0%"/>
    <numFmt numFmtId="167" formatCode="0.0%"/>
    <numFmt numFmtId="168" formatCode="0.00"/>
    <numFmt numFmtId="169" formatCode="_-&quot;R$&quot;* #,##0_-;&quot;-R$&quot;* #,##0_-;_-&quot;R$&quot;* \-??_-;_-@_-"/>
    <numFmt numFmtId="170" formatCode="0"/>
    <numFmt numFmtId="171" formatCode="d/m;@"/>
    <numFmt numFmtId="172" formatCode="[&gt;=1000]#,##0,&quot; K&quot;;0"/>
    <numFmt numFmtId="173" formatCode="General"/>
    <numFmt numFmtId="174" formatCode="#,##0"/>
    <numFmt numFmtId="175" formatCode="_(&quot;R$&quot;* #,##0_);_(&quot;R$&quot;* \(#,##0\);_(&quot;R$&quot;* \-_);_(@_)"/>
  </numFmts>
  <fonts count="6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04040"/>
      <name val="Calibri"/>
      <family val="2"/>
      <charset val="1"/>
    </font>
    <font>
      <b val="true"/>
      <sz val="40"/>
      <color rgb="FFFFFFFF"/>
      <name val="Calibri"/>
      <family val="2"/>
      <charset val="1"/>
    </font>
    <font>
      <b val="true"/>
      <sz val="18"/>
      <color rgb="FF0070C0"/>
      <name val="Calibri"/>
      <family val="0"/>
    </font>
    <font>
      <b val="true"/>
      <sz val="14"/>
      <color rgb="FFFFFFFF"/>
      <name val="Calibri"/>
      <family val="0"/>
    </font>
    <font>
      <sz val="11"/>
      <color rgb="FFE7E6E6"/>
      <name val="Calibri"/>
      <family val="2"/>
      <charset val="1"/>
    </font>
    <font>
      <b val="true"/>
      <sz val="22"/>
      <color rgb="FFFFFFFF"/>
      <name val="Calibri"/>
      <family val="2"/>
      <charset val="1"/>
    </font>
    <font>
      <sz val="11"/>
      <color rgb="FF00A6F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4"/>
      <color rgb="FF1583F7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583F7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1583F7"/>
      <name val="Calibri"/>
      <family val="2"/>
      <charset val="1"/>
    </font>
    <font>
      <sz val="11"/>
      <color rgb="FFFFFFFF"/>
      <name val="Calibri"/>
      <family val="0"/>
    </font>
    <font>
      <b val="true"/>
      <sz val="11"/>
      <color rgb="FFFFFFFF"/>
      <name val="Calibri"/>
      <family val="0"/>
    </font>
    <font>
      <b val="true"/>
      <u val="single"/>
      <sz val="11"/>
      <color rgb="FFFFFFFF"/>
      <name val="Calibri"/>
      <family val="0"/>
    </font>
    <font>
      <u val="single"/>
      <sz val="11"/>
      <color rgb="FF0563C1"/>
      <name val="Calibri"/>
      <family val="2"/>
      <charset val="1"/>
    </font>
    <font>
      <sz val="14"/>
      <color rgb="FF00B0F0"/>
      <name val="Calibri"/>
      <family val="0"/>
    </font>
    <font>
      <sz val="9"/>
      <color rgb="FF000000"/>
      <name val="Calibri"/>
      <family val="2"/>
      <charset val="1"/>
    </font>
    <font>
      <sz val="9"/>
      <color rgb="FFFFFFFF"/>
      <name val="Calibri"/>
      <family val="2"/>
      <charset val="1"/>
    </font>
    <font>
      <sz val="24"/>
      <color rgb="FF007CA8"/>
      <name val="Calibri"/>
      <family val="2"/>
      <charset val="1"/>
    </font>
    <font>
      <sz val="22"/>
      <color rgb="FFFFFFFF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8"/>
      <color rgb="FFFFFFFF"/>
      <name val="Calibri"/>
      <family val="2"/>
      <charset val="1"/>
    </font>
    <font>
      <sz val="28"/>
      <color rgb="FF000000"/>
      <name val="Calibri"/>
      <family val="2"/>
      <charset val="1"/>
    </font>
    <font>
      <sz val="8"/>
      <color rgb="FF7F7F7F"/>
      <name val="Calibri"/>
      <family val="2"/>
      <charset val="1"/>
    </font>
    <font>
      <b val="true"/>
      <sz val="9"/>
      <color rgb="FF7F7F7F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2"/>
      <color rgb="FF007CA8"/>
      <name val="Calibri"/>
      <family val="2"/>
      <charset val="1"/>
    </font>
    <font>
      <b val="true"/>
      <sz val="10"/>
      <color rgb="FFFFFFFF"/>
      <name val="Calibri"/>
      <family val="0"/>
    </font>
    <font>
      <sz val="9"/>
      <color rgb="FFFFFFFF"/>
      <name val="Calibri"/>
      <family val="0"/>
    </font>
    <font>
      <sz val="11"/>
      <color rgb="FF00A5F0"/>
      <name val="Calibri"/>
      <family val="2"/>
      <charset val="1"/>
    </font>
    <font>
      <b val="true"/>
      <sz val="24"/>
      <color rgb="FFFFFFFF"/>
      <name val="Calibri"/>
      <family val="2"/>
      <charset val="1"/>
    </font>
    <font>
      <sz val="20"/>
      <color rgb="FFFFFFFF"/>
      <name val="Calibri"/>
      <family val="2"/>
      <charset val="1"/>
    </font>
    <font>
      <b val="true"/>
      <sz val="11"/>
      <color rgb="FF00A5F0"/>
      <name val="Calibri"/>
      <family val="2"/>
      <charset val="1"/>
    </font>
    <font>
      <sz val="10"/>
      <color rgb="FF00A5F0"/>
      <name val="Calibri"/>
      <family val="2"/>
      <charset val="1"/>
    </font>
    <font>
      <sz val="9"/>
      <color rgb="FF00A5F0"/>
      <name val="Calibri"/>
      <family val="2"/>
      <charset val="1"/>
    </font>
    <font>
      <b val="true"/>
      <sz val="20"/>
      <color rgb="FF0070C0"/>
      <name val="Calibri"/>
      <family val="0"/>
    </font>
    <font>
      <b val="true"/>
      <sz val="20"/>
      <color rgb="FFA5A5A5"/>
      <name val="Calibri"/>
      <family val="0"/>
    </font>
    <font>
      <sz val="12"/>
      <color rgb="FF808080"/>
      <name val="Calibri"/>
      <family val="0"/>
    </font>
    <font>
      <b val="true"/>
      <sz val="12"/>
      <color rgb="FF808080"/>
      <name val="Calibri"/>
      <family val="0"/>
    </font>
    <font>
      <sz val="10"/>
      <color rgb="FF000000"/>
      <name val="Calibri"/>
      <family val="2"/>
    </font>
    <font>
      <sz val="11"/>
      <color rgb="FF0070C0"/>
      <name val="Calibri"/>
      <family val="2"/>
    </font>
    <font>
      <sz val="9"/>
      <color rgb="FF0070C0"/>
      <name val="Calibri"/>
      <family val="2"/>
    </font>
    <font>
      <sz val="11"/>
      <color rgb="FF00B0F0"/>
      <name val="Calibri"/>
      <family val="2"/>
    </font>
    <font>
      <b val="true"/>
      <sz val="10"/>
      <color rgb="FF0070C0"/>
      <name val="Calibri"/>
      <family val="0"/>
    </font>
    <font>
      <b val="true"/>
      <sz val="12"/>
      <color rgb="FF595959"/>
      <name val="Calibri"/>
      <family val="2"/>
    </font>
    <font>
      <sz val="9"/>
      <color rgb="FF404040"/>
      <name val="Calibri"/>
      <family val="2"/>
    </font>
    <font>
      <sz val="11"/>
      <color rgb="FF000000"/>
      <name val="Calibri"/>
      <family val="0"/>
    </font>
    <font>
      <sz val="11"/>
      <color rgb="FFE7E6E6"/>
      <name val="Calibri"/>
      <family val="0"/>
    </font>
    <font>
      <sz val="11"/>
      <name val="Times New Roman"/>
      <family val="1"/>
    </font>
    <font>
      <b val="true"/>
      <sz val="8"/>
      <color rgb="FFFFFFFF"/>
      <name val="Calibri"/>
      <family val="2"/>
    </font>
    <font>
      <b val="true"/>
      <sz val="20"/>
      <color rgb="FF595959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808080"/>
      <name val="Calibri"/>
      <family val="2"/>
    </font>
    <font>
      <sz val="10"/>
      <color rgb="FF595959"/>
      <name val="Calibri"/>
      <family val="2"/>
    </font>
    <font>
      <b val="true"/>
      <u val="single"/>
      <sz val="11"/>
      <color rgb="FF808080"/>
      <name val="Calibri"/>
      <family val="0"/>
    </font>
    <font>
      <b val="true"/>
      <u val="single"/>
      <sz val="10"/>
      <color rgb="FFFFFFFF"/>
      <name val="Calibri"/>
      <family val="0"/>
    </font>
    <font>
      <sz val="16"/>
      <color rgb="FF595959"/>
      <name val="Calibri"/>
      <family val="0"/>
    </font>
    <font>
      <b val="true"/>
      <sz val="16"/>
      <color rgb="FF595959"/>
      <name val="Calibri"/>
      <family val="0"/>
    </font>
    <font>
      <b val="true"/>
      <u val="single"/>
      <sz val="10.5"/>
      <color rgb="FFFFFFFF"/>
      <name val="Calibri"/>
      <family val="0"/>
    </font>
  </fonts>
  <fills count="14">
    <fill>
      <patternFill patternType="none"/>
    </fill>
    <fill>
      <patternFill patternType="gray125"/>
    </fill>
    <fill>
      <patternFill patternType="solid">
        <fgColor rgb="FF00A5F0"/>
        <bgColor rgb="FF00A6F0"/>
      </patternFill>
    </fill>
    <fill>
      <patternFill patternType="solid">
        <fgColor rgb="FFFFFFFF"/>
        <bgColor rgb="FFFFF2CC"/>
      </patternFill>
    </fill>
    <fill>
      <patternFill patternType="solid">
        <fgColor rgb="FF00A6F0"/>
        <bgColor rgb="FF00A5F0"/>
      </patternFill>
    </fill>
    <fill>
      <patternFill patternType="solid">
        <fgColor rgb="FF1583F7"/>
        <bgColor rgb="FF0070C0"/>
      </patternFill>
    </fill>
    <fill>
      <patternFill patternType="solid">
        <fgColor rgb="FF4472C4"/>
        <bgColor rgb="FF1583F7"/>
      </patternFill>
    </fill>
    <fill>
      <patternFill patternType="solid">
        <fgColor rgb="FF0070C0"/>
        <bgColor rgb="FF0563C1"/>
      </patternFill>
    </fill>
    <fill>
      <patternFill patternType="solid">
        <fgColor rgb="FF69D8FF"/>
        <bgColor rgb="FFBFBFBF"/>
      </patternFill>
    </fill>
    <fill>
      <patternFill patternType="solid">
        <fgColor rgb="FF00B0F0"/>
        <bgColor rgb="FF00A6F0"/>
      </patternFill>
    </fill>
    <fill>
      <patternFill patternType="solid">
        <fgColor rgb="FFFFC000"/>
        <bgColor rgb="FFFF9900"/>
      </patternFill>
    </fill>
    <fill>
      <patternFill patternType="solid">
        <fgColor rgb="FFFFEBAB"/>
        <bgColor rgb="FFFFF2CC"/>
      </patternFill>
    </fill>
    <fill>
      <patternFill patternType="solid">
        <fgColor rgb="FF007CA8"/>
        <bgColor rgb="FF0070C0"/>
      </patternFill>
    </fill>
    <fill>
      <patternFill patternType="solid">
        <fgColor rgb="FFFFFF00"/>
        <bgColor rgb="FFFFFF00"/>
      </patternFill>
    </fill>
  </fills>
  <borders count="43">
    <border diagonalUp="false" diagonalDown="false">
      <left/>
      <right/>
      <top/>
      <bottom/>
      <diagonal/>
    </border>
    <border diagonalUp="false" diagonalDown="false">
      <left/>
      <right/>
      <top style="medium">
        <color rgb="FF00B0F0"/>
      </top>
      <bottom/>
      <diagonal/>
    </border>
    <border diagonalUp="false" diagonalDown="false">
      <left style="medium">
        <color rgb="FF00B0F0"/>
      </left>
      <right/>
      <top style="medium">
        <color rgb="FF00B0F0"/>
      </top>
      <bottom/>
      <diagonal/>
    </border>
    <border diagonalUp="false" diagonalDown="false">
      <left/>
      <right style="medium">
        <color rgb="FF00B0F0"/>
      </right>
      <top style="medium">
        <color rgb="FF00B0F0"/>
      </top>
      <bottom/>
      <diagonal/>
    </border>
    <border diagonalUp="false" diagonalDown="false">
      <left/>
      <right style="medium">
        <color rgb="FF00B0F0"/>
      </right>
      <top/>
      <bottom style="medium">
        <color rgb="FF00B0F0"/>
      </bottom>
      <diagonal/>
    </border>
    <border diagonalUp="false" diagonalDown="false">
      <left style="medium">
        <color rgb="FF00B0F0"/>
      </left>
      <right/>
      <top/>
      <bottom/>
      <diagonal/>
    </border>
    <border diagonalUp="false" diagonalDown="false"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 diagonalUp="false" diagonalDown="false">
      <left/>
      <right style="medium">
        <color rgb="FF00B0F0"/>
      </right>
      <top/>
      <bottom/>
      <diagonal/>
    </border>
    <border diagonalUp="false" diagonalDown="false">
      <left/>
      <right/>
      <top/>
      <bottom style="medium">
        <color rgb="FF00B0F0"/>
      </bottom>
      <diagonal/>
    </border>
    <border diagonalUp="false" diagonalDown="false">
      <left style="medium">
        <color rgb="FF00B0F0"/>
      </left>
      <right/>
      <top/>
      <bottom style="medium">
        <color rgb="FF00B0F0"/>
      </bottom>
      <diagonal/>
    </border>
    <border diagonalUp="false" diagonalDown="false">
      <left/>
      <right style="thin">
        <color rgb="FF00A5F0"/>
      </right>
      <top/>
      <bottom/>
      <diagonal/>
    </border>
    <border diagonalUp="false" diagonalDown="false">
      <left style="thin">
        <color rgb="FF0070C0"/>
      </left>
      <right/>
      <top/>
      <bottom/>
      <diagonal/>
    </border>
    <border diagonalUp="false" diagonalDown="false">
      <left/>
      <right style="thin">
        <color rgb="FF0070C0"/>
      </right>
      <top/>
      <bottom/>
      <diagonal/>
    </border>
    <border diagonalUp="false" diagonalDown="false">
      <left style="thin">
        <color rgb="FF00A5F0"/>
      </left>
      <right style="thin">
        <color rgb="FF00A5F0"/>
      </right>
      <top/>
      <bottom/>
      <diagonal/>
    </border>
    <border diagonalUp="false" diagonalDown="false">
      <left style="thin">
        <color rgb="FF00A5F0"/>
      </left>
      <right style="thin">
        <color rgb="FF00A6F0"/>
      </right>
      <top/>
      <bottom/>
      <diagonal/>
    </border>
    <border diagonalUp="false" diagonalDown="false">
      <left style="thin">
        <color rgb="FF00A5F0"/>
      </left>
      <right style="thin">
        <color rgb="FF0070C0"/>
      </right>
      <top/>
      <bottom/>
      <diagonal/>
    </border>
    <border diagonalUp="false" diagonalDown="false">
      <left/>
      <right/>
      <top style="thick">
        <color rgb="FF00B0F0"/>
      </top>
      <bottom/>
      <diagonal/>
    </border>
    <border diagonalUp="false" diagonalDown="false">
      <left/>
      <right/>
      <top style="thick">
        <color rgb="FF00B0F0"/>
      </top>
      <bottom style="thick">
        <color rgb="FF00B0F0"/>
      </bottom>
      <diagonal/>
    </border>
    <border diagonalUp="false" diagonalDown="false">
      <left style="thick">
        <color rgb="FF00B0F0"/>
      </left>
      <right/>
      <top/>
      <bottom/>
      <diagonal/>
    </border>
    <border diagonalUp="false" diagonalDown="false">
      <left/>
      <right/>
      <top/>
      <bottom style="thick">
        <color rgb="FF00B0F0"/>
      </bottom>
      <diagonal/>
    </border>
    <border diagonalUp="false" diagonalDown="false">
      <left/>
      <right style="thick">
        <color rgb="FF00B0F0"/>
      </right>
      <top/>
      <bottom style="thick">
        <color rgb="FF00B0F0"/>
      </bottom>
      <diagonal/>
    </border>
    <border diagonalUp="false" diagonalDown="false">
      <left/>
      <right style="thin">
        <color rgb="FF69D8FF"/>
      </right>
      <top/>
      <bottom style="thick">
        <color rgb="FF00B0F0"/>
      </bottom>
      <diagonal/>
    </border>
    <border diagonalUp="false" diagonalDown="false">
      <left style="thin">
        <color rgb="FF69D8FF"/>
      </left>
      <right style="thin">
        <color rgb="FF69D8FF"/>
      </right>
      <top/>
      <bottom style="thick">
        <color rgb="FF00B0F0"/>
      </bottom>
      <diagonal/>
    </border>
    <border diagonalUp="false" diagonalDown="false">
      <left style="thick">
        <color rgb="FF007CA8"/>
      </left>
      <right style="thick">
        <color rgb="FF007CA8"/>
      </right>
      <top style="thick">
        <color rgb="FF007CA8"/>
      </top>
      <bottom style="thick">
        <color rgb="FF007CA8"/>
      </bottom>
      <diagonal/>
    </border>
    <border diagonalUp="false" diagonalDown="false">
      <left/>
      <right style="thick">
        <color rgb="FF00B0F0"/>
      </right>
      <top/>
      <bottom/>
      <diagonal/>
    </border>
    <border diagonalUp="false" diagonalDown="false">
      <left/>
      <right style="thick">
        <color rgb="FF007CA8"/>
      </right>
      <top style="thick">
        <color rgb="FF00B0F0"/>
      </top>
      <bottom/>
      <diagonal/>
    </border>
    <border diagonalUp="false" diagonalDown="false">
      <left/>
      <right style="thick">
        <color rgb="FF007CA8"/>
      </right>
      <top/>
      <bottom/>
      <diagonal/>
    </border>
    <border diagonalUp="false" diagonalDown="false">
      <left style="thick">
        <color rgb="FF007CA8"/>
      </left>
      <right/>
      <top style="thick">
        <color rgb="FF007CA8"/>
      </top>
      <bottom style="thick">
        <color rgb="FF007CA8"/>
      </bottom>
      <diagonal/>
    </border>
    <border diagonalUp="false" diagonalDown="false">
      <left/>
      <right/>
      <top style="thick">
        <color rgb="FF007CA8"/>
      </top>
      <bottom style="thick">
        <color rgb="FF007CA8"/>
      </bottom>
      <diagonal/>
    </border>
    <border diagonalUp="false" diagonalDown="false">
      <left/>
      <right style="thick">
        <color rgb="FF007CA8"/>
      </right>
      <top style="thick">
        <color rgb="FF007CA8"/>
      </top>
      <bottom style="thick">
        <color rgb="FF007CA8"/>
      </bottom>
      <diagonal/>
    </border>
    <border diagonalUp="false" diagonalDown="false">
      <left style="thick">
        <color rgb="FF007CA8"/>
      </left>
      <right style="thick">
        <color rgb="FF007CA8"/>
      </right>
      <top style="thick">
        <color rgb="FF007CA8"/>
      </top>
      <bottom/>
      <diagonal/>
    </border>
    <border diagonalUp="false" diagonalDown="false">
      <left/>
      <right style="thick">
        <color rgb="FF00B0F0"/>
      </right>
      <top style="thick">
        <color rgb="FF00B0F0"/>
      </top>
      <bottom/>
      <diagonal/>
    </border>
    <border diagonalUp="false" diagonalDown="false">
      <left style="thick">
        <color rgb="FF00B0F0"/>
      </left>
      <right/>
      <top style="thick">
        <color rgb="FF00B0F0"/>
      </top>
      <bottom/>
      <diagonal/>
    </border>
    <border diagonalUp="false" diagonalDown="false"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 diagonalUp="false" diagonalDown="false"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 diagonalUp="false" diagonalDown="false">
      <left style="thick">
        <color rgb="FF00B0F0"/>
      </left>
      <right style="thick">
        <color rgb="FF00B0F0"/>
      </right>
      <top/>
      <bottom/>
      <diagonal/>
    </border>
    <border diagonalUp="false" diagonalDown="false">
      <left style="thick">
        <color rgb="FF00B0F0"/>
      </left>
      <right/>
      <top/>
      <bottom style="thick">
        <color rgb="FF00B0F0"/>
      </bottom>
      <diagonal/>
    </border>
    <border diagonalUp="false" diagonalDown="false"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 diagonalUp="false" diagonalDown="false"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 diagonalUp="false" diagonalDown="false">
      <left style="thick">
        <color rgb="FF00B0F0"/>
      </left>
      <right style="thick">
        <color rgb="FF00B0F0"/>
      </right>
      <top/>
      <bottom style="thick">
        <color rgb="FF00B0F0"/>
      </bottom>
      <diagonal/>
    </border>
    <border diagonalUp="false" diagonalDown="false">
      <left style="thin">
        <color rgb="FF69D8FF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 diagonalUp="false" diagonalDown="false">
      <left style="thin">
        <color rgb="FF69D8FF"/>
      </left>
      <right style="thick">
        <color rgb="FF00B0F0"/>
      </right>
      <top style="thick">
        <color rgb="FF00B0F0"/>
      </top>
      <bottom/>
      <diagonal/>
    </border>
    <border diagonalUp="false" diagonalDown="false">
      <left style="thin">
        <color rgb="FF69D8FF"/>
      </left>
      <right style="thick">
        <color rgb="FF00B0F0"/>
      </right>
      <top/>
      <bottom style="thick">
        <color rgb="FF00B0F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true" indent="15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3" fillId="5" borderId="4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4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5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5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6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13" fillId="6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3" fillId="6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false" indent="1" shrinkToFit="false"/>
      <protection locked="false" hidden="false"/>
    </xf>
    <xf numFmtId="164" fontId="0" fillId="0" borderId="11" xfId="0" applyFont="false" applyBorder="true" applyAlignment="true" applyProtection="true">
      <alignment horizontal="left" vertical="center" textRotation="0" wrapText="false" indent="1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9" fontId="0" fillId="0" borderId="0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3" borderId="1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true" indent="9" shrinkToFit="false"/>
      <protection locked="true" hidden="false"/>
    </xf>
    <xf numFmtId="169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7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7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71" fontId="0" fillId="0" borderId="1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0" fillId="0" borderId="13" xfId="0" applyFont="false" applyBorder="true" applyAlignment="true" applyProtection="true">
      <alignment horizontal="left" vertical="center" textRotation="0" wrapText="false" indent="1" shrinkToFit="false"/>
      <protection locked="false" hidden="false"/>
    </xf>
    <xf numFmtId="169" fontId="0" fillId="0" borderId="13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0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1" fontId="0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9" fontId="0" fillId="0" borderId="13" xfId="17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1" fontId="0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3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9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3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8" fillId="3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0" xfId="1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3" fillId="1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3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2" borderId="2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2" fontId="31" fillId="0" borderId="1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1" fillId="0" borderId="2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0" borderId="1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4" fillId="3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1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1" fillId="0" borderId="2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23" fillId="12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8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2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2" fontId="33" fillId="8" borderId="2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8" borderId="2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8" borderId="2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7" fillId="8" borderId="2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3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24" fillId="3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24" fillId="3" borderId="0" xfId="19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8" fillId="3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2" fontId="23" fillId="3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2" borderId="3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27" fillId="1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2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9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4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35" fillId="9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1" fillId="0" borderId="3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1" fillId="0" borderId="1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0" borderId="3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1" fillId="0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1" fillId="0" borderId="1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9" borderId="2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8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7" fillId="9" borderId="3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2" fontId="33" fillId="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8" borderId="1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7" fillId="8" borderId="3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9" borderId="3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3" fillId="9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9" borderId="3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23" fillId="3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9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9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8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9" borderId="3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3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9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9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1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12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2" borderId="23" xfId="1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3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12" borderId="2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3" fillId="3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23" fillId="12" borderId="2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3" fillId="8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12" borderId="2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8" fillId="3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28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12" borderId="3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7" fillId="1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3" fillId="9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9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9" borderId="31" xfId="1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3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4" fillId="0" borderId="3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35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1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1" fillId="0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1" fillId="0" borderId="2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0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9" borderId="2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3" fillId="8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7" fillId="9" borderId="3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2" fontId="33" fillId="8" borderId="3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9" borderId="3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9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9" borderId="19" xfId="1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3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9" borderId="20" xfId="1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3" fillId="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9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9" borderId="17" xfId="1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3" fillId="9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39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2" fillId="0" borderId="2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9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9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9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9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8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38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3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2" fillId="4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2" fillId="4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2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2" fillId="4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8" fillId="4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2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38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4" borderId="0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2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9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4" borderId="0" xfId="21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36">
    <dxf>
      <font>
        <color rgb="FFFFFFFF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2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C00000"/>
      </font>
    </dxf>
    <dxf>
      <font>
        <color rgb="FF70AD47"/>
      </font>
    </dxf>
    <dxf>
      <font>
        <b val="1"/>
        <i val="0"/>
        <color rgb="FF0070C0"/>
      </font>
    </dxf>
    <dxf>
      <font>
        <b val="1"/>
        <i val="0"/>
        <color rgb="FFA825AB"/>
      </font>
    </dxf>
    <dxf>
      <fill>
        <patternFill>
          <bgColor rgb="FFFFF2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C00000"/>
      </font>
    </dxf>
    <dxf>
      <font>
        <color rgb="FF70AD47"/>
      </font>
    </dxf>
    <dxf>
      <font>
        <b val="1"/>
        <i val="0"/>
        <color rgb="FF0070C0"/>
      </font>
    </dxf>
    <dxf>
      <font>
        <b val="1"/>
        <i val="0"/>
        <color rgb="FFA825AB"/>
      </font>
    </dxf>
    <dxf>
      <fill>
        <patternFill>
          <bgColor rgb="FFFFF2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i val="0"/>
        <color rgb="FF0070C0"/>
      </font>
    </dxf>
    <dxf>
      <font>
        <b val="1"/>
        <i val="0"/>
        <color rgb="FF00B050"/>
      </font>
    </dxf>
    <dxf>
      <font>
        <b val="1"/>
        <i val="0"/>
        <color rgb="FFC00000"/>
      </font>
    </dxf>
    <dxf>
      <font>
        <color rgb="FFA825AB"/>
      </font>
    </dxf>
    <dxf>
      <font>
        <color rgb="FF4472C4"/>
      </font>
    </dxf>
    <dxf>
      <font>
        <color rgb="FF70AD47"/>
      </font>
    </dxf>
    <dxf>
      <font>
        <color rgb="FFC00000"/>
      </font>
    </dxf>
    <dxf>
      <font>
        <strike val="1"/>
      </font>
    </dxf>
    <dxf>
      <font>
        <b val="1"/>
        <i val="0"/>
        <color rgb="FFA825AB"/>
      </font>
    </dxf>
    <dxf>
      <font>
        <b val="1"/>
        <i val="0"/>
        <color rgb="FF0070C0"/>
      </font>
    </dxf>
    <dxf>
      <font>
        <b val="1"/>
        <i val="0"/>
        <color rgb="FFA825AB"/>
      </font>
    </dxf>
    <dxf>
      <font>
        <b val="1"/>
        <i val="0"/>
        <color rgb="FF00B050"/>
      </font>
    </dxf>
    <dxf>
      <font>
        <b val="1"/>
        <i val="0"/>
        <color rgb="FFC00000"/>
      </font>
    </dxf>
    <dxf>
      <font>
        <color rgb="FFA825AB"/>
      </font>
    </dxf>
    <dxf>
      <font>
        <color rgb="FF4472C4"/>
      </font>
    </dxf>
    <dxf>
      <font>
        <b val="1"/>
        <i val="0"/>
        <color rgb="FF00B050"/>
      </font>
    </dxf>
    <dxf>
      <font>
        <b val="1"/>
        <i val="0"/>
        <color rgb="FFC00000"/>
      </font>
    </dxf>
    <dxf>
      <font>
        <color rgb="FFA825AB"/>
      </font>
    </dxf>
    <dxf>
      <font>
        <color rgb="FF4472C4"/>
      </font>
    </dxf>
    <dxf>
      <font>
        <color rgb="FFBFBFBF"/>
      </font>
    </dxf>
    <dxf>
      <font>
        <color rgb="FFBFBFB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A5F0"/>
      <rgbColor rgb="FF800000"/>
      <rgbColor rgb="FF008000"/>
      <rgbColor rgb="FF000080"/>
      <rgbColor rgb="FF7F7F7F"/>
      <rgbColor rgb="FF800080"/>
      <rgbColor rgb="FF007CA8"/>
      <rgbColor rgb="FFBFBFBF"/>
      <rgbColor rgb="FF808080"/>
      <rgbColor rgb="FFA5A5A5"/>
      <rgbColor rgb="FF7030A0"/>
      <rgbColor rgb="FFFFF2CC"/>
      <rgbColor rgb="FFE7E6E6"/>
      <rgbColor rgb="FF660066"/>
      <rgbColor rgb="FFFF8989"/>
      <rgbColor rgb="FF0563C1"/>
      <rgbColor rgb="FF8CC168"/>
      <rgbColor rgb="FF000080"/>
      <rgbColor rgb="FFFF00FF"/>
      <rgbColor rgb="FFFFFF00"/>
      <rgbColor rgb="FF00FFFF"/>
      <rgbColor rgb="FF800080"/>
      <rgbColor rgb="FF800000"/>
      <rgbColor rgb="FF0070C0"/>
      <rgbColor rgb="FF0000FF"/>
      <rgbColor rgb="FF00B0F0"/>
      <rgbColor rgb="FFCCFFFF"/>
      <rgbColor rgb="FFCCFFCC"/>
      <rgbColor rgb="FFFFEBAB"/>
      <rgbColor rgb="FF69D8FF"/>
      <rgbColor rgb="FFFF99CC"/>
      <rgbColor rgb="FFCC99FF"/>
      <rgbColor rgb="FFF8CBAD"/>
      <rgbColor rgb="FF4472C4"/>
      <rgbColor rgb="FF00A6F0"/>
      <rgbColor rgb="FF92D050"/>
      <rgbColor rgb="FFFFC000"/>
      <rgbColor rgb="FFFF9900"/>
      <rgbColor rgb="FFFF5757"/>
      <rgbColor rgb="FF595959"/>
      <rgbColor rgb="FF8B8B8B"/>
      <rgbColor rgb="FF003366"/>
      <rgbColor rgb="FF00B050"/>
      <rgbColor rgb="FF003300"/>
      <rgbColor rgb="FF404040"/>
      <rgbColor rgb="FF993300"/>
      <rgbColor rgb="FF993366"/>
      <rgbColor rgb="FF1583F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'⚙️' #;ref!</c:f>
              <c:strCache>
                <c:ptCount val="1"/>
                <c:pt idx="0">
                  <c:v>'⚙️'!#</c:v>
                </c:pt>
              </c:strCache>
            </c:strRef>
          </c:tx>
          <c:spPr>
            <a:solidFill>
              <a:srgbClr val="ff5757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5757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9C881B77-63AB-4B66-89B5-19DEB655AE89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/>
                    </a:fld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'⚙️'!$L$23</c:f>
              <c:strCache>
                <c:ptCount val="1"/>
                <c:pt idx="0">
                  <c:v>10%</c:v>
                </c:pt>
              </c:strCache>
            </c:strRef>
          </c:cat>
          <c:val>
            <c:numRef>
              <c:f>'📈'!$AL$37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1"/>
          <c:order val="1"/>
          <c:tx>
            <c:strRef>
              <c:f>'⚙️' #;ref!</c:f>
              <c:strCache>
                <c:ptCount val="1"/>
                <c:pt idx="0">
                  <c:v>'⚙️'!#</c:v>
                </c:pt>
              </c:strCache>
            </c:strRef>
          </c:tx>
          <c:spPr>
            <a:solidFill>
              <a:srgbClr val="ff5757">
                <a:alpha val="80000"/>
              </a:srgbClr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5757">
                  <a:alpha val="80000"/>
                </a:srgbClr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26D8EDF2-A06B-467D-8DCE-191400D79F4C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/>
                    </a:fld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'⚙️'!$L$23</c:f>
              <c:strCache>
                <c:ptCount val="1"/>
                <c:pt idx="0">
                  <c:v>10%</c:v>
                </c:pt>
              </c:strCache>
            </c:strRef>
          </c:cat>
          <c:val>
            <c:numRef>
              <c:f>'📈'!$AT$37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'⚙️' #;ref!</c:f>
              <c:strCache>
                <c:ptCount val="1"/>
                <c:pt idx="0">
                  <c:v>'⚙️'!#</c:v>
                </c:pt>
              </c:strCache>
            </c:strRef>
          </c:tx>
          <c:spPr>
            <a:solidFill>
              <a:srgbClr val="ff8989">
                <a:alpha val="60000"/>
              </a:srgbClr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8989">
                  <a:alpha val="60000"/>
                </a:srgbClr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42115FAA-CA7D-4C8B-94FA-A41802A292AF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/>
                    </a:fld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'⚙️'!$L$23</c:f>
              <c:strCache>
                <c:ptCount val="1"/>
                <c:pt idx="0">
                  <c:v>10%</c:v>
                </c:pt>
              </c:strCache>
            </c:strRef>
          </c:cat>
          <c:val>
            <c:numRef>
              <c:f>'📈'!$AX$37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'⚙️' #;ref!</c:f>
              <c:strCache>
                <c:ptCount val="1"/>
                <c:pt idx="0">
                  <c:v>'⚙️'!#</c:v>
                </c:pt>
              </c:strCache>
            </c:strRef>
          </c:tx>
          <c:spPr>
            <a:solidFill>
              <a:srgbClr val="ff8989">
                <a:alpha val="40000"/>
              </a:srgbClr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8989">
                  <a:alpha val="40000"/>
                </a:srgbClr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45B9159A-15A0-418D-9B37-0BDB3423F689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/>
                    </a:fld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'⚙️'!$L$23</c:f>
              <c:strCache>
                <c:ptCount val="1"/>
                <c:pt idx="0">
                  <c:v>10%</c:v>
                </c:pt>
              </c:strCache>
            </c:strRef>
          </c:cat>
          <c:val>
            <c:numRef>
              <c:f>'📈'!$AP$37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4"/>
          <c:order val="4"/>
          <c:tx>
            <c:strRef>
              <c:f>'⚙️' #;ref!</c:f>
              <c:strCache>
                <c:ptCount val="1"/>
                <c:pt idx="0">
                  <c:v>'⚙️'!#</c:v>
                </c:pt>
              </c:strCache>
            </c:strRef>
          </c:tx>
          <c:spPr>
            <a:solidFill>
              <a:srgbClr val="7030a0">
                <a:alpha val="70000"/>
              </a:srgbClr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7030a0">
                  <a:alpha val="70000"/>
                </a:srgbClr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1C0A24A3-6E22-4568-9F83-0BB446753EA7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/>
                    </a:fld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'⚙️'!$L$23</c:f>
              <c:strCache>
                <c:ptCount val="1"/>
                <c:pt idx="0">
                  <c:v>10%</c:v>
                </c:pt>
              </c:strCache>
            </c:strRef>
          </c:cat>
          <c:val>
            <c:numRef>
              <c:f>'📈'!$BB$37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5"/>
          <c:order val="5"/>
          <c:tx>
            <c:strRef>
              <c:f>'⚙️' #;ref!</c:f>
              <c:strCache>
                <c:ptCount val="1"/>
                <c:pt idx="0">
                  <c:v>'⚙️'!#</c:v>
                </c:pt>
              </c:strCache>
            </c:strRef>
          </c:tx>
          <c:spPr>
            <a:solidFill>
              <a:srgbClr val="00b0f0">
                <a:alpha val="40000"/>
              </a:srgbClr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b0f0">
                  <a:alpha val="40000"/>
                </a:srgbClr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69FA306A-25EE-44D8-9EFA-71D4EFF31597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/>
                    </a:fld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'⚙️'!$L$23</c:f>
              <c:strCache>
                <c:ptCount val="1"/>
                <c:pt idx="0">
                  <c:v>10%</c:v>
                </c:pt>
              </c:strCache>
            </c:strRef>
          </c:cat>
          <c:val>
            <c:numRef>
              <c:f>'📈'!$BF$37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6"/>
          <c:order val="6"/>
          <c:tx>
            <c:strRef>
              <c:f>'⚙️'!$R$5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cc168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gradFill>
                <a:gsLst>
                  <a:gs pos="0">
                    <a:srgbClr val="ffffff">
                      <a:alpha val="0"/>
                    </a:srgbClr>
                  </a:gs>
                  <a:gs pos="100000">
                    <a:srgbClr val="f8cbad">
                      <a:alpha val="48235"/>
                    </a:srgbClr>
                  </a:gs>
                </a:gsLst>
                <a:lin ang="600000"/>
              </a:gra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'⚙️'!$L$23</c:f>
              <c:strCache>
                <c:ptCount val="1"/>
                <c:pt idx="0">
                  <c:v>10%</c:v>
                </c:pt>
              </c:strCache>
            </c:strRef>
          </c:cat>
          <c:val>
            <c:numRef>
              <c:f>'⚙️'!$Q$5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</c:ser>
        <c:gapWidth val="70"/>
        <c:overlap val="100"/>
        <c:axId val="62984458"/>
        <c:axId val="90263863"/>
      </c:barChart>
      <c:catAx>
        <c:axId val="6298445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263863"/>
        <c:auto val="1"/>
        <c:lblAlgn val="ctr"/>
        <c:lblOffset val="100"/>
        <c:noMultiLvlLbl val="0"/>
      </c:catAx>
      <c:valAx>
        <c:axId val="9026386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70c0"/>
                </a:solidFill>
                <a:latin typeface="Calibri"/>
              </a:defRPr>
            </a:pPr>
          </a:p>
        </c:txPr>
        <c:crossAx val="6298445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latin typeface="Calibri"/>
              </a:rPr>
              <a:t>LAZER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92d050"/>
              </a:solidFill>
              <a:ln w="19080">
                <a:noFill/>
              </a:ln>
            </c:spPr>
          </c:dPt>
          <c:dPt>
            <c:idx val="1"/>
            <c:spPr>
              <a:solidFill>
                <a:srgbClr val="ffebab"/>
              </a:solidFill>
              <a:ln w="19080">
                <a:noFill/>
              </a:ln>
            </c:spPr>
          </c:dPt>
          <c:dPt>
            <c:idx val="2"/>
            <c:spPr>
              <a:solidFill>
                <a:srgbClr val="ff8989"/>
              </a:solidFill>
              <a:ln w="19080">
                <a:noFill/>
              </a:ln>
            </c:spPr>
          </c:dPt>
          <c:dPt>
            <c:idx val="3"/>
            <c:spPr>
              <a:noFill/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'📈'!$AT$37:$AT$40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40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"Ponteiro"</c:f>
              <c:strCache>
                <c:ptCount val="1"/>
                <c:pt idx="0">
                  <c:v>Ponteiro</c:v>
                </c:pt>
              </c:strCache>
            </c:strRef>
          </c:tx>
          <c:spPr>
            <a:noFill/>
            <a:ln w="0">
              <a:noFill/>
            </a:ln>
          </c:spPr>
          <c:explosion val="27"/>
          <c:dPt>
            <c:idx val="0"/>
            <c:spPr>
              <a:noFill/>
              <a:ln w="19080">
                <a:noFill/>
              </a:ln>
            </c:spPr>
          </c:dPt>
          <c:dPt>
            <c:idx val="1"/>
            <c:spPr>
              <a:solidFill>
                <a:srgbClr val="595959"/>
              </a:solidFill>
              <a:ln w="19080">
                <a:noFill/>
              </a:ln>
            </c:spPr>
          </c:dPt>
          <c:dPt>
            <c:idx val="2"/>
            <c:spPr>
              <a:noFill/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numFmt formatCode="0.0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'📈'!$AT$28:$AT$30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</c:ser>
        <c:firstSliceAng val="270"/>
        <c:holeSize val="50"/>
      </c:doughnutChart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latin typeface="Calibri"/>
              </a:rPr>
              <a:t>EDUCAÇÃO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92d050"/>
              </a:solidFill>
              <a:ln w="19080">
                <a:noFill/>
              </a:ln>
            </c:spPr>
          </c:dPt>
          <c:dPt>
            <c:idx val="1"/>
            <c:spPr>
              <a:solidFill>
                <a:srgbClr val="ffebab"/>
              </a:solidFill>
              <a:ln w="19080">
                <a:noFill/>
              </a:ln>
            </c:spPr>
          </c:dPt>
          <c:dPt>
            <c:idx val="2"/>
            <c:spPr>
              <a:solidFill>
                <a:srgbClr val="ff8989"/>
              </a:solidFill>
              <a:ln w="19080">
                <a:noFill/>
              </a:ln>
            </c:spPr>
          </c:dPt>
          <c:dPt>
            <c:idx val="3"/>
            <c:spPr>
              <a:noFill/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'📈'!$AX$37:$AX$40</c:f>
              <c:numCache>
                <c:formatCode>General</c:formatCode>
                <c:ptCount val="4"/>
                <c:pt idx="0">
                  <c:v>15</c:v>
                </c:pt>
                <c:pt idx="1">
                  <c:v>42.5</c:v>
                </c:pt>
                <c:pt idx="2">
                  <c:v>42.5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"Ponteiro"</c:f>
              <c:strCache>
                <c:ptCount val="1"/>
                <c:pt idx="0">
                  <c:v>Ponteiro</c:v>
                </c:pt>
              </c:strCache>
            </c:strRef>
          </c:tx>
          <c:spPr>
            <a:noFill/>
            <a:ln w="0">
              <a:noFill/>
            </a:ln>
          </c:spPr>
          <c:explosion val="27"/>
          <c:dPt>
            <c:idx val="0"/>
            <c:spPr>
              <a:noFill/>
              <a:ln w="19080">
                <a:noFill/>
              </a:ln>
            </c:spPr>
          </c:dPt>
          <c:dPt>
            <c:idx val="1"/>
            <c:spPr>
              <a:solidFill>
                <a:srgbClr val="595959"/>
              </a:solidFill>
              <a:ln w="19080">
                <a:noFill/>
              </a:ln>
            </c:spPr>
          </c:dPt>
          <c:dPt>
            <c:idx val="2"/>
            <c:spPr>
              <a:noFill/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numFmt formatCode="0.0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'📈'!$AX$28:$AX$30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</c:ser>
        <c:firstSliceAng val="270"/>
        <c:holeSize val="50"/>
      </c:doughnutChart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latin typeface="Calibri"/>
              </a:rPr>
              <a:t>RESERVA EMERGÊNCIA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8989"/>
              </a:solidFill>
              <a:ln w="19080">
                <a:noFill/>
              </a:ln>
            </c:spPr>
          </c:dPt>
          <c:dPt>
            <c:idx val="1"/>
            <c:spPr>
              <a:solidFill>
                <a:srgbClr val="ffebab"/>
              </a:solidFill>
              <a:ln w="19080">
                <a:noFill/>
              </a:ln>
            </c:spPr>
          </c:dPt>
          <c:dPt>
            <c:idx val="2"/>
            <c:spPr>
              <a:solidFill>
                <a:srgbClr val="92d050"/>
              </a:solidFill>
              <a:ln w="19080">
                <a:noFill/>
              </a:ln>
            </c:spPr>
          </c:dPt>
          <c:dPt>
            <c:idx val="3"/>
            <c:spPr>
              <a:noFill/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'📈'!$BB$37:$BB$40</c:f>
              <c:numCache>
                <c:formatCode>General</c:formatCode>
                <c:ptCount val="4"/>
                <c:pt idx="0">
                  <c:v>10</c:v>
                </c:pt>
                <c:pt idx="1">
                  <c:v>45</c:v>
                </c:pt>
                <c:pt idx="2">
                  <c:v>45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"Ponteiro"</c:f>
              <c:strCache>
                <c:ptCount val="1"/>
                <c:pt idx="0">
                  <c:v>Ponteiro</c:v>
                </c:pt>
              </c:strCache>
            </c:strRef>
          </c:tx>
          <c:spPr>
            <a:noFill/>
            <a:ln w="0">
              <a:noFill/>
            </a:ln>
          </c:spPr>
          <c:explosion val="27"/>
          <c:dPt>
            <c:idx val="0"/>
            <c:spPr>
              <a:noFill/>
              <a:ln w="19080">
                <a:noFill/>
              </a:ln>
            </c:spPr>
          </c:dPt>
          <c:dPt>
            <c:idx val="1"/>
            <c:spPr>
              <a:solidFill>
                <a:srgbClr val="595959"/>
              </a:solidFill>
              <a:ln w="19080">
                <a:noFill/>
              </a:ln>
            </c:spPr>
          </c:dPt>
          <c:dPt>
            <c:idx val="2"/>
            <c:spPr>
              <a:noFill/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numFmt formatCode="0.0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'📈'!$BB$28:$BB$30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</c:ser>
        <c:firstSliceAng val="270"/>
        <c:holeSize val="50"/>
      </c:doughnutChart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latin typeface="Calibri"/>
              </a:rPr>
              <a:t>INVESTIMENTOS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8989"/>
              </a:solidFill>
              <a:ln w="19080">
                <a:noFill/>
              </a:ln>
            </c:spPr>
          </c:dPt>
          <c:dPt>
            <c:idx val="1"/>
            <c:spPr>
              <a:solidFill>
                <a:srgbClr val="ffebab"/>
              </a:solidFill>
              <a:ln w="19080">
                <a:noFill/>
              </a:ln>
            </c:spPr>
          </c:dPt>
          <c:dPt>
            <c:idx val="2"/>
            <c:spPr>
              <a:solidFill>
                <a:srgbClr val="92d050"/>
              </a:solidFill>
              <a:ln w="19080">
                <a:noFill/>
              </a:ln>
            </c:spPr>
          </c:dPt>
          <c:dPt>
            <c:idx val="3"/>
            <c:spPr>
              <a:noFill/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'📈'!$BF$37:$BF$40</c:f>
              <c:numCache>
                <c:formatCode>General</c:formatCode>
                <c:ptCount val="4"/>
                <c:pt idx="0">
                  <c:v>10</c:v>
                </c:pt>
                <c:pt idx="1">
                  <c:v>45</c:v>
                </c:pt>
                <c:pt idx="2">
                  <c:v>45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"Ponteiro"</c:f>
              <c:strCache>
                <c:ptCount val="1"/>
                <c:pt idx="0">
                  <c:v>Ponteiro</c:v>
                </c:pt>
              </c:strCache>
            </c:strRef>
          </c:tx>
          <c:spPr>
            <a:noFill/>
            <a:ln w="0">
              <a:noFill/>
            </a:ln>
          </c:spPr>
          <c:explosion val="27"/>
          <c:dPt>
            <c:idx val="0"/>
            <c:spPr>
              <a:noFill/>
              <a:ln w="19080">
                <a:noFill/>
              </a:ln>
            </c:spPr>
          </c:dPt>
          <c:dPt>
            <c:idx val="1"/>
            <c:spPr>
              <a:solidFill>
                <a:srgbClr val="595959"/>
              </a:solidFill>
              <a:ln w="19080">
                <a:noFill/>
              </a:ln>
            </c:spPr>
          </c:dPt>
          <c:dPt>
            <c:idx val="2"/>
            <c:spPr>
              <a:noFill/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numFmt formatCode="0.0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'📈'!$BF$28:$BF$30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</c:ser>
        <c:firstSliceAng val="270"/>
        <c:holeSize val="50"/>
      </c:doughnutChart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'⚙️'!$J$2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5757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5757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235A5306-AD61-423F-B3F7-566D2DF2F1F1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[INTERVALODACÉLULA]</a:t>
                    </a:fld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'📈'!$AW$4:$AW$13</c:f>
              <c:multiLvlStrCache>
                <c:ptCount val="1"/>
                <c:lvl>
                  <c:pt idx="0">
                    <c:v>120,00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/>
                <c:lvl/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'📈'!$AW$7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'⚙️'!$J$4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5757">
                <a:alpha val="80000"/>
              </a:srgbClr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5757">
                  <a:alpha val="80000"/>
                </a:srgbClr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4094A77E-4CF0-4104-A207-E166752A8C93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[INTERVALODACÉLULA]</a:t>
                    </a:fld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'📈'!$AW$4:$AW$13</c:f>
              <c:multiLvlStrCache>
                <c:ptCount val="1"/>
                <c:lvl>
                  <c:pt idx="0">
                    <c:v>120,00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/>
                <c:lvl/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'📈'!$AW$9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'⚙️'!$J$5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8989">
                <a:alpha val="60000"/>
              </a:srgbClr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8989">
                  <a:alpha val="60000"/>
                </a:srgbClr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22D6D9AA-3563-49C7-A8C3-C51A91506371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[INTERVALODACÉLULA]</a:t>
                    </a:fld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'📈'!$AW$4:$AW$13</c:f>
              <c:multiLvlStrCache>
                <c:ptCount val="1"/>
                <c:lvl>
                  <c:pt idx="0">
                    <c:v>120,00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/>
                <c:lvl/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'📈'!$AW$10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'⚙️'!$J$3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8989">
                <a:alpha val="40000"/>
              </a:srgbClr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8989">
                  <a:alpha val="40000"/>
                </a:srgbClr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CC2BD5BA-6504-4CD6-81A8-5DCDF33C67B1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[INTERVALODACÉLULA]</a:t>
                    </a:fld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'📈'!$AW$4:$AW$13</c:f>
              <c:multiLvlStrCache>
                <c:ptCount val="1"/>
                <c:lvl>
                  <c:pt idx="0">
                    <c:v>120,00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/>
                <c:lvl/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'📈'!$AW$8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'⚙️'!$J$6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030a0">
                <a:alpha val="70000"/>
              </a:srgbClr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7030a0">
                  <a:alpha val="70000"/>
                </a:srgbClr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95C8ACB5-E61D-4B92-9F92-2293EFA8C175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[INTERVALODACÉLULA]</a:t>
                    </a:fld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'📈'!$AW$4:$AW$13</c:f>
              <c:multiLvlStrCache>
                <c:ptCount val="1"/>
                <c:lvl>
                  <c:pt idx="0">
                    <c:v>120,00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/>
                <c:lvl/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'📈'!$AW$11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'⚙️'!$J$7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b0f0">
                <a:alpha val="40000"/>
              </a:srgbClr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b0f0">
                  <a:alpha val="40000"/>
                </a:srgbClr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26B16048-5B83-4C55-85D4-F150953B2FBA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[INTERVALODACÉLULA]</a:t>
                    </a:fld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'📈'!$AW$4:$AW$13</c:f>
              <c:multiLvlStrCache>
                <c:ptCount val="1"/>
                <c:lvl>
                  <c:pt idx="0">
                    <c:v>120,00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/>
                <c:lvl/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'📈'!$AW$12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'⚙️'!$R$5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cc168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gradFill>
                <a:gsLst>
                  <a:gs pos="0">
                    <a:srgbClr val="ffffff">
                      <a:alpha val="0"/>
                    </a:srgbClr>
                  </a:gs>
                  <a:gs pos="100000">
                    <a:srgbClr val="f8cbad">
                      <a:alpha val="48235"/>
                    </a:srgbClr>
                  </a:gs>
                </a:gsLst>
                <a:lin ang="600000"/>
              </a:gra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'📈'!$AW$4:$AW$13</c:f>
              <c:multiLvlStrCache>
                <c:ptCount val="1"/>
                <c:lvl>
                  <c:pt idx="0">
                    <c:v>120,00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>
                  <c:pt idx="0">
                    <c:v>#DIV/0!</c:v>
                  </c:pt>
                </c:lvl>
                <c:lvl/>
                <c:lvl/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'📈'!$AW$13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</c:ser>
        <c:gapWidth val="70"/>
        <c:overlap val="100"/>
        <c:axId val="95910564"/>
        <c:axId val="89058466"/>
      </c:barChart>
      <c:catAx>
        <c:axId val="959105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058466"/>
        <c:auto val="1"/>
        <c:lblAlgn val="ctr"/>
        <c:lblOffset val="100"/>
        <c:noMultiLvlLbl val="0"/>
      </c:catAx>
      <c:valAx>
        <c:axId val="8905846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70c0"/>
                </a:solidFill>
                <a:latin typeface="Calibri"/>
              </a:defRPr>
            </a:pPr>
          </a:p>
        </c:txPr>
        <c:crossAx val="9591056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latin typeface="Calibri"/>
              </a:rPr>
              <a:t>DESPESAS FIXAS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92d050"/>
              </a:solidFill>
              <a:ln w="19080">
                <a:noFill/>
              </a:ln>
            </c:spPr>
          </c:dPt>
          <c:dPt>
            <c:idx val="1"/>
            <c:spPr>
              <a:solidFill>
                <a:srgbClr val="ffebab"/>
              </a:solidFill>
              <a:ln w="19080">
                <a:noFill/>
              </a:ln>
            </c:spPr>
          </c:dPt>
          <c:dPt>
            <c:idx val="2"/>
            <c:spPr>
              <a:solidFill>
                <a:srgbClr val="ff8989"/>
              </a:solidFill>
              <a:ln w="19080">
                <a:noFill/>
              </a:ln>
            </c:spPr>
          </c:dPt>
          <c:dPt>
            <c:idx val="3"/>
            <c:spPr>
              <a:noFill/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'📈'!$AL$37:$AL$40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"Ponteiro"</c:f>
              <c:strCache>
                <c:ptCount val="1"/>
                <c:pt idx="0">
                  <c:v>Ponteiro</c:v>
                </c:pt>
              </c:strCache>
            </c:strRef>
          </c:tx>
          <c:spPr>
            <a:noFill/>
            <a:ln w="0">
              <a:noFill/>
            </a:ln>
          </c:spPr>
          <c:explosion val="27"/>
          <c:dPt>
            <c:idx val="0"/>
            <c:spPr>
              <a:noFill/>
              <a:ln w="19080">
                <a:noFill/>
              </a:ln>
            </c:spPr>
          </c:dPt>
          <c:dPt>
            <c:idx val="1"/>
            <c:spPr>
              <a:solidFill>
                <a:srgbClr val="595959"/>
              </a:solidFill>
              <a:ln w="19080">
                <a:noFill/>
              </a:ln>
            </c:spPr>
          </c:dPt>
          <c:dPt>
            <c:idx val="2"/>
            <c:spPr>
              <a:noFill/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numFmt formatCode="0.0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'📈'!$AL$28:$AL$30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</c:ser>
        <c:firstSliceAng val="270"/>
        <c:holeSize val="50"/>
      </c:doughnutChart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GB" sz="1200" spc="-1" strike="noStrike">
                <a:solidFill>
                  <a:srgbClr val="595959"/>
                </a:solidFill>
                <a:latin typeface="Calibri"/>
              </a:rPr>
              <a:t>receitas TOTAIS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ANUAL!$C$14</c:f>
              <c:strCache>
                <c:ptCount val="1"/>
                <c:pt idx="0">
                  <c:v>RECEITAS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92d050"/>
              </a:solidFill>
              <a:ln w="0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00b050"/>
              </a:solidFill>
              <a:ln w="0">
                <a:solidFill>
                  <a:srgbClr val="ffffff"/>
                </a:solidFill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
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
</c:separator>
            </c:dLbl>
            <c:txPr>
              <a:bodyPr wrap="square"/>
              <a:lstStyle/>
              <a:p>
                <a:pPr>
                  <a:defRPr b="1" sz="8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eparator>
</c:separator>
            <c:showLeaderLines val="1"/>
          </c:dLbls>
          <c:cat>
            <c:multiLvlStrRef>
              <c:f>DADOS!$V$3:$V$4</c:f>
              <c:multiLvlStrCache>
                <c:ptCount val="1"/>
                <c:lvl>
                  <c:pt idx="0">
                    <c:v>RECEITA VARIÁVEL</c:v>
                  </c:pt>
                </c:lvl>
                <c:lvl>
                  <c:pt idx="0">
                    <c:v>RECEITA FIXA</c:v>
                  </c:pt>
                </c:lvl>
              </c:multiLvlStrCache>
            </c:multiLvlStrRef>
          </c:cat>
          <c:val>
            <c:numRef>
              <c:f>ANUAL!$AN$87;ANUAL!$AN$104</c:f>
              <c:numCache>
                <c:formatCode>General</c:formatCode>
                <c:ptCount val="2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GB" sz="1200" spc="-1" strike="noStrike">
                <a:solidFill>
                  <a:srgbClr val="595959"/>
                </a:solidFill>
                <a:latin typeface="Calibri"/>
              </a:rPr>
              <a:t>investimentos totais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1583f7">
                  <a:alpha val="80000"/>
                </a:srgbClr>
              </a:solidFill>
              <a:ln w="0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1583f7"/>
              </a:solidFill>
              <a:ln w="0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1583f7">
                  <a:alpha val="60000"/>
                </a:srgbClr>
              </a:solidFill>
              <a:ln w="0">
                <a:solidFill>
                  <a:srgbClr val="ffffff"/>
                </a:solidFill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1" sz="8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multiLvlStrRef>
              <c:f>DADOS!$AB$3:$AB$5</c:f>
              <c:multiLvlStrCache>
                <c:ptCount val="1"/>
                <c:lvl>
                  <c:pt idx="0">
                    <c:v>OUTROS</c:v>
                  </c:pt>
                </c:lvl>
                <c:lvl>
                  <c:pt idx="0">
                    <c:v>RENDA VARIÁVEL</c:v>
                  </c:pt>
                </c:lvl>
                <c:lvl>
                  <c:pt idx="0">
                    <c:v>RENDA FIXA</c:v>
                  </c:pt>
                </c:lvl>
              </c:multiLvlStrCache>
            </c:multiLvlStrRef>
          </c:cat>
          <c:val>
            <c:numRef>
              <c:f>ANUAL!$AN$123;ANUAL!$AN$142;ANUAL!$AN$159</c:f>
              <c:numCache>
                <c:formatCode>General</c:formatCode>
                <c:ptCount val="3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GB" sz="1200" spc="-1" strike="noStrike">
                <a:solidFill>
                  <a:srgbClr val="595959"/>
                </a:solidFill>
                <a:latin typeface="Calibri"/>
              </a:rPr>
              <a:t>RESERVAS totais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7030a0"/>
              </a:solidFill>
              <a:ln w="0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7030a0">
                  <a:alpha val="80000"/>
                </a:srgbClr>
              </a:solidFill>
              <a:ln w="0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7030a0">
                  <a:alpha val="60000"/>
                </a:srgbClr>
              </a:solidFill>
              <a:ln w="0">
                <a:solidFill>
                  <a:srgbClr val="ffffff"/>
                </a:solidFill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1" sz="8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multiLvlStrRef>
              <c:f>DADOS!$AJ$3:$AJ$5</c:f>
              <c:multiLvlStrCache>
                <c:ptCount val="1"/>
                <c:lvl>
                  <c:pt idx="0">
                    <c:v>OUTROS</c:v>
                  </c:pt>
                </c:lvl>
                <c:lvl>
                  <c:pt idx="0">
                    <c:v>RENDA VARIÁVEL</c:v>
                  </c:pt>
                </c:lvl>
                <c:lvl>
                  <c:pt idx="0">
                    <c:v>RENDA FIXA</c:v>
                  </c:pt>
                </c:lvl>
              </c:multiLvlStrCache>
            </c:multiLvlStrRef>
          </c:cat>
          <c:val>
            <c:numRef>
              <c:f>ANUAL!$AN$178;ANUAL!$AN$197;ANUAL!$AN$214</c:f>
              <c:numCache>
                <c:formatCode>General</c:formatCode>
                <c:ptCount val="3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20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en-GB" sz="2000" spc="117" strike="noStrike">
                <a:solidFill>
                  <a:srgbClr val="595959"/>
                </a:solidFill>
                <a:latin typeface="Calibri"/>
              </a:rPr>
              <a:t>RESULTADOS FINANCEIROS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percentStacked"/>
        <c:varyColors val="0"/>
        <c:ser>
          <c:idx val="0"/>
          <c:order val="0"/>
          <c:tx>
            <c:strRef>
              <c:f>'1'!$C$14</c:f>
              <c:strCache>
                <c:ptCount val="1"/>
                <c:pt idx="0">
                  <c:v>RECEITAS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numFmt formatCode="_(&quot;R$&quot;* #,##0_);_(&quot;R$&quot;* \(#,##0\);_(&quot;R$&quot;* \-_);_(@_)" sourceLinked="0"/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
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ANUAL!$Q$14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'1'!$C$15</c:f>
              <c:strCache>
                <c:ptCount val="1"/>
                <c:pt idx="0">
                  <c:v>DESPESAS</c:v>
                </c:pt>
              </c:strCache>
            </c:strRef>
          </c:tx>
          <c:spPr>
            <a:solidFill>
              <a:srgbClr val="ff8989"/>
            </a:solidFill>
            <a:ln w="0">
              <a:noFill/>
            </a:ln>
          </c:spPr>
          <c:invertIfNegative val="0"/>
          <c:dLbls>
            <c:numFmt formatCode="_(&quot;R$&quot;* #,##0_);_(&quot;R$&quot;* \(#,##0\);_(&quot;R$&quot;* \-_);_(@_)" sourceLinked="0"/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
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ANUAL!$Q$15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'1'!$C$25</c:f>
              <c:strCache>
                <c:ptCount val="1"/>
                <c:pt idx="0">
                  <c:v>INVESTIMENTOS</c:v>
                </c:pt>
              </c:strCache>
            </c:strRef>
          </c:tx>
          <c:spPr>
            <a:solidFill>
              <a:srgbClr val="00b0f0"/>
            </a:solidFill>
            <a:ln w="0">
              <a:noFill/>
            </a:ln>
          </c:spPr>
          <c:invertIfNegative val="0"/>
          <c:dLbls>
            <c:numFmt formatCode="_(&quot;R$&quot;* #,##0_);_(&quot;R$&quot;* \(#,##0\);_(&quot;R$&quot;* \-_);_(@_)" sourceLinked="0"/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ANUAL!$Q$25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'1'!$C$26</c:f>
              <c:strCache>
                <c:ptCount val="1"/>
                <c:pt idx="0">
                  <c:v>RESERVA EMERGÊNCIA</c:v>
                </c:pt>
              </c:strCache>
            </c:strRef>
          </c:tx>
          <c:spPr>
            <a:solidFill>
              <a:srgbClr val="7030a0"/>
            </a:solidFill>
            <a:ln w="0">
              <a:noFill/>
            </a:ln>
          </c:spPr>
          <c:invertIfNegative val="0"/>
          <c:dLbls>
            <c:numFmt formatCode="_(&quot;R$&quot;* #,##0_);_(&quot;R$&quot;* \(#,##0\);_(&quot;R$&quot;* \-_);_(@_)" sourceLinked="0"/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ANUAL!$Q$26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'1'!$E$3:$G$3</c:f>
              <c:strCache>
                <c:ptCount val="1"/>
                <c:pt idx="0">
                  <c:v>DISPONÍVEL</c:v>
                </c:pt>
              </c:strCache>
            </c:strRef>
          </c:tx>
          <c:spPr>
            <a:solidFill>
              <a:srgbClr val="ffebab"/>
            </a:solidFill>
            <a:ln w="0">
              <a:noFill/>
            </a:ln>
          </c:spPr>
          <c:invertIfNegative val="0"/>
          <c:dLbls>
            <c:numFmt formatCode="_(&quot;R$&quot;* #,##0_);_(&quot;R$&quot;* \(#,##0\);_(&quot;R$&quot;* \-_);_(@_)" sourceLinked="0"/>
            <c:txPr>
              <a:bodyPr wrap="square"/>
              <a:lstStyle/>
              <a:p>
                <a:pPr>
                  <a:defRPr b="1" sz="10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ANUAL!$Q$16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</c:ser>
        <c:gapWidth val="79"/>
        <c:overlap val="100"/>
        <c:axId val="69791379"/>
        <c:axId val="33991715"/>
      </c:barChart>
      <c:catAx>
        <c:axId val="697913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991715"/>
        <c:auto val="1"/>
        <c:lblAlgn val="ctr"/>
        <c:lblOffset val="100"/>
        <c:noMultiLvlLbl val="0"/>
      </c:catAx>
      <c:valAx>
        <c:axId val="33991715"/>
        <c:scaling>
          <c:orientation val="minMax"/>
        </c:scaling>
        <c:delete val="1"/>
        <c:axPos val="l"/>
        <c:numFmt formatCode="[$-416]0%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791379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GB" sz="1200" spc="-1" strike="noStrike">
                <a:solidFill>
                  <a:srgbClr val="595959"/>
                </a:solidFill>
                <a:latin typeface="Calibri"/>
              </a:rPr>
              <a:t>DESPESAS TOTAIS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5757"/>
              </a:solidFill>
              <a:ln w="0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ff8989"/>
              </a:solidFill>
              <a:ln w="0">
                <a:solidFill>
                  <a:srgbClr val="ffffff"/>
                </a:solidFill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1" sz="8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multiLvlStrRef>
              <c:f>DADOS!$P$3:$P$4</c:f>
              <c:multiLvlStrCache>
                <c:ptCount val="1"/>
                <c:lvl>
                  <c:pt idx="0">
                    <c:v>DESPESA VARIÁVEL</c:v>
                  </c:pt>
                </c:lvl>
                <c:lvl>
                  <c:pt idx="0">
                    <c:v>DESPESA FIXA</c:v>
                  </c:pt>
                </c:lvl>
              </c:multiLvlStrCache>
            </c:multiLvlStrRef>
          </c:cat>
          <c:val>
            <c:numRef>
              <c:f>ANUAL!$AN$51;ANUAL!$AN$73</c:f>
              <c:numCache>
                <c:formatCode>General</c:formatCode>
                <c:ptCount val="2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latin typeface="Calibri"/>
              </a:rPr>
              <a:t>DOAÇÕES E PRESENTES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92d050"/>
              </a:solidFill>
              <a:ln w="19080">
                <a:noFill/>
              </a:ln>
            </c:spPr>
          </c:dPt>
          <c:dPt>
            <c:idx val="1"/>
            <c:spPr>
              <a:solidFill>
                <a:srgbClr val="ffebab"/>
              </a:solidFill>
              <a:ln w="19080">
                <a:noFill/>
              </a:ln>
            </c:spPr>
          </c:dPt>
          <c:dPt>
            <c:idx val="2"/>
            <c:spPr>
              <a:solidFill>
                <a:srgbClr val="ff8989"/>
              </a:solidFill>
              <a:ln w="19080">
                <a:noFill/>
              </a:ln>
            </c:spPr>
          </c:dPt>
          <c:dPt>
            <c:idx val="3"/>
            <c:spPr>
              <a:noFill/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'📈'!$AP$37:$AP$40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40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"Ponteiro"</c:f>
              <c:strCache>
                <c:ptCount val="1"/>
                <c:pt idx="0">
                  <c:v>Ponteiro</c:v>
                </c:pt>
              </c:strCache>
            </c:strRef>
          </c:tx>
          <c:spPr>
            <a:noFill/>
            <a:ln w="0">
              <a:noFill/>
            </a:ln>
          </c:spPr>
          <c:explosion val="28"/>
          <c:dPt>
            <c:idx val="0"/>
            <c:spPr>
              <a:noFill/>
              <a:ln w="19080">
                <a:noFill/>
              </a:ln>
            </c:spPr>
          </c:dPt>
          <c:dPt>
            <c:idx val="1"/>
            <c:spPr>
              <a:solidFill>
                <a:srgbClr val="595959"/>
              </a:solidFill>
              <a:ln w="19080">
                <a:noFill/>
              </a:ln>
            </c:spPr>
          </c:dPt>
          <c:dPt>
            <c:idx val="2"/>
            <c:spPr>
              <a:noFill/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numFmt formatCode="0.0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'📈'!$AP$28:$AP$30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</c:ser>
        <c:firstSliceAng val="270"/>
        <c:holeSize val="50"/>
      </c:doughnutChart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hyperlink" Target="https://neon.com.br" TargetMode="External"/><Relationship Id="rId4" Type="http://schemas.openxmlformats.org/officeDocument/2006/relationships/image" Target="../media/image3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85.png"/><Relationship Id="rId2" Type="http://schemas.openxmlformats.org/officeDocument/2006/relationships/image" Target="../media/image186.png"/><Relationship Id="rId3" Type="http://schemas.openxmlformats.org/officeDocument/2006/relationships/image" Target="../media/image187.png"/><Relationship Id="rId4" Type="http://schemas.openxmlformats.org/officeDocument/2006/relationships/image" Target="../media/image188.png"/><Relationship Id="rId5" Type="http://schemas.openxmlformats.org/officeDocument/2006/relationships/hyperlink" Target="#&apos;&#128200;&apos;!A1"/><Relationship Id="rId6" Type="http://schemas.openxmlformats.org/officeDocument/2006/relationships/image" Target="../media/image189.png"/><Relationship Id="rId7" Type="http://schemas.openxmlformats.org/officeDocument/2006/relationships/hyperlink" Target="#&apos;&#128274;&apos;!A1"/><Relationship Id="rId8" Type="http://schemas.openxmlformats.org/officeDocument/2006/relationships/image" Target="../media/image190.png"/><Relationship Id="rId9" Type="http://schemas.openxmlformats.org/officeDocument/2006/relationships/hyperlink" Target="https://focanodinheiro.neon.com.br/novidades/como-neon-ajudou-a-organizar-financas-e-guardar-dinheiro?utm_source=planilha&amp;utm_medium=rich-content&amp;utm_campaign=planilha-de-gastos-mensais&amp;utm_content=aba-mes" TargetMode="External"/><Relationship Id="rId10" Type="http://schemas.openxmlformats.org/officeDocument/2006/relationships/image" Target="../media/image191.png"/><Relationship Id="rId11" Type="http://schemas.openxmlformats.org/officeDocument/2006/relationships/hyperlink" Target="https://focanodinheiro.neon.com.br/controle-financeiro/economizar-dinheiro-dia-a-dia-melhores-dicas?utm_source=planilha&amp;utm_medium=rich-content&amp;utm_campaign=planilha-de-gastos-mensais&amp;utm_content=aba-mes" TargetMode="External"/><Relationship Id="rId12" Type="http://schemas.openxmlformats.org/officeDocument/2006/relationships/image" Target="../media/image192.png"/><Relationship Id="rId13" Type="http://schemas.openxmlformats.org/officeDocument/2006/relationships/hyperlink" Target="https://focanodinheiro.neon.com.br/juntar-dinheiro/45-dias-sem-gastar?utm_source=planilha&amp;utm_medium=rich-content&amp;utm_campaign=planilha-de-gastos-mensais&amp;utm_content=aba-mes" TargetMode="External"/><Relationship Id="rId14" Type="http://schemas.openxmlformats.org/officeDocument/2006/relationships/image" Target="../media/image193.png"/><Relationship Id="rId15" Type="http://schemas.openxmlformats.org/officeDocument/2006/relationships/hyperlink" Target="https://focanodinheiro.neon.com.br/juntar-dinheiro/dicas-faceis-para-juntar-dinheiro-rapido?utm_source=planilha&amp;utm_medium=rich-content&amp;utm_campaign=planilha-de-gastos-mensais&amp;utm_content=aba-mes" TargetMode="External"/><Relationship Id="rId16" Type="http://schemas.openxmlformats.org/officeDocument/2006/relationships/image" Target="../media/image194.png"/><Relationship Id="rId17" Type="http://schemas.openxmlformats.org/officeDocument/2006/relationships/hyperlink" Target="https://focanodinheiro.neon.com.br/juntar-dinheiro/como-ganhar-dinheiro-extra?utm_source=planilha&amp;utm_medium=rich-content&amp;utm_campaign=planilha-de-gastos-mensais&amp;utm_content=aba-mes" TargetMode="External"/><Relationship Id="rId18" Type="http://schemas.openxmlformats.org/officeDocument/2006/relationships/image" Target="../media/image195.png"/><Relationship Id="rId19" Type="http://schemas.openxmlformats.org/officeDocument/2006/relationships/hyperlink" Target="https://focanodinheiro.neon.com.br/investimentos/melhores-investimentos-para-aplicar-seu-dinheiro?utm_source=planilha&amp;utm_medium=rich-content&amp;utm_campaign=planilha-de-gastos-mensais&amp;utm_content=aba-mes" TargetMode="External"/><Relationship Id="rId20" Type="http://schemas.openxmlformats.org/officeDocument/2006/relationships/image" Target="../media/image196.png"/><Relationship Id="rId21" Type="http://schemas.openxmlformats.org/officeDocument/2006/relationships/hyperlink" Target="https://focanodinheiro.neon.com.br/investimentos/tudo-sobre-warren-buffett?utm_source=planilha&amp;utm_medium=rich-content&amp;utm_campaign=planilha-de-gastos-mensais&amp;utm_content=aba-mes" TargetMode="External"/><Relationship Id="rId22" Type="http://schemas.openxmlformats.org/officeDocument/2006/relationships/image" Target="../media/image197.png"/><Relationship Id="rId23" Type="http://schemas.openxmlformats.org/officeDocument/2006/relationships/hyperlink" Target="https://focanodinheiro.neon.com.br/investimentos/investir-em-ouro?utm_source=planilha&amp;utm_medium=rich-content&amp;utm_campaign=planilha-de-gastos-mensais&amp;utm_content=aba-mes" TargetMode="External"/><Relationship Id="rId24" Type="http://schemas.openxmlformats.org/officeDocument/2006/relationships/image" Target="../media/image198.png"/><Relationship Id="rId25" Type="http://schemas.openxmlformats.org/officeDocument/2006/relationships/hyperlink" Target="https://focanodinheiro.neon.com.br/controle-financeiro/o-que-e-reserva-de-emergencia-aprenda-a-montar-uma?utm_source=planilha&amp;utm_medium=rich-content&amp;utm_campaign=planilha-de-gastos-mensais&amp;utm_content=aba-mes" TargetMode="External"/><Relationship Id="rId26" Type="http://schemas.openxmlformats.org/officeDocument/2006/relationships/image" Target="../media/image199.png"/><Relationship Id="rId27" Type="http://schemas.openxmlformats.org/officeDocument/2006/relationships/hyperlink" Target="https://focanodinheiro.neon.com.br/controle-financeiro/quando-gastar-reserva-de-emergencia?utm_source=planilha&amp;utm_medium=rich-content&amp;utm_campaign=planilha-de-gastos-mensais&amp;utm_content=aba-mes" TargetMode="External"/><Relationship Id="rId28" Type="http://schemas.openxmlformats.org/officeDocument/2006/relationships/image" Target="../media/image200.png"/><Relationship Id="rId29" Type="http://schemas.openxmlformats.org/officeDocument/2006/relationships/hyperlink" Target="https://focanodinheiro.neon.com.br/controle-financeiro/planejamento-sem-salario-fixo?utm_source=planilha&amp;utm_medium=rich-content&amp;utm_campaign=planilha-de-gastos-mensais&amp;utm_content=aba-mes" TargetMode="External"/><Relationship Id="rId30" Type="http://schemas.openxmlformats.org/officeDocument/2006/relationships/image" Target="../media/image201.png"/><Relationship Id="rId31" Type="http://schemas.openxmlformats.org/officeDocument/2006/relationships/image" Target="../media/image202.png"/><Relationship Id="rId32" Type="http://schemas.openxmlformats.org/officeDocument/2006/relationships/image" Target="../media/image203.png"/><Relationship Id="rId33" Type="http://schemas.openxmlformats.org/officeDocument/2006/relationships/image" Target="../media/image204.png"/><Relationship Id="rId34" Type="http://schemas.openxmlformats.org/officeDocument/2006/relationships/image" Target="../media/image205.png"/><Relationship Id="rId35" Type="http://schemas.openxmlformats.org/officeDocument/2006/relationships/image" Target="../media/image206.png"/><Relationship Id="rId36" Type="http://schemas.openxmlformats.org/officeDocument/2006/relationships/image" Target="../media/image207.png"/><Relationship Id="rId37" Type="http://schemas.openxmlformats.org/officeDocument/2006/relationships/image" Target="../media/image208.png"/><Relationship Id="rId38" Type="http://schemas.openxmlformats.org/officeDocument/2006/relationships/image" Target="../media/image209.png"/><Relationship Id="rId39" Type="http://schemas.openxmlformats.org/officeDocument/2006/relationships/hyperlink" Target="#ANUAL!A1"/><Relationship Id="rId40" Type="http://schemas.openxmlformats.org/officeDocument/2006/relationships/image" Target="../media/image210.png"/><Relationship Id="rId41" Type="http://schemas.openxmlformats.org/officeDocument/2006/relationships/hyperlink" Target="https://focanodinheiro.neon.com.br/juntar-dinheiro/desafio-das-52-semanas-tabela-para-juntar-dinheiro?utm_source=planilha&amp;utm_medium=rich-content&amp;utm_campaign=planilha-de-gastos-mensais&amp;utm_content=aba-mes" TargetMode="External"/><Relationship Id="rId42" Type="http://schemas.openxmlformats.org/officeDocument/2006/relationships/image" Target="../media/image211.png"/><Relationship Id="rId43" Type="http://schemas.openxmlformats.org/officeDocument/2006/relationships/hyperlink" Target="#&apos;7&apos;!A1"/><Relationship Id="rId44" Type="http://schemas.openxmlformats.org/officeDocument/2006/relationships/image" Target="../media/image212.png"/><Relationship Id="rId45" Type="http://schemas.openxmlformats.org/officeDocument/2006/relationships/hyperlink" Target="#&apos;5&apos;!A1"/><Relationship Id="rId46" Type="http://schemas.openxmlformats.org/officeDocument/2006/relationships/image" Target="../media/image213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14.png"/><Relationship Id="rId2" Type="http://schemas.openxmlformats.org/officeDocument/2006/relationships/image" Target="../media/image215.png"/><Relationship Id="rId3" Type="http://schemas.openxmlformats.org/officeDocument/2006/relationships/image" Target="../media/image216.png"/><Relationship Id="rId4" Type="http://schemas.openxmlformats.org/officeDocument/2006/relationships/image" Target="../media/image217.png"/><Relationship Id="rId5" Type="http://schemas.openxmlformats.org/officeDocument/2006/relationships/hyperlink" Target="#&apos;&#128200;&apos;!A1"/><Relationship Id="rId6" Type="http://schemas.openxmlformats.org/officeDocument/2006/relationships/image" Target="../media/image218.png"/><Relationship Id="rId7" Type="http://schemas.openxmlformats.org/officeDocument/2006/relationships/hyperlink" Target="#&apos;&#128274;&apos;!A1"/><Relationship Id="rId8" Type="http://schemas.openxmlformats.org/officeDocument/2006/relationships/image" Target="../media/image219.png"/><Relationship Id="rId9" Type="http://schemas.openxmlformats.org/officeDocument/2006/relationships/hyperlink" Target="https://focanodinheiro.neon.com.br/novidades/como-neon-ajudou-a-organizar-financas-e-guardar-dinheiro?utm_source=planilha&amp;utm_medium=rich-content&amp;utm_campaign=planilha-de-gastos-mensais&amp;utm_content=aba-mes" TargetMode="External"/><Relationship Id="rId10" Type="http://schemas.openxmlformats.org/officeDocument/2006/relationships/image" Target="../media/image220.png"/><Relationship Id="rId11" Type="http://schemas.openxmlformats.org/officeDocument/2006/relationships/hyperlink" Target="https://focanodinheiro.neon.com.br/controle-financeiro/economizar-dinheiro-dia-a-dia-melhores-dicas?utm_source=planilha&amp;utm_medium=rich-content&amp;utm_campaign=planilha-de-gastos-mensais&amp;utm_content=aba-mes" TargetMode="External"/><Relationship Id="rId12" Type="http://schemas.openxmlformats.org/officeDocument/2006/relationships/image" Target="../media/image221.png"/><Relationship Id="rId13" Type="http://schemas.openxmlformats.org/officeDocument/2006/relationships/hyperlink" Target="https://focanodinheiro.neon.com.br/juntar-dinheiro/45-dias-sem-gastar?utm_source=planilha&amp;utm_medium=rich-content&amp;utm_campaign=planilha-de-gastos-mensais&amp;utm_content=aba-mes" TargetMode="External"/><Relationship Id="rId14" Type="http://schemas.openxmlformats.org/officeDocument/2006/relationships/image" Target="../media/image222.png"/><Relationship Id="rId15" Type="http://schemas.openxmlformats.org/officeDocument/2006/relationships/hyperlink" Target="https://focanodinheiro.neon.com.br/juntar-dinheiro/dicas-faceis-para-juntar-dinheiro-rapido?utm_source=planilha&amp;utm_medium=rich-content&amp;utm_campaign=planilha-de-gastos-mensais&amp;utm_content=aba-mes" TargetMode="External"/><Relationship Id="rId16" Type="http://schemas.openxmlformats.org/officeDocument/2006/relationships/image" Target="../media/image223.png"/><Relationship Id="rId17" Type="http://schemas.openxmlformats.org/officeDocument/2006/relationships/hyperlink" Target="https://focanodinheiro.neon.com.br/juntar-dinheiro/como-ganhar-dinheiro-extra?utm_source=planilha&amp;utm_medium=rich-content&amp;utm_campaign=planilha-de-gastos-mensais&amp;utm_content=aba-mes" TargetMode="External"/><Relationship Id="rId18" Type="http://schemas.openxmlformats.org/officeDocument/2006/relationships/image" Target="../media/image224.png"/><Relationship Id="rId19" Type="http://schemas.openxmlformats.org/officeDocument/2006/relationships/hyperlink" Target="https://focanodinheiro.neon.com.br/investimentos/melhores-investimentos-para-aplicar-seu-dinheiro?utm_source=planilha&amp;utm_medium=rich-content&amp;utm_campaign=planilha-de-gastos-mensais&amp;utm_content=aba-mes" TargetMode="External"/><Relationship Id="rId20" Type="http://schemas.openxmlformats.org/officeDocument/2006/relationships/image" Target="../media/image225.png"/><Relationship Id="rId21" Type="http://schemas.openxmlformats.org/officeDocument/2006/relationships/hyperlink" Target="https://focanodinheiro.neon.com.br/investimentos/tudo-sobre-warren-buffett?utm_source=planilha&amp;utm_medium=rich-content&amp;utm_campaign=planilha-de-gastos-mensais&amp;utm_content=aba-mes" TargetMode="External"/><Relationship Id="rId22" Type="http://schemas.openxmlformats.org/officeDocument/2006/relationships/image" Target="../media/image226.png"/><Relationship Id="rId23" Type="http://schemas.openxmlformats.org/officeDocument/2006/relationships/hyperlink" Target="https://focanodinheiro.neon.com.br/investimentos/investir-em-ouro?utm_source=planilha&amp;utm_medium=rich-content&amp;utm_campaign=planilha-de-gastos-mensais&amp;utm_content=aba-mes" TargetMode="External"/><Relationship Id="rId24" Type="http://schemas.openxmlformats.org/officeDocument/2006/relationships/image" Target="../media/image227.png"/><Relationship Id="rId25" Type="http://schemas.openxmlformats.org/officeDocument/2006/relationships/hyperlink" Target="https://focanodinheiro.neon.com.br/controle-financeiro/o-que-e-reserva-de-emergencia-aprenda-a-montar-uma?utm_source=planilha&amp;utm_medium=rich-content&amp;utm_campaign=planilha-de-gastos-mensais&amp;utm_content=aba-mes" TargetMode="External"/><Relationship Id="rId26" Type="http://schemas.openxmlformats.org/officeDocument/2006/relationships/image" Target="../media/image228.png"/><Relationship Id="rId27" Type="http://schemas.openxmlformats.org/officeDocument/2006/relationships/hyperlink" Target="https://focanodinheiro.neon.com.br/controle-financeiro/quando-gastar-reserva-de-emergencia?utm_source=planilha&amp;utm_medium=rich-content&amp;utm_campaign=planilha-de-gastos-mensais&amp;utm_content=aba-mes" TargetMode="External"/><Relationship Id="rId28" Type="http://schemas.openxmlformats.org/officeDocument/2006/relationships/image" Target="../media/image229.png"/><Relationship Id="rId29" Type="http://schemas.openxmlformats.org/officeDocument/2006/relationships/hyperlink" Target="https://focanodinheiro.neon.com.br/controle-financeiro/planejamento-sem-salario-fixo?utm_source=planilha&amp;utm_medium=rich-content&amp;utm_campaign=planilha-de-gastos-mensais&amp;utm_content=aba-mes" TargetMode="External"/><Relationship Id="rId30" Type="http://schemas.openxmlformats.org/officeDocument/2006/relationships/image" Target="../media/image230.png"/><Relationship Id="rId31" Type="http://schemas.openxmlformats.org/officeDocument/2006/relationships/image" Target="../media/image231.png"/><Relationship Id="rId32" Type="http://schemas.openxmlformats.org/officeDocument/2006/relationships/image" Target="../media/image232.png"/><Relationship Id="rId33" Type="http://schemas.openxmlformats.org/officeDocument/2006/relationships/image" Target="../media/image233.png"/><Relationship Id="rId34" Type="http://schemas.openxmlformats.org/officeDocument/2006/relationships/image" Target="../media/image234.png"/><Relationship Id="rId35" Type="http://schemas.openxmlformats.org/officeDocument/2006/relationships/image" Target="../media/image235.png"/><Relationship Id="rId36" Type="http://schemas.openxmlformats.org/officeDocument/2006/relationships/image" Target="../media/image236.png"/><Relationship Id="rId37" Type="http://schemas.openxmlformats.org/officeDocument/2006/relationships/image" Target="../media/image237.png"/><Relationship Id="rId38" Type="http://schemas.openxmlformats.org/officeDocument/2006/relationships/image" Target="../media/image238.png"/><Relationship Id="rId39" Type="http://schemas.openxmlformats.org/officeDocument/2006/relationships/hyperlink" Target="#ANUAL!A1"/><Relationship Id="rId40" Type="http://schemas.openxmlformats.org/officeDocument/2006/relationships/image" Target="../media/image239.png"/><Relationship Id="rId41" Type="http://schemas.openxmlformats.org/officeDocument/2006/relationships/hyperlink" Target="https://focanodinheiro.neon.com.br/juntar-dinheiro/desafio-das-52-semanas-tabela-para-juntar-dinheiro?utm_source=planilha&amp;utm_medium=rich-content&amp;utm_campaign=planilha-de-gastos-mensais&amp;utm_content=aba-mes" TargetMode="External"/><Relationship Id="rId42" Type="http://schemas.openxmlformats.org/officeDocument/2006/relationships/image" Target="../media/image240.png"/><Relationship Id="rId43" Type="http://schemas.openxmlformats.org/officeDocument/2006/relationships/hyperlink" Target="#&apos;8&apos;!A1"/><Relationship Id="rId44" Type="http://schemas.openxmlformats.org/officeDocument/2006/relationships/image" Target="../media/image241.png"/><Relationship Id="rId45" Type="http://schemas.openxmlformats.org/officeDocument/2006/relationships/hyperlink" Target="#&apos;6&apos;!A1"/><Relationship Id="rId46" Type="http://schemas.openxmlformats.org/officeDocument/2006/relationships/image" Target="../media/image242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43.png"/><Relationship Id="rId2" Type="http://schemas.openxmlformats.org/officeDocument/2006/relationships/image" Target="../media/image244.png"/><Relationship Id="rId3" Type="http://schemas.openxmlformats.org/officeDocument/2006/relationships/image" Target="../media/image245.png"/><Relationship Id="rId4" Type="http://schemas.openxmlformats.org/officeDocument/2006/relationships/image" Target="../media/image246.png"/><Relationship Id="rId5" Type="http://schemas.openxmlformats.org/officeDocument/2006/relationships/hyperlink" Target="#&apos;&#128200;&apos;!A1"/><Relationship Id="rId6" Type="http://schemas.openxmlformats.org/officeDocument/2006/relationships/image" Target="../media/image247.png"/><Relationship Id="rId7" Type="http://schemas.openxmlformats.org/officeDocument/2006/relationships/hyperlink" Target="#&apos;&#128274;&apos;!A1"/><Relationship Id="rId8" Type="http://schemas.openxmlformats.org/officeDocument/2006/relationships/image" Target="../media/image248.png"/><Relationship Id="rId9" Type="http://schemas.openxmlformats.org/officeDocument/2006/relationships/hyperlink" Target="https://focanodinheiro.neon.com.br/novidades/como-neon-ajudou-a-organizar-financas-e-guardar-dinheiro?utm_source=planilha&amp;utm_medium=rich-content&amp;utm_campaign=planilha-de-gastos-mensais&amp;utm_content=aba-mes" TargetMode="External"/><Relationship Id="rId10" Type="http://schemas.openxmlformats.org/officeDocument/2006/relationships/image" Target="../media/image249.png"/><Relationship Id="rId11" Type="http://schemas.openxmlformats.org/officeDocument/2006/relationships/hyperlink" Target="https://focanodinheiro.neon.com.br/controle-financeiro/economizar-dinheiro-dia-a-dia-melhores-dicas?utm_source=planilha&amp;utm_medium=rich-content&amp;utm_campaign=planilha-de-gastos-mensais&amp;utm_content=aba-mes" TargetMode="External"/><Relationship Id="rId12" Type="http://schemas.openxmlformats.org/officeDocument/2006/relationships/image" Target="../media/image250.png"/><Relationship Id="rId13" Type="http://schemas.openxmlformats.org/officeDocument/2006/relationships/hyperlink" Target="https://focanodinheiro.neon.com.br/juntar-dinheiro/45-dias-sem-gastar?utm_source=planilha&amp;utm_medium=rich-content&amp;utm_campaign=planilha-de-gastos-mensais&amp;utm_content=aba-mes" TargetMode="External"/><Relationship Id="rId14" Type="http://schemas.openxmlformats.org/officeDocument/2006/relationships/image" Target="../media/image251.png"/><Relationship Id="rId15" Type="http://schemas.openxmlformats.org/officeDocument/2006/relationships/hyperlink" Target="https://focanodinheiro.neon.com.br/juntar-dinheiro/dicas-faceis-para-juntar-dinheiro-rapido?utm_source=planilha&amp;utm_medium=rich-content&amp;utm_campaign=planilha-de-gastos-mensais&amp;utm_content=aba-mes" TargetMode="External"/><Relationship Id="rId16" Type="http://schemas.openxmlformats.org/officeDocument/2006/relationships/image" Target="../media/image252.png"/><Relationship Id="rId17" Type="http://schemas.openxmlformats.org/officeDocument/2006/relationships/hyperlink" Target="https://focanodinheiro.neon.com.br/juntar-dinheiro/como-ganhar-dinheiro-extra?utm_source=planilha&amp;utm_medium=rich-content&amp;utm_campaign=planilha-de-gastos-mensais&amp;utm_content=aba-mes" TargetMode="External"/><Relationship Id="rId18" Type="http://schemas.openxmlformats.org/officeDocument/2006/relationships/image" Target="../media/image253.png"/><Relationship Id="rId19" Type="http://schemas.openxmlformats.org/officeDocument/2006/relationships/hyperlink" Target="https://focanodinheiro.neon.com.br/investimentos/melhores-investimentos-para-aplicar-seu-dinheiro?utm_source=planilha&amp;utm_medium=rich-content&amp;utm_campaign=planilha-de-gastos-mensais&amp;utm_content=aba-mes" TargetMode="External"/><Relationship Id="rId20" Type="http://schemas.openxmlformats.org/officeDocument/2006/relationships/image" Target="../media/image254.png"/><Relationship Id="rId21" Type="http://schemas.openxmlformats.org/officeDocument/2006/relationships/hyperlink" Target="https://focanodinheiro.neon.com.br/investimentos/tudo-sobre-warren-buffett?utm_source=planilha&amp;utm_medium=rich-content&amp;utm_campaign=planilha-de-gastos-mensais&amp;utm_content=aba-mes" TargetMode="External"/><Relationship Id="rId22" Type="http://schemas.openxmlformats.org/officeDocument/2006/relationships/image" Target="../media/image255.png"/><Relationship Id="rId23" Type="http://schemas.openxmlformats.org/officeDocument/2006/relationships/hyperlink" Target="https://focanodinheiro.neon.com.br/investimentos/investir-em-ouro?utm_source=planilha&amp;utm_medium=rich-content&amp;utm_campaign=planilha-de-gastos-mensais&amp;utm_content=aba-mes" TargetMode="External"/><Relationship Id="rId24" Type="http://schemas.openxmlformats.org/officeDocument/2006/relationships/image" Target="../media/image256.png"/><Relationship Id="rId25" Type="http://schemas.openxmlformats.org/officeDocument/2006/relationships/hyperlink" Target="https://focanodinheiro.neon.com.br/controle-financeiro/o-que-e-reserva-de-emergencia-aprenda-a-montar-uma?utm_source=planilha&amp;utm_medium=rich-content&amp;utm_campaign=planilha-de-gastos-mensais&amp;utm_content=aba-mes" TargetMode="External"/><Relationship Id="rId26" Type="http://schemas.openxmlformats.org/officeDocument/2006/relationships/image" Target="../media/image257.png"/><Relationship Id="rId27" Type="http://schemas.openxmlformats.org/officeDocument/2006/relationships/hyperlink" Target="https://focanodinheiro.neon.com.br/controle-financeiro/quando-gastar-reserva-de-emergencia?utm_source=planilha&amp;utm_medium=rich-content&amp;utm_campaign=planilha-de-gastos-mensais&amp;utm_content=aba-mes" TargetMode="External"/><Relationship Id="rId28" Type="http://schemas.openxmlformats.org/officeDocument/2006/relationships/image" Target="../media/image258.png"/><Relationship Id="rId29" Type="http://schemas.openxmlformats.org/officeDocument/2006/relationships/hyperlink" Target="https://focanodinheiro.neon.com.br/controle-financeiro/planejamento-sem-salario-fixo?utm_source=planilha&amp;utm_medium=rich-content&amp;utm_campaign=planilha-de-gastos-mensais&amp;utm_content=aba-mes" TargetMode="External"/><Relationship Id="rId30" Type="http://schemas.openxmlformats.org/officeDocument/2006/relationships/image" Target="../media/image259.png"/><Relationship Id="rId31" Type="http://schemas.openxmlformats.org/officeDocument/2006/relationships/image" Target="../media/image260.png"/><Relationship Id="rId32" Type="http://schemas.openxmlformats.org/officeDocument/2006/relationships/image" Target="../media/image261.png"/><Relationship Id="rId33" Type="http://schemas.openxmlformats.org/officeDocument/2006/relationships/image" Target="../media/image262.png"/><Relationship Id="rId34" Type="http://schemas.openxmlformats.org/officeDocument/2006/relationships/image" Target="../media/image263.png"/><Relationship Id="rId35" Type="http://schemas.openxmlformats.org/officeDocument/2006/relationships/image" Target="../media/image264.png"/><Relationship Id="rId36" Type="http://schemas.openxmlformats.org/officeDocument/2006/relationships/image" Target="../media/image265.png"/><Relationship Id="rId37" Type="http://schemas.openxmlformats.org/officeDocument/2006/relationships/image" Target="../media/image266.png"/><Relationship Id="rId38" Type="http://schemas.openxmlformats.org/officeDocument/2006/relationships/image" Target="../media/image267.png"/><Relationship Id="rId39" Type="http://schemas.openxmlformats.org/officeDocument/2006/relationships/hyperlink" Target="#ANUAL!A1"/><Relationship Id="rId40" Type="http://schemas.openxmlformats.org/officeDocument/2006/relationships/image" Target="../media/image268.png"/><Relationship Id="rId41" Type="http://schemas.openxmlformats.org/officeDocument/2006/relationships/hyperlink" Target="https://focanodinheiro.neon.com.br/juntar-dinheiro/desafio-das-52-semanas-tabela-para-juntar-dinheiro?utm_source=planilha&amp;utm_medium=rich-content&amp;utm_campaign=planilha-de-gastos-mensais&amp;utm_content=aba-mes" TargetMode="External"/><Relationship Id="rId42" Type="http://schemas.openxmlformats.org/officeDocument/2006/relationships/image" Target="../media/image269.png"/><Relationship Id="rId43" Type="http://schemas.openxmlformats.org/officeDocument/2006/relationships/hyperlink" Target="#&apos;9&apos;!A1"/><Relationship Id="rId44" Type="http://schemas.openxmlformats.org/officeDocument/2006/relationships/image" Target="../media/image270.png"/><Relationship Id="rId45" Type="http://schemas.openxmlformats.org/officeDocument/2006/relationships/hyperlink" Target="#&apos;7&apos;!A1"/><Relationship Id="rId46" Type="http://schemas.openxmlformats.org/officeDocument/2006/relationships/image" Target="../media/image271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72.png"/><Relationship Id="rId2" Type="http://schemas.openxmlformats.org/officeDocument/2006/relationships/image" Target="../media/image273.png"/><Relationship Id="rId3" Type="http://schemas.openxmlformats.org/officeDocument/2006/relationships/image" Target="../media/image274.png"/><Relationship Id="rId4" Type="http://schemas.openxmlformats.org/officeDocument/2006/relationships/image" Target="../media/image275.png"/><Relationship Id="rId5" Type="http://schemas.openxmlformats.org/officeDocument/2006/relationships/hyperlink" Target="#&apos;&#128200;&apos;!A1"/><Relationship Id="rId6" Type="http://schemas.openxmlformats.org/officeDocument/2006/relationships/image" Target="../media/image276.png"/><Relationship Id="rId7" Type="http://schemas.openxmlformats.org/officeDocument/2006/relationships/hyperlink" Target="#&apos;&#128274;&apos;!A1"/><Relationship Id="rId8" Type="http://schemas.openxmlformats.org/officeDocument/2006/relationships/image" Target="../media/image277.png"/><Relationship Id="rId9" Type="http://schemas.openxmlformats.org/officeDocument/2006/relationships/hyperlink" Target="https://focanodinheiro.neon.com.br/novidades/como-neon-ajudou-a-organizar-financas-e-guardar-dinheiro?utm_source=planilha&amp;utm_medium=rich-content&amp;utm_campaign=planilha-de-gastos-mensais&amp;utm_content=aba-mes" TargetMode="External"/><Relationship Id="rId10" Type="http://schemas.openxmlformats.org/officeDocument/2006/relationships/image" Target="../media/image278.png"/><Relationship Id="rId11" Type="http://schemas.openxmlformats.org/officeDocument/2006/relationships/hyperlink" Target="https://focanodinheiro.neon.com.br/controle-financeiro/economizar-dinheiro-dia-a-dia-melhores-dicas?utm_source=planilha&amp;utm_medium=rich-content&amp;utm_campaign=planilha-de-gastos-mensais&amp;utm_content=aba-mes" TargetMode="External"/><Relationship Id="rId12" Type="http://schemas.openxmlformats.org/officeDocument/2006/relationships/image" Target="../media/image279.png"/><Relationship Id="rId13" Type="http://schemas.openxmlformats.org/officeDocument/2006/relationships/hyperlink" Target="https://focanodinheiro.neon.com.br/juntar-dinheiro/45-dias-sem-gastar?utm_source=planilha&amp;utm_medium=rich-content&amp;utm_campaign=planilha-de-gastos-mensais&amp;utm_content=aba-mes" TargetMode="External"/><Relationship Id="rId14" Type="http://schemas.openxmlformats.org/officeDocument/2006/relationships/image" Target="../media/image280.png"/><Relationship Id="rId15" Type="http://schemas.openxmlformats.org/officeDocument/2006/relationships/hyperlink" Target="https://focanodinheiro.neon.com.br/juntar-dinheiro/dicas-faceis-para-juntar-dinheiro-rapido?utm_source=planilha&amp;utm_medium=rich-content&amp;utm_campaign=planilha-de-gastos-mensais&amp;utm_content=aba-mes" TargetMode="External"/><Relationship Id="rId16" Type="http://schemas.openxmlformats.org/officeDocument/2006/relationships/image" Target="../media/image281.png"/><Relationship Id="rId17" Type="http://schemas.openxmlformats.org/officeDocument/2006/relationships/hyperlink" Target="https://focanodinheiro.neon.com.br/juntar-dinheiro/como-ganhar-dinheiro-extra?utm_source=planilha&amp;utm_medium=rich-content&amp;utm_campaign=planilha-de-gastos-mensais&amp;utm_content=aba-mes" TargetMode="External"/><Relationship Id="rId18" Type="http://schemas.openxmlformats.org/officeDocument/2006/relationships/image" Target="../media/image282.png"/><Relationship Id="rId19" Type="http://schemas.openxmlformats.org/officeDocument/2006/relationships/hyperlink" Target="https://focanodinheiro.neon.com.br/investimentos/melhores-investimentos-para-aplicar-seu-dinheiro?utm_source=planilha&amp;utm_medium=rich-content&amp;utm_campaign=planilha-de-gastos-mensais&amp;utm_content=aba-mes" TargetMode="External"/><Relationship Id="rId20" Type="http://schemas.openxmlformats.org/officeDocument/2006/relationships/image" Target="../media/image283.png"/><Relationship Id="rId21" Type="http://schemas.openxmlformats.org/officeDocument/2006/relationships/hyperlink" Target="https://focanodinheiro.neon.com.br/investimentos/tudo-sobre-warren-buffett?utm_source=planilha&amp;utm_medium=rich-content&amp;utm_campaign=planilha-de-gastos-mensais&amp;utm_content=aba-mes" TargetMode="External"/><Relationship Id="rId22" Type="http://schemas.openxmlformats.org/officeDocument/2006/relationships/image" Target="../media/image284.png"/><Relationship Id="rId23" Type="http://schemas.openxmlformats.org/officeDocument/2006/relationships/hyperlink" Target="https://focanodinheiro.neon.com.br/investimentos/investir-em-ouro?utm_source=planilha&amp;utm_medium=rich-content&amp;utm_campaign=planilha-de-gastos-mensais&amp;utm_content=aba-mes" TargetMode="External"/><Relationship Id="rId24" Type="http://schemas.openxmlformats.org/officeDocument/2006/relationships/image" Target="../media/image285.png"/><Relationship Id="rId25" Type="http://schemas.openxmlformats.org/officeDocument/2006/relationships/hyperlink" Target="https://focanodinheiro.neon.com.br/controle-financeiro/o-que-e-reserva-de-emergencia-aprenda-a-montar-uma?utm_source=planilha&amp;utm_medium=rich-content&amp;utm_campaign=planilha-de-gastos-mensais&amp;utm_content=aba-mes" TargetMode="External"/><Relationship Id="rId26" Type="http://schemas.openxmlformats.org/officeDocument/2006/relationships/image" Target="../media/image286.png"/><Relationship Id="rId27" Type="http://schemas.openxmlformats.org/officeDocument/2006/relationships/hyperlink" Target="https://focanodinheiro.neon.com.br/controle-financeiro/quando-gastar-reserva-de-emergencia?utm_source=planilha&amp;utm_medium=rich-content&amp;utm_campaign=planilha-de-gastos-mensais&amp;utm_content=aba-mes" TargetMode="External"/><Relationship Id="rId28" Type="http://schemas.openxmlformats.org/officeDocument/2006/relationships/image" Target="../media/image287.png"/><Relationship Id="rId29" Type="http://schemas.openxmlformats.org/officeDocument/2006/relationships/hyperlink" Target="https://focanodinheiro.neon.com.br/controle-financeiro/planejamento-sem-salario-fixo?utm_source=planilha&amp;utm_medium=rich-content&amp;utm_campaign=planilha-de-gastos-mensais&amp;utm_content=aba-mes" TargetMode="External"/><Relationship Id="rId30" Type="http://schemas.openxmlformats.org/officeDocument/2006/relationships/image" Target="../media/image288.png"/><Relationship Id="rId31" Type="http://schemas.openxmlformats.org/officeDocument/2006/relationships/image" Target="../media/image289.png"/><Relationship Id="rId32" Type="http://schemas.openxmlformats.org/officeDocument/2006/relationships/image" Target="../media/image290.png"/><Relationship Id="rId33" Type="http://schemas.openxmlformats.org/officeDocument/2006/relationships/image" Target="../media/image291.png"/><Relationship Id="rId34" Type="http://schemas.openxmlformats.org/officeDocument/2006/relationships/image" Target="../media/image292.png"/><Relationship Id="rId35" Type="http://schemas.openxmlformats.org/officeDocument/2006/relationships/image" Target="../media/image293.png"/><Relationship Id="rId36" Type="http://schemas.openxmlformats.org/officeDocument/2006/relationships/image" Target="../media/image294.png"/><Relationship Id="rId37" Type="http://schemas.openxmlformats.org/officeDocument/2006/relationships/image" Target="../media/image295.png"/><Relationship Id="rId38" Type="http://schemas.openxmlformats.org/officeDocument/2006/relationships/image" Target="../media/image296.png"/><Relationship Id="rId39" Type="http://schemas.openxmlformats.org/officeDocument/2006/relationships/hyperlink" Target="#ANUAL!A1"/><Relationship Id="rId40" Type="http://schemas.openxmlformats.org/officeDocument/2006/relationships/image" Target="../media/image297.png"/><Relationship Id="rId41" Type="http://schemas.openxmlformats.org/officeDocument/2006/relationships/hyperlink" Target="https://focanodinheiro.neon.com.br/juntar-dinheiro/desafio-das-52-semanas-tabela-para-juntar-dinheiro?utm_source=planilha&amp;utm_medium=rich-content&amp;utm_campaign=planilha-de-gastos-mensais&amp;utm_content=aba-mes" TargetMode="External"/><Relationship Id="rId42" Type="http://schemas.openxmlformats.org/officeDocument/2006/relationships/image" Target="../media/image298.png"/><Relationship Id="rId43" Type="http://schemas.openxmlformats.org/officeDocument/2006/relationships/hyperlink" Target="#&apos;10&apos;!A1"/><Relationship Id="rId44" Type="http://schemas.openxmlformats.org/officeDocument/2006/relationships/image" Target="../media/image299.png"/><Relationship Id="rId45" Type="http://schemas.openxmlformats.org/officeDocument/2006/relationships/hyperlink" Target="#&apos;8&apos;!A1"/><Relationship Id="rId46" Type="http://schemas.openxmlformats.org/officeDocument/2006/relationships/image" Target="../media/image300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301.png"/><Relationship Id="rId2" Type="http://schemas.openxmlformats.org/officeDocument/2006/relationships/image" Target="../media/image302.png"/><Relationship Id="rId3" Type="http://schemas.openxmlformats.org/officeDocument/2006/relationships/image" Target="../media/image303.png"/><Relationship Id="rId4" Type="http://schemas.openxmlformats.org/officeDocument/2006/relationships/image" Target="../media/image304.png"/><Relationship Id="rId5" Type="http://schemas.openxmlformats.org/officeDocument/2006/relationships/hyperlink" Target="#&apos;&#128200;&apos;!A1"/><Relationship Id="rId6" Type="http://schemas.openxmlformats.org/officeDocument/2006/relationships/image" Target="../media/image305.png"/><Relationship Id="rId7" Type="http://schemas.openxmlformats.org/officeDocument/2006/relationships/hyperlink" Target="#&apos;&#128274;&apos;!A1"/><Relationship Id="rId8" Type="http://schemas.openxmlformats.org/officeDocument/2006/relationships/image" Target="../media/image306.png"/><Relationship Id="rId9" Type="http://schemas.openxmlformats.org/officeDocument/2006/relationships/hyperlink" Target="https://focanodinheiro.neon.com.br/novidades/como-neon-ajudou-a-organizar-financas-e-guardar-dinheiro?utm_source=planilha&amp;utm_medium=rich-content&amp;utm_campaign=planilha-de-gastos-mensais&amp;utm_content=aba-mes" TargetMode="External"/><Relationship Id="rId10" Type="http://schemas.openxmlformats.org/officeDocument/2006/relationships/image" Target="../media/image307.png"/><Relationship Id="rId11" Type="http://schemas.openxmlformats.org/officeDocument/2006/relationships/hyperlink" Target="https://focanodinheiro.neon.com.br/controle-financeiro/economizar-dinheiro-dia-a-dia-melhores-dicas?utm_source=planilha&amp;utm_medium=rich-content&amp;utm_campaign=planilha-de-gastos-mensais&amp;utm_content=aba-mes" TargetMode="External"/><Relationship Id="rId12" Type="http://schemas.openxmlformats.org/officeDocument/2006/relationships/image" Target="../media/image308.png"/><Relationship Id="rId13" Type="http://schemas.openxmlformats.org/officeDocument/2006/relationships/hyperlink" Target="https://focanodinheiro.neon.com.br/juntar-dinheiro/45-dias-sem-gastar?utm_source=planilha&amp;utm_medium=rich-content&amp;utm_campaign=planilha-de-gastos-mensais&amp;utm_content=aba-mes" TargetMode="External"/><Relationship Id="rId14" Type="http://schemas.openxmlformats.org/officeDocument/2006/relationships/image" Target="../media/image309.png"/><Relationship Id="rId15" Type="http://schemas.openxmlformats.org/officeDocument/2006/relationships/hyperlink" Target="https://focanodinheiro.neon.com.br/juntar-dinheiro/dicas-faceis-para-juntar-dinheiro-rapido?utm_source=planilha&amp;utm_medium=rich-content&amp;utm_campaign=planilha-de-gastos-mensais&amp;utm_content=aba-mes" TargetMode="External"/><Relationship Id="rId16" Type="http://schemas.openxmlformats.org/officeDocument/2006/relationships/image" Target="../media/image310.png"/><Relationship Id="rId17" Type="http://schemas.openxmlformats.org/officeDocument/2006/relationships/hyperlink" Target="https://focanodinheiro.neon.com.br/juntar-dinheiro/como-ganhar-dinheiro-extra?utm_source=planilha&amp;utm_medium=rich-content&amp;utm_campaign=planilha-de-gastos-mensais&amp;utm_content=aba-mes" TargetMode="External"/><Relationship Id="rId18" Type="http://schemas.openxmlformats.org/officeDocument/2006/relationships/image" Target="../media/image311.png"/><Relationship Id="rId19" Type="http://schemas.openxmlformats.org/officeDocument/2006/relationships/hyperlink" Target="https://focanodinheiro.neon.com.br/investimentos/melhores-investimentos-para-aplicar-seu-dinheiro?utm_source=planilha&amp;utm_medium=rich-content&amp;utm_campaign=planilha-de-gastos-mensais&amp;utm_content=aba-mes" TargetMode="External"/><Relationship Id="rId20" Type="http://schemas.openxmlformats.org/officeDocument/2006/relationships/image" Target="../media/image312.png"/><Relationship Id="rId21" Type="http://schemas.openxmlformats.org/officeDocument/2006/relationships/hyperlink" Target="https://focanodinheiro.neon.com.br/investimentos/tudo-sobre-warren-buffett?utm_source=planilha&amp;utm_medium=rich-content&amp;utm_campaign=planilha-de-gastos-mensais&amp;utm_content=aba-mes" TargetMode="External"/><Relationship Id="rId22" Type="http://schemas.openxmlformats.org/officeDocument/2006/relationships/image" Target="../media/image313.png"/><Relationship Id="rId23" Type="http://schemas.openxmlformats.org/officeDocument/2006/relationships/hyperlink" Target="https://focanodinheiro.neon.com.br/investimentos/investir-em-ouro?utm_source=planilha&amp;utm_medium=rich-content&amp;utm_campaign=planilha-de-gastos-mensais&amp;utm_content=aba-mes" TargetMode="External"/><Relationship Id="rId24" Type="http://schemas.openxmlformats.org/officeDocument/2006/relationships/image" Target="../media/image314.png"/><Relationship Id="rId25" Type="http://schemas.openxmlformats.org/officeDocument/2006/relationships/hyperlink" Target="https://focanodinheiro.neon.com.br/controle-financeiro/o-que-e-reserva-de-emergencia-aprenda-a-montar-uma?utm_source=planilha&amp;utm_medium=rich-content&amp;utm_campaign=planilha-de-gastos-mensais&amp;utm_content=aba-mes" TargetMode="External"/><Relationship Id="rId26" Type="http://schemas.openxmlformats.org/officeDocument/2006/relationships/image" Target="../media/image315.png"/><Relationship Id="rId27" Type="http://schemas.openxmlformats.org/officeDocument/2006/relationships/hyperlink" Target="https://focanodinheiro.neon.com.br/controle-financeiro/quando-gastar-reserva-de-emergencia?utm_source=planilha&amp;utm_medium=rich-content&amp;utm_campaign=planilha-de-gastos-mensais&amp;utm_content=aba-mes" TargetMode="External"/><Relationship Id="rId28" Type="http://schemas.openxmlformats.org/officeDocument/2006/relationships/image" Target="../media/image316.png"/><Relationship Id="rId29" Type="http://schemas.openxmlformats.org/officeDocument/2006/relationships/hyperlink" Target="https://focanodinheiro.neon.com.br/controle-financeiro/planejamento-sem-salario-fixo?utm_source=planilha&amp;utm_medium=rich-content&amp;utm_campaign=planilha-de-gastos-mensais&amp;utm_content=aba-mes" TargetMode="External"/><Relationship Id="rId30" Type="http://schemas.openxmlformats.org/officeDocument/2006/relationships/image" Target="../media/image317.png"/><Relationship Id="rId31" Type="http://schemas.openxmlformats.org/officeDocument/2006/relationships/image" Target="../media/image318.png"/><Relationship Id="rId32" Type="http://schemas.openxmlformats.org/officeDocument/2006/relationships/image" Target="../media/image319.png"/><Relationship Id="rId33" Type="http://schemas.openxmlformats.org/officeDocument/2006/relationships/image" Target="../media/image320.png"/><Relationship Id="rId34" Type="http://schemas.openxmlformats.org/officeDocument/2006/relationships/image" Target="../media/image321.png"/><Relationship Id="rId35" Type="http://schemas.openxmlformats.org/officeDocument/2006/relationships/image" Target="../media/image322.png"/><Relationship Id="rId36" Type="http://schemas.openxmlformats.org/officeDocument/2006/relationships/image" Target="../media/image323.png"/><Relationship Id="rId37" Type="http://schemas.openxmlformats.org/officeDocument/2006/relationships/image" Target="../media/image324.png"/><Relationship Id="rId38" Type="http://schemas.openxmlformats.org/officeDocument/2006/relationships/image" Target="../media/image325.png"/><Relationship Id="rId39" Type="http://schemas.openxmlformats.org/officeDocument/2006/relationships/hyperlink" Target="#ANUAL!A1"/><Relationship Id="rId40" Type="http://schemas.openxmlformats.org/officeDocument/2006/relationships/image" Target="../media/image326.png"/><Relationship Id="rId41" Type="http://schemas.openxmlformats.org/officeDocument/2006/relationships/hyperlink" Target="https://focanodinheiro.neon.com.br/juntar-dinheiro/desafio-das-52-semanas-tabela-para-juntar-dinheiro?utm_source=planilha&amp;utm_medium=rich-content&amp;utm_campaign=planilha-de-gastos-mensais&amp;utm_content=aba-mes" TargetMode="External"/><Relationship Id="rId42" Type="http://schemas.openxmlformats.org/officeDocument/2006/relationships/image" Target="../media/image327.png"/><Relationship Id="rId43" Type="http://schemas.openxmlformats.org/officeDocument/2006/relationships/hyperlink" Target="#&apos;11&apos;!A1"/><Relationship Id="rId44" Type="http://schemas.openxmlformats.org/officeDocument/2006/relationships/image" Target="../media/image328.png"/><Relationship Id="rId45" Type="http://schemas.openxmlformats.org/officeDocument/2006/relationships/hyperlink" Target="#&apos;9&apos;!A1"/><Relationship Id="rId46" Type="http://schemas.openxmlformats.org/officeDocument/2006/relationships/image" Target="../media/image329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330.png"/><Relationship Id="rId2" Type="http://schemas.openxmlformats.org/officeDocument/2006/relationships/image" Target="../media/image331.png"/><Relationship Id="rId3" Type="http://schemas.openxmlformats.org/officeDocument/2006/relationships/image" Target="../media/image332.png"/><Relationship Id="rId4" Type="http://schemas.openxmlformats.org/officeDocument/2006/relationships/image" Target="../media/image333.png"/><Relationship Id="rId5" Type="http://schemas.openxmlformats.org/officeDocument/2006/relationships/hyperlink" Target="#&apos;&#128200;&apos;!A1"/><Relationship Id="rId6" Type="http://schemas.openxmlformats.org/officeDocument/2006/relationships/image" Target="../media/image334.png"/><Relationship Id="rId7" Type="http://schemas.openxmlformats.org/officeDocument/2006/relationships/hyperlink" Target="#&apos;&#128274;&apos;!A1"/><Relationship Id="rId8" Type="http://schemas.openxmlformats.org/officeDocument/2006/relationships/image" Target="../media/image335.png"/><Relationship Id="rId9" Type="http://schemas.openxmlformats.org/officeDocument/2006/relationships/hyperlink" Target="https://focanodinheiro.neon.com.br/novidades/como-neon-ajudou-a-organizar-financas-e-guardar-dinheiro?utm_source=planilha&amp;utm_medium=rich-content&amp;utm_campaign=planilha-de-gastos-mensais&amp;utm_content=aba-mes" TargetMode="External"/><Relationship Id="rId10" Type="http://schemas.openxmlformats.org/officeDocument/2006/relationships/image" Target="../media/image336.png"/><Relationship Id="rId11" Type="http://schemas.openxmlformats.org/officeDocument/2006/relationships/hyperlink" Target="https://focanodinheiro.neon.com.br/controle-financeiro/economizar-dinheiro-dia-a-dia-melhores-dicas?utm_source=planilha&amp;utm_medium=rich-content&amp;utm_campaign=planilha-de-gastos-mensais&amp;utm_content=aba-mes" TargetMode="External"/><Relationship Id="rId12" Type="http://schemas.openxmlformats.org/officeDocument/2006/relationships/image" Target="../media/image337.png"/><Relationship Id="rId13" Type="http://schemas.openxmlformats.org/officeDocument/2006/relationships/hyperlink" Target="https://focanodinheiro.neon.com.br/juntar-dinheiro/45-dias-sem-gastar?utm_source=planilha&amp;utm_medium=rich-content&amp;utm_campaign=planilha-de-gastos-mensais&amp;utm_content=aba-mes" TargetMode="External"/><Relationship Id="rId14" Type="http://schemas.openxmlformats.org/officeDocument/2006/relationships/image" Target="../media/image338.png"/><Relationship Id="rId15" Type="http://schemas.openxmlformats.org/officeDocument/2006/relationships/hyperlink" Target="https://focanodinheiro.neon.com.br/juntar-dinheiro/dicas-faceis-para-juntar-dinheiro-rapido?utm_source=planilha&amp;utm_medium=rich-content&amp;utm_campaign=planilha-de-gastos-mensais&amp;utm_content=aba-mes" TargetMode="External"/><Relationship Id="rId16" Type="http://schemas.openxmlformats.org/officeDocument/2006/relationships/image" Target="../media/image339.png"/><Relationship Id="rId17" Type="http://schemas.openxmlformats.org/officeDocument/2006/relationships/hyperlink" Target="https://focanodinheiro.neon.com.br/juntar-dinheiro/como-ganhar-dinheiro-extra?utm_source=planilha&amp;utm_medium=rich-content&amp;utm_campaign=planilha-de-gastos-mensais&amp;utm_content=aba-mes" TargetMode="External"/><Relationship Id="rId18" Type="http://schemas.openxmlformats.org/officeDocument/2006/relationships/image" Target="../media/image340.png"/><Relationship Id="rId19" Type="http://schemas.openxmlformats.org/officeDocument/2006/relationships/hyperlink" Target="https://focanodinheiro.neon.com.br/investimentos/melhores-investimentos-para-aplicar-seu-dinheiro?utm_source=planilha&amp;utm_medium=rich-content&amp;utm_campaign=planilha-de-gastos-mensais&amp;utm_content=aba-mes" TargetMode="External"/><Relationship Id="rId20" Type="http://schemas.openxmlformats.org/officeDocument/2006/relationships/image" Target="../media/image341.png"/><Relationship Id="rId21" Type="http://schemas.openxmlformats.org/officeDocument/2006/relationships/hyperlink" Target="https://focanodinheiro.neon.com.br/investimentos/tudo-sobre-warren-buffett?utm_source=planilha&amp;utm_medium=rich-content&amp;utm_campaign=planilha-de-gastos-mensais&amp;utm_content=aba-mes" TargetMode="External"/><Relationship Id="rId22" Type="http://schemas.openxmlformats.org/officeDocument/2006/relationships/image" Target="../media/image342.png"/><Relationship Id="rId23" Type="http://schemas.openxmlformats.org/officeDocument/2006/relationships/hyperlink" Target="https://focanodinheiro.neon.com.br/investimentos/investir-em-ouro?utm_source=planilha&amp;utm_medium=rich-content&amp;utm_campaign=planilha-de-gastos-mensais&amp;utm_content=aba-mes" TargetMode="External"/><Relationship Id="rId24" Type="http://schemas.openxmlformats.org/officeDocument/2006/relationships/image" Target="../media/image343.png"/><Relationship Id="rId25" Type="http://schemas.openxmlformats.org/officeDocument/2006/relationships/hyperlink" Target="https://focanodinheiro.neon.com.br/controle-financeiro/o-que-e-reserva-de-emergencia-aprenda-a-montar-uma?utm_source=planilha&amp;utm_medium=rich-content&amp;utm_campaign=planilha-de-gastos-mensais&amp;utm_content=aba-mes" TargetMode="External"/><Relationship Id="rId26" Type="http://schemas.openxmlformats.org/officeDocument/2006/relationships/image" Target="../media/image344.png"/><Relationship Id="rId27" Type="http://schemas.openxmlformats.org/officeDocument/2006/relationships/hyperlink" Target="https://focanodinheiro.neon.com.br/controle-financeiro/quando-gastar-reserva-de-emergencia?utm_source=planilha&amp;utm_medium=rich-content&amp;utm_campaign=planilha-de-gastos-mensais&amp;utm_content=aba-mes" TargetMode="External"/><Relationship Id="rId28" Type="http://schemas.openxmlformats.org/officeDocument/2006/relationships/image" Target="../media/image345.png"/><Relationship Id="rId29" Type="http://schemas.openxmlformats.org/officeDocument/2006/relationships/hyperlink" Target="https://focanodinheiro.neon.com.br/controle-financeiro/planejamento-sem-salario-fixo?utm_source=planilha&amp;utm_medium=rich-content&amp;utm_campaign=planilha-de-gastos-mensais&amp;utm_content=aba-mes" TargetMode="External"/><Relationship Id="rId30" Type="http://schemas.openxmlformats.org/officeDocument/2006/relationships/image" Target="../media/image346.png"/><Relationship Id="rId31" Type="http://schemas.openxmlformats.org/officeDocument/2006/relationships/image" Target="../media/image347.png"/><Relationship Id="rId32" Type="http://schemas.openxmlformats.org/officeDocument/2006/relationships/image" Target="../media/image348.png"/><Relationship Id="rId33" Type="http://schemas.openxmlformats.org/officeDocument/2006/relationships/image" Target="../media/image349.png"/><Relationship Id="rId34" Type="http://schemas.openxmlformats.org/officeDocument/2006/relationships/image" Target="../media/image350.png"/><Relationship Id="rId35" Type="http://schemas.openxmlformats.org/officeDocument/2006/relationships/image" Target="../media/image351.png"/><Relationship Id="rId36" Type="http://schemas.openxmlformats.org/officeDocument/2006/relationships/image" Target="../media/image352.png"/><Relationship Id="rId37" Type="http://schemas.openxmlformats.org/officeDocument/2006/relationships/image" Target="../media/image353.png"/><Relationship Id="rId38" Type="http://schemas.openxmlformats.org/officeDocument/2006/relationships/image" Target="../media/image354.png"/><Relationship Id="rId39" Type="http://schemas.openxmlformats.org/officeDocument/2006/relationships/hyperlink" Target="#ANUAL!A1"/><Relationship Id="rId40" Type="http://schemas.openxmlformats.org/officeDocument/2006/relationships/image" Target="../media/image355.png"/><Relationship Id="rId41" Type="http://schemas.openxmlformats.org/officeDocument/2006/relationships/hyperlink" Target="https://focanodinheiro.neon.com.br/juntar-dinheiro/desafio-das-52-semanas-tabela-para-juntar-dinheiro?utm_source=planilha&amp;utm_medium=rich-content&amp;utm_campaign=planilha-de-gastos-mensais&amp;utm_content=aba-mes" TargetMode="External"/><Relationship Id="rId42" Type="http://schemas.openxmlformats.org/officeDocument/2006/relationships/image" Target="../media/image356.png"/><Relationship Id="rId43" Type="http://schemas.openxmlformats.org/officeDocument/2006/relationships/hyperlink" Target="#&apos;12&apos;!A1"/><Relationship Id="rId44" Type="http://schemas.openxmlformats.org/officeDocument/2006/relationships/image" Target="../media/image357.png"/><Relationship Id="rId45" Type="http://schemas.openxmlformats.org/officeDocument/2006/relationships/hyperlink" Target="#&apos;10&apos;!A1"/><Relationship Id="rId46" Type="http://schemas.openxmlformats.org/officeDocument/2006/relationships/image" Target="../media/image358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359.png"/><Relationship Id="rId2" Type="http://schemas.openxmlformats.org/officeDocument/2006/relationships/image" Target="../media/image360.png"/><Relationship Id="rId3" Type="http://schemas.openxmlformats.org/officeDocument/2006/relationships/image" Target="../media/image361.png"/><Relationship Id="rId4" Type="http://schemas.openxmlformats.org/officeDocument/2006/relationships/image" Target="../media/image362.png"/><Relationship Id="rId5" Type="http://schemas.openxmlformats.org/officeDocument/2006/relationships/hyperlink" Target="#&apos;&#128200;&apos;!A1"/><Relationship Id="rId6" Type="http://schemas.openxmlformats.org/officeDocument/2006/relationships/image" Target="../media/image363.png"/><Relationship Id="rId7" Type="http://schemas.openxmlformats.org/officeDocument/2006/relationships/hyperlink" Target="#&apos;&#128274;&apos;!A1"/><Relationship Id="rId8" Type="http://schemas.openxmlformats.org/officeDocument/2006/relationships/image" Target="../media/image364.png"/><Relationship Id="rId9" Type="http://schemas.openxmlformats.org/officeDocument/2006/relationships/hyperlink" Target="https://focanodinheiro.neon.com.br/novidades/como-neon-ajudou-a-organizar-financas-e-guardar-dinheiro?utm_source=planilha&amp;utm_medium=rich-content&amp;utm_campaign=planilha-de-gastos-mensais&amp;utm_content=aba-mes" TargetMode="External"/><Relationship Id="rId10" Type="http://schemas.openxmlformats.org/officeDocument/2006/relationships/image" Target="../media/image365.png"/><Relationship Id="rId11" Type="http://schemas.openxmlformats.org/officeDocument/2006/relationships/hyperlink" Target="https://focanodinheiro.neon.com.br/controle-financeiro/economizar-dinheiro-dia-a-dia-melhores-dicas?utm_source=planilha&amp;utm_medium=rich-content&amp;utm_campaign=planilha-de-gastos-mensais&amp;utm_content=aba-mes" TargetMode="External"/><Relationship Id="rId12" Type="http://schemas.openxmlformats.org/officeDocument/2006/relationships/image" Target="../media/image366.png"/><Relationship Id="rId13" Type="http://schemas.openxmlformats.org/officeDocument/2006/relationships/hyperlink" Target="https://focanodinheiro.neon.com.br/juntar-dinheiro/45-dias-sem-gastar?utm_source=planilha&amp;utm_medium=rich-content&amp;utm_campaign=planilha-de-gastos-mensais&amp;utm_content=aba-mes" TargetMode="External"/><Relationship Id="rId14" Type="http://schemas.openxmlformats.org/officeDocument/2006/relationships/image" Target="../media/image367.png"/><Relationship Id="rId15" Type="http://schemas.openxmlformats.org/officeDocument/2006/relationships/hyperlink" Target="https://focanodinheiro.neon.com.br/juntar-dinheiro/dicas-faceis-para-juntar-dinheiro-rapido?utm_source=planilha&amp;utm_medium=rich-content&amp;utm_campaign=planilha-de-gastos-mensais&amp;utm_content=aba-mes" TargetMode="External"/><Relationship Id="rId16" Type="http://schemas.openxmlformats.org/officeDocument/2006/relationships/image" Target="../media/image368.png"/><Relationship Id="rId17" Type="http://schemas.openxmlformats.org/officeDocument/2006/relationships/hyperlink" Target="https://focanodinheiro.neon.com.br/juntar-dinheiro/como-ganhar-dinheiro-extra?utm_source=planilha&amp;utm_medium=rich-content&amp;utm_campaign=planilha-de-gastos-mensais&amp;utm_content=aba-mes" TargetMode="External"/><Relationship Id="rId18" Type="http://schemas.openxmlformats.org/officeDocument/2006/relationships/image" Target="../media/image369.png"/><Relationship Id="rId19" Type="http://schemas.openxmlformats.org/officeDocument/2006/relationships/hyperlink" Target="https://focanodinheiro.neon.com.br/investimentos/melhores-investimentos-para-aplicar-seu-dinheiro?utm_source=planilha&amp;utm_medium=rich-content&amp;utm_campaign=planilha-de-gastos-mensais&amp;utm_content=aba-mes" TargetMode="External"/><Relationship Id="rId20" Type="http://schemas.openxmlformats.org/officeDocument/2006/relationships/image" Target="../media/image370.png"/><Relationship Id="rId21" Type="http://schemas.openxmlformats.org/officeDocument/2006/relationships/hyperlink" Target="https://focanodinheiro.neon.com.br/investimentos/tudo-sobre-warren-buffett?utm_source=planilha&amp;utm_medium=rich-content&amp;utm_campaign=planilha-de-gastos-mensais&amp;utm_content=aba-mes" TargetMode="External"/><Relationship Id="rId22" Type="http://schemas.openxmlformats.org/officeDocument/2006/relationships/image" Target="../media/image371.png"/><Relationship Id="rId23" Type="http://schemas.openxmlformats.org/officeDocument/2006/relationships/hyperlink" Target="https://focanodinheiro.neon.com.br/investimentos/investir-em-ouro?utm_source=planilha&amp;utm_medium=rich-content&amp;utm_campaign=planilha-de-gastos-mensais&amp;utm_content=aba-mes" TargetMode="External"/><Relationship Id="rId24" Type="http://schemas.openxmlformats.org/officeDocument/2006/relationships/image" Target="../media/image372.png"/><Relationship Id="rId25" Type="http://schemas.openxmlformats.org/officeDocument/2006/relationships/hyperlink" Target="https://focanodinheiro.neon.com.br/controle-financeiro/o-que-e-reserva-de-emergencia-aprenda-a-montar-uma?utm_source=planilha&amp;utm_medium=rich-content&amp;utm_campaign=planilha-de-gastos-mensais&amp;utm_content=aba-mes" TargetMode="External"/><Relationship Id="rId26" Type="http://schemas.openxmlformats.org/officeDocument/2006/relationships/image" Target="../media/image373.png"/><Relationship Id="rId27" Type="http://schemas.openxmlformats.org/officeDocument/2006/relationships/hyperlink" Target="https://focanodinheiro.neon.com.br/controle-financeiro/quando-gastar-reserva-de-emergencia?utm_source=planilha&amp;utm_medium=rich-content&amp;utm_campaign=planilha-de-gastos-mensais&amp;utm_content=aba-mes" TargetMode="External"/><Relationship Id="rId28" Type="http://schemas.openxmlformats.org/officeDocument/2006/relationships/image" Target="../media/image374.png"/><Relationship Id="rId29" Type="http://schemas.openxmlformats.org/officeDocument/2006/relationships/hyperlink" Target="https://focanodinheiro.neon.com.br/controle-financeiro/planejamento-sem-salario-fixo?utm_source=planilha&amp;utm_medium=rich-content&amp;utm_campaign=planilha-de-gastos-mensais&amp;utm_content=aba-mes" TargetMode="External"/><Relationship Id="rId30" Type="http://schemas.openxmlformats.org/officeDocument/2006/relationships/image" Target="../media/image375.png"/><Relationship Id="rId31" Type="http://schemas.openxmlformats.org/officeDocument/2006/relationships/image" Target="../media/image376.png"/><Relationship Id="rId32" Type="http://schemas.openxmlformats.org/officeDocument/2006/relationships/image" Target="../media/image377.png"/><Relationship Id="rId33" Type="http://schemas.openxmlformats.org/officeDocument/2006/relationships/image" Target="../media/image378.png"/><Relationship Id="rId34" Type="http://schemas.openxmlformats.org/officeDocument/2006/relationships/image" Target="../media/image379.png"/><Relationship Id="rId35" Type="http://schemas.openxmlformats.org/officeDocument/2006/relationships/image" Target="../media/image380.png"/><Relationship Id="rId36" Type="http://schemas.openxmlformats.org/officeDocument/2006/relationships/image" Target="../media/image381.png"/><Relationship Id="rId37" Type="http://schemas.openxmlformats.org/officeDocument/2006/relationships/image" Target="../media/image382.png"/><Relationship Id="rId38" Type="http://schemas.openxmlformats.org/officeDocument/2006/relationships/image" Target="../media/image383.png"/><Relationship Id="rId39" Type="http://schemas.openxmlformats.org/officeDocument/2006/relationships/hyperlink" Target="#ANUAL!A1"/><Relationship Id="rId40" Type="http://schemas.openxmlformats.org/officeDocument/2006/relationships/image" Target="../media/image384.png"/><Relationship Id="rId41" Type="http://schemas.openxmlformats.org/officeDocument/2006/relationships/hyperlink" Target="https://focanodinheiro.neon.com.br/juntar-dinheiro/desafio-das-52-semanas-tabela-para-juntar-dinheiro?utm_source=planilha&amp;utm_medium=rich-content&amp;utm_campaign=planilha-de-gastos-mensais&amp;utm_content=aba-mes" TargetMode="External"/><Relationship Id="rId42" Type="http://schemas.openxmlformats.org/officeDocument/2006/relationships/image" Target="../media/image385.png"/><Relationship Id="rId43" Type="http://schemas.openxmlformats.org/officeDocument/2006/relationships/hyperlink" Target="#&apos;1&apos;!A1"/><Relationship Id="rId44" Type="http://schemas.openxmlformats.org/officeDocument/2006/relationships/image" Target="../media/image386.png"/><Relationship Id="rId45" Type="http://schemas.openxmlformats.org/officeDocument/2006/relationships/hyperlink" Target="#&apos;11&apos;!A1"/><Relationship Id="rId46" Type="http://schemas.openxmlformats.org/officeDocument/2006/relationships/image" Target="../media/image387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388.png"/><Relationship Id="rId4" Type="http://schemas.openxmlformats.org/officeDocument/2006/relationships/hyperlink" Target="https://focanodinheiro.neon.com.br/controle-financeiro/metodo-do-pote?utm_source=planilha&amp;utm_medium=rich-content&amp;utm_campaign=planilha-de-gastos-mensais&amp;utm_content=aba-mes-graph" TargetMode="External"/><Relationship Id="rId5" Type="http://schemas.openxmlformats.org/officeDocument/2006/relationships/hyperlink" Target="https://focanodinheiro.neon.com.br/controle-financeiro/metodo-do-pote?utm_source=planilha&amp;utm_medium=rich-content&amp;utm_campaign=planilha-de-gastos-mensais&amp;utm_content=aba-mes-graph" TargetMode="External"/><Relationship Id="rId6" Type="http://schemas.openxmlformats.org/officeDocument/2006/relationships/image" Target="../media/image389.png"/><Relationship Id="rId7" Type="http://schemas.openxmlformats.org/officeDocument/2006/relationships/image" Target="../media/image390.png"/><Relationship Id="rId8" Type="http://schemas.openxmlformats.org/officeDocument/2006/relationships/chart" Target="../charts/chart3.xml"/><Relationship Id="rId9" Type="http://schemas.openxmlformats.org/officeDocument/2006/relationships/hyperlink" Target="#ANUAL!A1"/><Relationship Id="rId10" Type="http://schemas.openxmlformats.org/officeDocument/2006/relationships/image" Target="../media/image391.png"/><Relationship Id="rId11" Type="http://schemas.openxmlformats.org/officeDocument/2006/relationships/hyperlink" Target="#&apos;&#128274;&apos;!A1"/><Relationship Id="rId12" Type="http://schemas.openxmlformats.org/officeDocument/2006/relationships/image" Target="../media/image392.png"/><Relationship Id="rId13" Type="http://schemas.openxmlformats.org/officeDocument/2006/relationships/hyperlink" Target="https://focanodinheiro.neon.com.br/controle-financeiro/conceito-viver-degrau-abaixo?utm_source=planilha&amp;utm_medium=rich-content&amp;utm_campaign=planilha-de-gastos-mensais&amp;utm_content=aba-mes-graph" TargetMode="External"/><Relationship Id="rId14" Type="http://schemas.openxmlformats.org/officeDocument/2006/relationships/hyperlink" Target="https://focanodinheiro.neon.com.br/controle-financeiro/conceito-viver-degrau-abaixo?utm_source=planilha&amp;utm_medium=rich-content&amp;utm_campaign=planilha-de-gastos-mensais&amp;utm_content=aba-mes-graph" TargetMode="External"/><Relationship Id="rId15" Type="http://schemas.openxmlformats.org/officeDocument/2006/relationships/image" Target="../media/image393.png"/><Relationship Id="rId16" Type="http://schemas.openxmlformats.org/officeDocument/2006/relationships/chart" Target="../charts/chart4.xml"/><Relationship Id="rId17" Type="http://schemas.openxmlformats.org/officeDocument/2006/relationships/chart" Target="../charts/chart5.xml"/><Relationship Id="rId18" Type="http://schemas.openxmlformats.org/officeDocument/2006/relationships/chart" Target="../charts/chart6.xml"/><Relationship Id="rId19" Type="http://schemas.openxmlformats.org/officeDocument/2006/relationships/chart" Target="../charts/chart7.xml"/><Relationship Id="rId20" Type="http://schemas.openxmlformats.org/officeDocument/2006/relationships/hyperlink" Target="https://focanodinheiro.neon.com.br/juntar-dinheiro/dicas-faceis-para-juntar-dinheiro-rapido?utm_source=planilha&amp;utm_medium=rich-content&amp;utm_campaign=planilha-de-gastos-mensais&amp;utm_content=aba-mes-graph" TargetMode="External"/><Relationship Id="rId21" Type="http://schemas.openxmlformats.org/officeDocument/2006/relationships/hyperlink" Target="https://focanodinheiro.neon.com.br/juntar-dinheiro/dicas-faceis-para-juntar-dinheiro-rapido?utm_source=planilha&amp;utm_medium=rich-content&amp;utm_campaign=planilha-de-gastos-mensais&amp;utm_content=aba-mes-graph" TargetMode="External"/><Relationship Id="rId22" Type="http://schemas.openxmlformats.org/officeDocument/2006/relationships/image" Target="../media/image394.png"/><Relationship Id="rId23" Type="http://schemas.openxmlformats.org/officeDocument/2006/relationships/chart" Target="../charts/chart8.xml"/><Relationship Id="rId24" Type="http://schemas.openxmlformats.org/officeDocument/2006/relationships/hyperlink" Target="https://focanodinheiro.neon.com.br/controle-financeiro/como-priorizar-contas?utm_source=planilha&amp;utm_medium=rich-content&amp;utm_campaign=planilha-de-gastos-mensais&amp;utm_content=aba-mes-graph" TargetMode="External"/><Relationship Id="rId25" Type="http://schemas.openxmlformats.org/officeDocument/2006/relationships/hyperlink" Target="https://focanodinheiro.neon.com.br/controle-financeiro/como-priorizar-contas?utm_source=planilha&amp;utm_medium=rich-content&amp;utm_campaign=planilha-de-gastos-mensais&amp;utm_content=aba-mes-graph" TargetMode="External"/><Relationship Id="rId26" Type="http://schemas.openxmlformats.org/officeDocument/2006/relationships/image" Target="../media/image395.png"/><Relationship Id="rId27" Type="http://schemas.openxmlformats.org/officeDocument/2006/relationships/hyperlink" Target="https://focanodinheiro.neon.com.br/investimentos/melhores-investimentos-para-aplicar-seu-dinheiro?utm_source=planilha&amp;utm_medium=rich-content&amp;utm_campaign=planilha-de-gastos-mensais&amp;utm_content=aba-mes-graph" TargetMode="External"/><Relationship Id="rId28" Type="http://schemas.openxmlformats.org/officeDocument/2006/relationships/hyperlink" Target="https://focanodinheiro.neon.com.br/investimentos/melhores-investimentos-para-aplicar-seu-dinheiro?utm_source=planilha&amp;utm_medium=rich-content&amp;utm_campaign=planilha-de-gastos-mensais&amp;utm_content=aba-mes-graph" TargetMode="External"/><Relationship Id="rId29" Type="http://schemas.openxmlformats.org/officeDocument/2006/relationships/image" Target="../media/image396.png"/><Relationship Id="rId30" Type="http://schemas.openxmlformats.org/officeDocument/2006/relationships/hyperlink" Target="https://focanodinheiro.neon.com.br/controle-financeiro/o-que-e-reserva-de-emergencia-aprenda-a-montar-uma?utm_source=planilha&amp;utm_medium=rich-content&amp;utm_campaign=planilha-de-gastos-mensais&amp;utm_content=aba-mes-graph" TargetMode="External"/><Relationship Id="rId31" Type="http://schemas.openxmlformats.org/officeDocument/2006/relationships/hyperlink" Target="https://focanodinheiro.neon.com.br/controle-financeiro/o-que-e-reserva-de-emergencia-aprenda-a-montar-uma?utm_source=planilha&amp;utm_medium=rich-content&amp;utm_campaign=planilha-de-gastos-mensais&amp;utm_content=aba-mes-graph" TargetMode="External"/><Relationship Id="rId32" Type="http://schemas.openxmlformats.org/officeDocument/2006/relationships/image" Target="../media/image397.png"/><Relationship Id="rId33" Type="http://schemas.openxmlformats.org/officeDocument/2006/relationships/hyperlink" Target="https://focanodinheiro.neon.com.br/juntar-dinheiro/10-desafios-juntar-dinheiro?utm_source=planilha&amp;utm_medium=rich-content&amp;utm_campaign=planilha-de-gastos-mensais&amp;utm_content=aba-mes-graph" TargetMode="External"/><Relationship Id="rId34" Type="http://schemas.openxmlformats.org/officeDocument/2006/relationships/hyperlink" Target="https://focanodinheiro.neon.com.br/juntar-dinheiro/10-desafios-juntar-dinheiro?utm_source=planilha&amp;utm_medium=rich-content&amp;utm_campaign=planilha-de-gastos-mensais&amp;utm_content=aba-mes-graph" TargetMode="External"/><Relationship Id="rId35" Type="http://schemas.openxmlformats.org/officeDocument/2006/relationships/image" Target="../media/image398.png"/><Relationship Id="rId36" Type="http://schemas.openxmlformats.org/officeDocument/2006/relationships/hyperlink" Target="https://focanodinheiro.neon.com.br/juntar-dinheiro/como-ganhar-dinheiro-extra?utm_source=planilha&amp;utm_medium=rich-content&amp;utm_campaign=planilha-de-gastos-mensais&amp;utm_content=aba-mes-graph" TargetMode="External"/><Relationship Id="rId37" Type="http://schemas.openxmlformats.org/officeDocument/2006/relationships/hyperlink" Target="https://focanodinheiro.neon.com.br/juntar-dinheiro/como-ganhar-dinheiro-extra?utm_source=planilha&amp;utm_medium=rich-content&amp;utm_campaign=planilha-de-gastos-mensais&amp;utm_content=aba-mes-graph" TargetMode="External"/><Relationship Id="rId38" Type="http://schemas.openxmlformats.org/officeDocument/2006/relationships/image" Target="../media/image399.png"/><Relationship Id="rId39" Type="http://schemas.openxmlformats.org/officeDocument/2006/relationships/hyperlink" Target="https://focanodinheiro.neon.com.br/controle-financeiro/economizar-dinheiro-dia-a-dia-melhores-dicas?utm_source=planilha&amp;utm_medium=rich-content&amp;utm_campaign=planilha-de-gastos-mensais&amp;utm_content=aba-mes-graph" TargetMode="External"/><Relationship Id="rId40" Type="http://schemas.openxmlformats.org/officeDocument/2006/relationships/hyperlink" Target="https://focanodinheiro.neon.com.br/controle-financeiro/economizar-dinheiro-dia-a-dia-melhores-dicas?utm_source=planilha&amp;utm_medium=rich-content&amp;utm_campaign=planilha-de-gastos-mensais&amp;utm_content=aba-mes-graph" TargetMode="External"/><Relationship Id="rId41" Type="http://schemas.openxmlformats.org/officeDocument/2006/relationships/image" Target="../media/image400.png"/><Relationship Id="rId42" Type="http://schemas.openxmlformats.org/officeDocument/2006/relationships/hyperlink" Target="https://focanodinheiro.neon.com.br/controle-financeiro/como-sair-da-divida-e-poupar?utm_source=planilha&amp;utm_medium=rich-content&amp;utm_campaign=planilha-de-gastos-mensais&amp;utm_content=aba-mes-graph" TargetMode="External"/><Relationship Id="rId43" Type="http://schemas.openxmlformats.org/officeDocument/2006/relationships/hyperlink" Target="https://focanodinheiro.neon.com.br/controle-financeiro/como-sair-da-divida-e-poupar?utm_source=planilha&amp;utm_medium=rich-content&amp;utm_campaign=planilha-de-gastos-mensais&amp;utm_content=aba-mes-graph" TargetMode="External"/><Relationship Id="rId44" Type="http://schemas.openxmlformats.org/officeDocument/2006/relationships/image" Target="../media/image401.png"/><Relationship Id="rId45" Type="http://schemas.openxmlformats.org/officeDocument/2006/relationships/hyperlink" Target="https://focanodinheiro.neon.com.br/investimentos/aplicacoes-financeiras-mais-rentaveis?utm_source=planilha&amp;utm_medium=rich-content&amp;utm_campaign=planilha-de-gastos-mensais&amp;utm_content=aba-mes-graph" TargetMode="External"/><Relationship Id="rId46" Type="http://schemas.openxmlformats.org/officeDocument/2006/relationships/hyperlink" Target="https://focanodinheiro.neon.com.br/investimentos/aplicacoes-financeiras-mais-rentaveis?utm_source=planilha&amp;utm_medium=rich-content&amp;utm_campaign=planilha-de-gastos-mensais&amp;utm_content=aba-mes-graph" TargetMode="External"/><Relationship Id="rId47" Type="http://schemas.openxmlformats.org/officeDocument/2006/relationships/image" Target="../media/image402.png"/><Relationship Id="rId48" Type="http://schemas.openxmlformats.org/officeDocument/2006/relationships/hyperlink" Target="https://focanodinheiro.neon.com.br/novidades/aplicacao-cdb-neon-como-funciona?utm_source=planilha&amp;utm_medium=rich-content&amp;utm_campaign=planilha-de-gastos-mensais&amp;utm_content=aba-mes-graph" TargetMode="External"/><Relationship Id="rId49" Type="http://schemas.openxmlformats.org/officeDocument/2006/relationships/hyperlink" Target="https://focanodinheiro.neon.com.br/novidades/aplicacao-cdb-neon-como-funciona?utm_source=planilha&amp;utm_medium=rich-content&amp;utm_campaign=planilha-de-gastos-mensais&amp;utm_content=aba-mes-graph" TargetMode="External"/><Relationship Id="rId50" Type="http://schemas.openxmlformats.org/officeDocument/2006/relationships/image" Target="../media/image403.png"/><Relationship Id="rId51" Type="http://schemas.openxmlformats.org/officeDocument/2006/relationships/hyperlink" Target="https://focanodinheiro.neon.com.br/controle-financeiro/quando-gastar-reserva-de-emergencia?utm_source=planilha&amp;utm_medium=rich-content&amp;utm_campaign=planilha-de-gastos-mensais&amp;utm_content=aba-mes-graph" TargetMode="External"/><Relationship Id="rId52" Type="http://schemas.openxmlformats.org/officeDocument/2006/relationships/hyperlink" Target="https://focanodinheiro.neon.com.br/controle-financeiro/quando-gastar-reserva-de-emergencia?utm_source=planilha&amp;utm_medium=rich-content&amp;utm_campaign=planilha-de-gastos-mensais&amp;utm_content=aba-mes-graph" TargetMode="External"/><Relationship Id="rId53" Type="http://schemas.openxmlformats.org/officeDocument/2006/relationships/image" Target="../media/image404.png"/><Relationship Id="rId54" Type="http://schemas.openxmlformats.org/officeDocument/2006/relationships/hyperlink" Target="https://focanodinheiro.neon.com.br/investimentos/renda-fixa?utm_source=planilha&amp;utm_medium=rich-content&amp;utm_campaign=planilha-de-gastos-mensais&amp;utm_content=aba-mes-graph" TargetMode="External"/><Relationship Id="rId55" Type="http://schemas.openxmlformats.org/officeDocument/2006/relationships/hyperlink" Target="https://focanodinheiro.neon.com.br/investimentos/renda-fixa?utm_source=planilha&amp;utm_medium=rich-content&amp;utm_campaign=planilha-de-gastos-mensais&amp;utm_content=aba-mes-graph" TargetMode="External"/><Relationship Id="rId56" Type="http://schemas.openxmlformats.org/officeDocument/2006/relationships/image" Target="../media/image405.png"/><Relationship Id="rId57" Type="http://schemas.openxmlformats.org/officeDocument/2006/relationships/image" Target="../media/image406.png"/><Relationship Id="rId58" Type="http://schemas.openxmlformats.org/officeDocument/2006/relationships/image" Target="../media/image407.png"/><Relationship Id="rId59" Type="http://schemas.openxmlformats.org/officeDocument/2006/relationships/image" Target="../media/image408.png"/><Relationship Id="rId60" Type="http://schemas.openxmlformats.org/officeDocument/2006/relationships/image" Target="../media/image409.png"/><Relationship Id="rId61" Type="http://schemas.openxmlformats.org/officeDocument/2006/relationships/image" Target="../media/image410.png"/><Relationship Id="rId62" Type="http://schemas.openxmlformats.org/officeDocument/2006/relationships/image" Target="../media/image411.png"/><Relationship Id="rId63" Type="http://schemas.openxmlformats.org/officeDocument/2006/relationships/image" Target="../media/image412.png"/><Relationship Id="rId64" Type="http://schemas.openxmlformats.org/officeDocument/2006/relationships/image" Target="../media/image413.png"/><Relationship Id="rId65" Type="http://schemas.openxmlformats.org/officeDocument/2006/relationships/chart" Target="../charts/chart9.xml"/><Relationship Id="rId66" Type="http://schemas.openxmlformats.org/officeDocument/2006/relationships/chart" Target="../charts/chart10.xml"/><Relationship Id="rId67" Type="http://schemas.openxmlformats.org/officeDocument/2006/relationships/chart" Target="../charts/chart11.xml"/><Relationship Id="rId68" Type="http://schemas.openxmlformats.org/officeDocument/2006/relationships/chart" Target="../charts/chart12.xml"/><Relationship Id="rId69" Type="http://schemas.openxmlformats.org/officeDocument/2006/relationships/chart" Target="../charts/chart13.xml"/><Relationship Id="rId70" Type="http://schemas.openxmlformats.org/officeDocument/2006/relationships/hyperlink" Target="https://neon.com.br" TargetMode="External"/><Relationship Id="rId71" Type="http://schemas.openxmlformats.org/officeDocument/2006/relationships/image" Target="../media/image41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jpeg"/><Relationship Id="rId3" Type="http://schemas.openxmlformats.org/officeDocument/2006/relationships/image" Target="../media/image6.png"/><Relationship Id="rId4" Type="http://schemas.openxmlformats.org/officeDocument/2006/relationships/image" Target="../media/image7.png"/><Relationship Id="rId5" Type="http://schemas.openxmlformats.org/officeDocument/2006/relationships/hyperlink" Target="https://neon.com.br" TargetMode="External"/><Relationship Id="rId6" Type="http://schemas.openxmlformats.org/officeDocument/2006/relationships/image" Target="../media/image8.png"/><Relationship Id="rId7" Type="http://schemas.openxmlformats.org/officeDocument/2006/relationships/hyperlink" Target="https://focanodinheiro.neon.com.br/controle-financeiro/metodo-do-pote?utm_source=planilha&amp;utm_medium=rich-content&amp;utm_campaign=planilha-de-gastos-mensais&amp;utm_content=aba-mes-graph" TargetMode="External"/><Relationship Id="rId8" Type="http://schemas.openxmlformats.org/officeDocument/2006/relationships/hyperlink" Target="https://focanodinheiro.neon.com.br/controle-financeiro/metodo-do-pote?utm_source=planilha&amp;utm_medium=rich-content&amp;utm_campaign=planilha-de-gastos-mensais&amp;utm_content=aba-mes-graph" TargetMode="External"/><Relationship Id="rId9" Type="http://schemas.openxmlformats.org/officeDocument/2006/relationships/image" Target="../media/image9.png"/><Relationship Id="rId10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#&apos;1&apos;!A1"/><Relationship Id="rId2" Type="http://schemas.openxmlformats.org/officeDocument/2006/relationships/hyperlink" Target="#&apos;2&apos;!A1"/><Relationship Id="rId3" Type="http://schemas.openxmlformats.org/officeDocument/2006/relationships/hyperlink" Target="#&apos;3&apos;!A1"/><Relationship Id="rId4" Type="http://schemas.openxmlformats.org/officeDocument/2006/relationships/hyperlink" Target="#&apos;4&apos;!A1"/><Relationship Id="rId5" Type="http://schemas.openxmlformats.org/officeDocument/2006/relationships/hyperlink" Target="#&apos;5&apos;!A1"/><Relationship Id="rId6" Type="http://schemas.openxmlformats.org/officeDocument/2006/relationships/hyperlink" Target="#&apos;6&apos;!A1"/><Relationship Id="rId7" Type="http://schemas.openxmlformats.org/officeDocument/2006/relationships/hyperlink" Target="#&apos;7&apos;!A1"/><Relationship Id="rId8" Type="http://schemas.openxmlformats.org/officeDocument/2006/relationships/hyperlink" Target="#&apos;8&apos;!A1"/><Relationship Id="rId9" Type="http://schemas.openxmlformats.org/officeDocument/2006/relationships/hyperlink" Target="#&apos;9&apos;!A1"/><Relationship Id="rId10" Type="http://schemas.openxmlformats.org/officeDocument/2006/relationships/hyperlink" Target="#&apos;10&apos;!A1"/><Relationship Id="rId11" Type="http://schemas.openxmlformats.org/officeDocument/2006/relationships/hyperlink" Target="#&apos;11&apos;!A1"/><Relationship Id="rId12" Type="http://schemas.openxmlformats.org/officeDocument/2006/relationships/hyperlink" Target="#&apos;12&apos;!A1"/><Relationship Id="rId13" Type="http://schemas.openxmlformats.org/officeDocument/2006/relationships/hyperlink" Target="#ANUAL!A1"/><Relationship Id="rId14" Type="http://schemas.openxmlformats.org/officeDocument/2006/relationships/image" Target="../media/image11.png"/><Relationship Id="rId15" Type="http://schemas.openxmlformats.org/officeDocument/2006/relationships/image" Target="../media/image12.png"/><Relationship Id="rId16" Type="http://schemas.openxmlformats.org/officeDocument/2006/relationships/hyperlink" Target="https://neon.com.br" TargetMode="External"/><Relationship Id="rId17" Type="http://schemas.openxmlformats.org/officeDocument/2006/relationships/image" Target="../media/image13.png"/><Relationship Id="rId18" Type="http://schemas.openxmlformats.org/officeDocument/2006/relationships/image" Target="../media/image1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17.png"/><Relationship Id="rId4" Type="http://schemas.openxmlformats.org/officeDocument/2006/relationships/image" Target="../media/image18.png"/><Relationship Id="rId5" Type="http://schemas.openxmlformats.org/officeDocument/2006/relationships/hyperlink" Target="#&apos;&#128200;&apos;!A1"/><Relationship Id="rId6" Type="http://schemas.openxmlformats.org/officeDocument/2006/relationships/image" Target="../media/image19.png"/><Relationship Id="rId7" Type="http://schemas.openxmlformats.org/officeDocument/2006/relationships/hyperlink" Target="#&apos;&#128274;&apos;!A1"/><Relationship Id="rId8" Type="http://schemas.openxmlformats.org/officeDocument/2006/relationships/image" Target="../media/image20.png"/><Relationship Id="rId9" Type="http://schemas.openxmlformats.org/officeDocument/2006/relationships/image" Target="../media/image21.png"/><Relationship Id="rId10" Type="http://schemas.openxmlformats.org/officeDocument/2006/relationships/image" Target="../media/image22.png"/><Relationship Id="rId11" Type="http://schemas.openxmlformats.org/officeDocument/2006/relationships/image" Target="../media/image23.png"/><Relationship Id="rId12" Type="http://schemas.openxmlformats.org/officeDocument/2006/relationships/image" Target="../media/image24.png"/><Relationship Id="rId13" Type="http://schemas.openxmlformats.org/officeDocument/2006/relationships/image" Target="../media/image25.png"/><Relationship Id="rId14" Type="http://schemas.openxmlformats.org/officeDocument/2006/relationships/image" Target="../media/image26.png"/><Relationship Id="rId15" Type="http://schemas.openxmlformats.org/officeDocument/2006/relationships/image" Target="../media/image27.png"/><Relationship Id="rId16" Type="http://schemas.openxmlformats.org/officeDocument/2006/relationships/image" Target="../media/image28.png"/><Relationship Id="rId17" Type="http://schemas.openxmlformats.org/officeDocument/2006/relationships/image" Target="../media/image29.png"/><Relationship Id="rId18" Type="http://schemas.openxmlformats.org/officeDocument/2006/relationships/image" Target="../media/image30.png"/><Relationship Id="rId19" Type="http://schemas.openxmlformats.org/officeDocument/2006/relationships/image" Target="../media/image31.png"/><Relationship Id="rId20" Type="http://schemas.openxmlformats.org/officeDocument/2006/relationships/image" Target="../media/image32.png"/><Relationship Id="rId21" Type="http://schemas.openxmlformats.org/officeDocument/2006/relationships/image" Target="../media/image33.png"/><Relationship Id="rId22" Type="http://schemas.openxmlformats.org/officeDocument/2006/relationships/image" Target="../media/image34.png"/><Relationship Id="rId23" Type="http://schemas.openxmlformats.org/officeDocument/2006/relationships/image" Target="../media/image35.png"/><Relationship Id="rId24" Type="http://schemas.openxmlformats.org/officeDocument/2006/relationships/image" Target="../media/image36.png"/><Relationship Id="rId25" Type="http://schemas.openxmlformats.org/officeDocument/2006/relationships/image" Target="../media/image37.png"/><Relationship Id="rId26" Type="http://schemas.openxmlformats.org/officeDocument/2006/relationships/image" Target="../media/image38.png"/><Relationship Id="rId27" Type="http://schemas.openxmlformats.org/officeDocument/2006/relationships/image" Target="../media/image39.png"/><Relationship Id="rId28" Type="http://schemas.openxmlformats.org/officeDocument/2006/relationships/image" Target="../media/image40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<Relationship Id="rId3" Type="http://schemas.openxmlformats.org/officeDocument/2006/relationships/image" Target="../media/image43.png"/><Relationship Id="rId4" Type="http://schemas.openxmlformats.org/officeDocument/2006/relationships/image" Target="../media/image44.png"/><Relationship Id="rId5" Type="http://schemas.openxmlformats.org/officeDocument/2006/relationships/hyperlink" Target="#&apos;&#128200;&apos;!A1"/><Relationship Id="rId6" Type="http://schemas.openxmlformats.org/officeDocument/2006/relationships/image" Target="../media/image45.png"/><Relationship Id="rId7" Type="http://schemas.openxmlformats.org/officeDocument/2006/relationships/hyperlink" Target="#&apos;&#128274;&apos;!A1"/><Relationship Id="rId8" Type="http://schemas.openxmlformats.org/officeDocument/2006/relationships/image" Target="../media/image46.png"/><Relationship Id="rId9" Type="http://schemas.openxmlformats.org/officeDocument/2006/relationships/hyperlink" Target="https://focanodinheiro.neon.com.br/novidades/como-neon-ajudou-a-organizar-financas-e-guardar-dinheiro?utm_source=planilha&amp;utm_medium=rich-content&amp;utm_campaign=planilha-de-gastos-mensais&amp;utm_content=aba-mes" TargetMode="External"/><Relationship Id="rId10" Type="http://schemas.openxmlformats.org/officeDocument/2006/relationships/image" Target="../media/image47.png"/><Relationship Id="rId11" Type="http://schemas.openxmlformats.org/officeDocument/2006/relationships/hyperlink" Target="https://focanodinheiro.neon.com.br/controle-financeiro/economizar-dinheiro-dia-a-dia-melhores-dicas?utm_source=planilha&amp;utm_medium=rich-content&amp;utm_campaign=planilha-de-gastos-mensais&amp;utm_content=aba-mes" TargetMode="External"/><Relationship Id="rId12" Type="http://schemas.openxmlformats.org/officeDocument/2006/relationships/image" Target="../media/image48.png"/><Relationship Id="rId13" Type="http://schemas.openxmlformats.org/officeDocument/2006/relationships/hyperlink" Target="https://focanodinheiro.neon.com.br/juntar-dinheiro/45-dias-sem-gastar?utm_source=planilha&amp;utm_medium=rich-content&amp;utm_campaign=planilha-de-gastos-mensais&amp;utm_content=aba-mes" TargetMode="External"/><Relationship Id="rId14" Type="http://schemas.openxmlformats.org/officeDocument/2006/relationships/image" Target="../media/image49.png"/><Relationship Id="rId15" Type="http://schemas.openxmlformats.org/officeDocument/2006/relationships/hyperlink" Target="https://focanodinheiro.neon.com.br/juntar-dinheiro/dicas-faceis-para-juntar-dinheiro-rapido?utm_source=planilha&amp;utm_medium=rich-content&amp;utm_campaign=planilha-de-gastos-mensais&amp;utm_content=aba-mes" TargetMode="External"/><Relationship Id="rId16" Type="http://schemas.openxmlformats.org/officeDocument/2006/relationships/image" Target="../media/image50.png"/><Relationship Id="rId17" Type="http://schemas.openxmlformats.org/officeDocument/2006/relationships/hyperlink" Target="https://focanodinheiro.neon.com.br/juntar-dinheiro/como-ganhar-dinheiro-extra?utm_source=planilha&amp;utm_medium=rich-content&amp;utm_campaign=planilha-de-gastos-mensais&amp;utm_content=aba-mes" TargetMode="External"/><Relationship Id="rId18" Type="http://schemas.openxmlformats.org/officeDocument/2006/relationships/image" Target="../media/image51.png"/><Relationship Id="rId19" Type="http://schemas.openxmlformats.org/officeDocument/2006/relationships/hyperlink" Target="https://focanodinheiro.neon.com.br/investimentos/melhores-investimentos-para-aplicar-seu-dinheiro?utm_source=planilha&amp;utm_medium=rich-content&amp;utm_campaign=planilha-de-gastos-mensais&amp;utm_content=aba-mes" TargetMode="External"/><Relationship Id="rId20" Type="http://schemas.openxmlformats.org/officeDocument/2006/relationships/image" Target="../media/image52.png"/><Relationship Id="rId21" Type="http://schemas.openxmlformats.org/officeDocument/2006/relationships/hyperlink" Target="https://focanodinheiro.neon.com.br/investimentos/tudo-sobre-warren-buffett?utm_source=planilha&amp;utm_medium=rich-content&amp;utm_campaign=planilha-de-gastos-mensais&amp;utm_content=aba-mes" TargetMode="External"/><Relationship Id="rId22" Type="http://schemas.openxmlformats.org/officeDocument/2006/relationships/image" Target="../media/image53.png"/><Relationship Id="rId23" Type="http://schemas.openxmlformats.org/officeDocument/2006/relationships/hyperlink" Target="https://focanodinheiro.neon.com.br/investimentos/investir-em-ouro?utm_source=planilha&amp;utm_medium=rich-content&amp;utm_campaign=planilha-de-gastos-mensais&amp;utm_content=aba-mes" TargetMode="External"/><Relationship Id="rId24" Type="http://schemas.openxmlformats.org/officeDocument/2006/relationships/image" Target="../media/image54.png"/><Relationship Id="rId25" Type="http://schemas.openxmlformats.org/officeDocument/2006/relationships/hyperlink" Target="https://focanodinheiro.neon.com.br/controle-financeiro/o-que-e-reserva-de-emergencia-aprenda-a-montar-uma?utm_source=planilha&amp;utm_medium=rich-content&amp;utm_campaign=planilha-de-gastos-mensais&amp;utm_content=aba-mes" TargetMode="External"/><Relationship Id="rId26" Type="http://schemas.openxmlformats.org/officeDocument/2006/relationships/image" Target="../media/image55.png"/><Relationship Id="rId27" Type="http://schemas.openxmlformats.org/officeDocument/2006/relationships/hyperlink" Target="https://focanodinheiro.neon.com.br/controle-financeiro/quando-gastar-reserva-de-emergencia?utm_source=planilha&amp;utm_medium=rich-content&amp;utm_campaign=planilha-de-gastos-mensais&amp;utm_content=aba-mes" TargetMode="External"/><Relationship Id="rId28" Type="http://schemas.openxmlformats.org/officeDocument/2006/relationships/image" Target="../media/image56.png"/><Relationship Id="rId29" Type="http://schemas.openxmlformats.org/officeDocument/2006/relationships/hyperlink" Target="https://focanodinheiro.neon.com.br/controle-financeiro/planejamento-sem-salario-fixo?utm_source=planilha&amp;utm_medium=rich-content&amp;utm_campaign=planilha-de-gastos-mensais&amp;utm_content=aba-mes" TargetMode="External"/><Relationship Id="rId30" Type="http://schemas.openxmlformats.org/officeDocument/2006/relationships/image" Target="../media/image57.png"/><Relationship Id="rId31" Type="http://schemas.openxmlformats.org/officeDocument/2006/relationships/hyperlink" Target="#&apos;2&apos;!A1"/><Relationship Id="rId32" Type="http://schemas.openxmlformats.org/officeDocument/2006/relationships/image" Target="../media/image58.png"/><Relationship Id="rId33" Type="http://schemas.openxmlformats.org/officeDocument/2006/relationships/image" Target="../media/image59.png"/><Relationship Id="rId34" Type="http://schemas.openxmlformats.org/officeDocument/2006/relationships/image" Target="../media/image60.png"/><Relationship Id="rId35" Type="http://schemas.openxmlformats.org/officeDocument/2006/relationships/image" Target="../media/image61.png"/><Relationship Id="rId36" Type="http://schemas.openxmlformats.org/officeDocument/2006/relationships/image" Target="../media/image62.png"/><Relationship Id="rId37" Type="http://schemas.openxmlformats.org/officeDocument/2006/relationships/image" Target="../media/image63.png"/><Relationship Id="rId38" Type="http://schemas.openxmlformats.org/officeDocument/2006/relationships/image" Target="../media/image64.png"/><Relationship Id="rId39" Type="http://schemas.openxmlformats.org/officeDocument/2006/relationships/image" Target="../media/image65.png"/><Relationship Id="rId40" Type="http://schemas.openxmlformats.org/officeDocument/2006/relationships/image" Target="../media/image66.png"/><Relationship Id="rId41" Type="http://schemas.openxmlformats.org/officeDocument/2006/relationships/hyperlink" Target="#ANUAL!A1"/><Relationship Id="rId42" Type="http://schemas.openxmlformats.org/officeDocument/2006/relationships/image" Target="../media/image67.png"/><Relationship Id="rId43" Type="http://schemas.openxmlformats.org/officeDocument/2006/relationships/hyperlink" Target="https://focanodinheiro.neon.com.br/juntar-dinheiro/desafio-das-52-semanas-tabela-para-juntar-dinheiro?utm_source=planilha&amp;utm_medium=rich-content&amp;utm_campaign=planilha-de-gastos-mensais&amp;utm_content=aba-mes" TargetMode="External"/><Relationship Id="rId44" Type="http://schemas.openxmlformats.org/officeDocument/2006/relationships/image" Target="../media/image6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9.png"/><Relationship Id="rId2" Type="http://schemas.openxmlformats.org/officeDocument/2006/relationships/image" Target="../media/image70.png"/><Relationship Id="rId3" Type="http://schemas.openxmlformats.org/officeDocument/2006/relationships/image" Target="../media/image71.png"/><Relationship Id="rId4" Type="http://schemas.openxmlformats.org/officeDocument/2006/relationships/image" Target="../media/image72.png"/><Relationship Id="rId5" Type="http://schemas.openxmlformats.org/officeDocument/2006/relationships/hyperlink" Target="#&apos;&#128200;&apos;!A1"/><Relationship Id="rId6" Type="http://schemas.openxmlformats.org/officeDocument/2006/relationships/image" Target="../media/image73.png"/><Relationship Id="rId7" Type="http://schemas.openxmlformats.org/officeDocument/2006/relationships/hyperlink" Target="#&apos;&#128274;&apos;!A1"/><Relationship Id="rId8" Type="http://schemas.openxmlformats.org/officeDocument/2006/relationships/image" Target="../media/image74.png"/><Relationship Id="rId9" Type="http://schemas.openxmlformats.org/officeDocument/2006/relationships/hyperlink" Target="https://focanodinheiro.neon.com.br/novidades/como-neon-ajudou-a-organizar-financas-e-guardar-dinheiro?utm_source=planilha&amp;utm_medium=rich-content&amp;utm_campaign=planilha-de-gastos-mensais&amp;utm_content=aba-mes" TargetMode="External"/><Relationship Id="rId10" Type="http://schemas.openxmlformats.org/officeDocument/2006/relationships/image" Target="../media/image75.png"/><Relationship Id="rId11" Type="http://schemas.openxmlformats.org/officeDocument/2006/relationships/hyperlink" Target="https://focanodinheiro.neon.com.br/controle-financeiro/economizar-dinheiro-dia-a-dia-melhores-dicas?utm_source=planilha&amp;utm_medium=rich-content&amp;utm_campaign=planilha-de-gastos-mensais&amp;utm_content=aba-mes" TargetMode="External"/><Relationship Id="rId12" Type="http://schemas.openxmlformats.org/officeDocument/2006/relationships/image" Target="../media/image76.png"/><Relationship Id="rId13" Type="http://schemas.openxmlformats.org/officeDocument/2006/relationships/hyperlink" Target="https://focanodinheiro.neon.com.br/juntar-dinheiro/45-dias-sem-gastar?utm_source=planilha&amp;utm_medium=rich-content&amp;utm_campaign=planilha-de-gastos-mensais&amp;utm_content=aba-mes" TargetMode="External"/><Relationship Id="rId14" Type="http://schemas.openxmlformats.org/officeDocument/2006/relationships/image" Target="../media/image77.png"/><Relationship Id="rId15" Type="http://schemas.openxmlformats.org/officeDocument/2006/relationships/hyperlink" Target="https://focanodinheiro.neon.com.br/juntar-dinheiro/dicas-faceis-para-juntar-dinheiro-rapido?utm_source=planilha&amp;utm_medium=rich-content&amp;utm_campaign=planilha-de-gastos-mensais&amp;utm_content=aba-mes" TargetMode="External"/><Relationship Id="rId16" Type="http://schemas.openxmlformats.org/officeDocument/2006/relationships/image" Target="../media/image78.png"/><Relationship Id="rId17" Type="http://schemas.openxmlformats.org/officeDocument/2006/relationships/hyperlink" Target="https://focanodinheiro.neon.com.br/juntar-dinheiro/como-ganhar-dinheiro-extra?utm_source=planilha&amp;utm_medium=rich-content&amp;utm_campaign=planilha-de-gastos-mensais&amp;utm_content=aba-mes" TargetMode="External"/><Relationship Id="rId18" Type="http://schemas.openxmlformats.org/officeDocument/2006/relationships/image" Target="../media/image79.png"/><Relationship Id="rId19" Type="http://schemas.openxmlformats.org/officeDocument/2006/relationships/hyperlink" Target="https://focanodinheiro.neon.com.br/investimentos/melhores-investimentos-para-aplicar-seu-dinheiro?utm_source=planilha&amp;utm_medium=rich-content&amp;utm_campaign=planilha-de-gastos-mensais&amp;utm_content=aba-mes" TargetMode="External"/><Relationship Id="rId20" Type="http://schemas.openxmlformats.org/officeDocument/2006/relationships/image" Target="../media/image80.png"/><Relationship Id="rId21" Type="http://schemas.openxmlformats.org/officeDocument/2006/relationships/hyperlink" Target="https://focanodinheiro.neon.com.br/investimentos/tudo-sobre-warren-buffett?utm_source=planilha&amp;utm_medium=rich-content&amp;utm_campaign=planilha-de-gastos-mensais&amp;utm_content=aba-mes" TargetMode="External"/><Relationship Id="rId22" Type="http://schemas.openxmlformats.org/officeDocument/2006/relationships/image" Target="../media/image81.png"/><Relationship Id="rId23" Type="http://schemas.openxmlformats.org/officeDocument/2006/relationships/hyperlink" Target="https://focanodinheiro.neon.com.br/investimentos/investir-em-ouro?utm_source=planilha&amp;utm_medium=rich-content&amp;utm_campaign=planilha-de-gastos-mensais&amp;utm_content=aba-mes" TargetMode="External"/><Relationship Id="rId24" Type="http://schemas.openxmlformats.org/officeDocument/2006/relationships/image" Target="../media/image82.png"/><Relationship Id="rId25" Type="http://schemas.openxmlformats.org/officeDocument/2006/relationships/hyperlink" Target="https://focanodinheiro.neon.com.br/controle-financeiro/o-que-e-reserva-de-emergencia-aprenda-a-montar-uma?utm_source=planilha&amp;utm_medium=rich-content&amp;utm_campaign=planilha-de-gastos-mensais&amp;utm_content=aba-mes" TargetMode="External"/><Relationship Id="rId26" Type="http://schemas.openxmlformats.org/officeDocument/2006/relationships/image" Target="../media/image83.png"/><Relationship Id="rId27" Type="http://schemas.openxmlformats.org/officeDocument/2006/relationships/hyperlink" Target="https://focanodinheiro.neon.com.br/controle-financeiro/quando-gastar-reserva-de-emergencia?utm_source=planilha&amp;utm_medium=rich-content&amp;utm_campaign=planilha-de-gastos-mensais&amp;utm_content=aba-mes" TargetMode="External"/><Relationship Id="rId28" Type="http://schemas.openxmlformats.org/officeDocument/2006/relationships/image" Target="../media/image84.png"/><Relationship Id="rId29" Type="http://schemas.openxmlformats.org/officeDocument/2006/relationships/hyperlink" Target="https://focanodinheiro.neon.com.br/controle-financeiro/planejamento-sem-salario-fixo?utm_source=planilha&amp;utm_medium=rich-content&amp;utm_campaign=planilha-de-gastos-mensais&amp;utm_content=aba-mes" TargetMode="External"/><Relationship Id="rId30" Type="http://schemas.openxmlformats.org/officeDocument/2006/relationships/image" Target="../media/image85.png"/><Relationship Id="rId31" Type="http://schemas.openxmlformats.org/officeDocument/2006/relationships/image" Target="../media/image86.png"/><Relationship Id="rId32" Type="http://schemas.openxmlformats.org/officeDocument/2006/relationships/image" Target="../media/image87.png"/><Relationship Id="rId33" Type="http://schemas.openxmlformats.org/officeDocument/2006/relationships/image" Target="../media/image88.png"/><Relationship Id="rId34" Type="http://schemas.openxmlformats.org/officeDocument/2006/relationships/image" Target="../media/image89.png"/><Relationship Id="rId35" Type="http://schemas.openxmlformats.org/officeDocument/2006/relationships/image" Target="../media/image90.png"/><Relationship Id="rId36" Type="http://schemas.openxmlformats.org/officeDocument/2006/relationships/image" Target="../media/image91.png"/><Relationship Id="rId37" Type="http://schemas.openxmlformats.org/officeDocument/2006/relationships/image" Target="../media/image92.png"/><Relationship Id="rId38" Type="http://schemas.openxmlformats.org/officeDocument/2006/relationships/image" Target="../media/image93.png"/><Relationship Id="rId39" Type="http://schemas.openxmlformats.org/officeDocument/2006/relationships/hyperlink" Target="#ANUAL!A1"/><Relationship Id="rId40" Type="http://schemas.openxmlformats.org/officeDocument/2006/relationships/image" Target="../media/image94.png"/><Relationship Id="rId41" Type="http://schemas.openxmlformats.org/officeDocument/2006/relationships/hyperlink" Target="https://focanodinheiro.neon.com.br/juntar-dinheiro/desafio-das-52-semanas-tabela-para-juntar-dinheiro?utm_source=planilha&amp;utm_medium=rich-content&amp;utm_campaign=planilha-de-gastos-mensais&amp;utm_content=aba-mes" TargetMode="External"/><Relationship Id="rId42" Type="http://schemas.openxmlformats.org/officeDocument/2006/relationships/image" Target="../media/image95.png"/><Relationship Id="rId43" Type="http://schemas.openxmlformats.org/officeDocument/2006/relationships/hyperlink" Target="#&apos;3&apos;!A1"/><Relationship Id="rId44" Type="http://schemas.openxmlformats.org/officeDocument/2006/relationships/image" Target="../media/image96.png"/><Relationship Id="rId45" Type="http://schemas.openxmlformats.org/officeDocument/2006/relationships/hyperlink" Target="#&apos;1&apos;!A1"/><Relationship Id="rId46" Type="http://schemas.openxmlformats.org/officeDocument/2006/relationships/image" Target="../media/image97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98.png"/><Relationship Id="rId2" Type="http://schemas.openxmlformats.org/officeDocument/2006/relationships/image" Target="../media/image99.png"/><Relationship Id="rId3" Type="http://schemas.openxmlformats.org/officeDocument/2006/relationships/image" Target="../media/image100.png"/><Relationship Id="rId4" Type="http://schemas.openxmlformats.org/officeDocument/2006/relationships/image" Target="../media/image101.png"/><Relationship Id="rId5" Type="http://schemas.openxmlformats.org/officeDocument/2006/relationships/hyperlink" Target="#&apos;&#128200;&apos;!A1"/><Relationship Id="rId6" Type="http://schemas.openxmlformats.org/officeDocument/2006/relationships/image" Target="../media/image102.png"/><Relationship Id="rId7" Type="http://schemas.openxmlformats.org/officeDocument/2006/relationships/hyperlink" Target="#&apos;&#128274;&apos;!A1"/><Relationship Id="rId8" Type="http://schemas.openxmlformats.org/officeDocument/2006/relationships/image" Target="../media/image103.png"/><Relationship Id="rId9" Type="http://schemas.openxmlformats.org/officeDocument/2006/relationships/hyperlink" Target="https://focanodinheiro.neon.com.br/novidades/como-neon-ajudou-a-organizar-financas-e-guardar-dinheiro?utm_source=planilha&amp;utm_medium=rich-content&amp;utm_campaign=planilha-de-gastos-mensais&amp;utm_content=aba-mes" TargetMode="External"/><Relationship Id="rId10" Type="http://schemas.openxmlformats.org/officeDocument/2006/relationships/image" Target="../media/image104.png"/><Relationship Id="rId11" Type="http://schemas.openxmlformats.org/officeDocument/2006/relationships/hyperlink" Target="https://focanodinheiro.neon.com.br/controle-financeiro/economizar-dinheiro-dia-a-dia-melhores-dicas?utm_source=planilha&amp;utm_medium=rich-content&amp;utm_campaign=planilha-de-gastos-mensais&amp;utm_content=aba-mes" TargetMode="External"/><Relationship Id="rId12" Type="http://schemas.openxmlformats.org/officeDocument/2006/relationships/image" Target="../media/image105.png"/><Relationship Id="rId13" Type="http://schemas.openxmlformats.org/officeDocument/2006/relationships/hyperlink" Target="https://focanodinheiro.neon.com.br/juntar-dinheiro/45-dias-sem-gastar?utm_source=planilha&amp;utm_medium=rich-content&amp;utm_campaign=planilha-de-gastos-mensais&amp;utm_content=aba-mes" TargetMode="External"/><Relationship Id="rId14" Type="http://schemas.openxmlformats.org/officeDocument/2006/relationships/image" Target="../media/image106.png"/><Relationship Id="rId15" Type="http://schemas.openxmlformats.org/officeDocument/2006/relationships/hyperlink" Target="https://focanodinheiro.neon.com.br/juntar-dinheiro/dicas-faceis-para-juntar-dinheiro-rapido?utm_source=planilha&amp;utm_medium=rich-content&amp;utm_campaign=planilha-de-gastos-mensais&amp;utm_content=aba-mes" TargetMode="External"/><Relationship Id="rId16" Type="http://schemas.openxmlformats.org/officeDocument/2006/relationships/image" Target="../media/image107.png"/><Relationship Id="rId17" Type="http://schemas.openxmlformats.org/officeDocument/2006/relationships/hyperlink" Target="https://focanodinheiro.neon.com.br/juntar-dinheiro/como-ganhar-dinheiro-extra?utm_source=planilha&amp;utm_medium=rich-content&amp;utm_campaign=planilha-de-gastos-mensais&amp;utm_content=aba-mes" TargetMode="External"/><Relationship Id="rId18" Type="http://schemas.openxmlformats.org/officeDocument/2006/relationships/image" Target="../media/image108.png"/><Relationship Id="rId19" Type="http://schemas.openxmlformats.org/officeDocument/2006/relationships/hyperlink" Target="https://focanodinheiro.neon.com.br/investimentos/melhores-investimentos-para-aplicar-seu-dinheiro?utm_source=planilha&amp;utm_medium=rich-content&amp;utm_campaign=planilha-de-gastos-mensais&amp;utm_content=aba-mes" TargetMode="External"/><Relationship Id="rId20" Type="http://schemas.openxmlformats.org/officeDocument/2006/relationships/image" Target="../media/image109.png"/><Relationship Id="rId21" Type="http://schemas.openxmlformats.org/officeDocument/2006/relationships/hyperlink" Target="https://focanodinheiro.neon.com.br/investimentos/tudo-sobre-warren-buffett?utm_source=planilha&amp;utm_medium=rich-content&amp;utm_campaign=planilha-de-gastos-mensais&amp;utm_content=aba-mes" TargetMode="External"/><Relationship Id="rId22" Type="http://schemas.openxmlformats.org/officeDocument/2006/relationships/image" Target="../media/image110.png"/><Relationship Id="rId23" Type="http://schemas.openxmlformats.org/officeDocument/2006/relationships/hyperlink" Target="https://focanodinheiro.neon.com.br/investimentos/investir-em-ouro?utm_source=planilha&amp;utm_medium=rich-content&amp;utm_campaign=planilha-de-gastos-mensais&amp;utm_content=aba-mes" TargetMode="External"/><Relationship Id="rId24" Type="http://schemas.openxmlformats.org/officeDocument/2006/relationships/image" Target="../media/image111.png"/><Relationship Id="rId25" Type="http://schemas.openxmlformats.org/officeDocument/2006/relationships/hyperlink" Target="https://focanodinheiro.neon.com.br/controle-financeiro/o-que-e-reserva-de-emergencia-aprenda-a-montar-uma?utm_source=planilha&amp;utm_medium=rich-content&amp;utm_campaign=planilha-de-gastos-mensais&amp;utm_content=aba-mes" TargetMode="External"/><Relationship Id="rId26" Type="http://schemas.openxmlformats.org/officeDocument/2006/relationships/image" Target="../media/image112.png"/><Relationship Id="rId27" Type="http://schemas.openxmlformats.org/officeDocument/2006/relationships/hyperlink" Target="https://focanodinheiro.neon.com.br/controle-financeiro/quando-gastar-reserva-de-emergencia?utm_source=planilha&amp;utm_medium=rich-content&amp;utm_campaign=planilha-de-gastos-mensais&amp;utm_content=aba-mes" TargetMode="External"/><Relationship Id="rId28" Type="http://schemas.openxmlformats.org/officeDocument/2006/relationships/image" Target="../media/image113.png"/><Relationship Id="rId29" Type="http://schemas.openxmlformats.org/officeDocument/2006/relationships/hyperlink" Target="https://focanodinheiro.neon.com.br/controle-financeiro/planejamento-sem-salario-fixo?utm_source=planilha&amp;utm_medium=rich-content&amp;utm_campaign=planilha-de-gastos-mensais&amp;utm_content=aba-mes" TargetMode="External"/><Relationship Id="rId30" Type="http://schemas.openxmlformats.org/officeDocument/2006/relationships/image" Target="../media/image114.png"/><Relationship Id="rId31" Type="http://schemas.openxmlformats.org/officeDocument/2006/relationships/image" Target="../media/image115.png"/><Relationship Id="rId32" Type="http://schemas.openxmlformats.org/officeDocument/2006/relationships/image" Target="../media/image116.png"/><Relationship Id="rId33" Type="http://schemas.openxmlformats.org/officeDocument/2006/relationships/image" Target="../media/image117.png"/><Relationship Id="rId34" Type="http://schemas.openxmlformats.org/officeDocument/2006/relationships/image" Target="../media/image118.png"/><Relationship Id="rId35" Type="http://schemas.openxmlformats.org/officeDocument/2006/relationships/image" Target="../media/image119.png"/><Relationship Id="rId36" Type="http://schemas.openxmlformats.org/officeDocument/2006/relationships/image" Target="../media/image120.png"/><Relationship Id="rId37" Type="http://schemas.openxmlformats.org/officeDocument/2006/relationships/image" Target="../media/image121.png"/><Relationship Id="rId38" Type="http://schemas.openxmlformats.org/officeDocument/2006/relationships/image" Target="../media/image122.png"/><Relationship Id="rId39" Type="http://schemas.openxmlformats.org/officeDocument/2006/relationships/hyperlink" Target="#ANUAL!A1"/><Relationship Id="rId40" Type="http://schemas.openxmlformats.org/officeDocument/2006/relationships/image" Target="../media/image123.png"/><Relationship Id="rId41" Type="http://schemas.openxmlformats.org/officeDocument/2006/relationships/hyperlink" Target="https://focanodinheiro.neon.com.br/juntar-dinheiro/desafio-das-52-semanas-tabela-para-juntar-dinheiro?utm_source=planilha&amp;utm_medium=rich-content&amp;utm_campaign=planilha-de-gastos-mensais&amp;utm_content=aba-mes" TargetMode="External"/><Relationship Id="rId42" Type="http://schemas.openxmlformats.org/officeDocument/2006/relationships/image" Target="../media/image124.png"/><Relationship Id="rId43" Type="http://schemas.openxmlformats.org/officeDocument/2006/relationships/hyperlink" Target="#&apos;4&apos;!A1"/><Relationship Id="rId44" Type="http://schemas.openxmlformats.org/officeDocument/2006/relationships/image" Target="../media/image125.png"/><Relationship Id="rId45" Type="http://schemas.openxmlformats.org/officeDocument/2006/relationships/hyperlink" Target="#&apos;2&apos;!A1"/><Relationship Id="rId46" Type="http://schemas.openxmlformats.org/officeDocument/2006/relationships/image" Target="../media/image126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27.png"/><Relationship Id="rId2" Type="http://schemas.openxmlformats.org/officeDocument/2006/relationships/image" Target="../media/image128.png"/><Relationship Id="rId3" Type="http://schemas.openxmlformats.org/officeDocument/2006/relationships/image" Target="../media/image129.png"/><Relationship Id="rId4" Type="http://schemas.openxmlformats.org/officeDocument/2006/relationships/image" Target="../media/image130.png"/><Relationship Id="rId5" Type="http://schemas.openxmlformats.org/officeDocument/2006/relationships/hyperlink" Target="#&apos;&#128200;&apos;!A1"/><Relationship Id="rId6" Type="http://schemas.openxmlformats.org/officeDocument/2006/relationships/image" Target="../media/image131.png"/><Relationship Id="rId7" Type="http://schemas.openxmlformats.org/officeDocument/2006/relationships/hyperlink" Target="#&apos;&#128274;&apos;!A1"/><Relationship Id="rId8" Type="http://schemas.openxmlformats.org/officeDocument/2006/relationships/image" Target="../media/image132.png"/><Relationship Id="rId9" Type="http://schemas.openxmlformats.org/officeDocument/2006/relationships/hyperlink" Target="https://focanodinheiro.neon.com.br/novidades/como-neon-ajudou-a-organizar-financas-e-guardar-dinheiro?utm_source=planilha&amp;utm_medium=rich-content&amp;utm_campaign=planilha-de-gastos-mensais&amp;utm_content=aba-mes" TargetMode="External"/><Relationship Id="rId10" Type="http://schemas.openxmlformats.org/officeDocument/2006/relationships/image" Target="../media/image133.png"/><Relationship Id="rId11" Type="http://schemas.openxmlformats.org/officeDocument/2006/relationships/hyperlink" Target="https://focanodinheiro.neon.com.br/controle-financeiro/economizar-dinheiro-dia-a-dia-melhores-dicas?utm_source=planilha&amp;utm_medium=rich-content&amp;utm_campaign=planilha-de-gastos-mensais&amp;utm_content=aba-mes" TargetMode="External"/><Relationship Id="rId12" Type="http://schemas.openxmlformats.org/officeDocument/2006/relationships/image" Target="../media/image134.png"/><Relationship Id="rId13" Type="http://schemas.openxmlformats.org/officeDocument/2006/relationships/hyperlink" Target="https://focanodinheiro.neon.com.br/juntar-dinheiro/45-dias-sem-gastar?utm_source=planilha&amp;utm_medium=rich-content&amp;utm_campaign=planilha-de-gastos-mensais&amp;utm_content=aba-mes" TargetMode="External"/><Relationship Id="rId14" Type="http://schemas.openxmlformats.org/officeDocument/2006/relationships/image" Target="../media/image135.png"/><Relationship Id="rId15" Type="http://schemas.openxmlformats.org/officeDocument/2006/relationships/hyperlink" Target="https://focanodinheiro.neon.com.br/juntar-dinheiro/dicas-faceis-para-juntar-dinheiro-rapido?utm_source=planilha&amp;utm_medium=rich-content&amp;utm_campaign=planilha-de-gastos-mensais&amp;utm_content=aba-mes" TargetMode="External"/><Relationship Id="rId16" Type="http://schemas.openxmlformats.org/officeDocument/2006/relationships/image" Target="../media/image136.png"/><Relationship Id="rId17" Type="http://schemas.openxmlformats.org/officeDocument/2006/relationships/hyperlink" Target="https://focanodinheiro.neon.com.br/juntar-dinheiro/como-ganhar-dinheiro-extra?utm_source=planilha&amp;utm_medium=rich-content&amp;utm_campaign=planilha-de-gastos-mensais&amp;utm_content=aba-mes" TargetMode="External"/><Relationship Id="rId18" Type="http://schemas.openxmlformats.org/officeDocument/2006/relationships/image" Target="../media/image137.png"/><Relationship Id="rId19" Type="http://schemas.openxmlformats.org/officeDocument/2006/relationships/hyperlink" Target="https://focanodinheiro.neon.com.br/investimentos/melhores-investimentos-para-aplicar-seu-dinheiro?utm_source=planilha&amp;utm_medium=rich-content&amp;utm_campaign=planilha-de-gastos-mensais&amp;utm_content=aba-mes" TargetMode="External"/><Relationship Id="rId20" Type="http://schemas.openxmlformats.org/officeDocument/2006/relationships/image" Target="../media/image138.png"/><Relationship Id="rId21" Type="http://schemas.openxmlformats.org/officeDocument/2006/relationships/hyperlink" Target="https://focanodinheiro.neon.com.br/investimentos/tudo-sobre-warren-buffett?utm_source=planilha&amp;utm_medium=rich-content&amp;utm_campaign=planilha-de-gastos-mensais&amp;utm_content=aba-mes" TargetMode="External"/><Relationship Id="rId22" Type="http://schemas.openxmlformats.org/officeDocument/2006/relationships/image" Target="../media/image139.png"/><Relationship Id="rId23" Type="http://schemas.openxmlformats.org/officeDocument/2006/relationships/hyperlink" Target="https://focanodinheiro.neon.com.br/investimentos/investir-em-ouro?utm_source=planilha&amp;utm_medium=rich-content&amp;utm_campaign=planilha-de-gastos-mensais&amp;utm_content=aba-mes" TargetMode="External"/><Relationship Id="rId24" Type="http://schemas.openxmlformats.org/officeDocument/2006/relationships/image" Target="../media/image140.png"/><Relationship Id="rId25" Type="http://schemas.openxmlformats.org/officeDocument/2006/relationships/hyperlink" Target="https://focanodinheiro.neon.com.br/controle-financeiro/o-que-e-reserva-de-emergencia-aprenda-a-montar-uma?utm_source=planilha&amp;utm_medium=rich-content&amp;utm_campaign=planilha-de-gastos-mensais&amp;utm_content=aba-mes" TargetMode="External"/><Relationship Id="rId26" Type="http://schemas.openxmlformats.org/officeDocument/2006/relationships/image" Target="../media/image141.png"/><Relationship Id="rId27" Type="http://schemas.openxmlformats.org/officeDocument/2006/relationships/hyperlink" Target="https://focanodinheiro.neon.com.br/controle-financeiro/quando-gastar-reserva-de-emergencia?utm_source=planilha&amp;utm_medium=rich-content&amp;utm_campaign=planilha-de-gastos-mensais&amp;utm_content=aba-mes" TargetMode="External"/><Relationship Id="rId28" Type="http://schemas.openxmlformats.org/officeDocument/2006/relationships/image" Target="../media/image142.png"/><Relationship Id="rId29" Type="http://schemas.openxmlformats.org/officeDocument/2006/relationships/hyperlink" Target="https://focanodinheiro.neon.com.br/controle-financeiro/planejamento-sem-salario-fixo?utm_source=planilha&amp;utm_medium=rich-content&amp;utm_campaign=planilha-de-gastos-mensais&amp;utm_content=aba-mes" TargetMode="External"/><Relationship Id="rId30" Type="http://schemas.openxmlformats.org/officeDocument/2006/relationships/image" Target="../media/image143.png"/><Relationship Id="rId31" Type="http://schemas.openxmlformats.org/officeDocument/2006/relationships/image" Target="../media/image144.png"/><Relationship Id="rId32" Type="http://schemas.openxmlformats.org/officeDocument/2006/relationships/image" Target="../media/image145.png"/><Relationship Id="rId33" Type="http://schemas.openxmlformats.org/officeDocument/2006/relationships/image" Target="../media/image146.png"/><Relationship Id="rId34" Type="http://schemas.openxmlformats.org/officeDocument/2006/relationships/image" Target="../media/image147.png"/><Relationship Id="rId35" Type="http://schemas.openxmlformats.org/officeDocument/2006/relationships/image" Target="../media/image148.png"/><Relationship Id="rId36" Type="http://schemas.openxmlformats.org/officeDocument/2006/relationships/image" Target="../media/image149.png"/><Relationship Id="rId37" Type="http://schemas.openxmlformats.org/officeDocument/2006/relationships/image" Target="../media/image150.png"/><Relationship Id="rId38" Type="http://schemas.openxmlformats.org/officeDocument/2006/relationships/image" Target="../media/image151.png"/><Relationship Id="rId39" Type="http://schemas.openxmlformats.org/officeDocument/2006/relationships/hyperlink" Target="#ANUAL!A1"/><Relationship Id="rId40" Type="http://schemas.openxmlformats.org/officeDocument/2006/relationships/image" Target="../media/image152.png"/><Relationship Id="rId41" Type="http://schemas.openxmlformats.org/officeDocument/2006/relationships/hyperlink" Target="https://focanodinheiro.neon.com.br/juntar-dinheiro/desafio-das-52-semanas-tabela-para-juntar-dinheiro?utm_source=planilha&amp;utm_medium=rich-content&amp;utm_campaign=planilha-de-gastos-mensais&amp;utm_content=aba-mes" TargetMode="External"/><Relationship Id="rId42" Type="http://schemas.openxmlformats.org/officeDocument/2006/relationships/image" Target="../media/image153.png"/><Relationship Id="rId43" Type="http://schemas.openxmlformats.org/officeDocument/2006/relationships/hyperlink" Target="#&apos;5&apos;!A1"/><Relationship Id="rId44" Type="http://schemas.openxmlformats.org/officeDocument/2006/relationships/image" Target="../media/image154.png"/><Relationship Id="rId45" Type="http://schemas.openxmlformats.org/officeDocument/2006/relationships/hyperlink" Target="#&apos;3&apos;!A1"/><Relationship Id="rId46" Type="http://schemas.openxmlformats.org/officeDocument/2006/relationships/image" Target="../media/image155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56.png"/><Relationship Id="rId2" Type="http://schemas.openxmlformats.org/officeDocument/2006/relationships/image" Target="../media/image157.png"/><Relationship Id="rId3" Type="http://schemas.openxmlformats.org/officeDocument/2006/relationships/image" Target="../media/image158.png"/><Relationship Id="rId4" Type="http://schemas.openxmlformats.org/officeDocument/2006/relationships/image" Target="../media/image159.png"/><Relationship Id="rId5" Type="http://schemas.openxmlformats.org/officeDocument/2006/relationships/hyperlink" Target="#&apos;&#128200;&apos;!A1"/><Relationship Id="rId6" Type="http://schemas.openxmlformats.org/officeDocument/2006/relationships/image" Target="../media/image160.png"/><Relationship Id="rId7" Type="http://schemas.openxmlformats.org/officeDocument/2006/relationships/hyperlink" Target="#&apos;&#128274;&apos;!A1"/><Relationship Id="rId8" Type="http://schemas.openxmlformats.org/officeDocument/2006/relationships/image" Target="../media/image161.png"/><Relationship Id="rId9" Type="http://schemas.openxmlformats.org/officeDocument/2006/relationships/hyperlink" Target="https://focanodinheiro.neon.com.br/novidades/como-neon-ajudou-a-organizar-financas-e-guardar-dinheiro?utm_source=planilha&amp;utm_medium=rich-content&amp;utm_campaign=planilha-de-gastos-mensais&amp;utm_content=aba-mes" TargetMode="External"/><Relationship Id="rId10" Type="http://schemas.openxmlformats.org/officeDocument/2006/relationships/image" Target="../media/image162.png"/><Relationship Id="rId11" Type="http://schemas.openxmlformats.org/officeDocument/2006/relationships/hyperlink" Target="https://focanodinheiro.neon.com.br/controle-financeiro/economizar-dinheiro-dia-a-dia-melhores-dicas?utm_source=planilha&amp;utm_medium=rich-content&amp;utm_campaign=planilha-de-gastos-mensais&amp;utm_content=aba-mes" TargetMode="External"/><Relationship Id="rId12" Type="http://schemas.openxmlformats.org/officeDocument/2006/relationships/image" Target="../media/image163.png"/><Relationship Id="rId13" Type="http://schemas.openxmlformats.org/officeDocument/2006/relationships/hyperlink" Target="https://focanodinheiro.neon.com.br/juntar-dinheiro/45-dias-sem-gastar?utm_source=planilha&amp;utm_medium=rich-content&amp;utm_campaign=planilha-de-gastos-mensais&amp;utm_content=aba-mes" TargetMode="External"/><Relationship Id="rId14" Type="http://schemas.openxmlformats.org/officeDocument/2006/relationships/image" Target="../media/image164.png"/><Relationship Id="rId15" Type="http://schemas.openxmlformats.org/officeDocument/2006/relationships/hyperlink" Target="https://focanodinheiro.neon.com.br/juntar-dinheiro/dicas-faceis-para-juntar-dinheiro-rapido?utm_source=planilha&amp;utm_medium=rich-content&amp;utm_campaign=planilha-de-gastos-mensais&amp;utm_content=aba-mes" TargetMode="External"/><Relationship Id="rId16" Type="http://schemas.openxmlformats.org/officeDocument/2006/relationships/image" Target="../media/image165.png"/><Relationship Id="rId17" Type="http://schemas.openxmlformats.org/officeDocument/2006/relationships/hyperlink" Target="https://focanodinheiro.neon.com.br/juntar-dinheiro/como-ganhar-dinheiro-extra?utm_source=planilha&amp;utm_medium=rich-content&amp;utm_campaign=planilha-de-gastos-mensais&amp;utm_content=aba-mes" TargetMode="External"/><Relationship Id="rId18" Type="http://schemas.openxmlformats.org/officeDocument/2006/relationships/image" Target="../media/image166.png"/><Relationship Id="rId19" Type="http://schemas.openxmlformats.org/officeDocument/2006/relationships/hyperlink" Target="https://focanodinheiro.neon.com.br/investimentos/melhores-investimentos-para-aplicar-seu-dinheiro?utm_source=planilha&amp;utm_medium=rich-content&amp;utm_campaign=planilha-de-gastos-mensais&amp;utm_content=aba-mes" TargetMode="External"/><Relationship Id="rId20" Type="http://schemas.openxmlformats.org/officeDocument/2006/relationships/image" Target="../media/image167.png"/><Relationship Id="rId21" Type="http://schemas.openxmlformats.org/officeDocument/2006/relationships/hyperlink" Target="https://focanodinheiro.neon.com.br/investimentos/tudo-sobre-warren-buffett?utm_source=planilha&amp;utm_medium=rich-content&amp;utm_campaign=planilha-de-gastos-mensais&amp;utm_content=aba-mes" TargetMode="External"/><Relationship Id="rId22" Type="http://schemas.openxmlformats.org/officeDocument/2006/relationships/image" Target="../media/image168.png"/><Relationship Id="rId23" Type="http://schemas.openxmlformats.org/officeDocument/2006/relationships/hyperlink" Target="https://focanodinheiro.neon.com.br/investimentos/investir-em-ouro?utm_source=planilha&amp;utm_medium=rich-content&amp;utm_campaign=planilha-de-gastos-mensais&amp;utm_content=aba-mes" TargetMode="External"/><Relationship Id="rId24" Type="http://schemas.openxmlformats.org/officeDocument/2006/relationships/image" Target="../media/image169.png"/><Relationship Id="rId25" Type="http://schemas.openxmlformats.org/officeDocument/2006/relationships/hyperlink" Target="https://focanodinheiro.neon.com.br/controle-financeiro/o-que-e-reserva-de-emergencia-aprenda-a-montar-uma?utm_source=planilha&amp;utm_medium=rich-content&amp;utm_campaign=planilha-de-gastos-mensais&amp;utm_content=aba-mes" TargetMode="External"/><Relationship Id="rId26" Type="http://schemas.openxmlformats.org/officeDocument/2006/relationships/image" Target="../media/image170.png"/><Relationship Id="rId27" Type="http://schemas.openxmlformats.org/officeDocument/2006/relationships/hyperlink" Target="https://focanodinheiro.neon.com.br/controle-financeiro/quando-gastar-reserva-de-emergencia?utm_source=planilha&amp;utm_medium=rich-content&amp;utm_campaign=planilha-de-gastos-mensais&amp;utm_content=aba-mes" TargetMode="External"/><Relationship Id="rId28" Type="http://schemas.openxmlformats.org/officeDocument/2006/relationships/image" Target="../media/image171.png"/><Relationship Id="rId29" Type="http://schemas.openxmlformats.org/officeDocument/2006/relationships/hyperlink" Target="https://focanodinheiro.neon.com.br/controle-financeiro/planejamento-sem-salario-fixo?utm_source=planilha&amp;utm_medium=rich-content&amp;utm_campaign=planilha-de-gastos-mensais&amp;utm_content=aba-mes" TargetMode="External"/><Relationship Id="rId30" Type="http://schemas.openxmlformats.org/officeDocument/2006/relationships/image" Target="../media/image172.png"/><Relationship Id="rId31" Type="http://schemas.openxmlformats.org/officeDocument/2006/relationships/image" Target="../media/image173.png"/><Relationship Id="rId32" Type="http://schemas.openxmlformats.org/officeDocument/2006/relationships/image" Target="../media/image174.png"/><Relationship Id="rId33" Type="http://schemas.openxmlformats.org/officeDocument/2006/relationships/image" Target="../media/image175.png"/><Relationship Id="rId34" Type="http://schemas.openxmlformats.org/officeDocument/2006/relationships/image" Target="../media/image176.png"/><Relationship Id="rId35" Type="http://schemas.openxmlformats.org/officeDocument/2006/relationships/image" Target="../media/image177.png"/><Relationship Id="rId36" Type="http://schemas.openxmlformats.org/officeDocument/2006/relationships/image" Target="../media/image178.png"/><Relationship Id="rId37" Type="http://schemas.openxmlformats.org/officeDocument/2006/relationships/image" Target="../media/image179.png"/><Relationship Id="rId38" Type="http://schemas.openxmlformats.org/officeDocument/2006/relationships/image" Target="../media/image180.png"/><Relationship Id="rId39" Type="http://schemas.openxmlformats.org/officeDocument/2006/relationships/hyperlink" Target="#ANUAL!A1"/><Relationship Id="rId40" Type="http://schemas.openxmlformats.org/officeDocument/2006/relationships/image" Target="../media/image181.png"/><Relationship Id="rId41" Type="http://schemas.openxmlformats.org/officeDocument/2006/relationships/hyperlink" Target="https://focanodinheiro.neon.com.br/juntar-dinheiro/desafio-das-52-semanas-tabela-para-juntar-dinheiro?utm_source=planilha&amp;utm_medium=rich-content&amp;utm_campaign=planilha-de-gastos-mensais&amp;utm_content=aba-mes" TargetMode="External"/><Relationship Id="rId42" Type="http://schemas.openxmlformats.org/officeDocument/2006/relationships/image" Target="../media/image182.png"/><Relationship Id="rId43" Type="http://schemas.openxmlformats.org/officeDocument/2006/relationships/hyperlink" Target="#&apos;6&apos;!A1"/><Relationship Id="rId44" Type="http://schemas.openxmlformats.org/officeDocument/2006/relationships/image" Target="../media/image183.png"/><Relationship Id="rId45" Type="http://schemas.openxmlformats.org/officeDocument/2006/relationships/hyperlink" Target="#&apos;4&apos;!A1"/><Relationship Id="rId46" Type="http://schemas.openxmlformats.org/officeDocument/2006/relationships/image" Target="../media/image18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464760</xdr:colOff>
      <xdr:row>1</xdr:row>
      <xdr:rowOff>66240</xdr:rowOff>
    </xdr:from>
    <xdr:to>
      <xdr:col>13</xdr:col>
      <xdr:colOff>544680</xdr:colOff>
      <xdr:row>8</xdr:row>
      <xdr:rowOff>39600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9627480" y="256680"/>
          <a:ext cx="1370520" cy="130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587520</xdr:colOff>
      <xdr:row>6</xdr:row>
      <xdr:rowOff>99360</xdr:rowOff>
    </xdr:from>
    <xdr:to>
      <xdr:col>3</xdr:col>
      <xdr:colOff>556200</xdr:colOff>
      <xdr:row>20</xdr:row>
      <xdr:rowOff>190440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587520" y="1242360"/>
          <a:ext cx="1904040" cy="2757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133920</xdr:colOff>
      <xdr:row>12</xdr:row>
      <xdr:rowOff>181800</xdr:rowOff>
    </xdr:from>
    <xdr:to>
      <xdr:col>7</xdr:col>
      <xdr:colOff>594360</xdr:colOff>
      <xdr:row>20</xdr:row>
      <xdr:rowOff>130680</xdr:rowOff>
    </xdr:to>
    <xdr:sp>
      <xdr:nvSpPr>
        <xdr:cNvPr id="2" name="Retângulo: Cantos Arredondados 9"/>
        <xdr:cNvSpPr/>
      </xdr:nvSpPr>
      <xdr:spPr>
        <a:xfrm>
          <a:off x="3359520" y="2467800"/>
          <a:ext cx="1750680" cy="147276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pt-BR" sz="1800" spc="-1" strike="noStrike">
              <a:solidFill>
                <a:srgbClr val="0070c0"/>
              </a:solidFill>
              <a:latin typeface="Calibri"/>
            </a:rPr>
            <a:t>COMO CONFIGURAR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102240</xdr:colOff>
      <xdr:row>17</xdr:row>
      <xdr:rowOff>41040</xdr:rowOff>
    </xdr:from>
    <xdr:to>
      <xdr:col>6</xdr:col>
      <xdr:colOff>581400</xdr:colOff>
      <xdr:row>19</xdr:row>
      <xdr:rowOff>118440</xdr:rowOff>
    </xdr:to>
    <xdr:sp>
      <xdr:nvSpPr>
        <xdr:cNvPr id="3" name="Elipse 12"/>
        <xdr:cNvSpPr/>
      </xdr:nvSpPr>
      <xdr:spPr>
        <a:xfrm>
          <a:off x="3972960" y="3279240"/>
          <a:ext cx="479160" cy="458640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251640</xdr:colOff>
      <xdr:row>17</xdr:row>
      <xdr:rowOff>167040</xdr:rowOff>
    </xdr:from>
    <xdr:to>
      <xdr:col>6</xdr:col>
      <xdr:colOff>487440</xdr:colOff>
      <xdr:row>18</xdr:row>
      <xdr:rowOff>183240</xdr:rowOff>
    </xdr:to>
    <xdr:sp>
      <xdr:nvSpPr>
        <xdr:cNvPr id="4" name="Fluxograma: Extrair 11"/>
        <xdr:cNvSpPr/>
      </xdr:nvSpPr>
      <xdr:spPr>
        <a:xfrm rot="5400000">
          <a:off x="4136400" y="3390480"/>
          <a:ext cx="207000" cy="235800"/>
        </a:xfrm>
        <a:prstGeom prst="flowChartExtra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11160</xdr:colOff>
      <xdr:row>12</xdr:row>
      <xdr:rowOff>74880</xdr:rowOff>
    </xdr:from>
    <xdr:to>
      <xdr:col>5</xdr:col>
      <xdr:colOff>389880</xdr:colOff>
      <xdr:row>14</xdr:row>
      <xdr:rowOff>56520</xdr:rowOff>
    </xdr:to>
    <xdr:sp>
      <xdr:nvSpPr>
        <xdr:cNvPr id="5" name="Elipse 26"/>
        <xdr:cNvSpPr/>
      </xdr:nvSpPr>
      <xdr:spPr>
        <a:xfrm>
          <a:off x="3236760" y="2360880"/>
          <a:ext cx="378720" cy="362520"/>
        </a:xfrm>
        <a:prstGeom prst="ellipse">
          <a:avLst/>
        </a:prstGeom>
        <a:solidFill>
          <a:srgbClr val="00a6f0"/>
        </a:solidFill>
        <a:ln w="381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GB" sz="1400" spc="-1" strike="noStrike">
              <a:solidFill>
                <a:srgbClr val="ffffff"/>
              </a:solidFill>
              <a:latin typeface="Calibri"/>
            </a:rPr>
            <a:t>1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474480</xdr:colOff>
      <xdr:row>12</xdr:row>
      <xdr:rowOff>181800</xdr:rowOff>
    </xdr:from>
    <xdr:to>
      <xdr:col>9</xdr:col>
      <xdr:colOff>1543680</xdr:colOff>
      <xdr:row>20</xdr:row>
      <xdr:rowOff>130680</xdr:rowOff>
    </xdr:to>
    <xdr:sp>
      <xdr:nvSpPr>
        <xdr:cNvPr id="6" name="Retângulo: Cantos Arredondados 16"/>
        <xdr:cNvSpPr/>
      </xdr:nvSpPr>
      <xdr:spPr>
        <a:xfrm>
          <a:off x="5635440" y="2467800"/>
          <a:ext cx="1714680" cy="147276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pt-BR" sz="1800" spc="-1" strike="noStrike">
              <a:solidFill>
                <a:srgbClr val="0070c0"/>
              </a:solidFill>
              <a:latin typeface="Calibri"/>
            </a:rPr>
            <a:t>COMO PREENCHER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429840</xdr:colOff>
      <xdr:row>17</xdr:row>
      <xdr:rowOff>41040</xdr:rowOff>
    </xdr:from>
    <xdr:to>
      <xdr:col>9</xdr:col>
      <xdr:colOff>899280</xdr:colOff>
      <xdr:row>19</xdr:row>
      <xdr:rowOff>118440</xdr:rowOff>
    </xdr:to>
    <xdr:sp>
      <xdr:nvSpPr>
        <xdr:cNvPr id="7" name="Elipse 18"/>
        <xdr:cNvSpPr/>
      </xdr:nvSpPr>
      <xdr:spPr>
        <a:xfrm>
          <a:off x="6236280" y="3279240"/>
          <a:ext cx="469440" cy="458640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9</xdr:col>
      <xdr:colOff>575640</xdr:colOff>
      <xdr:row>17</xdr:row>
      <xdr:rowOff>167040</xdr:rowOff>
    </xdr:from>
    <xdr:to>
      <xdr:col>9</xdr:col>
      <xdr:colOff>806760</xdr:colOff>
      <xdr:row>18</xdr:row>
      <xdr:rowOff>183240</xdr:rowOff>
    </xdr:to>
    <xdr:sp>
      <xdr:nvSpPr>
        <xdr:cNvPr id="8" name="Fluxograma: Extrair 19"/>
        <xdr:cNvSpPr/>
      </xdr:nvSpPr>
      <xdr:spPr>
        <a:xfrm rot="5400000">
          <a:off x="6393960" y="3392640"/>
          <a:ext cx="207000" cy="231120"/>
        </a:xfrm>
        <a:prstGeom prst="flowChartExtra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8</xdr:col>
      <xdr:colOff>408960</xdr:colOff>
      <xdr:row>12</xdr:row>
      <xdr:rowOff>74880</xdr:rowOff>
    </xdr:from>
    <xdr:to>
      <xdr:col>9</xdr:col>
      <xdr:colOff>134640</xdr:colOff>
      <xdr:row>14</xdr:row>
      <xdr:rowOff>56520</xdr:rowOff>
    </xdr:to>
    <xdr:sp>
      <xdr:nvSpPr>
        <xdr:cNvPr id="9" name="Elipse 27"/>
        <xdr:cNvSpPr/>
      </xdr:nvSpPr>
      <xdr:spPr>
        <a:xfrm>
          <a:off x="5569920" y="2360880"/>
          <a:ext cx="371160" cy="362520"/>
        </a:xfrm>
        <a:prstGeom prst="ellipse">
          <a:avLst/>
        </a:prstGeom>
        <a:solidFill>
          <a:srgbClr val="00a6f0"/>
        </a:solidFill>
        <a:ln w="381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GB" sz="1400" spc="-1" strike="noStrike">
              <a:solidFill>
                <a:srgbClr val="ffffff"/>
              </a:solidFill>
              <a:latin typeface="Calibri"/>
            </a:rPr>
            <a:t>2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2057760</xdr:colOff>
      <xdr:row>12</xdr:row>
      <xdr:rowOff>181800</xdr:rowOff>
    </xdr:from>
    <xdr:to>
      <xdr:col>11</xdr:col>
      <xdr:colOff>553320</xdr:colOff>
      <xdr:row>20</xdr:row>
      <xdr:rowOff>130680</xdr:rowOff>
    </xdr:to>
    <xdr:sp>
      <xdr:nvSpPr>
        <xdr:cNvPr id="10" name="Retângulo: Cantos Arredondados 21"/>
        <xdr:cNvSpPr/>
      </xdr:nvSpPr>
      <xdr:spPr>
        <a:xfrm>
          <a:off x="7864200" y="2467800"/>
          <a:ext cx="1851840" cy="147276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pt-BR" sz="1800" spc="-1" strike="noStrike">
              <a:solidFill>
                <a:srgbClr val="0070c0"/>
              </a:solidFill>
              <a:latin typeface="Calibri"/>
            </a:rPr>
            <a:t>COMO ANALISAR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519120</xdr:colOff>
      <xdr:row>17</xdr:row>
      <xdr:rowOff>41040</xdr:rowOff>
    </xdr:from>
    <xdr:to>
      <xdr:col>10</xdr:col>
      <xdr:colOff>1026000</xdr:colOff>
      <xdr:row>19</xdr:row>
      <xdr:rowOff>118440</xdr:rowOff>
    </xdr:to>
    <xdr:sp>
      <xdr:nvSpPr>
        <xdr:cNvPr id="11" name="Elipse 23"/>
        <xdr:cNvSpPr/>
      </xdr:nvSpPr>
      <xdr:spPr>
        <a:xfrm>
          <a:off x="8512920" y="3279240"/>
          <a:ext cx="506880" cy="458640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10</xdr:col>
      <xdr:colOff>677160</xdr:colOff>
      <xdr:row>17</xdr:row>
      <xdr:rowOff>167040</xdr:rowOff>
    </xdr:from>
    <xdr:to>
      <xdr:col>10</xdr:col>
      <xdr:colOff>926640</xdr:colOff>
      <xdr:row>18</xdr:row>
      <xdr:rowOff>183240</xdr:rowOff>
    </xdr:to>
    <xdr:sp>
      <xdr:nvSpPr>
        <xdr:cNvPr id="12" name="Fluxograma: Extrair 24"/>
        <xdr:cNvSpPr/>
      </xdr:nvSpPr>
      <xdr:spPr>
        <a:xfrm rot="5400000">
          <a:off x="8691840" y="3383640"/>
          <a:ext cx="207000" cy="249480"/>
        </a:xfrm>
        <a:prstGeom prst="flowChartExtra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9</xdr:col>
      <xdr:colOff>1963440</xdr:colOff>
      <xdr:row>12</xdr:row>
      <xdr:rowOff>74880</xdr:rowOff>
    </xdr:from>
    <xdr:to>
      <xdr:col>10</xdr:col>
      <xdr:colOff>176760</xdr:colOff>
      <xdr:row>14</xdr:row>
      <xdr:rowOff>56520</xdr:rowOff>
    </xdr:to>
    <xdr:sp>
      <xdr:nvSpPr>
        <xdr:cNvPr id="13" name="Elipse 28"/>
        <xdr:cNvSpPr/>
      </xdr:nvSpPr>
      <xdr:spPr>
        <a:xfrm>
          <a:off x="7769880" y="2360880"/>
          <a:ext cx="400680" cy="362520"/>
        </a:xfrm>
        <a:prstGeom prst="ellipse">
          <a:avLst/>
        </a:prstGeom>
        <a:solidFill>
          <a:srgbClr val="00a6f0"/>
        </a:solidFill>
        <a:ln w="381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GB" sz="1400" spc="-1" strike="noStrike">
              <a:solidFill>
                <a:srgbClr val="ffffff"/>
              </a:solidFill>
              <a:latin typeface="Calibri"/>
            </a:rPr>
            <a:t>3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190440</xdr:colOff>
      <xdr:row>2</xdr:row>
      <xdr:rowOff>58320</xdr:rowOff>
    </xdr:from>
    <xdr:to>
      <xdr:col>3</xdr:col>
      <xdr:colOff>447840</xdr:colOff>
      <xdr:row>5</xdr:row>
      <xdr:rowOff>31680</xdr:rowOff>
    </xdr:to>
    <xdr:pic>
      <xdr:nvPicPr>
        <xdr:cNvPr id="14" name="Imagem 35" descr="">
          <a:hlinkClick r:id="rId3"/>
        </xdr:cNvPr>
        <xdr:cNvPicPr/>
      </xdr:nvPicPr>
      <xdr:blipFill>
        <a:blip r:embed="rId4"/>
        <a:stretch/>
      </xdr:blipFill>
      <xdr:spPr>
        <a:xfrm>
          <a:off x="835560" y="439200"/>
          <a:ext cx="1547640" cy="544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2880</xdr:colOff>
      <xdr:row>54</xdr:row>
      <xdr:rowOff>78480</xdr:rowOff>
    </xdr:from>
    <xdr:to>
      <xdr:col>3</xdr:col>
      <xdr:colOff>99360</xdr:colOff>
      <xdr:row>57</xdr:row>
      <xdr:rowOff>64440</xdr:rowOff>
    </xdr:to>
    <xdr:sp>
      <xdr:nvSpPr>
        <xdr:cNvPr id="301" name="Retângulo: Cantos Arredondados 1"/>
        <xdr:cNvSpPr/>
      </xdr:nvSpPr>
      <xdr:spPr>
        <a:xfrm>
          <a:off x="153720" y="10212840"/>
          <a:ext cx="2274120" cy="78624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8</xdr:row>
      <xdr:rowOff>104760</xdr:rowOff>
    </xdr:from>
    <xdr:to>
      <xdr:col>3</xdr:col>
      <xdr:colOff>77760</xdr:colOff>
      <xdr:row>11</xdr:row>
      <xdr:rowOff>75960</xdr:rowOff>
    </xdr:to>
    <xdr:sp>
      <xdr:nvSpPr>
        <xdr:cNvPr id="302" name="Retângulo: Cantos Arredondados 2"/>
        <xdr:cNvSpPr/>
      </xdr:nvSpPr>
      <xdr:spPr>
        <a:xfrm>
          <a:off x="132480" y="1390320"/>
          <a:ext cx="2273760" cy="79056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JUNTAR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DINHEIRO?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19</xdr:row>
      <xdr:rowOff>104760</xdr:rowOff>
    </xdr:from>
    <xdr:to>
      <xdr:col>3</xdr:col>
      <xdr:colOff>77760</xdr:colOff>
      <xdr:row>22</xdr:row>
      <xdr:rowOff>56880</xdr:rowOff>
    </xdr:to>
    <xdr:sp>
      <xdr:nvSpPr>
        <xdr:cNvPr id="303" name="Retângulo: Cantos Arredondados 3"/>
        <xdr:cNvSpPr/>
      </xdr:nvSpPr>
      <xdr:spPr>
        <a:xfrm>
          <a:off x="132480" y="3438360"/>
          <a:ext cx="2273760" cy="75204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GUARDAR E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INVESTIR?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282240</xdr:colOff>
      <xdr:row>20</xdr:row>
      <xdr:rowOff>118080</xdr:rowOff>
    </xdr:from>
    <xdr:to>
      <xdr:col>2</xdr:col>
      <xdr:colOff>681480</xdr:colOff>
      <xdr:row>21</xdr:row>
      <xdr:rowOff>8640</xdr:rowOff>
    </xdr:to>
    <xdr:pic>
      <xdr:nvPicPr>
        <xdr:cNvPr id="304" name="Gráfico 4" descr="Cofrinho"/>
        <xdr:cNvPicPr/>
      </xdr:nvPicPr>
      <xdr:blipFill>
        <a:blip r:embed="rId1"/>
        <a:stretch/>
      </xdr:blipFill>
      <xdr:spPr>
        <a:xfrm>
          <a:off x="544320" y="3603960"/>
          <a:ext cx="39924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284040</xdr:colOff>
      <xdr:row>9</xdr:row>
      <xdr:rowOff>151200</xdr:rowOff>
    </xdr:from>
    <xdr:to>
      <xdr:col>2</xdr:col>
      <xdr:colOff>680040</xdr:colOff>
      <xdr:row>10</xdr:row>
      <xdr:rowOff>42120</xdr:rowOff>
    </xdr:to>
    <xdr:pic>
      <xdr:nvPicPr>
        <xdr:cNvPr id="305" name="Gráfico 5" descr="Carteira"/>
        <xdr:cNvPicPr/>
      </xdr:nvPicPr>
      <xdr:blipFill>
        <a:blip r:embed="rId2"/>
        <a:stretch/>
      </xdr:blipFill>
      <xdr:spPr>
        <a:xfrm>
          <a:off x="546120" y="1589400"/>
          <a:ext cx="39600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0</xdr:col>
      <xdr:colOff>145800</xdr:colOff>
      <xdr:row>31</xdr:row>
      <xdr:rowOff>89640</xdr:rowOff>
    </xdr:from>
    <xdr:to>
      <xdr:col>3</xdr:col>
      <xdr:colOff>91440</xdr:colOff>
      <xdr:row>34</xdr:row>
      <xdr:rowOff>78480</xdr:rowOff>
    </xdr:to>
    <xdr:sp>
      <xdr:nvSpPr>
        <xdr:cNvPr id="306" name="Retângulo: Cantos Arredondados 6"/>
        <xdr:cNvSpPr/>
      </xdr:nvSpPr>
      <xdr:spPr>
        <a:xfrm>
          <a:off x="145800" y="5452200"/>
          <a:ext cx="2274120" cy="7887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315360</xdr:colOff>
      <xdr:row>32</xdr:row>
      <xdr:rowOff>144360</xdr:rowOff>
    </xdr:from>
    <xdr:to>
      <xdr:col>2</xdr:col>
      <xdr:colOff>709560</xdr:colOff>
      <xdr:row>33</xdr:row>
      <xdr:rowOff>35280</xdr:rowOff>
    </xdr:to>
    <xdr:pic>
      <xdr:nvPicPr>
        <xdr:cNvPr id="307" name="Gráfico 7" descr="Eletricista"/>
        <xdr:cNvPicPr/>
      </xdr:nvPicPr>
      <xdr:blipFill>
        <a:blip r:embed="rId3"/>
        <a:stretch/>
      </xdr:blipFill>
      <xdr:spPr>
        <a:xfrm>
          <a:off x="577440" y="5659200"/>
          <a:ext cx="39420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311760</xdr:colOff>
      <xdr:row>55</xdr:row>
      <xdr:rowOff>132120</xdr:rowOff>
    </xdr:from>
    <xdr:to>
      <xdr:col>2</xdr:col>
      <xdr:colOff>713160</xdr:colOff>
      <xdr:row>56</xdr:row>
      <xdr:rowOff>23040</xdr:rowOff>
    </xdr:to>
    <xdr:pic>
      <xdr:nvPicPr>
        <xdr:cNvPr id="308" name="Gráfico 8" descr="Artista"/>
        <xdr:cNvPicPr/>
      </xdr:nvPicPr>
      <xdr:blipFill>
        <a:blip r:embed="rId4"/>
        <a:stretch/>
      </xdr:blipFill>
      <xdr:spPr>
        <a:xfrm>
          <a:off x="573840" y="10419120"/>
          <a:ext cx="401400" cy="395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76</xdr:row>
      <xdr:rowOff>104760</xdr:rowOff>
    </xdr:from>
    <xdr:to>
      <xdr:col>3</xdr:col>
      <xdr:colOff>95040</xdr:colOff>
      <xdr:row>79</xdr:row>
      <xdr:rowOff>75960</xdr:rowOff>
    </xdr:to>
    <xdr:sp>
      <xdr:nvSpPr>
        <xdr:cNvPr id="309" name="Retângulo: Cantos Arredondados 9"/>
        <xdr:cNvSpPr/>
      </xdr:nvSpPr>
      <xdr:spPr>
        <a:xfrm>
          <a:off x="150840" y="1478268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28</xdr:col>
      <xdr:colOff>211680</xdr:colOff>
      <xdr:row>1</xdr:row>
      <xdr:rowOff>166320</xdr:rowOff>
    </xdr:from>
    <xdr:to>
      <xdr:col>29</xdr:col>
      <xdr:colOff>128880</xdr:colOff>
      <xdr:row>3</xdr:row>
      <xdr:rowOff>47520</xdr:rowOff>
    </xdr:to>
    <xdr:pic>
      <xdr:nvPicPr>
        <xdr:cNvPr id="310" name="Gráfico 10" descr="Impressão digital">
          <a:hlinkClick r:id="rId5"/>
        </xdr:cNvPr>
        <xdr:cNvPicPr/>
      </xdr:nvPicPr>
      <xdr:blipFill>
        <a:blip r:embed="rId6"/>
        <a:stretch/>
      </xdr:blipFill>
      <xdr:spPr>
        <a:xfrm>
          <a:off x="12305880" y="166320"/>
          <a:ext cx="309960" cy="30960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25</xdr:col>
      <xdr:colOff>188640</xdr:colOff>
      <xdr:row>1</xdr:row>
      <xdr:rowOff>129960</xdr:rowOff>
    </xdr:from>
    <xdr:to>
      <xdr:col>26</xdr:col>
      <xdr:colOff>164160</xdr:colOff>
      <xdr:row>3</xdr:row>
      <xdr:rowOff>65880</xdr:rowOff>
    </xdr:to>
    <xdr:pic>
      <xdr:nvPicPr>
        <xdr:cNvPr id="311" name="Gráfico 11" descr="Trancar">
          <a:hlinkClick r:id="rId7"/>
        </xdr:cNvPr>
        <xdr:cNvPicPr/>
      </xdr:nvPicPr>
      <xdr:blipFill>
        <a:blip r:embed="rId8"/>
        <a:stretch/>
      </xdr:blipFill>
      <xdr:spPr>
        <a:xfrm>
          <a:off x="11103480" y="129960"/>
          <a:ext cx="368640" cy="36432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</xdr:colOff>
      <xdr:row>19</xdr:row>
      <xdr:rowOff>126360</xdr:rowOff>
    </xdr:from>
    <xdr:to>
      <xdr:col>2</xdr:col>
      <xdr:colOff>139680</xdr:colOff>
      <xdr:row>20</xdr:row>
      <xdr:rowOff>220320</xdr:rowOff>
    </xdr:to>
    <xdr:pic>
      <xdr:nvPicPr>
        <xdr:cNvPr id="312" name="Gráfico 12" descr="Ajudar">
          <a:hlinkClick r:id="rId9"/>
        </xdr:cNvPr>
        <xdr:cNvPicPr/>
      </xdr:nvPicPr>
      <xdr:blipFill>
        <a:blip r:embed="rId10"/>
        <a:stretch/>
      </xdr:blipFill>
      <xdr:spPr>
        <a:xfrm>
          <a:off x="151920" y="345996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15120</xdr:colOff>
      <xdr:row>31</xdr:row>
      <xdr:rowOff>114480</xdr:rowOff>
    </xdr:from>
    <xdr:to>
      <xdr:col>2</xdr:col>
      <xdr:colOff>150120</xdr:colOff>
      <xdr:row>32</xdr:row>
      <xdr:rowOff>208440</xdr:rowOff>
    </xdr:to>
    <xdr:pic>
      <xdr:nvPicPr>
        <xdr:cNvPr id="313" name="Gráfico 13" descr="Ajudar">
          <a:hlinkClick r:id="rId11"/>
        </xdr:cNvPr>
        <xdr:cNvPicPr/>
      </xdr:nvPicPr>
      <xdr:blipFill>
        <a:blip r:embed="rId12"/>
        <a:stretch/>
      </xdr:blipFill>
      <xdr:spPr>
        <a:xfrm>
          <a:off x="165960" y="54770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10800</xdr:colOff>
      <xdr:row>54</xdr:row>
      <xdr:rowOff>98640</xdr:rowOff>
    </xdr:from>
    <xdr:to>
      <xdr:col>2</xdr:col>
      <xdr:colOff>145800</xdr:colOff>
      <xdr:row>55</xdr:row>
      <xdr:rowOff>192240</xdr:rowOff>
    </xdr:to>
    <xdr:pic>
      <xdr:nvPicPr>
        <xdr:cNvPr id="314" name="Gráfico 14" descr="Ajudar">
          <a:hlinkClick r:id="rId13"/>
        </xdr:cNvPr>
        <xdr:cNvPicPr/>
      </xdr:nvPicPr>
      <xdr:blipFill>
        <a:blip r:embed="rId14"/>
        <a:stretch/>
      </xdr:blipFill>
      <xdr:spPr>
        <a:xfrm>
          <a:off x="161640" y="102330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6120</xdr:colOff>
      <xdr:row>76</xdr:row>
      <xdr:rowOff>127800</xdr:rowOff>
    </xdr:from>
    <xdr:to>
      <xdr:col>2</xdr:col>
      <xdr:colOff>141120</xdr:colOff>
      <xdr:row>77</xdr:row>
      <xdr:rowOff>221760</xdr:rowOff>
    </xdr:to>
    <xdr:pic>
      <xdr:nvPicPr>
        <xdr:cNvPr id="315" name="Gráfico 15" descr="Ajudar">
          <a:hlinkClick r:id="rId15"/>
        </xdr:cNvPr>
        <xdr:cNvPicPr/>
      </xdr:nvPicPr>
      <xdr:blipFill>
        <a:blip r:embed="rId16"/>
        <a:stretch/>
      </xdr:blipFill>
      <xdr:spPr>
        <a:xfrm>
          <a:off x="156960" y="1480572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90</xdr:row>
      <xdr:rowOff>104760</xdr:rowOff>
    </xdr:from>
    <xdr:to>
      <xdr:col>3</xdr:col>
      <xdr:colOff>95040</xdr:colOff>
      <xdr:row>93</xdr:row>
      <xdr:rowOff>75960</xdr:rowOff>
    </xdr:to>
    <xdr:sp>
      <xdr:nvSpPr>
        <xdr:cNvPr id="316" name="Retângulo: Cantos Arredondados 16"/>
        <xdr:cNvSpPr/>
      </xdr:nvSpPr>
      <xdr:spPr>
        <a:xfrm>
          <a:off x="150840" y="1757340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90</xdr:row>
      <xdr:rowOff>127800</xdr:rowOff>
    </xdr:from>
    <xdr:to>
      <xdr:col>2</xdr:col>
      <xdr:colOff>141120</xdr:colOff>
      <xdr:row>91</xdr:row>
      <xdr:rowOff>221760</xdr:rowOff>
    </xdr:to>
    <xdr:pic>
      <xdr:nvPicPr>
        <xdr:cNvPr id="317" name="Gráfico 17" descr="Ajudar">
          <a:hlinkClick r:id="rId17"/>
        </xdr:cNvPr>
        <xdr:cNvPicPr/>
      </xdr:nvPicPr>
      <xdr:blipFill>
        <a:blip r:embed="rId18"/>
        <a:stretch/>
      </xdr:blipFill>
      <xdr:spPr>
        <a:xfrm>
          <a:off x="156960" y="17596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107</xdr:row>
      <xdr:rowOff>104760</xdr:rowOff>
    </xdr:from>
    <xdr:to>
      <xdr:col>3</xdr:col>
      <xdr:colOff>95040</xdr:colOff>
      <xdr:row>110</xdr:row>
      <xdr:rowOff>75960</xdr:rowOff>
    </xdr:to>
    <xdr:sp>
      <xdr:nvSpPr>
        <xdr:cNvPr id="318" name="Retângulo: Cantos Arredondados 18"/>
        <xdr:cNvSpPr/>
      </xdr:nvSpPr>
      <xdr:spPr>
        <a:xfrm>
          <a:off x="150840" y="2110716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107</xdr:row>
      <xdr:rowOff>127800</xdr:rowOff>
    </xdr:from>
    <xdr:to>
      <xdr:col>2</xdr:col>
      <xdr:colOff>141120</xdr:colOff>
      <xdr:row>108</xdr:row>
      <xdr:rowOff>221760</xdr:rowOff>
    </xdr:to>
    <xdr:pic>
      <xdr:nvPicPr>
        <xdr:cNvPr id="319" name="Gráfico 19" descr="Ajudar">
          <a:hlinkClick r:id="rId19"/>
        </xdr:cNvPr>
        <xdr:cNvPicPr/>
      </xdr:nvPicPr>
      <xdr:blipFill>
        <a:blip r:embed="rId20"/>
        <a:stretch/>
      </xdr:blipFill>
      <xdr:spPr>
        <a:xfrm>
          <a:off x="156960" y="211302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126</xdr:row>
      <xdr:rowOff>104760</xdr:rowOff>
    </xdr:from>
    <xdr:to>
      <xdr:col>3</xdr:col>
      <xdr:colOff>95040</xdr:colOff>
      <xdr:row>129</xdr:row>
      <xdr:rowOff>75960</xdr:rowOff>
    </xdr:to>
    <xdr:sp>
      <xdr:nvSpPr>
        <xdr:cNvPr id="320" name="Retângulo: Cantos Arredondados 20"/>
        <xdr:cNvSpPr/>
      </xdr:nvSpPr>
      <xdr:spPr>
        <a:xfrm>
          <a:off x="150840" y="251553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126</xdr:row>
      <xdr:rowOff>127800</xdr:rowOff>
    </xdr:from>
    <xdr:to>
      <xdr:col>2</xdr:col>
      <xdr:colOff>141120</xdr:colOff>
      <xdr:row>127</xdr:row>
      <xdr:rowOff>221760</xdr:rowOff>
    </xdr:to>
    <xdr:pic>
      <xdr:nvPicPr>
        <xdr:cNvPr id="321" name="Gráfico 21" descr="Ajudar">
          <a:hlinkClick r:id="rId21"/>
        </xdr:cNvPr>
        <xdr:cNvPicPr/>
      </xdr:nvPicPr>
      <xdr:blipFill>
        <a:blip r:embed="rId22"/>
        <a:stretch/>
      </xdr:blipFill>
      <xdr:spPr>
        <a:xfrm>
          <a:off x="156960" y="251784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145</xdr:row>
      <xdr:rowOff>104760</xdr:rowOff>
    </xdr:from>
    <xdr:to>
      <xdr:col>3</xdr:col>
      <xdr:colOff>95040</xdr:colOff>
      <xdr:row>148</xdr:row>
      <xdr:rowOff>75960</xdr:rowOff>
    </xdr:to>
    <xdr:sp>
      <xdr:nvSpPr>
        <xdr:cNvPr id="322" name="Retângulo: Cantos Arredondados 22"/>
        <xdr:cNvSpPr/>
      </xdr:nvSpPr>
      <xdr:spPr>
        <a:xfrm>
          <a:off x="150840" y="292035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145</xdr:row>
      <xdr:rowOff>127800</xdr:rowOff>
    </xdr:from>
    <xdr:to>
      <xdr:col>2</xdr:col>
      <xdr:colOff>141120</xdr:colOff>
      <xdr:row>146</xdr:row>
      <xdr:rowOff>221760</xdr:rowOff>
    </xdr:to>
    <xdr:pic>
      <xdr:nvPicPr>
        <xdr:cNvPr id="323" name="Gráfico 23" descr="Ajudar">
          <a:hlinkClick r:id="rId23"/>
        </xdr:cNvPr>
        <xdr:cNvPicPr/>
      </xdr:nvPicPr>
      <xdr:blipFill>
        <a:blip r:embed="rId24"/>
        <a:stretch/>
      </xdr:blipFill>
      <xdr:spPr>
        <a:xfrm>
          <a:off x="156960" y="292266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162</xdr:row>
      <xdr:rowOff>104760</xdr:rowOff>
    </xdr:from>
    <xdr:to>
      <xdr:col>3</xdr:col>
      <xdr:colOff>95040</xdr:colOff>
      <xdr:row>165</xdr:row>
      <xdr:rowOff>75960</xdr:rowOff>
    </xdr:to>
    <xdr:sp>
      <xdr:nvSpPr>
        <xdr:cNvPr id="324" name="Retângulo: Cantos Arredondados 24"/>
        <xdr:cNvSpPr/>
      </xdr:nvSpPr>
      <xdr:spPr>
        <a:xfrm>
          <a:off x="150840" y="3275640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162</xdr:row>
      <xdr:rowOff>127800</xdr:rowOff>
    </xdr:from>
    <xdr:to>
      <xdr:col>2</xdr:col>
      <xdr:colOff>141120</xdr:colOff>
      <xdr:row>163</xdr:row>
      <xdr:rowOff>221760</xdr:rowOff>
    </xdr:to>
    <xdr:pic>
      <xdr:nvPicPr>
        <xdr:cNvPr id="325" name="Gráfico 25" descr="Ajudar">
          <a:hlinkClick r:id="rId25"/>
        </xdr:cNvPr>
        <xdr:cNvPicPr/>
      </xdr:nvPicPr>
      <xdr:blipFill>
        <a:blip r:embed="rId26"/>
        <a:stretch/>
      </xdr:blipFill>
      <xdr:spPr>
        <a:xfrm>
          <a:off x="156960" y="32779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181</xdr:row>
      <xdr:rowOff>104760</xdr:rowOff>
    </xdr:from>
    <xdr:to>
      <xdr:col>3</xdr:col>
      <xdr:colOff>95040</xdr:colOff>
      <xdr:row>184</xdr:row>
      <xdr:rowOff>75960</xdr:rowOff>
    </xdr:to>
    <xdr:sp>
      <xdr:nvSpPr>
        <xdr:cNvPr id="326" name="Retângulo: Cantos Arredondados 26"/>
        <xdr:cNvSpPr/>
      </xdr:nvSpPr>
      <xdr:spPr>
        <a:xfrm>
          <a:off x="150840" y="368042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181</xdr:row>
      <xdr:rowOff>127800</xdr:rowOff>
    </xdr:from>
    <xdr:to>
      <xdr:col>2</xdr:col>
      <xdr:colOff>141120</xdr:colOff>
      <xdr:row>182</xdr:row>
      <xdr:rowOff>221400</xdr:rowOff>
    </xdr:to>
    <xdr:pic>
      <xdr:nvPicPr>
        <xdr:cNvPr id="327" name="Gráfico 27" descr="Ajudar">
          <a:hlinkClick r:id="rId27"/>
        </xdr:cNvPr>
        <xdr:cNvPicPr/>
      </xdr:nvPicPr>
      <xdr:blipFill>
        <a:blip r:embed="rId28"/>
        <a:stretch/>
      </xdr:blipFill>
      <xdr:spPr>
        <a:xfrm>
          <a:off x="156960" y="368272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200</xdr:row>
      <xdr:rowOff>104760</xdr:rowOff>
    </xdr:from>
    <xdr:to>
      <xdr:col>3</xdr:col>
      <xdr:colOff>95040</xdr:colOff>
      <xdr:row>203</xdr:row>
      <xdr:rowOff>75960</xdr:rowOff>
    </xdr:to>
    <xdr:sp>
      <xdr:nvSpPr>
        <xdr:cNvPr id="328" name="Retângulo: Cantos Arredondados 28"/>
        <xdr:cNvSpPr/>
      </xdr:nvSpPr>
      <xdr:spPr>
        <a:xfrm>
          <a:off x="150840" y="408524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 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200</xdr:row>
      <xdr:rowOff>127800</xdr:rowOff>
    </xdr:from>
    <xdr:to>
      <xdr:col>2</xdr:col>
      <xdr:colOff>141120</xdr:colOff>
      <xdr:row>201</xdr:row>
      <xdr:rowOff>221400</xdr:rowOff>
    </xdr:to>
    <xdr:pic>
      <xdr:nvPicPr>
        <xdr:cNvPr id="329" name="Gráfico 29" descr="Ajudar">
          <a:hlinkClick r:id="rId29"/>
        </xdr:cNvPr>
        <xdr:cNvPicPr/>
      </xdr:nvPicPr>
      <xdr:blipFill>
        <a:blip r:embed="rId30"/>
        <a:stretch/>
      </xdr:blipFill>
      <xdr:spPr>
        <a:xfrm>
          <a:off x="156960" y="408754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319680</xdr:colOff>
      <xdr:row>77</xdr:row>
      <xdr:rowOff>126720</xdr:rowOff>
    </xdr:from>
    <xdr:to>
      <xdr:col>2</xdr:col>
      <xdr:colOff>711360</xdr:colOff>
      <xdr:row>78</xdr:row>
      <xdr:rowOff>17640</xdr:rowOff>
    </xdr:to>
    <xdr:pic>
      <xdr:nvPicPr>
        <xdr:cNvPr id="330" name="Gráfico 30" descr="Dinheiro"/>
        <xdr:cNvPicPr/>
      </xdr:nvPicPr>
      <xdr:blipFill>
        <a:blip r:embed="rId31"/>
        <a:stretch/>
      </xdr:blipFill>
      <xdr:spPr>
        <a:xfrm flipH="1">
          <a:off x="581760" y="14956920"/>
          <a:ext cx="391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319680</xdr:colOff>
      <xdr:row>91</xdr:row>
      <xdr:rowOff>115920</xdr:rowOff>
    </xdr:from>
    <xdr:to>
      <xdr:col>2</xdr:col>
      <xdr:colOff>720360</xdr:colOff>
      <xdr:row>92</xdr:row>
      <xdr:rowOff>6480</xdr:rowOff>
    </xdr:to>
    <xdr:pic>
      <xdr:nvPicPr>
        <xdr:cNvPr id="331" name="Gráfico 31" descr="Dinheiro"/>
        <xdr:cNvPicPr/>
      </xdr:nvPicPr>
      <xdr:blipFill>
        <a:blip r:embed="rId32"/>
        <a:stretch/>
      </xdr:blipFill>
      <xdr:spPr>
        <a:xfrm flipH="1">
          <a:off x="581760" y="17736840"/>
          <a:ext cx="400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330840</xdr:colOff>
      <xdr:row>108</xdr:row>
      <xdr:rowOff>134280</xdr:rowOff>
    </xdr:from>
    <xdr:to>
      <xdr:col>2</xdr:col>
      <xdr:colOff>722880</xdr:colOff>
      <xdr:row>109</xdr:row>
      <xdr:rowOff>35640</xdr:rowOff>
    </xdr:to>
    <xdr:pic>
      <xdr:nvPicPr>
        <xdr:cNvPr id="332" name="Gráfico 32" descr="Moedas"/>
        <xdr:cNvPicPr/>
      </xdr:nvPicPr>
      <xdr:blipFill>
        <a:blip r:embed="rId33"/>
        <a:stretch/>
      </xdr:blipFill>
      <xdr:spPr>
        <a:xfrm flipH="1">
          <a:off x="592920" y="212889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285840</xdr:colOff>
      <xdr:row>127</xdr:row>
      <xdr:rowOff>149760</xdr:rowOff>
    </xdr:from>
    <xdr:to>
      <xdr:col>2</xdr:col>
      <xdr:colOff>677880</xdr:colOff>
      <xdr:row>128</xdr:row>
      <xdr:rowOff>51120</xdr:rowOff>
    </xdr:to>
    <xdr:pic>
      <xdr:nvPicPr>
        <xdr:cNvPr id="333" name="Gráfico 33" descr="Moedas"/>
        <xdr:cNvPicPr/>
      </xdr:nvPicPr>
      <xdr:blipFill>
        <a:blip r:embed="rId34"/>
        <a:stretch/>
      </xdr:blipFill>
      <xdr:spPr>
        <a:xfrm flipH="1">
          <a:off x="547920" y="2535264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288720</xdr:colOff>
      <xdr:row>146</xdr:row>
      <xdr:rowOff>152280</xdr:rowOff>
    </xdr:from>
    <xdr:to>
      <xdr:col>2</xdr:col>
      <xdr:colOff>680760</xdr:colOff>
      <xdr:row>147</xdr:row>
      <xdr:rowOff>54000</xdr:rowOff>
    </xdr:to>
    <xdr:pic>
      <xdr:nvPicPr>
        <xdr:cNvPr id="334" name="Gráfico 34" descr="Moedas"/>
        <xdr:cNvPicPr/>
      </xdr:nvPicPr>
      <xdr:blipFill>
        <a:blip r:embed="rId35"/>
        <a:stretch/>
      </xdr:blipFill>
      <xdr:spPr>
        <a:xfrm flipH="1">
          <a:off x="550800" y="294033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163</xdr:row>
      <xdr:rowOff>123120</xdr:rowOff>
    </xdr:from>
    <xdr:to>
      <xdr:col>2</xdr:col>
      <xdr:colOff>705240</xdr:colOff>
      <xdr:row>164</xdr:row>
      <xdr:rowOff>14040</xdr:rowOff>
    </xdr:to>
    <xdr:pic>
      <xdr:nvPicPr>
        <xdr:cNvPr id="335" name="Gráfico 35" descr="Sirene"/>
        <xdr:cNvPicPr/>
      </xdr:nvPicPr>
      <xdr:blipFill>
        <a:blip r:embed="rId36"/>
        <a:stretch/>
      </xdr:blipFill>
      <xdr:spPr>
        <a:xfrm>
          <a:off x="562680" y="3292704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182</xdr:row>
      <xdr:rowOff>107640</xdr:rowOff>
    </xdr:from>
    <xdr:to>
      <xdr:col>2</xdr:col>
      <xdr:colOff>705240</xdr:colOff>
      <xdr:row>183</xdr:row>
      <xdr:rowOff>2880</xdr:rowOff>
    </xdr:to>
    <xdr:pic>
      <xdr:nvPicPr>
        <xdr:cNvPr id="336" name="Gráfico 36" descr="Sirene"/>
        <xdr:cNvPicPr/>
      </xdr:nvPicPr>
      <xdr:blipFill>
        <a:blip r:embed="rId37"/>
        <a:stretch/>
      </xdr:blipFill>
      <xdr:spPr>
        <a:xfrm>
          <a:off x="562680" y="36959760"/>
          <a:ext cx="404640" cy="39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201</xdr:row>
      <xdr:rowOff>125640</xdr:rowOff>
    </xdr:from>
    <xdr:to>
      <xdr:col>2</xdr:col>
      <xdr:colOff>705240</xdr:colOff>
      <xdr:row>202</xdr:row>
      <xdr:rowOff>16560</xdr:rowOff>
    </xdr:to>
    <xdr:pic>
      <xdr:nvPicPr>
        <xdr:cNvPr id="337" name="Gráfico 37" descr="Sirene"/>
        <xdr:cNvPicPr/>
      </xdr:nvPicPr>
      <xdr:blipFill>
        <a:blip r:embed="rId38"/>
        <a:stretch/>
      </xdr:blipFill>
      <xdr:spPr>
        <a:xfrm>
          <a:off x="562680" y="4102596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190440</xdr:colOff>
      <xdr:row>1</xdr:row>
      <xdr:rowOff>141120</xdr:rowOff>
    </xdr:from>
    <xdr:to>
      <xdr:col>32</xdr:col>
      <xdr:colOff>138960</xdr:colOff>
      <xdr:row>3</xdr:row>
      <xdr:rowOff>54360</xdr:rowOff>
    </xdr:to>
    <xdr:pic>
      <xdr:nvPicPr>
        <xdr:cNvPr id="338" name="Gráfico 38" descr="Virar calendário">
          <a:hlinkClick r:id="rId39"/>
        </xdr:cNvPr>
        <xdr:cNvPicPr/>
      </xdr:nvPicPr>
      <xdr:blipFill>
        <a:blip r:embed="rId40"/>
        <a:stretch/>
      </xdr:blipFill>
      <xdr:spPr>
        <a:xfrm>
          <a:off x="13463640" y="141120"/>
          <a:ext cx="341640" cy="341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26</xdr:col>
      <xdr:colOff>324720</xdr:colOff>
      <xdr:row>2</xdr:row>
      <xdr:rowOff>174600</xdr:rowOff>
    </xdr:from>
    <xdr:to>
      <xdr:col>28</xdr:col>
      <xdr:colOff>22320</xdr:colOff>
      <xdr:row>2</xdr:row>
      <xdr:rowOff>174600</xdr:rowOff>
    </xdr:to>
    <xdr:sp>
      <xdr:nvSpPr>
        <xdr:cNvPr id="339" name="Conector reto 39"/>
        <xdr:cNvSpPr/>
      </xdr:nvSpPr>
      <xdr:spPr>
        <a:xfrm>
          <a:off x="11632680" y="374400"/>
          <a:ext cx="48384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29</xdr:col>
      <xdr:colOff>331560</xdr:colOff>
      <xdr:row>2</xdr:row>
      <xdr:rowOff>174600</xdr:rowOff>
    </xdr:from>
    <xdr:to>
      <xdr:col>31</xdr:col>
      <xdr:colOff>28800</xdr:colOff>
      <xdr:row>2</xdr:row>
      <xdr:rowOff>174600</xdr:rowOff>
    </xdr:to>
    <xdr:sp>
      <xdr:nvSpPr>
        <xdr:cNvPr id="340" name="Conector reto 40"/>
        <xdr:cNvSpPr/>
      </xdr:nvSpPr>
      <xdr:spPr>
        <a:xfrm>
          <a:off x="12818520" y="374400"/>
          <a:ext cx="48348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142200</xdr:colOff>
      <xdr:row>8</xdr:row>
      <xdr:rowOff>121680</xdr:rowOff>
    </xdr:from>
    <xdr:to>
      <xdr:col>2</xdr:col>
      <xdr:colOff>129960</xdr:colOff>
      <xdr:row>9</xdr:row>
      <xdr:rowOff>215280</xdr:rowOff>
    </xdr:to>
    <xdr:pic>
      <xdr:nvPicPr>
        <xdr:cNvPr id="341" name="Gráfico 42" descr="Ajudar">
          <a:hlinkClick r:id="rId41"/>
        </xdr:cNvPr>
        <xdr:cNvPicPr/>
      </xdr:nvPicPr>
      <xdr:blipFill>
        <a:blip r:embed="rId42"/>
        <a:stretch/>
      </xdr:blipFill>
      <xdr:spPr>
        <a:xfrm>
          <a:off x="142200" y="140724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185760</xdr:colOff>
      <xdr:row>2</xdr:row>
      <xdr:rowOff>145800</xdr:rowOff>
    </xdr:from>
    <xdr:to>
      <xdr:col>35</xdr:col>
      <xdr:colOff>614880</xdr:colOff>
      <xdr:row>4</xdr:row>
      <xdr:rowOff>112680</xdr:rowOff>
    </xdr:to>
    <xdr:pic>
      <xdr:nvPicPr>
        <xdr:cNvPr id="342" name="Gráfico 43" descr="Seta Reta">
          <a:hlinkClick r:id="rId43"/>
        </xdr:cNvPr>
        <xdr:cNvPicPr/>
      </xdr:nvPicPr>
      <xdr:blipFill>
        <a:blip r:embed="rId44"/>
        <a:stretch/>
      </xdr:blipFill>
      <xdr:spPr>
        <a:xfrm rot="10800000">
          <a:off x="14638320" y="345240"/>
          <a:ext cx="42912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156960</xdr:colOff>
      <xdr:row>1</xdr:row>
      <xdr:rowOff>67320</xdr:rowOff>
    </xdr:from>
    <xdr:to>
      <xdr:col>35</xdr:col>
      <xdr:colOff>583200</xdr:colOff>
      <xdr:row>3</xdr:row>
      <xdr:rowOff>63000</xdr:rowOff>
    </xdr:to>
    <xdr:pic>
      <xdr:nvPicPr>
        <xdr:cNvPr id="343" name="Gráfico 44" descr="Seta Reta">
          <a:hlinkClick r:id="rId45"/>
        </xdr:cNvPr>
        <xdr:cNvPicPr/>
      </xdr:nvPicPr>
      <xdr:blipFill>
        <a:blip r:embed="rId46"/>
        <a:stretch/>
      </xdr:blipFill>
      <xdr:spPr>
        <a:xfrm>
          <a:off x="14609520" y="67320"/>
          <a:ext cx="42624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35</xdr:col>
      <xdr:colOff>0</xdr:colOff>
      <xdr:row>5</xdr:row>
      <xdr:rowOff>0</xdr:rowOff>
    </xdr:from>
    <xdr:to>
      <xdr:col>35</xdr:col>
      <xdr:colOff>548640</xdr:colOff>
      <xdr:row>6</xdr:row>
      <xdr:rowOff>10800</xdr:rowOff>
    </xdr:to>
    <xdr:sp>
      <xdr:nvSpPr>
        <xdr:cNvPr id="344" name="Balão de Fala: Retângulo com Cantos Arredondados 45"/>
        <xdr:cNvSpPr/>
      </xdr:nvSpPr>
      <xdr:spPr>
        <a:xfrm>
          <a:off x="14452560" y="799920"/>
          <a:ext cx="548640" cy="182160"/>
        </a:xfrm>
        <a:prstGeom prst="wedgeRoundRectCallout">
          <a:avLst>
            <a:gd name="adj1" fmla="val -18889"/>
            <a:gd name="adj2" fmla="val 13747"/>
            <a:gd name="adj3" fmla="val 16667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28800" bIns="36000" anchor="ctr">
          <a:noAutofit/>
        </a:bodyPr>
        <a:p>
          <a:pPr algn="ctr">
            <a:lnSpc>
              <a:spcPct val="100000"/>
            </a:lnSpc>
          </a:pPr>
          <a:r>
            <a:rPr b="0" lang="en-GB" sz="900" spc="-1" strike="noStrike">
              <a:solidFill>
                <a:srgbClr val="ffffff"/>
              </a:solidFill>
              <a:latin typeface="Calibri"/>
            </a:rPr>
            <a:t>DIAS</a:t>
          </a:r>
          <a:endParaRPr b="0" lang="pt-BR" sz="9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2880</xdr:colOff>
      <xdr:row>54</xdr:row>
      <xdr:rowOff>78480</xdr:rowOff>
    </xdr:from>
    <xdr:to>
      <xdr:col>3</xdr:col>
      <xdr:colOff>99360</xdr:colOff>
      <xdr:row>57</xdr:row>
      <xdr:rowOff>64440</xdr:rowOff>
    </xdr:to>
    <xdr:sp>
      <xdr:nvSpPr>
        <xdr:cNvPr id="345" name="Retângulo: Cantos Arredondados 1"/>
        <xdr:cNvSpPr/>
      </xdr:nvSpPr>
      <xdr:spPr>
        <a:xfrm>
          <a:off x="153720" y="10212840"/>
          <a:ext cx="2274120" cy="78624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8</xdr:row>
      <xdr:rowOff>104760</xdr:rowOff>
    </xdr:from>
    <xdr:to>
      <xdr:col>3</xdr:col>
      <xdr:colOff>77760</xdr:colOff>
      <xdr:row>11</xdr:row>
      <xdr:rowOff>75960</xdr:rowOff>
    </xdr:to>
    <xdr:sp>
      <xdr:nvSpPr>
        <xdr:cNvPr id="346" name="Retângulo: Cantos Arredondados 2"/>
        <xdr:cNvSpPr/>
      </xdr:nvSpPr>
      <xdr:spPr>
        <a:xfrm>
          <a:off x="132480" y="1390320"/>
          <a:ext cx="2273760" cy="79056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JUNTAR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DINHEIRO?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19</xdr:row>
      <xdr:rowOff>104760</xdr:rowOff>
    </xdr:from>
    <xdr:to>
      <xdr:col>3</xdr:col>
      <xdr:colOff>77760</xdr:colOff>
      <xdr:row>22</xdr:row>
      <xdr:rowOff>56880</xdr:rowOff>
    </xdr:to>
    <xdr:sp>
      <xdr:nvSpPr>
        <xdr:cNvPr id="347" name="Retângulo: Cantos Arredondados 3"/>
        <xdr:cNvSpPr/>
      </xdr:nvSpPr>
      <xdr:spPr>
        <a:xfrm>
          <a:off x="132480" y="3438360"/>
          <a:ext cx="2273760" cy="75204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GUARDAR E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INVESTIR?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282240</xdr:colOff>
      <xdr:row>20</xdr:row>
      <xdr:rowOff>118080</xdr:rowOff>
    </xdr:from>
    <xdr:to>
      <xdr:col>2</xdr:col>
      <xdr:colOff>681480</xdr:colOff>
      <xdr:row>21</xdr:row>
      <xdr:rowOff>8640</xdr:rowOff>
    </xdr:to>
    <xdr:pic>
      <xdr:nvPicPr>
        <xdr:cNvPr id="348" name="Gráfico 4" descr="Cofrinho"/>
        <xdr:cNvPicPr/>
      </xdr:nvPicPr>
      <xdr:blipFill>
        <a:blip r:embed="rId1"/>
        <a:stretch/>
      </xdr:blipFill>
      <xdr:spPr>
        <a:xfrm>
          <a:off x="544320" y="3603960"/>
          <a:ext cx="39924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284040</xdr:colOff>
      <xdr:row>9</xdr:row>
      <xdr:rowOff>151200</xdr:rowOff>
    </xdr:from>
    <xdr:to>
      <xdr:col>2</xdr:col>
      <xdr:colOff>680040</xdr:colOff>
      <xdr:row>10</xdr:row>
      <xdr:rowOff>42120</xdr:rowOff>
    </xdr:to>
    <xdr:pic>
      <xdr:nvPicPr>
        <xdr:cNvPr id="349" name="Gráfico 5" descr="Carteira"/>
        <xdr:cNvPicPr/>
      </xdr:nvPicPr>
      <xdr:blipFill>
        <a:blip r:embed="rId2"/>
        <a:stretch/>
      </xdr:blipFill>
      <xdr:spPr>
        <a:xfrm>
          <a:off x="546120" y="1589400"/>
          <a:ext cx="39600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0</xdr:col>
      <xdr:colOff>145800</xdr:colOff>
      <xdr:row>31</xdr:row>
      <xdr:rowOff>89640</xdr:rowOff>
    </xdr:from>
    <xdr:to>
      <xdr:col>3</xdr:col>
      <xdr:colOff>91440</xdr:colOff>
      <xdr:row>34</xdr:row>
      <xdr:rowOff>78480</xdr:rowOff>
    </xdr:to>
    <xdr:sp>
      <xdr:nvSpPr>
        <xdr:cNvPr id="350" name="Retângulo: Cantos Arredondados 6"/>
        <xdr:cNvSpPr/>
      </xdr:nvSpPr>
      <xdr:spPr>
        <a:xfrm>
          <a:off x="145800" y="5452200"/>
          <a:ext cx="2274120" cy="7887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315360</xdr:colOff>
      <xdr:row>32</xdr:row>
      <xdr:rowOff>144360</xdr:rowOff>
    </xdr:from>
    <xdr:to>
      <xdr:col>2</xdr:col>
      <xdr:colOff>709560</xdr:colOff>
      <xdr:row>33</xdr:row>
      <xdr:rowOff>35280</xdr:rowOff>
    </xdr:to>
    <xdr:pic>
      <xdr:nvPicPr>
        <xdr:cNvPr id="351" name="Gráfico 7" descr="Eletricista"/>
        <xdr:cNvPicPr/>
      </xdr:nvPicPr>
      <xdr:blipFill>
        <a:blip r:embed="rId3"/>
        <a:stretch/>
      </xdr:blipFill>
      <xdr:spPr>
        <a:xfrm>
          <a:off x="577440" y="5659200"/>
          <a:ext cx="39420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311760</xdr:colOff>
      <xdr:row>55</xdr:row>
      <xdr:rowOff>132120</xdr:rowOff>
    </xdr:from>
    <xdr:to>
      <xdr:col>2</xdr:col>
      <xdr:colOff>713160</xdr:colOff>
      <xdr:row>56</xdr:row>
      <xdr:rowOff>23040</xdr:rowOff>
    </xdr:to>
    <xdr:pic>
      <xdr:nvPicPr>
        <xdr:cNvPr id="352" name="Gráfico 8" descr="Artista"/>
        <xdr:cNvPicPr/>
      </xdr:nvPicPr>
      <xdr:blipFill>
        <a:blip r:embed="rId4"/>
        <a:stretch/>
      </xdr:blipFill>
      <xdr:spPr>
        <a:xfrm>
          <a:off x="573840" y="10419120"/>
          <a:ext cx="401400" cy="395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76</xdr:row>
      <xdr:rowOff>104760</xdr:rowOff>
    </xdr:from>
    <xdr:to>
      <xdr:col>3</xdr:col>
      <xdr:colOff>95040</xdr:colOff>
      <xdr:row>79</xdr:row>
      <xdr:rowOff>75960</xdr:rowOff>
    </xdr:to>
    <xdr:sp>
      <xdr:nvSpPr>
        <xdr:cNvPr id="353" name="Retângulo: Cantos Arredondados 9"/>
        <xdr:cNvSpPr/>
      </xdr:nvSpPr>
      <xdr:spPr>
        <a:xfrm>
          <a:off x="150840" y="1478268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28</xdr:col>
      <xdr:colOff>211680</xdr:colOff>
      <xdr:row>1</xdr:row>
      <xdr:rowOff>166320</xdr:rowOff>
    </xdr:from>
    <xdr:to>
      <xdr:col>29</xdr:col>
      <xdr:colOff>128880</xdr:colOff>
      <xdr:row>3</xdr:row>
      <xdr:rowOff>47520</xdr:rowOff>
    </xdr:to>
    <xdr:pic>
      <xdr:nvPicPr>
        <xdr:cNvPr id="354" name="Gráfico 10" descr="Impressão digital">
          <a:hlinkClick r:id="rId5"/>
        </xdr:cNvPr>
        <xdr:cNvPicPr/>
      </xdr:nvPicPr>
      <xdr:blipFill>
        <a:blip r:embed="rId6"/>
        <a:stretch/>
      </xdr:blipFill>
      <xdr:spPr>
        <a:xfrm>
          <a:off x="12305880" y="166320"/>
          <a:ext cx="309960" cy="30960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25</xdr:col>
      <xdr:colOff>188640</xdr:colOff>
      <xdr:row>1</xdr:row>
      <xdr:rowOff>129960</xdr:rowOff>
    </xdr:from>
    <xdr:to>
      <xdr:col>26</xdr:col>
      <xdr:colOff>164160</xdr:colOff>
      <xdr:row>3</xdr:row>
      <xdr:rowOff>65880</xdr:rowOff>
    </xdr:to>
    <xdr:pic>
      <xdr:nvPicPr>
        <xdr:cNvPr id="355" name="Gráfico 11" descr="Trancar">
          <a:hlinkClick r:id="rId7"/>
        </xdr:cNvPr>
        <xdr:cNvPicPr/>
      </xdr:nvPicPr>
      <xdr:blipFill>
        <a:blip r:embed="rId8"/>
        <a:stretch/>
      </xdr:blipFill>
      <xdr:spPr>
        <a:xfrm>
          <a:off x="11103480" y="129960"/>
          <a:ext cx="368640" cy="36432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</xdr:colOff>
      <xdr:row>19</xdr:row>
      <xdr:rowOff>126360</xdr:rowOff>
    </xdr:from>
    <xdr:to>
      <xdr:col>2</xdr:col>
      <xdr:colOff>139680</xdr:colOff>
      <xdr:row>20</xdr:row>
      <xdr:rowOff>220320</xdr:rowOff>
    </xdr:to>
    <xdr:pic>
      <xdr:nvPicPr>
        <xdr:cNvPr id="356" name="Gráfico 12" descr="Ajudar">
          <a:hlinkClick r:id="rId9"/>
        </xdr:cNvPr>
        <xdr:cNvPicPr/>
      </xdr:nvPicPr>
      <xdr:blipFill>
        <a:blip r:embed="rId10"/>
        <a:stretch/>
      </xdr:blipFill>
      <xdr:spPr>
        <a:xfrm>
          <a:off x="151920" y="345996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15120</xdr:colOff>
      <xdr:row>31</xdr:row>
      <xdr:rowOff>114480</xdr:rowOff>
    </xdr:from>
    <xdr:to>
      <xdr:col>2</xdr:col>
      <xdr:colOff>150120</xdr:colOff>
      <xdr:row>32</xdr:row>
      <xdr:rowOff>208440</xdr:rowOff>
    </xdr:to>
    <xdr:pic>
      <xdr:nvPicPr>
        <xdr:cNvPr id="357" name="Gráfico 13" descr="Ajudar">
          <a:hlinkClick r:id="rId11"/>
        </xdr:cNvPr>
        <xdr:cNvPicPr/>
      </xdr:nvPicPr>
      <xdr:blipFill>
        <a:blip r:embed="rId12"/>
        <a:stretch/>
      </xdr:blipFill>
      <xdr:spPr>
        <a:xfrm>
          <a:off x="165960" y="54770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10800</xdr:colOff>
      <xdr:row>54</xdr:row>
      <xdr:rowOff>98640</xdr:rowOff>
    </xdr:from>
    <xdr:to>
      <xdr:col>2</xdr:col>
      <xdr:colOff>145800</xdr:colOff>
      <xdr:row>55</xdr:row>
      <xdr:rowOff>192240</xdr:rowOff>
    </xdr:to>
    <xdr:pic>
      <xdr:nvPicPr>
        <xdr:cNvPr id="358" name="Gráfico 14" descr="Ajudar">
          <a:hlinkClick r:id="rId13"/>
        </xdr:cNvPr>
        <xdr:cNvPicPr/>
      </xdr:nvPicPr>
      <xdr:blipFill>
        <a:blip r:embed="rId14"/>
        <a:stretch/>
      </xdr:blipFill>
      <xdr:spPr>
        <a:xfrm>
          <a:off x="161640" y="102330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6120</xdr:colOff>
      <xdr:row>76</xdr:row>
      <xdr:rowOff>127800</xdr:rowOff>
    </xdr:from>
    <xdr:to>
      <xdr:col>2</xdr:col>
      <xdr:colOff>141120</xdr:colOff>
      <xdr:row>77</xdr:row>
      <xdr:rowOff>221760</xdr:rowOff>
    </xdr:to>
    <xdr:pic>
      <xdr:nvPicPr>
        <xdr:cNvPr id="359" name="Gráfico 15" descr="Ajudar">
          <a:hlinkClick r:id="rId15"/>
        </xdr:cNvPr>
        <xdr:cNvPicPr/>
      </xdr:nvPicPr>
      <xdr:blipFill>
        <a:blip r:embed="rId16"/>
        <a:stretch/>
      </xdr:blipFill>
      <xdr:spPr>
        <a:xfrm>
          <a:off x="156960" y="1480572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90</xdr:row>
      <xdr:rowOff>104760</xdr:rowOff>
    </xdr:from>
    <xdr:to>
      <xdr:col>3</xdr:col>
      <xdr:colOff>95040</xdr:colOff>
      <xdr:row>93</xdr:row>
      <xdr:rowOff>75960</xdr:rowOff>
    </xdr:to>
    <xdr:sp>
      <xdr:nvSpPr>
        <xdr:cNvPr id="360" name="Retângulo: Cantos Arredondados 16"/>
        <xdr:cNvSpPr/>
      </xdr:nvSpPr>
      <xdr:spPr>
        <a:xfrm>
          <a:off x="150840" y="1757340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90</xdr:row>
      <xdr:rowOff>127800</xdr:rowOff>
    </xdr:from>
    <xdr:to>
      <xdr:col>2</xdr:col>
      <xdr:colOff>141120</xdr:colOff>
      <xdr:row>91</xdr:row>
      <xdr:rowOff>221760</xdr:rowOff>
    </xdr:to>
    <xdr:pic>
      <xdr:nvPicPr>
        <xdr:cNvPr id="361" name="Gráfico 17" descr="Ajudar">
          <a:hlinkClick r:id="rId17"/>
        </xdr:cNvPr>
        <xdr:cNvPicPr/>
      </xdr:nvPicPr>
      <xdr:blipFill>
        <a:blip r:embed="rId18"/>
        <a:stretch/>
      </xdr:blipFill>
      <xdr:spPr>
        <a:xfrm>
          <a:off x="156960" y="17596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107</xdr:row>
      <xdr:rowOff>104760</xdr:rowOff>
    </xdr:from>
    <xdr:to>
      <xdr:col>3</xdr:col>
      <xdr:colOff>95040</xdr:colOff>
      <xdr:row>110</xdr:row>
      <xdr:rowOff>75960</xdr:rowOff>
    </xdr:to>
    <xdr:sp>
      <xdr:nvSpPr>
        <xdr:cNvPr id="362" name="Retângulo: Cantos Arredondados 18"/>
        <xdr:cNvSpPr/>
      </xdr:nvSpPr>
      <xdr:spPr>
        <a:xfrm>
          <a:off x="150840" y="2110716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107</xdr:row>
      <xdr:rowOff>127800</xdr:rowOff>
    </xdr:from>
    <xdr:to>
      <xdr:col>2</xdr:col>
      <xdr:colOff>141120</xdr:colOff>
      <xdr:row>108</xdr:row>
      <xdr:rowOff>221760</xdr:rowOff>
    </xdr:to>
    <xdr:pic>
      <xdr:nvPicPr>
        <xdr:cNvPr id="363" name="Gráfico 19" descr="Ajudar">
          <a:hlinkClick r:id="rId19"/>
        </xdr:cNvPr>
        <xdr:cNvPicPr/>
      </xdr:nvPicPr>
      <xdr:blipFill>
        <a:blip r:embed="rId20"/>
        <a:stretch/>
      </xdr:blipFill>
      <xdr:spPr>
        <a:xfrm>
          <a:off x="156960" y="211302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126</xdr:row>
      <xdr:rowOff>104760</xdr:rowOff>
    </xdr:from>
    <xdr:to>
      <xdr:col>3</xdr:col>
      <xdr:colOff>95040</xdr:colOff>
      <xdr:row>129</xdr:row>
      <xdr:rowOff>75960</xdr:rowOff>
    </xdr:to>
    <xdr:sp>
      <xdr:nvSpPr>
        <xdr:cNvPr id="364" name="Retângulo: Cantos Arredondados 20"/>
        <xdr:cNvSpPr/>
      </xdr:nvSpPr>
      <xdr:spPr>
        <a:xfrm>
          <a:off x="150840" y="251553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126</xdr:row>
      <xdr:rowOff>127800</xdr:rowOff>
    </xdr:from>
    <xdr:to>
      <xdr:col>2</xdr:col>
      <xdr:colOff>141120</xdr:colOff>
      <xdr:row>127</xdr:row>
      <xdr:rowOff>221760</xdr:rowOff>
    </xdr:to>
    <xdr:pic>
      <xdr:nvPicPr>
        <xdr:cNvPr id="365" name="Gráfico 21" descr="Ajudar">
          <a:hlinkClick r:id="rId21"/>
        </xdr:cNvPr>
        <xdr:cNvPicPr/>
      </xdr:nvPicPr>
      <xdr:blipFill>
        <a:blip r:embed="rId22"/>
        <a:stretch/>
      </xdr:blipFill>
      <xdr:spPr>
        <a:xfrm>
          <a:off x="156960" y="251784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145</xdr:row>
      <xdr:rowOff>104760</xdr:rowOff>
    </xdr:from>
    <xdr:to>
      <xdr:col>3</xdr:col>
      <xdr:colOff>95040</xdr:colOff>
      <xdr:row>148</xdr:row>
      <xdr:rowOff>75960</xdr:rowOff>
    </xdr:to>
    <xdr:sp>
      <xdr:nvSpPr>
        <xdr:cNvPr id="366" name="Retângulo: Cantos Arredondados 22"/>
        <xdr:cNvSpPr/>
      </xdr:nvSpPr>
      <xdr:spPr>
        <a:xfrm>
          <a:off x="150840" y="292035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145</xdr:row>
      <xdr:rowOff>127800</xdr:rowOff>
    </xdr:from>
    <xdr:to>
      <xdr:col>2</xdr:col>
      <xdr:colOff>141120</xdr:colOff>
      <xdr:row>146</xdr:row>
      <xdr:rowOff>221760</xdr:rowOff>
    </xdr:to>
    <xdr:pic>
      <xdr:nvPicPr>
        <xdr:cNvPr id="367" name="Gráfico 23" descr="Ajudar">
          <a:hlinkClick r:id="rId23"/>
        </xdr:cNvPr>
        <xdr:cNvPicPr/>
      </xdr:nvPicPr>
      <xdr:blipFill>
        <a:blip r:embed="rId24"/>
        <a:stretch/>
      </xdr:blipFill>
      <xdr:spPr>
        <a:xfrm>
          <a:off x="156960" y="292266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162</xdr:row>
      <xdr:rowOff>104760</xdr:rowOff>
    </xdr:from>
    <xdr:to>
      <xdr:col>3</xdr:col>
      <xdr:colOff>95040</xdr:colOff>
      <xdr:row>165</xdr:row>
      <xdr:rowOff>75960</xdr:rowOff>
    </xdr:to>
    <xdr:sp>
      <xdr:nvSpPr>
        <xdr:cNvPr id="368" name="Retângulo: Cantos Arredondados 24"/>
        <xdr:cNvSpPr/>
      </xdr:nvSpPr>
      <xdr:spPr>
        <a:xfrm>
          <a:off x="150840" y="3275640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162</xdr:row>
      <xdr:rowOff>127800</xdr:rowOff>
    </xdr:from>
    <xdr:to>
      <xdr:col>2</xdr:col>
      <xdr:colOff>141120</xdr:colOff>
      <xdr:row>163</xdr:row>
      <xdr:rowOff>221760</xdr:rowOff>
    </xdr:to>
    <xdr:pic>
      <xdr:nvPicPr>
        <xdr:cNvPr id="369" name="Gráfico 25" descr="Ajudar">
          <a:hlinkClick r:id="rId25"/>
        </xdr:cNvPr>
        <xdr:cNvPicPr/>
      </xdr:nvPicPr>
      <xdr:blipFill>
        <a:blip r:embed="rId26"/>
        <a:stretch/>
      </xdr:blipFill>
      <xdr:spPr>
        <a:xfrm>
          <a:off x="156960" y="32779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181</xdr:row>
      <xdr:rowOff>104760</xdr:rowOff>
    </xdr:from>
    <xdr:to>
      <xdr:col>3</xdr:col>
      <xdr:colOff>95040</xdr:colOff>
      <xdr:row>184</xdr:row>
      <xdr:rowOff>75960</xdr:rowOff>
    </xdr:to>
    <xdr:sp>
      <xdr:nvSpPr>
        <xdr:cNvPr id="370" name="Retângulo: Cantos Arredondados 26"/>
        <xdr:cNvSpPr/>
      </xdr:nvSpPr>
      <xdr:spPr>
        <a:xfrm>
          <a:off x="150840" y="368042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181</xdr:row>
      <xdr:rowOff>127800</xdr:rowOff>
    </xdr:from>
    <xdr:to>
      <xdr:col>2</xdr:col>
      <xdr:colOff>141120</xdr:colOff>
      <xdr:row>182</xdr:row>
      <xdr:rowOff>221400</xdr:rowOff>
    </xdr:to>
    <xdr:pic>
      <xdr:nvPicPr>
        <xdr:cNvPr id="371" name="Gráfico 27" descr="Ajudar">
          <a:hlinkClick r:id="rId27"/>
        </xdr:cNvPr>
        <xdr:cNvPicPr/>
      </xdr:nvPicPr>
      <xdr:blipFill>
        <a:blip r:embed="rId28"/>
        <a:stretch/>
      </xdr:blipFill>
      <xdr:spPr>
        <a:xfrm>
          <a:off x="156960" y="368272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200</xdr:row>
      <xdr:rowOff>104760</xdr:rowOff>
    </xdr:from>
    <xdr:to>
      <xdr:col>3</xdr:col>
      <xdr:colOff>95040</xdr:colOff>
      <xdr:row>203</xdr:row>
      <xdr:rowOff>75960</xdr:rowOff>
    </xdr:to>
    <xdr:sp>
      <xdr:nvSpPr>
        <xdr:cNvPr id="372" name="Retângulo: Cantos Arredondados 28"/>
        <xdr:cNvSpPr/>
      </xdr:nvSpPr>
      <xdr:spPr>
        <a:xfrm>
          <a:off x="150840" y="408524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 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200</xdr:row>
      <xdr:rowOff>127800</xdr:rowOff>
    </xdr:from>
    <xdr:to>
      <xdr:col>2</xdr:col>
      <xdr:colOff>141120</xdr:colOff>
      <xdr:row>201</xdr:row>
      <xdr:rowOff>221400</xdr:rowOff>
    </xdr:to>
    <xdr:pic>
      <xdr:nvPicPr>
        <xdr:cNvPr id="373" name="Gráfico 29" descr="Ajudar">
          <a:hlinkClick r:id="rId29"/>
        </xdr:cNvPr>
        <xdr:cNvPicPr/>
      </xdr:nvPicPr>
      <xdr:blipFill>
        <a:blip r:embed="rId30"/>
        <a:stretch/>
      </xdr:blipFill>
      <xdr:spPr>
        <a:xfrm>
          <a:off x="156960" y="408754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319680</xdr:colOff>
      <xdr:row>77</xdr:row>
      <xdr:rowOff>126720</xdr:rowOff>
    </xdr:from>
    <xdr:to>
      <xdr:col>2</xdr:col>
      <xdr:colOff>711360</xdr:colOff>
      <xdr:row>78</xdr:row>
      <xdr:rowOff>17640</xdr:rowOff>
    </xdr:to>
    <xdr:pic>
      <xdr:nvPicPr>
        <xdr:cNvPr id="374" name="Gráfico 30" descr="Dinheiro"/>
        <xdr:cNvPicPr/>
      </xdr:nvPicPr>
      <xdr:blipFill>
        <a:blip r:embed="rId31"/>
        <a:stretch/>
      </xdr:blipFill>
      <xdr:spPr>
        <a:xfrm flipH="1">
          <a:off x="581760" y="14956920"/>
          <a:ext cx="391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319680</xdr:colOff>
      <xdr:row>91</xdr:row>
      <xdr:rowOff>115920</xdr:rowOff>
    </xdr:from>
    <xdr:to>
      <xdr:col>2</xdr:col>
      <xdr:colOff>720360</xdr:colOff>
      <xdr:row>92</xdr:row>
      <xdr:rowOff>6480</xdr:rowOff>
    </xdr:to>
    <xdr:pic>
      <xdr:nvPicPr>
        <xdr:cNvPr id="375" name="Gráfico 31" descr="Dinheiro"/>
        <xdr:cNvPicPr/>
      </xdr:nvPicPr>
      <xdr:blipFill>
        <a:blip r:embed="rId32"/>
        <a:stretch/>
      </xdr:blipFill>
      <xdr:spPr>
        <a:xfrm flipH="1">
          <a:off x="581760" y="17736840"/>
          <a:ext cx="400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330840</xdr:colOff>
      <xdr:row>108</xdr:row>
      <xdr:rowOff>134280</xdr:rowOff>
    </xdr:from>
    <xdr:to>
      <xdr:col>2</xdr:col>
      <xdr:colOff>722880</xdr:colOff>
      <xdr:row>109</xdr:row>
      <xdr:rowOff>35640</xdr:rowOff>
    </xdr:to>
    <xdr:pic>
      <xdr:nvPicPr>
        <xdr:cNvPr id="376" name="Gráfico 32" descr="Moedas"/>
        <xdr:cNvPicPr/>
      </xdr:nvPicPr>
      <xdr:blipFill>
        <a:blip r:embed="rId33"/>
        <a:stretch/>
      </xdr:blipFill>
      <xdr:spPr>
        <a:xfrm flipH="1">
          <a:off x="592920" y="212889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285840</xdr:colOff>
      <xdr:row>127</xdr:row>
      <xdr:rowOff>149760</xdr:rowOff>
    </xdr:from>
    <xdr:to>
      <xdr:col>2</xdr:col>
      <xdr:colOff>677880</xdr:colOff>
      <xdr:row>128</xdr:row>
      <xdr:rowOff>51120</xdr:rowOff>
    </xdr:to>
    <xdr:pic>
      <xdr:nvPicPr>
        <xdr:cNvPr id="377" name="Gráfico 33" descr="Moedas"/>
        <xdr:cNvPicPr/>
      </xdr:nvPicPr>
      <xdr:blipFill>
        <a:blip r:embed="rId34"/>
        <a:stretch/>
      </xdr:blipFill>
      <xdr:spPr>
        <a:xfrm flipH="1">
          <a:off x="547920" y="2535264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288720</xdr:colOff>
      <xdr:row>146</xdr:row>
      <xdr:rowOff>152280</xdr:rowOff>
    </xdr:from>
    <xdr:to>
      <xdr:col>2</xdr:col>
      <xdr:colOff>680760</xdr:colOff>
      <xdr:row>147</xdr:row>
      <xdr:rowOff>54000</xdr:rowOff>
    </xdr:to>
    <xdr:pic>
      <xdr:nvPicPr>
        <xdr:cNvPr id="378" name="Gráfico 34" descr="Moedas"/>
        <xdr:cNvPicPr/>
      </xdr:nvPicPr>
      <xdr:blipFill>
        <a:blip r:embed="rId35"/>
        <a:stretch/>
      </xdr:blipFill>
      <xdr:spPr>
        <a:xfrm flipH="1">
          <a:off x="550800" y="294033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163</xdr:row>
      <xdr:rowOff>123120</xdr:rowOff>
    </xdr:from>
    <xdr:to>
      <xdr:col>2</xdr:col>
      <xdr:colOff>705240</xdr:colOff>
      <xdr:row>164</xdr:row>
      <xdr:rowOff>14040</xdr:rowOff>
    </xdr:to>
    <xdr:pic>
      <xdr:nvPicPr>
        <xdr:cNvPr id="379" name="Gráfico 35" descr="Sirene"/>
        <xdr:cNvPicPr/>
      </xdr:nvPicPr>
      <xdr:blipFill>
        <a:blip r:embed="rId36"/>
        <a:stretch/>
      </xdr:blipFill>
      <xdr:spPr>
        <a:xfrm>
          <a:off x="562680" y="3292704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182</xdr:row>
      <xdr:rowOff>107640</xdr:rowOff>
    </xdr:from>
    <xdr:to>
      <xdr:col>2</xdr:col>
      <xdr:colOff>705240</xdr:colOff>
      <xdr:row>183</xdr:row>
      <xdr:rowOff>2880</xdr:rowOff>
    </xdr:to>
    <xdr:pic>
      <xdr:nvPicPr>
        <xdr:cNvPr id="380" name="Gráfico 36" descr="Sirene"/>
        <xdr:cNvPicPr/>
      </xdr:nvPicPr>
      <xdr:blipFill>
        <a:blip r:embed="rId37"/>
        <a:stretch/>
      </xdr:blipFill>
      <xdr:spPr>
        <a:xfrm>
          <a:off x="562680" y="36959760"/>
          <a:ext cx="404640" cy="39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201</xdr:row>
      <xdr:rowOff>125640</xdr:rowOff>
    </xdr:from>
    <xdr:to>
      <xdr:col>2</xdr:col>
      <xdr:colOff>705240</xdr:colOff>
      <xdr:row>202</xdr:row>
      <xdr:rowOff>16560</xdr:rowOff>
    </xdr:to>
    <xdr:pic>
      <xdr:nvPicPr>
        <xdr:cNvPr id="381" name="Gráfico 37" descr="Sirene"/>
        <xdr:cNvPicPr/>
      </xdr:nvPicPr>
      <xdr:blipFill>
        <a:blip r:embed="rId38"/>
        <a:stretch/>
      </xdr:blipFill>
      <xdr:spPr>
        <a:xfrm>
          <a:off x="562680" y="4102596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190440</xdr:colOff>
      <xdr:row>1</xdr:row>
      <xdr:rowOff>141120</xdr:rowOff>
    </xdr:from>
    <xdr:to>
      <xdr:col>32</xdr:col>
      <xdr:colOff>138960</xdr:colOff>
      <xdr:row>3</xdr:row>
      <xdr:rowOff>54360</xdr:rowOff>
    </xdr:to>
    <xdr:pic>
      <xdr:nvPicPr>
        <xdr:cNvPr id="382" name="Gráfico 38" descr="Virar calendário">
          <a:hlinkClick r:id="rId39"/>
        </xdr:cNvPr>
        <xdr:cNvPicPr/>
      </xdr:nvPicPr>
      <xdr:blipFill>
        <a:blip r:embed="rId40"/>
        <a:stretch/>
      </xdr:blipFill>
      <xdr:spPr>
        <a:xfrm>
          <a:off x="13463640" y="141120"/>
          <a:ext cx="341640" cy="341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26</xdr:col>
      <xdr:colOff>324720</xdr:colOff>
      <xdr:row>2</xdr:row>
      <xdr:rowOff>174600</xdr:rowOff>
    </xdr:from>
    <xdr:to>
      <xdr:col>28</xdr:col>
      <xdr:colOff>22320</xdr:colOff>
      <xdr:row>2</xdr:row>
      <xdr:rowOff>174600</xdr:rowOff>
    </xdr:to>
    <xdr:sp>
      <xdr:nvSpPr>
        <xdr:cNvPr id="383" name="Conector reto 39"/>
        <xdr:cNvSpPr/>
      </xdr:nvSpPr>
      <xdr:spPr>
        <a:xfrm>
          <a:off x="11632680" y="374400"/>
          <a:ext cx="48384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29</xdr:col>
      <xdr:colOff>331560</xdr:colOff>
      <xdr:row>2</xdr:row>
      <xdr:rowOff>174600</xdr:rowOff>
    </xdr:from>
    <xdr:to>
      <xdr:col>31</xdr:col>
      <xdr:colOff>28800</xdr:colOff>
      <xdr:row>2</xdr:row>
      <xdr:rowOff>174600</xdr:rowOff>
    </xdr:to>
    <xdr:sp>
      <xdr:nvSpPr>
        <xdr:cNvPr id="384" name="Conector reto 40"/>
        <xdr:cNvSpPr/>
      </xdr:nvSpPr>
      <xdr:spPr>
        <a:xfrm>
          <a:off x="12818520" y="374400"/>
          <a:ext cx="48348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142200</xdr:colOff>
      <xdr:row>8</xdr:row>
      <xdr:rowOff>121680</xdr:rowOff>
    </xdr:from>
    <xdr:to>
      <xdr:col>2</xdr:col>
      <xdr:colOff>129960</xdr:colOff>
      <xdr:row>9</xdr:row>
      <xdr:rowOff>215280</xdr:rowOff>
    </xdr:to>
    <xdr:pic>
      <xdr:nvPicPr>
        <xdr:cNvPr id="385" name="Gráfico 42" descr="Ajudar">
          <a:hlinkClick r:id="rId41"/>
        </xdr:cNvPr>
        <xdr:cNvPicPr/>
      </xdr:nvPicPr>
      <xdr:blipFill>
        <a:blip r:embed="rId42"/>
        <a:stretch/>
      </xdr:blipFill>
      <xdr:spPr>
        <a:xfrm>
          <a:off x="142200" y="140724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185760</xdr:colOff>
      <xdr:row>2</xdr:row>
      <xdr:rowOff>145800</xdr:rowOff>
    </xdr:from>
    <xdr:to>
      <xdr:col>35</xdr:col>
      <xdr:colOff>614880</xdr:colOff>
      <xdr:row>4</xdr:row>
      <xdr:rowOff>112680</xdr:rowOff>
    </xdr:to>
    <xdr:pic>
      <xdr:nvPicPr>
        <xdr:cNvPr id="386" name="Gráfico 43" descr="Seta Reta">
          <a:hlinkClick r:id="rId43"/>
        </xdr:cNvPr>
        <xdr:cNvPicPr/>
      </xdr:nvPicPr>
      <xdr:blipFill>
        <a:blip r:embed="rId44"/>
        <a:stretch/>
      </xdr:blipFill>
      <xdr:spPr>
        <a:xfrm rot="10800000">
          <a:off x="15031080" y="345240"/>
          <a:ext cx="42912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156960</xdr:colOff>
      <xdr:row>1</xdr:row>
      <xdr:rowOff>67320</xdr:rowOff>
    </xdr:from>
    <xdr:to>
      <xdr:col>35</xdr:col>
      <xdr:colOff>583200</xdr:colOff>
      <xdr:row>3</xdr:row>
      <xdr:rowOff>63000</xdr:rowOff>
    </xdr:to>
    <xdr:pic>
      <xdr:nvPicPr>
        <xdr:cNvPr id="387" name="Gráfico 44" descr="Seta Reta">
          <a:hlinkClick r:id="rId45"/>
        </xdr:cNvPr>
        <xdr:cNvPicPr/>
      </xdr:nvPicPr>
      <xdr:blipFill>
        <a:blip r:embed="rId46"/>
        <a:stretch/>
      </xdr:blipFill>
      <xdr:spPr>
        <a:xfrm>
          <a:off x="15002280" y="67320"/>
          <a:ext cx="42624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35</xdr:col>
      <xdr:colOff>0</xdr:colOff>
      <xdr:row>5</xdr:row>
      <xdr:rowOff>0</xdr:rowOff>
    </xdr:from>
    <xdr:to>
      <xdr:col>35</xdr:col>
      <xdr:colOff>548640</xdr:colOff>
      <xdr:row>6</xdr:row>
      <xdr:rowOff>10800</xdr:rowOff>
    </xdr:to>
    <xdr:sp>
      <xdr:nvSpPr>
        <xdr:cNvPr id="388" name="Balão de Fala: Retângulo com Cantos Arredondados 45"/>
        <xdr:cNvSpPr/>
      </xdr:nvSpPr>
      <xdr:spPr>
        <a:xfrm>
          <a:off x="14845320" y="799920"/>
          <a:ext cx="548640" cy="182160"/>
        </a:xfrm>
        <a:prstGeom prst="wedgeRoundRectCallout">
          <a:avLst>
            <a:gd name="adj1" fmla="val -18889"/>
            <a:gd name="adj2" fmla="val 13747"/>
            <a:gd name="adj3" fmla="val 16667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28800" bIns="36000" anchor="ctr">
          <a:noAutofit/>
        </a:bodyPr>
        <a:p>
          <a:pPr algn="ctr">
            <a:lnSpc>
              <a:spcPct val="100000"/>
            </a:lnSpc>
          </a:pPr>
          <a:r>
            <a:rPr b="0" lang="en-GB" sz="900" spc="-1" strike="noStrike">
              <a:solidFill>
                <a:srgbClr val="ffffff"/>
              </a:solidFill>
              <a:latin typeface="Calibri"/>
            </a:rPr>
            <a:t>DIAS</a:t>
          </a:r>
          <a:endParaRPr b="0" lang="pt-BR" sz="9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2880</xdr:colOff>
      <xdr:row>54</xdr:row>
      <xdr:rowOff>78480</xdr:rowOff>
    </xdr:from>
    <xdr:to>
      <xdr:col>3</xdr:col>
      <xdr:colOff>99360</xdr:colOff>
      <xdr:row>57</xdr:row>
      <xdr:rowOff>64440</xdr:rowOff>
    </xdr:to>
    <xdr:sp>
      <xdr:nvSpPr>
        <xdr:cNvPr id="389" name="Retângulo: Cantos Arredondados 1"/>
        <xdr:cNvSpPr/>
      </xdr:nvSpPr>
      <xdr:spPr>
        <a:xfrm>
          <a:off x="153720" y="10212840"/>
          <a:ext cx="2274120" cy="78624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8</xdr:row>
      <xdr:rowOff>104760</xdr:rowOff>
    </xdr:from>
    <xdr:to>
      <xdr:col>3</xdr:col>
      <xdr:colOff>77760</xdr:colOff>
      <xdr:row>11</xdr:row>
      <xdr:rowOff>75960</xdr:rowOff>
    </xdr:to>
    <xdr:sp>
      <xdr:nvSpPr>
        <xdr:cNvPr id="390" name="Retângulo: Cantos Arredondados 2"/>
        <xdr:cNvSpPr/>
      </xdr:nvSpPr>
      <xdr:spPr>
        <a:xfrm>
          <a:off x="132480" y="1390320"/>
          <a:ext cx="2273760" cy="79056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JUNTAR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DINHEIRO?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19</xdr:row>
      <xdr:rowOff>104760</xdr:rowOff>
    </xdr:from>
    <xdr:to>
      <xdr:col>3</xdr:col>
      <xdr:colOff>77760</xdr:colOff>
      <xdr:row>22</xdr:row>
      <xdr:rowOff>56880</xdr:rowOff>
    </xdr:to>
    <xdr:sp>
      <xdr:nvSpPr>
        <xdr:cNvPr id="391" name="Retângulo: Cantos Arredondados 3"/>
        <xdr:cNvSpPr/>
      </xdr:nvSpPr>
      <xdr:spPr>
        <a:xfrm>
          <a:off x="132480" y="3438360"/>
          <a:ext cx="2273760" cy="75204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GUARDAR E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INVESTIR?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282240</xdr:colOff>
      <xdr:row>20</xdr:row>
      <xdr:rowOff>118080</xdr:rowOff>
    </xdr:from>
    <xdr:to>
      <xdr:col>2</xdr:col>
      <xdr:colOff>681480</xdr:colOff>
      <xdr:row>21</xdr:row>
      <xdr:rowOff>8640</xdr:rowOff>
    </xdr:to>
    <xdr:pic>
      <xdr:nvPicPr>
        <xdr:cNvPr id="392" name="Gráfico 4" descr="Cofrinho"/>
        <xdr:cNvPicPr/>
      </xdr:nvPicPr>
      <xdr:blipFill>
        <a:blip r:embed="rId1"/>
        <a:stretch/>
      </xdr:blipFill>
      <xdr:spPr>
        <a:xfrm>
          <a:off x="544320" y="3603960"/>
          <a:ext cx="39924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284040</xdr:colOff>
      <xdr:row>9</xdr:row>
      <xdr:rowOff>151200</xdr:rowOff>
    </xdr:from>
    <xdr:to>
      <xdr:col>2</xdr:col>
      <xdr:colOff>680040</xdr:colOff>
      <xdr:row>10</xdr:row>
      <xdr:rowOff>42120</xdr:rowOff>
    </xdr:to>
    <xdr:pic>
      <xdr:nvPicPr>
        <xdr:cNvPr id="393" name="Gráfico 5" descr="Carteira"/>
        <xdr:cNvPicPr/>
      </xdr:nvPicPr>
      <xdr:blipFill>
        <a:blip r:embed="rId2"/>
        <a:stretch/>
      </xdr:blipFill>
      <xdr:spPr>
        <a:xfrm>
          <a:off x="546120" y="1589400"/>
          <a:ext cx="39600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0</xdr:col>
      <xdr:colOff>145800</xdr:colOff>
      <xdr:row>31</xdr:row>
      <xdr:rowOff>89640</xdr:rowOff>
    </xdr:from>
    <xdr:to>
      <xdr:col>3</xdr:col>
      <xdr:colOff>91440</xdr:colOff>
      <xdr:row>34</xdr:row>
      <xdr:rowOff>78480</xdr:rowOff>
    </xdr:to>
    <xdr:sp>
      <xdr:nvSpPr>
        <xdr:cNvPr id="394" name="Retângulo: Cantos Arredondados 6"/>
        <xdr:cNvSpPr/>
      </xdr:nvSpPr>
      <xdr:spPr>
        <a:xfrm>
          <a:off x="145800" y="5452200"/>
          <a:ext cx="2274120" cy="7887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315360</xdr:colOff>
      <xdr:row>32</xdr:row>
      <xdr:rowOff>144360</xdr:rowOff>
    </xdr:from>
    <xdr:to>
      <xdr:col>2</xdr:col>
      <xdr:colOff>709560</xdr:colOff>
      <xdr:row>33</xdr:row>
      <xdr:rowOff>35280</xdr:rowOff>
    </xdr:to>
    <xdr:pic>
      <xdr:nvPicPr>
        <xdr:cNvPr id="395" name="Gráfico 7" descr="Eletricista"/>
        <xdr:cNvPicPr/>
      </xdr:nvPicPr>
      <xdr:blipFill>
        <a:blip r:embed="rId3"/>
        <a:stretch/>
      </xdr:blipFill>
      <xdr:spPr>
        <a:xfrm>
          <a:off x="577440" y="5659200"/>
          <a:ext cx="39420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311760</xdr:colOff>
      <xdr:row>55</xdr:row>
      <xdr:rowOff>132120</xdr:rowOff>
    </xdr:from>
    <xdr:to>
      <xdr:col>2</xdr:col>
      <xdr:colOff>713160</xdr:colOff>
      <xdr:row>56</xdr:row>
      <xdr:rowOff>23040</xdr:rowOff>
    </xdr:to>
    <xdr:pic>
      <xdr:nvPicPr>
        <xdr:cNvPr id="396" name="Gráfico 8" descr="Artista"/>
        <xdr:cNvPicPr/>
      </xdr:nvPicPr>
      <xdr:blipFill>
        <a:blip r:embed="rId4"/>
        <a:stretch/>
      </xdr:blipFill>
      <xdr:spPr>
        <a:xfrm>
          <a:off x="573840" y="10419120"/>
          <a:ext cx="401400" cy="395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76</xdr:row>
      <xdr:rowOff>104760</xdr:rowOff>
    </xdr:from>
    <xdr:to>
      <xdr:col>3</xdr:col>
      <xdr:colOff>95040</xdr:colOff>
      <xdr:row>79</xdr:row>
      <xdr:rowOff>75960</xdr:rowOff>
    </xdr:to>
    <xdr:sp>
      <xdr:nvSpPr>
        <xdr:cNvPr id="397" name="Retângulo: Cantos Arredondados 9"/>
        <xdr:cNvSpPr/>
      </xdr:nvSpPr>
      <xdr:spPr>
        <a:xfrm>
          <a:off x="150840" y="1478268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28</xdr:col>
      <xdr:colOff>211680</xdr:colOff>
      <xdr:row>1</xdr:row>
      <xdr:rowOff>166320</xdr:rowOff>
    </xdr:from>
    <xdr:to>
      <xdr:col>29</xdr:col>
      <xdr:colOff>128880</xdr:colOff>
      <xdr:row>3</xdr:row>
      <xdr:rowOff>47520</xdr:rowOff>
    </xdr:to>
    <xdr:pic>
      <xdr:nvPicPr>
        <xdr:cNvPr id="398" name="Gráfico 10" descr="Impressão digital">
          <a:hlinkClick r:id="rId5"/>
        </xdr:cNvPr>
        <xdr:cNvPicPr/>
      </xdr:nvPicPr>
      <xdr:blipFill>
        <a:blip r:embed="rId6"/>
        <a:stretch/>
      </xdr:blipFill>
      <xdr:spPr>
        <a:xfrm>
          <a:off x="12305880" y="166320"/>
          <a:ext cx="309960" cy="30960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25</xdr:col>
      <xdr:colOff>188640</xdr:colOff>
      <xdr:row>1</xdr:row>
      <xdr:rowOff>129960</xdr:rowOff>
    </xdr:from>
    <xdr:to>
      <xdr:col>26</xdr:col>
      <xdr:colOff>164160</xdr:colOff>
      <xdr:row>3</xdr:row>
      <xdr:rowOff>65880</xdr:rowOff>
    </xdr:to>
    <xdr:pic>
      <xdr:nvPicPr>
        <xdr:cNvPr id="399" name="Gráfico 11" descr="Trancar">
          <a:hlinkClick r:id="rId7"/>
        </xdr:cNvPr>
        <xdr:cNvPicPr/>
      </xdr:nvPicPr>
      <xdr:blipFill>
        <a:blip r:embed="rId8"/>
        <a:stretch/>
      </xdr:blipFill>
      <xdr:spPr>
        <a:xfrm>
          <a:off x="11103480" y="129960"/>
          <a:ext cx="368640" cy="36432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</xdr:colOff>
      <xdr:row>19</xdr:row>
      <xdr:rowOff>126360</xdr:rowOff>
    </xdr:from>
    <xdr:to>
      <xdr:col>2</xdr:col>
      <xdr:colOff>139680</xdr:colOff>
      <xdr:row>20</xdr:row>
      <xdr:rowOff>220320</xdr:rowOff>
    </xdr:to>
    <xdr:pic>
      <xdr:nvPicPr>
        <xdr:cNvPr id="400" name="Gráfico 12" descr="Ajudar">
          <a:hlinkClick r:id="rId9"/>
        </xdr:cNvPr>
        <xdr:cNvPicPr/>
      </xdr:nvPicPr>
      <xdr:blipFill>
        <a:blip r:embed="rId10"/>
        <a:stretch/>
      </xdr:blipFill>
      <xdr:spPr>
        <a:xfrm>
          <a:off x="151920" y="345996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15120</xdr:colOff>
      <xdr:row>31</xdr:row>
      <xdr:rowOff>114480</xdr:rowOff>
    </xdr:from>
    <xdr:to>
      <xdr:col>2</xdr:col>
      <xdr:colOff>150120</xdr:colOff>
      <xdr:row>32</xdr:row>
      <xdr:rowOff>208440</xdr:rowOff>
    </xdr:to>
    <xdr:pic>
      <xdr:nvPicPr>
        <xdr:cNvPr id="401" name="Gráfico 13" descr="Ajudar">
          <a:hlinkClick r:id="rId11"/>
        </xdr:cNvPr>
        <xdr:cNvPicPr/>
      </xdr:nvPicPr>
      <xdr:blipFill>
        <a:blip r:embed="rId12"/>
        <a:stretch/>
      </xdr:blipFill>
      <xdr:spPr>
        <a:xfrm>
          <a:off x="165960" y="54770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10800</xdr:colOff>
      <xdr:row>54</xdr:row>
      <xdr:rowOff>98640</xdr:rowOff>
    </xdr:from>
    <xdr:to>
      <xdr:col>2</xdr:col>
      <xdr:colOff>145800</xdr:colOff>
      <xdr:row>55</xdr:row>
      <xdr:rowOff>192240</xdr:rowOff>
    </xdr:to>
    <xdr:pic>
      <xdr:nvPicPr>
        <xdr:cNvPr id="402" name="Gráfico 14" descr="Ajudar">
          <a:hlinkClick r:id="rId13"/>
        </xdr:cNvPr>
        <xdr:cNvPicPr/>
      </xdr:nvPicPr>
      <xdr:blipFill>
        <a:blip r:embed="rId14"/>
        <a:stretch/>
      </xdr:blipFill>
      <xdr:spPr>
        <a:xfrm>
          <a:off x="161640" y="102330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6120</xdr:colOff>
      <xdr:row>76</xdr:row>
      <xdr:rowOff>127800</xdr:rowOff>
    </xdr:from>
    <xdr:to>
      <xdr:col>2</xdr:col>
      <xdr:colOff>141120</xdr:colOff>
      <xdr:row>77</xdr:row>
      <xdr:rowOff>221760</xdr:rowOff>
    </xdr:to>
    <xdr:pic>
      <xdr:nvPicPr>
        <xdr:cNvPr id="403" name="Gráfico 15" descr="Ajudar">
          <a:hlinkClick r:id="rId15"/>
        </xdr:cNvPr>
        <xdr:cNvPicPr/>
      </xdr:nvPicPr>
      <xdr:blipFill>
        <a:blip r:embed="rId16"/>
        <a:stretch/>
      </xdr:blipFill>
      <xdr:spPr>
        <a:xfrm>
          <a:off x="156960" y="1480572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90</xdr:row>
      <xdr:rowOff>104760</xdr:rowOff>
    </xdr:from>
    <xdr:to>
      <xdr:col>3</xdr:col>
      <xdr:colOff>95040</xdr:colOff>
      <xdr:row>93</xdr:row>
      <xdr:rowOff>75960</xdr:rowOff>
    </xdr:to>
    <xdr:sp>
      <xdr:nvSpPr>
        <xdr:cNvPr id="404" name="Retângulo: Cantos Arredondados 16"/>
        <xdr:cNvSpPr/>
      </xdr:nvSpPr>
      <xdr:spPr>
        <a:xfrm>
          <a:off x="150840" y="1757340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90</xdr:row>
      <xdr:rowOff>127800</xdr:rowOff>
    </xdr:from>
    <xdr:to>
      <xdr:col>2</xdr:col>
      <xdr:colOff>141120</xdr:colOff>
      <xdr:row>91</xdr:row>
      <xdr:rowOff>221760</xdr:rowOff>
    </xdr:to>
    <xdr:pic>
      <xdr:nvPicPr>
        <xdr:cNvPr id="405" name="Gráfico 17" descr="Ajudar">
          <a:hlinkClick r:id="rId17"/>
        </xdr:cNvPr>
        <xdr:cNvPicPr/>
      </xdr:nvPicPr>
      <xdr:blipFill>
        <a:blip r:embed="rId18"/>
        <a:stretch/>
      </xdr:blipFill>
      <xdr:spPr>
        <a:xfrm>
          <a:off x="156960" y="17596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107</xdr:row>
      <xdr:rowOff>104760</xdr:rowOff>
    </xdr:from>
    <xdr:to>
      <xdr:col>3</xdr:col>
      <xdr:colOff>95040</xdr:colOff>
      <xdr:row>110</xdr:row>
      <xdr:rowOff>75960</xdr:rowOff>
    </xdr:to>
    <xdr:sp>
      <xdr:nvSpPr>
        <xdr:cNvPr id="406" name="Retângulo: Cantos Arredondados 18"/>
        <xdr:cNvSpPr/>
      </xdr:nvSpPr>
      <xdr:spPr>
        <a:xfrm>
          <a:off x="150840" y="2110716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107</xdr:row>
      <xdr:rowOff>127800</xdr:rowOff>
    </xdr:from>
    <xdr:to>
      <xdr:col>2</xdr:col>
      <xdr:colOff>141120</xdr:colOff>
      <xdr:row>108</xdr:row>
      <xdr:rowOff>221760</xdr:rowOff>
    </xdr:to>
    <xdr:pic>
      <xdr:nvPicPr>
        <xdr:cNvPr id="407" name="Gráfico 19" descr="Ajudar">
          <a:hlinkClick r:id="rId19"/>
        </xdr:cNvPr>
        <xdr:cNvPicPr/>
      </xdr:nvPicPr>
      <xdr:blipFill>
        <a:blip r:embed="rId20"/>
        <a:stretch/>
      </xdr:blipFill>
      <xdr:spPr>
        <a:xfrm>
          <a:off x="156960" y="211302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126</xdr:row>
      <xdr:rowOff>104760</xdr:rowOff>
    </xdr:from>
    <xdr:to>
      <xdr:col>3</xdr:col>
      <xdr:colOff>95040</xdr:colOff>
      <xdr:row>129</xdr:row>
      <xdr:rowOff>75960</xdr:rowOff>
    </xdr:to>
    <xdr:sp>
      <xdr:nvSpPr>
        <xdr:cNvPr id="408" name="Retângulo: Cantos Arredondados 20"/>
        <xdr:cNvSpPr/>
      </xdr:nvSpPr>
      <xdr:spPr>
        <a:xfrm>
          <a:off x="150840" y="251553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126</xdr:row>
      <xdr:rowOff>127800</xdr:rowOff>
    </xdr:from>
    <xdr:to>
      <xdr:col>2</xdr:col>
      <xdr:colOff>141120</xdr:colOff>
      <xdr:row>127</xdr:row>
      <xdr:rowOff>221760</xdr:rowOff>
    </xdr:to>
    <xdr:pic>
      <xdr:nvPicPr>
        <xdr:cNvPr id="409" name="Gráfico 21" descr="Ajudar">
          <a:hlinkClick r:id="rId21"/>
        </xdr:cNvPr>
        <xdr:cNvPicPr/>
      </xdr:nvPicPr>
      <xdr:blipFill>
        <a:blip r:embed="rId22"/>
        <a:stretch/>
      </xdr:blipFill>
      <xdr:spPr>
        <a:xfrm>
          <a:off x="156960" y="251784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145</xdr:row>
      <xdr:rowOff>104760</xdr:rowOff>
    </xdr:from>
    <xdr:to>
      <xdr:col>3</xdr:col>
      <xdr:colOff>95040</xdr:colOff>
      <xdr:row>148</xdr:row>
      <xdr:rowOff>75960</xdr:rowOff>
    </xdr:to>
    <xdr:sp>
      <xdr:nvSpPr>
        <xdr:cNvPr id="410" name="Retângulo: Cantos Arredondados 22"/>
        <xdr:cNvSpPr/>
      </xdr:nvSpPr>
      <xdr:spPr>
        <a:xfrm>
          <a:off x="150840" y="292035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145</xdr:row>
      <xdr:rowOff>127800</xdr:rowOff>
    </xdr:from>
    <xdr:to>
      <xdr:col>2</xdr:col>
      <xdr:colOff>141120</xdr:colOff>
      <xdr:row>146</xdr:row>
      <xdr:rowOff>221760</xdr:rowOff>
    </xdr:to>
    <xdr:pic>
      <xdr:nvPicPr>
        <xdr:cNvPr id="411" name="Gráfico 23" descr="Ajudar">
          <a:hlinkClick r:id="rId23"/>
        </xdr:cNvPr>
        <xdr:cNvPicPr/>
      </xdr:nvPicPr>
      <xdr:blipFill>
        <a:blip r:embed="rId24"/>
        <a:stretch/>
      </xdr:blipFill>
      <xdr:spPr>
        <a:xfrm>
          <a:off x="156960" y="292266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162</xdr:row>
      <xdr:rowOff>104760</xdr:rowOff>
    </xdr:from>
    <xdr:to>
      <xdr:col>3</xdr:col>
      <xdr:colOff>95040</xdr:colOff>
      <xdr:row>165</xdr:row>
      <xdr:rowOff>75960</xdr:rowOff>
    </xdr:to>
    <xdr:sp>
      <xdr:nvSpPr>
        <xdr:cNvPr id="412" name="Retângulo: Cantos Arredondados 24"/>
        <xdr:cNvSpPr/>
      </xdr:nvSpPr>
      <xdr:spPr>
        <a:xfrm>
          <a:off x="150840" y="3275640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162</xdr:row>
      <xdr:rowOff>127800</xdr:rowOff>
    </xdr:from>
    <xdr:to>
      <xdr:col>2</xdr:col>
      <xdr:colOff>141120</xdr:colOff>
      <xdr:row>163</xdr:row>
      <xdr:rowOff>221760</xdr:rowOff>
    </xdr:to>
    <xdr:pic>
      <xdr:nvPicPr>
        <xdr:cNvPr id="413" name="Gráfico 25" descr="Ajudar">
          <a:hlinkClick r:id="rId25"/>
        </xdr:cNvPr>
        <xdr:cNvPicPr/>
      </xdr:nvPicPr>
      <xdr:blipFill>
        <a:blip r:embed="rId26"/>
        <a:stretch/>
      </xdr:blipFill>
      <xdr:spPr>
        <a:xfrm>
          <a:off x="156960" y="32779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181</xdr:row>
      <xdr:rowOff>104760</xdr:rowOff>
    </xdr:from>
    <xdr:to>
      <xdr:col>3</xdr:col>
      <xdr:colOff>95040</xdr:colOff>
      <xdr:row>184</xdr:row>
      <xdr:rowOff>75960</xdr:rowOff>
    </xdr:to>
    <xdr:sp>
      <xdr:nvSpPr>
        <xdr:cNvPr id="414" name="Retângulo: Cantos Arredondados 26"/>
        <xdr:cNvSpPr/>
      </xdr:nvSpPr>
      <xdr:spPr>
        <a:xfrm>
          <a:off x="150840" y="368042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181</xdr:row>
      <xdr:rowOff>127800</xdr:rowOff>
    </xdr:from>
    <xdr:to>
      <xdr:col>2</xdr:col>
      <xdr:colOff>141120</xdr:colOff>
      <xdr:row>182</xdr:row>
      <xdr:rowOff>221400</xdr:rowOff>
    </xdr:to>
    <xdr:pic>
      <xdr:nvPicPr>
        <xdr:cNvPr id="415" name="Gráfico 27" descr="Ajudar">
          <a:hlinkClick r:id="rId27"/>
        </xdr:cNvPr>
        <xdr:cNvPicPr/>
      </xdr:nvPicPr>
      <xdr:blipFill>
        <a:blip r:embed="rId28"/>
        <a:stretch/>
      </xdr:blipFill>
      <xdr:spPr>
        <a:xfrm>
          <a:off x="156960" y="368272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200</xdr:row>
      <xdr:rowOff>104760</xdr:rowOff>
    </xdr:from>
    <xdr:to>
      <xdr:col>3</xdr:col>
      <xdr:colOff>95040</xdr:colOff>
      <xdr:row>203</xdr:row>
      <xdr:rowOff>75960</xdr:rowOff>
    </xdr:to>
    <xdr:sp>
      <xdr:nvSpPr>
        <xdr:cNvPr id="416" name="Retângulo: Cantos Arredondados 28"/>
        <xdr:cNvSpPr/>
      </xdr:nvSpPr>
      <xdr:spPr>
        <a:xfrm>
          <a:off x="150840" y="408524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 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200</xdr:row>
      <xdr:rowOff>127800</xdr:rowOff>
    </xdr:from>
    <xdr:to>
      <xdr:col>2</xdr:col>
      <xdr:colOff>141120</xdr:colOff>
      <xdr:row>201</xdr:row>
      <xdr:rowOff>221400</xdr:rowOff>
    </xdr:to>
    <xdr:pic>
      <xdr:nvPicPr>
        <xdr:cNvPr id="417" name="Gráfico 29" descr="Ajudar">
          <a:hlinkClick r:id="rId29"/>
        </xdr:cNvPr>
        <xdr:cNvPicPr/>
      </xdr:nvPicPr>
      <xdr:blipFill>
        <a:blip r:embed="rId30"/>
        <a:stretch/>
      </xdr:blipFill>
      <xdr:spPr>
        <a:xfrm>
          <a:off x="156960" y="408754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319680</xdr:colOff>
      <xdr:row>77</xdr:row>
      <xdr:rowOff>126720</xdr:rowOff>
    </xdr:from>
    <xdr:to>
      <xdr:col>2</xdr:col>
      <xdr:colOff>711360</xdr:colOff>
      <xdr:row>78</xdr:row>
      <xdr:rowOff>17640</xdr:rowOff>
    </xdr:to>
    <xdr:pic>
      <xdr:nvPicPr>
        <xdr:cNvPr id="418" name="Gráfico 30" descr="Dinheiro"/>
        <xdr:cNvPicPr/>
      </xdr:nvPicPr>
      <xdr:blipFill>
        <a:blip r:embed="rId31"/>
        <a:stretch/>
      </xdr:blipFill>
      <xdr:spPr>
        <a:xfrm flipH="1">
          <a:off x="581760" y="14956920"/>
          <a:ext cx="391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319680</xdr:colOff>
      <xdr:row>91</xdr:row>
      <xdr:rowOff>115920</xdr:rowOff>
    </xdr:from>
    <xdr:to>
      <xdr:col>2</xdr:col>
      <xdr:colOff>720360</xdr:colOff>
      <xdr:row>92</xdr:row>
      <xdr:rowOff>6480</xdr:rowOff>
    </xdr:to>
    <xdr:pic>
      <xdr:nvPicPr>
        <xdr:cNvPr id="419" name="Gráfico 31" descr="Dinheiro"/>
        <xdr:cNvPicPr/>
      </xdr:nvPicPr>
      <xdr:blipFill>
        <a:blip r:embed="rId32"/>
        <a:stretch/>
      </xdr:blipFill>
      <xdr:spPr>
        <a:xfrm flipH="1">
          <a:off x="581760" y="17736840"/>
          <a:ext cx="400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330840</xdr:colOff>
      <xdr:row>108</xdr:row>
      <xdr:rowOff>134280</xdr:rowOff>
    </xdr:from>
    <xdr:to>
      <xdr:col>2</xdr:col>
      <xdr:colOff>722880</xdr:colOff>
      <xdr:row>109</xdr:row>
      <xdr:rowOff>35640</xdr:rowOff>
    </xdr:to>
    <xdr:pic>
      <xdr:nvPicPr>
        <xdr:cNvPr id="420" name="Gráfico 32" descr="Moedas"/>
        <xdr:cNvPicPr/>
      </xdr:nvPicPr>
      <xdr:blipFill>
        <a:blip r:embed="rId33"/>
        <a:stretch/>
      </xdr:blipFill>
      <xdr:spPr>
        <a:xfrm flipH="1">
          <a:off x="592920" y="212889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285840</xdr:colOff>
      <xdr:row>127</xdr:row>
      <xdr:rowOff>149760</xdr:rowOff>
    </xdr:from>
    <xdr:to>
      <xdr:col>2</xdr:col>
      <xdr:colOff>677880</xdr:colOff>
      <xdr:row>128</xdr:row>
      <xdr:rowOff>51120</xdr:rowOff>
    </xdr:to>
    <xdr:pic>
      <xdr:nvPicPr>
        <xdr:cNvPr id="421" name="Gráfico 33" descr="Moedas"/>
        <xdr:cNvPicPr/>
      </xdr:nvPicPr>
      <xdr:blipFill>
        <a:blip r:embed="rId34"/>
        <a:stretch/>
      </xdr:blipFill>
      <xdr:spPr>
        <a:xfrm flipH="1">
          <a:off x="547920" y="2535264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288720</xdr:colOff>
      <xdr:row>146</xdr:row>
      <xdr:rowOff>152280</xdr:rowOff>
    </xdr:from>
    <xdr:to>
      <xdr:col>2</xdr:col>
      <xdr:colOff>680760</xdr:colOff>
      <xdr:row>147</xdr:row>
      <xdr:rowOff>54000</xdr:rowOff>
    </xdr:to>
    <xdr:pic>
      <xdr:nvPicPr>
        <xdr:cNvPr id="422" name="Gráfico 34" descr="Moedas"/>
        <xdr:cNvPicPr/>
      </xdr:nvPicPr>
      <xdr:blipFill>
        <a:blip r:embed="rId35"/>
        <a:stretch/>
      </xdr:blipFill>
      <xdr:spPr>
        <a:xfrm flipH="1">
          <a:off x="550800" y="294033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163</xdr:row>
      <xdr:rowOff>123120</xdr:rowOff>
    </xdr:from>
    <xdr:to>
      <xdr:col>2</xdr:col>
      <xdr:colOff>705240</xdr:colOff>
      <xdr:row>164</xdr:row>
      <xdr:rowOff>14040</xdr:rowOff>
    </xdr:to>
    <xdr:pic>
      <xdr:nvPicPr>
        <xdr:cNvPr id="423" name="Gráfico 35" descr="Sirene"/>
        <xdr:cNvPicPr/>
      </xdr:nvPicPr>
      <xdr:blipFill>
        <a:blip r:embed="rId36"/>
        <a:stretch/>
      </xdr:blipFill>
      <xdr:spPr>
        <a:xfrm>
          <a:off x="562680" y="3292704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182</xdr:row>
      <xdr:rowOff>107640</xdr:rowOff>
    </xdr:from>
    <xdr:to>
      <xdr:col>2</xdr:col>
      <xdr:colOff>705240</xdr:colOff>
      <xdr:row>183</xdr:row>
      <xdr:rowOff>2880</xdr:rowOff>
    </xdr:to>
    <xdr:pic>
      <xdr:nvPicPr>
        <xdr:cNvPr id="424" name="Gráfico 36" descr="Sirene"/>
        <xdr:cNvPicPr/>
      </xdr:nvPicPr>
      <xdr:blipFill>
        <a:blip r:embed="rId37"/>
        <a:stretch/>
      </xdr:blipFill>
      <xdr:spPr>
        <a:xfrm>
          <a:off x="562680" y="36959760"/>
          <a:ext cx="404640" cy="39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201</xdr:row>
      <xdr:rowOff>125640</xdr:rowOff>
    </xdr:from>
    <xdr:to>
      <xdr:col>2</xdr:col>
      <xdr:colOff>705240</xdr:colOff>
      <xdr:row>202</xdr:row>
      <xdr:rowOff>16560</xdr:rowOff>
    </xdr:to>
    <xdr:pic>
      <xdr:nvPicPr>
        <xdr:cNvPr id="425" name="Gráfico 37" descr="Sirene"/>
        <xdr:cNvPicPr/>
      </xdr:nvPicPr>
      <xdr:blipFill>
        <a:blip r:embed="rId38"/>
        <a:stretch/>
      </xdr:blipFill>
      <xdr:spPr>
        <a:xfrm>
          <a:off x="562680" y="4102596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190440</xdr:colOff>
      <xdr:row>1</xdr:row>
      <xdr:rowOff>141120</xdr:rowOff>
    </xdr:from>
    <xdr:to>
      <xdr:col>32</xdr:col>
      <xdr:colOff>138960</xdr:colOff>
      <xdr:row>3</xdr:row>
      <xdr:rowOff>54360</xdr:rowOff>
    </xdr:to>
    <xdr:pic>
      <xdr:nvPicPr>
        <xdr:cNvPr id="426" name="Gráfico 38" descr="Virar calendário">
          <a:hlinkClick r:id="rId39"/>
        </xdr:cNvPr>
        <xdr:cNvPicPr/>
      </xdr:nvPicPr>
      <xdr:blipFill>
        <a:blip r:embed="rId40"/>
        <a:stretch/>
      </xdr:blipFill>
      <xdr:spPr>
        <a:xfrm>
          <a:off x="13463640" y="141120"/>
          <a:ext cx="341640" cy="341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26</xdr:col>
      <xdr:colOff>324720</xdr:colOff>
      <xdr:row>2</xdr:row>
      <xdr:rowOff>174600</xdr:rowOff>
    </xdr:from>
    <xdr:to>
      <xdr:col>28</xdr:col>
      <xdr:colOff>22320</xdr:colOff>
      <xdr:row>2</xdr:row>
      <xdr:rowOff>174600</xdr:rowOff>
    </xdr:to>
    <xdr:sp>
      <xdr:nvSpPr>
        <xdr:cNvPr id="427" name="Conector reto 39"/>
        <xdr:cNvSpPr/>
      </xdr:nvSpPr>
      <xdr:spPr>
        <a:xfrm>
          <a:off x="11632680" y="374400"/>
          <a:ext cx="48384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29</xdr:col>
      <xdr:colOff>331560</xdr:colOff>
      <xdr:row>2</xdr:row>
      <xdr:rowOff>174600</xdr:rowOff>
    </xdr:from>
    <xdr:to>
      <xdr:col>31</xdr:col>
      <xdr:colOff>28800</xdr:colOff>
      <xdr:row>2</xdr:row>
      <xdr:rowOff>174600</xdr:rowOff>
    </xdr:to>
    <xdr:sp>
      <xdr:nvSpPr>
        <xdr:cNvPr id="428" name="Conector reto 40"/>
        <xdr:cNvSpPr/>
      </xdr:nvSpPr>
      <xdr:spPr>
        <a:xfrm>
          <a:off x="12818520" y="374400"/>
          <a:ext cx="48348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142200</xdr:colOff>
      <xdr:row>8</xdr:row>
      <xdr:rowOff>121680</xdr:rowOff>
    </xdr:from>
    <xdr:to>
      <xdr:col>2</xdr:col>
      <xdr:colOff>129960</xdr:colOff>
      <xdr:row>9</xdr:row>
      <xdr:rowOff>215280</xdr:rowOff>
    </xdr:to>
    <xdr:pic>
      <xdr:nvPicPr>
        <xdr:cNvPr id="429" name="Gráfico 42" descr="Ajudar">
          <a:hlinkClick r:id="rId41"/>
        </xdr:cNvPr>
        <xdr:cNvPicPr/>
      </xdr:nvPicPr>
      <xdr:blipFill>
        <a:blip r:embed="rId42"/>
        <a:stretch/>
      </xdr:blipFill>
      <xdr:spPr>
        <a:xfrm>
          <a:off x="142200" y="140724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185760</xdr:colOff>
      <xdr:row>2</xdr:row>
      <xdr:rowOff>145800</xdr:rowOff>
    </xdr:from>
    <xdr:to>
      <xdr:col>35</xdr:col>
      <xdr:colOff>614880</xdr:colOff>
      <xdr:row>4</xdr:row>
      <xdr:rowOff>112680</xdr:rowOff>
    </xdr:to>
    <xdr:pic>
      <xdr:nvPicPr>
        <xdr:cNvPr id="430" name="Gráfico 43" descr="Seta Reta">
          <a:hlinkClick r:id="rId43"/>
        </xdr:cNvPr>
        <xdr:cNvPicPr/>
      </xdr:nvPicPr>
      <xdr:blipFill>
        <a:blip r:embed="rId44"/>
        <a:stretch/>
      </xdr:blipFill>
      <xdr:spPr>
        <a:xfrm rot="10800000">
          <a:off x="15031080" y="345240"/>
          <a:ext cx="42912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156960</xdr:colOff>
      <xdr:row>1</xdr:row>
      <xdr:rowOff>67320</xdr:rowOff>
    </xdr:from>
    <xdr:to>
      <xdr:col>35</xdr:col>
      <xdr:colOff>583200</xdr:colOff>
      <xdr:row>3</xdr:row>
      <xdr:rowOff>63000</xdr:rowOff>
    </xdr:to>
    <xdr:pic>
      <xdr:nvPicPr>
        <xdr:cNvPr id="431" name="Gráfico 44" descr="Seta Reta">
          <a:hlinkClick r:id="rId45"/>
        </xdr:cNvPr>
        <xdr:cNvPicPr/>
      </xdr:nvPicPr>
      <xdr:blipFill>
        <a:blip r:embed="rId46"/>
        <a:stretch/>
      </xdr:blipFill>
      <xdr:spPr>
        <a:xfrm>
          <a:off x="15002280" y="67320"/>
          <a:ext cx="42624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35</xdr:col>
      <xdr:colOff>0</xdr:colOff>
      <xdr:row>5</xdr:row>
      <xdr:rowOff>0</xdr:rowOff>
    </xdr:from>
    <xdr:to>
      <xdr:col>35</xdr:col>
      <xdr:colOff>548640</xdr:colOff>
      <xdr:row>6</xdr:row>
      <xdr:rowOff>10800</xdr:rowOff>
    </xdr:to>
    <xdr:sp>
      <xdr:nvSpPr>
        <xdr:cNvPr id="432" name="Balão de Fala: Retângulo com Cantos Arredondados 45"/>
        <xdr:cNvSpPr/>
      </xdr:nvSpPr>
      <xdr:spPr>
        <a:xfrm>
          <a:off x="14845320" y="799920"/>
          <a:ext cx="548640" cy="182160"/>
        </a:xfrm>
        <a:prstGeom prst="wedgeRoundRectCallout">
          <a:avLst>
            <a:gd name="adj1" fmla="val -18889"/>
            <a:gd name="adj2" fmla="val 13747"/>
            <a:gd name="adj3" fmla="val 16667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28800" bIns="36000" anchor="ctr">
          <a:noAutofit/>
        </a:bodyPr>
        <a:p>
          <a:pPr algn="ctr">
            <a:lnSpc>
              <a:spcPct val="100000"/>
            </a:lnSpc>
          </a:pPr>
          <a:r>
            <a:rPr b="0" lang="en-GB" sz="900" spc="-1" strike="noStrike">
              <a:solidFill>
                <a:srgbClr val="ffffff"/>
              </a:solidFill>
              <a:latin typeface="Calibri"/>
            </a:rPr>
            <a:t>DIAS</a:t>
          </a:r>
          <a:endParaRPr b="0" lang="pt-BR" sz="9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2880</xdr:colOff>
      <xdr:row>54</xdr:row>
      <xdr:rowOff>78480</xdr:rowOff>
    </xdr:from>
    <xdr:to>
      <xdr:col>3</xdr:col>
      <xdr:colOff>99360</xdr:colOff>
      <xdr:row>57</xdr:row>
      <xdr:rowOff>64440</xdr:rowOff>
    </xdr:to>
    <xdr:sp>
      <xdr:nvSpPr>
        <xdr:cNvPr id="433" name="Retângulo: Cantos Arredondados 1"/>
        <xdr:cNvSpPr/>
      </xdr:nvSpPr>
      <xdr:spPr>
        <a:xfrm>
          <a:off x="153720" y="10212840"/>
          <a:ext cx="2274120" cy="78624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8</xdr:row>
      <xdr:rowOff>104760</xdr:rowOff>
    </xdr:from>
    <xdr:to>
      <xdr:col>3</xdr:col>
      <xdr:colOff>77760</xdr:colOff>
      <xdr:row>11</xdr:row>
      <xdr:rowOff>75960</xdr:rowOff>
    </xdr:to>
    <xdr:sp>
      <xdr:nvSpPr>
        <xdr:cNvPr id="434" name="Retângulo: Cantos Arredondados 2"/>
        <xdr:cNvSpPr/>
      </xdr:nvSpPr>
      <xdr:spPr>
        <a:xfrm>
          <a:off x="132480" y="1390320"/>
          <a:ext cx="2273760" cy="79056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JUNTAR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DINHEIRO?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19</xdr:row>
      <xdr:rowOff>104760</xdr:rowOff>
    </xdr:from>
    <xdr:to>
      <xdr:col>3</xdr:col>
      <xdr:colOff>77760</xdr:colOff>
      <xdr:row>22</xdr:row>
      <xdr:rowOff>56880</xdr:rowOff>
    </xdr:to>
    <xdr:sp>
      <xdr:nvSpPr>
        <xdr:cNvPr id="435" name="Retângulo: Cantos Arredondados 3"/>
        <xdr:cNvSpPr/>
      </xdr:nvSpPr>
      <xdr:spPr>
        <a:xfrm>
          <a:off x="132480" y="3438360"/>
          <a:ext cx="2273760" cy="75204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GUARDAR E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INVESTIR?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282240</xdr:colOff>
      <xdr:row>20</xdr:row>
      <xdr:rowOff>118080</xdr:rowOff>
    </xdr:from>
    <xdr:to>
      <xdr:col>2</xdr:col>
      <xdr:colOff>681480</xdr:colOff>
      <xdr:row>21</xdr:row>
      <xdr:rowOff>8640</xdr:rowOff>
    </xdr:to>
    <xdr:pic>
      <xdr:nvPicPr>
        <xdr:cNvPr id="436" name="Gráfico 4" descr="Cofrinho"/>
        <xdr:cNvPicPr/>
      </xdr:nvPicPr>
      <xdr:blipFill>
        <a:blip r:embed="rId1"/>
        <a:stretch/>
      </xdr:blipFill>
      <xdr:spPr>
        <a:xfrm>
          <a:off x="544320" y="3603960"/>
          <a:ext cx="39924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284040</xdr:colOff>
      <xdr:row>9</xdr:row>
      <xdr:rowOff>151200</xdr:rowOff>
    </xdr:from>
    <xdr:to>
      <xdr:col>2</xdr:col>
      <xdr:colOff>680040</xdr:colOff>
      <xdr:row>10</xdr:row>
      <xdr:rowOff>42120</xdr:rowOff>
    </xdr:to>
    <xdr:pic>
      <xdr:nvPicPr>
        <xdr:cNvPr id="437" name="Gráfico 5" descr="Carteira"/>
        <xdr:cNvPicPr/>
      </xdr:nvPicPr>
      <xdr:blipFill>
        <a:blip r:embed="rId2"/>
        <a:stretch/>
      </xdr:blipFill>
      <xdr:spPr>
        <a:xfrm>
          <a:off x="546120" y="1589400"/>
          <a:ext cx="39600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0</xdr:col>
      <xdr:colOff>145800</xdr:colOff>
      <xdr:row>31</xdr:row>
      <xdr:rowOff>89640</xdr:rowOff>
    </xdr:from>
    <xdr:to>
      <xdr:col>3</xdr:col>
      <xdr:colOff>91440</xdr:colOff>
      <xdr:row>34</xdr:row>
      <xdr:rowOff>78480</xdr:rowOff>
    </xdr:to>
    <xdr:sp>
      <xdr:nvSpPr>
        <xdr:cNvPr id="438" name="Retângulo: Cantos Arredondados 6"/>
        <xdr:cNvSpPr/>
      </xdr:nvSpPr>
      <xdr:spPr>
        <a:xfrm>
          <a:off x="145800" y="5452200"/>
          <a:ext cx="2274120" cy="7887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315360</xdr:colOff>
      <xdr:row>32</xdr:row>
      <xdr:rowOff>144360</xdr:rowOff>
    </xdr:from>
    <xdr:to>
      <xdr:col>2</xdr:col>
      <xdr:colOff>709560</xdr:colOff>
      <xdr:row>33</xdr:row>
      <xdr:rowOff>35280</xdr:rowOff>
    </xdr:to>
    <xdr:pic>
      <xdr:nvPicPr>
        <xdr:cNvPr id="439" name="Gráfico 7" descr="Eletricista"/>
        <xdr:cNvPicPr/>
      </xdr:nvPicPr>
      <xdr:blipFill>
        <a:blip r:embed="rId3"/>
        <a:stretch/>
      </xdr:blipFill>
      <xdr:spPr>
        <a:xfrm>
          <a:off x="577440" y="5659200"/>
          <a:ext cx="39420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311760</xdr:colOff>
      <xdr:row>55</xdr:row>
      <xdr:rowOff>132120</xdr:rowOff>
    </xdr:from>
    <xdr:to>
      <xdr:col>2</xdr:col>
      <xdr:colOff>713160</xdr:colOff>
      <xdr:row>56</xdr:row>
      <xdr:rowOff>23040</xdr:rowOff>
    </xdr:to>
    <xdr:pic>
      <xdr:nvPicPr>
        <xdr:cNvPr id="440" name="Gráfico 8" descr="Artista"/>
        <xdr:cNvPicPr/>
      </xdr:nvPicPr>
      <xdr:blipFill>
        <a:blip r:embed="rId4"/>
        <a:stretch/>
      </xdr:blipFill>
      <xdr:spPr>
        <a:xfrm>
          <a:off x="573840" y="10419120"/>
          <a:ext cx="401400" cy="395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76</xdr:row>
      <xdr:rowOff>104760</xdr:rowOff>
    </xdr:from>
    <xdr:to>
      <xdr:col>3</xdr:col>
      <xdr:colOff>95040</xdr:colOff>
      <xdr:row>79</xdr:row>
      <xdr:rowOff>75960</xdr:rowOff>
    </xdr:to>
    <xdr:sp>
      <xdr:nvSpPr>
        <xdr:cNvPr id="441" name="Retângulo: Cantos Arredondados 9"/>
        <xdr:cNvSpPr/>
      </xdr:nvSpPr>
      <xdr:spPr>
        <a:xfrm>
          <a:off x="150840" y="1478268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28</xdr:col>
      <xdr:colOff>211680</xdr:colOff>
      <xdr:row>1</xdr:row>
      <xdr:rowOff>166320</xdr:rowOff>
    </xdr:from>
    <xdr:to>
      <xdr:col>29</xdr:col>
      <xdr:colOff>128880</xdr:colOff>
      <xdr:row>3</xdr:row>
      <xdr:rowOff>47520</xdr:rowOff>
    </xdr:to>
    <xdr:pic>
      <xdr:nvPicPr>
        <xdr:cNvPr id="442" name="Gráfico 10" descr="Impressão digital">
          <a:hlinkClick r:id="rId5"/>
        </xdr:cNvPr>
        <xdr:cNvPicPr/>
      </xdr:nvPicPr>
      <xdr:blipFill>
        <a:blip r:embed="rId6"/>
        <a:stretch/>
      </xdr:blipFill>
      <xdr:spPr>
        <a:xfrm>
          <a:off x="12305880" y="166320"/>
          <a:ext cx="309960" cy="30960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25</xdr:col>
      <xdr:colOff>188640</xdr:colOff>
      <xdr:row>1</xdr:row>
      <xdr:rowOff>129960</xdr:rowOff>
    </xdr:from>
    <xdr:to>
      <xdr:col>26</xdr:col>
      <xdr:colOff>164160</xdr:colOff>
      <xdr:row>3</xdr:row>
      <xdr:rowOff>65880</xdr:rowOff>
    </xdr:to>
    <xdr:pic>
      <xdr:nvPicPr>
        <xdr:cNvPr id="443" name="Gráfico 11" descr="Trancar">
          <a:hlinkClick r:id="rId7"/>
        </xdr:cNvPr>
        <xdr:cNvPicPr/>
      </xdr:nvPicPr>
      <xdr:blipFill>
        <a:blip r:embed="rId8"/>
        <a:stretch/>
      </xdr:blipFill>
      <xdr:spPr>
        <a:xfrm>
          <a:off x="11103480" y="129960"/>
          <a:ext cx="368640" cy="36432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</xdr:colOff>
      <xdr:row>19</xdr:row>
      <xdr:rowOff>126360</xdr:rowOff>
    </xdr:from>
    <xdr:to>
      <xdr:col>2</xdr:col>
      <xdr:colOff>139680</xdr:colOff>
      <xdr:row>20</xdr:row>
      <xdr:rowOff>220320</xdr:rowOff>
    </xdr:to>
    <xdr:pic>
      <xdr:nvPicPr>
        <xdr:cNvPr id="444" name="Gráfico 12" descr="Ajudar">
          <a:hlinkClick r:id="rId9"/>
        </xdr:cNvPr>
        <xdr:cNvPicPr/>
      </xdr:nvPicPr>
      <xdr:blipFill>
        <a:blip r:embed="rId10"/>
        <a:stretch/>
      </xdr:blipFill>
      <xdr:spPr>
        <a:xfrm>
          <a:off x="151920" y="345996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15120</xdr:colOff>
      <xdr:row>31</xdr:row>
      <xdr:rowOff>114480</xdr:rowOff>
    </xdr:from>
    <xdr:to>
      <xdr:col>2</xdr:col>
      <xdr:colOff>150120</xdr:colOff>
      <xdr:row>32</xdr:row>
      <xdr:rowOff>208440</xdr:rowOff>
    </xdr:to>
    <xdr:pic>
      <xdr:nvPicPr>
        <xdr:cNvPr id="445" name="Gráfico 13" descr="Ajudar">
          <a:hlinkClick r:id="rId11"/>
        </xdr:cNvPr>
        <xdr:cNvPicPr/>
      </xdr:nvPicPr>
      <xdr:blipFill>
        <a:blip r:embed="rId12"/>
        <a:stretch/>
      </xdr:blipFill>
      <xdr:spPr>
        <a:xfrm>
          <a:off x="165960" y="54770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10800</xdr:colOff>
      <xdr:row>54</xdr:row>
      <xdr:rowOff>98640</xdr:rowOff>
    </xdr:from>
    <xdr:to>
      <xdr:col>2</xdr:col>
      <xdr:colOff>145800</xdr:colOff>
      <xdr:row>55</xdr:row>
      <xdr:rowOff>192240</xdr:rowOff>
    </xdr:to>
    <xdr:pic>
      <xdr:nvPicPr>
        <xdr:cNvPr id="446" name="Gráfico 14" descr="Ajudar">
          <a:hlinkClick r:id="rId13"/>
        </xdr:cNvPr>
        <xdr:cNvPicPr/>
      </xdr:nvPicPr>
      <xdr:blipFill>
        <a:blip r:embed="rId14"/>
        <a:stretch/>
      </xdr:blipFill>
      <xdr:spPr>
        <a:xfrm>
          <a:off x="161640" y="102330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6120</xdr:colOff>
      <xdr:row>76</xdr:row>
      <xdr:rowOff>127800</xdr:rowOff>
    </xdr:from>
    <xdr:to>
      <xdr:col>2</xdr:col>
      <xdr:colOff>141120</xdr:colOff>
      <xdr:row>77</xdr:row>
      <xdr:rowOff>221760</xdr:rowOff>
    </xdr:to>
    <xdr:pic>
      <xdr:nvPicPr>
        <xdr:cNvPr id="447" name="Gráfico 15" descr="Ajudar">
          <a:hlinkClick r:id="rId15"/>
        </xdr:cNvPr>
        <xdr:cNvPicPr/>
      </xdr:nvPicPr>
      <xdr:blipFill>
        <a:blip r:embed="rId16"/>
        <a:stretch/>
      </xdr:blipFill>
      <xdr:spPr>
        <a:xfrm>
          <a:off x="156960" y="1480572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90</xdr:row>
      <xdr:rowOff>104760</xdr:rowOff>
    </xdr:from>
    <xdr:to>
      <xdr:col>3</xdr:col>
      <xdr:colOff>95040</xdr:colOff>
      <xdr:row>93</xdr:row>
      <xdr:rowOff>75960</xdr:rowOff>
    </xdr:to>
    <xdr:sp>
      <xdr:nvSpPr>
        <xdr:cNvPr id="448" name="Retângulo: Cantos Arredondados 16"/>
        <xdr:cNvSpPr/>
      </xdr:nvSpPr>
      <xdr:spPr>
        <a:xfrm>
          <a:off x="150840" y="1757340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90</xdr:row>
      <xdr:rowOff>127800</xdr:rowOff>
    </xdr:from>
    <xdr:to>
      <xdr:col>2</xdr:col>
      <xdr:colOff>141120</xdr:colOff>
      <xdr:row>91</xdr:row>
      <xdr:rowOff>221760</xdr:rowOff>
    </xdr:to>
    <xdr:pic>
      <xdr:nvPicPr>
        <xdr:cNvPr id="449" name="Gráfico 17" descr="Ajudar">
          <a:hlinkClick r:id="rId17"/>
        </xdr:cNvPr>
        <xdr:cNvPicPr/>
      </xdr:nvPicPr>
      <xdr:blipFill>
        <a:blip r:embed="rId18"/>
        <a:stretch/>
      </xdr:blipFill>
      <xdr:spPr>
        <a:xfrm>
          <a:off x="156960" y="17596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107</xdr:row>
      <xdr:rowOff>104760</xdr:rowOff>
    </xdr:from>
    <xdr:to>
      <xdr:col>3</xdr:col>
      <xdr:colOff>95040</xdr:colOff>
      <xdr:row>110</xdr:row>
      <xdr:rowOff>75960</xdr:rowOff>
    </xdr:to>
    <xdr:sp>
      <xdr:nvSpPr>
        <xdr:cNvPr id="450" name="Retângulo: Cantos Arredondados 18"/>
        <xdr:cNvSpPr/>
      </xdr:nvSpPr>
      <xdr:spPr>
        <a:xfrm>
          <a:off x="150840" y="2110716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107</xdr:row>
      <xdr:rowOff>127800</xdr:rowOff>
    </xdr:from>
    <xdr:to>
      <xdr:col>2</xdr:col>
      <xdr:colOff>141120</xdr:colOff>
      <xdr:row>108</xdr:row>
      <xdr:rowOff>221760</xdr:rowOff>
    </xdr:to>
    <xdr:pic>
      <xdr:nvPicPr>
        <xdr:cNvPr id="451" name="Gráfico 19" descr="Ajudar">
          <a:hlinkClick r:id="rId19"/>
        </xdr:cNvPr>
        <xdr:cNvPicPr/>
      </xdr:nvPicPr>
      <xdr:blipFill>
        <a:blip r:embed="rId20"/>
        <a:stretch/>
      </xdr:blipFill>
      <xdr:spPr>
        <a:xfrm>
          <a:off x="156960" y="211302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126</xdr:row>
      <xdr:rowOff>104760</xdr:rowOff>
    </xdr:from>
    <xdr:to>
      <xdr:col>3</xdr:col>
      <xdr:colOff>95040</xdr:colOff>
      <xdr:row>129</xdr:row>
      <xdr:rowOff>75960</xdr:rowOff>
    </xdr:to>
    <xdr:sp>
      <xdr:nvSpPr>
        <xdr:cNvPr id="452" name="Retângulo: Cantos Arredondados 20"/>
        <xdr:cNvSpPr/>
      </xdr:nvSpPr>
      <xdr:spPr>
        <a:xfrm>
          <a:off x="150840" y="251553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126</xdr:row>
      <xdr:rowOff>127800</xdr:rowOff>
    </xdr:from>
    <xdr:to>
      <xdr:col>2</xdr:col>
      <xdr:colOff>141120</xdr:colOff>
      <xdr:row>127</xdr:row>
      <xdr:rowOff>221760</xdr:rowOff>
    </xdr:to>
    <xdr:pic>
      <xdr:nvPicPr>
        <xdr:cNvPr id="453" name="Gráfico 21" descr="Ajudar">
          <a:hlinkClick r:id="rId21"/>
        </xdr:cNvPr>
        <xdr:cNvPicPr/>
      </xdr:nvPicPr>
      <xdr:blipFill>
        <a:blip r:embed="rId22"/>
        <a:stretch/>
      </xdr:blipFill>
      <xdr:spPr>
        <a:xfrm>
          <a:off x="156960" y="251784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145</xdr:row>
      <xdr:rowOff>104760</xdr:rowOff>
    </xdr:from>
    <xdr:to>
      <xdr:col>3</xdr:col>
      <xdr:colOff>95040</xdr:colOff>
      <xdr:row>148</xdr:row>
      <xdr:rowOff>75960</xdr:rowOff>
    </xdr:to>
    <xdr:sp>
      <xdr:nvSpPr>
        <xdr:cNvPr id="454" name="Retângulo: Cantos Arredondados 22"/>
        <xdr:cNvSpPr/>
      </xdr:nvSpPr>
      <xdr:spPr>
        <a:xfrm>
          <a:off x="150840" y="292035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145</xdr:row>
      <xdr:rowOff>127800</xdr:rowOff>
    </xdr:from>
    <xdr:to>
      <xdr:col>2</xdr:col>
      <xdr:colOff>141120</xdr:colOff>
      <xdr:row>146</xdr:row>
      <xdr:rowOff>221760</xdr:rowOff>
    </xdr:to>
    <xdr:pic>
      <xdr:nvPicPr>
        <xdr:cNvPr id="455" name="Gráfico 23" descr="Ajudar">
          <a:hlinkClick r:id="rId23"/>
        </xdr:cNvPr>
        <xdr:cNvPicPr/>
      </xdr:nvPicPr>
      <xdr:blipFill>
        <a:blip r:embed="rId24"/>
        <a:stretch/>
      </xdr:blipFill>
      <xdr:spPr>
        <a:xfrm>
          <a:off x="156960" y="292266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162</xdr:row>
      <xdr:rowOff>104760</xdr:rowOff>
    </xdr:from>
    <xdr:to>
      <xdr:col>3</xdr:col>
      <xdr:colOff>95040</xdr:colOff>
      <xdr:row>165</xdr:row>
      <xdr:rowOff>75960</xdr:rowOff>
    </xdr:to>
    <xdr:sp>
      <xdr:nvSpPr>
        <xdr:cNvPr id="456" name="Retângulo: Cantos Arredondados 24"/>
        <xdr:cNvSpPr/>
      </xdr:nvSpPr>
      <xdr:spPr>
        <a:xfrm>
          <a:off x="150840" y="3275640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162</xdr:row>
      <xdr:rowOff>127800</xdr:rowOff>
    </xdr:from>
    <xdr:to>
      <xdr:col>2</xdr:col>
      <xdr:colOff>141120</xdr:colOff>
      <xdr:row>163</xdr:row>
      <xdr:rowOff>221760</xdr:rowOff>
    </xdr:to>
    <xdr:pic>
      <xdr:nvPicPr>
        <xdr:cNvPr id="457" name="Gráfico 25" descr="Ajudar">
          <a:hlinkClick r:id="rId25"/>
        </xdr:cNvPr>
        <xdr:cNvPicPr/>
      </xdr:nvPicPr>
      <xdr:blipFill>
        <a:blip r:embed="rId26"/>
        <a:stretch/>
      </xdr:blipFill>
      <xdr:spPr>
        <a:xfrm>
          <a:off x="156960" y="32779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181</xdr:row>
      <xdr:rowOff>104760</xdr:rowOff>
    </xdr:from>
    <xdr:to>
      <xdr:col>3</xdr:col>
      <xdr:colOff>95040</xdr:colOff>
      <xdr:row>184</xdr:row>
      <xdr:rowOff>75960</xdr:rowOff>
    </xdr:to>
    <xdr:sp>
      <xdr:nvSpPr>
        <xdr:cNvPr id="458" name="Retângulo: Cantos Arredondados 26"/>
        <xdr:cNvSpPr/>
      </xdr:nvSpPr>
      <xdr:spPr>
        <a:xfrm>
          <a:off x="150840" y="368042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181</xdr:row>
      <xdr:rowOff>127800</xdr:rowOff>
    </xdr:from>
    <xdr:to>
      <xdr:col>2</xdr:col>
      <xdr:colOff>141120</xdr:colOff>
      <xdr:row>182</xdr:row>
      <xdr:rowOff>221400</xdr:rowOff>
    </xdr:to>
    <xdr:pic>
      <xdr:nvPicPr>
        <xdr:cNvPr id="459" name="Gráfico 27" descr="Ajudar">
          <a:hlinkClick r:id="rId27"/>
        </xdr:cNvPr>
        <xdr:cNvPicPr/>
      </xdr:nvPicPr>
      <xdr:blipFill>
        <a:blip r:embed="rId28"/>
        <a:stretch/>
      </xdr:blipFill>
      <xdr:spPr>
        <a:xfrm>
          <a:off x="156960" y="368272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200</xdr:row>
      <xdr:rowOff>104760</xdr:rowOff>
    </xdr:from>
    <xdr:to>
      <xdr:col>3</xdr:col>
      <xdr:colOff>95040</xdr:colOff>
      <xdr:row>203</xdr:row>
      <xdr:rowOff>75960</xdr:rowOff>
    </xdr:to>
    <xdr:sp>
      <xdr:nvSpPr>
        <xdr:cNvPr id="460" name="Retângulo: Cantos Arredondados 28"/>
        <xdr:cNvSpPr/>
      </xdr:nvSpPr>
      <xdr:spPr>
        <a:xfrm>
          <a:off x="150840" y="408524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 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200</xdr:row>
      <xdr:rowOff>127800</xdr:rowOff>
    </xdr:from>
    <xdr:to>
      <xdr:col>2</xdr:col>
      <xdr:colOff>141120</xdr:colOff>
      <xdr:row>201</xdr:row>
      <xdr:rowOff>221400</xdr:rowOff>
    </xdr:to>
    <xdr:pic>
      <xdr:nvPicPr>
        <xdr:cNvPr id="461" name="Gráfico 29" descr="Ajudar">
          <a:hlinkClick r:id="rId29"/>
        </xdr:cNvPr>
        <xdr:cNvPicPr/>
      </xdr:nvPicPr>
      <xdr:blipFill>
        <a:blip r:embed="rId30"/>
        <a:stretch/>
      </xdr:blipFill>
      <xdr:spPr>
        <a:xfrm>
          <a:off x="156960" y="408754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319680</xdr:colOff>
      <xdr:row>77</xdr:row>
      <xdr:rowOff>126720</xdr:rowOff>
    </xdr:from>
    <xdr:to>
      <xdr:col>2</xdr:col>
      <xdr:colOff>711360</xdr:colOff>
      <xdr:row>78</xdr:row>
      <xdr:rowOff>17640</xdr:rowOff>
    </xdr:to>
    <xdr:pic>
      <xdr:nvPicPr>
        <xdr:cNvPr id="462" name="Gráfico 30" descr="Dinheiro"/>
        <xdr:cNvPicPr/>
      </xdr:nvPicPr>
      <xdr:blipFill>
        <a:blip r:embed="rId31"/>
        <a:stretch/>
      </xdr:blipFill>
      <xdr:spPr>
        <a:xfrm flipH="1">
          <a:off x="581760" y="14956920"/>
          <a:ext cx="391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319680</xdr:colOff>
      <xdr:row>91</xdr:row>
      <xdr:rowOff>115920</xdr:rowOff>
    </xdr:from>
    <xdr:to>
      <xdr:col>2</xdr:col>
      <xdr:colOff>720360</xdr:colOff>
      <xdr:row>92</xdr:row>
      <xdr:rowOff>6480</xdr:rowOff>
    </xdr:to>
    <xdr:pic>
      <xdr:nvPicPr>
        <xdr:cNvPr id="463" name="Gráfico 31" descr="Dinheiro"/>
        <xdr:cNvPicPr/>
      </xdr:nvPicPr>
      <xdr:blipFill>
        <a:blip r:embed="rId32"/>
        <a:stretch/>
      </xdr:blipFill>
      <xdr:spPr>
        <a:xfrm flipH="1">
          <a:off x="581760" y="17736840"/>
          <a:ext cx="400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330840</xdr:colOff>
      <xdr:row>108</xdr:row>
      <xdr:rowOff>134280</xdr:rowOff>
    </xdr:from>
    <xdr:to>
      <xdr:col>2</xdr:col>
      <xdr:colOff>722880</xdr:colOff>
      <xdr:row>109</xdr:row>
      <xdr:rowOff>35640</xdr:rowOff>
    </xdr:to>
    <xdr:pic>
      <xdr:nvPicPr>
        <xdr:cNvPr id="464" name="Gráfico 32" descr="Moedas"/>
        <xdr:cNvPicPr/>
      </xdr:nvPicPr>
      <xdr:blipFill>
        <a:blip r:embed="rId33"/>
        <a:stretch/>
      </xdr:blipFill>
      <xdr:spPr>
        <a:xfrm flipH="1">
          <a:off x="592920" y="212889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285840</xdr:colOff>
      <xdr:row>127</xdr:row>
      <xdr:rowOff>149760</xdr:rowOff>
    </xdr:from>
    <xdr:to>
      <xdr:col>2</xdr:col>
      <xdr:colOff>677880</xdr:colOff>
      <xdr:row>128</xdr:row>
      <xdr:rowOff>51120</xdr:rowOff>
    </xdr:to>
    <xdr:pic>
      <xdr:nvPicPr>
        <xdr:cNvPr id="465" name="Gráfico 33" descr="Moedas"/>
        <xdr:cNvPicPr/>
      </xdr:nvPicPr>
      <xdr:blipFill>
        <a:blip r:embed="rId34"/>
        <a:stretch/>
      </xdr:blipFill>
      <xdr:spPr>
        <a:xfrm flipH="1">
          <a:off x="547920" y="2535264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288720</xdr:colOff>
      <xdr:row>146</xdr:row>
      <xdr:rowOff>152280</xdr:rowOff>
    </xdr:from>
    <xdr:to>
      <xdr:col>2</xdr:col>
      <xdr:colOff>680760</xdr:colOff>
      <xdr:row>147</xdr:row>
      <xdr:rowOff>54000</xdr:rowOff>
    </xdr:to>
    <xdr:pic>
      <xdr:nvPicPr>
        <xdr:cNvPr id="466" name="Gráfico 34" descr="Moedas"/>
        <xdr:cNvPicPr/>
      </xdr:nvPicPr>
      <xdr:blipFill>
        <a:blip r:embed="rId35"/>
        <a:stretch/>
      </xdr:blipFill>
      <xdr:spPr>
        <a:xfrm flipH="1">
          <a:off x="550800" y="294033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163</xdr:row>
      <xdr:rowOff>123120</xdr:rowOff>
    </xdr:from>
    <xdr:to>
      <xdr:col>2</xdr:col>
      <xdr:colOff>705240</xdr:colOff>
      <xdr:row>164</xdr:row>
      <xdr:rowOff>14040</xdr:rowOff>
    </xdr:to>
    <xdr:pic>
      <xdr:nvPicPr>
        <xdr:cNvPr id="467" name="Gráfico 35" descr="Sirene"/>
        <xdr:cNvPicPr/>
      </xdr:nvPicPr>
      <xdr:blipFill>
        <a:blip r:embed="rId36"/>
        <a:stretch/>
      </xdr:blipFill>
      <xdr:spPr>
        <a:xfrm>
          <a:off x="562680" y="3292704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182</xdr:row>
      <xdr:rowOff>107640</xdr:rowOff>
    </xdr:from>
    <xdr:to>
      <xdr:col>2</xdr:col>
      <xdr:colOff>705240</xdr:colOff>
      <xdr:row>183</xdr:row>
      <xdr:rowOff>2880</xdr:rowOff>
    </xdr:to>
    <xdr:pic>
      <xdr:nvPicPr>
        <xdr:cNvPr id="468" name="Gráfico 36" descr="Sirene"/>
        <xdr:cNvPicPr/>
      </xdr:nvPicPr>
      <xdr:blipFill>
        <a:blip r:embed="rId37"/>
        <a:stretch/>
      </xdr:blipFill>
      <xdr:spPr>
        <a:xfrm>
          <a:off x="562680" y="36959760"/>
          <a:ext cx="404640" cy="39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201</xdr:row>
      <xdr:rowOff>125640</xdr:rowOff>
    </xdr:from>
    <xdr:to>
      <xdr:col>2</xdr:col>
      <xdr:colOff>705240</xdr:colOff>
      <xdr:row>202</xdr:row>
      <xdr:rowOff>16560</xdr:rowOff>
    </xdr:to>
    <xdr:pic>
      <xdr:nvPicPr>
        <xdr:cNvPr id="469" name="Gráfico 37" descr="Sirene"/>
        <xdr:cNvPicPr/>
      </xdr:nvPicPr>
      <xdr:blipFill>
        <a:blip r:embed="rId38"/>
        <a:stretch/>
      </xdr:blipFill>
      <xdr:spPr>
        <a:xfrm>
          <a:off x="562680" y="4102596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190440</xdr:colOff>
      <xdr:row>1</xdr:row>
      <xdr:rowOff>141120</xdr:rowOff>
    </xdr:from>
    <xdr:to>
      <xdr:col>32</xdr:col>
      <xdr:colOff>138960</xdr:colOff>
      <xdr:row>3</xdr:row>
      <xdr:rowOff>54360</xdr:rowOff>
    </xdr:to>
    <xdr:pic>
      <xdr:nvPicPr>
        <xdr:cNvPr id="470" name="Gráfico 38" descr="Virar calendário">
          <a:hlinkClick r:id="rId39"/>
        </xdr:cNvPr>
        <xdr:cNvPicPr/>
      </xdr:nvPicPr>
      <xdr:blipFill>
        <a:blip r:embed="rId40"/>
        <a:stretch/>
      </xdr:blipFill>
      <xdr:spPr>
        <a:xfrm>
          <a:off x="13463640" y="141120"/>
          <a:ext cx="341640" cy="341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26</xdr:col>
      <xdr:colOff>324720</xdr:colOff>
      <xdr:row>2</xdr:row>
      <xdr:rowOff>174600</xdr:rowOff>
    </xdr:from>
    <xdr:to>
      <xdr:col>28</xdr:col>
      <xdr:colOff>22320</xdr:colOff>
      <xdr:row>2</xdr:row>
      <xdr:rowOff>174600</xdr:rowOff>
    </xdr:to>
    <xdr:sp>
      <xdr:nvSpPr>
        <xdr:cNvPr id="471" name="Conector reto 39"/>
        <xdr:cNvSpPr/>
      </xdr:nvSpPr>
      <xdr:spPr>
        <a:xfrm>
          <a:off x="11632680" y="374400"/>
          <a:ext cx="48384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29</xdr:col>
      <xdr:colOff>331560</xdr:colOff>
      <xdr:row>2</xdr:row>
      <xdr:rowOff>174600</xdr:rowOff>
    </xdr:from>
    <xdr:to>
      <xdr:col>31</xdr:col>
      <xdr:colOff>28800</xdr:colOff>
      <xdr:row>2</xdr:row>
      <xdr:rowOff>174600</xdr:rowOff>
    </xdr:to>
    <xdr:sp>
      <xdr:nvSpPr>
        <xdr:cNvPr id="472" name="Conector reto 40"/>
        <xdr:cNvSpPr/>
      </xdr:nvSpPr>
      <xdr:spPr>
        <a:xfrm>
          <a:off x="12818520" y="374400"/>
          <a:ext cx="48348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142200</xdr:colOff>
      <xdr:row>8</xdr:row>
      <xdr:rowOff>121680</xdr:rowOff>
    </xdr:from>
    <xdr:to>
      <xdr:col>2</xdr:col>
      <xdr:colOff>129960</xdr:colOff>
      <xdr:row>9</xdr:row>
      <xdr:rowOff>215280</xdr:rowOff>
    </xdr:to>
    <xdr:pic>
      <xdr:nvPicPr>
        <xdr:cNvPr id="473" name="Gráfico 42" descr="Ajudar">
          <a:hlinkClick r:id="rId41"/>
        </xdr:cNvPr>
        <xdr:cNvPicPr/>
      </xdr:nvPicPr>
      <xdr:blipFill>
        <a:blip r:embed="rId42"/>
        <a:stretch/>
      </xdr:blipFill>
      <xdr:spPr>
        <a:xfrm>
          <a:off x="142200" y="140724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185760</xdr:colOff>
      <xdr:row>2</xdr:row>
      <xdr:rowOff>145800</xdr:rowOff>
    </xdr:from>
    <xdr:to>
      <xdr:col>35</xdr:col>
      <xdr:colOff>614880</xdr:colOff>
      <xdr:row>4</xdr:row>
      <xdr:rowOff>112680</xdr:rowOff>
    </xdr:to>
    <xdr:pic>
      <xdr:nvPicPr>
        <xdr:cNvPr id="474" name="Gráfico 43" descr="Seta Reta">
          <a:hlinkClick r:id="rId43"/>
        </xdr:cNvPr>
        <xdr:cNvPicPr/>
      </xdr:nvPicPr>
      <xdr:blipFill>
        <a:blip r:embed="rId44"/>
        <a:stretch/>
      </xdr:blipFill>
      <xdr:spPr>
        <a:xfrm rot="10800000">
          <a:off x="14638320" y="345240"/>
          <a:ext cx="42912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156960</xdr:colOff>
      <xdr:row>1</xdr:row>
      <xdr:rowOff>67320</xdr:rowOff>
    </xdr:from>
    <xdr:to>
      <xdr:col>35</xdr:col>
      <xdr:colOff>583200</xdr:colOff>
      <xdr:row>3</xdr:row>
      <xdr:rowOff>63000</xdr:rowOff>
    </xdr:to>
    <xdr:pic>
      <xdr:nvPicPr>
        <xdr:cNvPr id="475" name="Gráfico 44" descr="Seta Reta">
          <a:hlinkClick r:id="rId45"/>
        </xdr:cNvPr>
        <xdr:cNvPicPr/>
      </xdr:nvPicPr>
      <xdr:blipFill>
        <a:blip r:embed="rId46"/>
        <a:stretch/>
      </xdr:blipFill>
      <xdr:spPr>
        <a:xfrm>
          <a:off x="14609520" y="67320"/>
          <a:ext cx="42624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35</xdr:col>
      <xdr:colOff>0</xdr:colOff>
      <xdr:row>5</xdr:row>
      <xdr:rowOff>0</xdr:rowOff>
    </xdr:from>
    <xdr:to>
      <xdr:col>35</xdr:col>
      <xdr:colOff>548640</xdr:colOff>
      <xdr:row>6</xdr:row>
      <xdr:rowOff>10800</xdr:rowOff>
    </xdr:to>
    <xdr:sp>
      <xdr:nvSpPr>
        <xdr:cNvPr id="476" name="Balão de Fala: Retângulo com Cantos Arredondados 45"/>
        <xdr:cNvSpPr/>
      </xdr:nvSpPr>
      <xdr:spPr>
        <a:xfrm>
          <a:off x="14452560" y="799920"/>
          <a:ext cx="548640" cy="182160"/>
        </a:xfrm>
        <a:prstGeom prst="wedgeRoundRectCallout">
          <a:avLst>
            <a:gd name="adj1" fmla="val -18889"/>
            <a:gd name="adj2" fmla="val 13747"/>
            <a:gd name="adj3" fmla="val 16667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28800" bIns="36000" anchor="ctr">
          <a:noAutofit/>
        </a:bodyPr>
        <a:p>
          <a:pPr algn="ctr">
            <a:lnSpc>
              <a:spcPct val="100000"/>
            </a:lnSpc>
          </a:pPr>
          <a:r>
            <a:rPr b="0" lang="en-GB" sz="900" spc="-1" strike="noStrike">
              <a:solidFill>
                <a:srgbClr val="ffffff"/>
              </a:solidFill>
              <a:latin typeface="Calibri"/>
            </a:rPr>
            <a:t>DIAS</a:t>
          </a:r>
          <a:endParaRPr b="0" lang="pt-BR" sz="900" spc="-1" strike="noStrike">
            <a:latin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2880</xdr:colOff>
      <xdr:row>54</xdr:row>
      <xdr:rowOff>78480</xdr:rowOff>
    </xdr:from>
    <xdr:to>
      <xdr:col>3</xdr:col>
      <xdr:colOff>99360</xdr:colOff>
      <xdr:row>57</xdr:row>
      <xdr:rowOff>64440</xdr:rowOff>
    </xdr:to>
    <xdr:sp>
      <xdr:nvSpPr>
        <xdr:cNvPr id="477" name="Retângulo: Cantos Arredondados 1"/>
        <xdr:cNvSpPr/>
      </xdr:nvSpPr>
      <xdr:spPr>
        <a:xfrm>
          <a:off x="153720" y="10212840"/>
          <a:ext cx="2274120" cy="78624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8</xdr:row>
      <xdr:rowOff>104760</xdr:rowOff>
    </xdr:from>
    <xdr:to>
      <xdr:col>3</xdr:col>
      <xdr:colOff>77760</xdr:colOff>
      <xdr:row>11</xdr:row>
      <xdr:rowOff>75960</xdr:rowOff>
    </xdr:to>
    <xdr:sp>
      <xdr:nvSpPr>
        <xdr:cNvPr id="478" name="Retângulo: Cantos Arredondados 2"/>
        <xdr:cNvSpPr/>
      </xdr:nvSpPr>
      <xdr:spPr>
        <a:xfrm>
          <a:off x="132480" y="1390320"/>
          <a:ext cx="2273760" cy="79056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JUNTAR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DINHEIRO?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19</xdr:row>
      <xdr:rowOff>104760</xdr:rowOff>
    </xdr:from>
    <xdr:to>
      <xdr:col>3</xdr:col>
      <xdr:colOff>77760</xdr:colOff>
      <xdr:row>22</xdr:row>
      <xdr:rowOff>56880</xdr:rowOff>
    </xdr:to>
    <xdr:sp>
      <xdr:nvSpPr>
        <xdr:cNvPr id="479" name="Retângulo: Cantos Arredondados 3"/>
        <xdr:cNvSpPr/>
      </xdr:nvSpPr>
      <xdr:spPr>
        <a:xfrm>
          <a:off x="132480" y="3438360"/>
          <a:ext cx="2273760" cy="75204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GUARDAR E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INVESTIR?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282240</xdr:colOff>
      <xdr:row>20</xdr:row>
      <xdr:rowOff>118080</xdr:rowOff>
    </xdr:from>
    <xdr:to>
      <xdr:col>2</xdr:col>
      <xdr:colOff>681480</xdr:colOff>
      <xdr:row>21</xdr:row>
      <xdr:rowOff>8640</xdr:rowOff>
    </xdr:to>
    <xdr:pic>
      <xdr:nvPicPr>
        <xdr:cNvPr id="480" name="Gráfico 4" descr="Cofrinho"/>
        <xdr:cNvPicPr/>
      </xdr:nvPicPr>
      <xdr:blipFill>
        <a:blip r:embed="rId1"/>
        <a:stretch/>
      </xdr:blipFill>
      <xdr:spPr>
        <a:xfrm>
          <a:off x="544320" y="3603960"/>
          <a:ext cx="39924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284040</xdr:colOff>
      <xdr:row>9</xdr:row>
      <xdr:rowOff>151200</xdr:rowOff>
    </xdr:from>
    <xdr:to>
      <xdr:col>2</xdr:col>
      <xdr:colOff>680040</xdr:colOff>
      <xdr:row>10</xdr:row>
      <xdr:rowOff>42120</xdr:rowOff>
    </xdr:to>
    <xdr:pic>
      <xdr:nvPicPr>
        <xdr:cNvPr id="481" name="Gráfico 5" descr="Carteira"/>
        <xdr:cNvPicPr/>
      </xdr:nvPicPr>
      <xdr:blipFill>
        <a:blip r:embed="rId2"/>
        <a:stretch/>
      </xdr:blipFill>
      <xdr:spPr>
        <a:xfrm>
          <a:off x="546120" y="1589400"/>
          <a:ext cx="39600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0</xdr:col>
      <xdr:colOff>145800</xdr:colOff>
      <xdr:row>31</xdr:row>
      <xdr:rowOff>89640</xdr:rowOff>
    </xdr:from>
    <xdr:to>
      <xdr:col>3</xdr:col>
      <xdr:colOff>91440</xdr:colOff>
      <xdr:row>34</xdr:row>
      <xdr:rowOff>78480</xdr:rowOff>
    </xdr:to>
    <xdr:sp>
      <xdr:nvSpPr>
        <xdr:cNvPr id="482" name="Retângulo: Cantos Arredondados 6"/>
        <xdr:cNvSpPr/>
      </xdr:nvSpPr>
      <xdr:spPr>
        <a:xfrm>
          <a:off x="145800" y="5452200"/>
          <a:ext cx="2274120" cy="7887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315360</xdr:colOff>
      <xdr:row>32</xdr:row>
      <xdr:rowOff>144360</xdr:rowOff>
    </xdr:from>
    <xdr:to>
      <xdr:col>2</xdr:col>
      <xdr:colOff>709560</xdr:colOff>
      <xdr:row>33</xdr:row>
      <xdr:rowOff>35280</xdr:rowOff>
    </xdr:to>
    <xdr:pic>
      <xdr:nvPicPr>
        <xdr:cNvPr id="483" name="Gráfico 7" descr="Eletricista"/>
        <xdr:cNvPicPr/>
      </xdr:nvPicPr>
      <xdr:blipFill>
        <a:blip r:embed="rId3"/>
        <a:stretch/>
      </xdr:blipFill>
      <xdr:spPr>
        <a:xfrm>
          <a:off x="577440" y="5659200"/>
          <a:ext cx="39420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311760</xdr:colOff>
      <xdr:row>55</xdr:row>
      <xdr:rowOff>132120</xdr:rowOff>
    </xdr:from>
    <xdr:to>
      <xdr:col>2</xdr:col>
      <xdr:colOff>713160</xdr:colOff>
      <xdr:row>56</xdr:row>
      <xdr:rowOff>23040</xdr:rowOff>
    </xdr:to>
    <xdr:pic>
      <xdr:nvPicPr>
        <xdr:cNvPr id="484" name="Gráfico 8" descr="Artista"/>
        <xdr:cNvPicPr/>
      </xdr:nvPicPr>
      <xdr:blipFill>
        <a:blip r:embed="rId4"/>
        <a:stretch/>
      </xdr:blipFill>
      <xdr:spPr>
        <a:xfrm>
          <a:off x="573840" y="10419120"/>
          <a:ext cx="401400" cy="395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76</xdr:row>
      <xdr:rowOff>104760</xdr:rowOff>
    </xdr:from>
    <xdr:to>
      <xdr:col>3</xdr:col>
      <xdr:colOff>95040</xdr:colOff>
      <xdr:row>79</xdr:row>
      <xdr:rowOff>75960</xdr:rowOff>
    </xdr:to>
    <xdr:sp>
      <xdr:nvSpPr>
        <xdr:cNvPr id="485" name="Retângulo: Cantos Arredondados 9"/>
        <xdr:cNvSpPr/>
      </xdr:nvSpPr>
      <xdr:spPr>
        <a:xfrm>
          <a:off x="150840" y="1478268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28</xdr:col>
      <xdr:colOff>211680</xdr:colOff>
      <xdr:row>1</xdr:row>
      <xdr:rowOff>166320</xdr:rowOff>
    </xdr:from>
    <xdr:to>
      <xdr:col>29</xdr:col>
      <xdr:colOff>128880</xdr:colOff>
      <xdr:row>3</xdr:row>
      <xdr:rowOff>47520</xdr:rowOff>
    </xdr:to>
    <xdr:pic>
      <xdr:nvPicPr>
        <xdr:cNvPr id="486" name="Gráfico 10" descr="Impressão digital">
          <a:hlinkClick r:id="rId5"/>
        </xdr:cNvPr>
        <xdr:cNvPicPr/>
      </xdr:nvPicPr>
      <xdr:blipFill>
        <a:blip r:embed="rId6"/>
        <a:stretch/>
      </xdr:blipFill>
      <xdr:spPr>
        <a:xfrm>
          <a:off x="12305880" y="166320"/>
          <a:ext cx="309960" cy="30960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25</xdr:col>
      <xdr:colOff>188640</xdr:colOff>
      <xdr:row>1</xdr:row>
      <xdr:rowOff>129960</xdr:rowOff>
    </xdr:from>
    <xdr:to>
      <xdr:col>26</xdr:col>
      <xdr:colOff>164160</xdr:colOff>
      <xdr:row>3</xdr:row>
      <xdr:rowOff>65880</xdr:rowOff>
    </xdr:to>
    <xdr:pic>
      <xdr:nvPicPr>
        <xdr:cNvPr id="487" name="Gráfico 11" descr="Trancar">
          <a:hlinkClick r:id="rId7"/>
        </xdr:cNvPr>
        <xdr:cNvPicPr/>
      </xdr:nvPicPr>
      <xdr:blipFill>
        <a:blip r:embed="rId8"/>
        <a:stretch/>
      </xdr:blipFill>
      <xdr:spPr>
        <a:xfrm>
          <a:off x="11103480" y="129960"/>
          <a:ext cx="368640" cy="36432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</xdr:colOff>
      <xdr:row>19</xdr:row>
      <xdr:rowOff>126360</xdr:rowOff>
    </xdr:from>
    <xdr:to>
      <xdr:col>2</xdr:col>
      <xdr:colOff>139680</xdr:colOff>
      <xdr:row>20</xdr:row>
      <xdr:rowOff>220320</xdr:rowOff>
    </xdr:to>
    <xdr:pic>
      <xdr:nvPicPr>
        <xdr:cNvPr id="488" name="Gráfico 12" descr="Ajudar">
          <a:hlinkClick r:id="rId9"/>
        </xdr:cNvPr>
        <xdr:cNvPicPr/>
      </xdr:nvPicPr>
      <xdr:blipFill>
        <a:blip r:embed="rId10"/>
        <a:stretch/>
      </xdr:blipFill>
      <xdr:spPr>
        <a:xfrm>
          <a:off x="151920" y="345996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15120</xdr:colOff>
      <xdr:row>31</xdr:row>
      <xdr:rowOff>114480</xdr:rowOff>
    </xdr:from>
    <xdr:to>
      <xdr:col>2</xdr:col>
      <xdr:colOff>150120</xdr:colOff>
      <xdr:row>32</xdr:row>
      <xdr:rowOff>208440</xdr:rowOff>
    </xdr:to>
    <xdr:pic>
      <xdr:nvPicPr>
        <xdr:cNvPr id="489" name="Gráfico 13" descr="Ajudar">
          <a:hlinkClick r:id="rId11"/>
        </xdr:cNvPr>
        <xdr:cNvPicPr/>
      </xdr:nvPicPr>
      <xdr:blipFill>
        <a:blip r:embed="rId12"/>
        <a:stretch/>
      </xdr:blipFill>
      <xdr:spPr>
        <a:xfrm>
          <a:off x="165960" y="54770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10800</xdr:colOff>
      <xdr:row>54</xdr:row>
      <xdr:rowOff>98640</xdr:rowOff>
    </xdr:from>
    <xdr:to>
      <xdr:col>2</xdr:col>
      <xdr:colOff>145800</xdr:colOff>
      <xdr:row>55</xdr:row>
      <xdr:rowOff>192240</xdr:rowOff>
    </xdr:to>
    <xdr:pic>
      <xdr:nvPicPr>
        <xdr:cNvPr id="490" name="Gráfico 14" descr="Ajudar">
          <a:hlinkClick r:id="rId13"/>
        </xdr:cNvPr>
        <xdr:cNvPicPr/>
      </xdr:nvPicPr>
      <xdr:blipFill>
        <a:blip r:embed="rId14"/>
        <a:stretch/>
      </xdr:blipFill>
      <xdr:spPr>
        <a:xfrm>
          <a:off x="161640" y="102330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6120</xdr:colOff>
      <xdr:row>76</xdr:row>
      <xdr:rowOff>127800</xdr:rowOff>
    </xdr:from>
    <xdr:to>
      <xdr:col>2</xdr:col>
      <xdr:colOff>141120</xdr:colOff>
      <xdr:row>77</xdr:row>
      <xdr:rowOff>221760</xdr:rowOff>
    </xdr:to>
    <xdr:pic>
      <xdr:nvPicPr>
        <xdr:cNvPr id="491" name="Gráfico 15" descr="Ajudar">
          <a:hlinkClick r:id="rId15"/>
        </xdr:cNvPr>
        <xdr:cNvPicPr/>
      </xdr:nvPicPr>
      <xdr:blipFill>
        <a:blip r:embed="rId16"/>
        <a:stretch/>
      </xdr:blipFill>
      <xdr:spPr>
        <a:xfrm>
          <a:off x="156960" y="1480572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90</xdr:row>
      <xdr:rowOff>104760</xdr:rowOff>
    </xdr:from>
    <xdr:to>
      <xdr:col>3</xdr:col>
      <xdr:colOff>95040</xdr:colOff>
      <xdr:row>93</xdr:row>
      <xdr:rowOff>75960</xdr:rowOff>
    </xdr:to>
    <xdr:sp>
      <xdr:nvSpPr>
        <xdr:cNvPr id="492" name="Retângulo: Cantos Arredondados 16"/>
        <xdr:cNvSpPr/>
      </xdr:nvSpPr>
      <xdr:spPr>
        <a:xfrm>
          <a:off x="150840" y="1757340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90</xdr:row>
      <xdr:rowOff>127800</xdr:rowOff>
    </xdr:from>
    <xdr:to>
      <xdr:col>2</xdr:col>
      <xdr:colOff>141120</xdr:colOff>
      <xdr:row>91</xdr:row>
      <xdr:rowOff>221760</xdr:rowOff>
    </xdr:to>
    <xdr:pic>
      <xdr:nvPicPr>
        <xdr:cNvPr id="493" name="Gráfico 17" descr="Ajudar">
          <a:hlinkClick r:id="rId17"/>
        </xdr:cNvPr>
        <xdr:cNvPicPr/>
      </xdr:nvPicPr>
      <xdr:blipFill>
        <a:blip r:embed="rId18"/>
        <a:stretch/>
      </xdr:blipFill>
      <xdr:spPr>
        <a:xfrm>
          <a:off x="156960" y="17596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107</xdr:row>
      <xdr:rowOff>104760</xdr:rowOff>
    </xdr:from>
    <xdr:to>
      <xdr:col>3</xdr:col>
      <xdr:colOff>95040</xdr:colOff>
      <xdr:row>110</xdr:row>
      <xdr:rowOff>75960</xdr:rowOff>
    </xdr:to>
    <xdr:sp>
      <xdr:nvSpPr>
        <xdr:cNvPr id="494" name="Retângulo: Cantos Arredondados 18"/>
        <xdr:cNvSpPr/>
      </xdr:nvSpPr>
      <xdr:spPr>
        <a:xfrm>
          <a:off x="150840" y="2110716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107</xdr:row>
      <xdr:rowOff>127800</xdr:rowOff>
    </xdr:from>
    <xdr:to>
      <xdr:col>2</xdr:col>
      <xdr:colOff>141120</xdr:colOff>
      <xdr:row>108</xdr:row>
      <xdr:rowOff>221760</xdr:rowOff>
    </xdr:to>
    <xdr:pic>
      <xdr:nvPicPr>
        <xdr:cNvPr id="495" name="Gráfico 19" descr="Ajudar">
          <a:hlinkClick r:id="rId19"/>
        </xdr:cNvPr>
        <xdr:cNvPicPr/>
      </xdr:nvPicPr>
      <xdr:blipFill>
        <a:blip r:embed="rId20"/>
        <a:stretch/>
      </xdr:blipFill>
      <xdr:spPr>
        <a:xfrm>
          <a:off x="156960" y="211302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126</xdr:row>
      <xdr:rowOff>104760</xdr:rowOff>
    </xdr:from>
    <xdr:to>
      <xdr:col>3</xdr:col>
      <xdr:colOff>95040</xdr:colOff>
      <xdr:row>129</xdr:row>
      <xdr:rowOff>75960</xdr:rowOff>
    </xdr:to>
    <xdr:sp>
      <xdr:nvSpPr>
        <xdr:cNvPr id="496" name="Retângulo: Cantos Arredondados 20"/>
        <xdr:cNvSpPr/>
      </xdr:nvSpPr>
      <xdr:spPr>
        <a:xfrm>
          <a:off x="150840" y="251553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126</xdr:row>
      <xdr:rowOff>127800</xdr:rowOff>
    </xdr:from>
    <xdr:to>
      <xdr:col>2</xdr:col>
      <xdr:colOff>141120</xdr:colOff>
      <xdr:row>127</xdr:row>
      <xdr:rowOff>221760</xdr:rowOff>
    </xdr:to>
    <xdr:pic>
      <xdr:nvPicPr>
        <xdr:cNvPr id="497" name="Gráfico 21" descr="Ajudar">
          <a:hlinkClick r:id="rId21"/>
        </xdr:cNvPr>
        <xdr:cNvPicPr/>
      </xdr:nvPicPr>
      <xdr:blipFill>
        <a:blip r:embed="rId22"/>
        <a:stretch/>
      </xdr:blipFill>
      <xdr:spPr>
        <a:xfrm>
          <a:off x="156960" y="251784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145</xdr:row>
      <xdr:rowOff>104760</xdr:rowOff>
    </xdr:from>
    <xdr:to>
      <xdr:col>3</xdr:col>
      <xdr:colOff>95040</xdr:colOff>
      <xdr:row>148</xdr:row>
      <xdr:rowOff>75960</xdr:rowOff>
    </xdr:to>
    <xdr:sp>
      <xdr:nvSpPr>
        <xdr:cNvPr id="498" name="Retângulo: Cantos Arredondados 22"/>
        <xdr:cNvSpPr/>
      </xdr:nvSpPr>
      <xdr:spPr>
        <a:xfrm>
          <a:off x="150840" y="292035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145</xdr:row>
      <xdr:rowOff>127800</xdr:rowOff>
    </xdr:from>
    <xdr:to>
      <xdr:col>2</xdr:col>
      <xdr:colOff>141120</xdr:colOff>
      <xdr:row>146</xdr:row>
      <xdr:rowOff>221760</xdr:rowOff>
    </xdr:to>
    <xdr:pic>
      <xdr:nvPicPr>
        <xdr:cNvPr id="499" name="Gráfico 23" descr="Ajudar">
          <a:hlinkClick r:id="rId23"/>
        </xdr:cNvPr>
        <xdr:cNvPicPr/>
      </xdr:nvPicPr>
      <xdr:blipFill>
        <a:blip r:embed="rId24"/>
        <a:stretch/>
      </xdr:blipFill>
      <xdr:spPr>
        <a:xfrm>
          <a:off x="156960" y="292266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162</xdr:row>
      <xdr:rowOff>104760</xdr:rowOff>
    </xdr:from>
    <xdr:to>
      <xdr:col>3</xdr:col>
      <xdr:colOff>95040</xdr:colOff>
      <xdr:row>165</xdr:row>
      <xdr:rowOff>75960</xdr:rowOff>
    </xdr:to>
    <xdr:sp>
      <xdr:nvSpPr>
        <xdr:cNvPr id="500" name="Retângulo: Cantos Arredondados 24"/>
        <xdr:cNvSpPr/>
      </xdr:nvSpPr>
      <xdr:spPr>
        <a:xfrm>
          <a:off x="150840" y="3275640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162</xdr:row>
      <xdr:rowOff>127800</xdr:rowOff>
    </xdr:from>
    <xdr:to>
      <xdr:col>2</xdr:col>
      <xdr:colOff>141120</xdr:colOff>
      <xdr:row>163</xdr:row>
      <xdr:rowOff>221760</xdr:rowOff>
    </xdr:to>
    <xdr:pic>
      <xdr:nvPicPr>
        <xdr:cNvPr id="501" name="Gráfico 25" descr="Ajudar">
          <a:hlinkClick r:id="rId25"/>
        </xdr:cNvPr>
        <xdr:cNvPicPr/>
      </xdr:nvPicPr>
      <xdr:blipFill>
        <a:blip r:embed="rId26"/>
        <a:stretch/>
      </xdr:blipFill>
      <xdr:spPr>
        <a:xfrm>
          <a:off x="156960" y="32779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181</xdr:row>
      <xdr:rowOff>104760</xdr:rowOff>
    </xdr:from>
    <xdr:to>
      <xdr:col>3</xdr:col>
      <xdr:colOff>95040</xdr:colOff>
      <xdr:row>184</xdr:row>
      <xdr:rowOff>75960</xdr:rowOff>
    </xdr:to>
    <xdr:sp>
      <xdr:nvSpPr>
        <xdr:cNvPr id="502" name="Retângulo: Cantos Arredondados 26"/>
        <xdr:cNvSpPr/>
      </xdr:nvSpPr>
      <xdr:spPr>
        <a:xfrm>
          <a:off x="150840" y="368042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181</xdr:row>
      <xdr:rowOff>127800</xdr:rowOff>
    </xdr:from>
    <xdr:to>
      <xdr:col>2</xdr:col>
      <xdr:colOff>141120</xdr:colOff>
      <xdr:row>182</xdr:row>
      <xdr:rowOff>221400</xdr:rowOff>
    </xdr:to>
    <xdr:pic>
      <xdr:nvPicPr>
        <xdr:cNvPr id="503" name="Gráfico 27" descr="Ajudar">
          <a:hlinkClick r:id="rId27"/>
        </xdr:cNvPr>
        <xdr:cNvPicPr/>
      </xdr:nvPicPr>
      <xdr:blipFill>
        <a:blip r:embed="rId28"/>
        <a:stretch/>
      </xdr:blipFill>
      <xdr:spPr>
        <a:xfrm>
          <a:off x="156960" y="368272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200</xdr:row>
      <xdr:rowOff>104760</xdr:rowOff>
    </xdr:from>
    <xdr:to>
      <xdr:col>3</xdr:col>
      <xdr:colOff>95040</xdr:colOff>
      <xdr:row>203</xdr:row>
      <xdr:rowOff>75960</xdr:rowOff>
    </xdr:to>
    <xdr:sp>
      <xdr:nvSpPr>
        <xdr:cNvPr id="504" name="Retângulo: Cantos Arredondados 28"/>
        <xdr:cNvSpPr/>
      </xdr:nvSpPr>
      <xdr:spPr>
        <a:xfrm>
          <a:off x="150840" y="408524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 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200</xdr:row>
      <xdr:rowOff>127800</xdr:rowOff>
    </xdr:from>
    <xdr:to>
      <xdr:col>2</xdr:col>
      <xdr:colOff>141120</xdr:colOff>
      <xdr:row>201</xdr:row>
      <xdr:rowOff>221400</xdr:rowOff>
    </xdr:to>
    <xdr:pic>
      <xdr:nvPicPr>
        <xdr:cNvPr id="505" name="Gráfico 29" descr="Ajudar">
          <a:hlinkClick r:id="rId29"/>
        </xdr:cNvPr>
        <xdr:cNvPicPr/>
      </xdr:nvPicPr>
      <xdr:blipFill>
        <a:blip r:embed="rId30"/>
        <a:stretch/>
      </xdr:blipFill>
      <xdr:spPr>
        <a:xfrm>
          <a:off x="156960" y="408754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319680</xdr:colOff>
      <xdr:row>77</xdr:row>
      <xdr:rowOff>126720</xdr:rowOff>
    </xdr:from>
    <xdr:to>
      <xdr:col>2</xdr:col>
      <xdr:colOff>711360</xdr:colOff>
      <xdr:row>78</xdr:row>
      <xdr:rowOff>17640</xdr:rowOff>
    </xdr:to>
    <xdr:pic>
      <xdr:nvPicPr>
        <xdr:cNvPr id="506" name="Gráfico 30" descr="Dinheiro"/>
        <xdr:cNvPicPr/>
      </xdr:nvPicPr>
      <xdr:blipFill>
        <a:blip r:embed="rId31"/>
        <a:stretch/>
      </xdr:blipFill>
      <xdr:spPr>
        <a:xfrm flipH="1">
          <a:off x="581760" y="14956920"/>
          <a:ext cx="391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319680</xdr:colOff>
      <xdr:row>91</xdr:row>
      <xdr:rowOff>115920</xdr:rowOff>
    </xdr:from>
    <xdr:to>
      <xdr:col>2</xdr:col>
      <xdr:colOff>720360</xdr:colOff>
      <xdr:row>92</xdr:row>
      <xdr:rowOff>6480</xdr:rowOff>
    </xdr:to>
    <xdr:pic>
      <xdr:nvPicPr>
        <xdr:cNvPr id="507" name="Gráfico 31" descr="Dinheiro"/>
        <xdr:cNvPicPr/>
      </xdr:nvPicPr>
      <xdr:blipFill>
        <a:blip r:embed="rId32"/>
        <a:stretch/>
      </xdr:blipFill>
      <xdr:spPr>
        <a:xfrm flipH="1">
          <a:off x="581760" y="17736840"/>
          <a:ext cx="400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330840</xdr:colOff>
      <xdr:row>108</xdr:row>
      <xdr:rowOff>134280</xdr:rowOff>
    </xdr:from>
    <xdr:to>
      <xdr:col>2</xdr:col>
      <xdr:colOff>722880</xdr:colOff>
      <xdr:row>109</xdr:row>
      <xdr:rowOff>35640</xdr:rowOff>
    </xdr:to>
    <xdr:pic>
      <xdr:nvPicPr>
        <xdr:cNvPr id="508" name="Gráfico 32" descr="Moedas"/>
        <xdr:cNvPicPr/>
      </xdr:nvPicPr>
      <xdr:blipFill>
        <a:blip r:embed="rId33"/>
        <a:stretch/>
      </xdr:blipFill>
      <xdr:spPr>
        <a:xfrm flipH="1">
          <a:off x="592920" y="212889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285840</xdr:colOff>
      <xdr:row>127</xdr:row>
      <xdr:rowOff>149760</xdr:rowOff>
    </xdr:from>
    <xdr:to>
      <xdr:col>2</xdr:col>
      <xdr:colOff>677880</xdr:colOff>
      <xdr:row>128</xdr:row>
      <xdr:rowOff>51120</xdr:rowOff>
    </xdr:to>
    <xdr:pic>
      <xdr:nvPicPr>
        <xdr:cNvPr id="509" name="Gráfico 33" descr="Moedas"/>
        <xdr:cNvPicPr/>
      </xdr:nvPicPr>
      <xdr:blipFill>
        <a:blip r:embed="rId34"/>
        <a:stretch/>
      </xdr:blipFill>
      <xdr:spPr>
        <a:xfrm flipH="1">
          <a:off x="547920" y="2535264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288720</xdr:colOff>
      <xdr:row>146</xdr:row>
      <xdr:rowOff>152280</xdr:rowOff>
    </xdr:from>
    <xdr:to>
      <xdr:col>2</xdr:col>
      <xdr:colOff>680760</xdr:colOff>
      <xdr:row>147</xdr:row>
      <xdr:rowOff>54000</xdr:rowOff>
    </xdr:to>
    <xdr:pic>
      <xdr:nvPicPr>
        <xdr:cNvPr id="510" name="Gráfico 34" descr="Moedas"/>
        <xdr:cNvPicPr/>
      </xdr:nvPicPr>
      <xdr:blipFill>
        <a:blip r:embed="rId35"/>
        <a:stretch/>
      </xdr:blipFill>
      <xdr:spPr>
        <a:xfrm flipH="1">
          <a:off x="550800" y="294033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163</xdr:row>
      <xdr:rowOff>123120</xdr:rowOff>
    </xdr:from>
    <xdr:to>
      <xdr:col>2</xdr:col>
      <xdr:colOff>705240</xdr:colOff>
      <xdr:row>164</xdr:row>
      <xdr:rowOff>14040</xdr:rowOff>
    </xdr:to>
    <xdr:pic>
      <xdr:nvPicPr>
        <xdr:cNvPr id="511" name="Gráfico 35" descr="Sirene"/>
        <xdr:cNvPicPr/>
      </xdr:nvPicPr>
      <xdr:blipFill>
        <a:blip r:embed="rId36"/>
        <a:stretch/>
      </xdr:blipFill>
      <xdr:spPr>
        <a:xfrm>
          <a:off x="562680" y="3292704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182</xdr:row>
      <xdr:rowOff>107640</xdr:rowOff>
    </xdr:from>
    <xdr:to>
      <xdr:col>2</xdr:col>
      <xdr:colOff>705240</xdr:colOff>
      <xdr:row>183</xdr:row>
      <xdr:rowOff>2880</xdr:rowOff>
    </xdr:to>
    <xdr:pic>
      <xdr:nvPicPr>
        <xdr:cNvPr id="512" name="Gráfico 36" descr="Sirene"/>
        <xdr:cNvPicPr/>
      </xdr:nvPicPr>
      <xdr:blipFill>
        <a:blip r:embed="rId37"/>
        <a:stretch/>
      </xdr:blipFill>
      <xdr:spPr>
        <a:xfrm>
          <a:off x="562680" y="36959760"/>
          <a:ext cx="404640" cy="39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201</xdr:row>
      <xdr:rowOff>125640</xdr:rowOff>
    </xdr:from>
    <xdr:to>
      <xdr:col>2</xdr:col>
      <xdr:colOff>705240</xdr:colOff>
      <xdr:row>202</xdr:row>
      <xdr:rowOff>16560</xdr:rowOff>
    </xdr:to>
    <xdr:pic>
      <xdr:nvPicPr>
        <xdr:cNvPr id="513" name="Gráfico 37" descr="Sirene"/>
        <xdr:cNvPicPr/>
      </xdr:nvPicPr>
      <xdr:blipFill>
        <a:blip r:embed="rId38"/>
        <a:stretch/>
      </xdr:blipFill>
      <xdr:spPr>
        <a:xfrm>
          <a:off x="562680" y="4102596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190440</xdr:colOff>
      <xdr:row>1</xdr:row>
      <xdr:rowOff>141120</xdr:rowOff>
    </xdr:from>
    <xdr:to>
      <xdr:col>32</xdr:col>
      <xdr:colOff>138960</xdr:colOff>
      <xdr:row>3</xdr:row>
      <xdr:rowOff>54360</xdr:rowOff>
    </xdr:to>
    <xdr:pic>
      <xdr:nvPicPr>
        <xdr:cNvPr id="514" name="Gráfico 38" descr="Virar calendário">
          <a:hlinkClick r:id="rId39"/>
        </xdr:cNvPr>
        <xdr:cNvPicPr/>
      </xdr:nvPicPr>
      <xdr:blipFill>
        <a:blip r:embed="rId40"/>
        <a:stretch/>
      </xdr:blipFill>
      <xdr:spPr>
        <a:xfrm>
          <a:off x="13463640" y="141120"/>
          <a:ext cx="341640" cy="341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26</xdr:col>
      <xdr:colOff>324720</xdr:colOff>
      <xdr:row>2</xdr:row>
      <xdr:rowOff>174600</xdr:rowOff>
    </xdr:from>
    <xdr:to>
      <xdr:col>28</xdr:col>
      <xdr:colOff>22320</xdr:colOff>
      <xdr:row>2</xdr:row>
      <xdr:rowOff>174600</xdr:rowOff>
    </xdr:to>
    <xdr:sp>
      <xdr:nvSpPr>
        <xdr:cNvPr id="515" name="Conector reto 39"/>
        <xdr:cNvSpPr/>
      </xdr:nvSpPr>
      <xdr:spPr>
        <a:xfrm>
          <a:off x="11632680" y="374400"/>
          <a:ext cx="48384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29</xdr:col>
      <xdr:colOff>331560</xdr:colOff>
      <xdr:row>2</xdr:row>
      <xdr:rowOff>174600</xdr:rowOff>
    </xdr:from>
    <xdr:to>
      <xdr:col>31</xdr:col>
      <xdr:colOff>28800</xdr:colOff>
      <xdr:row>2</xdr:row>
      <xdr:rowOff>174600</xdr:rowOff>
    </xdr:to>
    <xdr:sp>
      <xdr:nvSpPr>
        <xdr:cNvPr id="516" name="Conector reto 40"/>
        <xdr:cNvSpPr/>
      </xdr:nvSpPr>
      <xdr:spPr>
        <a:xfrm>
          <a:off x="12818520" y="374400"/>
          <a:ext cx="48348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142200</xdr:colOff>
      <xdr:row>8</xdr:row>
      <xdr:rowOff>121680</xdr:rowOff>
    </xdr:from>
    <xdr:to>
      <xdr:col>2</xdr:col>
      <xdr:colOff>129960</xdr:colOff>
      <xdr:row>9</xdr:row>
      <xdr:rowOff>215280</xdr:rowOff>
    </xdr:to>
    <xdr:pic>
      <xdr:nvPicPr>
        <xdr:cNvPr id="517" name="Gráfico 42" descr="Ajudar">
          <a:hlinkClick r:id="rId41"/>
        </xdr:cNvPr>
        <xdr:cNvPicPr/>
      </xdr:nvPicPr>
      <xdr:blipFill>
        <a:blip r:embed="rId42"/>
        <a:stretch/>
      </xdr:blipFill>
      <xdr:spPr>
        <a:xfrm>
          <a:off x="142200" y="140724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185760</xdr:colOff>
      <xdr:row>2</xdr:row>
      <xdr:rowOff>145800</xdr:rowOff>
    </xdr:from>
    <xdr:to>
      <xdr:col>35</xdr:col>
      <xdr:colOff>614880</xdr:colOff>
      <xdr:row>4</xdr:row>
      <xdr:rowOff>112680</xdr:rowOff>
    </xdr:to>
    <xdr:pic>
      <xdr:nvPicPr>
        <xdr:cNvPr id="518" name="Gráfico 43" descr="Seta Reta">
          <a:hlinkClick r:id="rId43"/>
        </xdr:cNvPr>
        <xdr:cNvPicPr/>
      </xdr:nvPicPr>
      <xdr:blipFill>
        <a:blip r:embed="rId44"/>
        <a:stretch/>
      </xdr:blipFill>
      <xdr:spPr>
        <a:xfrm rot="10800000">
          <a:off x="15031080" y="345240"/>
          <a:ext cx="42912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156960</xdr:colOff>
      <xdr:row>1</xdr:row>
      <xdr:rowOff>67320</xdr:rowOff>
    </xdr:from>
    <xdr:to>
      <xdr:col>35</xdr:col>
      <xdr:colOff>583200</xdr:colOff>
      <xdr:row>3</xdr:row>
      <xdr:rowOff>63000</xdr:rowOff>
    </xdr:to>
    <xdr:pic>
      <xdr:nvPicPr>
        <xdr:cNvPr id="519" name="Gráfico 44" descr="Seta Reta">
          <a:hlinkClick r:id="rId45"/>
        </xdr:cNvPr>
        <xdr:cNvPicPr/>
      </xdr:nvPicPr>
      <xdr:blipFill>
        <a:blip r:embed="rId46"/>
        <a:stretch/>
      </xdr:blipFill>
      <xdr:spPr>
        <a:xfrm>
          <a:off x="15002280" y="67320"/>
          <a:ext cx="42624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35</xdr:col>
      <xdr:colOff>0</xdr:colOff>
      <xdr:row>5</xdr:row>
      <xdr:rowOff>0</xdr:rowOff>
    </xdr:from>
    <xdr:to>
      <xdr:col>35</xdr:col>
      <xdr:colOff>548640</xdr:colOff>
      <xdr:row>6</xdr:row>
      <xdr:rowOff>10800</xdr:rowOff>
    </xdr:to>
    <xdr:sp>
      <xdr:nvSpPr>
        <xdr:cNvPr id="520" name="Balão de Fala: Retângulo com Cantos Arredondados 45"/>
        <xdr:cNvSpPr/>
      </xdr:nvSpPr>
      <xdr:spPr>
        <a:xfrm>
          <a:off x="14845320" y="799920"/>
          <a:ext cx="548640" cy="182160"/>
        </a:xfrm>
        <a:prstGeom prst="wedgeRoundRectCallout">
          <a:avLst>
            <a:gd name="adj1" fmla="val -18889"/>
            <a:gd name="adj2" fmla="val 13747"/>
            <a:gd name="adj3" fmla="val 16667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28800" bIns="36000" anchor="ctr">
          <a:noAutofit/>
        </a:bodyPr>
        <a:p>
          <a:pPr algn="ctr">
            <a:lnSpc>
              <a:spcPct val="100000"/>
            </a:lnSpc>
          </a:pPr>
          <a:r>
            <a:rPr b="0" lang="en-GB" sz="900" spc="-1" strike="noStrike">
              <a:solidFill>
                <a:srgbClr val="ffffff"/>
              </a:solidFill>
              <a:latin typeface="Calibri"/>
            </a:rPr>
            <a:t>DIAS</a:t>
          </a:r>
          <a:endParaRPr b="0" lang="pt-BR" sz="900" spc="-1" strike="noStrike">
            <a:latin typeface="Times New Roman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2880</xdr:colOff>
      <xdr:row>54</xdr:row>
      <xdr:rowOff>78480</xdr:rowOff>
    </xdr:from>
    <xdr:to>
      <xdr:col>3</xdr:col>
      <xdr:colOff>99360</xdr:colOff>
      <xdr:row>57</xdr:row>
      <xdr:rowOff>64440</xdr:rowOff>
    </xdr:to>
    <xdr:sp>
      <xdr:nvSpPr>
        <xdr:cNvPr id="521" name="Retângulo: Cantos Arredondados 1"/>
        <xdr:cNvSpPr/>
      </xdr:nvSpPr>
      <xdr:spPr>
        <a:xfrm>
          <a:off x="153720" y="10212840"/>
          <a:ext cx="2274120" cy="78624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8</xdr:row>
      <xdr:rowOff>104760</xdr:rowOff>
    </xdr:from>
    <xdr:to>
      <xdr:col>3</xdr:col>
      <xdr:colOff>77760</xdr:colOff>
      <xdr:row>11</xdr:row>
      <xdr:rowOff>75960</xdr:rowOff>
    </xdr:to>
    <xdr:sp>
      <xdr:nvSpPr>
        <xdr:cNvPr id="522" name="Retângulo: Cantos Arredondados 2"/>
        <xdr:cNvSpPr/>
      </xdr:nvSpPr>
      <xdr:spPr>
        <a:xfrm>
          <a:off x="132480" y="1390320"/>
          <a:ext cx="2273760" cy="79056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JUNTAR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DINHEIRO?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19</xdr:row>
      <xdr:rowOff>104760</xdr:rowOff>
    </xdr:from>
    <xdr:to>
      <xdr:col>3</xdr:col>
      <xdr:colOff>77760</xdr:colOff>
      <xdr:row>22</xdr:row>
      <xdr:rowOff>56880</xdr:rowOff>
    </xdr:to>
    <xdr:sp>
      <xdr:nvSpPr>
        <xdr:cNvPr id="523" name="Retângulo: Cantos Arredondados 3"/>
        <xdr:cNvSpPr/>
      </xdr:nvSpPr>
      <xdr:spPr>
        <a:xfrm>
          <a:off x="132480" y="3438360"/>
          <a:ext cx="2273760" cy="75204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GUARDAR E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INVESTIR?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282240</xdr:colOff>
      <xdr:row>20</xdr:row>
      <xdr:rowOff>118080</xdr:rowOff>
    </xdr:from>
    <xdr:to>
      <xdr:col>2</xdr:col>
      <xdr:colOff>681480</xdr:colOff>
      <xdr:row>21</xdr:row>
      <xdr:rowOff>8640</xdr:rowOff>
    </xdr:to>
    <xdr:pic>
      <xdr:nvPicPr>
        <xdr:cNvPr id="524" name="Gráfico 4" descr="Cofrinho"/>
        <xdr:cNvPicPr/>
      </xdr:nvPicPr>
      <xdr:blipFill>
        <a:blip r:embed="rId1"/>
        <a:stretch/>
      </xdr:blipFill>
      <xdr:spPr>
        <a:xfrm>
          <a:off x="544320" y="3603960"/>
          <a:ext cx="39924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284040</xdr:colOff>
      <xdr:row>9</xdr:row>
      <xdr:rowOff>151200</xdr:rowOff>
    </xdr:from>
    <xdr:to>
      <xdr:col>2</xdr:col>
      <xdr:colOff>680040</xdr:colOff>
      <xdr:row>10</xdr:row>
      <xdr:rowOff>42120</xdr:rowOff>
    </xdr:to>
    <xdr:pic>
      <xdr:nvPicPr>
        <xdr:cNvPr id="525" name="Gráfico 5" descr="Carteira"/>
        <xdr:cNvPicPr/>
      </xdr:nvPicPr>
      <xdr:blipFill>
        <a:blip r:embed="rId2"/>
        <a:stretch/>
      </xdr:blipFill>
      <xdr:spPr>
        <a:xfrm>
          <a:off x="546120" y="1589400"/>
          <a:ext cx="39600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0</xdr:col>
      <xdr:colOff>145800</xdr:colOff>
      <xdr:row>31</xdr:row>
      <xdr:rowOff>89640</xdr:rowOff>
    </xdr:from>
    <xdr:to>
      <xdr:col>3</xdr:col>
      <xdr:colOff>91440</xdr:colOff>
      <xdr:row>34</xdr:row>
      <xdr:rowOff>78480</xdr:rowOff>
    </xdr:to>
    <xdr:sp>
      <xdr:nvSpPr>
        <xdr:cNvPr id="526" name="Retângulo: Cantos Arredondados 6"/>
        <xdr:cNvSpPr/>
      </xdr:nvSpPr>
      <xdr:spPr>
        <a:xfrm>
          <a:off x="145800" y="5452200"/>
          <a:ext cx="2274120" cy="7887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315360</xdr:colOff>
      <xdr:row>32</xdr:row>
      <xdr:rowOff>144360</xdr:rowOff>
    </xdr:from>
    <xdr:to>
      <xdr:col>2</xdr:col>
      <xdr:colOff>709560</xdr:colOff>
      <xdr:row>33</xdr:row>
      <xdr:rowOff>35280</xdr:rowOff>
    </xdr:to>
    <xdr:pic>
      <xdr:nvPicPr>
        <xdr:cNvPr id="527" name="Gráfico 7" descr="Eletricista"/>
        <xdr:cNvPicPr/>
      </xdr:nvPicPr>
      <xdr:blipFill>
        <a:blip r:embed="rId3"/>
        <a:stretch/>
      </xdr:blipFill>
      <xdr:spPr>
        <a:xfrm>
          <a:off x="577440" y="5659200"/>
          <a:ext cx="39420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311760</xdr:colOff>
      <xdr:row>55</xdr:row>
      <xdr:rowOff>132120</xdr:rowOff>
    </xdr:from>
    <xdr:to>
      <xdr:col>2</xdr:col>
      <xdr:colOff>713160</xdr:colOff>
      <xdr:row>56</xdr:row>
      <xdr:rowOff>23040</xdr:rowOff>
    </xdr:to>
    <xdr:pic>
      <xdr:nvPicPr>
        <xdr:cNvPr id="528" name="Gráfico 8" descr="Artista"/>
        <xdr:cNvPicPr/>
      </xdr:nvPicPr>
      <xdr:blipFill>
        <a:blip r:embed="rId4"/>
        <a:stretch/>
      </xdr:blipFill>
      <xdr:spPr>
        <a:xfrm>
          <a:off x="573840" y="10419120"/>
          <a:ext cx="401400" cy="395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76</xdr:row>
      <xdr:rowOff>104760</xdr:rowOff>
    </xdr:from>
    <xdr:to>
      <xdr:col>3</xdr:col>
      <xdr:colOff>95040</xdr:colOff>
      <xdr:row>79</xdr:row>
      <xdr:rowOff>75960</xdr:rowOff>
    </xdr:to>
    <xdr:sp>
      <xdr:nvSpPr>
        <xdr:cNvPr id="529" name="Retângulo: Cantos Arredondados 9"/>
        <xdr:cNvSpPr/>
      </xdr:nvSpPr>
      <xdr:spPr>
        <a:xfrm>
          <a:off x="150840" y="1478268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28</xdr:col>
      <xdr:colOff>211680</xdr:colOff>
      <xdr:row>1</xdr:row>
      <xdr:rowOff>166320</xdr:rowOff>
    </xdr:from>
    <xdr:to>
      <xdr:col>29</xdr:col>
      <xdr:colOff>128880</xdr:colOff>
      <xdr:row>3</xdr:row>
      <xdr:rowOff>47520</xdr:rowOff>
    </xdr:to>
    <xdr:pic>
      <xdr:nvPicPr>
        <xdr:cNvPr id="530" name="Gráfico 10" descr="Impressão digital">
          <a:hlinkClick r:id="rId5"/>
        </xdr:cNvPr>
        <xdr:cNvPicPr/>
      </xdr:nvPicPr>
      <xdr:blipFill>
        <a:blip r:embed="rId6"/>
        <a:stretch/>
      </xdr:blipFill>
      <xdr:spPr>
        <a:xfrm>
          <a:off x="12305880" y="166320"/>
          <a:ext cx="309960" cy="30960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25</xdr:col>
      <xdr:colOff>188640</xdr:colOff>
      <xdr:row>1</xdr:row>
      <xdr:rowOff>129960</xdr:rowOff>
    </xdr:from>
    <xdr:to>
      <xdr:col>26</xdr:col>
      <xdr:colOff>164160</xdr:colOff>
      <xdr:row>3</xdr:row>
      <xdr:rowOff>65880</xdr:rowOff>
    </xdr:to>
    <xdr:pic>
      <xdr:nvPicPr>
        <xdr:cNvPr id="531" name="Gráfico 11" descr="Trancar">
          <a:hlinkClick r:id="rId7"/>
        </xdr:cNvPr>
        <xdr:cNvPicPr/>
      </xdr:nvPicPr>
      <xdr:blipFill>
        <a:blip r:embed="rId8"/>
        <a:stretch/>
      </xdr:blipFill>
      <xdr:spPr>
        <a:xfrm>
          <a:off x="11103480" y="129960"/>
          <a:ext cx="368640" cy="36432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</xdr:colOff>
      <xdr:row>19</xdr:row>
      <xdr:rowOff>126360</xdr:rowOff>
    </xdr:from>
    <xdr:to>
      <xdr:col>2</xdr:col>
      <xdr:colOff>139680</xdr:colOff>
      <xdr:row>20</xdr:row>
      <xdr:rowOff>220320</xdr:rowOff>
    </xdr:to>
    <xdr:pic>
      <xdr:nvPicPr>
        <xdr:cNvPr id="532" name="Gráfico 12" descr="Ajudar">
          <a:hlinkClick r:id="rId9"/>
        </xdr:cNvPr>
        <xdr:cNvPicPr/>
      </xdr:nvPicPr>
      <xdr:blipFill>
        <a:blip r:embed="rId10"/>
        <a:stretch/>
      </xdr:blipFill>
      <xdr:spPr>
        <a:xfrm>
          <a:off x="151920" y="345996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15120</xdr:colOff>
      <xdr:row>31</xdr:row>
      <xdr:rowOff>114480</xdr:rowOff>
    </xdr:from>
    <xdr:to>
      <xdr:col>2</xdr:col>
      <xdr:colOff>150120</xdr:colOff>
      <xdr:row>32</xdr:row>
      <xdr:rowOff>208440</xdr:rowOff>
    </xdr:to>
    <xdr:pic>
      <xdr:nvPicPr>
        <xdr:cNvPr id="533" name="Gráfico 13" descr="Ajudar">
          <a:hlinkClick r:id="rId11"/>
        </xdr:cNvPr>
        <xdr:cNvPicPr/>
      </xdr:nvPicPr>
      <xdr:blipFill>
        <a:blip r:embed="rId12"/>
        <a:stretch/>
      </xdr:blipFill>
      <xdr:spPr>
        <a:xfrm>
          <a:off x="165960" y="54770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10800</xdr:colOff>
      <xdr:row>54</xdr:row>
      <xdr:rowOff>98640</xdr:rowOff>
    </xdr:from>
    <xdr:to>
      <xdr:col>2</xdr:col>
      <xdr:colOff>145800</xdr:colOff>
      <xdr:row>55</xdr:row>
      <xdr:rowOff>192240</xdr:rowOff>
    </xdr:to>
    <xdr:pic>
      <xdr:nvPicPr>
        <xdr:cNvPr id="534" name="Gráfico 14" descr="Ajudar">
          <a:hlinkClick r:id="rId13"/>
        </xdr:cNvPr>
        <xdr:cNvPicPr/>
      </xdr:nvPicPr>
      <xdr:blipFill>
        <a:blip r:embed="rId14"/>
        <a:stretch/>
      </xdr:blipFill>
      <xdr:spPr>
        <a:xfrm>
          <a:off x="161640" y="102330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6120</xdr:colOff>
      <xdr:row>76</xdr:row>
      <xdr:rowOff>127800</xdr:rowOff>
    </xdr:from>
    <xdr:to>
      <xdr:col>2</xdr:col>
      <xdr:colOff>141120</xdr:colOff>
      <xdr:row>77</xdr:row>
      <xdr:rowOff>221760</xdr:rowOff>
    </xdr:to>
    <xdr:pic>
      <xdr:nvPicPr>
        <xdr:cNvPr id="535" name="Gráfico 15" descr="Ajudar">
          <a:hlinkClick r:id="rId15"/>
        </xdr:cNvPr>
        <xdr:cNvPicPr/>
      </xdr:nvPicPr>
      <xdr:blipFill>
        <a:blip r:embed="rId16"/>
        <a:stretch/>
      </xdr:blipFill>
      <xdr:spPr>
        <a:xfrm>
          <a:off x="156960" y="1480572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90</xdr:row>
      <xdr:rowOff>104760</xdr:rowOff>
    </xdr:from>
    <xdr:to>
      <xdr:col>3</xdr:col>
      <xdr:colOff>95040</xdr:colOff>
      <xdr:row>93</xdr:row>
      <xdr:rowOff>75960</xdr:rowOff>
    </xdr:to>
    <xdr:sp>
      <xdr:nvSpPr>
        <xdr:cNvPr id="536" name="Retângulo: Cantos Arredondados 16"/>
        <xdr:cNvSpPr/>
      </xdr:nvSpPr>
      <xdr:spPr>
        <a:xfrm>
          <a:off x="150840" y="1757340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90</xdr:row>
      <xdr:rowOff>127800</xdr:rowOff>
    </xdr:from>
    <xdr:to>
      <xdr:col>2</xdr:col>
      <xdr:colOff>141120</xdr:colOff>
      <xdr:row>91</xdr:row>
      <xdr:rowOff>221760</xdr:rowOff>
    </xdr:to>
    <xdr:pic>
      <xdr:nvPicPr>
        <xdr:cNvPr id="537" name="Gráfico 17" descr="Ajudar">
          <a:hlinkClick r:id="rId17"/>
        </xdr:cNvPr>
        <xdr:cNvPicPr/>
      </xdr:nvPicPr>
      <xdr:blipFill>
        <a:blip r:embed="rId18"/>
        <a:stretch/>
      </xdr:blipFill>
      <xdr:spPr>
        <a:xfrm>
          <a:off x="156960" y="17596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107</xdr:row>
      <xdr:rowOff>104760</xdr:rowOff>
    </xdr:from>
    <xdr:to>
      <xdr:col>3</xdr:col>
      <xdr:colOff>95040</xdr:colOff>
      <xdr:row>110</xdr:row>
      <xdr:rowOff>75960</xdr:rowOff>
    </xdr:to>
    <xdr:sp>
      <xdr:nvSpPr>
        <xdr:cNvPr id="538" name="Retângulo: Cantos Arredondados 18"/>
        <xdr:cNvSpPr/>
      </xdr:nvSpPr>
      <xdr:spPr>
        <a:xfrm>
          <a:off x="150840" y="2110716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107</xdr:row>
      <xdr:rowOff>127800</xdr:rowOff>
    </xdr:from>
    <xdr:to>
      <xdr:col>2</xdr:col>
      <xdr:colOff>141120</xdr:colOff>
      <xdr:row>108</xdr:row>
      <xdr:rowOff>221760</xdr:rowOff>
    </xdr:to>
    <xdr:pic>
      <xdr:nvPicPr>
        <xdr:cNvPr id="539" name="Gráfico 19" descr="Ajudar">
          <a:hlinkClick r:id="rId19"/>
        </xdr:cNvPr>
        <xdr:cNvPicPr/>
      </xdr:nvPicPr>
      <xdr:blipFill>
        <a:blip r:embed="rId20"/>
        <a:stretch/>
      </xdr:blipFill>
      <xdr:spPr>
        <a:xfrm>
          <a:off x="156960" y="211302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126</xdr:row>
      <xdr:rowOff>104760</xdr:rowOff>
    </xdr:from>
    <xdr:to>
      <xdr:col>3</xdr:col>
      <xdr:colOff>95040</xdr:colOff>
      <xdr:row>129</xdr:row>
      <xdr:rowOff>75960</xdr:rowOff>
    </xdr:to>
    <xdr:sp>
      <xdr:nvSpPr>
        <xdr:cNvPr id="540" name="Retângulo: Cantos Arredondados 20"/>
        <xdr:cNvSpPr/>
      </xdr:nvSpPr>
      <xdr:spPr>
        <a:xfrm>
          <a:off x="150840" y="251553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126</xdr:row>
      <xdr:rowOff>127800</xdr:rowOff>
    </xdr:from>
    <xdr:to>
      <xdr:col>2</xdr:col>
      <xdr:colOff>141120</xdr:colOff>
      <xdr:row>127</xdr:row>
      <xdr:rowOff>221760</xdr:rowOff>
    </xdr:to>
    <xdr:pic>
      <xdr:nvPicPr>
        <xdr:cNvPr id="541" name="Gráfico 21" descr="Ajudar">
          <a:hlinkClick r:id="rId21"/>
        </xdr:cNvPr>
        <xdr:cNvPicPr/>
      </xdr:nvPicPr>
      <xdr:blipFill>
        <a:blip r:embed="rId22"/>
        <a:stretch/>
      </xdr:blipFill>
      <xdr:spPr>
        <a:xfrm>
          <a:off x="156960" y="251784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145</xdr:row>
      <xdr:rowOff>104760</xdr:rowOff>
    </xdr:from>
    <xdr:to>
      <xdr:col>3</xdr:col>
      <xdr:colOff>95040</xdr:colOff>
      <xdr:row>148</xdr:row>
      <xdr:rowOff>75960</xdr:rowOff>
    </xdr:to>
    <xdr:sp>
      <xdr:nvSpPr>
        <xdr:cNvPr id="542" name="Retângulo: Cantos Arredondados 22"/>
        <xdr:cNvSpPr/>
      </xdr:nvSpPr>
      <xdr:spPr>
        <a:xfrm>
          <a:off x="150840" y="292035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145</xdr:row>
      <xdr:rowOff>127800</xdr:rowOff>
    </xdr:from>
    <xdr:to>
      <xdr:col>2</xdr:col>
      <xdr:colOff>141120</xdr:colOff>
      <xdr:row>146</xdr:row>
      <xdr:rowOff>221760</xdr:rowOff>
    </xdr:to>
    <xdr:pic>
      <xdr:nvPicPr>
        <xdr:cNvPr id="543" name="Gráfico 23" descr="Ajudar">
          <a:hlinkClick r:id="rId23"/>
        </xdr:cNvPr>
        <xdr:cNvPicPr/>
      </xdr:nvPicPr>
      <xdr:blipFill>
        <a:blip r:embed="rId24"/>
        <a:stretch/>
      </xdr:blipFill>
      <xdr:spPr>
        <a:xfrm>
          <a:off x="156960" y="292266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162</xdr:row>
      <xdr:rowOff>104760</xdr:rowOff>
    </xdr:from>
    <xdr:to>
      <xdr:col>3</xdr:col>
      <xdr:colOff>95040</xdr:colOff>
      <xdr:row>165</xdr:row>
      <xdr:rowOff>75960</xdr:rowOff>
    </xdr:to>
    <xdr:sp>
      <xdr:nvSpPr>
        <xdr:cNvPr id="544" name="Retângulo: Cantos Arredondados 24"/>
        <xdr:cNvSpPr/>
      </xdr:nvSpPr>
      <xdr:spPr>
        <a:xfrm>
          <a:off x="150840" y="3275640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162</xdr:row>
      <xdr:rowOff>127800</xdr:rowOff>
    </xdr:from>
    <xdr:to>
      <xdr:col>2</xdr:col>
      <xdr:colOff>141120</xdr:colOff>
      <xdr:row>163</xdr:row>
      <xdr:rowOff>221760</xdr:rowOff>
    </xdr:to>
    <xdr:pic>
      <xdr:nvPicPr>
        <xdr:cNvPr id="545" name="Gráfico 25" descr="Ajudar">
          <a:hlinkClick r:id="rId25"/>
        </xdr:cNvPr>
        <xdr:cNvPicPr/>
      </xdr:nvPicPr>
      <xdr:blipFill>
        <a:blip r:embed="rId26"/>
        <a:stretch/>
      </xdr:blipFill>
      <xdr:spPr>
        <a:xfrm>
          <a:off x="156960" y="32779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181</xdr:row>
      <xdr:rowOff>104760</xdr:rowOff>
    </xdr:from>
    <xdr:to>
      <xdr:col>3</xdr:col>
      <xdr:colOff>95040</xdr:colOff>
      <xdr:row>184</xdr:row>
      <xdr:rowOff>75960</xdr:rowOff>
    </xdr:to>
    <xdr:sp>
      <xdr:nvSpPr>
        <xdr:cNvPr id="546" name="Retângulo: Cantos Arredondados 26"/>
        <xdr:cNvSpPr/>
      </xdr:nvSpPr>
      <xdr:spPr>
        <a:xfrm>
          <a:off x="150840" y="368042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181</xdr:row>
      <xdr:rowOff>127800</xdr:rowOff>
    </xdr:from>
    <xdr:to>
      <xdr:col>2</xdr:col>
      <xdr:colOff>141120</xdr:colOff>
      <xdr:row>182</xdr:row>
      <xdr:rowOff>221400</xdr:rowOff>
    </xdr:to>
    <xdr:pic>
      <xdr:nvPicPr>
        <xdr:cNvPr id="547" name="Gráfico 27" descr="Ajudar">
          <a:hlinkClick r:id="rId27"/>
        </xdr:cNvPr>
        <xdr:cNvPicPr/>
      </xdr:nvPicPr>
      <xdr:blipFill>
        <a:blip r:embed="rId28"/>
        <a:stretch/>
      </xdr:blipFill>
      <xdr:spPr>
        <a:xfrm>
          <a:off x="156960" y="368272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200</xdr:row>
      <xdr:rowOff>104760</xdr:rowOff>
    </xdr:from>
    <xdr:to>
      <xdr:col>3</xdr:col>
      <xdr:colOff>95040</xdr:colOff>
      <xdr:row>203</xdr:row>
      <xdr:rowOff>75960</xdr:rowOff>
    </xdr:to>
    <xdr:sp>
      <xdr:nvSpPr>
        <xdr:cNvPr id="548" name="Retângulo: Cantos Arredondados 28"/>
        <xdr:cNvSpPr/>
      </xdr:nvSpPr>
      <xdr:spPr>
        <a:xfrm>
          <a:off x="150840" y="408524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 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200</xdr:row>
      <xdr:rowOff>127800</xdr:rowOff>
    </xdr:from>
    <xdr:to>
      <xdr:col>2</xdr:col>
      <xdr:colOff>141120</xdr:colOff>
      <xdr:row>201</xdr:row>
      <xdr:rowOff>221400</xdr:rowOff>
    </xdr:to>
    <xdr:pic>
      <xdr:nvPicPr>
        <xdr:cNvPr id="549" name="Gráfico 29" descr="Ajudar">
          <a:hlinkClick r:id="rId29"/>
        </xdr:cNvPr>
        <xdr:cNvPicPr/>
      </xdr:nvPicPr>
      <xdr:blipFill>
        <a:blip r:embed="rId30"/>
        <a:stretch/>
      </xdr:blipFill>
      <xdr:spPr>
        <a:xfrm>
          <a:off x="156960" y="408754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319680</xdr:colOff>
      <xdr:row>77</xdr:row>
      <xdr:rowOff>126720</xdr:rowOff>
    </xdr:from>
    <xdr:to>
      <xdr:col>2</xdr:col>
      <xdr:colOff>711360</xdr:colOff>
      <xdr:row>78</xdr:row>
      <xdr:rowOff>17640</xdr:rowOff>
    </xdr:to>
    <xdr:pic>
      <xdr:nvPicPr>
        <xdr:cNvPr id="550" name="Gráfico 30" descr="Dinheiro"/>
        <xdr:cNvPicPr/>
      </xdr:nvPicPr>
      <xdr:blipFill>
        <a:blip r:embed="rId31"/>
        <a:stretch/>
      </xdr:blipFill>
      <xdr:spPr>
        <a:xfrm flipH="1">
          <a:off x="581760" y="14956920"/>
          <a:ext cx="391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319680</xdr:colOff>
      <xdr:row>91</xdr:row>
      <xdr:rowOff>115920</xdr:rowOff>
    </xdr:from>
    <xdr:to>
      <xdr:col>2</xdr:col>
      <xdr:colOff>720360</xdr:colOff>
      <xdr:row>92</xdr:row>
      <xdr:rowOff>6480</xdr:rowOff>
    </xdr:to>
    <xdr:pic>
      <xdr:nvPicPr>
        <xdr:cNvPr id="551" name="Gráfico 31" descr="Dinheiro"/>
        <xdr:cNvPicPr/>
      </xdr:nvPicPr>
      <xdr:blipFill>
        <a:blip r:embed="rId32"/>
        <a:stretch/>
      </xdr:blipFill>
      <xdr:spPr>
        <a:xfrm flipH="1">
          <a:off x="581760" y="17736840"/>
          <a:ext cx="400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330840</xdr:colOff>
      <xdr:row>108</xdr:row>
      <xdr:rowOff>134280</xdr:rowOff>
    </xdr:from>
    <xdr:to>
      <xdr:col>2</xdr:col>
      <xdr:colOff>722880</xdr:colOff>
      <xdr:row>109</xdr:row>
      <xdr:rowOff>35640</xdr:rowOff>
    </xdr:to>
    <xdr:pic>
      <xdr:nvPicPr>
        <xdr:cNvPr id="552" name="Gráfico 32" descr="Moedas"/>
        <xdr:cNvPicPr/>
      </xdr:nvPicPr>
      <xdr:blipFill>
        <a:blip r:embed="rId33"/>
        <a:stretch/>
      </xdr:blipFill>
      <xdr:spPr>
        <a:xfrm flipH="1">
          <a:off x="592920" y="212889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285840</xdr:colOff>
      <xdr:row>127</xdr:row>
      <xdr:rowOff>149760</xdr:rowOff>
    </xdr:from>
    <xdr:to>
      <xdr:col>2</xdr:col>
      <xdr:colOff>677880</xdr:colOff>
      <xdr:row>128</xdr:row>
      <xdr:rowOff>51120</xdr:rowOff>
    </xdr:to>
    <xdr:pic>
      <xdr:nvPicPr>
        <xdr:cNvPr id="553" name="Gráfico 33" descr="Moedas"/>
        <xdr:cNvPicPr/>
      </xdr:nvPicPr>
      <xdr:blipFill>
        <a:blip r:embed="rId34"/>
        <a:stretch/>
      </xdr:blipFill>
      <xdr:spPr>
        <a:xfrm flipH="1">
          <a:off x="547920" y="2535264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288720</xdr:colOff>
      <xdr:row>146</xdr:row>
      <xdr:rowOff>152280</xdr:rowOff>
    </xdr:from>
    <xdr:to>
      <xdr:col>2</xdr:col>
      <xdr:colOff>680760</xdr:colOff>
      <xdr:row>147</xdr:row>
      <xdr:rowOff>54000</xdr:rowOff>
    </xdr:to>
    <xdr:pic>
      <xdr:nvPicPr>
        <xdr:cNvPr id="554" name="Gráfico 34" descr="Moedas"/>
        <xdr:cNvPicPr/>
      </xdr:nvPicPr>
      <xdr:blipFill>
        <a:blip r:embed="rId35"/>
        <a:stretch/>
      </xdr:blipFill>
      <xdr:spPr>
        <a:xfrm flipH="1">
          <a:off x="550800" y="294033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163</xdr:row>
      <xdr:rowOff>123120</xdr:rowOff>
    </xdr:from>
    <xdr:to>
      <xdr:col>2</xdr:col>
      <xdr:colOff>705240</xdr:colOff>
      <xdr:row>164</xdr:row>
      <xdr:rowOff>14040</xdr:rowOff>
    </xdr:to>
    <xdr:pic>
      <xdr:nvPicPr>
        <xdr:cNvPr id="555" name="Gráfico 35" descr="Sirene"/>
        <xdr:cNvPicPr/>
      </xdr:nvPicPr>
      <xdr:blipFill>
        <a:blip r:embed="rId36"/>
        <a:stretch/>
      </xdr:blipFill>
      <xdr:spPr>
        <a:xfrm>
          <a:off x="562680" y="3292704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182</xdr:row>
      <xdr:rowOff>107640</xdr:rowOff>
    </xdr:from>
    <xdr:to>
      <xdr:col>2</xdr:col>
      <xdr:colOff>705240</xdr:colOff>
      <xdr:row>183</xdr:row>
      <xdr:rowOff>2880</xdr:rowOff>
    </xdr:to>
    <xdr:pic>
      <xdr:nvPicPr>
        <xdr:cNvPr id="556" name="Gráfico 36" descr="Sirene"/>
        <xdr:cNvPicPr/>
      </xdr:nvPicPr>
      <xdr:blipFill>
        <a:blip r:embed="rId37"/>
        <a:stretch/>
      </xdr:blipFill>
      <xdr:spPr>
        <a:xfrm>
          <a:off x="562680" y="36959760"/>
          <a:ext cx="404640" cy="39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201</xdr:row>
      <xdr:rowOff>125640</xdr:rowOff>
    </xdr:from>
    <xdr:to>
      <xdr:col>2</xdr:col>
      <xdr:colOff>705240</xdr:colOff>
      <xdr:row>202</xdr:row>
      <xdr:rowOff>16560</xdr:rowOff>
    </xdr:to>
    <xdr:pic>
      <xdr:nvPicPr>
        <xdr:cNvPr id="557" name="Gráfico 37" descr="Sirene"/>
        <xdr:cNvPicPr/>
      </xdr:nvPicPr>
      <xdr:blipFill>
        <a:blip r:embed="rId38"/>
        <a:stretch/>
      </xdr:blipFill>
      <xdr:spPr>
        <a:xfrm>
          <a:off x="562680" y="4102596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190440</xdr:colOff>
      <xdr:row>1</xdr:row>
      <xdr:rowOff>141120</xdr:rowOff>
    </xdr:from>
    <xdr:to>
      <xdr:col>32</xdr:col>
      <xdr:colOff>138960</xdr:colOff>
      <xdr:row>3</xdr:row>
      <xdr:rowOff>54360</xdr:rowOff>
    </xdr:to>
    <xdr:pic>
      <xdr:nvPicPr>
        <xdr:cNvPr id="558" name="Gráfico 38" descr="Virar calendário">
          <a:hlinkClick r:id="rId39"/>
        </xdr:cNvPr>
        <xdr:cNvPicPr/>
      </xdr:nvPicPr>
      <xdr:blipFill>
        <a:blip r:embed="rId40"/>
        <a:stretch/>
      </xdr:blipFill>
      <xdr:spPr>
        <a:xfrm>
          <a:off x="13463640" y="141120"/>
          <a:ext cx="341640" cy="341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26</xdr:col>
      <xdr:colOff>324720</xdr:colOff>
      <xdr:row>2</xdr:row>
      <xdr:rowOff>174600</xdr:rowOff>
    </xdr:from>
    <xdr:to>
      <xdr:col>28</xdr:col>
      <xdr:colOff>22320</xdr:colOff>
      <xdr:row>2</xdr:row>
      <xdr:rowOff>174600</xdr:rowOff>
    </xdr:to>
    <xdr:sp>
      <xdr:nvSpPr>
        <xdr:cNvPr id="559" name="Conector reto 39"/>
        <xdr:cNvSpPr/>
      </xdr:nvSpPr>
      <xdr:spPr>
        <a:xfrm>
          <a:off x="11632680" y="374400"/>
          <a:ext cx="48384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29</xdr:col>
      <xdr:colOff>331560</xdr:colOff>
      <xdr:row>2</xdr:row>
      <xdr:rowOff>174600</xdr:rowOff>
    </xdr:from>
    <xdr:to>
      <xdr:col>31</xdr:col>
      <xdr:colOff>28800</xdr:colOff>
      <xdr:row>2</xdr:row>
      <xdr:rowOff>174600</xdr:rowOff>
    </xdr:to>
    <xdr:sp>
      <xdr:nvSpPr>
        <xdr:cNvPr id="560" name="Conector reto 40"/>
        <xdr:cNvSpPr/>
      </xdr:nvSpPr>
      <xdr:spPr>
        <a:xfrm>
          <a:off x="12818520" y="374400"/>
          <a:ext cx="48348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142200</xdr:colOff>
      <xdr:row>8</xdr:row>
      <xdr:rowOff>121680</xdr:rowOff>
    </xdr:from>
    <xdr:to>
      <xdr:col>2</xdr:col>
      <xdr:colOff>129960</xdr:colOff>
      <xdr:row>9</xdr:row>
      <xdr:rowOff>215280</xdr:rowOff>
    </xdr:to>
    <xdr:pic>
      <xdr:nvPicPr>
        <xdr:cNvPr id="561" name="Gráfico 42" descr="Ajudar">
          <a:hlinkClick r:id="rId41"/>
        </xdr:cNvPr>
        <xdr:cNvPicPr/>
      </xdr:nvPicPr>
      <xdr:blipFill>
        <a:blip r:embed="rId42"/>
        <a:stretch/>
      </xdr:blipFill>
      <xdr:spPr>
        <a:xfrm>
          <a:off x="142200" y="140724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185760</xdr:colOff>
      <xdr:row>2</xdr:row>
      <xdr:rowOff>145800</xdr:rowOff>
    </xdr:from>
    <xdr:to>
      <xdr:col>35</xdr:col>
      <xdr:colOff>614880</xdr:colOff>
      <xdr:row>4</xdr:row>
      <xdr:rowOff>112680</xdr:rowOff>
    </xdr:to>
    <xdr:pic>
      <xdr:nvPicPr>
        <xdr:cNvPr id="562" name="Gráfico 43" descr="Seta Reta">
          <a:hlinkClick r:id="rId43"/>
        </xdr:cNvPr>
        <xdr:cNvPicPr/>
      </xdr:nvPicPr>
      <xdr:blipFill>
        <a:blip r:embed="rId44"/>
        <a:stretch/>
      </xdr:blipFill>
      <xdr:spPr>
        <a:xfrm rot="10800000">
          <a:off x="14638320" y="345240"/>
          <a:ext cx="42912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156960</xdr:colOff>
      <xdr:row>1</xdr:row>
      <xdr:rowOff>67320</xdr:rowOff>
    </xdr:from>
    <xdr:to>
      <xdr:col>35</xdr:col>
      <xdr:colOff>583200</xdr:colOff>
      <xdr:row>3</xdr:row>
      <xdr:rowOff>63000</xdr:rowOff>
    </xdr:to>
    <xdr:pic>
      <xdr:nvPicPr>
        <xdr:cNvPr id="563" name="Gráfico 44" descr="Seta Reta">
          <a:hlinkClick r:id="rId45"/>
        </xdr:cNvPr>
        <xdr:cNvPicPr/>
      </xdr:nvPicPr>
      <xdr:blipFill>
        <a:blip r:embed="rId46"/>
        <a:stretch/>
      </xdr:blipFill>
      <xdr:spPr>
        <a:xfrm>
          <a:off x="14609520" y="67320"/>
          <a:ext cx="42624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35</xdr:col>
      <xdr:colOff>0</xdr:colOff>
      <xdr:row>5</xdr:row>
      <xdr:rowOff>0</xdr:rowOff>
    </xdr:from>
    <xdr:to>
      <xdr:col>35</xdr:col>
      <xdr:colOff>548640</xdr:colOff>
      <xdr:row>6</xdr:row>
      <xdr:rowOff>10800</xdr:rowOff>
    </xdr:to>
    <xdr:sp>
      <xdr:nvSpPr>
        <xdr:cNvPr id="564" name="Balão de Fala: Retângulo com Cantos Arredondados 45"/>
        <xdr:cNvSpPr/>
      </xdr:nvSpPr>
      <xdr:spPr>
        <a:xfrm>
          <a:off x="14452560" y="799920"/>
          <a:ext cx="548640" cy="182160"/>
        </a:xfrm>
        <a:prstGeom prst="wedgeRoundRectCallout">
          <a:avLst>
            <a:gd name="adj1" fmla="val -18889"/>
            <a:gd name="adj2" fmla="val 13747"/>
            <a:gd name="adj3" fmla="val 16667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28800" bIns="36000" anchor="ctr">
          <a:noAutofit/>
        </a:bodyPr>
        <a:p>
          <a:pPr algn="ctr">
            <a:lnSpc>
              <a:spcPct val="100000"/>
            </a:lnSpc>
          </a:pPr>
          <a:r>
            <a:rPr b="0" lang="en-GB" sz="900" spc="-1" strike="noStrike">
              <a:solidFill>
                <a:srgbClr val="ffffff"/>
              </a:solidFill>
              <a:latin typeface="Calibri"/>
            </a:rPr>
            <a:t>DIAS</a:t>
          </a:r>
          <a:endParaRPr b="0" lang="pt-BR" sz="900" spc="-1" strike="noStrike"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2880</xdr:colOff>
      <xdr:row>54</xdr:row>
      <xdr:rowOff>78480</xdr:rowOff>
    </xdr:from>
    <xdr:to>
      <xdr:col>3</xdr:col>
      <xdr:colOff>99360</xdr:colOff>
      <xdr:row>57</xdr:row>
      <xdr:rowOff>64440</xdr:rowOff>
    </xdr:to>
    <xdr:sp>
      <xdr:nvSpPr>
        <xdr:cNvPr id="565" name="Retângulo: Cantos Arredondados 1"/>
        <xdr:cNvSpPr/>
      </xdr:nvSpPr>
      <xdr:spPr>
        <a:xfrm>
          <a:off x="153720" y="10212840"/>
          <a:ext cx="2274120" cy="78624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8</xdr:row>
      <xdr:rowOff>104760</xdr:rowOff>
    </xdr:from>
    <xdr:to>
      <xdr:col>3</xdr:col>
      <xdr:colOff>77760</xdr:colOff>
      <xdr:row>11</xdr:row>
      <xdr:rowOff>75960</xdr:rowOff>
    </xdr:to>
    <xdr:sp>
      <xdr:nvSpPr>
        <xdr:cNvPr id="566" name="Retângulo: Cantos Arredondados 2"/>
        <xdr:cNvSpPr/>
      </xdr:nvSpPr>
      <xdr:spPr>
        <a:xfrm>
          <a:off x="132480" y="1390320"/>
          <a:ext cx="2273760" cy="79056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JUNTAR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DINHEIRO?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19</xdr:row>
      <xdr:rowOff>104760</xdr:rowOff>
    </xdr:from>
    <xdr:to>
      <xdr:col>3</xdr:col>
      <xdr:colOff>77760</xdr:colOff>
      <xdr:row>22</xdr:row>
      <xdr:rowOff>56880</xdr:rowOff>
    </xdr:to>
    <xdr:sp>
      <xdr:nvSpPr>
        <xdr:cNvPr id="567" name="Retângulo: Cantos Arredondados 3"/>
        <xdr:cNvSpPr/>
      </xdr:nvSpPr>
      <xdr:spPr>
        <a:xfrm>
          <a:off x="132480" y="3438360"/>
          <a:ext cx="2273760" cy="75204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GUARDAR E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INVESTIR?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282240</xdr:colOff>
      <xdr:row>20</xdr:row>
      <xdr:rowOff>118080</xdr:rowOff>
    </xdr:from>
    <xdr:to>
      <xdr:col>2</xdr:col>
      <xdr:colOff>681480</xdr:colOff>
      <xdr:row>21</xdr:row>
      <xdr:rowOff>8640</xdr:rowOff>
    </xdr:to>
    <xdr:pic>
      <xdr:nvPicPr>
        <xdr:cNvPr id="568" name="Gráfico 4" descr="Cofrinho"/>
        <xdr:cNvPicPr/>
      </xdr:nvPicPr>
      <xdr:blipFill>
        <a:blip r:embed="rId1"/>
        <a:stretch/>
      </xdr:blipFill>
      <xdr:spPr>
        <a:xfrm>
          <a:off x="544320" y="3603960"/>
          <a:ext cx="39924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284040</xdr:colOff>
      <xdr:row>9</xdr:row>
      <xdr:rowOff>151200</xdr:rowOff>
    </xdr:from>
    <xdr:to>
      <xdr:col>2</xdr:col>
      <xdr:colOff>680040</xdr:colOff>
      <xdr:row>10</xdr:row>
      <xdr:rowOff>42120</xdr:rowOff>
    </xdr:to>
    <xdr:pic>
      <xdr:nvPicPr>
        <xdr:cNvPr id="569" name="Gráfico 5" descr="Carteira"/>
        <xdr:cNvPicPr/>
      </xdr:nvPicPr>
      <xdr:blipFill>
        <a:blip r:embed="rId2"/>
        <a:stretch/>
      </xdr:blipFill>
      <xdr:spPr>
        <a:xfrm>
          <a:off x="546120" y="1589400"/>
          <a:ext cx="39600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0</xdr:col>
      <xdr:colOff>145800</xdr:colOff>
      <xdr:row>31</xdr:row>
      <xdr:rowOff>89640</xdr:rowOff>
    </xdr:from>
    <xdr:to>
      <xdr:col>3</xdr:col>
      <xdr:colOff>91440</xdr:colOff>
      <xdr:row>34</xdr:row>
      <xdr:rowOff>78480</xdr:rowOff>
    </xdr:to>
    <xdr:sp>
      <xdr:nvSpPr>
        <xdr:cNvPr id="570" name="Retângulo: Cantos Arredondados 6"/>
        <xdr:cNvSpPr/>
      </xdr:nvSpPr>
      <xdr:spPr>
        <a:xfrm>
          <a:off x="145800" y="5452200"/>
          <a:ext cx="2274120" cy="7887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315360</xdr:colOff>
      <xdr:row>32</xdr:row>
      <xdr:rowOff>144360</xdr:rowOff>
    </xdr:from>
    <xdr:to>
      <xdr:col>2</xdr:col>
      <xdr:colOff>709560</xdr:colOff>
      <xdr:row>33</xdr:row>
      <xdr:rowOff>35280</xdr:rowOff>
    </xdr:to>
    <xdr:pic>
      <xdr:nvPicPr>
        <xdr:cNvPr id="571" name="Gráfico 7" descr="Eletricista"/>
        <xdr:cNvPicPr/>
      </xdr:nvPicPr>
      <xdr:blipFill>
        <a:blip r:embed="rId3"/>
        <a:stretch/>
      </xdr:blipFill>
      <xdr:spPr>
        <a:xfrm>
          <a:off x="577440" y="5659200"/>
          <a:ext cx="39420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311760</xdr:colOff>
      <xdr:row>55</xdr:row>
      <xdr:rowOff>132120</xdr:rowOff>
    </xdr:from>
    <xdr:to>
      <xdr:col>2</xdr:col>
      <xdr:colOff>713160</xdr:colOff>
      <xdr:row>56</xdr:row>
      <xdr:rowOff>23040</xdr:rowOff>
    </xdr:to>
    <xdr:pic>
      <xdr:nvPicPr>
        <xdr:cNvPr id="572" name="Gráfico 8" descr="Artista"/>
        <xdr:cNvPicPr/>
      </xdr:nvPicPr>
      <xdr:blipFill>
        <a:blip r:embed="rId4"/>
        <a:stretch/>
      </xdr:blipFill>
      <xdr:spPr>
        <a:xfrm>
          <a:off x="573840" y="10419120"/>
          <a:ext cx="401400" cy="395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76</xdr:row>
      <xdr:rowOff>104760</xdr:rowOff>
    </xdr:from>
    <xdr:to>
      <xdr:col>3</xdr:col>
      <xdr:colOff>95040</xdr:colOff>
      <xdr:row>79</xdr:row>
      <xdr:rowOff>75960</xdr:rowOff>
    </xdr:to>
    <xdr:sp>
      <xdr:nvSpPr>
        <xdr:cNvPr id="573" name="Retângulo: Cantos Arredondados 9"/>
        <xdr:cNvSpPr/>
      </xdr:nvSpPr>
      <xdr:spPr>
        <a:xfrm>
          <a:off x="150840" y="1478268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28</xdr:col>
      <xdr:colOff>211680</xdr:colOff>
      <xdr:row>1</xdr:row>
      <xdr:rowOff>166320</xdr:rowOff>
    </xdr:from>
    <xdr:to>
      <xdr:col>29</xdr:col>
      <xdr:colOff>128880</xdr:colOff>
      <xdr:row>3</xdr:row>
      <xdr:rowOff>47520</xdr:rowOff>
    </xdr:to>
    <xdr:pic>
      <xdr:nvPicPr>
        <xdr:cNvPr id="574" name="Gráfico 10" descr="Impressão digital">
          <a:hlinkClick r:id="rId5"/>
        </xdr:cNvPr>
        <xdr:cNvPicPr/>
      </xdr:nvPicPr>
      <xdr:blipFill>
        <a:blip r:embed="rId6"/>
        <a:stretch/>
      </xdr:blipFill>
      <xdr:spPr>
        <a:xfrm>
          <a:off x="12305880" y="166320"/>
          <a:ext cx="309960" cy="30960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25</xdr:col>
      <xdr:colOff>188640</xdr:colOff>
      <xdr:row>1</xdr:row>
      <xdr:rowOff>129960</xdr:rowOff>
    </xdr:from>
    <xdr:to>
      <xdr:col>26</xdr:col>
      <xdr:colOff>164160</xdr:colOff>
      <xdr:row>3</xdr:row>
      <xdr:rowOff>65880</xdr:rowOff>
    </xdr:to>
    <xdr:pic>
      <xdr:nvPicPr>
        <xdr:cNvPr id="575" name="Gráfico 11" descr="Trancar">
          <a:hlinkClick r:id="rId7"/>
        </xdr:cNvPr>
        <xdr:cNvPicPr/>
      </xdr:nvPicPr>
      <xdr:blipFill>
        <a:blip r:embed="rId8"/>
        <a:stretch/>
      </xdr:blipFill>
      <xdr:spPr>
        <a:xfrm>
          <a:off x="11103480" y="129960"/>
          <a:ext cx="368640" cy="36432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</xdr:colOff>
      <xdr:row>19</xdr:row>
      <xdr:rowOff>126360</xdr:rowOff>
    </xdr:from>
    <xdr:to>
      <xdr:col>2</xdr:col>
      <xdr:colOff>139680</xdr:colOff>
      <xdr:row>20</xdr:row>
      <xdr:rowOff>220320</xdr:rowOff>
    </xdr:to>
    <xdr:pic>
      <xdr:nvPicPr>
        <xdr:cNvPr id="576" name="Gráfico 12" descr="Ajudar">
          <a:hlinkClick r:id="rId9"/>
        </xdr:cNvPr>
        <xdr:cNvPicPr/>
      </xdr:nvPicPr>
      <xdr:blipFill>
        <a:blip r:embed="rId10"/>
        <a:stretch/>
      </xdr:blipFill>
      <xdr:spPr>
        <a:xfrm>
          <a:off x="151920" y="345996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15120</xdr:colOff>
      <xdr:row>31</xdr:row>
      <xdr:rowOff>114480</xdr:rowOff>
    </xdr:from>
    <xdr:to>
      <xdr:col>2</xdr:col>
      <xdr:colOff>150120</xdr:colOff>
      <xdr:row>32</xdr:row>
      <xdr:rowOff>208440</xdr:rowOff>
    </xdr:to>
    <xdr:pic>
      <xdr:nvPicPr>
        <xdr:cNvPr id="577" name="Gráfico 13" descr="Ajudar">
          <a:hlinkClick r:id="rId11"/>
        </xdr:cNvPr>
        <xdr:cNvPicPr/>
      </xdr:nvPicPr>
      <xdr:blipFill>
        <a:blip r:embed="rId12"/>
        <a:stretch/>
      </xdr:blipFill>
      <xdr:spPr>
        <a:xfrm>
          <a:off x="165960" y="54770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10800</xdr:colOff>
      <xdr:row>54</xdr:row>
      <xdr:rowOff>98640</xdr:rowOff>
    </xdr:from>
    <xdr:to>
      <xdr:col>2</xdr:col>
      <xdr:colOff>145800</xdr:colOff>
      <xdr:row>55</xdr:row>
      <xdr:rowOff>192240</xdr:rowOff>
    </xdr:to>
    <xdr:pic>
      <xdr:nvPicPr>
        <xdr:cNvPr id="578" name="Gráfico 14" descr="Ajudar">
          <a:hlinkClick r:id="rId13"/>
        </xdr:cNvPr>
        <xdr:cNvPicPr/>
      </xdr:nvPicPr>
      <xdr:blipFill>
        <a:blip r:embed="rId14"/>
        <a:stretch/>
      </xdr:blipFill>
      <xdr:spPr>
        <a:xfrm>
          <a:off x="161640" y="102330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6120</xdr:colOff>
      <xdr:row>76</xdr:row>
      <xdr:rowOff>127800</xdr:rowOff>
    </xdr:from>
    <xdr:to>
      <xdr:col>2</xdr:col>
      <xdr:colOff>141120</xdr:colOff>
      <xdr:row>77</xdr:row>
      <xdr:rowOff>221760</xdr:rowOff>
    </xdr:to>
    <xdr:pic>
      <xdr:nvPicPr>
        <xdr:cNvPr id="579" name="Gráfico 15" descr="Ajudar">
          <a:hlinkClick r:id="rId15"/>
        </xdr:cNvPr>
        <xdr:cNvPicPr/>
      </xdr:nvPicPr>
      <xdr:blipFill>
        <a:blip r:embed="rId16"/>
        <a:stretch/>
      </xdr:blipFill>
      <xdr:spPr>
        <a:xfrm>
          <a:off x="156960" y="1480572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90</xdr:row>
      <xdr:rowOff>104760</xdr:rowOff>
    </xdr:from>
    <xdr:to>
      <xdr:col>3</xdr:col>
      <xdr:colOff>95040</xdr:colOff>
      <xdr:row>93</xdr:row>
      <xdr:rowOff>75960</xdr:rowOff>
    </xdr:to>
    <xdr:sp>
      <xdr:nvSpPr>
        <xdr:cNvPr id="580" name="Retângulo: Cantos Arredondados 16"/>
        <xdr:cNvSpPr/>
      </xdr:nvSpPr>
      <xdr:spPr>
        <a:xfrm>
          <a:off x="150840" y="1757340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90</xdr:row>
      <xdr:rowOff>127800</xdr:rowOff>
    </xdr:from>
    <xdr:to>
      <xdr:col>2</xdr:col>
      <xdr:colOff>141120</xdr:colOff>
      <xdr:row>91</xdr:row>
      <xdr:rowOff>221760</xdr:rowOff>
    </xdr:to>
    <xdr:pic>
      <xdr:nvPicPr>
        <xdr:cNvPr id="581" name="Gráfico 17" descr="Ajudar">
          <a:hlinkClick r:id="rId17"/>
        </xdr:cNvPr>
        <xdr:cNvPicPr/>
      </xdr:nvPicPr>
      <xdr:blipFill>
        <a:blip r:embed="rId18"/>
        <a:stretch/>
      </xdr:blipFill>
      <xdr:spPr>
        <a:xfrm>
          <a:off x="156960" y="17596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107</xdr:row>
      <xdr:rowOff>104760</xdr:rowOff>
    </xdr:from>
    <xdr:to>
      <xdr:col>3</xdr:col>
      <xdr:colOff>95040</xdr:colOff>
      <xdr:row>110</xdr:row>
      <xdr:rowOff>75960</xdr:rowOff>
    </xdr:to>
    <xdr:sp>
      <xdr:nvSpPr>
        <xdr:cNvPr id="582" name="Retângulo: Cantos Arredondados 18"/>
        <xdr:cNvSpPr/>
      </xdr:nvSpPr>
      <xdr:spPr>
        <a:xfrm>
          <a:off x="150840" y="2110716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107</xdr:row>
      <xdr:rowOff>127800</xdr:rowOff>
    </xdr:from>
    <xdr:to>
      <xdr:col>2</xdr:col>
      <xdr:colOff>141120</xdr:colOff>
      <xdr:row>108</xdr:row>
      <xdr:rowOff>221760</xdr:rowOff>
    </xdr:to>
    <xdr:pic>
      <xdr:nvPicPr>
        <xdr:cNvPr id="583" name="Gráfico 19" descr="Ajudar">
          <a:hlinkClick r:id="rId19"/>
        </xdr:cNvPr>
        <xdr:cNvPicPr/>
      </xdr:nvPicPr>
      <xdr:blipFill>
        <a:blip r:embed="rId20"/>
        <a:stretch/>
      </xdr:blipFill>
      <xdr:spPr>
        <a:xfrm>
          <a:off x="156960" y="211302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126</xdr:row>
      <xdr:rowOff>104760</xdr:rowOff>
    </xdr:from>
    <xdr:to>
      <xdr:col>3</xdr:col>
      <xdr:colOff>95040</xdr:colOff>
      <xdr:row>129</xdr:row>
      <xdr:rowOff>75960</xdr:rowOff>
    </xdr:to>
    <xdr:sp>
      <xdr:nvSpPr>
        <xdr:cNvPr id="584" name="Retângulo: Cantos Arredondados 20"/>
        <xdr:cNvSpPr/>
      </xdr:nvSpPr>
      <xdr:spPr>
        <a:xfrm>
          <a:off x="150840" y="251553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126</xdr:row>
      <xdr:rowOff>127800</xdr:rowOff>
    </xdr:from>
    <xdr:to>
      <xdr:col>2</xdr:col>
      <xdr:colOff>141120</xdr:colOff>
      <xdr:row>127</xdr:row>
      <xdr:rowOff>221760</xdr:rowOff>
    </xdr:to>
    <xdr:pic>
      <xdr:nvPicPr>
        <xdr:cNvPr id="585" name="Gráfico 21" descr="Ajudar">
          <a:hlinkClick r:id="rId21"/>
        </xdr:cNvPr>
        <xdr:cNvPicPr/>
      </xdr:nvPicPr>
      <xdr:blipFill>
        <a:blip r:embed="rId22"/>
        <a:stretch/>
      </xdr:blipFill>
      <xdr:spPr>
        <a:xfrm>
          <a:off x="156960" y="251784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145</xdr:row>
      <xdr:rowOff>104760</xdr:rowOff>
    </xdr:from>
    <xdr:to>
      <xdr:col>3</xdr:col>
      <xdr:colOff>95040</xdr:colOff>
      <xdr:row>148</xdr:row>
      <xdr:rowOff>75960</xdr:rowOff>
    </xdr:to>
    <xdr:sp>
      <xdr:nvSpPr>
        <xdr:cNvPr id="586" name="Retângulo: Cantos Arredondados 22"/>
        <xdr:cNvSpPr/>
      </xdr:nvSpPr>
      <xdr:spPr>
        <a:xfrm>
          <a:off x="150840" y="292035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145</xdr:row>
      <xdr:rowOff>127800</xdr:rowOff>
    </xdr:from>
    <xdr:to>
      <xdr:col>2</xdr:col>
      <xdr:colOff>141120</xdr:colOff>
      <xdr:row>146</xdr:row>
      <xdr:rowOff>221760</xdr:rowOff>
    </xdr:to>
    <xdr:pic>
      <xdr:nvPicPr>
        <xdr:cNvPr id="587" name="Gráfico 23" descr="Ajudar">
          <a:hlinkClick r:id="rId23"/>
        </xdr:cNvPr>
        <xdr:cNvPicPr/>
      </xdr:nvPicPr>
      <xdr:blipFill>
        <a:blip r:embed="rId24"/>
        <a:stretch/>
      </xdr:blipFill>
      <xdr:spPr>
        <a:xfrm>
          <a:off x="156960" y="292266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162</xdr:row>
      <xdr:rowOff>104760</xdr:rowOff>
    </xdr:from>
    <xdr:to>
      <xdr:col>3</xdr:col>
      <xdr:colOff>95040</xdr:colOff>
      <xdr:row>165</xdr:row>
      <xdr:rowOff>75960</xdr:rowOff>
    </xdr:to>
    <xdr:sp>
      <xdr:nvSpPr>
        <xdr:cNvPr id="588" name="Retângulo: Cantos Arredondados 24"/>
        <xdr:cNvSpPr/>
      </xdr:nvSpPr>
      <xdr:spPr>
        <a:xfrm>
          <a:off x="150840" y="3275640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162</xdr:row>
      <xdr:rowOff>127800</xdr:rowOff>
    </xdr:from>
    <xdr:to>
      <xdr:col>2</xdr:col>
      <xdr:colOff>141120</xdr:colOff>
      <xdr:row>163</xdr:row>
      <xdr:rowOff>221760</xdr:rowOff>
    </xdr:to>
    <xdr:pic>
      <xdr:nvPicPr>
        <xdr:cNvPr id="589" name="Gráfico 25" descr="Ajudar">
          <a:hlinkClick r:id="rId25"/>
        </xdr:cNvPr>
        <xdr:cNvPicPr/>
      </xdr:nvPicPr>
      <xdr:blipFill>
        <a:blip r:embed="rId26"/>
        <a:stretch/>
      </xdr:blipFill>
      <xdr:spPr>
        <a:xfrm>
          <a:off x="156960" y="32779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181</xdr:row>
      <xdr:rowOff>104760</xdr:rowOff>
    </xdr:from>
    <xdr:to>
      <xdr:col>3</xdr:col>
      <xdr:colOff>95040</xdr:colOff>
      <xdr:row>184</xdr:row>
      <xdr:rowOff>75960</xdr:rowOff>
    </xdr:to>
    <xdr:sp>
      <xdr:nvSpPr>
        <xdr:cNvPr id="590" name="Retângulo: Cantos Arredondados 26"/>
        <xdr:cNvSpPr/>
      </xdr:nvSpPr>
      <xdr:spPr>
        <a:xfrm>
          <a:off x="150840" y="368042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181</xdr:row>
      <xdr:rowOff>127800</xdr:rowOff>
    </xdr:from>
    <xdr:to>
      <xdr:col>2</xdr:col>
      <xdr:colOff>141120</xdr:colOff>
      <xdr:row>182</xdr:row>
      <xdr:rowOff>221400</xdr:rowOff>
    </xdr:to>
    <xdr:pic>
      <xdr:nvPicPr>
        <xdr:cNvPr id="591" name="Gráfico 27" descr="Ajudar">
          <a:hlinkClick r:id="rId27"/>
        </xdr:cNvPr>
        <xdr:cNvPicPr/>
      </xdr:nvPicPr>
      <xdr:blipFill>
        <a:blip r:embed="rId28"/>
        <a:stretch/>
      </xdr:blipFill>
      <xdr:spPr>
        <a:xfrm>
          <a:off x="156960" y="368272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200</xdr:row>
      <xdr:rowOff>104760</xdr:rowOff>
    </xdr:from>
    <xdr:to>
      <xdr:col>3</xdr:col>
      <xdr:colOff>95040</xdr:colOff>
      <xdr:row>203</xdr:row>
      <xdr:rowOff>75960</xdr:rowOff>
    </xdr:to>
    <xdr:sp>
      <xdr:nvSpPr>
        <xdr:cNvPr id="592" name="Retângulo: Cantos Arredondados 28"/>
        <xdr:cNvSpPr/>
      </xdr:nvSpPr>
      <xdr:spPr>
        <a:xfrm>
          <a:off x="150840" y="408524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 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200</xdr:row>
      <xdr:rowOff>127800</xdr:rowOff>
    </xdr:from>
    <xdr:to>
      <xdr:col>2</xdr:col>
      <xdr:colOff>141120</xdr:colOff>
      <xdr:row>201</xdr:row>
      <xdr:rowOff>221400</xdr:rowOff>
    </xdr:to>
    <xdr:pic>
      <xdr:nvPicPr>
        <xdr:cNvPr id="593" name="Gráfico 29" descr="Ajudar">
          <a:hlinkClick r:id="rId29"/>
        </xdr:cNvPr>
        <xdr:cNvPicPr/>
      </xdr:nvPicPr>
      <xdr:blipFill>
        <a:blip r:embed="rId30"/>
        <a:stretch/>
      </xdr:blipFill>
      <xdr:spPr>
        <a:xfrm>
          <a:off x="156960" y="408754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319680</xdr:colOff>
      <xdr:row>77</xdr:row>
      <xdr:rowOff>126720</xdr:rowOff>
    </xdr:from>
    <xdr:to>
      <xdr:col>2</xdr:col>
      <xdr:colOff>711360</xdr:colOff>
      <xdr:row>78</xdr:row>
      <xdr:rowOff>17640</xdr:rowOff>
    </xdr:to>
    <xdr:pic>
      <xdr:nvPicPr>
        <xdr:cNvPr id="594" name="Gráfico 30" descr="Dinheiro"/>
        <xdr:cNvPicPr/>
      </xdr:nvPicPr>
      <xdr:blipFill>
        <a:blip r:embed="rId31"/>
        <a:stretch/>
      </xdr:blipFill>
      <xdr:spPr>
        <a:xfrm flipH="1">
          <a:off x="581760" y="14956920"/>
          <a:ext cx="391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319680</xdr:colOff>
      <xdr:row>91</xdr:row>
      <xdr:rowOff>115920</xdr:rowOff>
    </xdr:from>
    <xdr:to>
      <xdr:col>2</xdr:col>
      <xdr:colOff>720360</xdr:colOff>
      <xdr:row>92</xdr:row>
      <xdr:rowOff>6480</xdr:rowOff>
    </xdr:to>
    <xdr:pic>
      <xdr:nvPicPr>
        <xdr:cNvPr id="595" name="Gráfico 31" descr="Dinheiro"/>
        <xdr:cNvPicPr/>
      </xdr:nvPicPr>
      <xdr:blipFill>
        <a:blip r:embed="rId32"/>
        <a:stretch/>
      </xdr:blipFill>
      <xdr:spPr>
        <a:xfrm flipH="1">
          <a:off x="581760" y="17736840"/>
          <a:ext cx="400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330840</xdr:colOff>
      <xdr:row>108</xdr:row>
      <xdr:rowOff>134280</xdr:rowOff>
    </xdr:from>
    <xdr:to>
      <xdr:col>2</xdr:col>
      <xdr:colOff>722880</xdr:colOff>
      <xdr:row>109</xdr:row>
      <xdr:rowOff>35640</xdr:rowOff>
    </xdr:to>
    <xdr:pic>
      <xdr:nvPicPr>
        <xdr:cNvPr id="596" name="Gráfico 32" descr="Moedas"/>
        <xdr:cNvPicPr/>
      </xdr:nvPicPr>
      <xdr:blipFill>
        <a:blip r:embed="rId33"/>
        <a:stretch/>
      </xdr:blipFill>
      <xdr:spPr>
        <a:xfrm flipH="1">
          <a:off x="592920" y="212889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285840</xdr:colOff>
      <xdr:row>127</xdr:row>
      <xdr:rowOff>149760</xdr:rowOff>
    </xdr:from>
    <xdr:to>
      <xdr:col>2</xdr:col>
      <xdr:colOff>677880</xdr:colOff>
      <xdr:row>128</xdr:row>
      <xdr:rowOff>51120</xdr:rowOff>
    </xdr:to>
    <xdr:pic>
      <xdr:nvPicPr>
        <xdr:cNvPr id="597" name="Gráfico 33" descr="Moedas"/>
        <xdr:cNvPicPr/>
      </xdr:nvPicPr>
      <xdr:blipFill>
        <a:blip r:embed="rId34"/>
        <a:stretch/>
      </xdr:blipFill>
      <xdr:spPr>
        <a:xfrm flipH="1">
          <a:off x="547920" y="2535264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288720</xdr:colOff>
      <xdr:row>146</xdr:row>
      <xdr:rowOff>152280</xdr:rowOff>
    </xdr:from>
    <xdr:to>
      <xdr:col>2</xdr:col>
      <xdr:colOff>680760</xdr:colOff>
      <xdr:row>147</xdr:row>
      <xdr:rowOff>54000</xdr:rowOff>
    </xdr:to>
    <xdr:pic>
      <xdr:nvPicPr>
        <xdr:cNvPr id="598" name="Gráfico 34" descr="Moedas"/>
        <xdr:cNvPicPr/>
      </xdr:nvPicPr>
      <xdr:blipFill>
        <a:blip r:embed="rId35"/>
        <a:stretch/>
      </xdr:blipFill>
      <xdr:spPr>
        <a:xfrm flipH="1">
          <a:off x="550800" y="294033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163</xdr:row>
      <xdr:rowOff>123120</xdr:rowOff>
    </xdr:from>
    <xdr:to>
      <xdr:col>2</xdr:col>
      <xdr:colOff>705240</xdr:colOff>
      <xdr:row>164</xdr:row>
      <xdr:rowOff>14040</xdr:rowOff>
    </xdr:to>
    <xdr:pic>
      <xdr:nvPicPr>
        <xdr:cNvPr id="599" name="Gráfico 35" descr="Sirene"/>
        <xdr:cNvPicPr/>
      </xdr:nvPicPr>
      <xdr:blipFill>
        <a:blip r:embed="rId36"/>
        <a:stretch/>
      </xdr:blipFill>
      <xdr:spPr>
        <a:xfrm>
          <a:off x="562680" y="3292704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182</xdr:row>
      <xdr:rowOff>107640</xdr:rowOff>
    </xdr:from>
    <xdr:to>
      <xdr:col>2</xdr:col>
      <xdr:colOff>705240</xdr:colOff>
      <xdr:row>183</xdr:row>
      <xdr:rowOff>2880</xdr:rowOff>
    </xdr:to>
    <xdr:pic>
      <xdr:nvPicPr>
        <xdr:cNvPr id="600" name="Gráfico 36" descr="Sirene"/>
        <xdr:cNvPicPr/>
      </xdr:nvPicPr>
      <xdr:blipFill>
        <a:blip r:embed="rId37"/>
        <a:stretch/>
      </xdr:blipFill>
      <xdr:spPr>
        <a:xfrm>
          <a:off x="562680" y="36959760"/>
          <a:ext cx="404640" cy="39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201</xdr:row>
      <xdr:rowOff>125640</xdr:rowOff>
    </xdr:from>
    <xdr:to>
      <xdr:col>2</xdr:col>
      <xdr:colOff>705240</xdr:colOff>
      <xdr:row>202</xdr:row>
      <xdr:rowOff>16560</xdr:rowOff>
    </xdr:to>
    <xdr:pic>
      <xdr:nvPicPr>
        <xdr:cNvPr id="601" name="Gráfico 37" descr="Sirene"/>
        <xdr:cNvPicPr/>
      </xdr:nvPicPr>
      <xdr:blipFill>
        <a:blip r:embed="rId38"/>
        <a:stretch/>
      </xdr:blipFill>
      <xdr:spPr>
        <a:xfrm>
          <a:off x="562680" y="4102596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190440</xdr:colOff>
      <xdr:row>1</xdr:row>
      <xdr:rowOff>141120</xdr:rowOff>
    </xdr:from>
    <xdr:to>
      <xdr:col>32</xdr:col>
      <xdr:colOff>138960</xdr:colOff>
      <xdr:row>3</xdr:row>
      <xdr:rowOff>54360</xdr:rowOff>
    </xdr:to>
    <xdr:pic>
      <xdr:nvPicPr>
        <xdr:cNvPr id="602" name="Gráfico 38" descr="Virar calendário">
          <a:hlinkClick r:id="rId39"/>
        </xdr:cNvPr>
        <xdr:cNvPicPr/>
      </xdr:nvPicPr>
      <xdr:blipFill>
        <a:blip r:embed="rId40"/>
        <a:stretch/>
      </xdr:blipFill>
      <xdr:spPr>
        <a:xfrm>
          <a:off x="13463640" y="141120"/>
          <a:ext cx="341640" cy="341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26</xdr:col>
      <xdr:colOff>324720</xdr:colOff>
      <xdr:row>2</xdr:row>
      <xdr:rowOff>174600</xdr:rowOff>
    </xdr:from>
    <xdr:to>
      <xdr:col>28</xdr:col>
      <xdr:colOff>22320</xdr:colOff>
      <xdr:row>2</xdr:row>
      <xdr:rowOff>174600</xdr:rowOff>
    </xdr:to>
    <xdr:sp>
      <xdr:nvSpPr>
        <xdr:cNvPr id="603" name="Conector reto 39"/>
        <xdr:cNvSpPr/>
      </xdr:nvSpPr>
      <xdr:spPr>
        <a:xfrm>
          <a:off x="11632680" y="374400"/>
          <a:ext cx="48384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29</xdr:col>
      <xdr:colOff>331560</xdr:colOff>
      <xdr:row>2</xdr:row>
      <xdr:rowOff>174600</xdr:rowOff>
    </xdr:from>
    <xdr:to>
      <xdr:col>31</xdr:col>
      <xdr:colOff>28800</xdr:colOff>
      <xdr:row>2</xdr:row>
      <xdr:rowOff>174600</xdr:rowOff>
    </xdr:to>
    <xdr:sp>
      <xdr:nvSpPr>
        <xdr:cNvPr id="604" name="Conector reto 40"/>
        <xdr:cNvSpPr/>
      </xdr:nvSpPr>
      <xdr:spPr>
        <a:xfrm>
          <a:off x="12818520" y="374400"/>
          <a:ext cx="48348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142200</xdr:colOff>
      <xdr:row>8</xdr:row>
      <xdr:rowOff>121680</xdr:rowOff>
    </xdr:from>
    <xdr:to>
      <xdr:col>2</xdr:col>
      <xdr:colOff>129960</xdr:colOff>
      <xdr:row>9</xdr:row>
      <xdr:rowOff>215280</xdr:rowOff>
    </xdr:to>
    <xdr:pic>
      <xdr:nvPicPr>
        <xdr:cNvPr id="605" name="Gráfico 42" descr="Ajudar">
          <a:hlinkClick r:id="rId41"/>
        </xdr:cNvPr>
        <xdr:cNvPicPr/>
      </xdr:nvPicPr>
      <xdr:blipFill>
        <a:blip r:embed="rId42"/>
        <a:stretch/>
      </xdr:blipFill>
      <xdr:spPr>
        <a:xfrm>
          <a:off x="142200" y="140724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185760</xdr:colOff>
      <xdr:row>2</xdr:row>
      <xdr:rowOff>145800</xdr:rowOff>
    </xdr:from>
    <xdr:to>
      <xdr:col>35</xdr:col>
      <xdr:colOff>614880</xdr:colOff>
      <xdr:row>4</xdr:row>
      <xdr:rowOff>112680</xdr:rowOff>
    </xdr:to>
    <xdr:pic>
      <xdr:nvPicPr>
        <xdr:cNvPr id="606" name="Gráfico 43" descr="Seta Reta">
          <a:hlinkClick r:id="rId43"/>
        </xdr:cNvPr>
        <xdr:cNvPicPr/>
      </xdr:nvPicPr>
      <xdr:blipFill>
        <a:blip r:embed="rId44"/>
        <a:stretch/>
      </xdr:blipFill>
      <xdr:spPr>
        <a:xfrm rot="10800000">
          <a:off x="15031080" y="345240"/>
          <a:ext cx="42912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156960</xdr:colOff>
      <xdr:row>1</xdr:row>
      <xdr:rowOff>67320</xdr:rowOff>
    </xdr:from>
    <xdr:to>
      <xdr:col>35</xdr:col>
      <xdr:colOff>583200</xdr:colOff>
      <xdr:row>3</xdr:row>
      <xdr:rowOff>63000</xdr:rowOff>
    </xdr:to>
    <xdr:pic>
      <xdr:nvPicPr>
        <xdr:cNvPr id="607" name="Gráfico 44" descr="Seta Reta">
          <a:hlinkClick r:id="rId45"/>
        </xdr:cNvPr>
        <xdr:cNvPicPr/>
      </xdr:nvPicPr>
      <xdr:blipFill>
        <a:blip r:embed="rId46"/>
        <a:stretch/>
      </xdr:blipFill>
      <xdr:spPr>
        <a:xfrm>
          <a:off x="15002280" y="67320"/>
          <a:ext cx="42624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35</xdr:col>
      <xdr:colOff>0</xdr:colOff>
      <xdr:row>5</xdr:row>
      <xdr:rowOff>0</xdr:rowOff>
    </xdr:from>
    <xdr:to>
      <xdr:col>35</xdr:col>
      <xdr:colOff>548640</xdr:colOff>
      <xdr:row>6</xdr:row>
      <xdr:rowOff>10800</xdr:rowOff>
    </xdr:to>
    <xdr:sp>
      <xdr:nvSpPr>
        <xdr:cNvPr id="608" name="Balão de Fala: Retângulo com Cantos Arredondados 45"/>
        <xdr:cNvSpPr/>
      </xdr:nvSpPr>
      <xdr:spPr>
        <a:xfrm>
          <a:off x="14845320" y="799920"/>
          <a:ext cx="548640" cy="182160"/>
        </a:xfrm>
        <a:prstGeom prst="wedgeRoundRectCallout">
          <a:avLst>
            <a:gd name="adj1" fmla="val -18889"/>
            <a:gd name="adj2" fmla="val 13747"/>
            <a:gd name="adj3" fmla="val 16667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28800" bIns="36000" anchor="ctr">
          <a:noAutofit/>
        </a:bodyPr>
        <a:p>
          <a:pPr algn="ctr">
            <a:lnSpc>
              <a:spcPct val="100000"/>
            </a:lnSpc>
          </a:pPr>
          <a:r>
            <a:rPr b="0" lang="en-GB" sz="900" spc="-1" strike="noStrike">
              <a:solidFill>
                <a:srgbClr val="ffffff"/>
              </a:solidFill>
              <a:latin typeface="Calibri"/>
            </a:rPr>
            <a:t>DIAS</a:t>
          </a:r>
          <a:endParaRPr b="0" lang="pt-BR" sz="900" spc="-1" strike="noStrike">
            <a:latin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527760</xdr:colOff>
      <xdr:row>124</xdr:row>
      <xdr:rowOff>71280</xdr:rowOff>
    </xdr:from>
    <xdr:to>
      <xdr:col>22</xdr:col>
      <xdr:colOff>225360</xdr:colOff>
      <xdr:row>181</xdr:row>
      <xdr:rowOff>20520</xdr:rowOff>
    </xdr:to>
    <xdr:sp>
      <xdr:nvSpPr>
        <xdr:cNvPr id="609" name="Retângulo: Cantos Arredondados 1"/>
        <xdr:cNvSpPr/>
      </xdr:nvSpPr>
      <xdr:spPr>
        <a:xfrm>
          <a:off x="910440" y="25257600"/>
          <a:ext cx="13245840" cy="11179440"/>
        </a:xfrm>
        <a:prstGeom prst="roundRect">
          <a:avLst>
            <a:gd name="adj" fmla="val 6026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543600</xdr:colOff>
      <xdr:row>11</xdr:row>
      <xdr:rowOff>0</xdr:rowOff>
    </xdr:from>
    <xdr:to>
      <xdr:col>19</xdr:col>
      <xdr:colOff>160560</xdr:colOff>
      <xdr:row>121</xdr:row>
      <xdr:rowOff>271800</xdr:rowOff>
    </xdr:to>
    <xdr:sp>
      <xdr:nvSpPr>
        <xdr:cNvPr id="610" name="Retângulo 5"/>
        <xdr:cNvSpPr/>
      </xdr:nvSpPr>
      <xdr:spPr>
        <a:xfrm>
          <a:off x="1571400" y="2545560"/>
          <a:ext cx="10584720" cy="2122668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17</xdr:col>
      <xdr:colOff>187200</xdr:colOff>
      <xdr:row>11</xdr:row>
      <xdr:rowOff>0</xdr:rowOff>
    </xdr:from>
    <xdr:to>
      <xdr:col>22</xdr:col>
      <xdr:colOff>71280</xdr:colOff>
      <xdr:row>121</xdr:row>
      <xdr:rowOff>271800</xdr:rowOff>
    </xdr:to>
    <xdr:sp>
      <xdr:nvSpPr>
        <xdr:cNvPr id="611" name="Retângulo: Cantos Arredondados 6"/>
        <xdr:cNvSpPr/>
      </xdr:nvSpPr>
      <xdr:spPr>
        <a:xfrm>
          <a:off x="10892520" y="2545560"/>
          <a:ext cx="3109680" cy="21226680"/>
        </a:xfrm>
        <a:prstGeom prst="roundRect">
          <a:avLst>
            <a:gd name="adj" fmla="val 16667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0</xdr:colOff>
      <xdr:row>11</xdr:row>
      <xdr:rowOff>0</xdr:rowOff>
    </xdr:from>
    <xdr:to>
      <xdr:col>6</xdr:col>
      <xdr:colOff>528840</xdr:colOff>
      <xdr:row>121</xdr:row>
      <xdr:rowOff>271800</xdr:rowOff>
    </xdr:to>
    <xdr:sp>
      <xdr:nvSpPr>
        <xdr:cNvPr id="612" name="Retângulo: Cantos Arredondados 4"/>
        <xdr:cNvSpPr/>
      </xdr:nvSpPr>
      <xdr:spPr>
        <a:xfrm>
          <a:off x="1027800" y="2545560"/>
          <a:ext cx="3109680" cy="21226680"/>
        </a:xfrm>
        <a:prstGeom prst="roundRect">
          <a:avLst>
            <a:gd name="adj" fmla="val 16667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144720</xdr:colOff>
      <xdr:row>66</xdr:row>
      <xdr:rowOff>95040</xdr:rowOff>
    </xdr:from>
    <xdr:to>
      <xdr:col>15</xdr:col>
      <xdr:colOff>447840</xdr:colOff>
      <xdr:row>76</xdr:row>
      <xdr:rowOff>41760</xdr:rowOff>
    </xdr:to>
    <xdr:sp>
      <xdr:nvSpPr>
        <xdr:cNvPr id="613" name="Retângulo 10"/>
        <xdr:cNvSpPr/>
      </xdr:nvSpPr>
      <xdr:spPr>
        <a:xfrm rot="5400000">
          <a:off x="5236920" y="10343880"/>
          <a:ext cx="1851840" cy="7400160"/>
        </a:xfrm>
        <a:prstGeom prst="rect">
          <a:avLst/>
        </a:prstGeom>
        <a:solidFill>
          <a:srgbClr val="ff898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144720</xdr:colOff>
      <xdr:row>75</xdr:row>
      <xdr:rowOff>11160</xdr:rowOff>
    </xdr:from>
    <xdr:to>
      <xdr:col>15</xdr:col>
      <xdr:colOff>447840</xdr:colOff>
      <xdr:row>77</xdr:row>
      <xdr:rowOff>173880</xdr:rowOff>
    </xdr:to>
    <xdr:sp>
      <xdr:nvSpPr>
        <xdr:cNvPr id="614" name="Retângulo: Cantos Arredondados 11"/>
        <xdr:cNvSpPr/>
      </xdr:nvSpPr>
      <xdr:spPr>
        <a:xfrm rot="5400000">
          <a:off x="5891040" y="11320560"/>
          <a:ext cx="543600" cy="7400160"/>
        </a:xfrm>
        <a:prstGeom prst="roundRect">
          <a:avLst>
            <a:gd name="adj" fmla="val 16667"/>
          </a:avLst>
        </a:prstGeom>
        <a:solidFill>
          <a:srgbClr val="ff898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144720</xdr:colOff>
      <xdr:row>66</xdr:row>
      <xdr:rowOff>0</xdr:rowOff>
    </xdr:from>
    <xdr:to>
      <xdr:col>15</xdr:col>
      <xdr:colOff>447840</xdr:colOff>
      <xdr:row>68</xdr:row>
      <xdr:rowOff>162720</xdr:rowOff>
    </xdr:to>
    <xdr:sp>
      <xdr:nvSpPr>
        <xdr:cNvPr id="615" name="Retângulo: Cantos Arredondados 9"/>
        <xdr:cNvSpPr/>
      </xdr:nvSpPr>
      <xdr:spPr>
        <a:xfrm rot="5400000">
          <a:off x="5891040" y="9594720"/>
          <a:ext cx="543600" cy="7400160"/>
        </a:xfrm>
        <a:prstGeom prst="roundRect">
          <a:avLst>
            <a:gd name="adj" fmla="val 16667"/>
          </a:avLst>
        </a:prstGeom>
        <a:solidFill>
          <a:srgbClr val="ff898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144720</xdr:colOff>
      <xdr:row>47</xdr:row>
      <xdr:rowOff>18720</xdr:rowOff>
    </xdr:from>
    <xdr:to>
      <xdr:col>15</xdr:col>
      <xdr:colOff>447840</xdr:colOff>
      <xdr:row>56</xdr:row>
      <xdr:rowOff>156240</xdr:rowOff>
    </xdr:to>
    <xdr:sp>
      <xdr:nvSpPr>
        <xdr:cNvPr id="616" name="Retângulo 15"/>
        <xdr:cNvSpPr/>
      </xdr:nvSpPr>
      <xdr:spPr>
        <a:xfrm rot="5400000">
          <a:off x="5236920" y="6648120"/>
          <a:ext cx="1851840" cy="7400160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144720</xdr:colOff>
      <xdr:row>55</xdr:row>
      <xdr:rowOff>125640</xdr:rowOff>
    </xdr:from>
    <xdr:to>
      <xdr:col>15</xdr:col>
      <xdr:colOff>447840</xdr:colOff>
      <xdr:row>58</xdr:row>
      <xdr:rowOff>97560</xdr:rowOff>
    </xdr:to>
    <xdr:sp>
      <xdr:nvSpPr>
        <xdr:cNvPr id="617" name="Retângulo: Cantos Arredondados 16"/>
        <xdr:cNvSpPr/>
      </xdr:nvSpPr>
      <xdr:spPr>
        <a:xfrm rot="5400000">
          <a:off x="5891040" y="7624800"/>
          <a:ext cx="543600" cy="7400160"/>
        </a:xfrm>
        <a:prstGeom prst="roundRect">
          <a:avLst>
            <a:gd name="adj" fmla="val 16667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144720</xdr:colOff>
      <xdr:row>46</xdr:row>
      <xdr:rowOff>113760</xdr:rowOff>
    </xdr:from>
    <xdr:to>
      <xdr:col>15</xdr:col>
      <xdr:colOff>447840</xdr:colOff>
      <xdr:row>49</xdr:row>
      <xdr:rowOff>86040</xdr:rowOff>
    </xdr:to>
    <xdr:sp>
      <xdr:nvSpPr>
        <xdr:cNvPr id="618" name="Retângulo: Cantos Arredondados 14"/>
        <xdr:cNvSpPr/>
      </xdr:nvSpPr>
      <xdr:spPr>
        <a:xfrm rot="5400000">
          <a:off x="5891040" y="5898600"/>
          <a:ext cx="543600" cy="7400160"/>
        </a:xfrm>
        <a:prstGeom prst="roundRect">
          <a:avLst>
            <a:gd name="adj" fmla="val 16667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18</xdr:col>
      <xdr:colOff>111240</xdr:colOff>
      <xdr:row>18</xdr:row>
      <xdr:rowOff>89640</xdr:rowOff>
    </xdr:from>
    <xdr:to>
      <xdr:col>22</xdr:col>
      <xdr:colOff>645840</xdr:colOff>
      <xdr:row>40</xdr:row>
      <xdr:rowOff>190080</xdr:rowOff>
    </xdr:to>
    <xdr:sp>
      <xdr:nvSpPr>
        <xdr:cNvPr id="619" name="Retângulo: Cantos Arredondados 17"/>
        <xdr:cNvSpPr/>
      </xdr:nvSpPr>
      <xdr:spPr>
        <a:xfrm>
          <a:off x="11461680" y="3968640"/>
          <a:ext cx="3115080" cy="429156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345960</xdr:colOff>
      <xdr:row>18</xdr:row>
      <xdr:rowOff>89640</xdr:rowOff>
    </xdr:from>
    <xdr:to>
      <xdr:col>17</xdr:col>
      <xdr:colOff>235080</xdr:colOff>
      <xdr:row>40</xdr:row>
      <xdr:rowOff>190080</xdr:rowOff>
    </xdr:to>
    <xdr:sp>
      <xdr:nvSpPr>
        <xdr:cNvPr id="620" name="Retângulo: Cantos Arredondados 18"/>
        <xdr:cNvSpPr/>
      </xdr:nvSpPr>
      <xdr:spPr>
        <a:xfrm>
          <a:off x="7825320" y="3968640"/>
          <a:ext cx="3115080" cy="429156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209880</xdr:colOff>
      <xdr:row>18</xdr:row>
      <xdr:rowOff>89640</xdr:rowOff>
    </xdr:from>
    <xdr:to>
      <xdr:col>6</xdr:col>
      <xdr:colOff>98280</xdr:colOff>
      <xdr:row>40</xdr:row>
      <xdr:rowOff>190080</xdr:rowOff>
    </xdr:to>
    <xdr:sp>
      <xdr:nvSpPr>
        <xdr:cNvPr id="621" name="Retângulo: Cantos Arredondados 19"/>
        <xdr:cNvSpPr/>
      </xdr:nvSpPr>
      <xdr:spPr>
        <a:xfrm>
          <a:off x="592560" y="3968640"/>
          <a:ext cx="3114360" cy="429156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107280</xdr:colOff>
      <xdr:row>150</xdr:row>
      <xdr:rowOff>29520</xdr:rowOff>
    </xdr:from>
    <xdr:to>
      <xdr:col>6</xdr:col>
      <xdr:colOff>139320</xdr:colOff>
      <xdr:row>178</xdr:row>
      <xdr:rowOff>353520</xdr:rowOff>
    </xdr:to>
    <xdr:sp>
      <xdr:nvSpPr>
        <xdr:cNvPr id="622" name="Retângulo: Cantos Arredondados 20"/>
        <xdr:cNvSpPr/>
      </xdr:nvSpPr>
      <xdr:spPr>
        <a:xfrm>
          <a:off x="489960" y="30169080"/>
          <a:ext cx="3258000" cy="565776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pt-BR" sz="2000" spc="-1" strike="noStrike">
              <a:solidFill>
                <a:srgbClr val="a5a5a5"/>
              </a:solidFill>
              <a:latin typeface="Calibri"/>
            </a:rPr>
            <a:t>INDICADORES</a:t>
          </a:r>
          <a:endParaRPr b="0" lang="pt-BR" sz="2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20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pt-BR" sz="1200" spc="-1" strike="noStrike">
              <a:solidFill>
                <a:srgbClr val="808080"/>
              </a:solidFill>
              <a:latin typeface="Calibri"/>
            </a:rPr>
            <a:t>Comparar os números ao lado com os números de corte escolhidos na configuração e indicados no </a:t>
          </a:r>
          <a:r>
            <a:rPr b="1" lang="pt-BR" sz="1200" spc="-1" strike="noStrike">
              <a:solidFill>
                <a:srgbClr val="808080"/>
              </a:solidFill>
              <a:latin typeface="Calibri"/>
            </a:rPr>
            <a:t>POTE IDEAL</a:t>
          </a:r>
          <a:r>
            <a:rPr b="0" lang="pt-BR" sz="1200" spc="-1" strike="noStrike">
              <a:solidFill>
                <a:srgbClr val="808080"/>
              </a:solidFill>
              <a:latin typeface="Calibri"/>
            </a:rPr>
            <a:t>.</a:t>
          </a:r>
          <a:br/>
          <a:br/>
          <a:r>
            <a:rPr b="0" lang="pt-BR" sz="1200" spc="-1" strike="noStrike">
              <a:solidFill>
                <a:srgbClr val="808080"/>
              </a:solidFill>
              <a:latin typeface="Calibri"/>
            </a:rPr>
            <a:t>Acompanhe os indicadores para </a:t>
          </a:r>
          <a:r>
            <a:rPr b="1" lang="pt-BR" sz="1200" spc="-1" strike="noStrike">
              <a:solidFill>
                <a:srgbClr val="808080"/>
              </a:solidFill>
              <a:latin typeface="Calibri"/>
            </a:rPr>
            <a:t>reduzir gastos</a:t>
          </a:r>
          <a:r>
            <a:rPr b="0" lang="pt-BR" sz="1200" spc="-1" strike="noStrike">
              <a:solidFill>
                <a:srgbClr val="808080"/>
              </a:solidFill>
              <a:latin typeface="Calibri"/>
            </a:rPr>
            <a:t> excessivos e ter dinheiro disponível para </a:t>
          </a:r>
          <a:r>
            <a:rPr b="1" lang="pt-BR" sz="1200" spc="-1" strike="noStrike">
              <a:solidFill>
                <a:srgbClr val="808080"/>
              </a:solidFill>
              <a:latin typeface="Calibri"/>
            </a:rPr>
            <a:t>reservas</a:t>
          </a:r>
          <a:r>
            <a:rPr b="0" lang="pt-BR" sz="1200" spc="-1" strike="noStrike">
              <a:solidFill>
                <a:srgbClr val="808080"/>
              </a:solidFill>
              <a:latin typeface="Calibri"/>
            </a:rPr>
            <a:t> e </a:t>
          </a:r>
          <a:r>
            <a:rPr b="1" lang="pt-BR" sz="1200" spc="-1" strike="noStrike">
              <a:solidFill>
                <a:srgbClr val="808080"/>
              </a:solidFill>
              <a:latin typeface="Calibri"/>
            </a:rPr>
            <a:t>investimentos</a:t>
          </a:r>
          <a:r>
            <a:rPr b="0" lang="pt-BR" sz="1200" spc="-1" strike="noStrike">
              <a:solidFill>
                <a:srgbClr val="808080"/>
              </a:solidFill>
              <a:latin typeface="Calibri"/>
            </a:rPr>
            <a:t>.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43</xdr:col>
      <xdr:colOff>235800</xdr:colOff>
      <xdr:row>35</xdr:row>
      <xdr:rowOff>72720</xdr:rowOff>
    </xdr:from>
    <xdr:to>
      <xdr:col>43</xdr:col>
      <xdr:colOff>420120</xdr:colOff>
      <xdr:row>36</xdr:row>
      <xdr:rowOff>146520</xdr:rowOff>
    </xdr:to>
    <xdr:sp>
      <xdr:nvSpPr>
        <xdr:cNvPr id="623" name="CaixaDeTexto 21"/>
        <xdr:cNvSpPr/>
      </xdr:nvSpPr>
      <xdr:spPr>
        <a:xfrm>
          <a:off x="31525200" y="7190280"/>
          <a:ext cx="184320" cy="264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84600</xdr:colOff>
      <xdr:row>122</xdr:row>
      <xdr:rowOff>64440</xdr:rowOff>
    </xdr:from>
    <xdr:to>
      <xdr:col>17</xdr:col>
      <xdr:colOff>95760</xdr:colOff>
      <xdr:row>147</xdr:row>
      <xdr:rowOff>12240</xdr:rowOff>
    </xdr:to>
    <xdr:sp>
      <xdr:nvSpPr>
        <xdr:cNvPr id="624" name="Retângulo: Cantos Arredondados 22"/>
        <xdr:cNvSpPr/>
      </xdr:nvSpPr>
      <xdr:spPr>
        <a:xfrm>
          <a:off x="7563960" y="24869880"/>
          <a:ext cx="3237120" cy="471024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pt-BR" sz="2000" spc="-1" strike="noStrike">
              <a:solidFill>
                <a:srgbClr val="a5a5a5"/>
              </a:solidFill>
              <a:latin typeface="Calibri"/>
            </a:rPr>
            <a:t>IDEAL</a:t>
          </a:r>
          <a:endParaRPr b="0" lang="pt-BR" sz="20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153360</xdr:colOff>
      <xdr:row>128</xdr:row>
      <xdr:rowOff>95760</xdr:rowOff>
    </xdr:from>
    <xdr:to>
      <xdr:col>18</xdr:col>
      <xdr:colOff>48240</xdr:colOff>
      <xdr:row>144</xdr:row>
      <xdr:rowOff>113760</xdr:rowOff>
    </xdr:to>
    <xdr:graphicFrame>
      <xdr:nvGraphicFramePr>
        <xdr:cNvPr id="625" name="Gráfico 26"/>
        <xdr:cNvGraphicFramePr/>
      </xdr:nvGraphicFramePr>
      <xdr:xfrm>
        <a:off x="6987600" y="26044200"/>
        <a:ext cx="4411080" cy="306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589680</xdr:colOff>
      <xdr:row>143</xdr:row>
      <xdr:rowOff>151560</xdr:rowOff>
    </xdr:from>
    <xdr:to>
      <xdr:col>16</xdr:col>
      <xdr:colOff>237240</xdr:colOff>
      <xdr:row>143</xdr:row>
      <xdr:rowOff>151560</xdr:rowOff>
    </xdr:to>
    <xdr:sp>
      <xdr:nvSpPr>
        <xdr:cNvPr id="626" name="Conector reto 27"/>
        <xdr:cNvSpPr/>
      </xdr:nvSpPr>
      <xdr:spPr>
        <a:xfrm>
          <a:off x="8069040" y="28957680"/>
          <a:ext cx="2228400" cy="0"/>
        </a:xfrm>
        <a:prstGeom prst="line">
          <a:avLst/>
        </a:prstGeom>
        <a:ln w="19050">
          <a:solidFill>
            <a:srgbClr val="000000">
              <a:lumMod val="50000"/>
              <a:lumOff val="50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13</xdr:col>
      <xdr:colOff>31320</xdr:colOff>
      <xdr:row>129</xdr:row>
      <xdr:rowOff>24120</xdr:rowOff>
    </xdr:from>
    <xdr:to>
      <xdr:col>16</xdr:col>
      <xdr:colOff>174600</xdr:colOff>
      <xdr:row>129</xdr:row>
      <xdr:rowOff>131040</xdr:rowOff>
    </xdr:to>
    <xdr:sp>
      <xdr:nvSpPr>
        <xdr:cNvPr id="627" name="Elipse 25"/>
        <xdr:cNvSpPr/>
      </xdr:nvSpPr>
      <xdr:spPr>
        <a:xfrm>
          <a:off x="8155800" y="26163000"/>
          <a:ext cx="2079000" cy="10692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18</xdr:col>
      <xdr:colOff>54000</xdr:colOff>
      <xdr:row>122</xdr:row>
      <xdr:rowOff>64440</xdr:rowOff>
    </xdr:from>
    <xdr:to>
      <xdr:col>23</xdr:col>
      <xdr:colOff>105840</xdr:colOff>
      <xdr:row>147</xdr:row>
      <xdr:rowOff>12240</xdr:rowOff>
    </xdr:to>
    <xdr:sp>
      <xdr:nvSpPr>
        <xdr:cNvPr id="628" name="Retângulo: Cantos Arredondados 28"/>
        <xdr:cNvSpPr/>
      </xdr:nvSpPr>
      <xdr:spPr>
        <a:xfrm>
          <a:off x="11404440" y="24869880"/>
          <a:ext cx="3277800" cy="471024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2000" spc="-1" strike="noStrike">
              <a:solidFill>
                <a:srgbClr val="a5a5a5"/>
              </a:solidFill>
              <a:latin typeface="Calibri"/>
            </a:rPr>
            <a:t>ATUAL</a:t>
          </a:r>
          <a:endParaRPr b="0" lang="pt-BR" sz="2000" spc="-1" strike="noStrike">
            <a:latin typeface="Times New Roman"/>
          </a:endParaRPr>
        </a:p>
      </xdr:txBody>
    </xdr:sp>
    <xdr:clientData/>
  </xdr:twoCellAnchor>
  <xdr:twoCellAnchor editAs="oneCell">
    <xdr:from>
      <xdr:col>17</xdr:col>
      <xdr:colOff>153360</xdr:colOff>
      <xdr:row>128</xdr:row>
      <xdr:rowOff>95760</xdr:rowOff>
    </xdr:from>
    <xdr:to>
      <xdr:col>24</xdr:col>
      <xdr:colOff>56520</xdr:colOff>
      <xdr:row>144</xdr:row>
      <xdr:rowOff>110520</xdr:rowOff>
    </xdr:to>
    <xdr:graphicFrame>
      <xdr:nvGraphicFramePr>
        <xdr:cNvPr id="629" name="Gráfico 32"/>
        <xdr:cNvGraphicFramePr/>
      </xdr:nvGraphicFramePr>
      <xdr:xfrm>
        <a:off x="10858680" y="26044200"/>
        <a:ext cx="4419360" cy="306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596520</xdr:colOff>
      <xdr:row>143</xdr:row>
      <xdr:rowOff>142920</xdr:rowOff>
    </xdr:from>
    <xdr:to>
      <xdr:col>22</xdr:col>
      <xdr:colOff>258480</xdr:colOff>
      <xdr:row>143</xdr:row>
      <xdr:rowOff>142920</xdr:rowOff>
    </xdr:to>
    <xdr:sp>
      <xdr:nvSpPr>
        <xdr:cNvPr id="630" name="Conector reto 33"/>
        <xdr:cNvSpPr/>
      </xdr:nvSpPr>
      <xdr:spPr>
        <a:xfrm>
          <a:off x="11946960" y="28949040"/>
          <a:ext cx="2242440" cy="0"/>
        </a:xfrm>
        <a:prstGeom prst="line">
          <a:avLst/>
        </a:prstGeom>
        <a:ln w="19050">
          <a:solidFill>
            <a:srgbClr val="000000">
              <a:lumMod val="50000"/>
              <a:lumOff val="50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19</xdr:col>
      <xdr:colOff>37800</xdr:colOff>
      <xdr:row>129</xdr:row>
      <xdr:rowOff>27000</xdr:rowOff>
    </xdr:from>
    <xdr:to>
      <xdr:col>22</xdr:col>
      <xdr:colOff>192600</xdr:colOff>
      <xdr:row>129</xdr:row>
      <xdr:rowOff>133920</xdr:rowOff>
    </xdr:to>
    <xdr:sp>
      <xdr:nvSpPr>
        <xdr:cNvPr id="631" name="Elipse 31"/>
        <xdr:cNvSpPr/>
      </xdr:nvSpPr>
      <xdr:spPr>
        <a:xfrm>
          <a:off x="12033360" y="26165880"/>
          <a:ext cx="2090160" cy="10692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219240</xdr:colOff>
      <xdr:row>144</xdr:row>
      <xdr:rowOff>28440</xdr:rowOff>
    </xdr:from>
    <xdr:to>
      <xdr:col>6</xdr:col>
      <xdr:colOff>504360</xdr:colOff>
      <xdr:row>145</xdr:row>
      <xdr:rowOff>102240</xdr:rowOff>
    </xdr:to>
    <xdr:sp>
      <xdr:nvSpPr>
        <xdr:cNvPr id="632" name="CaixaDeTexto 34"/>
        <xdr:cNvSpPr/>
      </xdr:nvSpPr>
      <xdr:spPr>
        <a:xfrm>
          <a:off x="601920" y="29025000"/>
          <a:ext cx="3511080" cy="264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104040</xdr:colOff>
      <xdr:row>122</xdr:row>
      <xdr:rowOff>67320</xdr:rowOff>
    </xdr:from>
    <xdr:to>
      <xdr:col>6</xdr:col>
      <xdr:colOff>154800</xdr:colOff>
      <xdr:row>147</xdr:row>
      <xdr:rowOff>8280</xdr:rowOff>
    </xdr:to>
    <xdr:sp>
      <xdr:nvSpPr>
        <xdr:cNvPr id="633" name="Retângulo: Cantos Arredondados 35"/>
        <xdr:cNvSpPr/>
      </xdr:nvSpPr>
      <xdr:spPr>
        <a:xfrm>
          <a:off x="486720" y="24872760"/>
          <a:ext cx="3276720" cy="470340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pt-BR" sz="2000" spc="-1" strike="noStrike">
              <a:solidFill>
                <a:srgbClr val="a5a5a5"/>
              </a:solidFill>
              <a:latin typeface="Calibri"/>
            </a:rPr>
            <a:t>DESAFIO</a:t>
          </a:r>
          <a:endParaRPr b="0" lang="pt-BR" sz="2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pt-BR" sz="2000" spc="-1" strike="noStrike">
              <a:solidFill>
                <a:srgbClr val="a5a5a5"/>
              </a:solidFill>
              <a:latin typeface="Calibri"/>
            </a:rPr>
            <a:t>DO POTE</a:t>
          </a:r>
          <a:endParaRPr b="0" lang="pt-BR" sz="2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2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2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pt-BR" sz="1200" spc="-1" strike="noStrike">
              <a:solidFill>
                <a:srgbClr val="808080"/>
              </a:solidFill>
              <a:latin typeface="Calibri"/>
            </a:rPr>
            <a:t>A ideia é simular uma </a:t>
          </a:r>
          <a:r>
            <a:rPr b="1" lang="pt-BR" sz="1200" spc="-1" strike="noStrike">
              <a:solidFill>
                <a:srgbClr val="808080"/>
              </a:solidFill>
              <a:latin typeface="Calibri"/>
            </a:rPr>
            <a:t>carteira ideal </a:t>
          </a:r>
          <a:r>
            <a:rPr b="0" lang="pt-BR" sz="1200" spc="-1" strike="noStrike">
              <a:solidFill>
                <a:srgbClr val="808080"/>
              </a:solidFill>
              <a:latin typeface="Calibri"/>
            </a:rPr>
            <a:t>que deve ser cumprida como </a:t>
          </a:r>
          <a:r>
            <a:rPr b="1" lang="pt-BR" sz="1200" spc="-1" strike="noStrike">
              <a:solidFill>
                <a:srgbClr val="808080"/>
              </a:solidFill>
              <a:latin typeface="Calibri"/>
            </a:rPr>
            <a:t>meta</a:t>
          </a:r>
          <a:r>
            <a:rPr b="0" lang="pt-BR" sz="1200" spc="-1" strike="noStrike">
              <a:solidFill>
                <a:srgbClr val="808080"/>
              </a:solidFill>
              <a:latin typeface="Calibri"/>
            </a:rPr>
            <a:t> e balanceada sempre que possível.</a:t>
          </a: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pt-BR" sz="1200" spc="-1" strike="noStrike">
              <a:solidFill>
                <a:srgbClr val="808080"/>
              </a:solidFill>
              <a:latin typeface="Calibri"/>
            </a:rPr>
            <a:t>Antes de usar, configure seu pote ideal </a:t>
          </a:r>
          <a:r>
            <a:rPr b="0" lang="pt-BR" sz="1200" spc="-1" strike="noStrike">
              <a:solidFill>
                <a:srgbClr val="808080"/>
              </a:solidFill>
              <a:latin typeface="Calibri"/>
            </a:rPr>
            <a:t>na aba de configuração, seguindo o modelo automático ou manual.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293040</xdr:colOff>
      <xdr:row>123</xdr:row>
      <xdr:rowOff>160560</xdr:rowOff>
    </xdr:from>
    <xdr:to>
      <xdr:col>2</xdr:col>
      <xdr:colOff>183960</xdr:colOff>
      <xdr:row>128</xdr:row>
      <xdr:rowOff>167040</xdr:rowOff>
    </xdr:to>
    <xdr:pic>
      <xdr:nvPicPr>
        <xdr:cNvPr id="634" name="Gráfico 36" descr="Torneira com vazamento"/>
        <xdr:cNvPicPr/>
      </xdr:nvPicPr>
      <xdr:blipFill>
        <a:blip r:embed="rId3"/>
        <a:stretch/>
      </xdr:blipFill>
      <xdr:spPr>
        <a:xfrm>
          <a:off x="293040" y="25156440"/>
          <a:ext cx="918720" cy="9590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344880</xdr:colOff>
      <xdr:row>139</xdr:row>
      <xdr:rowOff>176760</xdr:rowOff>
    </xdr:from>
    <xdr:to>
      <xdr:col>5</xdr:col>
      <xdr:colOff>557280</xdr:colOff>
      <xdr:row>145</xdr:row>
      <xdr:rowOff>153720</xdr:rowOff>
    </xdr:to>
    <xdr:sp>
      <xdr:nvSpPr>
        <xdr:cNvPr id="635" name="Retângulo: Cantos Arredondados 37">
          <a:hlinkClick r:id="rId4"/>
        </xdr:cNvPr>
        <xdr:cNvSpPr/>
      </xdr:nvSpPr>
      <xdr:spPr>
        <a:xfrm>
          <a:off x="727560" y="28220760"/>
          <a:ext cx="2793240" cy="1119960"/>
        </a:xfrm>
        <a:prstGeom prst="roundRect">
          <a:avLst>
            <a:gd name="adj" fmla="val 45606"/>
          </a:avLst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396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pt-BR" sz="1100" spc="-1" strike="noStrike">
              <a:solidFill>
                <a:srgbClr val="ffffff"/>
              </a:solidFill>
              <a:latin typeface="Calibri"/>
            </a:rPr>
            <a:t>Este desafio usa o mesmo princípio do </a:t>
          </a:r>
          <a:r>
            <a:rPr b="1" lang="pt-BR" sz="1100" spc="-1" strike="noStrike">
              <a:solidFill>
                <a:srgbClr val="ffffff"/>
              </a:solidFill>
              <a:latin typeface="Calibri"/>
            </a:rPr>
            <a:t>Método do Pote</a:t>
          </a:r>
          <a:r>
            <a:rPr b="0" lang="pt-BR" sz="1100" spc="-1" strike="noStrike">
              <a:solidFill>
                <a:srgbClr val="ffffff"/>
              </a:solidFill>
              <a:latin typeface="Calibri"/>
            </a:rPr>
            <a:t> descrito no Blog da Neon. </a:t>
          </a:r>
          <a:br/>
          <a:r>
            <a:rPr b="1" lang="pt-BR" sz="1100" spc="-1" strike="noStrike" u="sng">
              <a:solidFill>
                <a:srgbClr val="ffffff"/>
              </a:solidFill>
              <a:uFillTx/>
              <a:latin typeface="Calibri"/>
            </a:rPr>
            <a:t>Leia aqui</a:t>
          </a:r>
          <a:r>
            <a:rPr b="0" lang="pt-BR" sz="1100" spc="-1" strike="noStrike">
              <a:solidFill>
                <a:srgbClr val="ffffff"/>
              </a:solidFill>
              <a:latin typeface="Calibri"/>
            </a:rPr>
            <a:t>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485640</xdr:colOff>
      <xdr:row>142</xdr:row>
      <xdr:rowOff>6480</xdr:rowOff>
    </xdr:from>
    <xdr:to>
      <xdr:col>2</xdr:col>
      <xdr:colOff>153360</xdr:colOff>
      <xdr:row>143</xdr:row>
      <xdr:rowOff>95040</xdr:rowOff>
    </xdr:to>
    <xdr:pic>
      <xdr:nvPicPr>
        <xdr:cNvPr id="636" name="Gráfico 38" descr="Ajudar">
          <a:hlinkClick r:id="rId5"/>
        </xdr:cNvPr>
        <xdr:cNvPicPr/>
      </xdr:nvPicPr>
      <xdr:blipFill>
        <a:blip r:embed="rId6"/>
        <a:stretch/>
      </xdr:blipFill>
      <xdr:spPr>
        <a:xfrm>
          <a:off x="868320" y="28621800"/>
          <a:ext cx="312840" cy="27936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7</xdr:col>
      <xdr:colOff>52920</xdr:colOff>
      <xdr:row>122</xdr:row>
      <xdr:rowOff>73800</xdr:rowOff>
    </xdr:from>
    <xdr:to>
      <xdr:col>11</xdr:col>
      <xdr:colOff>180720</xdr:colOff>
      <xdr:row>147</xdr:row>
      <xdr:rowOff>20160</xdr:rowOff>
    </xdr:to>
    <xdr:sp>
      <xdr:nvSpPr>
        <xdr:cNvPr id="637" name="Retângulo: Cantos Arredondados 39"/>
        <xdr:cNvSpPr/>
      </xdr:nvSpPr>
      <xdr:spPr>
        <a:xfrm>
          <a:off x="4306680" y="24879240"/>
          <a:ext cx="2708280" cy="470880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pt-BR" sz="2000" spc="-1" strike="noStrike">
              <a:solidFill>
                <a:srgbClr val="a5a5a5"/>
              </a:solidFill>
              <a:latin typeface="Calibri"/>
            </a:rPr>
            <a:t>LEGENDA</a:t>
          </a:r>
          <a:endParaRPr b="0" lang="pt-BR" sz="2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2000" spc="-1" strike="noStrike">
            <a:latin typeface="Times New Roman"/>
          </a:endParaRPr>
        </a:p>
        <a:p>
          <a:pPr marL="457200">
            <a:lnSpc>
              <a:spcPct val="100000"/>
            </a:lnSpc>
            <a:tabLst>
              <a:tab algn="l" pos="0"/>
            </a:tabLst>
          </a:pPr>
          <a:endParaRPr b="0" lang="pt-BR" sz="2000" spc="-1" strike="noStrike">
            <a:latin typeface="Times New Roman"/>
          </a:endParaRPr>
        </a:p>
        <a:p>
          <a:pPr marL="457200">
            <a:lnSpc>
              <a:spcPct val="100000"/>
            </a:lnSpc>
            <a:tabLst>
              <a:tab algn="l" pos="0"/>
            </a:tabLst>
          </a:pPr>
          <a:r>
            <a:rPr b="0" lang="pt-BR" sz="1200" spc="-1" strike="noStrike">
              <a:solidFill>
                <a:srgbClr val="808080"/>
              </a:solidFill>
              <a:latin typeface="Calibri"/>
            </a:rPr>
            <a:t>INVESTIMENTOS</a:t>
          </a:r>
          <a:endParaRPr b="0" lang="pt-BR" sz="1200" spc="-1" strike="noStrike">
            <a:latin typeface="Times New Roman"/>
          </a:endParaRPr>
        </a:p>
        <a:p>
          <a:pPr marL="457200">
            <a:lnSpc>
              <a:spcPct val="100000"/>
            </a:lnSpc>
            <a:tabLst>
              <a:tab algn="l" pos="0"/>
            </a:tabLst>
          </a:pPr>
          <a:endParaRPr b="0" lang="pt-BR" sz="1200" spc="-1" strike="noStrike">
            <a:latin typeface="Times New Roman"/>
          </a:endParaRPr>
        </a:p>
        <a:p>
          <a:pPr marL="457200">
            <a:lnSpc>
              <a:spcPct val="100000"/>
            </a:lnSpc>
            <a:tabLst>
              <a:tab algn="l" pos="0"/>
            </a:tabLst>
          </a:pPr>
          <a:r>
            <a:rPr b="0" lang="pt-BR" sz="1200" spc="-1" strike="noStrike">
              <a:solidFill>
                <a:srgbClr val="808080"/>
              </a:solidFill>
              <a:latin typeface="Calibri"/>
            </a:rPr>
            <a:t>RESERVA EMERGÊNCIA</a:t>
          </a:r>
          <a:endParaRPr b="0" lang="pt-BR" sz="1200" spc="-1" strike="noStrike">
            <a:latin typeface="Times New Roman"/>
          </a:endParaRPr>
        </a:p>
        <a:p>
          <a:pPr marL="457200">
            <a:lnSpc>
              <a:spcPct val="100000"/>
            </a:lnSpc>
            <a:tabLst>
              <a:tab algn="l" pos="0"/>
            </a:tabLst>
          </a:pPr>
          <a:endParaRPr b="0" lang="pt-BR" sz="1200" spc="-1" strike="noStrike">
            <a:latin typeface="Times New Roman"/>
          </a:endParaRPr>
        </a:p>
        <a:p>
          <a:pPr marL="457200">
            <a:lnSpc>
              <a:spcPct val="100000"/>
            </a:lnSpc>
            <a:tabLst>
              <a:tab algn="l" pos="0"/>
            </a:tabLst>
          </a:pPr>
          <a:r>
            <a:rPr b="0" lang="pt-BR" sz="1200" spc="-1" strike="noStrike">
              <a:solidFill>
                <a:srgbClr val="808080"/>
              </a:solidFill>
              <a:latin typeface="Calibri"/>
            </a:rPr>
            <a:t>DESPESA DOAÇÕES E PRESENTES</a:t>
          </a:r>
          <a:endParaRPr b="0" lang="pt-BR" sz="1200" spc="-1" strike="noStrike">
            <a:latin typeface="Times New Roman"/>
          </a:endParaRPr>
        </a:p>
        <a:p>
          <a:pPr marL="457200">
            <a:lnSpc>
              <a:spcPct val="100000"/>
            </a:lnSpc>
            <a:tabLst>
              <a:tab algn="l" pos="0"/>
            </a:tabLst>
          </a:pPr>
          <a:endParaRPr b="0" lang="pt-BR" sz="1200" spc="-1" strike="noStrike">
            <a:latin typeface="Times New Roman"/>
          </a:endParaRPr>
        </a:p>
        <a:p>
          <a:pPr marL="457200">
            <a:lnSpc>
              <a:spcPct val="100000"/>
            </a:lnSpc>
            <a:tabLst>
              <a:tab algn="l" pos="0"/>
            </a:tabLst>
          </a:pPr>
          <a:r>
            <a:rPr b="0" lang="pt-BR" sz="1200" spc="-1" strike="noStrike">
              <a:solidFill>
                <a:srgbClr val="808080"/>
              </a:solidFill>
              <a:latin typeface="Calibri"/>
            </a:rPr>
            <a:t>DESPESAS EDUCAÇÃO</a:t>
          </a:r>
          <a:endParaRPr b="0" lang="pt-BR" sz="1200" spc="-1" strike="noStrike">
            <a:latin typeface="Times New Roman"/>
          </a:endParaRPr>
        </a:p>
        <a:p>
          <a:pPr marL="457200">
            <a:lnSpc>
              <a:spcPct val="100000"/>
            </a:lnSpc>
            <a:tabLst>
              <a:tab algn="l" pos="0"/>
            </a:tabLst>
          </a:pPr>
          <a:endParaRPr b="0" lang="pt-BR" sz="1200" spc="-1" strike="noStrike">
            <a:latin typeface="Times New Roman"/>
          </a:endParaRPr>
        </a:p>
        <a:p>
          <a:pPr marL="457200">
            <a:lnSpc>
              <a:spcPct val="100000"/>
            </a:lnSpc>
            <a:tabLst>
              <a:tab algn="l" pos="0"/>
            </a:tabLst>
          </a:pPr>
          <a:r>
            <a:rPr b="0" lang="pt-BR" sz="1200" spc="-1" strike="noStrike">
              <a:solidFill>
                <a:srgbClr val="808080"/>
              </a:solidFill>
              <a:latin typeface="Calibri"/>
            </a:rPr>
            <a:t>DESPESAS LAZER</a:t>
          </a:r>
          <a:endParaRPr b="0" lang="pt-BR" sz="1200" spc="-1" strike="noStrike">
            <a:latin typeface="Times New Roman"/>
          </a:endParaRPr>
        </a:p>
        <a:p>
          <a:pPr marL="457200">
            <a:lnSpc>
              <a:spcPct val="100000"/>
            </a:lnSpc>
            <a:tabLst>
              <a:tab algn="l" pos="0"/>
            </a:tabLst>
          </a:pPr>
          <a:endParaRPr b="0" lang="pt-BR" sz="1200" spc="-1" strike="noStrike">
            <a:latin typeface="Times New Roman"/>
          </a:endParaRPr>
        </a:p>
        <a:p>
          <a:pPr marL="457200">
            <a:lnSpc>
              <a:spcPct val="100000"/>
            </a:lnSpc>
            <a:tabLst>
              <a:tab algn="l" pos="0"/>
            </a:tabLst>
          </a:pPr>
          <a:r>
            <a:rPr b="0" lang="pt-BR" sz="1200" spc="-1" strike="noStrike">
              <a:solidFill>
                <a:srgbClr val="808080"/>
              </a:solidFill>
              <a:latin typeface="Calibri"/>
            </a:rPr>
            <a:t>DESPESAS FIXAS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399240</xdr:colOff>
      <xdr:row>1</xdr:row>
      <xdr:rowOff>237240</xdr:rowOff>
    </xdr:from>
    <xdr:to>
      <xdr:col>10</xdr:col>
      <xdr:colOff>544320</xdr:colOff>
      <xdr:row>4</xdr:row>
      <xdr:rowOff>101520</xdr:rowOff>
    </xdr:to>
    <xdr:pic>
      <xdr:nvPicPr>
        <xdr:cNvPr id="638" name="Gráfico 40" descr="Impressão digital"/>
        <xdr:cNvPicPr/>
      </xdr:nvPicPr>
      <xdr:blipFill>
        <a:blip r:embed="rId7"/>
        <a:stretch/>
      </xdr:blipFill>
      <xdr:spPr>
        <a:xfrm>
          <a:off x="5943240" y="427680"/>
          <a:ext cx="790200" cy="79776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absolute">
    <xdr:from>
      <xdr:col>7</xdr:col>
      <xdr:colOff>453960</xdr:colOff>
      <xdr:row>150</xdr:row>
      <xdr:rowOff>29520</xdr:rowOff>
    </xdr:from>
    <xdr:to>
      <xdr:col>11</xdr:col>
      <xdr:colOff>261720</xdr:colOff>
      <xdr:row>163</xdr:row>
      <xdr:rowOff>16200</xdr:rowOff>
    </xdr:to>
    <xdr:sp>
      <xdr:nvSpPr>
        <xdr:cNvPr id="639" name="Retângulo: Cantos Arredondados 42"/>
        <xdr:cNvSpPr/>
      </xdr:nvSpPr>
      <xdr:spPr>
        <a:xfrm>
          <a:off x="4707720" y="30169080"/>
          <a:ext cx="2388240" cy="24631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557640</xdr:colOff>
      <xdr:row>151</xdr:row>
      <xdr:rowOff>64800</xdr:rowOff>
    </xdr:from>
    <xdr:to>
      <xdr:col>11</xdr:col>
      <xdr:colOff>157320</xdr:colOff>
      <xdr:row>166</xdr:row>
      <xdr:rowOff>6480</xdr:rowOff>
    </xdr:to>
    <xdr:graphicFrame>
      <xdr:nvGraphicFramePr>
        <xdr:cNvPr id="640" name="Gráfico 44"/>
        <xdr:cNvGraphicFramePr/>
      </xdr:nvGraphicFramePr>
      <xdr:xfrm>
        <a:off x="4811400" y="30394800"/>
        <a:ext cx="2180160" cy="279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8</xdr:col>
      <xdr:colOff>393840</xdr:colOff>
      <xdr:row>159</xdr:row>
      <xdr:rowOff>47880</xdr:rowOff>
    </xdr:from>
    <xdr:to>
      <xdr:col>10</xdr:col>
      <xdr:colOff>329040</xdr:colOff>
      <xdr:row>160</xdr:row>
      <xdr:rowOff>87840</xdr:rowOff>
    </xdr:to>
    <xdr:sp>
      <xdr:nvSpPr>
        <xdr:cNvPr id="641" name="CaixaDeTexto 45"/>
        <xdr:cNvSpPr/>
      </xdr:nvSpPr>
      <xdr:spPr>
        <a:xfrm>
          <a:off x="5292720" y="31901760"/>
          <a:ext cx="1225440" cy="230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#DIV/0!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19</xdr:col>
      <xdr:colOff>465120</xdr:colOff>
      <xdr:row>2</xdr:row>
      <xdr:rowOff>75240</xdr:rowOff>
    </xdr:from>
    <xdr:to>
      <xdr:col>20</xdr:col>
      <xdr:colOff>142920</xdr:colOff>
      <xdr:row>3</xdr:row>
      <xdr:rowOff>29520</xdr:rowOff>
    </xdr:to>
    <xdr:pic>
      <xdr:nvPicPr>
        <xdr:cNvPr id="642" name="Gráfico 47" descr="Virar calendário">
          <a:hlinkClick r:id="rId9"/>
        </xdr:cNvPr>
        <xdr:cNvPicPr/>
      </xdr:nvPicPr>
      <xdr:blipFill>
        <a:blip r:embed="rId10"/>
        <a:stretch/>
      </xdr:blipFill>
      <xdr:spPr>
        <a:xfrm>
          <a:off x="12460680" y="503640"/>
          <a:ext cx="322920" cy="36396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18</xdr:col>
      <xdr:colOff>430560</xdr:colOff>
      <xdr:row>2</xdr:row>
      <xdr:rowOff>241200</xdr:rowOff>
    </xdr:from>
    <xdr:to>
      <xdr:col>19</xdr:col>
      <xdr:colOff>279000</xdr:colOff>
      <xdr:row>2</xdr:row>
      <xdr:rowOff>241200</xdr:rowOff>
    </xdr:to>
    <xdr:sp>
      <xdr:nvSpPr>
        <xdr:cNvPr id="643" name="Conector reto 48"/>
        <xdr:cNvSpPr/>
      </xdr:nvSpPr>
      <xdr:spPr>
        <a:xfrm>
          <a:off x="11781000" y="669600"/>
          <a:ext cx="49356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17</xdr:col>
      <xdr:colOff>438840</xdr:colOff>
      <xdr:row>2</xdr:row>
      <xdr:rowOff>46800</xdr:rowOff>
    </xdr:from>
    <xdr:to>
      <xdr:col>18</xdr:col>
      <xdr:colOff>148680</xdr:colOff>
      <xdr:row>3</xdr:row>
      <xdr:rowOff>27720</xdr:rowOff>
    </xdr:to>
    <xdr:pic>
      <xdr:nvPicPr>
        <xdr:cNvPr id="644" name="Gráfico 49" descr="Trancar">
          <a:hlinkClick r:id="rId11"/>
        </xdr:cNvPr>
        <xdr:cNvPicPr/>
      </xdr:nvPicPr>
      <xdr:blipFill>
        <a:blip r:embed="rId12"/>
        <a:stretch/>
      </xdr:blipFill>
      <xdr:spPr>
        <a:xfrm>
          <a:off x="11144160" y="475200"/>
          <a:ext cx="354960" cy="39060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absolute">
    <xdr:from>
      <xdr:col>1</xdr:col>
      <xdr:colOff>321840</xdr:colOff>
      <xdr:row>171</xdr:row>
      <xdr:rowOff>145440</xdr:rowOff>
    </xdr:from>
    <xdr:to>
      <xdr:col>5</xdr:col>
      <xdr:colOff>524880</xdr:colOff>
      <xdr:row>176</xdr:row>
      <xdr:rowOff>168840</xdr:rowOff>
    </xdr:to>
    <xdr:sp>
      <xdr:nvSpPr>
        <xdr:cNvPr id="645" name="Retângulo: Cantos Arredondados 52">
          <a:hlinkClick r:id="rId13"/>
        </xdr:cNvPr>
        <xdr:cNvSpPr/>
      </xdr:nvSpPr>
      <xdr:spPr>
        <a:xfrm>
          <a:off x="704520" y="34285320"/>
          <a:ext cx="2783880" cy="975960"/>
        </a:xfrm>
        <a:prstGeom prst="roundRect">
          <a:avLst>
            <a:gd name="adj" fmla="val 45606"/>
          </a:avLst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396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t-BR" sz="1100" spc="-1" strike="noStrike">
              <a:solidFill>
                <a:srgbClr val="ffffff"/>
              </a:solidFill>
              <a:latin typeface="Calibri"/>
            </a:rPr>
            <a:t>Mantenha os riscos controlados e baixos</a:t>
          </a:r>
          <a:r>
            <a:rPr b="0" lang="pt-BR" sz="1100" spc="-1" strike="noStrike">
              <a:solidFill>
                <a:srgbClr val="ffffff"/>
              </a:solidFill>
              <a:latin typeface="Calibri"/>
            </a:rPr>
            <a:t>, sempre que possível. Está com dificuldades? </a:t>
          </a:r>
          <a:r>
            <a:rPr b="1" lang="pt-BR" sz="1100" spc="-1" strike="noStrike" u="sng">
              <a:solidFill>
                <a:srgbClr val="ffffff"/>
              </a:solidFill>
              <a:uFillTx/>
              <a:latin typeface="Calibri"/>
            </a:rPr>
            <a:t>Clique aqui!</a:t>
          </a:r>
          <a:r>
            <a:rPr b="0" lang="pt-BR" sz="1100" spc="-1" strike="noStrike">
              <a:solidFill>
                <a:srgbClr val="ffffff"/>
              </a:solidFill>
              <a:latin typeface="Calibri"/>
            </a:rPr>
            <a:t>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469080</xdr:colOff>
      <xdr:row>173</xdr:row>
      <xdr:rowOff>121320</xdr:rowOff>
    </xdr:from>
    <xdr:to>
      <xdr:col>2</xdr:col>
      <xdr:colOff>75240</xdr:colOff>
      <xdr:row>175</xdr:row>
      <xdr:rowOff>2520</xdr:rowOff>
    </xdr:to>
    <xdr:pic>
      <xdr:nvPicPr>
        <xdr:cNvPr id="646" name="Gráfico 53" descr="Ajudar">
          <a:hlinkClick r:id="rId14"/>
        </xdr:cNvPr>
        <xdr:cNvPicPr/>
      </xdr:nvPicPr>
      <xdr:blipFill>
        <a:blip r:embed="rId15"/>
        <a:stretch/>
      </xdr:blipFill>
      <xdr:spPr>
        <a:xfrm>
          <a:off x="851760" y="34642440"/>
          <a:ext cx="251280" cy="262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355680</xdr:colOff>
      <xdr:row>164</xdr:row>
      <xdr:rowOff>0</xdr:rowOff>
    </xdr:from>
    <xdr:to>
      <xdr:col>5</xdr:col>
      <xdr:colOff>528480</xdr:colOff>
      <xdr:row>166</xdr:row>
      <xdr:rowOff>103680</xdr:rowOff>
    </xdr:to>
    <xdr:sp>
      <xdr:nvSpPr>
        <xdr:cNvPr id="647" name="CaixaDeTexto 54"/>
        <xdr:cNvSpPr/>
      </xdr:nvSpPr>
      <xdr:spPr>
        <a:xfrm>
          <a:off x="738360" y="32806440"/>
          <a:ext cx="2753640" cy="48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>
          <a:spAutoFit/>
        </a:bodyPr>
        <a:p>
          <a:pPr algn="ctr">
            <a:lnSpc>
              <a:spcPct val="100000"/>
            </a:lnSpc>
          </a:pPr>
          <a:r>
            <a:rPr b="1" lang="pt-BR" sz="2000" spc="-1" strike="noStrike">
              <a:solidFill>
                <a:srgbClr val="a5a5a5"/>
              </a:solidFill>
              <a:latin typeface="Calibri"/>
            </a:rPr>
            <a:t>RISCOS </a:t>
          </a:r>
          <a:endParaRPr b="0" lang="pt-BR" sz="2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e7e6e6"/>
              </a:solidFill>
              <a:latin typeface="Calibri"/>
            </a:rPr>
            <a:t>_____________________________________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84960</xdr:colOff>
      <xdr:row>167</xdr:row>
      <xdr:rowOff>104040</xdr:rowOff>
    </xdr:from>
    <xdr:to>
      <xdr:col>2</xdr:col>
      <xdr:colOff>303480</xdr:colOff>
      <xdr:row>168</xdr:row>
      <xdr:rowOff>114840</xdr:rowOff>
    </xdr:to>
    <xdr:sp>
      <xdr:nvSpPr>
        <xdr:cNvPr id="648" name="Elipse 63"/>
        <xdr:cNvSpPr/>
      </xdr:nvSpPr>
      <xdr:spPr>
        <a:xfrm>
          <a:off x="1112760" y="33482160"/>
          <a:ext cx="218520" cy="201240"/>
        </a:xfrm>
        <a:prstGeom prst="ellipse">
          <a:avLst/>
        </a:prstGeom>
        <a:solidFill>
          <a:srgbClr val="ff898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604440</xdr:colOff>
      <xdr:row>169</xdr:row>
      <xdr:rowOff>2880</xdr:rowOff>
    </xdr:from>
    <xdr:to>
      <xdr:col>2</xdr:col>
      <xdr:colOff>426240</xdr:colOff>
      <xdr:row>170</xdr:row>
      <xdr:rowOff>42480</xdr:rowOff>
    </xdr:to>
    <xdr:sp>
      <xdr:nvSpPr>
        <xdr:cNvPr id="649" name="CaixaDeTexto 64"/>
        <xdr:cNvSpPr/>
      </xdr:nvSpPr>
      <xdr:spPr>
        <a:xfrm>
          <a:off x="987120" y="33761880"/>
          <a:ext cx="466920" cy="23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ALTO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317520</xdr:colOff>
      <xdr:row>167</xdr:row>
      <xdr:rowOff>106920</xdr:rowOff>
    </xdr:from>
    <xdr:to>
      <xdr:col>3</xdr:col>
      <xdr:colOff>514800</xdr:colOff>
      <xdr:row>168</xdr:row>
      <xdr:rowOff>113760</xdr:rowOff>
    </xdr:to>
    <xdr:sp>
      <xdr:nvSpPr>
        <xdr:cNvPr id="650" name="Elipse 61"/>
        <xdr:cNvSpPr/>
      </xdr:nvSpPr>
      <xdr:spPr>
        <a:xfrm>
          <a:off x="1990440" y="33485040"/>
          <a:ext cx="197280" cy="197280"/>
        </a:xfrm>
        <a:prstGeom prst="ellipse">
          <a:avLst/>
        </a:prstGeom>
        <a:solidFill>
          <a:srgbClr val="ffeba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123120</xdr:colOff>
      <xdr:row>169</xdr:row>
      <xdr:rowOff>4320</xdr:rowOff>
    </xdr:from>
    <xdr:to>
      <xdr:col>4</xdr:col>
      <xdr:colOff>60480</xdr:colOff>
      <xdr:row>170</xdr:row>
      <xdr:rowOff>43920</xdr:rowOff>
    </xdr:to>
    <xdr:sp>
      <xdr:nvSpPr>
        <xdr:cNvPr id="651" name="CaixaDeTexto 62"/>
        <xdr:cNvSpPr/>
      </xdr:nvSpPr>
      <xdr:spPr>
        <a:xfrm>
          <a:off x="1796040" y="33763320"/>
          <a:ext cx="582480" cy="23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MÉDIO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566280</xdr:colOff>
      <xdr:row>167</xdr:row>
      <xdr:rowOff>106920</xdr:rowOff>
    </xdr:from>
    <xdr:to>
      <xdr:col>5</xdr:col>
      <xdr:colOff>132120</xdr:colOff>
      <xdr:row>168</xdr:row>
      <xdr:rowOff>113760</xdr:rowOff>
    </xdr:to>
    <xdr:sp>
      <xdr:nvSpPr>
        <xdr:cNvPr id="652" name="Elipse 59"/>
        <xdr:cNvSpPr/>
      </xdr:nvSpPr>
      <xdr:spPr>
        <a:xfrm>
          <a:off x="2884320" y="33485040"/>
          <a:ext cx="211320" cy="19728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398880</xdr:colOff>
      <xdr:row>169</xdr:row>
      <xdr:rowOff>4320</xdr:rowOff>
    </xdr:from>
    <xdr:to>
      <xdr:col>5</xdr:col>
      <xdr:colOff>286200</xdr:colOff>
      <xdr:row>170</xdr:row>
      <xdr:rowOff>43920</xdr:rowOff>
    </xdr:to>
    <xdr:sp>
      <xdr:nvSpPr>
        <xdr:cNvPr id="653" name="CaixaDeTexto 60"/>
        <xdr:cNvSpPr/>
      </xdr:nvSpPr>
      <xdr:spPr>
        <a:xfrm>
          <a:off x="2716920" y="33763320"/>
          <a:ext cx="532800" cy="23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BAIXO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445680</xdr:colOff>
      <xdr:row>129</xdr:row>
      <xdr:rowOff>48960</xdr:rowOff>
    </xdr:from>
    <xdr:to>
      <xdr:col>7</xdr:col>
      <xdr:colOff>590400</xdr:colOff>
      <xdr:row>129</xdr:row>
      <xdr:rowOff>189720</xdr:rowOff>
    </xdr:to>
    <xdr:sp>
      <xdr:nvSpPr>
        <xdr:cNvPr id="654" name="Elipse 65"/>
        <xdr:cNvSpPr/>
      </xdr:nvSpPr>
      <xdr:spPr>
        <a:xfrm>
          <a:off x="4699440" y="26187840"/>
          <a:ext cx="144720" cy="140760"/>
        </a:xfrm>
        <a:prstGeom prst="ellipse">
          <a:avLst/>
        </a:prstGeom>
        <a:solidFill>
          <a:srgbClr val="00b0f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451800</xdr:colOff>
      <xdr:row>131</xdr:row>
      <xdr:rowOff>16560</xdr:rowOff>
    </xdr:from>
    <xdr:to>
      <xdr:col>7</xdr:col>
      <xdr:colOff>591480</xdr:colOff>
      <xdr:row>131</xdr:row>
      <xdr:rowOff>157320</xdr:rowOff>
    </xdr:to>
    <xdr:sp>
      <xdr:nvSpPr>
        <xdr:cNvPr id="655" name="Elipse 66"/>
        <xdr:cNvSpPr/>
      </xdr:nvSpPr>
      <xdr:spPr>
        <a:xfrm>
          <a:off x="4705560" y="26536680"/>
          <a:ext cx="139680" cy="140760"/>
        </a:xfrm>
        <a:prstGeom prst="ellipse">
          <a:avLst/>
        </a:prstGeom>
        <a:solidFill>
          <a:srgbClr val="7030a0">
            <a:alpha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451800</xdr:colOff>
      <xdr:row>133</xdr:row>
      <xdr:rowOff>98640</xdr:rowOff>
    </xdr:from>
    <xdr:to>
      <xdr:col>7</xdr:col>
      <xdr:colOff>591480</xdr:colOff>
      <xdr:row>134</xdr:row>
      <xdr:rowOff>48960</xdr:rowOff>
    </xdr:to>
    <xdr:sp>
      <xdr:nvSpPr>
        <xdr:cNvPr id="656" name="Elipse 67"/>
        <xdr:cNvSpPr/>
      </xdr:nvSpPr>
      <xdr:spPr>
        <a:xfrm>
          <a:off x="4705560" y="26999640"/>
          <a:ext cx="139680" cy="140760"/>
        </a:xfrm>
        <a:prstGeom prst="ellipse">
          <a:avLst/>
        </a:prstGeom>
        <a:solidFill>
          <a:srgbClr val="ff5757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451800</xdr:colOff>
      <xdr:row>135</xdr:row>
      <xdr:rowOff>180360</xdr:rowOff>
    </xdr:from>
    <xdr:to>
      <xdr:col>7</xdr:col>
      <xdr:colOff>591480</xdr:colOff>
      <xdr:row>136</xdr:row>
      <xdr:rowOff>137160</xdr:rowOff>
    </xdr:to>
    <xdr:sp>
      <xdr:nvSpPr>
        <xdr:cNvPr id="657" name="Elipse 68"/>
        <xdr:cNvSpPr/>
      </xdr:nvSpPr>
      <xdr:spPr>
        <a:xfrm>
          <a:off x="4705560" y="27462240"/>
          <a:ext cx="139680" cy="147240"/>
        </a:xfrm>
        <a:prstGeom prst="ellipse">
          <a:avLst/>
        </a:prstGeom>
        <a:solidFill>
          <a:srgbClr val="ff5757">
            <a:alpha val="6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451800</xdr:colOff>
      <xdr:row>137</xdr:row>
      <xdr:rowOff>182880</xdr:rowOff>
    </xdr:from>
    <xdr:to>
      <xdr:col>7</xdr:col>
      <xdr:colOff>591480</xdr:colOff>
      <xdr:row>138</xdr:row>
      <xdr:rowOff>137520</xdr:rowOff>
    </xdr:to>
    <xdr:sp>
      <xdr:nvSpPr>
        <xdr:cNvPr id="658" name="Elipse 69"/>
        <xdr:cNvSpPr/>
      </xdr:nvSpPr>
      <xdr:spPr>
        <a:xfrm>
          <a:off x="4705560" y="27846000"/>
          <a:ext cx="139680" cy="145080"/>
        </a:xfrm>
        <a:prstGeom prst="ellipse">
          <a:avLst/>
        </a:prstGeom>
        <a:solidFill>
          <a:srgbClr val="ff5757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450360</xdr:colOff>
      <xdr:row>139</xdr:row>
      <xdr:rowOff>183240</xdr:rowOff>
    </xdr:from>
    <xdr:to>
      <xdr:col>7</xdr:col>
      <xdr:colOff>590040</xdr:colOff>
      <xdr:row>140</xdr:row>
      <xdr:rowOff>132840</xdr:rowOff>
    </xdr:to>
    <xdr:sp>
      <xdr:nvSpPr>
        <xdr:cNvPr id="659" name="Elipse 70"/>
        <xdr:cNvSpPr/>
      </xdr:nvSpPr>
      <xdr:spPr>
        <a:xfrm>
          <a:off x="4704120" y="28227240"/>
          <a:ext cx="139680" cy="140040"/>
        </a:xfrm>
        <a:prstGeom prst="ellipse">
          <a:avLst/>
        </a:prstGeom>
        <a:solidFill>
          <a:srgbClr val="ff57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2520</xdr:colOff>
      <xdr:row>44</xdr:row>
      <xdr:rowOff>124560</xdr:rowOff>
    </xdr:from>
    <xdr:to>
      <xdr:col>11</xdr:col>
      <xdr:colOff>503280</xdr:colOff>
      <xdr:row>60</xdr:row>
      <xdr:rowOff>86760</xdr:rowOff>
    </xdr:to>
    <xdr:sp>
      <xdr:nvSpPr>
        <xdr:cNvPr id="660" name="Retângulo: Cantos Arredondados 72"/>
        <xdr:cNvSpPr/>
      </xdr:nvSpPr>
      <xdr:spPr>
        <a:xfrm>
          <a:off x="4256280" y="8956440"/>
          <a:ext cx="3081240" cy="30103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215640</xdr:colOff>
      <xdr:row>45</xdr:row>
      <xdr:rowOff>88560</xdr:rowOff>
    </xdr:from>
    <xdr:to>
      <xdr:col>11</xdr:col>
      <xdr:colOff>290880</xdr:colOff>
      <xdr:row>59</xdr:row>
      <xdr:rowOff>122760</xdr:rowOff>
    </xdr:to>
    <xdr:sp>
      <xdr:nvSpPr>
        <xdr:cNvPr id="661" name=""/>
        <xdr:cNvSpPr/>
      </xdr:nvSpPr>
      <xdr:spPr>
        <a:xfrm>
          <a:off x="4469400" y="9111240"/>
          <a:ext cx="2655720" cy="27010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GB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379800</xdr:colOff>
      <xdr:row>44</xdr:row>
      <xdr:rowOff>87120</xdr:rowOff>
    </xdr:from>
    <xdr:to>
      <xdr:col>17</xdr:col>
      <xdr:colOff>268200</xdr:colOff>
      <xdr:row>60</xdr:row>
      <xdr:rowOff>49320</xdr:rowOff>
    </xdr:to>
    <xdr:sp>
      <xdr:nvSpPr>
        <xdr:cNvPr id="662" name="Retângulo: Cantos Arredondados 75"/>
        <xdr:cNvSpPr/>
      </xdr:nvSpPr>
      <xdr:spPr>
        <a:xfrm>
          <a:off x="7859160" y="8919000"/>
          <a:ext cx="3114360" cy="30103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587520</xdr:colOff>
      <xdr:row>45</xdr:row>
      <xdr:rowOff>50760</xdr:rowOff>
    </xdr:from>
    <xdr:to>
      <xdr:col>17</xdr:col>
      <xdr:colOff>46080</xdr:colOff>
      <xdr:row>59</xdr:row>
      <xdr:rowOff>84960</xdr:rowOff>
    </xdr:to>
    <xdr:sp>
      <xdr:nvSpPr>
        <xdr:cNvPr id="663" name=""/>
        <xdr:cNvSpPr/>
      </xdr:nvSpPr>
      <xdr:spPr>
        <a:xfrm>
          <a:off x="8066880" y="9073440"/>
          <a:ext cx="2684520" cy="27010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GB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2520</xdr:colOff>
      <xdr:row>64</xdr:row>
      <xdr:rowOff>10800</xdr:rowOff>
    </xdr:from>
    <xdr:to>
      <xdr:col>11</xdr:col>
      <xdr:colOff>504000</xdr:colOff>
      <xdr:row>79</xdr:row>
      <xdr:rowOff>163440</xdr:rowOff>
    </xdr:to>
    <xdr:sp>
      <xdr:nvSpPr>
        <xdr:cNvPr id="664" name="Retângulo: Cantos Arredondados 78"/>
        <xdr:cNvSpPr/>
      </xdr:nvSpPr>
      <xdr:spPr>
        <a:xfrm>
          <a:off x="4256280" y="12652920"/>
          <a:ext cx="3081960" cy="300996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215640</xdr:colOff>
      <xdr:row>64</xdr:row>
      <xdr:rowOff>165240</xdr:rowOff>
    </xdr:from>
    <xdr:to>
      <xdr:col>11</xdr:col>
      <xdr:colOff>290880</xdr:colOff>
      <xdr:row>79</xdr:row>
      <xdr:rowOff>9000</xdr:rowOff>
    </xdr:to>
    <xdr:sp>
      <xdr:nvSpPr>
        <xdr:cNvPr id="665" name=""/>
        <xdr:cNvSpPr/>
      </xdr:nvSpPr>
      <xdr:spPr>
        <a:xfrm>
          <a:off x="4469400" y="12807360"/>
          <a:ext cx="2655720" cy="27010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GB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379800</xdr:colOff>
      <xdr:row>64</xdr:row>
      <xdr:rowOff>10800</xdr:rowOff>
    </xdr:from>
    <xdr:to>
      <xdr:col>17</xdr:col>
      <xdr:colOff>262800</xdr:colOff>
      <xdr:row>79</xdr:row>
      <xdr:rowOff>163440</xdr:rowOff>
    </xdr:to>
    <xdr:sp>
      <xdr:nvSpPr>
        <xdr:cNvPr id="666" name="Retângulo: Cantos Arredondados 81"/>
        <xdr:cNvSpPr/>
      </xdr:nvSpPr>
      <xdr:spPr>
        <a:xfrm>
          <a:off x="7859160" y="12652920"/>
          <a:ext cx="3108960" cy="300996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595440</xdr:colOff>
      <xdr:row>64</xdr:row>
      <xdr:rowOff>165240</xdr:rowOff>
    </xdr:from>
    <xdr:to>
      <xdr:col>17</xdr:col>
      <xdr:colOff>54360</xdr:colOff>
      <xdr:row>79</xdr:row>
      <xdr:rowOff>9000</xdr:rowOff>
    </xdr:to>
    <xdr:sp>
      <xdr:nvSpPr>
        <xdr:cNvPr id="667" name=""/>
        <xdr:cNvSpPr/>
      </xdr:nvSpPr>
      <xdr:spPr>
        <a:xfrm>
          <a:off x="8074800" y="12807360"/>
          <a:ext cx="2684880" cy="27010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GB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411480</xdr:colOff>
      <xdr:row>19</xdr:row>
      <xdr:rowOff>155880</xdr:rowOff>
    </xdr:from>
    <xdr:to>
      <xdr:col>5</xdr:col>
      <xdr:colOff>502920</xdr:colOff>
      <xdr:row>33</xdr:row>
      <xdr:rowOff>190080</xdr:rowOff>
    </xdr:to>
    <xdr:graphicFrame>
      <xdr:nvGraphicFramePr>
        <xdr:cNvPr id="668" name="Gráfico 83"/>
        <xdr:cNvGraphicFramePr/>
      </xdr:nvGraphicFramePr>
      <xdr:xfrm>
        <a:off x="794160" y="4225320"/>
        <a:ext cx="2672280" cy="27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12</xdr:col>
      <xdr:colOff>546840</xdr:colOff>
      <xdr:row>19</xdr:row>
      <xdr:rowOff>155880</xdr:rowOff>
    </xdr:from>
    <xdr:to>
      <xdr:col>17</xdr:col>
      <xdr:colOff>33120</xdr:colOff>
      <xdr:row>33</xdr:row>
      <xdr:rowOff>190080</xdr:rowOff>
    </xdr:to>
    <xdr:graphicFrame>
      <xdr:nvGraphicFramePr>
        <xdr:cNvPr id="669" name="Gráfico 84"/>
        <xdr:cNvGraphicFramePr/>
      </xdr:nvGraphicFramePr>
      <xdr:xfrm>
        <a:off x="8026200" y="4225320"/>
        <a:ext cx="2712240" cy="27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18</xdr:col>
      <xdr:colOff>313200</xdr:colOff>
      <xdr:row>19</xdr:row>
      <xdr:rowOff>155880</xdr:rowOff>
    </xdr:from>
    <xdr:to>
      <xdr:col>22</xdr:col>
      <xdr:colOff>404640</xdr:colOff>
      <xdr:row>33</xdr:row>
      <xdr:rowOff>190080</xdr:rowOff>
    </xdr:to>
    <xdr:graphicFrame>
      <xdr:nvGraphicFramePr>
        <xdr:cNvPr id="670" name="Gráfico 85"/>
        <xdr:cNvGraphicFramePr/>
      </xdr:nvGraphicFramePr>
      <xdr:xfrm>
        <a:off x="11663640" y="4225320"/>
        <a:ext cx="2671920" cy="27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1</xdr:col>
      <xdr:colOff>104040</xdr:colOff>
      <xdr:row>7</xdr:row>
      <xdr:rowOff>0</xdr:rowOff>
    </xdr:from>
    <xdr:to>
      <xdr:col>23</xdr:col>
      <xdr:colOff>105840</xdr:colOff>
      <xdr:row>15</xdr:row>
      <xdr:rowOff>33120</xdr:rowOff>
    </xdr:to>
    <xdr:sp>
      <xdr:nvSpPr>
        <xdr:cNvPr id="671" name="Retângulo: Cantos Arredondados 87"/>
        <xdr:cNvSpPr/>
      </xdr:nvSpPr>
      <xdr:spPr>
        <a:xfrm>
          <a:off x="486720" y="1783440"/>
          <a:ext cx="14195520" cy="155736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618840</xdr:colOff>
      <xdr:row>7</xdr:row>
      <xdr:rowOff>123840</xdr:rowOff>
    </xdr:from>
    <xdr:to>
      <xdr:col>22</xdr:col>
      <xdr:colOff>244800</xdr:colOff>
      <xdr:row>14</xdr:row>
      <xdr:rowOff>122040</xdr:rowOff>
    </xdr:to>
    <xdr:graphicFrame>
      <xdr:nvGraphicFramePr>
        <xdr:cNvPr id="672" name="Gráfico 88"/>
        <xdr:cNvGraphicFramePr/>
      </xdr:nvGraphicFramePr>
      <xdr:xfrm>
        <a:off x="1001520" y="1907280"/>
        <a:ext cx="13174200" cy="133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twoCell">
    <xdr:from>
      <xdr:col>1</xdr:col>
      <xdr:colOff>356040</xdr:colOff>
      <xdr:row>35</xdr:row>
      <xdr:rowOff>63360</xdr:rowOff>
    </xdr:from>
    <xdr:to>
      <xdr:col>5</xdr:col>
      <xdr:colOff>559080</xdr:colOff>
      <xdr:row>40</xdr:row>
      <xdr:rowOff>86760</xdr:rowOff>
    </xdr:to>
    <xdr:sp>
      <xdr:nvSpPr>
        <xdr:cNvPr id="673" name="Retângulo: Cantos Arredondados 89">
          <a:hlinkClick r:id="rId20"/>
        </xdr:cNvPr>
        <xdr:cNvSpPr/>
      </xdr:nvSpPr>
      <xdr:spPr>
        <a:xfrm>
          <a:off x="738720" y="7180920"/>
          <a:ext cx="2783880" cy="975960"/>
        </a:xfrm>
        <a:prstGeom prst="roundRect">
          <a:avLst>
            <a:gd name="adj" fmla="val 45606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396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t-BR" sz="1100" spc="-1" strike="noStrike" u="sng">
              <a:solidFill>
                <a:srgbClr val="808080"/>
              </a:solidFill>
              <a:uFillTx/>
              <a:latin typeface="Calibri"/>
            </a:rPr>
            <a:t>Confira dicas fáceis que vão te ajudar a juntar dinheiro rápido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497520</xdr:colOff>
      <xdr:row>37</xdr:row>
      <xdr:rowOff>39240</xdr:rowOff>
    </xdr:from>
    <xdr:to>
      <xdr:col>2</xdr:col>
      <xdr:colOff>120240</xdr:colOff>
      <xdr:row>38</xdr:row>
      <xdr:rowOff>110880</xdr:rowOff>
    </xdr:to>
    <xdr:pic>
      <xdr:nvPicPr>
        <xdr:cNvPr id="674" name="Gráfico 90" descr="Ajudar">
          <a:hlinkClick r:id="rId21"/>
        </xdr:cNvPr>
        <xdr:cNvPicPr/>
      </xdr:nvPicPr>
      <xdr:blipFill>
        <a:blip r:embed="rId22"/>
        <a:stretch/>
      </xdr:blipFill>
      <xdr:spPr>
        <a:xfrm>
          <a:off x="880200" y="7537680"/>
          <a:ext cx="267840" cy="262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6</xdr:col>
      <xdr:colOff>581040</xdr:colOff>
      <xdr:row>18</xdr:row>
      <xdr:rowOff>89640</xdr:rowOff>
    </xdr:from>
    <xdr:to>
      <xdr:col>11</xdr:col>
      <xdr:colOff>470160</xdr:colOff>
      <xdr:row>40</xdr:row>
      <xdr:rowOff>190080</xdr:rowOff>
    </xdr:to>
    <xdr:sp>
      <xdr:nvSpPr>
        <xdr:cNvPr id="675" name="Retângulo: Cantos Arredondados 91"/>
        <xdr:cNvSpPr/>
      </xdr:nvSpPr>
      <xdr:spPr>
        <a:xfrm>
          <a:off x="4189680" y="3968640"/>
          <a:ext cx="3114720" cy="429156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176760</xdr:colOff>
      <xdr:row>19</xdr:row>
      <xdr:rowOff>155880</xdr:rowOff>
    </xdr:from>
    <xdr:to>
      <xdr:col>11</xdr:col>
      <xdr:colOff>268200</xdr:colOff>
      <xdr:row>33</xdr:row>
      <xdr:rowOff>190080</xdr:rowOff>
    </xdr:to>
    <xdr:graphicFrame>
      <xdr:nvGraphicFramePr>
        <xdr:cNvPr id="676" name="Gráfico 92"/>
        <xdr:cNvGraphicFramePr/>
      </xdr:nvGraphicFramePr>
      <xdr:xfrm>
        <a:off x="4430520" y="4225320"/>
        <a:ext cx="2671920" cy="27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twoCell">
    <xdr:from>
      <xdr:col>7</xdr:col>
      <xdr:colOff>120960</xdr:colOff>
      <xdr:row>35</xdr:row>
      <xdr:rowOff>63360</xdr:rowOff>
    </xdr:from>
    <xdr:to>
      <xdr:col>11</xdr:col>
      <xdr:colOff>324000</xdr:colOff>
      <xdr:row>40</xdr:row>
      <xdr:rowOff>86760</xdr:rowOff>
    </xdr:to>
    <xdr:sp>
      <xdr:nvSpPr>
        <xdr:cNvPr id="677" name="Retângulo: Cantos Arredondados 93">
          <a:hlinkClick r:id="rId24"/>
        </xdr:cNvPr>
        <xdr:cNvSpPr/>
      </xdr:nvSpPr>
      <xdr:spPr>
        <a:xfrm>
          <a:off x="4374720" y="7180920"/>
          <a:ext cx="2783520" cy="975960"/>
        </a:xfrm>
        <a:prstGeom prst="roundRect">
          <a:avLst>
            <a:gd name="adj" fmla="val 45606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396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t-BR" sz="1100" spc="-1" strike="noStrike" u="sng">
              <a:solidFill>
                <a:srgbClr val="808080"/>
              </a:solidFill>
              <a:uFillTx/>
              <a:latin typeface="Calibri"/>
            </a:rPr>
            <a:t>Dinheiro acabou antes do fim do mês? Veja como priorizar as contas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262800</xdr:colOff>
      <xdr:row>37</xdr:row>
      <xdr:rowOff>39240</xdr:rowOff>
    </xdr:from>
    <xdr:to>
      <xdr:col>7</xdr:col>
      <xdr:colOff>504720</xdr:colOff>
      <xdr:row>38</xdr:row>
      <xdr:rowOff>110880</xdr:rowOff>
    </xdr:to>
    <xdr:pic>
      <xdr:nvPicPr>
        <xdr:cNvPr id="678" name="Gráfico 94" descr="Ajudar">
          <a:hlinkClick r:id="rId25"/>
        </xdr:cNvPr>
        <xdr:cNvPicPr/>
      </xdr:nvPicPr>
      <xdr:blipFill>
        <a:blip r:embed="rId26"/>
        <a:stretch/>
      </xdr:blipFill>
      <xdr:spPr>
        <a:xfrm>
          <a:off x="4516560" y="7537680"/>
          <a:ext cx="241920" cy="262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12</xdr:col>
      <xdr:colOff>492120</xdr:colOff>
      <xdr:row>35</xdr:row>
      <xdr:rowOff>63360</xdr:rowOff>
    </xdr:from>
    <xdr:to>
      <xdr:col>17</xdr:col>
      <xdr:colOff>88920</xdr:colOff>
      <xdr:row>40</xdr:row>
      <xdr:rowOff>86760</xdr:rowOff>
    </xdr:to>
    <xdr:sp>
      <xdr:nvSpPr>
        <xdr:cNvPr id="679" name="Retângulo: Cantos Arredondados 95">
          <a:hlinkClick r:id="rId27"/>
        </xdr:cNvPr>
        <xdr:cNvSpPr/>
      </xdr:nvSpPr>
      <xdr:spPr>
        <a:xfrm>
          <a:off x="7971480" y="7180920"/>
          <a:ext cx="2822760" cy="975960"/>
        </a:xfrm>
        <a:prstGeom prst="roundRect">
          <a:avLst>
            <a:gd name="adj" fmla="val 45606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396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t-BR" sz="1100" spc="-1" strike="noStrike" u="sng">
              <a:solidFill>
                <a:srgbClr val="808080"/>
              </a:solidFill>
              <a:uFillTx/>
              <a:latin typeface="Calibri"/>
            </a:rPr>
            <a:t>Melhores investimentos para aplicar seu dinheiro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15480</xdr:colOff>
      <xdr:row>37</xdr:row>
      <xdr:rowOff>39240</xdr:rowOff>
    </xdr:from>
    <xdr:to>
      <xdr:col>13</xdr:col>
      <xdr:colOff>258480</xdr:colOff>
      <xdr:row>38</xdr:row>
      <xdr:rowOff>110880</xdr:rowOff>
    </xdr:to>
    <xdr:pic>
      <xdr:nvPicPr>
        <xdr:cNvPr id="680" name="Gráfico 96" descr="Ajudar">
          <a:hlinkClick r:id="rId28"/>
        </xdr:cNvPr>
        <xdr:cNvPicPr/>
      </xdr:nvPicPr>
      <xdr:blipFill>
        <a:blip r:embed="rId29"/>
        <a:stretch/>
      </xdr:blipFill>
      <xdr:spPr>
        <a:xfrm>
          <a:off x="8139960" y="7537680"/>
          <a:ext cx="243000" cy="262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18</xdr:col>
      <xdr:colOff>257400</xdr:colOff>
      <xdr:row>35</xdr:row>
      <xdr:rowOff>63360</xdr:rowOff>
    </xdr:from>
    <xdr:to>
      <xdr:col>22</xdr:col>
      <xdr:colOff>460440</xdr:colOff>
      <xdr:row>40</xdr:row>
      <xdr:rowOff>86760</xdr:rowOff>
    </xdr:to>
    <xdr:sp>
      <xdr:nvSpPr>
        <xdr:cNvPr id="681" name="Retângulo: Cantos Arredondados 97">
          <a:hlinkClick r:id="rId30"/>
        </xdr:cNvPr>
        <xdr:cNvSpPr/>
      </xdr:nvSpPr>
      <xdr:spPr>
        <a:xfrm>
          <a:off x="11607840" y="7180920"/>
          <a:ext cx="2783520" cy="975960"/>
        </a:xfrm>
        <a:prstGeom prst="roundRect">
          <a:avLst>
            <a:gd name="adj" fmla="val 45606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396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t-BR" sz="1100" spc="-1" strike="noStrike" u="sng">
              <a:solidFill>
                <a:srgbClr val="808080"/>
              </a:solidFill>
              <a:uFillTx/>
              <a:latin typeface="Calibri"/>
            </a:rPr>
            <a:t>Você sabe o que é reserva de emergência? Aprenda a montar uma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398880</xdr:colOff>
      <xdr:row>37</xdr:row>
      <xdr:rowOff>39240</xdr:rowOff>
    </xdr:from>
    <xdr:to>
      <xdr:col>19</xdr:col>
      <xdr:colOff>21600</xdr:colOff>
      <xdr:row>38</xdr:row>
      <xdr:rowOff>110880</xdr:rowOff>
    </xdr:to>
    <xdr:pic>
      <xdr:nvPicPr>
        <xdr:cNvPr id="682" name="Gráfico 98" descr="Ajudar">
          <a:hlinkClick r:id="rId31"/>
        </xdr:cNvPr>
        <xdr:cNvPicPr/>
      </xdr:nvPicPr>
      <xdr:blipFill>
        <a:blip r:embed="rId32"/>
        <a:stretch/>
      </xdr:blipFill>
      <xdr:spPr>
        <a:xfrm>
          <a:off x="11749320" y="7537680"/>
          <a:ext cx="267840" cy="262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217080</xdr:colOff>
      <xdr:row>44</xdr:row>
      <xdr:rowOff>124560</xdr:rowOff>
    </xdr:from>
    <xdr:to>
      <xdr:col>6</xdr:col>
      <xdr:colOff>105480</xdr:colOff>
      <xdr:row>60</xdr:row>
      <xdr:rowOff>86760</xdr:rowOff>
    </xdr:to>
    <xdr:sp>
      <xdr:nvSpPr>
        <xdr:cNvPr id="683" name="Retângulo: Cantos Arredondados 100"/>
        <xdr:cNvSpPr/>
      </xdr:nvSpPr>
      <xdr:spPr>
        <a:xfrm>
          <a:off x="599760" y="8956440"/>
          <a:ext cx="3114360" cy="30103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366120</xdr:colOff>
      <xdr:row>50</xdr:row>
      <xdr:rowOff>180720</xdr:rowOff>
    </xdr:from>
    <xdr:to>
      <xdr:col>5</xdr:col>
      <xdr:colOff>569520</xdr:colOff>
      <xdr:row>54</xdr:row>
      <xdr:rowOff>21960</xdr:rowOff>
    </xdr:to>
    <xdr:sp>
      <xdr:nvSpPr>
        <xdr:cNvPr id="684" name="Retângulo: Cantos Arredondados 106">
          <a:hlinkClick r:id="rId33"/>
        </xdr:cNvPr>
        <xdr:cNvSpPr/>
      </xdr:nvSpPr>
      <xdr:spPr>
        <a:xfrm>
          <a:off x="748800" y="10155600"/>
          <a:ext cx="2784240" cy="603360"/>
        </a:xfrm>
        <a:prstGeom prst="roundRect">
          <a:avLst>
            <a:gd name="adj" fmla="val 45606"/>
          </a:avLst>
        </a:prstGeom>
        <a:solidFill>
          <a:srgbClr val="00b050"/>
        </a:solidFill>
        <a:ln>
          <a:solidFill>
            <a:srgbClr val="ffffff">
              <a:lumMod val="8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396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t-BR" sz="1000" spc="-1" strike="noStrike" u="sng">
              <a:solidFill>
                <a:srgbClr val="ffffff"/>
              </a:solidFill>
              <a:uFillTx/>
              <a:latin typeface="Calibri"/>
            </a:rPr>
            <a:t>Quais são os desafios para você começar a juntar dinheiro?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507240</xdr:colOff>
      <xdr:row>51</xdr:row>
      <xdr:rowOff>155520</xdr:rowOff>
    </xdr:from>
    <xdr:to>
      <xdr:col>2</xdr:col>
      <xdr:colOff>138960</xdr:colOff>
      <xdr:row>53</xdr:row>
      <xdr:rowOff>39960</xdr:rowOff>
    </xdr:to>
    <xdr:pic>
      <xdr:nvPicPr>
        <xdr:cNvPr id="685" name="Gráfico 107" descr="Alvo">
          <a:hlinkClick r:id="rId34"/>
        </xdr:cNvPr>
        <xdr:cNvPicPr/>
      </xdr:nvPicPr>
      <xdr:blipFill>
        <a:blip r:embed="rId35"/>
        <a:stretch/>
      </xdr:blipFill>
      <xdr:spPr>
        <a:xfrm>
          <a:off x="889920" y="10321200"/>
          <a:ext cx="276840" cy="2653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384480</xdr:colOff>
      <xdr:row>55</xdr:row>
      <xdr:rowOff>22320</xdr:rowOff>
    </xdr:from>
    <xdr:to>
      <xdr:col>5</xdr:col>
      <xdr:colOff>587880</xdr:colOff>
      <xdr:row>58</xdr:row>
      <xdr:rowOff>49680</xdr:rowOff>
    </xdr:to>
    <xdr:sp>
      <xdr:nvSpPr>
        <xdr:cNvPr id="686" name="Retângulo: Cantos Arredondados 104">
          <a:hlinkClick r:id="rId36"/>
        </xdr:cNvPr>
        <xdr:cNvSpPr/>
      </xdr:nvSpPr>
      <xdr:spPr>
        <a:xfrm>
          <a:off x="767160" y="10949760"/>
          <a:ext cx="2784240" cy="599040"/>
        </a:xfrm>
        <a:prstGeom prst="roundRect">
          <a:avLst>
            <a:gd name="adj" fmla="val 45606"/>
          </a:avLst>
        </a:prstGeom>
        <a:solidFill>
          <a:srgbClr val="00b050"/>
        </a:solidFill>
        <a:ln>
          <a:solidFill>
            <a:srgbClr val="ffffff">
              <a:lumMod val="8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396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t-BR" sz="1000" spc="-1" strike="noStrike" u="sng">
              <a:solidFill>
                <a:srgbClr val="ffffff"/>
              </a:solidFill>
              <a:uFillTx/>
              <a:latin typeface="Calibri"/>
            </a:rPr>
            <a:t>Conheça ideias de como ganhar dinheiro extra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525600</xdr:colOff>
      <xdr:row>55</xdr:row>
      <xdr:rowOff>186840</xdr:rowOff>
    </xdr:from>
    <xdr:to>
      <xdr:col>2</xdr:col>
      <xdr:colOff>157320</xdr:colOff>
      <xdr:row>57</xdr:row>
      <xdr:rowOff>69120</xdr:rowOff>
    </xdr:to>
    <xdr:pic>
      <xdr:nvPicPr>
        <xdr:cNvPr id="687" name="Gráfico 105" descr="Alvo">
          <a:hlinkClick r:id="rId37"/>
        </xdr:cNvPr>
        <xdr:cNvPicPr/>
      </xdr:nvPicPr>
      <xdr:blipFill>
        <a:blip r:embed="rId38"/>
        <a:stretch/>
      </xdr:blipFill>
      <xdr:spPr>
        <a:xfrm>
          <a:off x="908280" y="11114280"/>
          <a:ext cx="276840" cy="2635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109440</xdr:colOff>
      <xdr:row>46</xdr:row>
      <xdr:rowOff>83520</xdr:rowOff>
    </xdr:from>
    <xdr:to>
      <xdr:col>5</xdr:col>
      <xdr:colOff>133920</xdr:colOff>
      <xdr:row>50</xdr:row>
      <xdr:rowOff>58680</xdr:rowOff>
    </xdr:to>
    <xdr:sp>
      <xdr:nvSpPr>
        <xdr:cNvPr id="688" name="CaixaDeTexto 103"/>
        <xdr:cNvSpPr/>
      </xdr:nvSpPr>
      <xdr:spPr>
        <a:xfrm>
          <a:off x="1137240" y="9296640"/>
          <a:ext cx="1960200" cy="736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GB" sz="1600" spc="-1" strike="noStrike" cap="all">
              <a:solidFill>
                <a:srgbClr val="595959"/>
              </a:solidFill>
              <a:latin typeface="Calibri"/>
            </a:rPr>
            <a:t>VAMOS MELHORAR</a:t>
          </a:r>
          <a:endParaRPr b="0" lang="pt-BR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GB" sz="1600" spc="-1" strike="noStrike" cap="all">
              <a:solidFill>
                <a:srgbClr val="595959"/>
              </a:solidFill>
              <a:latin typeface="Calibri"/>
            </a:rPr>
            <a:t>AS </a:t>
          </a:r>
          <a:r>
            <a:rPr b="1" lang="en-GB" sz="1600" spc="-1" strike="noStrike" cap="all">
              <a:solidFill>
                <a:srgbClr val="595959"/>
              </a:solidFill>
              <a:latin typeface="Calibri"/>
            </a:rPr>
            <a:t>RECEITAS</a:t>
          </a:r>
          <a:r>
            <a:rPr b="0" lang="en-GB" sz="1600" spc="-1" strike="noStrike" cap="all">
              <a:solidFill>
                <a:srgbClr val="595959"/>
              </a:solidFill>
              <a:latin typeface="Calibri"/>
            </a:rPr>
            <a:t>?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217080</xdr:colOff>
      <xdr:row>64</xdr:row>
      <xdr:rowOff>10800</xdr:rowOff>
    </xdr:from>
    <xdr:to>
      <xdr:col>6</xdr:col>
      <xdr:colOff>105480</xdr:colOff>
      <xdr:row>79</xdr:row>
      <xdr:rowOff>163440</xdr:rowOff>
    </xdr:to>
    <xdr:sp>
      <xdr:nvSpPr>
        <xdr:cNvPr id="689" name="Retângulo: Cantos Arredondados 108"/>
        <xdr:cNvSpPr/>
      </xdr:nvSpPr>
      <xdr:spPr>
        <a:xfrm>
          <a:off x="599760" y="12652920"/>
          <a:ext cx="3114360" cy="300996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365760</xdr:colOff>
      <xdr:row>70</xdr:row>
      <xdr:rowOff>68400</xdr:rowOff>
    </xdr:from>
    <xdr:to>
      <xdr:col>5</xdr:col>
      <xdr:colOff>568800</xdr:colOff>
      <xdr:row>73</xdr:row>
      <xdr:rowOff>96480</xdr:rowOff>
    </xdr:to>
    <xdr:sp>
      <xdr:nvSpPr>
        <xdr:cNvPr id="690" name="Retângulo: Cantos Arredondados 109">
          <a:hlinkClick r:id="rId39"/>
        </xdr:cNvPr>
        <xdr:cNvSpPr/>
      </xdr:nvSpPr>
      <xdr:spPr>
        <a:xfrm>
          <a:off x="748440" y="13853520"/>
          <a:ext cx="2783880" cy="599400"/>
        </a:xfrm>
        <a:prstGeom prst="roundRect">
          <a:avLst>
            <a:gd name="adj" fmla="val 45606"/>
          </a:avLst>
        </a:prstGeom>
        <a:solidFill>
          <a:srgbClr val="ff5757"/>
        </a:solidFill>
        <a:ln>
          <a:solidFill>
            <a:srgbClr val="ffffff">
              <a:lumMod val="8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396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t-BR" sz="1000" spc="-1" strike="noStrike" u="sng">
              <a:solidFill>
                <a:srgbClr val="ffffff"/>
              </a:solidFill>
              <a:uFillTx/>
              <a:latin typeface="Calibri"/>
            </a:rPr>
            <a:t>Aprenda maneiras fáceis de economizar dinheiro no dia a dia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500400</xdr:colOff>
      <xdr:row>71</xdr:row>
      <xdr:rowOff>42840</xdr:rowOff>
    </xdr:from>
    <xdr:to>
      <xdr:col>2</xdr:col>
      <xdr:colOff>151920</xdr:colOff>
      <xdr:row>72</xdr:row>
      <xdr:rowOff>116280</xdr:rowOff>
    </xdr:to>
    <xdr:pic>
      <xdr:nvPicPr>
        <xdr:cNvPr id="691" name="Gráfico 110" descr="Alvo">
          <a:hlinkClick r:id="rId40"/>
        </xdr:cNvPr>
        <xdr:cNvPicPr/>
      </xdr:nvPicPr>
      <xdr:blipFill>
        <a:blip r:embed="rId41"/>
        <a:stretch/>
      </xdr:blipFill>
      <xdr:spPr>
        <a:xfrm>
          <a:off x="883080" y="14018400"/>
          <a:ext cx="296640" cy="2638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384120</xdr:colOff>
      <xdr:row>74</xdr:row>
      <xdr:rowOff>97200</xdr:rowOff>
    </xdr:from>
    <xdr:to>
      <xdr:col>5</xdr:col>
      <xdr:colOff>587160</xdr:colOff>
      <xdr:row>77</xdr:row>
      <xdr:rowOff>125280</xdr:rowOff>
    </xdr:to>
    <xdr:sp>
      <xdr:nvSpPr>
        <xdr:cNvPr id="692" name="Retângulo: Cantos Arredondados 111">
          <a:hlinkClick r:id="rId42"/>
        </xdr:cNvPr>
        <xdr:cNvSpPr/>
      </xdr:nvSpPr>
      <xdr:spPr>
        <a:xfrm>
          <a:off x="766800" y="14644080"/>
          <a:ext cx="2783880" cy="599760"/>
        </a:xfrm>
        <a:prstGeom prst="roundRect">
          <a:avLst>
            <a:gd name="adj" fmla="val 45606"/>
          </a:avLst>
        </a:prstGeom>
        <a:solidFill>
          <a:srgbClr val="ff5757"/>
        </a:solidFill>
        <a:ln>
          <a:solidFill>
            <a:srgbClr val="ffffff">
              <a:lumMod val="8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396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t-BR" sz="1000" spc="-1" strike="noStrike" u="sng">
              <a:solidFill>
                <a:srgbClr val="ffffff"/>
              </a:solidFill>
              <a:uFillTx/>
              <a:latin typeface="Calibri"/>
            </a:rPr>
            <a:t>Como sair das dívidas e começar a poupar dinheiro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518760</xdr:colOff>
      <xdr:row>75</xdr:row>
      <xdr:rowOff>71280</xdr:rowOff>
    </xdr:from>
    <xdr:to>
      <xdr:col>2</xdr:col>
      <xdr:colOff>170280</xdr:colOff>
      <xdr:row>76</xdr:row>
      <xdr:rowOff>144720</xdr:rowOff>
    </xdr:to>
    <xdr:pic>
      <xdr:nvPicPr>
        <xdr:cNvPr id="693" name="Gráfico 112" descr="Alvo">
          <a:hlinkClick r:id="rId43"/>
        </xdr:cNvPr>
        <xdr:cNvPicPr/>
      </xdr:nvPicPr>
      <xdr:blipFill>
        <a:blip r:embed="rId44"/>
        <a:stretch/>
      </xdr:blipFill>
      <xdr:spPr>
        <a:xfrm>
          <a:off x="901440" y="14808960"/>
          <a:ext cx="296640" cy="2638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230760</xdr:colOff>
      <xdr:row>65</xdr:row>
      <xdr:rowOff>159120</xdr:rowOff>
    </xdr:from>
    <xdr:to>
      <xdr:col>5</xdr:col>
      <xdr:colOff>12600</xdr:colOff>
      <xdr:row>69</xdr:row>
      <xdr:rowOff>134280</xdr:rowOff>
    </xdr:to>
    <xdr:sp>
      <xdr:nvSpPr>
        <xdr:cNvPr id="694" name="CaixaDeTexto 113"/>
        <xdr:cNvSpPr/>
      </xdr:nvSpPr>
      <xdr:spPr>
        <a:xfrm>
          <a:off x="1258560" y="12991680"/>
          <a:ext cx="1717560" cy="737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GB" sz="1600" spc="-1" strike="noStrike" cap="all">
              <a:solidFill>
                <a:srgbClr val="595959"/>
              </a:solidFill>
              <a:latin typeface="Calibri"/>
            </a:rPr>
            <a:t>VAMOS reduzir</a:t>
          </a:r>
          <a:endParaRPr b="0" lang="pt-BR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GB" sz="1600" spc="-1" strike="noStrike" cap="all">
              <a:solidFill>
                <a:srgbClr val="595959"/>
              </a:solidFill>
              <a:latin typeface="Calibri"/>
            </a:rPr>
            <a:t>AS </a:t>
          </a:r>
          <a:r>
            <a:rPr b="1" lang="en-GB" sz="1600" spc="-1" strike="noStrike" cap="all">
              <a:solidFill>
                <a:srgbClr val="595959"/>
              </a:solidFill>
              <a:latin typeface="Calibri"/>
            </a:rPr>
            <a:t>despesas</a:t>
          </a:r>
          <a:r>
            <a:rPr b="0" lang="en-GB" sz="1600" spc="-1" strike="noStrike" cap="all">
              <a:solidFill>
                <a:srgbClr val="595959"/>
              </a:solidFill>
              <a:latin typeface="Calibri"/>
            </a:rPr>
            <a:t>?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169920</xdr:colOff>
      <xdr:row>85</xdr:row>
      <xdr:rowOff>175320</xdr:rowOff>
    </xdr:from>
    <xdr:to>
      <xdr:col>19</xdr:col>
      <xdr:colOff>465480</xdr:colOff>
      <xdr:row>95</xdr:row>
      <xdr:rowOff>122040</xdr:rowOff>
    </xdr:to>
    <xdr:sp>
      <xdr:nvSpPr>
        <xdr:cNvPr id="695" name="Retângulo 117"/>
        <xdr:cNvSpPr/>
      </xdr:nvSpPr>
      <xdr:spPr>
        <a:xfrm rot="5400000">
          <a:off x="6548040" y="12756960"/>
          <a:ext cx="1851840" cy="9973080"/>
        </a:xfrm>
        <a:prstGeom prst="rect">
          <a:avLst/>
        </a:prstGeom>
        <a:solidFill>
          <a:srgbClr val="85bd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169920</xdr:colOff>
      <xdr:row>94</xdr:row>
      <xdr:rowOff>91440</xdr:rowOff>
    </xdr:from>
    <xdr:to>
      <xdr:col>19</xdr:col>
      <xdr:colOff>465480</xdr:colOff>
      <xdr:row>97</xdr:row>
      <xdr:rowOff>63720</xdr:rowOff>
    </xdr:to>
    <xdr:sp>
      <xdr:nvSpPr>
        <xdr:cNvPr id="696" name="Retângulo: Cantos Arredondados 118"/>
        <xdr:cNvSpPr/>
      </xdr:nvSpPr>
      <xdr:spPr>
        <a:xfrm rot="5400000">
          <a:off x="7202160" y="13733640"/>
          <a:ext cx="543600" cy="9973080"/>
        </a:xfrm>
        <a:prstGeom prst="roundRect">
          <a:avLst>
            <a:gd name="adj" fmla="val 16667"/>
          </a:avLst>
        </a:prstGeom>
        <a:solidFill>
          <a:srgbClr val="85bd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169920</xdr:colOff>
      <xdr:row>85</xdr:row>
      <xdr:rowOff>80280</xdr:rowOff>
    </xdr:from>
    <xdr:to>
      <xdr:col>19</xdr:col>
      <xdr:colOff>465480</xdr:colOff>
      <xdr:row>88</xdr:row>
      <xdr:rowOff>52200</xdr:rowOff>
    </xdr:to>
    <xdr:sp>
      <xdr:nvSpPr>
        <xdr:cNvPr id="697" name="Retângulo: Cantos Arredondados 116"/>
        <xdr:cNvSpPr/>
      </xdr:nvSpPr>
      <xdr:spPr>
        <a:xfrm rot="5400000">
          <a:off x="7202160" y="12007800"/>
          <a:ext cx="543600" cy="9973080"/>
        </a:xfrm>
        <a:prstGeom prst="roundRect">
          <a:avLst>
            <a:gd name="adj" fmla="val 16667"/>
          </a:avLst>
        </a:prstGeom>
        <a:solidFill>
          <a:srgbClr val="85bd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241560</xdr:colOff>
      <xdr:row>83</xdr:row>
      <xdr:rowOff>91080</xdr:rowOff>
    </xdr:from>
    <xdr:to>
      <xdr:col>6</xdr:col>
      <xdr:colOff>129960</xdr:colOff>
      <xdr:row>99</xdr:row>
      <xdr:rowOff>53280</xdr:rowOff>
    </xdr:to>
    <xdr:sp>
      <xdr:nvSpPr>
        <xdr:cNvPr id="698" name="Retângulo: Cantos Arredondados 119"/>
        <xdr:cNvSpPr/>
      </xdr:nvSpPr>
      <xdr:spPr>
        <a:xfrm>
          <a:off x="624240" y="16352640"/>
          <a:ext cx="3114360" cy="30103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390600</xdr:colOff>
      <xdr:row>89</xdr:row>
      <xdr:rowOff>148680</xdr:rowOff>
    </xdr:from>
    <xdr:to>
      <xdr:col>5</xdr:col>
      <xdr:colOff>593640</xdr:colOff>
      <xdr:row>92</xdr:row>
      <xdr:rowOff>176760</xdr:rowOff>
    </xdr:to>
    <xdr:sp>
      <xdr:nvSpPr>
        <xdr:cNvPr id="699" name="Retângulo: Cantos Arredondados 120">
          <a:hlinkClick r:id="rId45"/>
        </xdr:cNvPr>
        <xdr:cNvSpPr/>
      </xdr:nvSpPr>
      <xdr:spPr>
        <a:xfrm>
          <a:off x="773280" y="17553240"/>
          <a:ext cx="2783880" cy="599400"/>
        </a:xfrm>
        <a:prstGeom prst="roundRect">
          <a:avLst>
            <a:gd name="adj" fmla="val 45606"/>
          </a:avLst>
        </a:prstGeom>
        <a:solidFill>
          <a:srgbClr val="1583f7"/>
        </a:solidFill>
        <a:ln>
          <a:solidFill>
            <a:srgbClr val="ffffff">
              <a:lumMod val="8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396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t-BR" sz="1050" spc="-1" strike="noStrike" u="sng">
              <a:solidFill>
                <a:srgbClr val="ffffff"/>
              </a:solidFill>
              <a:uFillTx/>
              <a:latin typeface="Calibri"/>
            </a:rPr>
            <a:t>Dicas de aplicações financeiras mais </a:t>
          </a:r>
          <a:r>
            <a:rPr b="1" lang="pt-BR" sz="1000" spc="-1" strike="noStrike" u="sng">
              <a:solidFill>
                <a:srgbClr val="ffffff"/>
              </a:solidFill>
              <a:uFillTx/>
              <a:latin typeface="Calibri"/>
            </a:rPr>
            <a:t>rentáveis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525240</xdr:colOff>
      <xdr:row>90</xdr:row>
      <xdr:rowOff>123120</xdr:rowOff>
    </xdr:from>
    <xdr:to>
      <xdr:col>2</xdr:col>
      <xdr:colOff>176760</xdr:colOff>
      <xdr:row>92</xdr:row>
      <xdr:rowOff>6120</xdr:rowOff>
    </xdr:to>
    <xdr:pic>
      <xdr:nvPicPr>
        <xdr:cNvPr id="700" name="Gráfico 121" descr="Alvo">
          <a:hlinkClick r:id="rId46"/>
        </xdr:cNvPr>
        <xdr:cNvPicPr/>
      </xdr:nvPicPr>
      <xdr:blipFill>
        <a:blip r:embed="rId47"/>
        <a:stretch/>
      </xdr:blipFill>
      <xdr:spPr>
        <a:xfrm>
          <a:off x="907920" y="17718120"/>
          <a:ext cx="296640" cy="2638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408960</xdr:colOff>
      <xdr:row>93</xdr:row>
      <xdr:rowOff>177480</xdr:rowOff>
    </xdr:from>
    <xdr:to>
      <xdr:col>5</xdr:col>
      <xdr:colOff>612000</xdr:colOff>
      <xdr:row>97</xdr:row>
      <xdr:rowOff>15120</xdr:rowOff>
    </xdr:to>
    <xdr:sp>
      <xdr:nvSpPr>
        <xdr:cNvPr id="701" name="Retângulo: Cantos Arredondados 122">
          <a:hlinkClick r:id="rId48"/>
        </xdr:cNvPr>
        <xdr:cNvSpPr/>
      </xdr:nvSpPr>
      <xdr:spPr>
        <a:xfrm>
          <a:off x="791640" y="18344160"/>
          <a:ext cx="2783880" cy="599400"/>
        </a:xfrm>
        <a:prstGeom prst="roundRect">
          <a:avLst>
            <a:gd name="adj" fmla="val 45606"/>
          </a:avLst>
        </a:prstGeom>
        <a:solidFill>
          <a:srgbClr val="1583f7"/>
        </a:solidFill>
        <a:ln>
          <a:solidFill>
            <a:srgbClr val="ffffff">
              <a:lumMod val="8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396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t-BR" sz="1000" spc="-1" strike="noStrike" u="sng">
              <a:solidFill>
                <a:srgbClr val="ffffff"/>
              </a:solidFill>
              <a:uFillTx/>
              <a:latin typeface="Calibri"/>
            </a:rPr>
            <a:t>Aplicação em CDB da Neon: como funciona e como investir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543600</xdr:colOff>
      <xdr:row>94</xdr:row>
      <xdr:rowOff>151560</xdr:rowOff>
    </xdr:from>
    <xdr:to>
      <xdr:col>2</xdr:col>
      <xdr:colOff>195120</xdr:colOff>
      <xdr:row>96</xdr:row>
      <xdr:rowOff>34560</xdr:rowOff>
    </xdr:to>
    <xdr:pic>
      <xdr:nvPicPr>
        <xdr:cNvPr id="702" name="Gráfico 123" descr="Alvo">
          <a:hlinkClick r:id="rId49"/>
        </xdr:cNvPr>
        <xdr:cNvPicPr/>
      </xdr:nvPicPr>
      <xdr:blipFill>
        <a:blip r:embed="rId50"/>
        <a:stretch/>
      </xdr:blipFill>
      <xdr:spPr>
        <a:xfrm>
          <a:off x="926280" y="18508680"/>
          <a:ext cx="296640" cy="2638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61920</xdr:colOff>
      <xdr:row>85</xdr:row>
      <xdr:rowOff>48960</xdr:rowOff>
    </xdr:from>
    <xdr:to>
      <xdr:col>5</xdr:col>
      <xdr:colOff>309600</xdr:colOff>
      <xdr:row>89</xdr:row>
      <xdr:rowOff>24120</xdr:rowOff>
    </xdr:to>
    <xdr:sp>
      <xdr:nvSpPr>
        <xdr:cNvPr id="703" name="CaixaDeTexto 124"/>
        <xdr:cNvSpPr/>
      </xdr:nvSpPr>
      <xdr:spPr>
        <a:xfrm>
          <a:off x="1089720" y="16691400"/>
          <a:ext cx="2183400" cy="737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GB" sz="1600" spc="-1" strike="noStrike" cap="all">
              <a:solidFill>
                <a:srgbClr val="595959"/>
              </a:solidFill>
              <a:latin typeface="Calibri"/>
            </a:rPr>
            <a:t>VAMOS melhorar</a:t>
          </a:r>
          <a:endParaRPr b="0" lang="pt-BR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GB" sz="1600" spc="-1" strike="noStrike" cap="all">
              <a:solidFill>
                <a:srgbClr val="595959"/>
              </a:solidFill>
              <a:latin typeface="Calibri"/>
            </a:rPr>
            <a:t>OS </a:t>
          </a:r>
          <a:r>
            <a:rPr b="1" lang="en-GB" sz="1600" spc="-1" strike="noStrike" cap="all">
              <a:solidFill>
                <a:srgbClr val="595959"/>
              </a:solidFill>
              <a:latin typeface="Calibri"/>
            </a:rPr>
            <a:t>investimentos</a:t>
          </a:r>
          <a:r>
            <a:rPr b="0" lang="en-GB" sz="1600" spc="-1" strike="noStrike" cap="all">
              <a:solidFill>
                <a:srgbClr val="595959"/>
              </a:solidFill>
              <a:latin typeface="Calibri"/>
            </a:rPr>
            <a:t>?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178560</xdr:colOff>
      <xdr:row>105</xdr:row>
      <xdr:rowOff>77040</xdr:rowOff>
    </xdr:from>
    <xdr:to>
      <xdr:col>20</xdr:col>
      <xdr:colOff>359640</xdr:colOff>
      <xdr:row>115</xdr:row>
      <xdr:rowOff>24120</xdr:rowOff>
    </xdr:to>
    <xdr:sp>
      <xdr:nvSpPr>
        <xdr:cNvPr id="704" name="Retângulo 128"/>
        <xdr:cNvSpPr/>
      </xdr:nvSpPr>
      <xdr:spPr>
        <a:xfrm rot="5400000">
          <a:off x="6822000" y="16203600"/>
          <a:ext cx="1851840" cy="10503720"/>
        </a:xfrm>
        <a:prstGeom prst="rect">
          <a:avLst/>
        </a:prstGeom>
        <a:solidFill>
          <a:srgbClr val="ac75d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178560</xdr:colOff>
      <xdr:row>113</xdr:row>
      <xdr:rowOff>183960</xdr:rowOff>
    </xdr:from>
    <xdr:to>
      <xdr:col>20</xdr:col>
      <xdr:colOff>359640</xdr:colOff>
      <xdr:row>116</xdr:row>
      <xdr:rowOff>156240</xdr:rowOff>
    </xdr:to>
    <xdr:sp>
      <xdr:nvSpPr>
        <xdr:cNvPr id="705" name="Retângulo: Cantos Arredondados 129"/>
        <xdr:cNvSpPr/>
      </xdr:nvSpPr>
      <xdr:spPr>
        <a:xfrm rot="5400000">
          <a:off x="7476120" y="17180280"/>
          <a:ext cx="543600" cy="10503720"/>
        </a:xfrm>
        <a:prstGeom prst="roundRect">
          <a:avLst>
            <a:gd name="adj" fmla="val 16667"/>
          </a:avLst>
        </a:prstGeom>
        <a:solidFill>
          <a:srgbClr val="ac75d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178560</xdr:colOff>
      <xdr:row>104</xdr:row>
      <xdr:rowOff>172440</xdr:rowOff>
    </xdr:from>
    <xdr:to>
      <xdr:col>20</xdr:col>
      <xdr:colOff>359640</xdr:colOff>
      <xdr:row>107</xdr:row>
      <xdr:rowOff>144360</xdr:rowOff>
    </xdr:to>
    <xdr:sp>
      <xdr:nvSpPr>
        <xdr:cNvPr id="706" name="Retângulo: Cantos Arredondados 127"/>
        <xdr:cNvSpPr/>
      </xdr:nvSpPr>
      <xdr:spPr>
        <a:xfrm rot="5400000">
          <a:off x="7476120" y="15454080"/>
          <a:ext cx="543600" cy="10503720"/>
        </a:xfrm>
        <a:prstGeom prst="roundRect">
          <a:avLst>
            <a:gd name="adj" fmla="val 16667"/>
          </a:avLst>
        </a:prstGeom>
        <a:solidFill>
          <a:srgbClr val="ac75d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250200</xdr:colOff>
      <xdr:row>102</xdr:row>
      <xdr:rowOff>183240</xdr:rowOff>
    </xdr:from>
    <xdr:to>
      <xdr:col>6</xdr:col>
      <xdr:colOff>138600</xdr:colOff>
      <xdr:row>118</xdr:row>
      <xdr:rowOff>145440</xdr:rowOff>
    </xdr:to>
    <xdr:sp>
      <xdr:nvSpPr>
        <xdr:cNvPr id="707" name="Retângulo: Cantos Arredondados 130"/>
        <xdr:cNvSpPr/>
      </xdr:nvSpPr>
      <xdr:spPr>
        <a:xfrm>
          <a:off x="632880" y="20064240"/>
          <a:ext cx="3114360" cy="30103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399240</xdr:colOff>
      <xdr:row>109</xdr:row>
      <xdr:rowOff>50760</xdr:rowOff>
    </xdr:from>
    <xdr:to>
      <xdr:col>5</xdr:col>
      <xdr:colOff>602280</xdr:colOff>
      <xdr:row>112</xdr:row>
      <xdr:rowOff>78840</xdr:rowOff>
    </xdr:to>
    <xdr:sp>
      <xdr:nvSpPr>
        <xdr:cNvPr id="708" name="Retângulo: Cantos Arredondados 131">
          <a:hlinkClick r:id="rId51"/>
        </xdr:cNvPr>
        <xdr:cNvSpPr/>
      </xdr:nvSpPr>
      <xdr:spPr>
        <a:xfrm>
          <a:off x="781920" y="21265200"/>
          <a:ext cx="2783880" cy="599760"/>
        </a:xfrm>
        <a:prstGeom prst="roundRect">
          <a:avLst>
            <a:gd name="adj" fmla="val 45606"/>
          </a:avLst>
        </a:prstGeom>
        <a:solidFill>
          <a:srgbClr val="7030a0"/>
        </a:solidFill>
        <a:ln>
          <a:solidFill>
            <a:srgbClr val="ffffff">
              <a:lumMod val="8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396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t-BR" sz="1000" spc="-1" strike="noStrike" u="sng">
              <a:solidFill>
                <a:srgbClr val="ffffff"/>
              </a:solidFill>
              <a:uFillTx/>
              <a:latin typeface="Calibri"/>
            </a:rPr>
            <a:t>Reserva de emergência: quando e como eu posso gastar?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533880</xdr:colOff>
      <xdr:row>110</xdr:row>
      <xdr:rowOff>24840</xdr:rowOff>
    </xdr:from>
    <xdr:to>
      <xdr:col>2</xdr:col>
      <xdr:colOff>185400</xdr:colOff>
      <xdr:row>111</xdr:row>
      <xdr:rowOff>98280</xdr:rowOff>
    </xdr:to>
    <xdr:pic>
      <xdr:nvPicPr>
        <xdr:cNvPr id="709" name="Gráfico 132" descr="Alvo">
          <a:hlinkClick r:id="rId52"/>
        </xdr:cNvPr>
        <xdr:cNvPicPr/>
      </xdr:nvPicPr>
      <xdr:blipFill>
        <a:blip r:embed="rId53"/>
        <a:stretch/>
      </xdr:blipFill>
      <xdr:spPr>
        <a:xfrm>
          <a:off x="916560" y="21429720"/>
          <a:ext cx="296640" cy="2642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417600</xdr:colOff>
      <xdr:row>113</xdr:row>
      <xdr:rowOff>79200</xdr:rowOff>
    </xdr:from>
    <xdr:to>
      <xdr:col>6</xdr:col>
      <xdr:colOff>8280</xdr:colOff>
      <xdr:row>116</xdr:row>
      <xdr:rowOff>107280</xdr:rowOff>
    </xdr:to>
    <xdr:sp>
      <xdr:nvSpPr>
        <xdr:cNvPr id="710" name="Retângulo: Cantos Arredondados 133">
          <a:hlinkClick r:id="rId54"/>
        </xdr:cNvPr>
        <xdr:cNvSpPr/>
      </xdr:nvSpPr>
      <xdr:spPr>
        <a:xfrm>
          <a:off x="800280" y="22055760"/>
          <a:ext cx="2816640" cy="599400"/>
        </a:xfrm>
        <a:prstGeom prst="roundRect">
          <a:avLst>
            <a:gd name="adj" fmla="val 45606"/>
          </a:avLst>
        </a:prstGeom>
        <a:solidFill>
          <a:srgbClr val="7030a0"/>
        </a:solidFill>
        <a:ln>
          <a:solidFill>
            <a:srgbClr val="ffffff">
              <a:lumMod val="8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396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t-BR" sz="1000" spc="-1" strike="noStrike" u="sng">
              <a:solidFill>
                <a:srgbClr val="ffffff"/>
              </a:solidFill>
              <a:uFillTx/>
              <a:latin typeface="Calibri"/>
            </a:rPr>
            <a:t>Conheça as melhores opções para investir com segurança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552240</xdr:colOff>
      <xdr:row>114</xdr:row>
      <xdr:rowOff>53280</xdr:rowOff>
    </xdr:from>
    <xdr:to>
      <xdr:col>2</xdr:col>
      <xdr:colOff>203760</xdr:colOff>
      <xdr:row>115</xdr:row>
      <xdr:rowOff>126720</xdr:rowOff>
    </xdr:to>
    <xdr:pic>
      <xdr:nvPicPr>
        <xdr:cNvPr id="711" name="Gráfico 134" descr="Alvo">
          <a:hlinkClick r:id="rId55"/>
        </xdr:cNvPr>
        <xdr:cNvPicPr/>
      </xdr:nvPicPr>
      <xdr:blipFill>
        <a:blip r:embed="rId56"/>
        <a:stretch/>
      </xdr:blipFill>
      <xdr:spPr>
        <a:xfrm>
          <a:off x="934920" y="22220280"/>
          <a:ext cx="296640" cy="2638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226080</xdr:colOff>
      <xdr:row>104</xdr:row>
      <xdr:rowOff>141120</xdr:rowOff>
    </xdr:from>
    <xdr:to>
      <xdr:col>5</xdr:col>
      <xdr:colOff>163080</xdr:colOff>
      <xdr:row>108</xdr:row>
      <xdr:rowOff>116280</xdr:rowOff>
    </xdr:to>
    <xdr:sp>
      <xdr:nvSpPr>
        <xdr:cNvPr id="712" name="CaixaDeTexto 135"/>
        <xdr:cNvSpPr/>
      </xdr:nvSpPr>
      <xdr:spPr>
        <a:xfrm>
          <a:off x="1253880" y="20403000"/>
          <a:ext cx="1872720" cy="737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GB" sz="1600" spc="-1" strike="noStrike" cap="all">
              <a:solidFill>
                <a:srgbClr val="595959"/>
              </a:solidFill>
              <a:latin typeface="Calibri"/>
            </a:rPr>
            <a:t>VAMOS aumentar</a:t>
          </a:r>
          <a:endParaRPr b="0" lang="pt-BR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GB" sz="1600" spc="-1" strike="noStrike" cap="all">
              <a:solidFill>
                <a:srgbClr val="595959"/>
              </a:solidFill>
              <a:latin typeface="Calibri"/>
            </a:rPr>
            <a:t>AS </a:t>
          </a:r>
          <a:r>
            <a:rPr b="1" lang="en-GB" sz="1600" spc="-1" strike="noStrike" cap="all">
              <a:solidFill>
                <a:srgbClr val="595959"/>
              </a:solidFill>
              <a:latin typeface="Calibri"/>
            </a:rPr>
            <a:t>reservas</a:t>
          </a:r>
          <a:r>
            <a:rPr b="0" lang="en-GB" sz="1600" spc="-1" strike="noStrike" cap="all">
              <a:solidFill>
                <a:srgbClr val="595959"/>
              </a:solidFill>
              <a:latin typeface="Calibri"/>
            </a:rPr>
            <a:t>?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2520</xdr:colOff>
      <xdr:row>83</xdr:row>
      <xdr:rowOff>91080</xdr:rowOff>
    </xdr:from>
    <xdr:to>
      <xdr:col>11</xdr:col>
      <xdr:colOff>490680</xdr:colOff>
      <xdr:row>99</xdr:row>
      <xdr:rowOff>53280</xdr:rowOff>
    </xdr:to>
    <xdr:sp>
      <xdr:nvSpPr>
        <xdr:cNvPr id="713" name="Retângulo: Cantos Arredondados 137"/>
        <xdr:cNvSpPr/>
      </xdr:nvSpPr>
      <xdr:spPr>
        <a:xfrm>
          <a:off x="4256280" y="16352640"/>
          <a:ext cx="3068640" cy="30103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215280</xdr:colOff>
      <xdr:row>84</xdr:row>
      <xdr:rowOff>55080</xdr:rowOff>
    </xdr:from>
    <xdr:to>
      <xdr:col>11</xdr:col>
      <xdr:colOff>285480</xdr:colOff>
      <xdr:row>98</xdr:row>
      <xdr:rowOff>89280</xdr:rowOff>
    </xdr:to>
    <xdr:sp>
      <xdr:nvSpPr>
        <xdr:cNvPr id="714" name=""/>
        <xdr:cNvSpPr/>
      </xdr:nvSpPr>
      <xdr:spPr>
        <a:xfrm>
          <a:off x="4469040" y="16507080"/>
          <a:ext cx="2650680" cy="27010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GB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379800</xdr:colOff>
      <xdr:row>83</xdr:row>
      <xdr:rowOff>91080</xdr:rowOff>
    </xdr:from>
    <xdr:to>
      <xdr:col>17</xdr:col>
      <xdr:colOff>256680</xdr:colOff>
      <xdr:row>99</xdr:row>
      <xdr:rowOff>53280</xdr:rowOff>
    </xdr:to>
    <xdr:sp>
      <xdr:nvSpPr>
        <xdr:cNvPr id="715" name="Retângulo: Cantos Arredondados 140"/>
        <xdr:cNvSpPr/>
      </xdr:nvSpPr>
      <xdr:spPr>
        <a:xfrm>
          <a:off x="7859160" y="16352640"/>
          <a:ext cx="3102840" cy="30103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587160</xdr:colOff>
      <xdr:row>84</xdr:row>
      <xdr:rowOff>55080</xdr:rowOff>
    </xdr:from>
    <xdr:to>
      <xdr:col>17</xdr:col>
      <xdr:colOff>40680</xdr:colOff>
      <xdr:row>98</xdr:row>
      <xdr:rowOff>89280</xdr:rowOff>
    </xdr:to>
    <xdr:sp>
      <xdr:nvSpPr>
        <xdr:cNvPr id="716" name=""/>
        <xdr:cNvSpPr/>
      </xdr:nvSpPr>
      <xdr:spPr>
        <a:xfrm>
          <a:off x="8066520" y="16507080"/>
          <a:ext cx="2679480" cy="27010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GB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18</xdr:col>
      <xdr:colOff>128880</xdr:colOff>
      <xdr:row>83</xdr:row>
      <xdr:rowOff>91080</xdr:rowOff>
    </xdr:from>
    <xdr:to>
      <xdr:col>22</xdr:col>
      <xdr:colOff>645120</xdr:colOff>
      <xdr:row>99</xdr:row>
      <xdr:rowOff>53280</xdr:rowOff>
    </xdr:to>
    <xdr:sp>
      <xdr:nvSpPr>
        <xdr:cNvPr id="717" name="Retângulo: Cantos Arredondados 143"/>
        <xdr:cNvSpPr/>
      </xdr:nvSpPr>
      <xdr:spPr>
        <a:xfrm>
          <a:off x="11479320" y="16352640"/>
          <a:ext cx="3096720" cy="30103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18</xdr:col>
      <xdr:colOff>337320</xdr:colOff>
      <xdr:row>84</xdr:row>
      <xdr:rowOff>55080</xdr:rowOff>
    </xdr:from>
    <xdr:to>
      <xdr:col>22</xdr:col>
      <xdr:colOff>430200</xdr:colOff>
      <xdr:row>98</xdr:row>
      <xdr:rowOff>89280</xdr:rowOff>
    </xdr:to>
    <xdr:sp>
      <xdr:nvSpPr>
        <xdr:cNvPr id="718" name=""/>
        <xdr:cNvSpPr/>
      </xdr:nvSpPr>
      <xdr:spPr>
        <a:xfrm>
          <a:off x="11687760" y="16507080"/>
          <a:ext cx="2673360" cy="27010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GB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2520</xdr:colOff>
      <xdr:row>102</xdr:row>
      <xdr:rowOff>183240</xdr:rowOff>
    </xdr:from>
    <xdr:to>
      <xdr:col>11</xdr:col>
      <xdr:colOff>497880</xdr:colOff>
      <xdr:row>118</xdr:row>
      <xdr:rowOff>145440</xdr:rowOff>
    </xdr:to>
    <xdr:sp>
      <xdr:nvSpPr>
        <xdr:cNvPr id="719" name="Retângulo: Cantos Arredondados 146"/>
        <xdr:cNvSpPr/>
      </xdr:nvSpPr>
      <xdr:spPr>
        <a:xfrm>
          <a:off x="4256280" y="20064240"/>
          <a:ext cx="3075840" cy="30103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216720</xdr:colOff>
      <xdr:row>103</xdr:row>
      <xdr:rowOff>147600</xdr:rowOff>
    </xdr:from>
    <xdr:to>
      <xdr:col>11</xdr:col>
      <xdr:colOff>292320</xdr:colOff>
      <xdr:row>117</xdr:row>
      <xdr:rowOff>181440</xdr:rowOff>
    </xdr:to>
    <xdr:sp>
      <xdr:nvSpPr>
        <xdr:cNvPr id="720" name=""/>
        <xdr:cNvSpPr/>
      </xdr:nvSpPr>
      <xdr:spPr>
        <a:xfrm>
          <a:off x="4470480" y="20219040"/>
          <a:ext cx="2656080" cy="27010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GB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379800</xdr:colOff>
      <xdr:row>102</xdr:row>
      <xdr:rowOff>183240</xdr:rowOff>
    </xdr:from>
    <xdr:to>
      <xdr:col>17</xdr:col>
      <xdr:colOff>261720</xdr:colOff>
      <xdr:row>118</xdr:row>
      <xdr:rowOff>145440</xdr:rowOff>
    </xdr:to>
    <xdr:sp>
      <xdr:nvSpPr>
        <xdr:cNvPr id="721" name="Retângulo: Cantos Arredondados 149"/>
        <xdr:cNvSpPr/>
      </xdr:nvSpPr>
      <xdr:spPr>
        <a:xfrm>
          <a:off x="7859160" y="20064240"/>
          <a:ext cx="3107880" cy="30103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587520</xdr:colOff>
      <xdr:row>103</xdr:row>
      <xdr:rowOff>147600</xdr:rowOff>
    </xdr:from>
    <xdr:to>
      <xdr:col>17</xdr:col>
      <xdr:colOff>46440</xdr:colOff>
      <xdr:row>117</xdr:row>
      <xdr:rowOff>181440</xdr:rowOff>
    </xdr:to>
    <xdr:sp>
      <xdr:nvSpPr>
        <xdr:cNvPr id="722" name=""/>
        <xdr:cNvSpPr/>
      </xdr:nvSpPr>
      <xdr:spPr>
        <a:xfrm>
          <a:off x="8066880" y="20219040"/>
          <a:ext cx="2684880" cy="27010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GB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18</xdr:col>
      <xdr:colOff>122760</xdr:colOff>
      <xdr:row>102</xdr:row>
      <xdr:rowOff>183240</xdr:rowOff>
    </xdr:from>
    <xdr:to>
      <xdr:col>22</xdr:col>
      <xdr:colOff>645120</xdr:colOff>
      <xdr:row>118</xdr:row>
      <xdr:rowOff>145440</xdr:rowOff>
    </xdr:to>
    <xdr:sp>
      <xdr:nvSpPr>
        <xdr:cNvPr id="723" name="Retângulo: Cantos Arredondados 152"/>
        <xdr:cNvSpPr/>
      </xdr:nvSpPr>
      <xdr:spPr>
        <a:xfrm>
          <a:off x="11473200" y="20064240"/>
          <a:ext cx="3102840" cy="30103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18</xdr:col>
      <xdr:colOff>330480</xdr:colOff>
      <xdr:row>103</xdr:row>
      <xdr:rowOff>147600</xdr:rowOff>
    </xdr:from>
    <xdr:to>
      <xdr:col>22</xdr:col>
      <xdr:colOff>432000</xdr:colOff>
      <xdr:row>117</xdr:row>
      <xdr:rowOff>181440</xdr:rowOff>
    </xdr:to>
    <xdr:sp>
      <xdr:nvSpPr>
        <xdr:cNvPr id="724" name=""/>
        <xdr:cNvSpPr/>
      </xdr:nvSpPr>
      <xdr:spPr>
        <a:xfrm>
          <a:off x="11680920" y="20219040"/>
          <a:ext cx="2682000" cy="27010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GB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237240</xdr:colOff>
      <xdr:row>43</xdr:row>
      <xdr:rowOff>180360</xdr:rowOff>
    </xdr:from>
    <xdr:to>
      <xdr:col>2</xdr:col>
      <xdr:colOff>27360</xdr:colOff>
      <xdr:row>47</xdr:row>
      <xdr:rowOff>188280</xdr:rowOff>
    </xdr:to>
    <xdr:sp>
      <xdr:nvSpPr>
        <xdr:cNvPr id="725" name="Elipse 155"/>
        <xdr:cNvSpPr/>
      </xdr:nvSpPr>
      <xdr:spPr>
        <a:xfrm>
          <a:off x="237240" y="8821800"/>
          <a:ext cx="817920" cy="770040"/>
        </a:xfrm>
        <a:prstGeom prst="ellipse">
          <a:avLst/>
        </a:prstGeom>
        <a:solidFill>
          <a:srgbClr val="92d050"/>
        </a:solidFill>
        <a:ln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45360</xdr:colOff>
      <xdr:row>44</xdr:row>
      <xdr:rowOff>167040</xdr:rowOff>
    </xdr:from>
    <xdr:to>
      <xdr:col>1</xdr:col>
      <xdr:colOff>482400</xdr:colOff>
      <xdr:row>47</xdr:row>
      <xdr:rowOff>11160</xdr:rowOff>
    </xdr:to>
    <xdr:pic>
      <xdr:nvPicPr>
        <xdr:cNvPr id="726" name="Gráfico 156" descr="Dinheiro"/>
        <xdr:cNvPicPr/>
      </xdr:nvPicPr>
      <xdr:blipFill>
        <a:blip r:embed="rId57"/>
        <a:stretch/>
      </xdr:blipFill>
      <xdr:spPr>
        <a:xfrm flipH="1">
          <a:off x="428040" y="8998920"/>
          <a:ext cx="437040" cy="415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162000</xdr:colOff>
      <xdr:row>26</xdr:row>
      <xdr:rowOff>13680</xdr:rowOff>
    </xdr:from>
    <xdr:to>
      <xdr:col>4</xdr:col>
      <xdr:colOff>86400</xdr:colOff>
      <xdr:row>28</xdr:row>
      <xdr:rowOff>169200</xdr:rowOff>
    </xdr:to>
    <xdr:sp>
      <xdr:nvSpPr>
        <xdr:cNvPr id="727" name="Elipse 158"/>
        <xdr:cNvSpPr/>
      </xdr:nvSpPr>
      <xdr:spPr>
        <a:xfrm>
          <a:off x="1834920" y="5416560"/>
          <a:ext cx="569520" cy="536760"/>
        </a:xfrm>
        <a:prstGeom prst="ellipse">
          <a:avLst/>
        </a:prstGeom>
        <a:solidFill>
          <a:srgbClr val="00b050"/>
        </a:solidFill>
        <a:ln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294840</xdr:colOff>
      <xdr:row>26</xdr:row>
      <xdr:rowOff>137160</xdr:rowOff>
    </xdr:from>
    <xdr:to>
      <xdr:col>3</xdr:col>
      <xdr:colOff>599040</xdr:colOff>
      <xdr:row>28</xdr:row>
      <xdr:rowOff>45720</xdr:rowOff>
    </xdr:to>
    <xdr:pic>
      <xdr:nvPicPr>
        <xdr:cNvPr id="728" name="Gráfico 159" descr="Dinheiro"/>
        <xdr:cNvPicPr/>
      </xdr:nvPicPr>
      <xdr:blipFill>
        <a:blip r:embed="rId58"/>
        <a:stretch/>
      </xdr:blipFill>
      <xdr:spPr>
        <a:xfrm flipH="1">
          <a:off x="1967760" y="5540040"/>
          <a:ext cx="304200" cy="289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552600</xdr:colOff>
      <xdr:row>26</xdr:row>
      <xdr:rowOff>27360</xdr:rowOff>
    </xdr:from>
    <xdr:to>
      <xdr:col>9</xdr:col>
      <xdr:colOff>477000</xdr:colOff>
      <xdr:row>28</xdr:row>
      <xdr:rowOff>182880</xdr:rowOff>
    </xdr:to>
    <xdr:sp>
      <xdr:nvSpPr>
        <xdr:cNvPr id="729" name="Elipse 161"/>
        <xdr:cNvSpPr/>
      </xdr:nvSpPr>
      <xdr:spPr>
        <a:xfrm>
          <a:off x="5451480" y="5430240"/>
          <a:ext cx="569520" cy="536760"/>
        </a:xfrm>
        <a:prstGeom prst="ellipse">
          <a:avLst/>
        </a:prstGeom>
        <a:solidFill>
          <a:srgbClr val="ff5757"/>
        </a:solidFill>
        <a:ln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9</xdr:col>
      <xdr:colOff>2160</xdr:colOff>
      <xdr:row>26</xdr:row>
      <xdr:rowOff>110880</xdr:rowOff>
    </xdr:from>
    <xdr:to>
      <xdr:col>9</xdr:col>
      <xdr:colOff>382320</xdr:colOff>
      <xdr:row>28</xdr:row>
      <xdr:rowOff>99360</xdr:rowOff>
    </xdr:to>
    <xdr:pic>
      <xdr:nvPicPr>
        <xdr:cNvPr id="730" name="Gráfico 162" descr="Eletricista"/>
        <xdr:cNvPicPr/>
      </xdr:nvPicPr>
      <xdr:blipFill>
        <a:blip r:embed="rId59"/>
        <a:stretch/>
      </xdr:blipFill>
      <xdr:spPr>
        <a:xfrm>
          <a:off x="5546160" y="5513760"/>
          <a:ext cx="380160" cy="369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237240</xdr:colOff>
      <xdr:row>62</xdr:row>
      <xdr:rowOff>169200</xdr:rowOff>
    </xdr:from>
    <xdr:to>
      <xdr:col>2</xdr:col>
      <xdr:colOff>27360</xdr:colOff>
      <xdr:row>66</xdr:row>
      <xdr:rowOff>177120</xdr:rowOff>
    </xdr:to>
    <xdr:sp>
      <xdr:nvSpPr>
        <xdr:cNvPr id="731" name="Elipse 164"/>
        <xdr:cNvSpPr/>
      </xdr:nvSpPr>
      <xdr:spPr>
        <a:xfrm>
          <a:off x="237240" y="12430080"/>
          <a:ext cx="817920" cy="770040"/>
        </a:xfrm>
        <a:prstGeom prst="ellipse">
          <a:avLst/>
        </a:prstGeom>
        <a:solidFill>
          <a:srgbClr val="ff8989"/>
        </a:solidFill>
        <a:ln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13680</xdr:colOff>
      <xdr:row>63</xdr:row>
      <xdr:rowOff>127440</xdr:rowOff>
    </xdr:from>
    <xdr:to>
      <xdr:col>1</xdr:col>
      <xdr:colOff>513360</xdr:colOff>
      <xdr:row>66</xdr:row>
      <xdr:rowOff>28080</xdr:rowOff>
    </xdr:to>
    <xdr:pic>
      <xdr:nvPicPr>
        <xdr:cNvPr id="732" name="Gráfico 165" descr="Eletricista"/>
        <xdr:cNvPicPr/>
      </xdr:nvPicPr>
      <xdr:blipFill>
        <a:blip r:embed="rId60"/>
        <a:stretch/>
      </xdr:blipFill>
      <xdr:spPr>
        <a:xfrm>
          <a:off x="396360" y="12579120"/>
          <a:ext cx="499680" cy="4719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14</xdr:col>
      <xdr:colOff>311760</xdr:colOff>
      <xdr:row>26</xdr:row>
      <xdr:rowOff>18000</xdr:rowOff>
    </xdr:from>
    <xdr:to>
      <xdr:col>15</xdr:col>
      <xdr:colOff>236160</xdr:colOff>
      <xdr:row>28</xdr:row>
      <xdr:rowOff>173520</xdr:rowOff>
    </xdr:to>
    <xdr:sp>
      <xdr:nvSpPr>
        <xdr:cNvPr id="733" name="Elipse 166"/>
        <xdr:cNvSpPr/>
      </xdr:nvSpPr>
      <xdr:spPr>
        <a:xfrm>
          <a:off x="9081720" y="5420880"/>
          <a:ext cx="569520" cy="536760"/>
        </a:xfrm>
        <a:prstGeom prst="ellipse">
          <a:avLst/>
        </a:prstGeom>
        <a:solidFill>
          <a:srgbClr val="1583f7"/>
        </a:solidFill>
        <a:ln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81720</xdr:colOff>
      <xdr:row>26</xdr:row>
      <xdr:rowOff>32760</xdr:rowOff>
    </xdr:from>
    <xdr:to>
      <xdr:col>21</xdr:col>
      <xdr:colOff>6120</xdr:colOff>
      <xdr:row>28</xdr:row>
      <xdr:rowOff>188280</xdr:rowOff>
    </xdr:to>
    <xdr:sp>
      <xdr:nvSpPr>
        <xdr:cNvPr id="734" name="Elipse 167"/>
        <xdr:cNvSpPr/>
      </xdr:nvSpPr>
      <xdr:spPr>
        <a:xfrm>
          <a:off x="12722400" y="5435640"/>
          <a:ext cx="569520" cy="536760"/>
        </a:xfrm>
        <a:prstGeom prst="ellipse">
          <a:avLst/>
        </a:prstGeom>
        <a:solidFill>
          <a:srgbClr val="7030a0"/>
        </a:solidFill>
        <a:ln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414000</xdr:colOff>
      <xdr:row>26</xdr:row>
      <xdr:rowOff>113400</xdr:rowOff>
    </xdr:from>
    <xdr:to>
      <xdr:col>15</xdr:col>
      <xdr:colOff>95040</xdr:colOff>
      <xdr:row>28</xdr:row>
      <xdr:rowOff>75240</xdr:rowOff>
    </xdr:to>
    <xdr:pic>
      <xdr:nvPicPr>
        <xdr:cNvPr id="735" name="Gráfico 168" descr="Moedas"/>
        <xdr:cNvPicPr/>
      </xdr:nvPicPr>
      <xdr:blipFill>
        <a:blip r:embed="rId61"/>
        <a:stretch/>
      </xdr:blipFill>
      <xdr:spPr>
        <a:xfrm flipH="1">
          <a:off x="9183960" y="5516280"/>
          <a:ext cx="326160" cy="343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171000</xdr:colOff>
      <xdr:row>26</xdr:row>
      <xdr:rowOff>116280</xdr:rowOff>
    </xdr:from>
    <xdr:to>
      <xdr:col>20</xdr:col>
      <xdr:colOff>515160</xdr:colOff>
      <xdr:row>28</xdr:row>
      <xdr:rowOff>69120</xdr:rowOff>
    </xdr:to>
    <xdr:pic>
      <xdr:nvPicPr>
        <xdr:cNvPr id="736" name="Gráfico 169" descr="Sirene"/>
        <xdr:cNvPicPr/>
      </xdr:nvPicPr>
      <xdr:blipFill>
        <a:blip r:embed="rId62"/>
        <a:stretch/>
      </xdr:blipFill>
      <xdr:spPr>
        <a:xfrm>
          <a:off x="12811680" y="5519160"/>
          <a:ext cx="344160" cy="334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237240</xdr:colOff>
      <xdr:row>82</xdr:row>
      <xdr:rowOff>99720</xdr:rowOff>
    </xdr:from>
    <xdr:to>
      <xdr:col>2</xdr:col>
      <xdr:colOff>27360</xdr:colOff>
      <xdr:row>86</xdr:row>
      <xdr:rowOff>107640</xdr:rowOff>
    </xdr:to>
    <xdr:sp>
      <xdr:nvSpPr>
        <xdr:cNvPr id="737" name="Elipse 171"/>
        <xdr:cNvSpPr/>
      </xdr:nvSpPr>
      <xdr:spPr>
        <a:xfrm>
          <a:off x="237240" y="16170840"/>
          <a:ext cx="817920" cy="769680"/>
        </a:xfrm>
        <a:prstGeom prst="ellipse">
          <a:avLst/>
        </a:prstGeom>
        <a:solidFill>
          <a:srgbClr val="1583f7"/>
        </a:solidFill>
        <a:ln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46080</xdr:colOff>
      <xdr:row>83</xdr:row>
      <xdr:rowOff>81720</xdr:rowOff>
    </xdr:from>
    <xdr:to>
      <xdr:col>1</xdr:col>
      <xdr:colOff>481680</xdr:colOff>
      <xdr:row>85</xdr:row>
      <xdr:rowOff>126000</xdr:rowOff>
    </xdr:to>
    <xdr:pic>
      <xdr:nvPicPr>
        <xdr:cNvPr id="738" name="Gráfico 172" descr="Moedas"/>
        <xdr:cNvPicPr/>
      </xdr:nvPicPr>
      <xdr:blipFill>
        <a:blip r:embed="rId63"/>
        <a:stretch/>
      </xdr:blipFill>
      <xdr:spPr>
        <a:xfrm flipH="1">
          <a:off x="428760" y="16343280"/>
          <a:ext cx="435600" cy="425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237240</xdr:colOff>
      <xdr:row>102</xdr:row>
      <xdr:rowOff>3600</xdr:rowOff>
    </xdr:from>
    <xdr:to>
      <xdr:col>2</xdr:col>
      <xdr:colOff>27360</xdr:colOff>
      <xdr:row>106</xdr:row>
      <xdr:rowOff>11520</xdr:rowOff>
    </xdr:to>
    <xdr:sp>
      <xdr:nvSpPr>
        <xdr:cNvPr id="739" name="Elipse 174"/>
        <xdr:cNvSpPr/>
      </xdr:nvSpPr>
      <xdr:spPr>
        <a:xfrm>
          <a:off x="237240" y="19884600"/>
          <a:ext cx="817920" cy="770040"/>
        </a:xfrm>
        <a:prstGeom prst="ellipse">
          <a:avLst/>
        </a:prstGeom>
        <a:solidFill>
          <a:srgbClr val="ac75d5"/>
        </a:solidFill>
        <a:ln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45720</xdr:colOff>
      <xdr:row>102</xdr:row>
      <xdr:rowOff>187920</xdr:rowOff>
    </xdr:from>
    <xdr:to>
      <xdr:col>1</xdr:col>
      <xdr:colOff>481320</xdr:colOff>
      <xdr:row>105</xdr:row>
      <xdr:rowOff>17280</xdr:rowOff>
    </xdr:to>
    <xdr:pic>
      <xdr:nvPicPr>
        <xdr:cNvPr id="740" name="Gráfico 175" descr="Sirene"/>
        <xdr:cNvPicPr/>
      </xdr:nvPicPr>
      <xdr:blipFill>
        <a:blip r:embed="rId64"/>
        <a:stretch/>
      </xdr:blipFill>
      <xdr:spPr>
        <a:xfrm>
          <a:off x="428400" y="20068920"/>
          <a:ext cx="435600" cy="401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43</xdr:col>
      <xdr:colOff>235800</xdr:colOff>
      <xdr:row>35</xdr:row>
      <xdr:rowOff>72720</xdr:rowOff>
    </xdr:from>
    <xdr:to>
      <xdr:col>43</xdr:col>
      <xdr:colOff>420120</xdr:colOff>
      <xdr:row>36</xdr:row>
      <xdr:rowOff>146520</xdr:rowOff>
    </xdr:to>
    <xdr:sp>
      <xdr:nvSpPr>
        <xdr:cNvPr id="741" name="CaixaDeTexto 176"/>
        <xdr:cNvSpPr/>
      </xdr:nvSpPr>
      <xdr:spPr>
        <a:xfrm>
          <a:off x="31525200" y="7190280"/>
          <a:ext cx="184320" cy="264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497520</xdr:colOff>
      <xdr:row>150</xdr:row>
      <xdr:rowOff>32400</xdr:rowOff>
    </xdr:from>
    <xdr:to>
      <xdr:col>16</xdr:col>
      <xdr:colOff>305280</xdr:colOff>
      <xdr:row>163</xdr:row>
      <xdr:rowOff>19080</xdr:rowOff>
    </xdr:to>
    <xdr:sp>
      <xdr:nvSpPr>
        <xdr:cNvPr id="742" name="Retângulo: Cantos Arredondados 178"/>
        <xdr:cNvSpPr/>
      </xdr:nvSpPr>
      <xdr:spPr>
        <a:xfrm>
          <a:off x="7976880" y="30171960"/>
          <a:ext cx="2388600" cy="24631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601200</xdr:colOff>
      <xdr:row>151</xdr:row>
      <xdr:rowOff>67680</xdr:rowOff>
    </xdr:from>
    <xdr:to>
      <xdr:col>16</xdr:col>
      <xdr:colOff>200880</xdr:colOff>
      <xdr:row>166</xdr:row>
      <xdr:rowOff>9360</xdr:rowOff>
    </xdr:to>
    <xdr:graphicFrame>
      <xdr:nvGraphicFramePr>
        <xdr:cNvPr id="743" name="Gráfico 180"/>
        <xdr:cNvGraphicFramePr/>
      </xdr:nvGraphicFramePr>
      <xdr:xfrm>
        <a:off x="8080560" y="30397680"/>
        <a:ext cx="2180520" cy="279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 editAs="absolute">
    <xdr:from>
      <xdr:col>13</xdr:col>
      <xdr:colOff>437400</xdr:colOff>
      <xdr:row>159</xdr:row>
      <xdr:rowOff>50760</xdr:rowOff>
    </xdr:from>
    <xdr:to>
      <xdr:col>15</xdr:col>
      <xdr:colOff>372600</xdr:colOff>
      <xdr:row>160</xdr:row>
      <xdr:rowOff>90720</xdr:rowOff>
    </xdr:to>
    <xdr:sp>
      <xdr:nvSpPr>
        <xdr:cNvPr id="744" name="CaixaDeTexto 181"/>
        <xdr:cNvSpPr/>
      </xdr:nvSpPr>
      <xdr:spPr>
        <a:xfrm>
          <a:off x="8561880" y="31904640"/>
          <a:ext cx="1225800" cy="230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#DIV/0!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554760</xdr:colOff>
      <xdr:row>150</xdr:row>
      <xdr:rowOff>34920</xdr:rowOff>
    </xdr:from>
    <xdr:to>
      <xdr:col>21</xdr:col>
      <xdr:colOff>362520</xdr:colOff>
      <xdr:row>163</xdr:row>
      <xdr:rowOff>21600</xdr:rowOff>
    </xdr:to>
    <xdr:sp>
      <xdr:nvSpPr>
        <xdr:cNvPr id="745" name="Retângulo: Cantos Arredondados 183"/>
        <xdr:cNvSpPr/>
      </xdr:nvSpPr>
      <xdr:spPr>
        <a:xfrm>
          <a:off x="11260080" y="30174480"/>
          <a:ext cx="2388240" cy="24631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18</xdr:col>
      <xdr:colOff>13320</xdr:colOff>
      <xdr:row>151</xdr:row>
      <xdr:rowOff>70200</xdr:rowOff>
    </xdr:from>
    <xdr:to>
      <xdr:col>21</xdr:col>
      <xdr:colOff>258120</xdr:colOff>
      <xdr:row>166</xdr:row>
      <xdr:rowOff>11880</xdr:rowOff>
    </xdr:to>
    <xdr:graphicFrame>
      <xdr:nvGraphicFramePr>
        <xdr:cNvPr id="746" name="Gráfico 185"/>
        <xdr:cNvGraphicFramePr/>
      </xdr:nvGraphicFramePr>
      <xdr:xfrm>
        <a:off x="11363760" y="30400200"/>
        <a:ext cx="2180160" cy="279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 editAs="absolute">
    <xdr:from>
      <xdr:col>18</xdr:col>
      <xdr:colOff>494640</xdr:colOff>
      <xdr:row>159</xdr:row>
      <xdr:rowOff>53280</xdr:rowOff>
    </xdr:from>
    <xdr:to>
      <xdr:col>20</xdr:col>
      <xdr:colOff>429840</xdr:colOff>
      <xdr:row>160</xdr:row>
      <xdr:rowOff>93240</xdr:rowOff>
    </xdr:to>
    <xdr:sp>
      <xdr:nvSpPr>
        <xdr:cNvPr id="747" name="CaixaDeTexto 186"/>
        <xdr:cNvSpPr/>
      </xdr:nvSpPr>
      <xdr:spPr>
        <a:xfrm>
          <a:off x="11845080" y="31907160"/>
          <a:ext cx="1225440" cy="230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#DIV/0!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443160</xdr:colOff>
      <xdr:row>166</xdr:row>
      <xdr:rowOff>86760</xdr:rowOff>
    </xdr:from>
    <xdr:to>
      <xdr:col>11</xdr:col>
      <xdr:colOff>250920</xdr:colOff>
      <xdr:row>178</xdr:row>
      <xdr:rowOff>267480</xdr:rowOff>
    </xdr:to>
    <xdr:sp>
      <xdr:nvSpPr>
        <xdr:cNvPr id="748" name="Retângulo: Cantos Arredondados 188"/>
        <xdr:cNvSpPr/>
      </xdr:nvSpPr>
      <xdr:spPr>
        <a:xfrm>
          <a:off x="4696920" y="33274080"/>
          <a:ext cx="2388240" cy="24667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546840</xdr:colOff>
      <xdr:row>167</xdr:row>
      <xdr:rowOff>122040</xdr:rowOff>
    </xdr:from>
    <xdr:to>
      <xdr:col>11</xdr:col>
      <xdr:colOff>146520</xdr:colOff>
      <xdr:row>180</xdr:row>
      <xdr:rowOff>77400</xdr:rowOff>
    </xdr:to>
    <xdr:graphicFrame>
      <xdr:nvGraphicFramePr>
        <xdr:cNvPr id="749" name="Gráfico 190"/>
        <xdr:cNvGraphicFramePr/>
      </xdr:nvGraphicFramePr>
      <xdr:xfrm>
        <a:off x="4800600" y="33500160"/>
        <a:ext cx="2180160" cy="280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 editAs="absolute">
    <xdr:from>
      <xdr:col>8</xdr:col>
      <xdr:colOff>383040</xdr:colOff>
      <xdr:row>175</xdr:row>
      <xdr:rowOff>107640</xdr:rowOff>
    </xdr:from>
    <xdr:to>
      <xdr:col>10</xdr:col>
      <xdr:colOff>318240</xdr:colOff>
      <xdr:row>176</xdr:row>
      <xdr:rowOff>147600</xdr:rowOff>
    </xdr:to>
    <xdr:sp>
      <xdr:nvSpPr>
        <xdr:cNvPr id="750" name="CaixaDeTexto 191"/>
        <xdr:cNvSpPr/>
      </xdr:nvSpPr>
      <xdr:spPr>
        <a:xfrm>
          <a:off x="5281920" y="35009640"/>
          <a:ext cx="1225440" cy="230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#DIV/0!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486720</xdr:colOff>
      <xdr:row>166</xdr:row>
      <xdr:rowOff>89280</xdr:rowOff>
    </xdr:from>
    <xdr:to>
      <xdr:col>16</xdr:col>
      <xdr:colOff>294480</xdr:colOff>
      <xdr:row>178</xdr:row>
      <xdr:rowOff>270000</xdr:rowOff>
    </xdr:to>
    <xdr:sp>
      <xdr:nvSpPr>
        <xdr:cNvPr id="751" name="Retângulo: Cantos Arredondados 193"/>
        <xdr:cNvSpPr/>
      </xdr:nvSpPr>
      <xdr:spPr>
        <a:xfrm>
          <a:off x="7966080" y="33276600"/>
          <a:ext cx="2388600" cy="24667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590400</xdr:colOff>
      <xdr:row>167</xdr:row>
      <xdr:rowOff>124920</xdr:rowOff>
    </xdr:from>
    <xdr:to>
      <xdr:col>16</xdr:col>
      <xdr:colOff>190080</xdr:colOff>
      <xdr:row>180</xdr:row>
      <xdr:rowOff>80280</xdr:rowOff>
    </xdr:to>
    <xdr:graphicFrame>
      <xdr:nvGraphicFramePr>
        <xdr:cNvPr id="752" name="Gráfico 195"/>
        <xdr:cNvGraphicFramePr/>
      </xdr:nvGraphicFramePr>
      <xdr:xfrm>
        <a:off x="8069760" y="33503040"/>
        <a:ext cx="2180520" cy="280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 editAs="absolute">
    <xdr:from>
      <xdr:col>13</xdr:col>
      <xdr:colOff>426600</xdr:colOff>
      <xdr:row>175</xdr:row>
      <xdr:rowOff>110520</xdr:rowOff>
    </xdr:from>
    <xdr:to>
      <xdr:col>15</xdr:col>
      <xdr:colOff>361800</xdr:colOff>
      <xdr:row>176</xdr:row>
      <xdr:rowOff>150480</xdr:rowOff>
    </xdr:to>
    <xdr:sp>
      <xdr:nvSpPr>
        <xdr:cNvPr id="753" name="CaixaDeTexto 196"/>
        <xdr:cNvSpPr/>
      </xdr:nvSpPr>
      <xdr:spPr>
        <a:xfrm>
          <a:off x="8551080" y="35012520"/>
          <a:ext cx="1225800" cy="230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#DIV/0!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543960</xdr:colOff>
      <xdr:row>166</xdr:row>
      <xdr:rowOff>92160</xdr:rowOff>
    </xdr:from>
    <xdr:to>
      <xdr:col>21</xdr:col>
      <xdr:colOff>351720</xdr:colOff>
      <xdr:row>178</xdr:row>
      <xdr:rowOff>272880</xdr:rowOff>
    </xdr:to>
    <xdr:sp>
      <xdr:nvSpPr>
        <xdr:cNvPr id="754" name="Retângulo: Cantos Arredondados 198"/>
        <xdr:cNvSpPr/>
      </xdr:nvSpPr>
      <xdr:spPr>
        <a:xfrm>
          <a:off x="11249280" y="33279480"/>
          <a:ext cx="2388240" cy="246672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solidFill>
            <a:srgbClr val="e7e6e6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18</xdr:col>
      <xdr:colOff>2160</xdr:colOff>
      <xdr:row>167</xdr:row>
      <xdr:rowOff>127440</xdr:rowOff>
    </xdr:from>
    <xdr:to>
      <xdr:col>21</xdr:col>
      <xdr:colOff>246960</xdr:colOff>
      <xdr:row>180</xdr:row>
      <xdr:rowOff>82800</xdr:rowOff>
    </xdr:to>
    <xdr:graphicFrame>
      <xdr:nvGraphicFramePr>
        <xdr:cNvPr id="755" name="Gráfico 200"/>
        <xdr:cNvGraphicFramePr/>
      </xdr:nvGraphicFramePr>
      <xdr:xfrm>
        <a:off x="11352600" y="33505560"/>
        <a:ext cx="2180160" cy="280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 editAs="absolute">
    <xdr:from>
      <xdr:col>18</xdr:col>
      <xdr:colOff>483840</xdr:colOff>
      <xdr:row>175</xdr:row>
      <xdr:rowOff>113040</xdr:rowOff>
    </xdr:from>
    <xdr:to>
      <xdr:col>20</xdr:col>
      <xdr:colOff>419040</xdr:colOff>
      <xdr:row>176</xdr:row>
      <xdr:rowOff>153000</xdr:rowOff>
    </xdr:to>
    <xdr:sp>
      <xdr:nvSpPr>
        <xdr:cNvPr id="756" name="CaixaDeTexto 201"/>
        <xdr:cNvSpPr/>
      </xdr:nvSpPr>
      <xdr:spPr>
        <a:xfrm>
          <a:off x="11834280" y="35015040"/>
          <a:ext cx="1225440" cy="230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#DIV/0!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504360</xdr:colOff>
      <xdr:row>2</xdr:row>
      <xdr:rowOff>201600</xdr:rowOff>
    </xdr:from>
    <xdr:to>
      <xdr:col>4</xdr:col>
      <xdr:colOff>156600</xdr:colOff>
      <xdr:row>4</xdr:row>
      <xdr:rowOff>40320</xdr:rowOff>
    </xdr:to>
    <xdr:pic>
      <xdr:nvPicPr>
        <xdr:cNvPr id="757" name="Imagem 203" descr="">
          <a:hlinkClick r:id="rId70"/>
        </xdr:cNvPr>
        <xdr:cNvPicPr/>
      </xdr:nvPicPr>
      <xdr:blipFill>
        <a:blip r:embed="rId71"/>
        <a:stretch/>
      </xdr:blipFill>
      <xdr:spPr>
        <a:xfrm>
          <a:off x="887040" y="630000"/>
          <a:ext cx="1587600" cy="534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222840</xdr:colOff>
      <xdr:row>9</xdr:row>
      <xdr:rowOff>123840</xdr:rowOff>
    </xdr:from>
    <xdr:to>
      <xdr:col>15</xdr:col>
      <xdr:colOff>819000</xdr:colOff>
      <xdr:row>12</xdr:row>
      <xdr:rowOff>142560</xdr:rowOff>
    </xdr:to>
    <xdr:sp>
      <xdr:nvSpPr>
        <xdr:cNvPr id="758" name="Retângulo 1"/>
        <xdr:cNvSpPr/>
      </xdr:nvSpPr>
      <xdr:spPr>
        <a:xfrm>
          <a:off x="9817560" y="1838160"/>
          <a:ext cx="1967040" cy="59040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Calibri"/>
            </a:rPr>
            <a:t>NÃO DEIXAR ESPAÇOS VAZIOS NAS LISTAS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925560</xdr:colOff>
      <xdr:row>15</xdr:row>
      <xdr:rowOff>131040</xdr:rowOff>
    </xdr:from>
    <xdr:to>
      <xdr:col>8</xdr:col>
      <xdr:colOff>236520</xdr:colOff>
      <xdr:row>18</xdr:row>
      <xdr:rowOff>185040</xdr:rowOff>
    </xdr:to>
    <xdr:pic>
      <xdr:nvPicPr>
        <xdr:cNvPr id="15" name="Gráfico 9" descr="Seta de linha: curva no sentido horário"/>
        <xdr:cNvPicPr/>
      </xdr:nvPicPr>
      <xdr:blipFill>
        <a:blip r:embed="rId1"/>
        <a:stretch/>
      </xdr:blipFill>
      <xdr:spPr>
        <a:xfrm flipH="1" rot="3097800">
          <a:off x="4879080" y="3325680"/>
          <a:ext cx="797040" cy="88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368640</xdr:colOff>
      <xdr:row>0</xdr:row>
      <xdr:rowOff>0</xdr:rowOff>
    </xdr:from>
    <xdr:to>
      <xdr:col>12</xdr:col>
      <xdr:colOff>179280</xdr:colOff>
      <xdr:row>8</xdr:row>
      <xdr:rowOff>42840</xdr:rowOff>
    </xdr:to>
    <xdr:pic>
      <xdr:nvPicPr>
        <xdr:cNvPr id="16" name="Imagem 1" descr=""/>
        <xdr:cNvPicPr/>
      </xdr:nvPicPr>
      <xdr:blipFill>
        <a:blip r:embed="rId2"/>
        <a:stretch/>
      </xdr:blipFill>
      <xdr:spPr>
        <a:xfrm>
          <a:off x="6124680" y="0"/>
          <a:ext cx="2945160" cy="156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</xdr:row>
      <xdr:rowOff>19800</xdr:rowOff>
    </xdr:from>
    <xdr:to>
      <xdr:col>8</xdr:col>
      <xdr:colOff>197640</xdr:colOff>
      <xdr:row>9</xdr:row>
      <xdr:rowOff>89280</xdr:rowOff>
    </xdr:to>
    <xdr:pic>
      <xdr:nvPicPr>
        <xdr:cNvPr id="17" name="Imagem 2" descr=""/>
        <xdr:cNvPicPr/>
      </xdr:nvPicPr>
      <xdr:blipFill>
        <a:blip r:embed="rId3"/>
        <a:stretch/>
      </xdr:blipFill>
      <xdr:spPr>
        <a:xfrm>
          <a:off x="0" y="1734120"/>
          <a:ext cx="5681160" cy="69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249120</xdr:colOff>
      <xdr:row>0</xdr:row>
      <xdr:rowOff>0</xdr:rowOff>
    </xdr:from>
    <xdr:to>
      <xdr:col>3</xdr:col>
      <xdr:colOff>1782720</xdr:colOff>
      <xdr:row>10</xdr:row>
      <xdr:rowOff>64440</xdr:rowOff>
    </xdr:to>
    <xdr:pic>
      <xdr:nvPicPr>
        <xdr:cNvPr id="18" name="Imagem 3" descr=""/>
        <xdr:cNvPicPr/>
      </xdr:nvPicPr>
      <xdr:blipFill>
        <a:blip r:embed="rId4"/>
        <a:stretch/>
      </xdr:blipFill>
      <xdr:spPr>
        <a:xfrm>
          <a:off x="1095480" y="0"/>
          <a:ext cx="1805760" cy="201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38160</xdr:colOff>
      <xdr:row>4</xdr:row>
      <xdr:rowOff>95400</xdr:rowOff>
    </xdr:from>
    <xdr:to>
      <xdr:col>15</xdr:col>
      <xdr:colOff>768960</xdr:colOff>
      <xdr:row>7</xdr:row>
      <xdr:rowOff>68760</xdr:rowOff>
    </xdr:to>
    <xdr:pic>
      <xdr:nvPicPr>
        <xdr:cNvPr id="19" name="Imagem 4" descr="">
          <a:hlinkClick r:id="rId5"/>
        </xdr:cNvPr>
        <xdr:cNvPicPr/>
      </xdr:nvPicPr>
      <xdr:blipFill>
        <a:blip r:embed="rId6"/>
        <a:stretch/>
      </xdr:blipFill>
      <xdr:spPr>
        <a:xfrm>
          <a:off x="9110160" y="857160"/>
          <a:ext cx="1527120" cy="5450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561960</xdr:colOff>
      <xdr:row>18</xdr:row>
      <xdr:rowOff>95400</xdr:rowOff>
    </xdr:from>
    <xdr:to>
      <xdr:col>7</xdr:col>
      <xdr:colOff>37800</xdr:colOff>
      <xdr:row>20</xdr:row>
      <xdr:rowOff>85680</xdr:rowOff>
    </xdr:to>
    <xdr:sp>
      <xdr:nvSpPr>
        <xdr:cNvPr id="20" name="Retângulo: Cantos Arredondados 5">
          <a:hlinkClick r:id="rId7"/>
        </xdr:cNvPr>
        <xdr:cNvSpPr/>
      </xdr:nvSpPr>
      <xdr:spPr>
        <a:xfrm>
          <a:off x="561960" y="4076640"/>
          <a:ext cx="4687200" cy="533160"/>
        </a:xfrm>
        <a:prstGeom prst="roundRect">
          <a:avLst>
            <a:gd name="adj" fmla="val 45606"/>
          </a:avLst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396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pt-BR" sz="1100" spc="-1" strike="noStrike">
              <a:solidFill>
                <a:srgbClr val="ffffff"/>
              </a:solidFill>
              <a:latin typeface="Calibri"/>
            </a:rPr>
            <a:t>Conheça o </a:t>
          </a:r>
          <a:r>
            <a:rPr b="1" lang="pt-BR" sz="1100" spc="-1" strike="noStrike">
              <a:solidFill>
                <a:srgbClr val="ffffff"/>
              </a:solidFill>
              <a:latin typeface="Calibri"/>
            </a:rPr>
            <a:t>Método do Pote</a:t>
          </a:r>
          <a:r>
            <a:rPr b="0" lang="pt-BR" sz="1100" spc="-1" strike="noStrike">
              <a:solidFill>
                <a:srgbClr val="ffffff"/>
              </a:solidFill>
              <a:latin typeface="Calibri"/>
            </a:rPr>
            <a:t> no Blog da Neon. </a:t>
          </a:r>
          <a:r>
            <a:rPr b="1" lang="pt-BR" sz="1100" spc="-1" strike="noStrike" u="sng">
              <a:solidFill>
                <a:srgbClr val="ffffff"/>
              </a:solidFill>
              <a:uFillTx/>
              <a:latin typeface="Calibri"/>
            </a:rPr>
            <a:t>Leia aqui</a:t>
          </a:r>
          <a:r>
            <a:rPr b="0" lang="pt-BR" sz="1100" spc="-1" strike="noStrike">
              <a:solidFill>
                <a:srgbClr val="ffffff"/>
              </a:solidFill>
              <a:latin typeface="Calibri"/>
            </a:rPr>
            <a:t>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93240</xdr:colOff>
      <xdr:row>18</xdr:row>
      <xdr:rowOff>207000</xdr:rowOff>
    </xdr:from>
    <xdr:to>
      <xdr:col>2</xdr:col>
      <xdr:colOff>155160</xdr:colOff>
      <xdr:row>19</xdr:row>
      <xdr:rowOff>138600</xdr:rowOff>
    </xdr:to>
    <xdr:pic>
      <xdr:nvPicPr>
        <xdr:cNvPr id="21" name="Gráfico 6" descr="Ajudar">
          <a:hlinkClick r:id="rId8"/>
        </xdr:cNvPr>
        <xdr:cNvPicPr/>
      </xdr:nvPicPr>
      <xdr:blipFill>
        <a:blip r:embed="rId9"/>
        <a:stretch/>
      </xdr:blipFill>
      <xdr:spPr>
        <a:xfrm>
          <a:off x="707760" y="4188240"/>
          <a:ext cx="293760" cy="2746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0</xdr:col>
      <xdr:colOff>320400</xdr:colOff>
      <xdr:row>16</xdr:row>
      <xdr:rowOff>167400</xdr:rowOff>
    </xdr:from>
    <xdr:to>
      <xdr:col>2</xdr:col>
      <xdr:colOff>163440</xdr:colOff>
      <xdr:row>18</xdr:row>
      <xdr:rowOff>267480</xdr:rowOff>
    </xdr:to>
    <xdr:pic>
      <xdr:nvPicPr>
        <xdr:cNvPr id="22" name="Gráfico 8" descr="Seta de linha: curva no sentido horário"/>
        <xdr:cNvPicPr/>
      </xdr:nvPicPr>
      <xdr:blipFill>
        <a:blip r:embed="rId10"/>
        <a:stretch/>
      </xdr:blipFill>
      <xdr:spPr>
        <a:xfrm flipH="1" rot="9832200">
          <a:off x="320040" y="3605760"/>
          <a:ext cx="689400" cy="642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422640</xdr:colOff>
      <xdr:row>2</xdr:row>
      <xdr:rowOff>123840</xdr:rowOff>
    </xdr:from>
    <xdr:to>
      <xdr:col>5</xdr:col>
      <xdr:colOff>1297080</xdr:colOff>
      <xdr:row>3</xdr:row>
      <xdr:rowOff>189720</xdr:rowOff>
    </xdr:to>
    <xdr:sp>
      <xdr:nvSpPr>
        <xdr:cNvPr id="23" name="Forma Livre: Forma 4">
          <a:hlinkClick r:id="rId1"/>
        </xdr:cNvPr>
        <xdr:cNvSpPr/>
      </xdr:nvSpPr>
      <xdr:spPr>
        <a:xfrm>
          <a:off x="3164400" y="552240"/>
          <a:ext cx="874440" cy="304200"/>
        </a:xfrm>
        <a:custGeom>
          <a:avLst/>
          <a:gdLst/>
          <a:ahLst/>
          <a:rect l="l" t="t" r="r" b="b"/>
          <a:pathLst>
            <a:path w="860648" h="344259">
              <a:moveTo>
                <a:pt x="0" y="0"/>
              </a:moveTo>
              <a:lnTo>
                <a:pt x="688519" y="0"/>
              </a:lnTo>
              <a:lnTo>
                <a:pt x="860648" y="172130"/>
              </a:lnTo>
              <a:lnTo>
                <a:pt x="688519" y="344259"/>
              </a:lnTo>
              <a:lnTo>
                <a:pt x="0" y="344259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2"/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/>
      </xdr:style>
      <xdr:txBody>
        <a:bodyPr lIns="85320" rIns="107280" tIns="42840" bIns="42840" anchor="ctr">
          <a:noAutofit/>
        </a:bodyPr>
        <a:p>
          <a:pPr algn="ctr">
            <a:lnSpc>
              <a:spcPct val="90000"/>
            </a:lnSpc>
            <a:spcAft>
              <a:spcPts val="490"/>
            </a:spcAft>
            <a:tabLst>
              <a:tab algn="l" pos="0"/>
            </a:tabLst>
          </a:pPr>
          <a:r>
            <a:rPr b="0" lang="en-GB" sz="1400" spc="-1" strike="noStrike">
              <a:solidFill>
                <a:srgbClr val="00b0f0"/>
              </a:solidFill>
              <a:latin typeface="Calibri"/>
            </a:rPr>
            <a:t>JAN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1177920</xdr:colOff>
      <xdr:row>2</xdr:row>
      <xdr:rowOff>123840</xdr:rowOff>
    </xdr:from>
    <xdr:to>
      <xdr:col>6</xdr:col>
      <xdr:colOff>621000</xdr:colOff>
      <xdr:row>3</xdr:row>
      <xdr:rowOff>189720</xdr:rowOff>
    </xdr:to>
    <xdr:sp>
      <xdr:nvSpPr>
        <xdr:cNvPr id="24" name="Forma Livre: Forma 5">
          <a:hlinkClick r:id="rId2"/>
        </xdr:cNvPr>
        <xdr:cNvSpPr/>
      </xdr:nvSpPr>
      <xdr:spPr>
        <a:xfrm>
          <a:off x="3919680" y="552240"/>
          <a:ext cx="874440" cy="304200"/>
        </a:xfrm>
        <a:custGeom>
          <a:avLst/>
          <a:gdLst/>
          <a:ahLst/>
          <a:rect l="l" t="t" r="r" b="b"/>
          <a:pathLst>
            <a:path w="860648" h="344259">
              <a:moveTo>
                <a:pt x="0" y="0"/>
              </a:moveTo>
              <a:lnTo>
                <a:pt x="688519" y="0"/>
              </a:lnTo>
              <a:lnTo>
                <a:pt x="860648" y="172130"/>
              </a:lnTo>
              <a:lnTo>
                <a:pt x="688519" y="344259"/>
              </a:lnTo>
              <a:lnTo>
                <a:pt x="0" y="344259"/>
              </a:lnTo>
              <a:lnTo>
                <a:pt x="172130" y="17213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2"/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/>
      </xdr:style>
      <xdr:txBody>
        <a:bodyPr lIns="236160" rIns="193320" tIns="42840" bIns="42840" anchor="ctr">
          <a:noAutofit/>
        </a:bodyPr>
        <a:p>
          <a:pPr algn="ctr">
            <a:lnSpc>
              <a:spcPct val="90000"/>
            </a:lnSpc>
            <a:spcAft>
              <a:spcPts val="490"/>
            </a:spcAft>
            <a:tabLst>
              <a:tab algn="l" pos="0"/>
            </a:tabLst>
          </a:pPr>
          <a:r>
            <a:rPr b="0" lang="en-GB" sz="1400" spc="-1" strike="noStrike">
              <a:solidFill>
                <a:srgbClr val="00b0f0"/>
              </a:solidFill>
              <a:latin typeface="Calibri"/>
            </a:rPr>
            <a:t>FEV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501840</xdr:colOff>
      <xdr:row>2</xdr:row>
      <xdr:rowOff>123840</xdr:rowOff>
    </xdr:from>
    <xdr:to>
      <xdr:col>6</xdr:col>
      <xdr:colOff>1376280</xdr:colOff>
      <xdr:row>3</xdr:row>
      <xdr:rowOff>189720</xdr:rowOff>
    </xdr:to>
    <xdr:sp>
      <xdr:nvSpPr>
        <xdr:cNvPr id="25" name="Forma Livre: Forma 6">
          <a:hlinkClick r:id="rId3"/>
        </xdr:cNvPr>
        <xdr:cNvSpPr/>
      </xdr:nvSpPr>
      <xdr:spPr>
        <a:xfrm>
          <a:off x="4674960" y="552240"/>
          <a:ext cx="874440" cy="304200"/>
        </a:xfrm>
        <a:custGeom>
          <a:avLst/>
          <a:gdLst/>
          <a:ahLst/>
          <a:rect l="l" t="t" r="r" b="b"/>
          <a:pathLst>
            <a:path w="860648" h="344259">
              <a:moveTo>
                <a:pt x="0" y="0"/>
              </a:moveTo>
              <a:lnTo>
                <a:pt x="688519" y="0"/>
              </a:lnTo>
              <a:lnTo>
                <a:pt x="860648" y="172130"/>
              </a:lnTo>
              <a:lnTo>
                <a:pt x="688519" y="344259"/>
              </a:lnTo>
              <a:lnTo>
                <a:pt x="0" y="344259"/>
              </a:lnTo>
              <a:lnTo>
                <a:pt x="172130" y="17213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2"/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/>
      </xdr:style>
      <xdr:txBody>
        <a:bodyPr lIns="236160" rIns="193320" tIns="42840" bIns="42840" anchor="ctr">
          <a:noAutofit/>
        </a:bodyPr>
        <a:p>
          <a:pPr algn="ctr">
            <a:lnSpc>
              <a:spcPct val="90000"/>
            </a:lnSpc>
            <a:spcAft>
              <a:spcPts val="490"/>
            </a:spcAft>
            <a:tabLst>
              <a:tab algn="l" pos="0"/>
            </a:tabLst>
          </a:pPr>
          <a:r>
            <a:rPr b="0" lang="en-GB" sz="1400" spc="-1" strike="noStrike">
              <a:solidFill>
                <a:srgbClr val="00b0f0"/>
              </a:solidFill>
              <a:latin typeface="Calibri"/>
            </a:rPr>
            <a:t>MAR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1256760</xdr:colOff>
      <xdr:row>2</xdr:row>
      <xdr:rowOff>123840</xdr:rowOff>
    </xdr:from>
    <xdr:to>
      <xdr:col>7</xdr:col>
      <xdr:colOff>65160</xdr:colOff>
      <xdr:row>3</xdr:row>
      <xdr:rowOff>189720</xdr:rowOff>
    </xdr:to>
    <xdr:sp>
      <xdr:nvSpPr>
        <xdr:cNvPr id="26" name="Forma Livre: Forma 7">
          <a:hlinkClick r:id="rId4"/>
        </xdr:cNvPr>
        <xdr:cNvSpPr/>
      </xdr:nvSpPr>
      <xdr:spPr>
        <a:xfrm>
          <a:off x="5429880" y="552240"/>
          <a:ext cx="874440" cy="304200"/>
        </a:xfrm>
        <a:custGeom>
          <a:avLst/>
          <a:gdLst/>
          <a:ahLst/>
          <a:rect l="l" t="t" r="r" b="b"/>
          <a:pathLst>
            <a:path w="860648" h="344259">
              <a:moveTo>
                <a:pt x="0" y="0"/>
              </a:moveTo>
              <a:lnTo>
                <a:pt x="688519" y="0"/>
              </a:lnTo>
              <a:lnTo>
                <a:pt x="860648" y="172130"/>
              </a:lnTo>
              <a:lnTo>
                <a:pt x="688519" y="344259"/>
              </a:lnTo>
              <a:lnTo>
                <a:pt x="0" y="344259"/>
              </a:lnTo>
              <a:lnTo>
                <a:pt x="172130" y="17213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2"/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/>
      </xdr:style>
      <xdr:txBody>
        <a:bodyPr lIns="236160" rIns="193320" tIns="42840" bIns="42840" anchor="ctr">
          <a:noAutofit/>
        </a:bodyPr>
        <a:p>
          <a:pPr algn="ctr">
            <a:lnSpc>
              <a:spcPct val="90000"/>
            </a:lnSpc>
            <a:spcAft>
              <a:spcPts val="490"/>
            </a:spcAft>
            <a:tabLst>
              <a:tab algn="l" pos="0"/>
            </a:tabLst>
          </a:pPr>
          <a:r>
            <a:rPr b="0" lang="en-GB" sz="1400" spc="-1" strike="noStrike">
              <a:solidFill>
                <a:srgbClr val="00b0f0"/>
              </a:solidFill>
              <a:latin typeface="Calibri"/>
            </a:rPr>
            <a:t>ABR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2012040</xdr:colOff>
      <xdr:row>2</xdr:row>
      <xdr:rowOff>123840</xdr:rowOff>
    </xdr:from>
    <xdr:to>
      <xdr:col>7</xdr:col>
      <xdr:colOff>820440</xdr:colOff>
      <xdr:row>3</xdr:row>
      <xdr:rowOff>189720</xdr:rowOff>
    </xdr:to>
    <xdr:sp>
      <xdr:nvSpPr>
        <xdr:cNvPr id="27" name="Forma Livre: Forma 8">
          <a:hlinkClick r:id="rId5"/>
        </xdr:cNvPr>
        <xdr:cNvSpPr/>
      </xdr:nvSpPr>
      <xdr:spPr>
        <a:xfrm>
          <a:off x="6185160" y="552240"/>
          <a:ext cx="874440" cy="304200"/>
        </a:xfrm>
        <a:custGeom>
          <a:avLst/>
          <a:gdLst/>
          <a:ahLst/>
          <a:rect l="l" t="t" r="r" b="b"/>
          <a:pathLst>
            <a:path w="860648" h="344259">
              <a:moveTo>
                <a:pt x="0" y="0"/>
              </a:moveTo>
              <a:lnTo>
                <a:pt x="688519" y="0"/>
              </a:lnTo>
              <a:lnTo>
                <a:pt x="860648" y="172130"/>
              </a:lnTo>
              <a:lnTo>
                <a:pt x="688519" y="344259"/>
              </a:lnTo>
              <a:lnTo>
                <a:pt x="0" y="344259"/>
              </a:lnTo>
              <a:lnTo>
                <a:pt x="172130" y="17213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2"/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/>
      </xdr:style>
      <xdr:txBody>
        <a:bodyPr lIns="236160" rIns="193320" tIns="42840" bIns="42840" anchor="ctr">
          <a:noAutofit/>
        </a:bodyPr>
        <a:p>
          <a:pPr algn="ctr">
            <a:lnSpc>
              <a:spcPct val="90000"/>
            </a:lnSpc>
            <a:spcAft>
              <a:spcPts val="490"/>
            </a:spcAft>
            <a:tabLst>
              <a:tab algn="l" pos="0"/>
            </a:tabLst>
          </a:pPr>
          <a:r>
            <a:rPr b="0" lang="en-GB" sz="1400" spc="-1" strike="noStrike">
              <a:solidFill>
                <a:srgbClr val="00b0f0"/>
              </a:solidFill>
              <a:latin typeface="Calibri"/>
            </a:rPr>
            <a:t>MAI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700920</xdr:colOff>
      <xdr:row>2</xdr:row>
      <xdr:rowOff>123840</xdr:rowOff>
    </xdr:from>
    <xdr:to>
      <xdr:col>7</xdr:col>
      <xdr:colOff>1575360</xdr:colOff>
      <xdr:row>3</xdr:row>
      <xdr:rowOff>189720</xdr:rowOff>
    </xdr:to>
    <xdr:sp>
      <xdr:nvSpPr>
        <xdr:cNvPr id="28" name="Forma Livre: Forma 9">
          <a:hlinkClick r:id="rId6"/>
        </xdr:cNvPr>
        <xdr:cNvSpPr/>
      </xdr:nvSpPr>
      <xdr:spPr>
        <a:xfrm>
          <a:off x="6940080" y="552240"/>
          <a:ext cx="874440" cy="304200"/>
        </a:xfrm>
        <a:custGeom>
          <a:avLst/>
          <a:gdLst/>
          <a:ahLst/>
          <a:rect l="l" t="t" r="r" b="b"/>
          <a:pathLst>
            <a:path w="860648" h="344259">
              <a:moveTo>
                <a:pt x="0" y="0"/>
              </a:moveTo>
              <a:lnTo>
                <a:pt x="688519" y="0"/>
              </a:lnTo>
              <a:lnTo>
                <a:pt x="860648" y="172130"/>
              </a:lnTo>
              <a:lnTo>
                <a:pt x="688519" y="344259"/>
              </a:lnTo>
              <a:lnTo>
                <a:pt x="0" y="344259"/>
              </a:lnTo>
              <a:lnTo>
                <a:pt x="172130" y="17213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2"/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/>
      </xdr:style>
      <xdr:txBody>
        <a:bodyPr lIns="236160" rIns="193320" tIns="42840" bIns="42840" anchor="ctr">
          <a:noAutofit/>
        </a:bodyPr>
        <a:p>
          <a:pPr algn="ctr">
            <a:lnSpc>
              <a:spcPct val="90000"/>
            </a:lnSpc>
            <a:spcAft>
              <a:spcPts val="490"/>
            </a:spcAft>
            <a:tabLst>
              <a:tab algn="l" pos="0"/>
            </a:tabLst>
          </a:pPr>
          <a:r>
            <a:rPr b="0" lang="en-GB" sz="1400" spc="-1" strike="noStrike">
              <a:solidFill>
                <a:srgbClr val="00b0f0"/>
              </a:solidFill>
              <a:latin typeface="Calibri"/>
            </a:rPr>
            <a:t>JUN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1456200</xdr:colOff>
      <xdr:row>2</xdr:row>
      <xdr:rowOff>123840</xdr:rowOff>
    </xdr:from>
    <xdr:to>
      <xdr:col>7</xdr:col>
      <xdr:colOff>2330640</xdr:colOff>
      <xdr:row>3</xdr:row>
      <xdr:rowOff>189720</xdr:rowOff>
    </xdr:to>
    <xdr:sp>
      <xdr:nvSpPr>
        <xdr:cNvPr id="29" name="Forma Livre: Forma 10">
          <a:hlinkClick r:id="rId7"/>
        </xdr:cNvPr>
        <xdr:cNvSpPr/>
      </xdr:nvSpPr>
      <xdr:spPr>
        <a:xfrm>
          <a:off x="7695360" y="552240"/>
          <a:ext cx="874440" cy="304200"/>
        </a:xfrm>
        <a:custGeom>
          <a:avLst/>
          <a:gdLst/>
          <a:ahLst/>
          <a:rect l="l" t="t" r="r" b="b"/>
          <a:pathLst>
            <a:path w="860648" h="344259">
              <a:moveTo>
                <a:pt x="0" y="0"/>
              </a:moveTo>
              <a:lnTo>
                <a:pt x="688519" y="0"/>
              </a:lnTo>
              <a:lnTo>
                <a:pt x="860648" y="172130"/>
              </a:lnTo>
              <a:lnTo>
                <a:pt x="688519" y="344259"/>
              </a:lnTo>
              <a:lnTo>
                <a:pt x="0" y="344259"/>
              </a:lnTo>
              <a:lnTo>
                <a:pt x="172130" y="17213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2"/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/>
      </xdr:style>
      <xdr:txBody>
        <a:bodyPr lIns="236160" rIns="193320" tIns="42840" bIns="42840" anchor="ctr">
          <a:noAutofit/>
        </a:bodyPr>
        <a:p>
          <a:pPr algn="ctr">
            <a:lnSpc>
              <a:spcPct val="90000"/>
            </a:lnSpc>
            <a:spcAft>
              <a:spcPts val="490"/>
            </a:spcAft>
            <a:tabLst>
              <a:tab algn="l" pos="0"/>
            </a:tabLst>
          </a:pPr>
          <a:r>
            <a:rPr b="0" lang="en-GB" sz="1400" spc="-1" strike="noStrike">
              <a:solidFill>
                <a:srgbClr val="00b0f0"/>
              </a:solidFill>
              <a:latin typeface="Calibri"/>
            </a:rPr>
            <a:t>JUL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2211120</xdr:colOff>
      <xdr:row>2</xdr:row>
      <xdr:rowOff>123840</xdr:rowOff>
    </xdr:from>
    <xdr:to>
      <xdr:col>8</xdr:col>
      <xdr:colOff>595440</xdr:colOff>
      <xdr:row>3</xdr:row>
      <xdr:rowOff>189720</xdr:rowOff>
    </xdr:to>
    <xdr:sp>
      <xdr:nvSpPr>
        <xdr:cNvPr id="30" name="Forma Livre: Forma 11">
          <a:hlinkClick r:id="rId8"/>
        </xdr:cNvPr>
        <xdr:cNvSpPr/>
      </xdr:nvSpPr>
      <xdr:spPr>
        <a:xfrm>
          <a:off x="8450280" y="552240"/>
          <a:ext cx="874440" cy="304200"/>
        </a:xfrm>
        <a:custGeom>
          <a:avLst/>
          <a:gdLst/>
          <a:ahLst/>
          <a:rect l="l" t="t" r="r" b="b"/>
          <a:pathLst>
            <a:path w="860648" h="344259">
              <a:moveTo>
                <a:pt x="0" y="0"/>
              </a:moveTo>
              <a:lnTo>
                <a:pt x="688519" y="0"/>
              </a:lnTo>
              <a:lnTo>
                <a:pt x="860648" y="172130"/>
              </a:lnTo>
              <a:lnTo>
                <a:pt x="688519" y="344259"/>
              </a:lnTo>
              <a:lnTo>
                <a:pt x="0" y="344259"/>
              </a:lnTo>
              <a:lnTo>
                <a:pt x="172130" y="17213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2"/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/>
      </xdr:style>
      <xdr:txBody>
        <a:bodyPr lIns="236160" rIns="193320" tIns="42840" bIns="42840" anchor="ctr">
          <a:noAutofit/>
        </a:bodyPr>
        <a:p>
          <a:pPr algn="ctr">
            <a:lnSpc>
              <a:spcPct val="90000"/>
            </a:lnSpc>
            <a:spcAft>
              <a:spcPts val="490"/>
            </a:spcAft>
            <a:tabLst>
              <a:tab algn="l" pos="0"/>
            </a:tabLst>
          </a:pPr>
          <a:r>
            <a:rPr b="0" lang="en-GB" sz="1400" spc="-1" strike="noStrike">
              <a:solidFill>
                <a:srgbClr val="00b0f0"/>
              </a:solidFill>
              <a:latin typeface="Calibri"/>
            </a:rPr>
            <a:t>AGO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476280</xdr:colOff>
      <xdr:row>2</xdr:row>
      <xdr:rowOff>123840</xdr:rowOff>
    </xdr:from>
    <xdr:to>
      <xdr:col>9</xdr:col>
      <xdr:colOff>40320</xdr:colOff>
      <xdr:row>3</xdr:row>
      <xdr:rowOff>189720</xdr:rowOff>
    </xdr:to>
    <xdr:sp>
      <xdr:nvSpPr>
        <xdr:cNvPr id="31" name="Forma Livre: Forma 12">
          <a:hlinkClick r:id="rId9"/>
        </xdr:cNvPr>
        <xdr:cNvSpPr/>
      </xdr:nvSpPr>
      <xdr:spPr>
        <a:xfrm>
          <a:off x="9205560" y="552240"/>
          <a:ext cx="874440" cy="304200"/>
        </a:xfrm>
        <a:custGeom>
          <a:avLst/>
          <a:gdLst/>
          <a:ahLst/>
          <a:rect l="l" t="t" r="r" b="b"/>
          <a:pathLst>
            <a:path w="860648" h="344259">
              <a:moveTo>
                <a:pt x="0" y="0"/>
              </a:moveTo>
              <a:lnTo>
                <a:pt x="688519" y="0"/>
              </a:lnTo>
              <a:lnTo>
                <a:pt x="860648" y="172130"/>
              </a:lnTo>
              <a:lnTo>
                <a:pt x="688519" y="344259"/>
              </a:lnTo>
              <a:lnTo>
                <a:pt x="0" y="344259"/>
              </a:lnTo>
              <a:lnTo>
                <a:pt x="172130" y="17213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2"/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/>
      </xdr:style>
      <xdr:txBody>
        <a:bodyPr lIns="236160" rIns="193320" tIns="42840" bIns="42840" anchor="ctr">
          <a:noAutofit/>
        </a:bodyPr>
        <a:p>
          <a:pPr algn="ctr">
            <a:lnSpc>
              <a:spcPct val="90000"/>
            </a:lnSpc>
            <a:spcAft>
              <a:spcPts val="490"/>
            </a:spcAft>
            <a:tabLst>
              <a:tab algn="l" pos="0"/>
            </a:tabLst>
          </a:pPr>
          <a:r>
            <a:rPr b="0" lang="en-GB" sz="1400" spc="-1" strike="noStrike">
              <a:solidFill>
                <a:srgbClr val="00b0f0"/>
              </a:solidFill>
              <a:latin typeface="Calibri"/>
            </a:rPr>
            <a:t>SET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1231560</xdr:colOff>
      <xdr:row>2</xdr:row>
      <xdr:rowOff>123840</xdr:rowOff>
    </xdr:from>
    <xdr:to>
      <xdr:col>9</xdr:col>
      <xdr:colOff>795600</xdr:colOff>
      <xdr:row>3</xdr:row>
      <xdr:rowOff>189720</xdr:rowOff>
    </xdr:to>
    <xdr:sp>
      <xdr:nvSpPr>
        <xdr:cNvPr id="32" name="Forma Livre: Forma 13">
          <a:hlinkClick r:id="rId10"/>
        </xdr:cNvPr>
        <xdr:cNvSpPr/>
      </xdr:nvSpPr>
      <xdr:spPr>
        <a:xfrm>
          <a:off x="9960840" y="552240"/>
          <a:ext cx="874440" cy="304200"/>
        </a:xfrm>
        <a:custGeom>
          <a:avLst/>
          <a:gdLst/>
          <a:ahLst/>
          <a:rect l="l" t="t" r="r" b="b"/>
          <a:pathLst>
            <a:path w="860648" h="344259">
              <a:moveTo>
                <a:pt x="0" y="0"/>
              </a:moveTo>
              <a:lnTo>
                <a:pt x="688519" y="0"/>
              </a:lnTo>
              <a:lnTo>
                <a:pt x="860648" y="172130"/>
              </a:lnTo>
              <a:lnTo>
                <a:pt x="688519" y="344259"/>
              </a:lnTo>
              <a:lnTo>
                <a:pt x="0" y="344259"/>
              </a:lnTo>
              <a:lnTo>
                <a:pt x="172130" y="17213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2"/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/>
      </xdr:style>
      <xdr:txBody>
        <a:bodyPr lIns="236160" rIns="193320" tIns="42840" bIns="42840" anchor="ctr">
          <a:noAutofit/>
        </a:bodyPr>
        <a:p>
          <a:pPr algn="ctr">
            <a:lnSpc>
              <a:spcPct val="90000"/>
            </a:lnSpc>
            <a:spcAft>
              <a:spcPts val="490"/>
            </a:spcAft>
            <a:tabLst>
              <a:tab algn="l" pos="0"/>
            </a:tabLst>
          </a:pPr>
          <a:r>
            <a:rPr b="0" lang="en-GB" sz="1400" spc="-1" strike="noStrike">
              <a:solidFill>
                <a:srgbClr val="00b0f0"/>
              </a:solidFill>
              <a:latin typeface="Calibri"/>
            </a:rPr>
            <a:t>OUT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676080</xdr:colOff>
      <xdr:row>2</xdr:row>
      <xdr:rowOff>123840</xdr:rowOff>
    </xdr:from>
    <xdr:to>
      <xdr:col>10</xdr:col>
      <xdr:colOff>239760</xdr:colOff>
      <xdr:row>3</xdr:row>
      <xdr:rowOff>189720</xdr:rowOff>
    </xdr:to>
    <xdr:sp>
      <xdr:nvSpPr>
        <xdr:cNvPr id="33" name="Forma Livre: Forma 14">
          <a:hlinkClick r:id="rId11"/>
        </xdr:cNvPr>
        <xdr:cNvSpPr/>
      </xdr:nvSpPr>
      <xdr:spPr>
        <a:xfrm>
          <a:off x="10715760" y="552240"/>
          <a:ext cx="874440" cy="304200"/>
        </a:xfrm>
        <a:custGeom>
          <a:avLst/>
          <a:gdLst/>
          <a:ahLst/>
          <a:rect l="l" t="t" r="r" b="b"/>
          <a:pathLst>
            <a:path w="860648" h="344259">
              <a:moveTo>
                <a:pt x="0" y="0"/>
              </a:moveTo>
              <a:lnTo>
                <a:pt x="688519" y="0"/>
              </a:lnTo>
              <a:lnTo>
                <a:pt x="860648" y="172130"/>
              </a:lnTo>
              <a:lnTo>
                <a:pt x="688519" y="344259"/>
              </a:lnTo>
              <a:lnTo>
                <a:pt x="0" y="344259"/>
              </a:lnTo>
              <a:lnTo>
                <a:pt x="172130" y="17213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2"/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/>
      </xdr:style>
      <xdr:txBody>
        <a:bodyPr lIns="236160" rIns="193320" tIns="42840" bIns="42840" anchor="ctr">
          <a:noAutofit/>
        </a:bodyPr>
        <a:p>
          <a:pPr algn="ctr">
            <a:lnSpc>
              <a:spcPct val="90000"/>
            </a:lnSpc>
            <a:spcAft>
              <a:spcPts val="490"/>
            </a:spcAft>
            <a:tabLst>
              <a:tab algn="l" pos="0"/>
            </a:tabLst>
          </a:pPr>
          <a:r>
            <a:rPr b="0" lang="en-GB" sz="1400" spc="-1" strike="noStrike">
              <a:solidFill>
                <a:srgbClr val="00b0f0"/>
              </a:solidFill>
              <a:latin typeface="Calibri"/>
            </a:rPr>
            <a:t>NOV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120600</xdr:colOff>
      <xdr:row>2</xdr:row>
      <xdr:rowOff>123840</xdr:rowOff>
    </xdr:from>
    <xdr:to>
      <xdr:col>10</xdr:col>
      <xdr:colOff>995040</xdr:colOff>
      <xdr:row>3</xdr:row>
      <xdr:rowOff>189720</xdr:rowOff>
    </xdr:to>
    <xdr:sp>
      <xdr:nvSpPr>
        <xdr:cNvPr id="34" name="Forma Livre: Forma 15">
          <a:hlinkClick r:id="rId12"/>
        </xdr:cNvPr>
        <xdr:cNvSpPr/>
      </xdr:nvSpPr>
      <xdr:spPr>
        <a:xfrm>
          <a:off x="11471040" y="552240"/>
          <a:ext cx="874440" cy="304200"/>
        </a:xfrm>
        <a:custGeom>
          <a:avLst/>
          <a:gdLst/>
          <a:ahLst/>
          <a:rect l="l" t="t" r="r" b="b"/>
          <a:pathLst>
            <a:path w="860648" h="344259">
              <a:moveTo>
                <a:pt x="0" y="0"/>
              </a:moveTo>
              <a:lnTo>
                <a:pt x="688519" y="0"/>
              </a:lnTo>
              <a:lnTo>
                <a:pt x="860648" y="172130"/>
              </a:lnTo>
              <a:lnTo>
                <a:pt x="688519" y="344259"/>
              </a:lnTo>
              <a:lnTo>
                <a:pt x="0" y="344259"/>
              </a:lnTo>
              <a:lnTo>
                <a:pt x="172130" y="17213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2"/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/>
      </xdr:style>
      <xdr:txBody>
        <a:bodyPr lIns="236160" rIns="193320" tIns="42840" bIns="42840" anchor="ctr">
          <a:noAutofit/>
        </a:bodyPr>
        <a:p>
          <a:pPr algn="ctr">
            <a:lnSpc>
              <a:spcPct val="90000"/>
            </a:lnSpc>
            <a:spcAft>
              <a:spcPts val="490"/>
            </a:spcAft>
            <a:tabLst>
              <a:tab algn="l" pos="0"/>
            </a:tabLst>
          </a:pPr>
          <a:r>
            <a:rPr b="0" lang="en-GB" sz="1400" spc="-1" strike="noStrike">
              <a:solidFill>
                <a:srgbClr val="00b0f0"/>
              </a:solidFill>
              <a:latin typeface="Calibri"/>
            </a:rPr>
            <a:t>DEZ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459360</xdr:colOff>
      <xdr:row>1</xdr:row>
      <xdr:rowOff>107640</xdr:rowOff>
    </xdr:from>
    <xdr:to>
      <xdr:col>11</xdr:col>
      <xdr:colOff>802800</xdr:colOff>
      <xdr:row>3</xdr:row>
      <xdr:rowOff>4680</xdr:rowOff>
    </xdr:to>
    <xdr:pic>
      <xdr:nvPicPr>
        <xdr:cNvPr id="35" name="Gráfico 16" descr="Virar calendário">
          <a:hlinkClick r:id="rId13"/>
        </xdr:cNvPr>
        <xdr:cNvPicPr/>
      </xdr:nvPicPr>
      <xdr:blipFill>
        <a:blip r:embed="rId14"/>
        <a:stretch/>
      </xdr:blipFill>
      <xdr:spPr>
        <a:xfrm>
          <a:off x="13120560" y="298080"/>
          <a:ext cx="343440" cy="37332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</xdr:col>
      <xdr:colOff>56160</xdr:colOff>
      <xdr:row>1</xdr:row>
      <xdr:rowOff>84960</xdr:rowOff>
    </xdr:from>
    <xdr:to>
      <xdr:col>3</xdr:col>
      <xdr:colOff>560160</xdr:colOff>
      <xdr:row>3</xdr:row>
      <xdr:rowOff>145800</xdr:rowOff>
    </xdr:to>
    <xdr:pic>
      <xdr:nvPicPr>
        <xdr:cNvPr id="36" name="Imagem 17" descr=""/>
        <xdr:cNvPicPr/>
      </xdr:nvPicPr>
      <xdr:blipFill>
        <a:blip r:embed="rId15"/>
        <a:stretch/>
      </xdr:blipFill>
      <xdr:spPr>
        <a:xfrm>
          <a:off x="378720" y="275400"/>
          <a:ext cx="504000" cy="53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930240</xdr:colOff>
      <xdr:row>0</xdr:row>
      <xdr:rowOff>112680</xdr:rowOff>
    </xdr:from>
    <xdr:to>
      <xdr:col>7</xdr:col>
      <xdr:colOff>1792800</xdr:colOff>
      <xdr:row>2</xdr:row>
      <xdr:rowOff>6840</xdr:rowOff>
    </xdr:to>
    <xdr:pic>
      <xdr:nvPicPr>
        <xdr:cNvPr id="37" name="Imagem 18" descr="">
          <a:hlinkClick r:id="rId16"/>
        </xdr:cNvPr>
        <xdr:cNvPicPr/>
      </xdr:nvPicPr>
      <xdr:blipFill>
        <a:blip r:embed="rId17"/>
        <a:stretch/>
      </xdr:blipFill>
      <xdr:spPr>
        <a:xfrm>
          <a:off x="7169400" y="112680"/>
          <a:ext cx="862560" cy="322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292320</xdr:colOff>
      <xdr:row>5</xdr:row>
      <xdr:rowOff>58680</xdr:rowOff>
    </xdr:from>
    <xdr:to>
      <xdr:col>3</xdr:col>
      <xdr:colOff>185040</xdr:colOff>
      <xdr:row>5</xdr:row>
      <xdr:rowOff>127080</xdr:rowOff>
    </xdr:to>
    <xdr:sp>
      <xdr:nvSpPr>
        <xdr:cNvPr id="38" name="Elipse 23"/>
        <xdr:cNvSpPr/>
      </xdr:nvSpPr>
      <xdr:spPr>
        <a:xfrm>
          <a:off x="292320" y="1172880"/>
          <a:ext cx="215280" cy="68400"/>
        </a:xfrm>
        <a:prstGeom prst="ellipse">
          <a:avLst/>
        </a:prstGeom>
        <a:solidFill>
          <a:schemeClr val="bg1"/>
        </a:solidFill>
        <a:ln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281520</xdr:colOff>
      <xdr:row>4</xdr:row>
      <xdr:rowOff>33480</xdr:rowOff>
    </xdr:from>
    <xdr:to>
      <xdr:col>3</xdr:col>
      <xdr:colOff>259200</xdr:colOff>
      <xdr:row>5</xdr:row>
      <xdr:rowOff>95400</xdr:rowOff>
    </xdr:to>
    <xdr:pic>
      <xdr:nvPicPr>
        <xdr:cNvPr id="39" name="Imagem 21" descr=""/>
        <xdr:cNvPicPr/>
      </xdr:nvPicPr>
      <xdr:blipFill>
        <a:blip r:embed="rId18"/>
        <a:stretch/>
      </xdr:blipFill>
      <xdr:spPr>
        <a:xfrm>
          <a:off x="281520" y="938160"/>
          <a:ext cx="300240" cy="271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3960</xdr:colOff>
      <xdr:row>54</xdr:row>
      <xdr:rowOff>78480</xdr:rowOff>
    </xdr:from>
    <xdr:to>
      <xdr:col>3</xdr:col>
      <xdr:colOff>99000</xdr:colOff>
      <xdr:row>57</xdr:row>
      <xdr:rowOff>67320</xdr:rowOff>
    </xdr:to>
    <xdr:sp>
      <xdr:nvSpPr>
        <xdr:cNvPr id="40" name="Retângulo: Cantos Arredondados 1"/>
        <xdr:cNvSpPr/>
      </xdr:nvSpPr>
      <xdr:spPr>
        <a:xfrm>
          <a:off x="154800" y="10212840"/>
          <a:ext cx="2272680" cy="78912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136080</xdr:colOff>
      <xdr:row>8</xdr:row>
      <xdr:rowOff>104760</xdr:rowOff>
    </xdr:from>
    <xdr:to>
      <xdr:col>3</xdr:col>
      <xdr:colOff>81360</xdr:colOff>
      <xdr:row>11</xdr:row>
      <xdr:rowOff>75960</xdr:rowOff>
    </xdr:to>
    <xdr:sp>
      <xdr:nvSpPr>
        <xdr:cNvPr id="41" name="Retângulo: Cantos Arredondados 2"/>
        <xdr:cNvSpPr/>
      </xdr:nvSpPr>
      <xdr:spPr>
        <a:xfrm>
          <a:off x="136080" y="1390320"/>
          <a:ext cx="2273760" cy="79056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JUNTAR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DINHEIRO?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136080</xdr:colOff>
      <xdr:row>19</xdr:row>
      <xdr:rowOff>104760</xdr:rowOff>
    </xdr:from>
    <xdr:to>
      <xdr:col>3</xdr:col>
      <xdr:colOff>81360</xdr:colOff>
      <xdr:row>22</xdr:row>
      <xdr:rowOff>56880</xdr:rowOff>
    </xdr:to>
    <xdr:sp>
      <xdr:nvSpPr>
        <xdr:cNvPr id="42" name="Retângulo: Cantos Arredondados 3"/>
        <xdr:cNvSpPr/>
      </xdr:nvSpPr>
      <xdr:spPr>
        <a:xfrm>
          <a:off x="136080" y="3438360"/>
          <a:ext cx="2273760" cy="75204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GUARDAR E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INVESTIR?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282240</xdr:colOff>
      <xdr:row>20</xdr:row>
      <xdr:rowOff>118080</xdr:rowOff>
    </xdr:from>
    <xdr:to>
      <xdr:col>2</xdr:col>
      <xdr:colOff>681480</xdr:colOff>
      <xdr:row>21</xdr:row>
      <xdr:rowOff>8640</xdr:rowOff>
    </xdr:to>
    <xdr:pic>
      <xdr:nvPicPr>
        <xdr:cNvPr id="43" name="Gráfico 4" descr="Cofrinho"/>
        <xdr:cNvPicPr/>
      </xdr:nvPicPr>
      <xdr:blipFill>
        <a:blip r:embed="rId1"/>
        <a:stretch/>
      </xdr:blipFill>
      <xdr:spPr>
        <a:xfrm>
          <a:off x="544320" y="3603960"/>
          <a:ext cx="39924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284040</xdr:colOff>
      <xdr:row>9</xdr:row>
      <xdr:rowOff>151200</xdr:rowOff>
    </xdr:from>
    <xdr:to>
      <xdr:col>2</xdr:col>
      <xdr:colOff>680040</xdr:colOff>
      <xdr:row>10</xdr:row>
      <xdr:rowOff>42120</xdr:rowOff>
    </xdr:to>
    <xdr:pic>
      <xdr:nvPicPr>
        <xdr:cNvPr id="44" name="Gráfico 5" descr="Carteira"/>
        <xdr:cNvPicPr/>
      </xdr:nvPicPr>
      <xdr:blipFill>
        <a:blip r:embed="rId2"/>
        <a:stretch/>
      </xdr:blipFill>
      <xdr:spPr>
        <a:xfrm>
          <a:off x="546120" y="1589400"/>
          <a:ext cx="39600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3960</xdr:colOff>
      <xdr:row>31</xdr:row>
      <xdr:rowOff>89640</xdr:rowOff>
    </xdr:from>
    <xdr:to>
      <xdr:col>3</xdr:col>
      <xdr:colOff>99000</xdr:colOff>
      <xdr:row>34</xdr:row>
      <xdr:rowOff>78480</xdr:rowOff>
    </xdr:to>
    <xdr:sp>
      <xdr:nvSpPr>
        <xdr:cNvPr id="45" name="Retângulo: Cantos Arredondados 6"/>
        <xdr:cNvSpPr/>
      </xdr:nvSpPr>
      <xdr:spPr>
        <a:xfrm>
          <a:off x="154800" y="5452200"/>
          <a:ext cx="2272680" cy="7887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315360</xdr:colOff>
      <xdr:row>32</xdr:row>
      <xdr:rowOff>144360</xdr:rowOff>
    </xdr:from>
    <xdr:to>
      <xdr:col>2</xdr:col>
      <xdr:colOff>709560</xdr:colOff>
      <xdr:row>33</xdr:row>
      <xdr:rowOff>35280</xdr:rowOff>
    </xdr:to>
    <xdr:pic>
      <xdr:nvPicPr>
        <xdr:cNvPr id="46" name="Gráfico 7" descr="Eletricista"/>
        <xdr:cNvPicPr/>
      </xdr:nvPicPr>
      <xdr:blipFill>
        <a:blip r:embed="rId3"/>
        <a:stretch/>
      </xdr:blipFill>
      <xdr:spPr>
        <a:xfrm>
          <a:off x="577440" y="5659200"/>
          <a:ext cx="39420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311760</xdr:colOff>
      <xdr:row>55</xdr:row>
      <xdr:rowOff>132120</xdr:rowOff>
    </xdr:from>
    <xdr:to>
      <xdr:col>2</xdr:col>
      <xdr:colOff>713160</xdr:colOff>
      <xdr:row>56</xdr:row>
      <xdr:rowOff>23040</xdr:rowOff>
    </xdr:to>
    <xdr:pic>
      <xdr:nvPicPr>
        <xdr:cNvPr id="47" name="Gráfico 8" descr="Artista"/>
        <xdr:cNvPicPr/>
      </xdr:nvPicPr>
      <xdr:blipFill>
        <a:blip r:embed="rId4"/>
        <a:stretch/>
      </xdr:blipFill>
      <xdr:spPr>
        <a:xfrm>
          <a:off x="573840" y="10419120"/>
          <a:ext cx="401400" cy="395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0</xdr:colOff>
      <xdr:row>1</xdr:row>
      <xdr:rowOff>124200</xdr:rowOff>
    </xdr:from>
    <xdr:to>
      <xdr:col>16</xdr:col>
      <xdr:colOff>360</xdr:colOff>
      <xdr:row>2</xdr:row>
      <xdr:rowOff>3240</xdr:rowOff>
    </xdr:to>
    <xdr:sp>
      <xdr:nvSpPr>
        <xdr:cNvPr id="48" name="Fluxograma: Operação Manual 9"/>
        <xdr:cNvSpPr/>
      </xdr:nvSpPr>
      <xdr:spPr>
        <a:xfrm rot="10800000">
          <a:off x="10767960" y="123840"/>
          <a:ext cx="360" cy="78840"/>
        </a:xfrm>
        <a:prstGeom prst="flowChartManualOperation">
          <a:avLst/>
        </a:prstGeom>
        <a:gradFill rotWithShape="0">
          <a:gsLst>
            <a:gs pos="0">
              <a:srgbClr val="00b0f0"/>
            </a:gs>
            <a:gs pos="100000">
              <a:srgbClr val="d8d0b4"/>
            </a:gs>
          </a:gsLst>
          <a:lin ang="540000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0</xdr:colOff>
      <xdr:row>76</xdr:row>
      <xdr:rowOff>104760</xdr:rowOff>
    </xdr:from>
    <xdr:to>
      <xdr:col>3</xdr:col>
      <xdr:colOff>95040</xdr:colOff>
      <xdr:row>79</xdr:row>
      <xdr:rowOff>75960</xdr:rowOff>
    </xdr:to>
    <xdr:sp>
      <xdr:nvSpPr>
        <xdr:cNvPr id="49" name="Retângulo: Cantos Arredondados 10"/>
        <xdr:cNvSpPr/>
      </xdr:nvSpPr>
      <xdr:spPr>
        <a:xfrm>
          <a:off x="150840" y="1478268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23</xdr:col>
      <xdr:colOff>212760</xdr:colOff>
      <xdr:row>2</xdr:row>
      <xdr:rowOff>360</xdr:rowOff>
    </xdr:from>
    <xdr:to>
      <xdr:col>24</xdr:col>
      <xdr:colOff>129600</xdr:colOff>
      <xdr:row>3</xdr:row>
      <xdr:rowOff>81360</xdr:rowOff>
    </xdr:to>
    <xdr:pic>
      <xdr:nvPicPr>
        <xdr:cNvPr id="50" name="Gráfico 11" descr="Impressão digital">
          <a:hlinkClick r:id="rId5"/>
        </xdr:cNvPr>
        <xdr:cNvPicPr/>
      </xdr:nvPicPr>
      <xdr:blipFill>
        <a:blip r:embed="rId6"/>
        <a:stretch/>
      </xdr:blipFill>
      <xdr:spPr>
        <a:xfrm>
          <a:off x="13803480" y="200160"/>
          <a:ext cx="309960" cy="30960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21</xdr:col>
      <xdr:colOff>179280</xdr:colOff>
      <xdr:row>1</xdr:row>
      <xdr:rowOff>174960</xdr:rowOff>
    </xdr:from>
    <xdr:to>
      <xdr:col>22</xdr:col>
      <xdr:colOff>166320</xdr:colOff>
      <xdr:row>3</xdr:row>
      <xdr:rowOff>110880</xdr:rowOff>
    </xdr:to>
    <xdr:pic>
      <xdr:nvPicPr>
        <xdr:cNvPr id="51" name="Gráfico 12" descr="Trancar">
          <a:hlinkClick r:id="rId7"/>
        </xdr:cNvPr>
        <xdr:cNvPicPr/>
      </xdr:nvPicPr>
      <xdr:blipFill>
        <a:blip r:embed="rId8"/>
        <a:stretch/>
      </xdr:blipFill>
      <xdr:spPr>
        <a:xfrm>
          <a:off x="12983760" y="174960"/>
          <a:ext cx="380160" cy="36432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1800</xdr:colOff>
      <xdr:row>8</xdr:row>
      <xdr:rowOff>111960</xdr:rowOff>
    </xdr:from>
    <xdr:to>
      <xdr:col>2</xdr:col>
      <xdr:colOff>136800</xdr:colOff>
      <xdr:row>9</xdr:row>
      <xdr:rowOff>205560</xdr:rowOff>
    </xdr:to>
    <xdr:pic>
      <xdr:nvPicPr>
        <xdr:cNvPr id="52" name="Gráfico 13" descr="Ajudar"/>
        <xdr:cNvPicPr/>
      </xdr:nvPicPr>
      <xdr:blipFill>
        <a:blip r:embed="rId9"/>
        <a:stretch/>
      </xdr:blipFill>
      <xdr:spPr>
        <a:xfrm>
          <a:off x="152640" y="139752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0</xdr:col>
      <xdr:colOff>142920</xdr:colOff>
      <xdr:row>19</xdr:row>
      <xdr:rowOff>107640</xdr:rowOff>
    </xdr:from>
    <xdr:to>
      <xdr:col>2</xdr:col>
      <xdr:colOff>127080</xdr:colOff>
      <xdr:row>20</xdr:row>
      <xdr:rowOff>201600</xdr:rowOff>
    </xdr:to>
    <xdr:pic>
      <xdr:nvPicPr>
        <xdr:cNvPr id="53" name="Gráfico 14" descr="Ajudar"/>
        <xdr:cNvPicPr/>
      </xdr:nvPicPr>
      <xdr:blipFill>
        <a:blip r:embed="rId10"/>
        <a:stretch/>
      </xdr:blipFill>
      <xdr:spPr>
        <a:xfrm>
          <a:off x="142920" y="34412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15120</xdr:colOff>
      <xdr:row>31</xdr:row>
      <xdr:rowOff>102960</xdr:rowOff>
    </xdr:from>
    <xdr:to>
      <xdr:col>2</xdr:col>
      <xdr:colOff>150120</xdr:colOff>
      <xdr:row>32</xdr:row>
      <xdr:rowOff>196920</xdr:rowOff>
    </xdr:to>
    <xdr:pic>
      <xdr:nvPicPr>
        <xdr:cNvPr id="54" name="Gráfico 15" descr="Ajudar"/>
        <xdr:cNvPicPr/>
      </xdr:nvPicPr>
      <xdr:blipFill>
        <a:blip r:embed="rId11"/>
        <a:stretch/>
      </xdr:blipFill>
      <xdr:spPr>
        <a:xfrm>
          <a:off x="165960" y="546552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10800</xdr:colOff>
      <xdr:row>54</xdr:row>
      <xdr:rowOff>87480</xdr:rowOff>
    </xdr:from>
    <xdr:to>
      <xdr:col>2</xdr:col>
      <xdr:colOff>145800</xdr:colOff>
      <xdr:row>55</xdr:row>
      <xdr:rowOff>181080</xdr:rowOff>
    </xdr:to>
    <xdr:pic>
      <xdr:nvPicPr>
        <xdr:cNvPr id="55" name="Gráfico 16" descr="Ajudar"/>
        <xdr:cNvPicPr/>
      </xdr:nvPicPr>
      <xdr:blipFill>
        <a:blip r:embed="rId12"/>
        <a:stretch/>
      </xdr:blipFill>
      <xdr:spPr>
        <a:xfrm>
          <a:off x="161640" y="102218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6120</xdr:colOff>
      <xdr:row>76</xdr:row>
      <xdr:rowOff>116640</xdr:rowOff>
    </xdr:from>
    <xdr:to>
      <xdr:col>2</xdr:col>
      <xdr:colOff>141120</xdr:colOff>
      <xdr:row>77</xdr:row>
      <xdr:rowOff>210600</xdr:rowOff>
    </xdr:to>
    <xdr:pic>
      <xdr:nvPicPr>
        <xdr:cNvPr id="56" name="Gráfico 17" descr="Ajudar"/>
        <xdr:cNvPicPr/>
      </xdr:nvPicPr>
      <xdr:blipFill>
        <a:blip r:embed="rId13"/>
        <a:stretch/>
      </xdr:blipFill>
      <xdr:spPr>
        <a:xfrm>
          <a:off x="156960" y="1479456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90</xdr:row>
      <xdr:rowOff>104760</xdr:rowOff>
    </xdr:from>
    <xdr:to>
      <xdr:col>3</xdr:col>
      <xdr:colOff>95040</xdr:colOff>
      <xdr:row>93</xdr:row>
      <xdr:rowOff>75960</xdr:rowOff>
    </xdr:to>
    <xdr:sp>
      <xdr:nvSpPr>
        <xdr:cNvPr id="57" name="Retângulo: Cantos Arredondados 18"/>
        <xdr:cNvSpPr/>
      </xdr:nvSpPr>
      <xdr:spPr>
        <a:xfrm>
          <a:off x="150840" y="1757340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90</xdr:row>
      <xdr:rowOff>116640</xdr:rowOff>
    </xdr:from>
    <xdr:to>
      <xdr:col>2</xdr:col>
      <xdr:colOff>141120</xdr:colOff>
      <xdr:row>91</xdr:row>
      <xdr:rowOff>210600</xdr:rowOff>
    </xdr:to>
    <xdr:pic>
      <xdr:nvPicPr>
        <xdr:cNvPr id="58" name="Gráfico 19" descr="Ajudar"/>
        <xdr:cNvPicPr/>
      </xdr:nvPicPr>
      <xdr:blipFill>
        <a:blip r:embed="rId14"/>
        <a:stretch/>
      </xdr:blipFill>
      <xdr:spPr>
        <a:xfrm>
          <a:off x="156960" y="175852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107</xdr:row>
      <xdr:rowOff>104760</xdr:rowOff>
    </xdr:from>
    <xdr:to>
      <xdr:col>3</xdr:col>
      <xdr:colOff>95040</xdr:colOff>
      <xdr:row>110</xdr:row>
      <xdr:rowOff>75960</xdr:rowOff>
    </xdr:to>
    <xdr:sp>
      <xdr:nvSpPr>
        <xdr:cNvPr id="59" name="Retângulo: Cantos Arredondados 20"/>
        <xdr:cNvSpPr/>
      </xdr:nvSpPr>
      <xdr:spPr>
        <a:xfrm>
          <a:off x="150840" y="2110716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107</xdr:row>
      <xdr:rowOff>116640</xdr:rowOff>
    </xdr:from>
    <xdr:to>
      <xdr:col>2</xdr:col>
      <xdr:colOff>141120</xdr:colOff>
      <xdr:row>108</xdr:row>
      <xdr:rowOff>210600</xdr:rowOff>
    </xdr:to>
    <xdr:pic>
      <xdr:nvPicPr>
        <xdr:cNvPr id="60" name="Gráfico 21" descr="Ajudar"/>
        <xdr:cNvPicPr/>
      </xdr:nvPicPr>
      <xdr:blipFill>
        <a:blip r:embed="rId15"/>
        <a:stretch/>
      </xdr:blipFill>
      <xdr:spPr>
        <a:xfrm>
          <a:off x="156960" y="211190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126</xdr:row>
      <xdr:rowOff>104760</xdr:rowOff>
    </xdr:from>
    <xdr:to>
      <xdr:col>3</xdr:col>
      <xdr:colOff>95040</xdr:colOff>
      <xdr:row>129</xdr:row>
      <xdr:rowOff>75960</xdr:rowOff>
    </xdr:to>
    <xdr:sp>
      <xdr:nvSpPr>
        <xdr:cNvPr id="61" name="Retângulo: Cantos Arredondados 22"/>
        <xdr:cNvSpPr/>
      </xdr:nvSpPr>
      <xdr:spPr>
        <a:xfrm>
          <a:off x="150840" y="251553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126</xdr:row>
      <xdr:rowOff>116640</xdr:rowOff>
    </xdr:from>
    <xdr:to>
      <xdr:col>2</xdr:col>
      <xdr:colOff>141120</xdr:colOff>
      <xdr:row>127</xdr:row>
      <xdr:rowOff>210600</xdr:rowOff>
    </xdr:to>
    <xdr:pic>
      <xdr:nvPicPr>
        <xdr:cNvPr id="62" name="Gráfico 23" descr="Ajudar"/>
        <xdr:cNvPicPr/>
      </xdr:nvPicPr>
      <xdr:blipFill>
        <a:blip r:embed="rId16"/>
        <a:stretch/>
      </xdr:blipFill>
      <xdr:spPr>
        <a:xfrm>
          <a:off x="156960" y="251672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145</xdr:row>
      <xdr:rowOff>104760</xdr:rowOff>
    </xdr:from>
    <xdr:to>
      <xdr:col>3</xdr:col>
      <xdr:colOff>95040</xdr:colOff>
      <xdr:row>148</xdr:row>
      <xdr:rowOff>75960</xdr:rowOff>
    </xdr:to>
    <xdr:sp>
      <xdr:nvSpPr>
        <xdr:cNvPr id="63" name="Retângulo: Cantos Arredondados 24"/>
        <xdr:cNvSpPr/>
      </xdr:nvSpPr>
      <xdr:spPr>
        <a:xfrm>
          <a:off x="150840" y="292035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145</xdr:row>
      <xdr:rowOff>116640</xdr:rowOff>
    </xdr:from>
    <xdr:to>
      <xdr:col>2</xdr:col>
      <xdr:colOff>141120</xdr:colOff>
      <xdr:row>146</xdr:row>
      <xdr:rowOff>210600</xdr:rowOff>
    </xdr:to>
    <xdr:pic>
      <xdr:nvPicPr>
        <xdr:cNvPr id="64" name="Gráfico 25" descr="Ajudar"/>
        <xdr:cNvPicPr/>
      </xdr:nvPicPr>
      <xdr:blipFill>
        <a:blip r:embed="rId17"/>
        <a:stretch/>
      </xdr:blipFill>
      <xdr:spPr>
        <a:xfrm>
          <a:off x="156960" y="29215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162</xdr:row>
      <xdr:rowOff>104760</xdr:rowOff>
    </xdr:from>
    <xdr:to>
      <xdr:col>3</xdr:col>
      <xdr:colOff>95040</xdr:colOff>
      <xdr:row>165</xdr:row>
      <xdr:rowOff>75960</xdr:rowOff>
    </xdr:to>
    <xdr:sp>
      <xdr:nvSpPr>
        <xdr:cNvPr id="65" name="Retângulo: Cantos Arredondados 26"/>
        <xdr:cNvSpPr/>
      </xdr:nvSpPr>
      <xdr:spPr>
        <a:xfrm>
          <a:off x="150840" y="3275640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162</xdr:row>
      <xdr:rowOff>116640</xdr:rowOff>
    </xdr:from>
    <xdr:to>
      <xdr:col>2</xdr:col>
      <xdr:colOff>141120</xdr:colOff>
      <xdr:row>163</xdr:row>
      <xdr:rowOff>210600</xdr:rowOff>
    </xdr:to>
    <xdr:pic>
      <xdr:nvPicPr>
        <xdr:cNvPr id="66" name="Gráfico 27" descr="Ajudar"/>
        <xdr:cNvPicPr/>
      </xdr:nvPicPr>
      <xdr:blipFill>
        <a:blip r:embed="rId18"/>
        <a:stretch/>
      </xdr:blipFill>
      <xdr:spPr>
        <a:xfrm>
          <a:off x="156960" y="327682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181</xdr:row>
      <xdr:rowOff>104760</xdr:rowOff>
    </xdr:from>
    <xdr:to>
      <xdr:col>3</xdr:col>
      <xdr:colOff>95040</xdr:colOff>
      <xdr:row>184</xdr:row>
      <xdr:rowOff>75960</xdr:rowOff>
    </xdr:to>
    <xdr:sp>
      <xdr:nvSpPr>
        <xdr:cNvPr id="67" name="Retângulo: Cantos Arredondados 28"/>
        <xdr:cNvSpPr/>
      </xdr:nvSpPr>
      <xdr:spPr>
        <a:xfrm>
          <a:off x="150840" y="368042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181</xdr:row>
      <xdr:rowOff>116640</xdr:rowOff>
    </xdr:from>
    <xdr:to>
      <xdr:col>2</xdr:col>
      <xdr:colOff>141120</xdr:colOff>
      <xdr:row>182</xdr:row>
      <xdr:rowOff>210240</xdr:rowOff>
    </xdr:to>
    <xdr:pic>
      <xdr:nvPicPr>
        <xdr:cNvPr id="68" name="Gráfico 29" descr="Ajudar"/>
        <xdr:cNvPicPr/>
      </xdr:nvPicPr>
      <xdr:blipFill>
        <a:blip r:embed="rId19"/>
        <a:stretch/>
      </xdr:blipFill>
      <xdr:spPr>
        <a:xfrm>
          <a:off x="156960" y="3681612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200</xdr:row>
      <xdr:rowOff>104760</xdr:rowOff>
    </xdr:from>
    <xdr:to>
      <xdr:col>3</xdr:col>
      <xdr:colOff>95040</xdr:colOff>
      <xdr:row>203</xdr:row>
      <xdr:rowOff>75960</xdr:rowOff>
    </xdr:to>
    <xdr:sp>
      <xdr:nvSpPr>
        <xdr:cNvPr id="69" name="Retângulo: Cantos Arredondados 30"/>
        <xdr:cNvSpPr/>
      </xdr:nvSpPr>
      <xdr:spPr>
        <a:xfrm>
          <a:off x="150840" y="408524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 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200</xdr:row>
      <xdr:rowOff>116640</xdr:rowOff>
    </xdr:from>
    <xdr:to>
      <xdr:col>2</xdr:col>
      <xdr:colOff>141120</xdr:colOff>
      <xdr:row>201</xdr:row>
      <xdr:rowOff>210240</xdr:rowOff>
    </xdr:to>
    <xdr:pic>
      <xdr:nvPicPr>
        <xdr:cNvPr id="70" name="Gráfico 31" descr="Ajudar"/>
        <xdr:cNvPicPr/>
      </xdr:nvPicPr>
      <xdr:blipFill>
        <a:blip r:embed="rId20"/>
        <a:stretch/>
      </xdr:blipFill>
      <xdr:spPr>
        <a:xfrm>
          <a:off x="156960" y="4086432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319680</xdr:colOff>
      <xdr:row>77</xdr:row>
      <xdr:rowOff>126720</xdr:rowOff>
    </xdr:from>
    <xdr:to>
      <xdr:col>2</xdr:col>
      <xdr:colOff>711360</xdr:colOff>
      <xdr:row>78</xdr:row>
      <xdr:rowOff>17640</xdr:rowOff>
    </xdr:to>
    <xdr:pic>
      <xdr:nvPicPr>
        <xdr:cNvPr id="71" name="Gráfico 32" descr="Dinheiro"/>
        <xdr:cNvPicPr/>
      </xdr:nvPicPr>
      <xdr:blipFill>
        <a:blip r:embed="rId21"/>
        <a:stretch/>
      </xdr:blipFill>
      <xdr:spPr>
        <a:xfrm flipH="1">
          <a:off x="581760" y="14956920"/>
          <a:ext cx="391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319680</xdr:colOff>
      <xdr:row>91</xdr:row>
      <xdr:rowOff>115920</xdr:rowOff>
    </xdr:from>
    <xdr:to>
      <xdr:col>2</xdr:col>
      <xdr:colOff>720360</xdr:colOff>
      <xdr:row>92</xdr:row>
      <xdr:rowOff>6480</xdr:rowOff>
    </xdr:to>
    <xdr:pic>
      <xdr:nvPicPr>
        <xdr:cNvPr id="72" name="Gráfico 33" descr="Dinheiro"/>
        <xdr:cNvPicPr/>
      </xdr:nvPicPr>
      <xdr:blipFill>
        <a:blip r:embed="rId22"/>
        <a:stretch/>
      </xdr:blipFill>
      <xdr:spPr>
        <a:xfrm flipH="1">
          <a:off x="581760" y="17736840"/>
          <a:ext cx="400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330840</xdr:colOff>
      <xdr:row>108</xdr:row>
      <xdr:rowOff>134280</xdr:rowOff>
    </xdr:from>
    <xdr:to>
      <xdr:col>2</xdr:col>
      <xdr:colOff>722880</xdr:colOff>
      <xdr:row>109</xdr:row>
      <xdr:rowOff>35640</xdr:rowOff>
    </xdr:to>
    <xdr:pic>
      <xdr:nvPicPr>
        <xdr:cNvPr id="73" name="Gráfico 34" descr="Moedas"/>
        <xdr:cNvPicPr/>
      </xdr:nvPicPr>
      <xdr:blipFill>
        <a:blip r:embed="rId23"/>
        <a:stretch/>
      </xdr:blipFill>
      <xdr:spPr>
        <a:xfrm flipH="1">
          <a:off x="592920" y="212889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285840</xdr:colOff>
      <xdr:row>127</xdr:row>
      <xdr:rowOff>149760</xdr:rowOff>
    </xdr:from>
    <xdr:to>
      <xdr:col>2</xdr:col>
      <xdr:colOff>677880</xdr:colOff>
      <xdr:row>128</xdr:row>
      <xdr:rowOff>51120</xdr:rowOff>
    </xdr:to>
    <xdr:pic>
      <xdr:nvPicPr>
        <xdr:cNvPr id="74" name="Gráfico 35" descr="Moedas"/>
        <xdr:cNvPicPr/>
      </xdr:nvPicPr>
      <xdr:blipFill>
        <a:blip r:embed="rId24"/>
        <a:stretch/>
      </xdr:blipFill>
      <xdr:spPr>
        <a:xfrm flipH="1">
          <a:off x="547920" y="2535264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288720</xdr:colOff>
      <xdr:row>146</xdr:row>
      <xdr:rowOff>152280</xdr:rowOff>
    </xdr:from>
    <xdr:to>
      <xdr:col>2</xdr:col>
      <xdr:colOff>680760</xdr:colOff>
      <xdr:row>147</xdr:row>
      <xdr:rowOff>54000</xdr:rowOff>
    </xdr:to>
    <xdr:pic>
      <xdr:nvPicPr>
        <xdr:cNvPr id="75" name="Gráfico 36" descr="Moedas"/>
        <xdr:cNvPicPr/>
      </xdr:nvPicPr>
      <xdr:blipFill>
        <a:blip r:embed="rId25"/>
        <a:stretch/>
      </xdr:blipFill>
      <xdr:spPr>
        <a:xfrm flipH="1">
          <a:off x="550800" y="294033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163</xdr:row>
      <xdr:rowOff>123120</xdr:rowOff>
    </xdr:from>
    <xdr:to>
      <xdr:col>2</xdr:col>
      <xdr:colOff>705240</xdr:colOff>
      <xdr:row>164</xdr:row>
      <xdr:rowOff>14040</xdr:rowOff>
    </xdr:to>
    <xdr:pic>
      <xdr:nvPicPr>
        <xdr:cNvPr id="76" name="Gráfico 37" descr="Sirene"/>
        <xdr:cNvPicPr/>
      </xdr:nvPicPr>
      <xdr:blipFill>
        <a:blip r:embed="rId26"/>
        <a:stretch/>
      </xdr:blipFill>
      <xdr:spPr>
        <a:xfrm>
          <a:off x="562680" y="3292704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182</xdr:row>
      <xdr:rowOff>107640</xdr:rowOff>
    </xdr:from>
    <xdr:to>
      <xdr:col>2</xdr:col>
      <xdr:colOff>705240</xdr:colOff>
      <xdr:row>182</xdr:row>
      <xdr:rowOff>504000</xdr:rowOff>
    </xdr:to>
    <xdr:pic>
      <xdr:nvPicPr>
        <xdr:cNvPr id="77" name="Gráfico 38" descr="Sirene"/>
        <xdr:cNvPicPr/>
      </xdr:nvPicPr>
      <xdr:blipFill>
        <a:blip r:embed="rId27"/>
        <a:stretch/>
      </xdr:blipFill>
      <xdr:spPr>
        <a:xfrm>
          <a:off x="562680" y="36959760"/>
          <a:ext cx="404640" cy="39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201</xdr:row>
      <xdr:rowOff>125640</xdr:rowOff>
    </xdr:from>
    <xdr:to>
      <xdr:col>2</xdr:col>
      <xdr:colOff>705240</xdr:colOff>
      <xdr:row>202</xdr:row>
      <xdr:rowOff>16560</xdr:rowOff>
    </xdr:to>
    <xdr:pic>
      <xdr:nvPicPr>
        <xdr:cNvPr id="78" name="Gráfico 39" descr="Sirene"/>
        <xdr:cNvPicPr/>
      </xdr:nvPicPr>
      <xdr:blipFill>
        <a:blip r:embed="rId28"/>
        <a:stretch/>
      </xdr:blipFill>
      <xdr:spPr>
        <a:xfrm>
          <a:off x="562680" y="4102596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16</xdr:col>
      <xdr:colOff>0</xdr:colOff>
      <xdr:row>2</xdr:row>
      <xdr:rowOff>174600</xdr:rowOff>
    </xdr:from>
    <xdr:to>
      <xdr:col>16</xdr:col>
      <xdr:colOff>0</xdr:colOff>
      <xdr:row>2</xdr:row>
      <xdr:rowOff>174600</xdr:rowOff>
    </xdr:to>
    <xdr:sp>
      <xdr:nvSpPr>
        <xdr:cNvPr id="79" name="Conector reto 40"/>
        <xdr:cNvSpPr/>
      </xdr:nvSpPr>
      <xdr:spPr>
        <a:xfrm>
          <a:off x="10768320" y="374400"/>
          <a:ext cx="360" cy="360"/>
        </a:xfrm>
        <a:custGeom>
          <a:avLst/>
          <a:gdLst/>
          <a:ahLst/>
          <a:rect l="0" t="0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ln>
          <a:solidFill>
            <a:srgbClr val="ffebab"/>
          </a:solidFill>
        </a:ln>
      </xdr:spPr>
    </xdr:sp>
    <xdr:clientData/>
  </xdr:twoCellAnchor>
  <xdr:twoCellAnchor editAs="absolute">
    <xdr:from>
      <xdr:col>16</xdr:col>
      <xdr:colOff>0</xdr:colOff>
      <xdr:row>2</xdr:row>
      <xdr:rowOff>174600</xdr:rowOff>
    </xdr:from>
    <xdr:to>
      <xdr:col>16</xdr:col>
      <xdr:colOff>0</xdr:colOff>
      <xdr:row>2</xdr:row>
      <xdr:rowOff>174600</xdr:rowOff>
    </xdr:to>
    <xdr:sp>
      <xdr:nvSpPr>
        <xdr:cNvPr id="80" name="Conector reto 41"/>
        <xdr:cNvSpPr/>
      </xdr:nvSpPr>
      <xdr:spPr>
        <a:xfrm>
          <a:off x="10768320" y="374400"/>
          <a:ext cx="360" cy="360"/>
        </a:xfrm>
        <a:custGeom>
          <a:avLst/>
          <a:gdLst/>
          <a:ahLst/>
          <a:rect l="0" t="0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ln>
          <a:solidFill>
            <a:srgbClr val="ffebab"/>
          </a:solidFill>
        </a:ln>
      </xdr:spPr>
    </xdr:sp>
    <xdr:clientData/>
  </xdr:twoCellAnchor>
  <xdr:twoCellAnchor editAs="twoCell">
    <xdr:from>
      <xdr:col>16</xdr:col>
      <xdr:colOff>0</xdr:colOff>
      <xdr:row>5</xdr:row>
      <xdr:rowOff>0</xdr:rowOff>
    </xdr:from>
    <xdr:to>
      <xdr:col>16</xdr:col>
      <xdr:colOff>548640</xdr:colOff>
      <xdr:row>6</xdr:row>
      <xdr:rowOff>10800</xdr:rowOff>
    </xdr:to>
    <xdr:sp>
      <xdr:nvSpPr>
        <xdr:cNvPr id="81" name="Balão de Fala: Retângulo com Cantos Arredondados 46"/>
        <xdr:cNvSpPr/>
      </xdr:nvSpPr>
      <xdr:spPr>
        <a:xfrm>
          <a:off x="10768320" y="799920"/>
          <a:ext cx="548640" cy="182160"/>
        </a:xfrm>
        <a:prstGeom prst="wedgeRoundRectCallout">
          <a:avLst>
            <a:gd name="adj1" fmla="val -18889"/>
            <a:gd name="adj2" fmla="val 13747"/>
            <a:gd name="adj3" fmla="val 16667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28800" bIns="36000" anchor="ctr">
          <a:noAutofit/>
        </a:bodyPr>
        <a:p>
          <a:pPr algn="ctr">
            <a:lnSpc>
              <a:spcPct val="100000"/>
            </a:lnSpc>
          </a:pPr>
          <a:r>
            <a:rPr b="0" lang="en-GB" sz="900" spc="-1" strike="noStrike">
              <a:solidFill>
                <a:srgbClr val="ffffff"/>
              </a:solidFill>
              <a:latin typeface="Calibri"/>
            </a:rPr>
            <a:t>MESES</a:t>
          </a:r>
          <a:endParaRPr b="0" lang="pt-BR" sz="9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2880</xdr:colOff>
      <xdr:row>54</xdr:row>
      <xdr:rowOff>78480</xdr:rowOff>
    </xdr:from>
    <xdr:to>
      <xdr:col>3</xdr:col>
      <xdr:colOff>99360</xdr:colOff>
      <xdr:row>57</xdr:row>
      <xdr:rowOff>64440</xdr:rowOff>
    </xdr:to>
    <xdr:sp>
      <xdr:nvSpPr>
        <xdr:cNvPr id="82" name="Retângulo: Cantos Arredondados 1"/>
        <xdr:cNvSpPr/>
      </xdr:nvSpPr>
      <xdr:spPr>
        <a:xfrm>
          <a:off x="153720" y="10212840"/>
          <a:ext cx="2274120" cy="78624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8</xdr:row>
      <xdr:rowOff>104760</xdr:rowOff>
    </xdr:from>
    <xdr:to>
      <xdr:col>3</xdr:col>
      <xdr:colOff>77760</xdr:colOff>
      <xdr:row>11</xdr:row>
      <xdr:rowOff>75960</xdr:rowOff>
    </xdr:to>
    <xdr:sp>
      <xdr:nvSpPr>
        <xdr:cNvPr id="83" name="Retângulo: Cantos Arredondados 2"/>
        <xdr:cNvSpPr/>
      </xdr:nvSpPr>
      <xdr:spPr>
        <a:xfrm>
          <a:off x="132480" y="1390320"/>
          <a:ext cx="2273760" cy="79056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JUNTAR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DINHEIRO?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19</xdr:row>
      <xdr:rowOff>104760</xdr:rowOff>
    </xdr:from>
    <xdr:to>
      <xdr:col>3</xdr:col>
      <xdr:colOff>77760</xdr:colOff>
      <xdr:row>22</xdr:row>
      <xdr:rowOff>56880</xdr:rowOff>
    </xdr:to>
    <xdr:sp>
      <xdr:nvSpPr>
        <xdr:cNvPr id="84" name="Retângulo: Cantos Arredondados 3"/>
        <xdr:cNvSpPr/>
      </xdr:nvSpPr>
      <xdr:spPr>
        <a:xfrm>
          <a:off x="132480" y="3438360"/>
          <a:ext cx="2273760" cy="75204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GUARDAR E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INVESTIR?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282240</xdr:colOff>
      <xdr:row>20</xdr:row>
      <xdr:rowOff>118080</xdr:rowOff>
    </xdr:from>
    <xdr:to>
      <xdr:col>2</xdr:col>
      <xdr:colOff>681480</xdr:colOff>
      <xdr:row>21</xdr:row>
      <xdr:rowOff>8640</xdr:rowOff>
    </xdr:to>
    <xdr:pic>
      <xdr:nvPicPr>
        <xdr:cNvPr id="85" name="Gráfico 4" descr="Cofrinho"/>
        <xdr:cNvPicPr/>
      </xdr:nvPicPr>
      <xdr:blipFill>
        <a:blip r:embed="rId1"/>
        <a:stretch/>
      </xdr:blipFill>
      <xdr:spPr>
        <a:xfrm>
          <a:off x="544320" y="3603960"/>
          <a:ext cx="39924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284040</xdr:colOff>
      <xdr:row>9</xdr:row>
      <xdr:rowOff>151200</xdr:rowOff>
    </xdr:from>
    <xdr:to>
      <xdr:col>2</xdr:col>
      <xdr:colOff>680040</xdr:colOff>
      <xdr:row>10</xdr:row>
      <xdr:rowOff>42120</xdr:rowOff>
    </xdr:to>
    <xdr:pic>
      <xdr:nvPicPr>
        <xdr:cNvPr id="86" name="Gráfico 5" descr="Carteira"/>
        <xdr:cNvPicPr/>
      </xdr:nvPicPr>
      <xdr:blipFill>
        <a:blip r:embed="rId2"/>
        <a:stretch/>
      </xdr:blipFill>
      <xdr:spPr>
        <a:xfrm>
          <a:off x="546120" y="1589400"/>
          <a:ext cx="39600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0</xdr:col>
      <xdr:colOff>145800</xdr:colOff>
      <xdr:row>31</xdr:row>
      <xdr:rowOff>89640</xdr:rowOff>
    </xdr:from>
    <xdr:to>
      <xdr:col>3</xdr:col>
      <xdr:colOff>91440</xdr:colOff>
      <xdr:row>34</xdr:row>
      <xdr:rowOff>78480</xdr:rowOff>
    </xdr:to>
    <xdr:sp>
      <xdr:nvSpPr>
        <xdr:cNvPr id="87" name="Retângulo: Cantos Arredondados 6"/>
        <xdr:cNvSpPr/>
      </xdr:nvSpPr>
      <xdr:spPr>
        <a:xfrm>
          <a:off x="145800" y="5452200"/>
          <a:ext cx="2274120" cy="7887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315360</xdr:colOff>
      <xdr:row>32</xdr:row>
      <xdr:rowOff>144360</xdr:rowOff>
    </xdr:from>
    <xdr:to>
      <xdr:col>2</xdr:col>
      <xdr:colOff>709560</xdr:colOff>
      <xdr:row>33</xdr:row>
      <xdr:rowOff>35280</xdr:rowOff>
    </xdr:to>
    <xdr:pic>
      <xdr:nvPicPr>
        <xdr:cNvPr id="88" name="Gráfico 7" descr="Eletricista"/>
        <xdr:cNvPicPr/>
      </xdr:nvPicPr>
      <xdr:blipFill>
        <a:blip r:embed="rId3"/>
        <a:stretch/>
      </xdr:blipFill>
      <xdr:spPr>
        <a:xfrm>
          <a:off x="577440" y="5659200"/>
          <a:ext cx="39420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311760</xdr:colOff>
      <xdr:row>55</xdr:row>
      <xdr:rowOff>132120</xdr:rowOff>
    </xdr:from>
    <xdr:to>
      <xdr:col>2</xdr:col>
      <xdr:colOff>713160</xdr:colOff>
      <xdr:row>56</xdr:row>
      <xdr:rowOff>23040</xdr:rowOff>
    </xdr:to>
    <xdr:pic>
      <xdr:nvPicPr>
        <xdr:cNvPr id="89" name="Gráfico 8" descr="Artista"/>
        <xdr:cNvPicPr/>
      </xdr:nvPicPr>
      <xdr:blipFill>
        <a:blip r:embed="rId4"/>
        <a:stretch/>
      </xdr:blipFill>
      <xdr:spPr>
        <a:xfrm>
          <a:off x="573840" y="10419120"/>
          <a:ext cx="401400" cy="395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76</xdr:row>
      <xdr:rowOff>104760</xdr:rowOff>
    </xdr:from>
    <xdr:to>
      <xdr:col>3</xdr:col>
      <xdr:colOff>95040</xdr:colOff>
      <xdr:row>79</xdr:row>
      <xdr:rowOff>75960</xdr:rowOff>
    </xdr:to>
    <xdr:sp>
      <xdr:nvSpPr>
        <xdr:cNvPr id="90" name="Retângulo: Cantos Arredondados 9"/>
        <xdr:cNvSpPr/>
      </xdr:nvSpPr>
      <xdr:spPr>
        <a:xfrm>
          <a:off x="150840" y="1478268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28</xdr:col>
      <xdr:colOff>211680</xdr:colOff>
      <xdr:row>1</xdr:row>
      <xdr:rowOff>166320</xdr:rowOff>
    </xdr:from>
    <xdr:to>
      <xdr:col>29</xdr:col>
      <xdr:colOff>128880</xdr:colOff>
      <xdr:row>3</xdr:row>
      <xdr:rowOff>47520</xdr:rowOff>
    </xdr:to>
    <xdr:pic>
      <xdr:nvPicPr>
        <xdr:cNvPr id="91" name="Gráfico 10" descr="Impressão digital">
          <a:hlinkClick r:id="rId5"/>
        </xdr:cNvPr>
        <xdr:cNvPicPr/>
      </xdr:nvPicPr>
      <xdr:blipFill>
        <a:blip r:embed="rId6"/>
        <a:stretch/>
      </xdr:blipFill>
      <xdr:spPr>
        <a:xfrm>
          <a:off x="12305880" y="166320"/>
          <a:ext cx="309960" cy="30960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25</xdr:col>
      <xdr:colOff>188640</xdr:colOff>
      <xdr:row>1</xdr:row>
      <xdr:rowOff>129960</xdr:rowOff>
    </xdr:from>
    <xdr:to>
      <xdr:col>26</xdr:col>
      <xdr:colOff>164160</xdr:colOff>
      <xdr:row>3</xdr:row>
      <xdr:rowOff>65880</xdr:rowOff>
    </xdr:to>
    <xdr:pic>
      <xdr:nvPicPr>
        <xdr:cNvPr id="92" name="Gráfico 11" descr="Trancar">
          <a:hlinkClick r:id="rId7"/>
        </xdr:cNvPr>
        <xdr:cNvPicPr/>
      </xdr:nvPicPr>
      <xdr:blipFill>
        <a:blip r:embed="rId8"/>
        <a:stretch/>
      </xdr:blipFill>
      <xdr:spPr>
        <a:xfrm>
          <a:off x="11103480" y="129960"/>
          <a:ext cx="368640" cy="36432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</xdr:colOff>
      <xdr:row>19</xdr:row>
      <xdr:rowOff>126360</xdr:rowOff>
    </xdr:from>
    <xdr:to>
      <xdr:col>2</xdr:col>
      <xdr:colOff>139680</xdr:colOff>
      <xdr:row>20</xdr:row>
      <xdr:rowOff>220320</xdr:rowOff>
    </xdr:to>
    <xdr:pic>
      <xdr:nvPicPr>
        <xdr:cNvPr id="93" name="Gráfico 12" descr="Ajudar">
          <a:hlinkClick r:id="rId9"/>
        </xdr:cNvPr>
        <xdr:cNvPicPr/>
      </xdr:nvPicPr>
      <xdr:blipFill>
        <a:blip r:embed="rId10"/>
        <a:stretch/>
      </xdr:blipFill>
      <xdr:spPr>
        <a:xfrm>
          <a:off x="151920" y="345996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15120</xdr:colOff>
      <xdr:row>31</xdr:row>
      <xdr:rowOff>114480</xdr:rowOff>
    </xdr:from>
    <xdr:to>
      <xdr:col>2</xdr:col>
      <xdr:colOff>150120</xdr:colOff>
      <xdr:row>32</xdr:row>
      <xdr:rowOff>208440</xdr:rowOff>
    </xdr:to>
    <xdr:pic>
      <xdr:nvPicPr>
        <xdr:cNvPr id="94" name="Gráfico 13" descr="Ajudar">
          <a:hlinkClick r:id="rId11"/>
        </xdr:cNvPr>
        <xdr:cNvPicPr/>
      </xdr:nvPicPr>
      <xdr:blipFill>
        <a:blip r:embed="rId12"/>
        <a:stretch/>
      </xdr:blipFill>
      <xdr:spPr>
        <a:xfrm>
          <a:off x="165960" y="54770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10800</xdr:colOff>
      <xdr:row>54</xdr:row>
      <xdr:rowOff>98640</xdr:rowOff>
    </xdr:from>
    <xdr:to>
      <xdr:col>2</xdr:col>
      <xdr:colOff>145800</xdr:colOff>
      <xdr:row>55</xdr:row>
      <xdr:rowOff>192240</xdr:rowOff>
    </xdr:to>
    <xdr:pic>
      <xdr:nvPicPr>
        <xdr:cNvPr id="95" name="Gráfico 14" descr="Ajudar">
          <a:hlinkClick r:id="rId13"/>
        </xdr:cNvPr>
        <xdr:cNvPicPr/>
      </xdr:nvPicPr>
      <xdr:blipFill>
        <a:blip r:embed="rId14"/>
        <a:stretch/>
      </xdr:blipFill>
      <xdr:spPr>
        <a:xfrm>
          <a:off x="161640" y="102330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6120</xdr:colOff>
      <xdr:row>76</xdr:row>
      <xdr:rowOff>127800</xdr:rowOff>
    </xdr:from>
    <xdr:to>
      <xdr:col>2</xdr:col>
      <xdr:colOff>141120</xdr:colOff>
      <xdr:row>77</xdr:row>
      <xdr:rowOff>221760</xdr:rowOff>
    </xdr:to>
    <xdr:pic>
      <xdr:nvPicPr>
        <xdr:cNvPr id="96" name="Gráfico 15" descr="Ajudar">
          <a:hlinkClick r:id="rId15"/>
        </xdr:cNvPr>
        <xdr:cNvPicPr/>
      </xdr:nvPicPr>
      <xdr:blipFill>
        <a:blip r:embed="rId16"/>
        <a:stretch/>
      </xdr:blipFill>
      <xdr:spPr>
        <a:xfrm>
          <a:off x="156960" y="1480572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90</xdr:row>
      <xdr:rowOff>104760</xdr:rowOff>
    </xdr:from>
    <xdr:to>
      <xdr:col>3</xdr:col>
      <xdr:colOff>95040</xdr:colOff>
      <xdr:row>93</xdr:row>
      <xdr:rowOff>75960</xdr:rowOff>
    </xdr:to>
    <xdr:sp>
      <xdr:nvSpPr>
        <xdr:cNvPr id="97" name="Retângulo: Cantos Arredondados 16"/>
        <xdr:cNvSpPr/>
      </xdr:nvSpPr>
      <xdr:spPr>
        <a:xfrm>
          <a:off x="150840" y="1757340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90</xdr:row>
      <xdr:rowOff>127800</xdr:rowOff>
    </xdr:from>
    <xdr:to>
      <xdr:col>2</xdr:col>
      <xdr:colOff>141120</xdr:colOff>
      <xdr:row>91</xdr:row>
      <xdr:rowOff>221760</xdr:rowOff>
    </xdr:to>
    <xdr:pic>
      <xdr:nvPicPr>
        <xdr:cNvPr id="98" name="Gráfico 17" descr="Ajudar">
          <a:hlinkClick r:id="rId17"/>
        </xdr:cNvPr>
        <xdr:cNvPicPr/>
      </xdr:nvPicPr>
      <xdr:blipFill>
        <a:blip r:embed="rId18"/>
        <a:stretch/>
      </xdr:blipFill>
      <xdr:spPr>
        <a:xfrm>
          <a:off x="156960" y="17596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107</xdr:row>
      <xdr:rowOff>104760</xdr:rowOff>
    </xdr:from>
    <xdr:to>
      <xdr:col>3</xdr:col>
      <xdr:colOff>95040</xdr:colOff>
      <xdr:row>110</xdr:row>
      <xdr:rowOff>75960</xdr:rowOff>
    </xdr:to>
    <xdr:sp>
      <xdr:nvSpPr>
        <xdr:cNvPr id="99" name="Retângulo: Cantos Arredondados 18"/>
        <xdr:cNvSpPr/>
      </xdr:nvSpPr>
      <xdr:spPr>
        <a:xfrm>
          <a:off x="150840" y="2110716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107</xdr:row>
      <xdr:rowOff>127800</xdr:rowOff>
    </xdr:from>
    <xdr:to>
      <xdr:col>2</xdr:col>
      <xdr:colOff>141120</xdr:colOff>
      <xdr:row>108</xdr:row>
      <xdr:rowOff>221760</xdr:rowOff>
    </xdr:to>
    <xdr:pic>
      <xdr:nvPicPr>
        <xdr:cNvPr id="100" name="Gráfico 19" descr="Ajudar">
          <a:hlinkClick r:id="rId19"/>
        </xdr:cNvPr>
        <xdr:cNvPicPr/>
      </xdr:nvPicPr>
      <xdr:blipFill>
        <a:blip r:embed="rId20"/>
        <a:stretch/>
      </xdr:blipFill>
      <xdr:spPr>
        <a:xfrm>
          <a:off x="156960" y="211302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126</xdr:row>
      <xdr:rowOff>104760</xdr:rowOff>
    </xdr:from>
    <xdr:to>
      <xdr:col>3</xdr:col>
      <xdr:colOff>95040</xdr:colOff>
      <xdr:row>129</xdr:row>
      <xdr:rowOff>75960</xdr:rowOff>
    </xdr:to>
    <xdr:sp>
      <xdr:nvSpPr>
        <xdr:cNvPr id="101" name="Retângulo: Cantos Arredondados 20"/>
        <xdr:cNvSpPr/>
      </xdr:nvSpPr>
      <xdr:spPr>
        <a:xfrm>
          <a:off x="150840" y="251553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126</xdr:row>
      <xdr:rowOff>127800</xdr:rowOff>
    </xdr:from>
    <xdr:to>
      <xdr:col>2</xdr:col>
      <xdr:colOff>141120</xdr:colOff>
      <xdr:row>127</xdr:row>
      <xdr:rowOff>221760</xdr:rowOff>
    </xdr:to>
    <xdr:pic>
      <xdr:nvPicPr>
        <xdr:cNvPr id="102" name="Gráfico 21" descr="Ajudar">
          <a:hlinkClick r:id="rId21"/>
        </xdr:cNvPr>
        <xdr:cNvPicPr/>
      </xdr:nvPicPr>
      <xdr:blipFill>
        <a:blip r:embed="rId22"/>
        <a:stretch/>
      </xdr:blipFill>
      <xdr:spPr>
        <a:xfrm>
          <a:off x="156960" y="251784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145</xdr:row>
      <xdr:rowOff>104760</xdr:rowOff>
    </xdr:from>
    <xdr:to>
      <xdr:col>3</xdr:col>
      <xdr:colOff>95040</xdr:colOff>
      <xdr:row>148</xdr:row>
      <xdr:rowOff>75960</xdr:rowOff>
    </xdr:to>
    <xdr:sp>
      <xdr:nvSpPr>
        <xdr:cNvPr id="103" name="Retângulo: Cantos Arredondados 22"/>
        <xdr:cNvSpPr/>
      </xdr:nvSpPr>
      <xdr:spPr>
        <a:xfrm>
          <a:off x="150840" y="292035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145</xdr:row>
      <xdr:rowOff>127800</xdr:rowOff>
    </xdr:from>
    <xdr:to>
      <xdr:col>2</xdr:col>
      <xdr:colOff>141120</xdr:colOff>
      <xdr:row>146</xdr:row>
      <xdr:rowOff>221760</xdr:rowOff>
    </xdr:to>
    <xdr:pic>
      <xdr:nvPicPr>
        <xdr:cNvPr id="104" name="Gráfico 23" descr="Ajudar">
          <a:hlinkClick r:id="rId23"/>
        </xdr:cNvPr>
        <xdr:cNvPicPr/>
      </xdr:nvPicPr>
      <xdr:blipFill>
        <a:blip r:embed="rId24"/>
        <a:stretch/>
      </xdr:blipFill>
      <xdr:spPr>
        <a:xfrm>
          <a:off x="156960" y="292266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162</xdr:row>
      <xdr:rowOff>104760</xdr:rowOff>
    </xdr:from>
    <xdr:to>
      <xdr:col>3</xdr:col>
      <xdr:colOff>95040</xdr:colOff>
      <xdr:row>165</xdr:row>
      <xdr:rowOff>75960</xdr:rowOff>
    </xdr:to>
    <xdr:sp>
      <xdr:nvSpPr>
        <xdr:cNvPr id="105" name="Retângulo: Cantos Arredondados 24"/>
        <xdr:cNvSpPr/>
      </xdr:nvSpPr>
      <xdr:spPr>
        <a:xfrm>
          <a:off x="150840" y="3275640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162</xdr:row>
      <xdr:rowOff>127800</xdr:rowOff>
    </xdr:from>
    <xdr:to>
      <xdr:col>2</xdr:col>
      <xdr:colOff>141120</xdr:colOff>
      <xdr:row>163</xdr:row>
      <xdr:rowOff>221760</xdr:rowOff>
    </xdr:to>
    <xdr:pic>
      <xdr:nvPicPr>
        <xdr:cNvPr id="106" name="Gráfico 25" descr="Ajudar">
          <a:hlinkClick r:id="rId25"/>
        </xdr:cNvPr>
        <xdr:cNvPicPr/>
      </xdr:nvPicPr>
      <xdr:blipFill>
        <a:blip r:embed="rId26"/>
        <a:stretch/>
      </xdr:blipFill>
      <xdr:spPr>
        <a:xfrm>
          <a:off x="156960" y="32779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181</xdr:row>
      <xdr:rowOff>104760</xdr:rowOff>
    </xdr:from>
    <xdr:to>
      <xdr:col>3</xdr:col>
      <xdr:colOff>95040</xdr:colOff>
      <xdr:row>184</xdr:row>
      <xdr:rowOff>75960</xdr:rowOff>
    </xdr:to>
    <xdr:sp>
      <xdr:nvSpPr>
        <xdr:cNvPr id="107" name="Retângulo: Cantos Arredondados 26"/>
        <xdr:cNvSpPr/>
      </xdr:nvSpPr>
      <xdr:spPr>
        <a:xfrm>
          <a:off x="150840" y="368042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181</xdr:row>
      <xdr:rowOff>127800</xdr:rowOff>
    </xdr:from>
    <xdr:to>
      <xdr:col>2</xdr:col>
      <xdr:colOff>141120</xdr:colOff>
      <xdr:row>182</xdr:row>
      <xdr:rowOff>221400</xdr:rowOff>
    </xdr:to>
    <xdr:pic>
      <xdr:nvPicPr>
        <xdr:cNvPr id="108" name="Gráfico 27" descr="Ajudar">
          <a:hlinkClick r:id="rId27"/>
        </xdr:cNvPr>
        <xdr:cNvPicPr/>
      </xdr:nvPicPr>
      <xdr:blipFill>
        <a:blip r:embed="rId28"/>
        <a:stretch/>
      </xdr:blipFill>
      <xdr:spPr>
        <a:xfrm>
          <a:off x="156960" y="368272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200</xdr:row>
      <xdr:rowOff>104760</xdr:rowOff>
    </xdr:from>
    <xdr:to>
      <xdr:col>3</xdr:col>
      <xdr:colOff>95040</xdr:colOff>
      <xdr:row>203</xdr:row>
      <xdr:rowOff>75960</xdr:rowOff>
    </xdr:to>
    <xdr:sp>
      <xdr:nvSpPr>
        <xdr:cNvPr id="109" name="Retângulo: Cantos Arredondados 28"/>
        <xdr:cNvSpPr/>
      </xdr:nvSpPr>
      <xdr:spPr>
        <a:xfrm>
          <a:off x="150840" y="408524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 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200</xdr:row>
      <xdr:rowOff>127800</xdr:rowOff>
    </xdr:from>
    <xdr:to>
      <xdr:col>2</xdr:col>
      <xdr:colOff>141120</xdr:colOff>
      <xdr:row>201</xdr:row>
      <xdr:rowOff>221400</xdr:rowOff>
    </xdr:to>
    <xdr:pic>
      <xdr:nvPicPr>
        <xdr:cNvPr id="110" name="Gráfico 29" descr="Ajudar">
          <a:hlinkClick r:id="rId29"/>
        </xdr:cNvPr>
        <xdr:cNvPicPr/>
      </xdr:nvPicPr>
      <xdr:blipFill>
        <a:blip r:embed="rId30"/>
        <a:stretch/>
      </xdr:blipFill>
      <xdr:spPr>
        <a:xfrm>
          <a:off x="156960" y="408754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84960</xdr:colOff>
      <xdr:row>2</xdr:row>
      <xdr:rowOff>2520</xdr:rowOff>
    </xdr:from>
    <xdr:to>
      <xdr:col>35</xdr:col>
      <xdr:colOff>514080</xdr:colOff>
      <xdr:row>3</xdr:row>
      <xdr:rowOff>198000</xdr:rowOff>
    </xdr:to>
    <xdr:pic>
      <xdr:nvPicPr>
        <xdr:cNvPr id="111" name="Gráfico 30" descr="Seta Reta">
          <a:hlinkClick r:id="rId31"/>
        </xdr:cNvPr>
        <xdr:cNvPicPr/>
      </xdr:nvPicPr>
      <xdr:blipFill>
        <a:blip r:embed="rId32"/>
        <a:stretch/>
      </xdr:blipFill>
      <xdr:spPr>
        <a:xfrm rot="10800000">
          <a:off x="14930280" y="201960"/>
          <a:ext cx="42912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319680</xdr:colOff>
      <xdr:row>77</xdr:row>
      <xdr:rowOff>126720</xdr:rowOff>
    </xdr:from>
    <xdr:to>
      <xdr:col>2</xdr:col>
      <xdr:colOff>711360</xdr:colOff>
      <xdr:row>78</xdr:row>
      <xdr:rowOff>17640</xdr:rowOff>
    </xdr:to>
    <xdr:pic>
      <xdr:nvPicPr>
        <xdr:cNvPr id="112" name="Gráfico 31" descr="Dinheiro"/>
        <xdr:cNvPicPr/>
      </xdr:nvPicPr>
      <xdr:blipFill>
        <a:blip r:embed="rId33"/>
        <a:stretch/>
      </xdr:blipFill>
      <xdr:spPr>
        <a:xfrm flipH="1">
          <a:off x="581760" y="14956920"/>
          <a:ext cx="391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319680</xdr:colOff>
      <xdr:row>91</xdr:row>
      <xdr:rowOff>115920</xdr:rowOff>
    </xdr:from>
    <xdr:to>
      <xdr:col>2</xdr:col>
      <xdr:colOff>720360</xdr:colOff>
      <xdr:row>92</xdr:row>
      <xdr:rowOff>6480</xdr:rowOff>
    </xdr:to>
    <xdr:pic>
      <xdr:nvPicPr>
        <xdr:cNvPr id="113" name="Gráfico 32" descr="Dinheiro"/>
        <xdr:cNvPicPr/>
      </xdr:nvPicPr>
      <xdr:blipFill>
        <a:blip r:embed="rId34"/>
        <a:stretch/>
      </xdr:blipFill>
      <xdr:spPr>
        <a:xfrm flipH="1">
          <a:off x="581760" y="17736840"/>
          <a:ext cx="400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330840</xdr:colOff>
      <xdr:row>108</xdr:row>
      <xdr:rowOff>134280</xdr:rowOff>
    </xdr:from>
    <xdr:to>
      <xdr:col>2</xdr:col>
      <xdr:colOff>722880</xdr:colOff>
      <xdr:row>109</xdr:row>
      <xdr:rowOff>35640</xdr:rowOff>
    </xdr:to>
    <xdr:pic>
      <xdr:nvPicPr>
        <xdr:cNvPr id="114" name="Gráfico 33" descr="Moedas"/>
        <xdr:cNvPicPr/>
      </xdr:nvPicPr>
      <xdr:blipFill>
        <a:blip r:embed="rId35"/>
        <a:stretch/>
      </xdr:blipFill>
      <xdr:spPr>
        <a:xfrm flipH="1">
          <a:off x="592920" y="212889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285840</xdr:colOff>
      <xdr:row>127</xdr:row>
      <xdr:rowOff>149760</xdr:rowOff>
    </xdr:from>
    <xdr:to>
      <xdr:col>2</xdr:col>
      <xdr:colOff>677880</xdr:colOff>
      <xdr:row>128</xdr:row>
      <xdr:rowOff>51120</xdr:rowOff>
    </xdr:to>
    <xdr:pic>
      <xdr:nvPicPr>
        <xdr:cNvPr id="115" name="Gráfico 34" descr="Moedas"/>
        <xdr:cNvPicPr/>
      </xdr:nvPicPr>
      <xdr:blipFill>
        <a:blip r:embed="rId36"/>
        <a:stretch/>
      </xdr:blipFill>
      <xdr:spPr>
        <a:xfrm flipH="1">
          <a:off x="547920" y="2535264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288720</xdr:colOff>
      <xdr:row>146</xdr:row>
      <xdr:rowOff>152280</xdr:rowOff>
    </xdr:from>
    <xdr:to>
      <xdr:col>2</xdr:col>
      <xdr:colOff>680760</xdr:colOff>
      <xdr:row>147</xdr:row>
      <xdr:rowOff>54000</xdr:rowOff>
    </xdr:to>
    <xdr:pic>
      <xdr:nvPicPr>
        <xdr:cNvPr id="116" name="Gráfico 35" descr="Moedas"/>
        <xdr:cNvPicPr/>
      </xdr:nvPicPr>
      <xdr:blipFill>
        <a:blip r:embed="rId37"/>
        <a:stretch/>
      </xdr:blipFill>
      <xdr:spPr>
        <a:xfrm flipH="1">
          <a:off x="550800" y="294033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163</xdr:row>
      <xdr:rowOff>123120</xdr:rowOff>
    </xdr:from>
    <xdr:to>
      <xdr:col>2</xdr:col>
      <xdr:colOff>705240</xdr:colOff>
      <xdr:row>164</xdr:row>
      <xdr:rowOff>14040</xdr:rowOff>
    </xdr:to>
    <xdr:pic>
      <xdr:nvPicPr>
        <xdr:cNvPr id="117" name="Gráfico 36" descr="Sirene"/>
        <xdr:cNvPicPr/>
      </xdr:nvPicPr>
      <xdr:blipFill>
        <a:blip r:embed="rId38"/>
        <a:stretch/>
      </xdr:blipFill>
      <xdr:spPr>
        <a:xfrm>
          <a:off x="562680" y="3292704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182</xdr:row>
      <xdr:rowOff>107640</xdr:rowOff>
    </xdr:from>
    <xdr:to>
      <xdr:col>2</xdr:col>
      <xdr:colOff>705240</xdr:colOff>
      <xdr:row>183</xdr:row>
      <xdr:rowOff>2880</xdr:rowOff>
    </xdr:to>
    <xdr:pic>
      <xdr:nvPicPr>
        <xdr:cNvPr id="118" name="Gráfico 37" descr="Sirene"/>
        <xdr:cNvPicPr/>
      </xdr:nvPicPr>
      <xdr:blipFill>
        <a:blip r:embed="rId39"/>
        <a:stretch/>
      </xdr:blipFill>
      <xdr:spPr>
        <a:xfrm>
          <a:off x="562680" y="36959760"/>
          <a:ext cx="404640" cy="39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201</xdr:row>
      <xdr:rowOff>125640</xdr:rowOff>
    </xdr:from>
    <xdr:to>
      <xdr:col>2</xdr:col>
      <xdr:colOff>705240</xdr:colOff>
      <xdr:row>202</xdr:row>
      <xdr:rowOff>16560</xdr:rowOff>
    </xdr:to>
    <xdr:pic>
      <xdr:nvPicPr>
        <xdr:cNvPr id="119" name="Gráfico 38" descr="Sirene"/>
        <xdr:cNvPicPr/>
      </xdr:nvPicPr>
      <xdr:blipFill>
        <a:blip r:embed="rId40"/>
        <a:stretch/>
      </xdr:blipFill>
      <xdr:spPr>
        <a:xfrm>
          <a:off x="562680" y="4102596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190440</xdr:colOff>
      <xdr:row>1</xdr:row>
      <xdr:rowOff>141120</xdr:rowOff>
    </xdr:from>
    <xdr:to>
      <xdr:col>32</xdr:col>
      <xdr:colOff>138960</xdr:colOff>
      <xdr:row>3</xdr:row>
      <xdr:rowOff>54360</xdr:rowOff>
    </xdr:to>
    <xdr:pic>
      <xdr:nvPicPr>
        <xdr:cNvPr id="120" name="Gráfico 39" descr="Virar calendário">
          <a:hlinkClick r:id="rId41"/>
        </xdr:cNvPr>
        <xdr:cNvPicPr/>
      </xdr:nvPicPr>
      <xdr:blipFill>
        <a:blip r:embed="rId42"/>
        <a:stretch/>
      </xdr:blipFill>
      <xdr:spPr>
        <a:xfrm>
          <a:off x="13463640" y="141120"/>
          <a:ext cx="341640" cy="341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26</xdr:col>
      <xdr:colOff>324720</xdr:colOff>
      <xdr:row>2</xdr:row>
      <xdr:rowOff>174600</xdr:rowOff>
    </xdr:from>
    <xdr:to>
      <xdr:col>28</xdr:col>
      <xdr:colOff>22320</xdr:colOff>
      <xdr:row>2</xdr:row>
      <xdr:rowOff>174600</xdr:rowOff>
    </xdr:to>
    <xdr:sp>
      <xdr:nvSpPr>
        <xdr:cNvPr id="121" name="Conector reto 40"/>
        <xdr:cNvSpPr/>
      </xdr:nvSpPr>
      <xdr:spPr>
        <a:xfrm>
          <a:off x="11632680" y="374400"/>
          <a:ext cx="48384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29</xdr:col>
      <xdr:colOff>331560</xdr:colOff>
      <xdr:row>2</xdr:row>
      <xdr:rowOff>174600</xdr:rowOff>
    </xdr:from>
    <xdr:to>
      <xdr:col>31</xdr:col>
      <xdr:colOff>28800</xdr:colOff>
      <xdr:row>2</xdr:row>
      <xdr:rowOff>174600</xdr:rowOff>
    </xdr:to>
    <xdr:sp>
      <xdr:nvSpPr>
        <xdr:cNvPr id="122" name="Conector reto 41"/>
        <xdr:cNvSpPr/>
      </xdr:nvSpPr>
      <xdr:spPr>
        <a:xfrm>
          <a:off x="12818520" y="374400"/>
          <a:ext cx="48348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142200</xdr:colOff>
      <xdr:row>8</xdr:row>
      <xdr:rowOff>121680</xdr:rowOff>
    </xdr:from>
    <xdr:to>
      <xdr:col>2</xdr:col>
      <xdr:colOff>129960</xdr:colOff>
      <xdr:row>9</xdr:row>
      <xdr:rowOff>215280</xdr:rowOff>
    </xdr:to>
    <xdr:pic>
      <xdr:nvPicPr>
        <xdr:cNvPr id="123" name="Gráfico 43" descr="Ajudar">
          <a:hlinkClick r:id="rId43"/>
        </xdr:cNvPr>
        <xdr:cNvPicPr/>
      </xdr:nvPicPr>
      <xdr:blipFill>
        <a:blip r:embed="rId44"/>
        <a:stretch/>
      </xdr:blipFill>
      <xdr:spPr>
        <a:xfrm>
          <a:off x="142200" y="140724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35</xdr:col>
      <xdr:colOff>0</xdr:colOff>
      <xdr:row>5</xdr:row>
      <xdr:rowOff>0</xdr:rowOff>
    </xdr:from>
    <xdr:to>
      <xdr:col>35</xdr:col>
      <xdr:colOff>548640</xdr:colOff>
      <xdr:row>6</xdr:row>
      <xdr:rowOff>10800</xdr:rowOff>
    </xdr:to>
    <xdr:sp>
      <xdr:nvSpPr>
        <xdr:cNvPr id="124" name="Balão de Fala: Retângulo com Cantos Arredondados 47"/>
        <xdr:cNvSpPr/>
      </xdr:nvSpPr>
      <xdr:spPr>
        <a:xfrm>
          <a:off x="14845320" y="799920"/>
          <a:ext cx="548640" cy="182160"/>
        </a:xfrm>
        <a:prstGeom prst="wedgeRoundRectCallout">
          <a:avLst>
            <a:gd name="adj1" fmla="val -18889"/>
            <a:gd name="adj2" fmla="val 13747"/>
            <a:gd name="adj3" fmla="val 16667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28800" bIns="36000" anchor="ctr">
          <a:noAutofit/>
        </a:bodyPr>
        <a:p>
          <a:pPr algn="ctr">
            <a:lnSpc>
              <a:spcPct val="100000"/>
            </a:lnSpc>
          </a:pPr>
          <a:r>
            <a:rPr b="0" lang="en-GB" sz="900" spc="-1" strike="noStrike">
              <a:solidFill>
                <a:srgbClr val="ffffff"/>
              </a:solidFill>
              <a:latin typeface="Calibri"/>
            </a:rPr>
            <a:t>DIAS</a:t>
          </a:r>
          <a:endParaRPr b="0" lang="pt-BR" sz="9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2880</xdr:colOff>
      <xdr:row>54</xdr:row>
      <xdr:rowOff>78480</xdr:rowOff>
    </xdr:from>
    <xdr:to>
      <xdr:col>3</xdr:col>
      <xdr:colOff>99360</xdr:colOff>
      <xdr:row>57</xdr:row>
      <xdr:rowOff>64440</xdr:rowOff>
    </xdr:to>
    <xdr:sp>
      <xdr:nvSpPr>
        <xdr:cNvPr id="125" name="Retângulo: Cantos Arredondados 1"/>
        <xdr:cNvSpPr/>
      </xdr:nvSpPr>
      <xdr:spPr>
        <a:xfrm>
          <a:off x="153720" y="10212840"/>
          <a:ext cx="2274120" cy="78624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8</xdr:row>
      <xdr:rowOff>104760</xdr:rowOff>
    </xdr:from>
    <xdr:to>
      <xdr:col>3</xdr:col>
      <xdr:colOff>77760</xdr:colOff>
      <xdr:row>11</xdr:row>
      <xdr:rowOff>75960</xdr:rowOff>
    </xdr:to>
    <xdr:sp>
      <xdr:nvSpPr>
        <xdr:cNvPr id="126" name="Retângulo: Cantos Arredondados 2"/>
        <xdr:cNvSpPr/>
      </xdr:nvSpPr>
      <xdr:spPr>
        <a:xfrm>
          <a:off x="132480" y="1390320"/>
          <a:ext cx="2273760" cy="79056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JUNTAR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DINHEIRO?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19</xdr:row>
      <xdr:rowOff>104760</xdr:rowOff>
    </xdr:from>
    <xdr:to>
      <xdr:col>3</xdr:col>
      <xdr:colOff>77760</xdr:colOff>
      <xdr:row>22</xdr:row>
      <xdr:rowOff>56880</xdr:rowOff>
    </xdr:to>
    <xdr:sp>
      <xdr:nvSpPr>
        <xdr:cNvPr id="127" name="Retângulo: Cantos Arredondados 3"/>
        <xdr:cNvSpPr/>
      </xdr:nvSpPr>
      <xdr:spPr>
        <a:xfrm>
          <a:off x="132480" y="3438360"/>
          <a:ext cx="2273760" cy="75204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GUARDAR E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INVESTIR?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282240</xdr:colOff>
      <xdr:row>20</xdr:row>
      <xdr:rowOff>118080</xdr:rowOff>
    </xdr:from>
    <xdr:to>
      <xdr:col>2</xdr:col>
      <xdr:colOff>681480</xdr:colOff>
      <xdr:row>21</xdr:row>
      <xdr:rowOff>8640</xdr:rowOff>
    </xdr:to>
    <xdr:pic>
      <xdr:nvPicPr>
        <xdr:cNvPr id="128" name="Gráfico 4" descr="Cofrinho"/>
        <xdr:cNvPicPr/>
      </xdr:nvPicPr>
      <xdr:blipFill>
        <a:blip r:embed="rId1"/>
        <a:stretch/>
      </xdr:blipFill>
      <xdr:spPr>
        <a:xfrm>
          <a:off x="544320" y="3603960"/>
          <a:ext cx="39924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284040</xdr:colOff>
      <xdr:row>9</xdr:row>
      <xdr:rowOff>151200</xdr:rowOff>
    </xdr:from>
    <xdr:to>
      <xdr:col>2</xdr:col>
      <xdr:colOff>680040</xdr:colOff>
      <xdr:row>10</xdr:row>
      <xdr:rowOff>42120</xdr:rowOff>
    </xdr:to>
    <xdr:pic>
      <xdr:nvPicPr>
        <xdr:cNvPr id="129" name="Gráfico 5" descr="Carteira"/>
        <xdr:cNvPicPr/>
      </xdr:nvPicPr>
      <xdr:blipFill>
        <a:blip r:embed="rId2"/>
        <a:stretch/>
      </xdr:blipFill>
      <xdr:spPr>
        <a:xfrm>
          <a:off x="546120" y="1589400"/>
          <a:ext cx="39600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0</xdr:col>
      <xdr:colOff>145800</xdr:colOff>
      <xdr:row>31</xdr:row>
      <xdr:rowOff>89640</xdr:rowOff>
    </xdr:from>
    <xdr:to>
      <xdr:col>3</xdr:col>
      <xdr:colOff>91440</xdr:colOff>
      <xdr:row>34</xdr:row>
      <xdr:rowOff>78480</xdr:rowOff>
    </xdr:to>
    <xdr:sp>
      <xdr:nvSpPr>
        <xdr:cNvPr id="130" name="Retângulo: Cantos Arredondados 6"/>
        <xdr:cNvSpPr/>
      </xdr:nvSpPr>
      <xdr:spPr>
        <a:xfrm>
          <a:off x="145800" y="5452200"/>
          <a:ext cx="2274120" cy="7887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315360</xdr:colOff>
      <xdr:row>32</xdr:row>
      <xdr:rowOff>144360</xdr:rowOff>
    </xdr:from>
    <xdr:to>
      <xdr:col>2</xdr:col>
      <xdr:colOff>709560</xdr:colOff>
      <xdr:row>33</xdr:row>
      <xdr:rowOff>35280</xdr:rowOff>
    </xdr:to>
    <xdr:pic>
      <xdr:nvPicPr>
        <xdr:cNvPr id="131" name="Gráfico 7" descr="Eletricista"/>
        <xdr:cNvPicPr/>
      </xdr:nvPicPr>
      <xdr:blipFill>
        <a:blip r:embed="rId3"/>
        <a:stretch/>
      </xdr:blipFill>
      <xdr:spPr>
        <a:xfrm>
          <a:off x="577440" y="5659200"/>
          <a:ext cx="39420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311760</xdr:colOff>
      <xdr:row>55</xdr:row>
      <xdr:rowOff>132120</xdr:rowOff>
    </xdr:from>
    <xdr:to>
      <xdr:col>2</xdr:col>
      <xdr:colOff>713160</xdr:colOff>
      <xdr:row>56</xdr:row>
      <xdr:rowOff>23040</xdr:rowOff>
    </xdr:to>
    <xdr:pic>
      <xdr:nvPicPr>
        <xdr:cNvPr id="132" name="Gráfico 8" descr="Artista"/>
        <xdr:cNvPicPr/>
      </xdr:nvPicPr>
      <xdr:blipFill>
        <a:blip r:embed="rId4"/>
        <a:stretch/>
      </xdr:blipFill>
      <xdr:spPr>
        <a:xfrm>
          <a:off x="573840" y="10419120"/>
          <a:ext cx="401400" cy="395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76</xdr:row>
      <xdr:rowOff>104760</xdr:rowOff>
    </xdr:from>
    <xdr:to>
      <xdr:col>3</xdr:col>
      <xdr:colOff>95040</xdr:colOff>
      <xdr:row>79</xdr:row>
      <xdr:rowOff>75960</xdr:rowOff>
    </xdr:to>
    <xdr:sp>
      <xdr:nvSpPr>
        <xdr:cNvPr id="133" name="Retângulo: Cantos Arredondados 9"/>
        <xdr:cNvSpPr/>
      </xdr:nvSpPr>
      <xdr:spPr>
        <a:xfrm>
          <a:off x="150840" y="1478268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28</xdr:col>
      <xdr:colOff>211680</xdr:colOff>
      <xdr:row>1</xdr:row>
      <xdr:rowOff>166320</xdr:rowOff>
    </xdr:from>
    <xdr:to>
      <xdr:col>29</xdr:col>
      <xdr:colOff>128880</xdr:colOff>
      <xdr:row>3</xdr:row>
      <xdr:rowOff>47520</xdr:rowOff>
    </xdr:to>
    <xdr:pic>
      <xdr:nvPicPr>
        <xdr:cNvPr id="134" name="Gráfico 10" descr="Impressão digital">
          <a:hlinkClick r:id="rId5"/>
        </xdr:cNvPr>
        <xdr:cNvPicPr/>
      </xdr:nvPicPr>
      <xdr:blipFill>
        <a:blip r:embed="rId6"/>
        <a:stretch/>
      </xdr:blipFill>
      <xdr:spPr>
        <a:xfrm>
          <a:off x="12305880" y="166320"/>
          <a:ext cx="309960" cy="30960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25</xdr:col>
      <xdr:colOff>188640</xdr:colOff>
      <xdr:row>1</xdr:row>
      <xdr:rowOff>129960</xdr:rowOff>
    </xdr:from>
    <xdr:to>
      <xdr:col>26</xdr:col>
      <xdr:colOff>164160</xdr:colOff>
      <xdr:row>3</xdr:row>
      <xdr:rowOff>65880</xdr:rowOff>
    </xdr:to>
    <xdr:pic>
      <xdr:nvPicPr>
        <xdr:cNvPr id="135" name="Gráfico 11" descr="Trancar">
          <a:hlinkClick r:id="rId7"/>
        </xdr:cNvPr>
        <xdr:cNvPicPr/>
      </xdr:nvPicPr>
      <xdr:blipFill>
        <a:blip r:embed="rId8"/>
        <a:stretch/>
      </xdr:blipFill>
      <xdr:spPr>
        <a:xfrm>
          <a:off x="11103480" y="129960"/>
          <a:ext cx="368640" cy="36432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</xdr:colOff>
      <xdr:row>19</xdr:row>
      <xdr:rowOff>126360</xdr:rowOff>
    </xdr:from>
    <xdr:to>
      <xdr:col>2</xdr:col>
      <xdr:colOff>139680</xdr:colOff>
      <xdr:row>20</xdr:row>
      <xdr:rowOff>220320</xdr:rowOff>
    </xdr:to>
    <xdr:pic>
      <xdr:nvPicPr>
        <xdr:cNvPr id="136" name="Gráfico 12" descr="Ajudar">
          <a:hlinkClick r:id="rId9"/>
        </xdr:cNvPr>
        <xdr:cNvPicPr/>
      </xdr:nvPicPr>
      <xdr:blipFill>
        <a:blip r:embed="rId10"/>
        <a:stretch/>
      </xdr:blipFill>
      <xdr:spPr>
        <a:xfrm>
          <a:off x="151920" y="345996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15120</xdr:colOff>
      <xdr:row>31</xdr:row>
      <xdr:rowOff>114480</xdr:rowOff>
    </xdr:from>
    <xdr:to>
      <xdr:col>2</xdr:col>
      <xdr:colOff>150120</xdr:colOff>
      <xdr:row>32</xdr:row>
      <xdr:rowOff>208440</xdr:rowOff>
    </xdr:to>
    <xdr:pic>
      <xdr:nvPicPr>
        <xdr:cNvPr id="137" name="Gráfico 13" descr="Ajudar">
          <a:hlinkClick r:id="rId11"/>
        </xdr:cNvPr>
        <xdr:cNvPicPr/>
      </xdr:nvPicPr>
      <xdr:blipFill>
        <a:blip r:embed="rId12"/>
        <a:stretch/>
      </xdr:blipFill>
      <xdr:spPr>
        <a:xfrm>
          <a:off x="165960" y="54770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10800</xdr:colOff>
      <xdr:row>54</xdr:row>
      <xdr:rowOff>98640</xdr:rowOff>
    </xdr:from>
    <xdr:to>
      <xdr:col>2</xdr:col>
      <xdr:colOff>145800</xdr:colOff>
      <xdr:row>55</xdr:row>
      <xdr:rowOff>192240</xdr:rowOff>
    </xdr:to>
    <xdr:pic>
      <xdr:nvPicPr>
        <xdr:cNvPr id="138" name="Gráfico 14" descr="Ajudar">
          <a:hlinkClick r:id="rId13"/>
        </xdr:cNvPr>
        <xdr:cNvPicPr/>
      </xdr:nvPicPr>
      <xdr:blipFill>
        <a:blip r:embed="rId14"/>
        <a:stretch/>
      </xdr:blipFill>
      <xdr:spPr>
        <a:xfrm>
          <a:off x="161640" y="102330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6120</xdr:colOff>
      <xdr:row>76</xdr:row>
      <xdr:rowOff>127800</xdr:rowOff>
    </xdr:from>
    <xdr:to>
      <xdr:col>2</xdr:col>
      <xdr:colOff>141120</xdr:colOff>
      <xdr:row>77</xdr:row>
      <xdr:rowOff>221760</xdr:rowOff>
    </xdr:to>
    <xdr:pic>
      <xdr:nvPicPr>
        <xdr:cNvPr id="139" name="Gráfico 15" descr="Ajudar">
          <a:hlinkClick r:id="rId15"/>
        </xdr:cNvPr>
        <xdr:cNvPicPr/>
      </xdr:nvPicPr>
      <xdr:blipFill>
        <a:blip r:embed="rId16"/>
        <a:stretch/>
      </xdr:blipFill>
      <xdr:spPr>
        <a:xfrm>
          <a:off x="156960" y="1480572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90</xdr:row>
      <xdr:rowOff>104760</xdr:rowOff>
    </xdr:from>
    <xdr:to>
      <xdr:col>3</xdr:col>
      <xdr:colOff>95040</xdr:colOff>
      <xdr:row>93</xdr:row>
      <xdr:rowOff>75960</xdr:rowOff>
    </xdr:to>
    <xdr:sp>
      <xdr:nvSpPr>
        <xdr:cNvPr id="140" name="Retângulo: Cantos Arredondados 16"/>
        <xdr:cNvSpPr/>
      </xdr:nvSpPr>
      <xdr:spPr>
        <a:xfrm>
          <a:off x="150840" y="1757340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90</xdr:row>
      <xdr:rowOff>127800</xdr:rowOff>
    </xdr:from>
    <xdr:to>
      <xdr:col>2</xdr:col>
      <xdr:colOff>141120</xdr:colOff>
      <xdr:row>91</xdr:row>
      <xdr:rowOff>221760</xdr:rowOff>
    </xdr:to>
    <xdr:pic>
      <xdr:nvPicPr>
        <xdr:cNvPr id="141" name="Gráfico 17" descr="Ajudar">
          <a:hlinkClick r:id="rId17"/>
        </xdr:cNvPr>
        <xdr:cNvPicPr/>
      </xdr:nvPicPr>
      <xdr:blipFill>
        <a:blip r:embed="rId18"/>
        <a:stretch/>
      </xdr:blipFill>
      <xdr:spPr>
        <a:xfrm>
          <a:off x="156960" y="17596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107</xdr:row>
      <xdr:rowOff>104760</xdr:rowOff>
    </xdr:from>
    <xdr:to>
      <xdr:col>3</xdr:col>
      <xdr:colOff>95040</xdr:colOff>
      <xdr:row>110</xdr:row>
      <xdr:rowOff>75960</xdr:rowOff>
    </xdr:to>
    <xdr:sp>
      <xdr:nvSpPr>
        <xdr:cNvPr id="142" name="Retângulo: Cantos Arredondados 18"/>
        <xdr:cNvSpPr/>
      </xdr:nvSpPr>
      <xdr:spPr>
        <a:xfrm>
          <a:off x="150840" y="2110716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107</xdr:row>
      <xdr:rowOff>127800</xdr:rowOff>
    </xdr:from>
    <xdr:to>
      <xdr:col>2</xdr:col>
      <xdr:colOff>141120</xdr:colOff>
      <xdr:row>108</xdr:row>
      <xdr:rowOff>221760</xdr:rowOff>
    </xdr:to>
    <xdr:pic>
      <xdr:nvPicPr>
        <xdr:cNvPr id="143" name="Gráfico 19" descr="Ajudar">
          <a:hlinkClick r:id="rId19"/>
        </xdr:cNvPr>
        <xdr:cNvPicPr/>
      </xdr:nvPicPr>
      <xdr:blipFill>
        <a:blip r:embed="rId20"/>
        <a:stretch/>
      </xdr:blipFill>
      <xdr:spPr>
        <a:xfrm>
          <a:off x="156960" y="211302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126</xdr:row>
      <xdr:rowOff>104760</xdr:rowOff>
    </xdr:from>
    <xdr:to>
      <xdr:col>3</xdr:col>
      <xdr:colOff>95040</xdr:colOff>
      <xdr:row>129</xdr:row>
      <xdr:rowOff>75960</xdr:rowOff>
    </xdr:to>
    <xdr:sp>
      <xdr:nvSpPr>
        <xdr:cNvPr id="144" name="Retângulo: Cantos Arredondados 20"/>
        <xdr:cNvSpPr/>
      </xdr:nvSpPr>
      <xdr:spPr>
        <a:xfrm>
          <a:off x="150840" y="251553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126</xdr:row>
      <xdr:rowOff>127800</xdr:rowOff>
    </xdr:from>
    <xdr:to>
      <xdr:col>2</xdr:col>
      <xdr:colOff>141120</xdr:colOff>
      <xdr:row>127</xdr:row>
      <xdr:rowOff>221760</xdr:rowOff>
    </xdr:to>
    <xdr:pic>
      <xdr:nvPicPr>
        <xdr:cNvPr id="145" name="Gráfico 21" descr="Ajudar">
          <a:hlinkClick r:id="rId21"/>
        </xdr:cNvPr>
        <xdr:cNvPicPr/>
      </xdr:nvPicPr>
      <xdr:blipFill>
        <a:blip r:embed="rId22"/>
        <a:stretch/>
      </xdr:blipFill>
      <xdr:spPr>
        <a:xfrm>
          <a:off x="156960" y="251784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145</xdr:row>
      <xdr:rowOff>104760</xdr:rowOff>
    </xdr:from>
    <xdr:to>
      <xdr:col>3</xdr:col>
      <xdr:colOff>95040</xdr:colOff>
      <xdr:row>148</xdr:row>
      <xdr:rowOff>75960</xdr:rowOff>
    </xdr:to>
    <xdr:sp>
      <xdr:nvSpPr>
        <xdr:cNvPr id="146" name="Retângulo: Cantos Arredondados 22"/>
        <xdr:cNvSpPr/>
      </xdr:nvSpPr>
      <xdr:spPr>
        <a:xfrm>
          <a:off x="150840" y="292035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145</xdr:row>
      <xdr:rowOff>127800</xdr:rowOff>
    </xdr:from>
    <xdr:to>
      <xdr:col>2</xdr:col>
      <xdr:colOff>141120</xdr:colOff>
      <xdr:row>146</xdr:row>
      <xdr:rowOff>221760</xdr:rowOff>
    </xdr:to>
    <xdr:pic>
      <xdr:nvPicPr>
        <xdr:cNvPr id="147" name="Gráfico 23" descr="Ajudar">
          <a:hlinkClick r:id="rId23"/>
        </xdr:cNvPr>
        <xdr:cNvPicPr/>
      </xdr:nvPicPr>
      <xdr:blipFill>
        <a:blip r:embed="rId24"/>
        <a:stretch/>
      </xdr:blipFill>
      <xdr:spPr>
        <a:xfrm>
          <a:off x="156960" y="292266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162</xdr:row>
      <xdr:rowOff>104760</xdr:rowOff>
    </xdr:from>
    <xdr:to>
      <xdr:col>3</xdr:col>
      <xdr:colOff>95040</xdr:colOff>
      <xdr:row>165</xdr:row>
      <xdr:rowOff>75960</xdr:rowOff>
    </xdr:to>
    <xdr:sp>
      <xdr:nvSpPr>
        <xdr:cNvPr id="148" name="Retângulo: Cantos Arredondados 24"/>
        <xdr:cNvSpPr/>
      </xdr:nvSpPr>
      <xdr:spPr>
        <a:xfrm>
          <a:off x="150840" y="3275640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162</xdr:row>
      <xdr:rowOff>127800</xdr:rowOff>
    </xdr:from>
    <xdr:to>
      <xdr:col>2</xdr:col>
      <xdr:colOff>141120</xdr:colOff>
      <xdr:row>163</xdr:row>
      <xdr:rowOff>221760</xdr:rowOff>
    </xdr:to>
    <xdr:pic>
      <xdr:nvPicPr>
        <xdr:cNvPr id="149" name="Gráfico 25" descr="Ajudar">
          <a:hlinkClick r:id="rId25"/>
        </xdr:cNvPr>
        <xdr:cNvPicPr/>
      </xdr:nvPicPr>
      <xdr:blipFill>
        <a:blip r:embed="rId26"/>
        <a:stretch/>
      </xdr:blipFill>
      <xdr:spPr>
        <a:xfrm>
          <a:off x="156960" y="32779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181</xdr:row>
      <xdr:rowOff>104760</xdr:rowOff>
    </xdr:from>
    <xdr:to>
      <xdr:col>3</xdr:col>
      <xdr:colOff>95040</xdr:colOff>
      <xdr:row>184</xdr:row>
      <xdr:rowOff>75960</xdr:rowOff>
    </xdr:to>
    <xdr:sp>
      <xdr:nvSpPr>
        <xdr:cNvPr id="150" name="Retângulo: Cantos Arredondados 26"/>
        <xdr:cNvSpPr/>
      </xdr:nvSpPr>
      <xdr:spPr>
        <a:xfrm>
          <a:off x="150840" y="368042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181</xdr:row>
      <xdr:rowOff>127800</xdr:rowOff>
    </xdr:from>
    <xdr:to>
      <xdr:col>2</xdr:col>
      <xdr:colOff>141120</xdr:colOff>
      <xdr:row>182</xdr:row>
      <xdr:rowOff>221400</xdr:rowOff>
    </xdr:to>
    <xdr:pic>
      <xdr:nvPicPr>
        <xdr:cNvPr id="151" name="Gráfico 27" descr="Ajudar">
          <a:hlinkClick r:id="rId27"/>
        </xdr:cNvPr>
        <xdr:cNvPicPr/>
      </xdr:nvPicPr>
      <xdr:blipFill>
        <a:blip r:embed="rId28"/>
        <a:stretch/>
      </xdr:blipFill>
      <xdr:spPr>
        <a:xfrm>
          <a:off x="156960" y="368272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200</xdr:row>
      <xdr:rowOff>104760</xdr:rowOff>
    </xdr:from>
    <xdr:to>
      <xdr:col>3</xdr:col>
      <xdr:colOff>95040</xdr:colOff>
      <xdr:row>203</xdr:row>
      <xdr:rowOff>75960</xdr:rowOff>
    </xdr:to>
    <xdr:sp>
      <xdr:nvSpPr>
        <xdr:cNvPr id="152" name="Retângulo: Cantos Arredondados 28"/>
        <xdr:cNvSpPr/>
      </xdr:nvSpPr>
      <xdr:spPr>
        <a:xfrm>
          <a:off x="150840" y="408524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 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200</xdr:row>
      <xdr:rowOff>127800</xdr:rowOff>
    </xdr:from>
    <xdr:to>
      <xdr:col>2</xdr:col>
      <xdr:colOff>141120</xdr:colOff>
      <xdr:row>201</xdr:row>
      <xdr:rowOff>221400</xdr:rowOff>
    </xdr:to>
    <xdr:pic>
      <xdr:nvPicPr>
        <xdr:cNvPr id="153" name="Gráfico 29" descr="Ajudar">
          <a:hlinkClick r:id="rId29"/>
        </xdr:cNvPr>
        <xdr:cNvPicPr/>
      </xdr:nvPicPr>
      <xdr:blipFill>
        <a:blip r:embed="rId30"/>
        <a:stretch/>
      </xdr:blipFill>
      <xdr:spPr>
        <a:xfrm>
          <a:off x="156960" y="408754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319680</xdr:colOff>
      <xdr:row>77</xdr:row>
      <xdr:rowOff>126720</xdr:rowOff>
    </xdr:from>
    <xdr:to>
      <xdr:col>2</xdr:col>
      <xdr:colOff>711360</xdr:colOff>
      <xdr:row>78</xdr:row>
      <xdr:rowOff>17640</xdr:rowOff>
    </xdr:to>
    <xdr:pic>
      <xdr:nvPicPr>
        <xdr:cNvPr id="154" name="Gráfico 30" descr="Dinheiro"/>
        <xdr:cNvPicPr/>
      </xdr:nvPicPr>
      <xdr:blipFill>
        <a:blip r:embed="rId31"/>
        <a:stretch/>
      </xdr:blipFill>
      <xdr:spPr>
        <a:xfrm flipH="1">
          <a:off x="581760" y="14956920"/>
          <a:ext cx="391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319680</xdr:colOff>
      <xdr:row>91</xdr:row>
      <xdr:rowOff>115920</xdr:rowOff>
    </xdr:from>
    <xdr:to>
      <xdr:col>2</xdr:col>
      <xdr:colOff>720360</xdr:colOff>
      <xdr:row>92</xdr:row>
      <xdr:rowOff>6480</xdr:rowOff>
    </xdr:to>
    <xdr:pic>
      <xdr:nvPicPr>
        <xdr:cNvPr id="155" name="Gráfico 31" descr="Dinheiro"/>
        <xdr:cNvPicPr/>
      </xdr:nvPicPr>
      <xdr:blipFill>
        <a:blip r:embed="rId32"/>
        <a:stretch/>
      </xdr:blipFill>
      <xdr:spPr>
        <a:xfrm flipH="1">
          <a:off x="581760" y="17736840"/>
          <a:ext cx="400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330840</xdr:colOff>
      <xdr:row>108</xdr:row>
      <xdr:rowOff>134280</xdr:rowOff>
    </xdr:from>
    <xdr:to>
      <xdr:col>2</xdr:col>
      <xdr:colOff>722880</xdr:colOff>
      <xdr:row>109</xdr:row>
      <xdr:rowOff>35640</xdr:rowOff>
    </xdr:to>
    <xdr:pic>
      <xdr:nvPicPr>
        <xdr:cNvPr id="156" name="Gráfico 32" descr="Moedas"/>
        <xdr:cNvPicPr/>
      </xdr:nvPicPr>
      <xdr:blipFill>
        <a:blip r:embed="rId33"/>
        <a:stretch/>
      </xdr:blipFill>
      <xdr:spPr>
        <a:xfrm flipH="1">
          <a:off x="592920" y="212889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285840</xdr:colOff>
      <xdr:row>127</xdr:row>
      <xdr:rowOff>149760</xdr:rowOff>
    </xdr:from>
    <xdr:to>
      <xdr:col>2</xdr:col>
      <xdr:colOff>677880</xdr:colOff>
      <xdr:row>128</xdr:row>
      <xdr:rowOff>51120</xdr:rowOff>
    </xdr:to>
    <xdr:pic>
      <xdr:nvPicPr>
        <xdr:cNvPr id="157" name="Gráfico 33" descr="Moedas"/>
        <xdr:cNvPicPr/>
      </xdr:nvPicPr>
      <xdr:blipFill>
        <a:blip r:embed="rId34"/>
        <a:stretch/>
      </xdr:blipFill>
      <xdr:spPr>
        <a:xfrm flipH="1">
          <a:off x="547920" y="2535264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288720</xdr:colOff>
      <xdr:row>146</xdr:row>
      <xdr:rowOff>152280</xdr:rowOff>
    </xdr:from>
    <xdr:to>
      <xdr:col>2</xdr:col>
      <xdr:colOff>680760</xdr:colOff>
      <xdr:row>147</xdr:row>
      <xdr:rowOff>54000</xdr:rowOff>
    </xdr:to>
    <xdr:pic>
      <xdr:nvPicPr>
        <xdr:cNvPr id="158" name="Gráfico 34" descr="Moedas"/>
        <xdr:cNvPicPr/>
      </xdr:nvPicPr>
      <xdr:blipFill>
        <a:blip r:embed="rId35"/>
        <a:stretch/>
      </xdr:blipFill>
      <xdr:spPr>
        <a:xfrm flipH="1">
          <a:off x="550800" y="294033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163</xdr:row>
      <xdr:rowOff>123120</xdr:rowOff>
    </xdr:from>
    <xdr:to>
      <xdr:col>2</xdr:col>
      <xdr:colOff>705240</xdr:colOff>
      <xdr:row>164</xdr:row>
      <xdr:rowOff>14040</xdr:rowOff>
    </xdr:to>
    <xdr:pic>
      <xdr:nvPicPr>
        <xdr:cNvPr id="159" name="Gráfico 35" descr="Sirene"/>
        <xdr:cNvPicPr/>
      </xdr:nvPicPr>
      <xdr:blipFill>
        <a:blip r:embed="rId36"/>
        <a:stretch/>
      </xdr:blipFill>
      <xdr:spPr>
        <a:xfrm>
          <a:off x="562680" y="3292704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182</xdr:row>
      <xdr:rowOff>107640</xdr:rowOff>
    </xdr:from>
    <xdr:to>
      <xdr:col>2</xdr:col>
      <xdr:colOff>705240</xdr:colOff>
      <xdr:row>183</xdr:row>
      <xdr:rowOff>2880</xdr:rowOff>
    </xdr:to>
    <xdr:pic>
      <xdr:nvPicPr>
        <xdr:cNvPr id="160" name="Gráfico 36" descr="Sirene"/>
        <xdr:cNvPicPr/>
      </xdr:nvPicPr>
      <xdr:blipFill>
        <a:blip r:embed="rId37"/>
        <a:stretch/>
      </xdr:blipFill>
      <xdr:spPr>
        <a:xfrm>
          <a:off x="562680" y="36959760"/>
          <a:ext cx="404640" cy="39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201</xdr:row>
      <xdr:rowOff>125640</xdr:rowOff>
    </xdr:from>
    <xdr:to>
      <xdr:col>2</xdr:col>
      <xdr:colOff>705240</xdr:colOff>
      <xdr:row>202</xdr:row>
      <xdr:rowOff>16560</xdr:rowOff>
    </xdr:to>
    <xdr:pic>
      <xdr:nvPicPr>
        <xdr:cNvPr id="161" name="Gráfico 37" descr="Sirene"/>
        <xdr:cNvPicPr/>
      </xdr:nvPicPr>
      <xdr:blipFill>
        <a:blip r:embed="rId38"/>
        <a:stretch/>
      </xdr:blipFill>
      <xdr:spPr>
        <a:xfrm>
          <a:off x="562680" y="4102596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190440</xdr:colOff>
      <xdr:row>1</xdr:row>
      <xdr:rowOff>141120</xdr:rowOff>
    </xdr:from>
    <xdr:to>
      <xdr:col>32</xdr:col>
      <xdr:colOff>138960</xdr:colOff>
      <xdr:row>3</xdr:row>
      <xdr:rowOff>54360</xdr:rowOff>
    </xdr:to>
    <xdr:pic>
      <xdr:nvPicPr>
        <xdr:cNvPr id="162" name="Gráfico 38" descr="Virar calendário">
          <a:hlinkClick r:id="rId39"/>
        </xdr:cNvPr>
        <xdr:cNvPicPr/>
      </xdr:nvPicPr>
      <xdr:blipFill>
        <a:blip r:embed="rId40"/>
        <a:stretch/>
      </xdr:blipFill>
      <xdr:spPr>
        <a:xfrm>
          <a:off x="13463640" y="141120"/>
          <a:ext cx="341640" cy="341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26</xdr:col>
      <xdr:colOff>324720</xdr:colOff>
      <xdr:row>2</xdr:row>
      <xdr:rowOff>174600</xdr:rowOff>
    </xdr:from>
    <xdr:to>
      <xdr:col>28</xdr:col>
      <xdr:colOff>22320</xdr:colOff>
      <xdr:row>2</xdr:row>
      <xdr:rowOff>174600</xdr:rowOff>
    </xdr:to>
    <xdr:sp>
      <xdr:nvSpPr>
        <xdr:cNvPr id="163" name="Conector reto 39"/>
        <xdr:cNvSpPr/>
      </xdr:nvSpPr>
      <xdr:spPr>
        <a:xfrm>
          <a:off x="11632680" y="374400"/>
          <a:ext cx="48384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29</xdr:col>
      <xdr:colOff>331560</xdr:colOff>
      <xdr:row>2</xdr:row>
      <xdr:rowOff>174600</xdr:rowOff>
    </xdr:from>
    <xdr:to>
      <xdr:col>31</xdr:col>
      <xdr:colOff>28800</xdr:colOff>
      <xdr:row>2</xdr:row>
      <xdr:rowOff>174600</xdr:rowOff>
    </xdr:to>
    <xdr:sp>
      <xdr:nvSpPr>
        <xdr:cNvPr id="164" name="Conector reto 40"/>
        <xdr:cNvSpPr/>
      </xdr:nvSpPr>
      <xdr:spPr>
        <a:xfrm>
          <a:off x="12818520" y="374400"/>
          <a:ext cx="48348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142200</xdr:colOff>
      <xdr:row>8</xdr:row>
      <xdr:rowOff>121680</xdr:rowOff>
    </xdr:from>
    <xdr:to>
      <xdr:col>2</xdr:col>
      <xdr:colOff>129960</xdr:colOff>
      <xdr:row>9</xdr:row>
      <xdr:rowOff>215280</xdr:rowOff>
    </xdr:to>
    <xdr:pic>
      <xdr:nvPicPr>
        <xdr:cNvPr id="165" name="Gráfico 42" descr="Ajudar">
          <a:hlinkClick r:id="rId41"/>
        </xdr:cNvPr>
        <xdr:cNvPicPr/>
      </xdr:nvPicPr>
      <xdr:blipFill>
        <a:blip r:embed="rId42"/>
        <a:stretch/>
      </xdr:blipFill>
      <xdr:spPr>
        <a:xfrm>
          <a:off x="142200" y="140724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185760</xdr:colOff>
      <xdr:row>2</xdr:row>
      <xdr:rowOff>134640</xdr:rowOff>
    </xdr:from>
    <xdr:to>
      <xdr:col>35</xdr:col>
      <xdr:colOff>614880</xdr:colOff>
      <xdr:row>4</xdr:row>
      <xdr:rowOff>101520</xdr:rowOff>
    </xdr:to>
    <xdr:pic>
      <xdr:nvPicPr>
        <xdr:cNvPr id="166" name="Gráfico 43" descr="Seta Reta">
          <a:hlinkClick r:id="rId43"/>
        </xdr:cNvPr>
        <xdr:cNvPicPr/>
      </xdr:nvPicPr>
      <xdr:blipFill>
        <a:blip r:embed="rId44"/>
        <a:stretch/>
      </xdr:blipFill>
      <xdr:spPr>
        <a:xfrm rot="10800000">
          <a:off x="14245200" y="334080"/>
          <a:ext cx="42912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156960</xdr:colOff>
      <xdr:row>1</xdr:row>
      <xdr:rowOff>56160</xdr:rowOff>
    </xdr:from>
    <xdr:to>
      <xdr:col>35</xdr:col>
      <xdr:colOff>583200</xdr:colOff>
      <xdr:row>3</xdr:row>
      <xdr:rowOff>51840</xdr:rowOff>
    </xdr:to>
    <xdr:pic>
      <xdr:nvPicPr>
        <xdr:cNvPr id="167" name="Gráfico 44" descr="Seta Reta">
          <a:hlinkClick r:id="rId45"/>
        </xdr:cNvPr>
        <xdr:cNvPicPr/>
      </xdr:nvPicPr>
      <xdr:blipFill>
        <a:blip r:embed="rId46"/>
        <a:stretch/>
      </xdr:blipFill>
      <xdr:spPr>
        <a:xfrm>
          <a:off x="14216400" y="56160"/>
          <a:ext cx="42624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35</xdr:col>
      <xdr:colOff>0</xdr:colOff>
      <xdr:row>5</xdr:row>
      <xdr:rowOff>0</xdr:rowOff>
    </xdr:from>
    <xdr:to>
      <xdr:col>35</xdr:col>
      <xdr:colOff>548640</xdr:colOff>
      <xdr:row>6</xdr:row>
      <xdr:rowOff>10800</xdr:rowOff>
    </xdr:to>
    <xdr:sp>
      <xdr:nvSpPr>
        <xdr:cNvPr id="168" name="Balão de Fala: Retângulo com Cantos Arredondados 47"/>
        <xdr:cNvSpPr/>
      </xdr:nvSpPr>
      <xdr:spPr>
        <a:xfrm>
          <a:off x="14059440" y="799920"/>
          <a:ext cx="548640" cy="182160"/>
        </a:xfrm>
        <a:prstGeom prst="wedgeRoundRectCallout">
          <a:avLst>
            <a:gd name="adj1" fmla="val -18889"/>
            <a:gd name="adj2" fmla="val 13747"/>
            <a:gd name="adj3" fmla="val 16667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28800" bIns="36000" anchor="ctr">
          <a:noAutofit/>
        </a:bodyPr>
        <a:p>
          <a:pPr algn="ctr">
            <a:lnSpc>
              <a:spcPct val="100000"/>
            </a:lnSpc>
          </a:pPr>
          <a:r>
            <a:rPr b="0" lang="en-GB" sz="900" spc="-1" strike="noStrike">
              <a:solidFill>
                <a:srgbClr val="ffffff"/>
              </a:solidFill>
              <a:latin typeface="Calibri"/>
            </a:rPr>
            <a:t>DIAS</a:t>
          </a:r>
          <a:endParaRPr b="0" lang="pt-BR" sz="9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2880</xdr:colOff>
      <xdr:row>54</xdr:row>
      <xdr:rowOff>78480</xdr:rowOff>
    </xdr:from>
    <xdr:to>
      <xdr:col>3</xdr:col>
      <xdr:colOff>99360</xdr:colOff>
      <xdr:row>57</xdr:row>
      <xdr:rowOff>64440</xdr:rowOff>
    </xdr:to>
    <xdr:sp>
      <xdr:nvSpPr>
        <xdr:cNvPr id="169" name="Retângulo: Cantos Arredondados 1"/>
        <xdr:cNvSpPr/>
      </xdr:nvSpPr>
      <xdr:spPr>
        <a:xfrm>
          <a:off x="153720" y="10212840"/>
          <a:ext cx="2274120" cy="78624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8</xdr:row>
      <xdr:rowOff>104760</xdr:rowOff>
    </xdr:from>
    <xdr:to>
      <xdr:col>3</xdr:col>
      <xdr:colOff>77760</xdr:colOff>
      <xdr:row>11</xdr:row>
      <xdr:rowOff>75960</xdr:rowOff>
    </xdr:to>
    <xdr:sp>
      <xdr:nvSpPr>
        <xdr:cNvPr id="170" name="Retângulo: Cantos Arredondados 2"/>
        <xdr:cNvSpPr/>
      </xdr:nvSpPr>
      <xdr:spPr>
        <a:xfrm>
          <a:off x="132480" y="1390320"/>
          <a:ext cx="2273760" cy="79056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JUNTAR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DINHEIRO?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19</xdr:row>
      <xdr:rowOff>104760</xdr:rowOff>
    </xdr:from>
    <xdr:to>
      <xdr:col>3</xdr:col>
      <xdr:colOff>77760</xdr:colOff>
      <xdr:row>22</xdr:row>
      <xdr:rowOff>56880</xdr:rowOff>
    </xdr:to>
    <xdr:sp>
      <xdr:nvSpPr>
        <xdr:cNvPr id="171" name="Retângulo: Cantos Arredondados 3"/>
        <xdr:cNvSpPr/>
      </xdr:nvSpPr>
      <xdr:spPr>
        <a:xfrm>
          <a:off x="132480" y="3438360"/>
          <a:ext cx="2273760" cy="75204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GUARDAR E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INVESTIR?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282240</xdr:colOff>
      <xdr:row>20</xdr:row>
      <xdr:rowOff>118080</xdr:rowOff>
    </xdr:from>
    <xdr:to>
      <xdr:col>2</xdr:col>
      <xdr:colOff>681480</xdr:colOff>
      <xdr:row>21</xdr:row>
      <xdr:rowOff>8640</xdr:rowOff>
    </xdr:to>
    <xdr:pic>
      <xdr:nvPicPr>
        <xdr:cNvPr id="172" name="Gráfico 4" descr="Cofrinho"/>
        <xdr:cNvPicPr/>
      </xdr:nvPicPr>
      <xdr:blipFill>
        <a:blip r:embed="rId1"/>
        <a:stretch/>
      </xdr:blipFill>
      <xdr:spPr>
        <a:xfrm>
          <a:off x="544320" y="3603960"/>
          <a:ext cx="39924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284040</xdr:colOff>
      <xdr:row>9</xdr:row>
      <xdr:rowOff>151200</xdr:rowOff>
    </xdr:from>
    <xdr:to>
      <xdr:col>2</xdr:col>
      <xdr:colOff>680040</xdr:colOff>
      <xdr:row>10</xdr:row>
      <xdr:rowOff>42120</xdr:rowOff>
    </xdr:to>
    <xdr:pic>
      <xdr:nvPicPr>
        <xdr:cNvPr id="173" name="Gráfico 5" descr="Carteira"/>
        <xdr:cNvPicPr/>
      </xdr:nvPicPr>
      <xdr:blipFill>
        <a:blip r:embed="rId2"/>
        <a:stretch/>
      </xdr:blipFill>
      <xdr:spPr>
        <a:xfrm>
          <a:off x="546120" y="1589400"/>
          <a:ext cx="39600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0</xdr:col>
      <xdr:colOff>145800</xdr:colOff>
      <xdr:row>31</xdr:row>
      <xdr:rowOff>89640</xdr:rowOff>
    </xdr:from>
    <xdr:to>
      <xdr:col>3</xdr:col>
      <xdr:colOff>91440</xdr:colOff>
      <xdr:row>34</xdr:row>
      <xdr:rowOff>78480</xdr:rowOff>
    </xdr:to>
    <xdr:sp>
      <xdr:nvSpPr>
        <xdr:cNvPr id="174" name="Retângulo: Cantos Arredondados 6"/>
        <xdr:cNvSpPr/>
      </xdr:nvSpPr>
      <xdr:spPr>
        <a:xfrm>
          <a:off x="145800" y="5452200"/>
          <a:ext cx="2274120" cy="7887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315360</xdr:colOff>
      <xdr:row>32</xdr:row>
      <xdr:rowOff>144360</xdr:rowOff>
    </xdr:from>
    <xdr:to>
      <xdr:col>2</xdr:col>
      <xdr:colOff>709560</xdr:colOff>
      <xdr:row>33</xdr:row>
      <xdr:rowOff>35280</xdr:rowOff>
    </xdr:to>
    <xdr:pic>
      <xdr:nvPicPr>
        <xdr:cNvPr id="175" name="Gráfico 7" descr="Eletricista"/>
        <xdr:cNvPicPr/>
      </xdr:nvPicPr>
      <xdr:blipFill>
        <a:blip r:embed="rId3"/>
        <a:stretch/>
      </xdr:blipFill>
      <xdr:spPr>
        <a:xfrm>
          <a:off x="577440" y="5659200"/>
          <a:ext cx="39420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311760</xdr:colOff>
      <xdr:row>55</xdr:row>
      <xdr:rowOff>132120</xdr:rowOff>
    </xdr:from>
    <xdr:to>
      <xdr:col>2</xdr:col>
      <xdr:colOff>713160</xdr:colOff>
      <xdr:row>56</xdr:row>
      <xdr:rowOff>23040</xdr:rowOff>
    </xdr:to>
    <xdr:pic>
      <xdr:nvPicPr>
        <xdr:cNvPr id="176" name="Gráfico 8" descr="Artista"/>
        <xdr:cNvPicPr/>
      </xdr:nvPicPr>
      <xdr:blipFill>
        <a:blip r:embed="rId4"/>
        <a:stretch/>
      </xdr:blipFill>
      <xdr:spPr>
        <a:xfrm>
          <a:off x="573840" y="10419120"/>
          <a:ext cx="401400" cy="395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76</xdr:row>
      <xdr:rowOff>104760</xdr:rowOff>
    </xdr:from>
    <xdr:to>
      <xdr:col>3</xdr:col>
      <xdr:colOff>95040</xdr:colOff>
      <xdr:row>79</xdr:row>
      <xdr:rowOff>75960</xdr:rowOff>
    </xdr:to>
    <xdr:sp>
      <xdr:nvSpPr>
        <xdr:cNvPr id="177" name="Retângulo: Cantos Arredondados 9"/>
        <xdr:cNvSpPr/>
      </xdr:nvSpPr>
      <xdr:spPr>
        <a:xfrm>
          <a:off x="150840" y="1478268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28</xdr:col>
      <xdr:colOff>211680</xdr:colOff>
      <xdr:row>1</xdr:row>
      <xdr:rowOff>166320</xdr:rowOff>
    </xdr:from>
    <xdr:to>
      <xdr:col>29</xdr:col>
      <xdr:colOff>128880</xdr:colOff>
      <xdr:row>3</xdr:row>
      <xdr:rowOff>47520</xdr:rowOff>
    </xdr:to>
    <xdr:pic>
      <xdr:nvPicPr>
        <xdr:cNvPr id="178" name="Gráfico 10" descr="Impressão digital">
          <a:hlinkClick r:id="rId5"/>
        </xdr:cNvPr>
        <xdr:cNvPicPr/>
      </xdr:nvPicPr>
      <xdr:blipFill>
        <a:blip r:embed="rId6"/>
        <a:stretch/>
      </xdr:blipFill>
      <xdr:spPr>
        <a:xfrm>
          <a:off x="12305880" y="166320"/>
          <a:ext cx="309960" cy="30960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25</xdr:col>
      <xdr:colOff>188640</xdr:colOff>
      <xdr:row>1</xdr:row>
      <xdr:rowOff>129960</xdr:rowOff>
    </xdr:from>
    <xdr:to>
      <xdr:col>26</xdr:col>
      <xdr:colOff>164160</xdr:colOff>
      <xdr:row>3</xdr:row>
      <xdr:rowOff>65880</xdr:rowOff>
    </xdr:to>
    <xdr:pic>
      <xdr:nvPicPr>
        <xdr:cNvPr id="179" name="Gráfico 11" descr="Trancar">
          <a:hlinkClick r:id="rId7"/>
        </xdr:cNvPr>
        <xdr:cNvPicPr/>
      </xdr:nvPicPr>
      <xdr:blipFill>
        <a:blip r:embed="rId8"/>
        <a:stretch/>
      </xdr:blipFill>
      <xdr:spPr>
        <a:xfrm>
          <a:off x="11103480" y="129960"/>
          <a:ext cx="368640" cy="36432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</xdr:colOff>
      <xdr:row>19</xdr:row>
      <xdr:rowOff>126360</xdr:rowOff>
    </xdr:from>
    <xdr:to>
      <xdr:col>2</xdr:col>
      <xdr:colOff>139680</xdr:colOff>
      <xdr:row>20</xdr:row>
      <xdr:rowOff>220320</xdr:rowOff>
    </xdr:to>
    <xdr:pic>
      <xdr:nvPicPr>
        <xdr:cNvPr id="180" name="Gráfico 12" descr="Ajudar">
          <a:hlinkClick r:id="rId9"/>
        </xdr:cNvPr>
        <xdr:cNvPicPr/>
      </xdr:nvPicPr>
      <xdr:blipFill>
        <a:blip r:embed="rId10"/>
        <a:stretch/>
      </xdr:blipFill>
      <xdr:spPr>
        <a:xfrm>
          <a:off x="151920" y="345996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15120</xdr:colOff>
      <xdr:row>31</xdr:row>
      <xdr:rowOff>114480</xdr:rowOff>
    </xdr:from>
    <xdr:to>
      <xdr:col>2</xdr:col>
      <xdr:colOff>150120</xdr:colOff>
      <xdr:row>32</xdr:row>
      <xdr:rowOff>208440</xdr:rowOff>
    </xdr:to>
    <xdr:pic>
      <xdr:nvPicPr>
        <xdr:cNvPr id="181" name="Gráfico 13" descr="Ajudar">
          <a:hlinkClick r:id="rId11"/>
        </xdr:cNvPr>
        <xdr:cNvPicPr/>
      </xdr:nvPicPr>
      <xdr:blipFill>
        <a:blip r:embed="rId12"/>
        <a:stretch/>
      </xdr:blipFill>
      <xdr:spPr>
        <a:xfrm>
          <a:off x="165960" y="54770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10800</xdr:colOff>
      <xdr:row>54</xdr:row>
      <xdr:rowOff>98640</xdr:rowOff>
    </xdr:from>
    <xdr:to>
      <xdr:col>2</xdr:col>
      <xdr:colOff>145800</xdr:colOff>
      <xdr:row>55</xdr:row>
      <xdr:rowOff>192240</xdr:rowOff>
    </xdr:to>
    <xdr:pic>
      <xdr:nvPicPr>
        <xdr:cNvPr id="182" name="Gráfico 14" descr="Ajudar">
          <a:hlinkClick r:id="rId13"/>
        </xdr:cNvPr>
        <xdr:cNvPicPr/>
      </xdr:nvPicPr>
      <xdr:blipFill>
        <a:blip r:embed="rId14"/>
        <a:stretch/>
      </xdr:blipFill>
      <xdr:spPr>
        <a:xfrm>
          <a:off x="161640" y="102330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6120</xdr:colOff>
      <xdr:row>76</xdr:row>
      <xdr:rowOff>127800</xdr:rowOff>
    </xdr:from>
    <xdr:to>
      <xdr:col>2</xdr:col>
      <xdr:colOff>141120</xdr:colOff>
      <xdr:row>77</xdr:row>
      <xdr:rowOff>221760</xdr:rowOff>
    </xdr:to>
    <xdr:pic>
      <xdr:nvPicPr>
        <xdr:cNvPr id="183" name="Gráfico 15" descr="Ajudar">
          <a:hlinkClick r:id="rId15"/>
        </xdr:cNvPr>
        <xdr:cNvPicPr/>
      </xdr:nvPicPr>
      <xdr:blipFill>
        <a:blip r:embed="rId16"/>
        <a:stretch/>
      </xdr:blipFill>
      <xdr:spPr>
        <a:xfrm>
          <a:off x="156960" y="1480572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90</xdr:row>
      <xdr:rowOff>104760</xdr:rowOff>
    </xdr:from>
    <xdr:to>
      <xdr:col>3</xdr:col>
      <xdr:colOff>95040</xdr:colOff>
      <xdr:row>93</xdr:row>
      <xdr:rowOff>75960</xdr:rowOff>
    </xdr:to>
    <xdr:sp>
      <xdr:nvSpPr>
        <xdr:cNvPr id="184" name="Retângulo: Cantos Arredondados 16"/>
        <xdr:cNvSpPr/>
      </xdr:nvSpPr>
      <xdr:spPr>
        <a:xfrm>
          <a:off x="150840" y="1757340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90</xdr:row>
      <xdr:rowOff>127800</xdr:rowOff>
    </xdr:from>
    <xdr:to>
      <xdr:col>2</xdr:col>
      <xdr:colOff>141120</xdr:colOff>
      <xdr:row>91</xdr:row>
      <xdr:rowOff>221760</xdr:rowOff>
    </xdr:to>
    <xdr:pic>
      <xdr:nvPicPr>
        <xdr:cNvPr id="185" name="Gráfico 17" descr="Ajudar">
          <a:hlinkClick r:id="rId17"/>
        </xdr:cNvPr>
        <xdr:cNvPicPr/>
      </xdr:nvPicPr>
      <xdr:blipFill>
        <a:blip r:embed="rId18"/>
        <a:stretch/>
      </xdr:blipFill>
      <xdr:spPr>
        <a:xfrm>
          <a:off x="156960" y="17596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107</xdr:row>
      <xdr:rowOff>104760</xdr:rowOff>
    </xdr:from>
    <xdr:to>
      <xdr:col>3</xdr:col>
      <xdr:colOff>95040</xdr:colOff>
      <xdr:row>110</xdr:row>
      <xdr:rowOff>75960</xdr:rowOff>
    </xdr:to>
    <xdr:sp>
      <xdr:nvSpPr>
        <xdr:cNvPr id="186" name="Retângulo: Cantos Arredondados 18"/>
        <xdr:cNvSpPr/>
      </xdr:nvSpPr>
      <xdr:spPr>
        <a:xfrm>
          <a:off x="150840" y="2110716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107</xdr:row>
      <xdr:rowOff>127800</xdr:rowOff>
    </xdr:from>
    <xdr:to>
      <xdr:col>2</xdr:col>
      <xdr:colOff>141120</xdr:colOff>
      <xdr:row>108</xdr:row>
      <xdr:rowOff>221760</xdr:rowOff>
    </xdr:to>
    <xdr:pic>
      <xdr:nvPicPr>
        <xdr:cNvPr id="187" name="Gráfico 19" descr="Ajudar">
          <a:hlinkClick r:id="rId19"/>
        </xdr:cNvPr>
        <xdr:cNvPicPr/>
      </xdr:nvPicPr>
      <xdr:blipFill>
        <a:blip r:embed="rId20"/>
        <a:stretch/>
      </xdr:blipFill>
      <xdr:spPr>
        <a:xfrm>
          <a:off x="156960" y="211302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126</xdr:row>
      <xdr:rowOff>104760</xdr:rowOff>
    </xdr:from>
    <xdr:to>
      <xdr:col>3</xdr:col>
      <xdr:colOff>95040</xdr:colOff>
      <xdr:row>129</xdr:row>
      <xdr:rowOff>75960</xdr:rowOff>
    </xdr:to>
    <xdr:sp>
      <xdr:nvSpPr>
        <xdr:cNvPr id="188" name="Retângulo: Cantos Arredondados 20"/>
        <xdr:cNvSpPr/>
      </xdr:nvSpPr>
      <xdr:spPr>
        <a:xfrm>
          <a:off x="150840" y="251553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126</xdr:row>
      <xdr:rowOff>127800</xdr:rowOff>
    </xdr:from>
    <xdr:to>
      <xdr:col>2</xdr:col>
      <xdr:colOff>141120</xdr:colOff>
      <xdr:row>127</xdr:row>
      <xdr:rowOff>221760</xdr:rowOff>
    </xdr:to>
    <xdr:pic>
      <xdr:nvPicPr>
        <xdr:cNvPr id="189" name="Gráfico 21" descr="Ajudar">
          <a:hlinkClick r:id="rId21"/>
        </xdr:cNvPr>
        <xdr:cNvPicPr/>
      </xdr:nvPicPr>
      <xdr:blipFill>
        <a:blip r:embed="rId22"/>
        <a:stretch/>
      </xdr:blipFill>
      <xdr:spPr>
        <a:xfrm>
          <a:off x="156960" y="251784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145</xdr:row>
      <xdr:rowOff>104760</xdr:rowOff>
    </xdr:from>
    <xdr:to>
      <xdr:col>3</xdr:col>
      <xdr:colOff>95040</xdr:colOff>
      <xdr:row>148</xdr:row>
      <xdr:rowOff>75960</xdr:rowOff>
    </xdr:to>
    <xdr:sp>
      <xdr:nvSpPr>
        <xdr:cNvPr id="190" name="Retângulo: Cantos Arredondados 22"/>
        <xdr:cNvSpPr/>
      </xdr:nvSpPr>
      <xdr:spPr>
        <a:xfrm>
          <a:off x="150840" y="292035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145</xdr:row>
      <xdr:rowOff>127800</xdr:rowOff>
    </xdr:from>
    <xdr:to>
      <xdr:col>2</xdr:col>
      <xdr:colOff>141120</xdr:colOff>
      <xdr:row>146</xdr:row>
      <xdr:rowOff>221760</xdr:rowOff>
    </xdr:to>
    <xdr:pic>
      <xdr:nvPicPr>
        <xdr:cNvPr id="191" name="Gráfico 23" descr="Ajudar">
          <a:hlinkClick r:id="rId23"/>
        </xdr:cNvPr>
        <xdr:cNvPicPr/>
      </xdr:nvPicPr>
      <xdr:blipFill>
        <a:blip r:embed="rId24"/>
        <a:stretch/>
      </xdr:blipFill>
      <xdr:spPr>
        <a:xfrm>
          <a:off x="156960" y="292266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162</xdr:row>
      <xdr:rowOff>104760</xdr:rowOff>
    </xdr:from>
    <xdr:to>
      <xdr:col>3</xdr:col>
      <xdr:colOff>95040</xdr:colOff>
      <xdr:row>165</xdr:row>
      <xdr:rowOff>75960</xdr:rowOff>
    </xdr:to>
    <xdr:sp>
      <xdr:nvSpPr>
        <xdr:cNvPr id="192" name="Retângulo: Cantos Arredondados 24"/>
        <xdr:cNvSpPr/>
      </xdr:nvSpPr>
      <xdr:spPr>
        <a:xfrm>
          <a:off x="150840" y="3275640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162</xdr:row>
      <xdr:rowOff>127800</xdr:rowOff>
    </xdr:from>
    <xdr:to>
      <xdr:col>2</xdr:col>
      <xdr:colOff>141120</xdr:colOff>
      <xdr:row>163</xdr:row>
      <xdr:rowOff>221760</xdr:rowOff>
    </xdr:to>
    <xdr:pic>
      <xdr:nvPicPr>
        <xdr:cNvPr id="193" name="Gráfico 25" descr="Ajudar">
          <a:hlinkClick r:id="rId25"/>
        </xdr:cNvPr>
        <xdr:cNvPicPr/>
      </xdr:nvPicPr>
      <xdr:blipFill>
        <a:blip r:embed="rId26"/>
        <a:stretch/>
      </xdr:blipFill>
      <xdr:spPr>
        <a:xfrm>
          <a:off x="156960" y="32779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181</xdr:row>
      <xdr:rowOff>104760</xdr:rowOff>
    </xdr:from>
    <xdr:to>
      <xdr:col>3</xdr:col>
      <xdr:colOff>95040</xdr:colOff>
      <xdr:row>184</xdr:row>
      <xdr:rowOff>75960</xdr:rowOff>
    </xdr:to>
    <xdr:sp>
      <xdr:nvSpPr>
        <xdr:cNvPr id="194" name="Retângulo: Cantos Arredondados 26"/>
        <xdr:cNvSpPr/>
      </xdr:nvSpPr>
      <xdr:spPr>
        <a:xfrm>
          <a:off x="150840" y="368042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181</xdr:row>
      <xdr:rowOff>127800</xdr:rowOff>
    </xdr:from>
    <xdr:to>
      <xdr:col>2</xdr:col>
      <xdr:colOff>141120</xdr:colOff>
      <xdr:row>182</xdr:row>
      <xdr:rowOff>221400</xdr:rowOff>
    </xdr:to>
    <xdr:pic>
      <xdr:nvPicPr>
        <xdr:cNvPr id="195" name="Gráfico 27" descr="Ajudar">
          <a:hlinkClick r:id="rId27"/>
        </xdr:cNvPr>
        <xdr:cNvPicPr/>
      </xdr:nvPicPr>
      <xdr:blipFill>
        <a:blip r:embed="rId28"/>
        <a:stretch/>
      </xdr:blipFill>
      <xdr:spPr>
        <a:xfrm>
          <a:off x="156960" y="368272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200</xdr:row>
      <xdr:rowOff>104760</xdr:rowOff>
    </xdr:from>
    <xdr:to>
      <xdr:col>3</xdr:col>
      <xdr:colOff>95040</xdr:colOff>
      <xdr:row>203</xdr:row>
      <xdr:rowOff>75960</xdr:rowOff>
    </xdr:to>
    <xdr:sp>
      <xdr:nvSpPr>
        <xdr:cNvPr id="196" name="Retângulo: Cantos Arredondados 28"/>
        <xdr:cNvSpPr/>
      </xdr:nvSpPr>
      <xdr:spPr>
        <a:xfrm>
          <a:off x="150840" y="408524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 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200</xdr:row>
      <xdr:rowOff>127800</xdr:rowOff>
    </xdr:from>
    <xdr:to>
      <xdr:col>2</xdr:col>
      <xdr:colOff>141120</xdr:colOff>
      <xdr:row>201</xdr:row>
      <xdr:rowOff>221400</xdr:rowOff>
    </xdr:to>
    <xdr:pic>
      <xdr:nvPicPr>
        <xdr:cNvPr id="197" name="Gráfico 29" descr="Ajudar">
          <a:hlinkClick r:id="rId29"/>
        </xdr:cNvPr>
        <xdr:cNvPicPr/>
      </xdr:nvPicPr>
      <xdr:blipFill>
        <a:blip r:embed="rId30"/>
        <a:stretch/>
      </xdr:blipFill>
      <xdr:spPr>
        <a:xfrm>
          <a:off x="156960" y="408754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319680</xdr:colOff>
      <xdr:row>77</xdr:row>
      <xdr:rowOff>126720</xdr:rowOff>
    </xdr:from>
    <xdr:to>
      <xdr:col>2</xdr:col>
      <xdr:colOff>711360</xdr:colOff>
      <xdr:row>78</xdr:row>
      <xdr:rowOff>17640</xdr:rowOff>
    </xdr:to>
    <xdr:pic>
      <xdr:nvPicPr>
        <xdr:cNvPr id="198" name="Gráfico 30" descr="Dinheiro"/>
        <xdr:cNvPicPr/>
      </xdr:nvPicPr>
      <xdr:blipFill>
        <a:blip r:embed="rId31"/>
        <a:stretch/>
      </xdr:blipFill>
      <xdr:spPr>
        <a:xfrm flipH="1">
          <a:off x="581760" y="14956920"/>
          <a:ext cx="391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319680</xdr:colOff>
      <xdr:row>91</xdr:row>
      <xdr:rowOff>115920</xdr:rowOff>
    </xdr:from>
    <xdr:to>
      <xdr:col>2</xdr:col>
      <xdr:colOff>720360</xdr:colOff>
      <xdr:row>92</xdr:row>
      <xdr:rowOff>6480</xdr:rowOff>
    </xdr:to>
    <xdr:pic>
      <xdr:nvPicPr>
        <xdr:cNvPr id="199" name="Gráfico 31" descr="Dinheiro"/>
        <xdr:cNvPicPr/>
      </xdr:nvPicPr>
      <xdr:blipFill>
        <a:blip r:embed="rId32"/>
        <a:stretch/>
      </xdr:blipFill>
      <xdr:spPr>
        <a:xfrm flipH="1">
          <a:off x="581760" y="17736840"/>
          <a:ext cx="400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330840</xdr:colOff>
      <xdr:row>108</xdr:row>
      <xdr:rowOff>134280</xdr:rowOff>
    </xdr:from>
    <xdr:to>
      <xdr:col>2</xdr:col>
      <xdr:colOff>722880</xdr:colOff>
      <xdr:row>109</xdr:row>
      <xdr:rowOff>35640</xdr:rowOff>
    </xdr:to>
    <xdr:pic>
      <xdr:nvPicPr>
        <xdr:cNvPr id="200" name="Gráfico 32" descr="Moedas"/>
        <xdr:cNvPicPr/>
      </xdr:nvPicPr>
      <xdr:blipFill>
        <a:blip r:embed="rId33"/>
        <a:stretch/>
      </xdr:blipFill>
      <xdr:spPr>
        <a:xfrm flipH="1">
          <a:off x="592920" y="212889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285840</xdr:colOff>
      <xdr:row>127</xdr:row>
      <xdr:rowOff>149760</xdr:rowOff>
    </xdr:from>
    <xdr:to>
      <xdr:col>2</xdr:col>
      <xdr:colOff>677880</xdr:colOff>
      <xdr:row>128</xdr:row>
      <xdr:rowOff>51120</xdr:rowOff>
    </xdr:to>
    <xdr:pic>
      <xdr:nvPicPr>
        <xdr:cNvPr id="201" name="Gráfico 33" descr="Moedas"/>
        <xdr:cNvPicPr/>
      </xdr:nvPicPr>
      <xdr:blipFill>
        <a:blip r:embed="rId34"/>
        <a:stretch/>
      </xdr:blipFill>
      <xdr:spPr>
        <a:xfrm flipH="1">
          <a:off x="547920" y="2535264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288720</xdr:colOff>
      <xdr:row>146</xdr:row>
      <xdr:rowOff>152280</xdr:rowOff>
    </xdr:from>
    <xdr:to>
      <xdr:col>2</xdr:col>
      <xdr:colOff>680760</xdr:colOff>
      <xdr:row>147</xdr:row>
      <xdr:rowOff>54000</xdr:rowOff>
    </xdr:to>
    <xdr:pic>
      <xdr:nvPicPr>
        <xdr:cNvPr id="202" name="Gráfico 34" descr="Moedas"/>
        <xdr:cNvPicPr/>
      </xdr:nvPicPr>
      <xdr:blipFill>
        <a:blip r:embed="rId35"/>
        <a:stretch/>
      </xdr:blipFill>
      <xdr:spPr>
        <a:xfrm flipH="1">
          <a:off x="550800" y="294033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163</xdr:row>
      <xdr:rowOff>123120</xdr:rowOff>
    </xdr:from>
    <xdr:to>
      <xdr:col>2</xdr:col>
      <xdr:colOff>705240</xdr:colOff>
      <xdr:row>164</xdr:row>
      <xdr:rowOff>14040</xdr:rowOff>
    </xdr:to>
    <xdr:pic>
      <xdr:nvPicPr>
        <xdr:cNvPr id="203" name="Gráfico 35" descr="Sirene"/>
        <xdr:cNvPicPr/>
      </xdr:nvPicPr>
      <xdr:blipFill>
        <a:blip r:embed="rId36"/>
        <a:stretch/>
      </xdr:blipFill>
      <xdr:spPr>
        <a:xfrm>
          <a:off x="562680" y="3292704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182</xdr:row>
      <xdr:rowOff>107640</xdr:rowOff>
    </xdr:from>
    <xdr:to>
      <xdr:col>2</xdr:col>
      <xdr:colOff>705240</xdr:colOff>
      <xdr:row>183</xdr:row>
      <xdr:rowOff>2880</xdr:rowOff>
    </xdr:to>
    <xdr:pic>
      <xdr:nvPicPr>
        <xdr:cNvPr id="204" name="Gráfico 36" descr="Sirene"/>
        <xdr:cNvPicPr/>
      </xdr:nvPicPr>
      <xdr:blipFill>
        <a:blip r:embed="rId37"/>
        <a:stretch/>
      </xdr:blipFill>
      <xdr:spPr>
        <a:xfrm>
          <a:off x="562680" y="36959760"/>
          <a:ext cx="404640" cy="39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201</xdr:row>
      <xdr:rowOff>125640</xdr:rowOff>
    </xdr:from>
    <xdr:to>
      <xdr:col>2</xdr:col>
      <xdr:colOff>705240</xdr:colOff>
      <xdr:row>202</xdr:row>
      <xdr:rowOff>16560</xdr:rowOff>
    </xdr:to>
    <xdr:pic>
      <xdr:nvPicPr>
        <xdr:cNvPr id="205" name="Gráfico 37" descr="Sirene"/>
        <xdr:cNvPicPr/>
      </xdr:nvPicPr>
      <xdr:blipFill>
        <a:blip r:embed="rId38"/>
        <a:stretch/>
      </xdr:blipFill>
      <xdr:spPr>
        <a:xfrm>
          <a:off x="562680" y="4102596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190440</xdr:colOff>
      <xdr:row>1</xdr:row>
      <xdr:rowOff>141120</xdr:rowOff>
    </xdr:from>
    <xdr:to>
      <xdr:col>32</xdr:col>
      <xdr:colOff>138960</xdr:colOff>
      <xdr:row>3</xdr:row>
      <xdr:rowOff>54360</xdr:rowOff>
    </xdr:to>
    <xdr:pic>
      <xdr:nvPicPr>
        <xdr:cNvPr id="206" name="Gráfico 38" descr="Virar calendário">
          <a:hlinkClick r:id="rId39"/>
        </xdr:cNvPr>
        <xdr:cNvPicPr/>
      </xdr:nvPicPr>
      <xdr:blipFill>
        <a:blip r:embed="rId40"/>
        <a:stretch/>
      </xdr:blipFill>
      <xdr:spPr>
        <a:xfrm>
          <a:off x="13463640" y="141120"/>
          <a:ext cx="341640" cy="341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26</xdr:col>
      <xdr:colOff>324720</xdr:colOff>
      <xdr:row>2</xdr:row>
      <xdr:rowOff>174600</xdr:rowOff>
    </xdr:from>
    <xdr:to>
      <xdr:col>28</xdr:col>
      <xdr:colOff>22320</xdr:colOff>
      <xdr:row>2</xdr:row>
      <xdr:rowOff>174600</xdr:rowOff>
    </xdr:to>
    <xdr:sp>
      <xdr:nvSpPr>
        <xdr:cNvPr id="207" name="Conector reto 39"/>
        <xdr:cNvSpPr/>
      </xdr:nvSpPr>
      <xdr:spPr>
        <a:xfrm>
          <a:off x="11632680" y="374400"/>
          <a:ext cx="48384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29</xdr:col>
      <xdr:colOff>331560</xdr:colOff>
      <xdr:row>2</xdr:row>
      <xdr:rowOff>174600</xdr:rowOff>
    </xdr:from>
    <xdr:to>
      <xdr:col>31</xdr:col>
      <xdr:colOff>28800</xdr:colOff>
      <xdr:row>2</xdr:row>
      <xdr:rowOff>174600</xdr:rowOff>
    </xdr:to>
    <xdr:sp>
      <xdr:nvSpPr>
        <xdr:cNvPr id="208" name="Conector reto 40"/>
        <xdr:cNvSpPr/>
      </xdr:nvSpPr>
      <xdr:spPr>
        <a:xfrm>
          <a:off x="12818520" y="374400"/>
          <a:ext cx="48348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142200</xdr:colOff>
      <xdr:row>8</xdr:row>
      <xdr:rowOff>121680</xdr:rowOff>
    </xdr:from>
    <xdr:to>
      <xdr:col>2</xdr:col>
      <xdr:colOff>129960</xdr:colOff>
      <xdr:row>9</xdr:row>
      <xdr:rowOff>215280</xdr:rowOff>
    </xdr:to>
    <xdr:pic>
      <xdr:nvPicPr>
        <xdr:cNvPr id="209" name="Gráfico 42" descr="Ajudar">
          <a:hlinkClick r:id="rId41"/>
        </xdr:cNvPr>
        <xdr:cNvPicPr/>
      </xdr:nvPicPr>
      <xdr:blipFill>
        <a:blip r:embed="rId42"/>
        <a:stretch/>
      </xdr:blipFill>
      <xdr:spPr>
        <a:xfrm>
          <a:off x="142200" y="140724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107280</xdr:colOff>
      <xdr:row>2</xdr:row>
      <xdr:rowOff>134640</xdr:rowOff>
    </xdr:from>
    <xdr:to>
      <xdr:col>35</xdr:col>
      <xdr:colOff>536400</xdr:colOff>
      <xdr:row>4</xdr:row>
      <xdr:rowOff>101520</xdr:rowOff>
    </xdr:to>
    <xdr:pic>
      <xdr:nvPicPr>
        <xdr:cNvPr id="210" name="Gráfico 43" descr="Seta Reta">
          <a:hlinkClick r:id="rId43"/>
        </xdr:cNvPr>
        <xdr:cNvPicPr/>
      </xdr:nvPicPr>
      <xdr:blipFill>
        <a:blip r:embed="rId44"/>
        <a:stretch/>
      </xdr:blipFill>
      <xdr:spPr>
        <a:xfrm rot="10800000">
          <a:off x="14952600" y="334080"/>
          <a:ext cx="42912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78480</xdr:colOff>
      <xdr:row>1</xdr:row>
      <xdr:rowOff>56160</xdr:rowOff>
    </xdr:from>
    <xdr:to>
      <xdr:col>35</xdr:col>
      <xdr:colOff>504720</xdr:colOff>
      <xdr:row>3</xdr:row>
      <xdr:rowOff>51840</xdr:rowOff>
    </xdr:to>
    <xdr:pic>
      <xdr:nvPicPr>
        <xdr:cNvPr id="211" name="Gráfico 44" descr="Seta Reta">
          <a:hlinkClick r:id="rId45"/>
        </xdr:cNvPr>
        <xdr:cNvPicPr/>
      </xdr:nvPicPr>
      <xdr:blipFill>
        <a:blip r:embed="rId46"/>
        <a:stretch/>
      </xdr:blipFill>
      <xdr:spPr>
        <a:xfrm>
          <a:off x="14923800" y="56160"/>
          <a:ext cx="42624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35</xdr:col>
      <xdr:colOff>0</xdr:colOff>
      <xdr:row>5</xdr:row>
      <xdr:rowOff>0</xdr:rowOff>
    </xdr:from>
    <xdr:to>
      <xdr:col>35</xdr:col>
      <xdr:colOff>548640</xdr:colOff>
      <xdr:row>6</xdr:row>
      <xdr:rowOff>10800</xdr:rowOff>
    </xdr:to>
    <xdr:sp>
      <xdr:nvSpPr>
        <xdr:cNvPr id="212" name="Balão de Fala: Retângulo com Cantos Arredondados 45"/>
        <xdr:cNvSpPr/>
      </xdr:nvSpPr>
      <xdr:spPr>
        <a:xfrm>
          <a:off x="14845320" y="799920"/>
          <a:ext cx="548640" cy="182160"/>
        </a:xfrm>
        <a:prstGeom prst="wedgeRoundRectCallout">
          <a:avLst>
            <a:gd name="adj1" fmla="val -18889"/>
            <a:gd name="adj2" fmla="val 13747"/>
            <a:gd name="adj3" fmla="val 16667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28800" bIns="36000" anchor="ctr">
          <a:noAutofit/>
        </a:bodyPr>
        <a:p>
          <a:pPr algn="ctr">
            <a:lnSpc>
              <a:spcPct val="100000"/>
            </a:lnSpc>
          </a:pPr>
          <a:r>
            <a:rPr b="0" lang="en-GB" sz="900" spc="-1" strike="noStrike">
              <a:solidFill>
                <a:srgbClr val="ffffff"/>
              </a:solidFill>
              <a:latin typeface="Calibri"/>
            </a:rPr>
            <a:t>DIAS</a:t>
          </a:r>
          <a:endParaRPr b="0" lang="pt-BR" sz="9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2880</xdr:colOff>
      <xdr:row>54</xdr:row>
      <xdr:rowOff>78480</xdr:rowOff>
    </xdr:from>
    <xdr:to>
      <xdr:col>3</xdr:col>
      <xdr:colOff>99360</xdr:colOff>
      <xdr:row>57</xdr:row>
      <xdr:rowOff>64440</xdr:rowOff>
    </xdr:to>
    <xdr:sp>
      <xdr:nvSpPr>
        <xdr:cNvPr id="213" name="Retângulo: Cantos Arredondados 1"/>
        <xdr:cNvSpPr/>
      </xdr:nvSpPr>
      <xdr:spPr>
        <a:xfrm>
          <a:off x="153720" y="10212840"/>
          <a:ext cx="2274120" cy="78624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8</xdr:row>
      <xdr:rowOff>104760</xdr:rowOff>
    </xdr:from>
    <xdr:to>
      <xdr:col>3</xdr:col>
      <xdr:colOff>77760</xdr:colOff>
      <xdr:row>11</xdr:row>
      <xdr:rowOff>75960</xdr:rowOff>
    </xdr:to>
    <xdr:sp>
      <xdr:nvSpPr>
        <xdr:cNvPr id="214" name="Retângulo: Cantos Arredondados 2"/>
        <xdr:cNvSpPr/>
      </xdr:nvSpPr>
      <xdr:spPr>
        <a:xfrm>
          <a:off x="132480" y="1390320"/>
          <a:ext cx="2273760" cy="79056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JUNTAR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DINHEIRO?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19</xdr:row>
      <xdr:rowOff>104760</xdr:rowOff>
    </xdr:from>
    <xdr:to>
      <xdr:col>3</xdr:col>
      <xdr:colOff>77760</xdr:colOff>
      <xdr:row>22</xdr:row>
      <xdr:rowOff>56880</xdr:rowOff>
    </xdr:to>
    <xdr:sp>
      <xdr:nvSpPr>
        <xdr:cNvPr id="215" name="Retângulo: Cantos Arredondados 3"/>
        <xdr:cNvSpPr/>
      </xdr:nvSpPr>
      <xdr:spPr>
        <a:xfrm>
          <a:off x="132480" y="3438360"/>
          <a:ext cx="2273760" cy="75204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GUARDAR E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INVESTIR?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282240</xdr:colOff>
      <xdr:row>20</xdr:row>
      <xdr:rowOff>118080</xdr:rowOff>
    </xdr:from>
    <xdr:to>
      <xdr:col>2</xdr:col>
      <xdr:colOff>681480</xdr:colOff>
      <xdr:row>21</xdr:row>
      <xdr:rowOff>8640</xdr:rowOff>
    </xdr:to>
    <xdr:pic>
      <xdr:nvPicPr>
        <xdr:cNvPr id="216" name="Gráfico 4" descr="Cofrinho"/>
        <xdr:cNvPicPr/>
      </xdr:nvPicPr>
      <xdr:blipFill>
        <a:blip r:embed="rId1"/>
        <a:stretch/>
      </xdr:blipFill>
      <xdr:spPr>
        <a:xfrm>
          <a:off x="544320" y="3603960"/>
          <a:ext cx="39924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284040</xdr:colOff>
      <xdr:row>9</xdr:row>
      <xdr:rowOff>151200</xdr:rowOff>
    </xdr:from>
    <xdr:to>
      <xdr:col>2</xdr:col>
      <xdr:colOff>680040</xdr:colOff>
      <xdr:row>10</xdr:row>
      <xdr:rowOff>42120</xdr:rowOff>
    </xdr:to>
    <xdr:pic>
      <xdr:nvPicPr>
        <xdr:cNvPr id="217" name="Gráfico 5" descr="Carteira"/>
        <xdr:cNvPicPr/>
      </xdr:nvPicPr>
      <xdr:blipFill>
        <a:blip r:embed="rId2"/>
        <a:stretch/>
      </xdr:blipFill>
      <xdr:spPr>
        <a:xfrm>
          <a:off x="546120" y="1589400"/>
          <a:ext cx="39600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0</xdr:col>
      <xdr:colOff>145800</xdr:colOff>
      <xdr:row>31</xdr:row>
      <xdr:rowOff>89640</xdr:rowOff>
    </xdr:from>
    <xdr:to>
      <xdr:col>3</xdr:col>
      <xdr:colOff>91440</xdr:colOff>
      <xdr:row>34</xdr:row>
      <xdr:rowOff>78480</xdr:rowOff>
    </xdr:to>
    <xdr:sp>
      <xdr:nvSpPr>
        <xdr:cNvPr id="218" name="Retângulo: Cantos Arredondados 6"/>
        <xdr:cNvSpPr/>
      </xdr:nvSpPr>
      <xdr:spPr>
        <a:xfrm>
          <a:off x="145800" y="5452200"/>
          <a:ext cx="2274120" cy="7887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315360</xdr:colOff>
      <xdr:row>32</xdr:row>
      <xdr:rowOff>144360</xdr:rowOff>
    </xdr:from>
    <xdr:to>
      <xdr:col>2</xdr:col>
      <xdr:colOff>709560</xdr:colOff>
      <xdr:row>33</xdr:row>
      <xdr:rowOff>35280</xdr:rowOff>
    </xdr:to>
    <xdr:pic>
      <xdr:nvPicPr>
        <xdr:cNvPr id="219" name="Gráfico 7" descr="Eletricista"/>
        <xdr:cNvPicPr/>
      </xdr:nvPicPr>
      <xdr:blipFill>
        <a:blip r:embed="rId3"/>
        <a:stretch/>
      </xdr:blipFill>
      <xdr:spPr>
        <a:xfrm>
          <a:off x="577440" y="5659200"/>
          <a:ext cx="39420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311760</xdr:colOff>
      <xdr:row>55</xdr:row>
      <xdr:rowOff>132120</xdr:rowOff>
    </xdr:from>
    <xdr:to>
      <xdr:col>2</xdr:col>
      <xdr:colOff>713160</xdr:colOff>
      <xdr:row>56</xdr:row>
      <xdr:rowOff>23040</xdr:rowOff>
    </xdr:to>
    <xdr:pic>
      <xdr:nvPicPr>
        <xdr:cNvPr id="220" name="Gráfico 8" descr="Artista"/>
        <xdr:cNvPicPr/>
      </xdr:nvPicPr>
      <xdr:blipFill>
        <a:blip r:embed="rId4"/>
        <a:stretch/>
      </xdr:blipFill>
      <xdr:spPr>
        <a:xfrm>
          <a:off x="573840" y="10419120"/>
          <a:ext cx="401400" cy="395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76</xdr:row>
      <xdr:rowOff>104760</xdr:rowOff>
    </xdr:from>
    <xdr:to>
      <xdr:col>3</xdr:col>
      <xdr:colOff>95040</xdr:colOff>
      <xdr:row>79</xdr:row>
      <xdr:rowOff>75960</xdr:rowOff>
    </xdr:to>
    <xdr:sp>
      <xdr:nvSpPr>
        <xdr:cNvPr id="221" name="Retângulo: Cantos Arredondados 9"/>
        <xdr:cNvSpPr/>
      </xdr:nvSpPr>
      <xdr:spPr>
        <a:xfrm>
          <a:off x="150840" y="1478268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28</xdr:col>
      <xdr:colOff>211680</xdr:colOff>
      <xdr:row>1</xdr:row>
      <xdr:rowOff>166320</xdr:rowOff>
    </xdr:from>
    <xdr:to>
      <xdr:col>29</xdr:col>
      <xdr:colOff>128880</xdr:colOff>
      <xdr:row>3</xdr:row>
      <xdr:rowOff>47520</xdr:rowOff>
    </xdr:to>
    <xdr:pic>
      <xdr:nvPicPr>
        <xdr:cNvPr id="222" name="Gráfico 10" descr="Impressão digital">
          <a:hlinkClick r:id="rId5"/>
        </xdr:cNvPr>
        <xdr:cNvPicPr/>
      </xdr:nvPicPr>
      <xdr:blipFill>
        <a:blip r:embed="rId6"/>
        <a:stretch/>
      </xdr:blipFill>
      <xdr:spPr>
        <a:xfrm>
          <a:off x="12305880" y="166320"/>
          <a:ext cx="309960" cy="30960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25</xdr:col>
      <xdr:colOff>188640</xdr:colOff>
      <xdr:row>1</xdr:row>
      <xdr:rowOff>129960</xdr:rowOff>
    </xdr:from>
    <xdr:to>
      <xdr:col>26</xdr:col>
      <xdr:colOff>164160</xdr:colOff>
      <xdr:row>3</xdr:row>
      <xdr:rowOff>65880</xdr:rowOff>
    </xdr:to>
    <xdr:pic>
      <xdr:nvPicPr>
        <xdr:cNvPr id="223" name="Gráfico 11" descr="Trancar">
          <a:hlinkClick r:id="rId7"/>
        </xdr:cNvPr>
        <xdr:cNvPicPr/>
      </xdr:nvPicPr>
      <xdr:blipFill>
        <a:blip r:embed="rId8"/>
        <a:stretch/>
      </xdr:blipFill>
      <xdr:spPr>
        <a:xfrm>
          <a:off x="11103480" y="129960"/>
          <a:ext cx="368640" cy="36432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</xdr:colOff>
      <xdr:row>19</xdr:row>
      <xdr:rowOff>126360</xdr:rowOff>
    </xdr:from>
    <xdr:to>
      <xdr:col>2</xdr:col>
      <xdr:colOff>139680</xdr:colOff>
      <xdr:row>20</xdr:row>
      <xdr:rowOff>220320</xdr:rowOff>
    </xdr:to>
    <xdr:pic>
      <xdr:nvPicPr>
        <xdr:cNvPr id="224" name="Gráfico 12" descr="Ajudar">
          <a:hlinkClick r:id="rId9"/>
        </xdr:cNvPr>
        <xdr:cNvPicPr/>
      </xdr:nvPicPr>
      <xdr:blipFill>
        <a:blip r:embed="rId10"/>
        <a:stretch/>
      </xdr:blipFill>
      <xdr:spPr>
        <a:xfrm>
          <a:off x="151920" y="345996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15120</xdr:colOff>
      <xdr:row>31</xdr:row>
      <xdr:rowOff>114480</xdr:rowOff>
    </xdr:from>
    <xdr:to>
      <xdr:col>2</xdr:col>
      <xdr:colOff>150120</xdr:colOff>
      <xdr:row>32</xdr:row>
      <xdr:rowOff>208440</xdr:rowOff>
    </xdr:to>
    <xdr:pic>
      <xdr:nvPicPr>
        <xdr:cNvPr id="225" name="Gráfico 13" descr="Ajudar">
          <a:hlinkClick r:id="rId11"/>
        </xdr:cNvPr>
        <xdr:cNvPicPr/>
      </xdr:nvPicPr>
      <xdr:blipFill>
        <a:blip r:embed="rId12"/>
        <a:stretch/>
      </xdr:blipFill>
      <xdr:spPr>
        <a:xfrm>
          <a:off x="165960" y="54770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10800</xdr:colOff>
      <xdr:row>54</xdr:row>
      <xdr:rowOff>98640</xdr:rowOff>
    </xdr:from>
    <xdr:to>
      <xdr:col>2</xdr:col>
      <xdr:colOff>145800</xdr:colOff>
      <xdr:row>55</xdr:row>
      <xdr:rowOff>192240</xdr:rowOff>
    </xdr:to>
    <xdr:pic>
      <xdr:nvPicPr>
        <xdr:cNvPr id="226" name="Gráfico 14" descr="Ajudar">
          <a:hlinkClick r:id="rId13"/>
        </xdr:cNvPr>
        <xdr:cNvPicPr/>
      </xdr:nvPicPr>
      <xdr:blipFill>
        <a:blip r:embed="rId14"/>
        <a:stretch/>
      </xdr:blipFill>
      <xdr:spPr>
        <a:xfrm>
          <a:off x="161640" y="102330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6120</xdr:colOff>
      <xdr:row>76</xdr:row>
      <xdr:rowOff>127800</xdr:rowOff>
    </xdr:from>
    <xdr:to>
      <xdr:col>2</xdr:col>
      <xdr:colOff>141120</xdr:colOff>
      <xdr:row>77</xdr:row>
      <xdr:rowOff>221760</xdr:rowOff>
    </xdr:to>
    <xdr:pic>
      <xdr:nvPicPr>
        <xdr:cNvPr id="227" name="Gráfico 15" descr="Ajudar">
          <a:hlinkClick r:id="rId15"/>
        </xdr:cNvPr>
        <xdr:cNvPicPr/>
      </xdr:nvPicPr>
      <xdr:blipFill>
        <a:blip r:embed="rId16"/>
        <a:stretch/>
      </xdr:blipFill>
      <xdr:spPr>
        <a:xfrm>
          <a:off x="156960" y="1480572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90</xdr:row>
      <xdr:rowOff>104760</xdr:rowOff>
    </xdr:from>
    <xdr:to>
      <xdr:col>3</xdr:col>
      <xdr:colOff>95040</xdr:colOff>
      <xdr:row>93</xdr:row>
      <xdr:rowOff>75960</xdr:rowOff>
    </xdr:to>
    <xdr:sp>
      <xdr:nvSpPr>
        <xdr:cNvPr id="228" name="Retângulo: Cantos Arredondados 16"/>
        <xdr:cNvSpPr/>
      </xdr:nvSpPr>
      <xdr:spPr>
        <a:xfrm>
          <a:off x="150840" y="1757340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90</xdr:row>
      <xdr:rowOff>127800</xdr:rowOff>
    </xdr:from>
    <xdr:to>
      <xdr:col>2</xdr:col>
      <xdr:colOff>141120</xdr:colOff>
      <xdr:row>91</xdr:row>
      <xdr:rowOff>221760</xdr:rowOff>
    </xdr:to>
    <xdr:pic>
      <xdr:nvPicPr>
        <xdr:cNvPr id="229" name="Gráfico 17" descr="Ajudar">
          <a:hlinkClick r:id="rId17"/>
        </xdr:cNvPr>
        <xdr:cNvPicPr/>
      </xdr:nvPicPr>
      <xdr:blipFill>
        <a:blip r:embed="rId18"/>
        <a:stretch/>
      </xdr:blipFill>
      <xdr:spPr>
        <a:xfrm>
          <a:off x="156960" y="17596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107</xdr:row>
      <xdr:rowOff>104760</xdr:rowOff>
    </xdr:from>
    <xdr:to>
      <xdr:col>3</xdr:col>
      <xdr:colOff>95040</xdr:colOff>
      <xdr:row>110</xdr:row>
      <xdr:rowOff>75960</xdr:rowOff>
    </xdr:to>
    <xdr:sp>
      <xdr:nvSpPr>
        <xdr:cNvPr id="230" name="Retângulo: Cantos Arredondados 18"/>
        <xdr:cNvSpPr/>
      </xdr:nvSpPr>
      <xdr:spPr>
        <a:xfrm>
          <a:off x="150840" y="2110716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107</xdr:row>
      <xdr:rowOff>127800</xdr:rowOff>
    </xdr:from>
    <xdr:to>
      <xdr:col>2</xdr:col>
      <xdr:colOff>141120</xdr:colOff>
      <xdr:row>108</xdr:row>
      <xdr:rowOff>221760</xdr:rowOff>
    </xdr:to>
    <xdr:pic>
      <xdr:nvPicPr>
        <xdr:cNvPr id="231" name="Gráfico 19" descr="Ajudar">
          <a:hlinkClick r:id="rId19"/>
        </xdr:cNvPr>
        <xdr:cNvPicPr/>
      </xdr:nvPicPr>
      <xdr:blipFill>
        <a:blip r:embed="rId20"/>
        <a:stretch/>
      </xdr:blipFill>
      <xdr:spPr>
        <a:xfrm>
          <a:off x="156960" y="211302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126</xdr:row>
      <xdr:rowOff>104760</xdr:rowOff>
    </xdr:from>
    <xdr:to>
      <xdr:col>3</xdr:col>
      <xdr:colOff>95040</xdr:colOff>
      <xdr:row>129</xdr:row>
      <xdr:rowOff>75960</xdr:rowOff>
    </xdr:to>
    <xdr:sp>
      <xdr:nvSpPr>
        <xdr:cNvPr id="232" name="Retângulo: Cantos Arredondados 20"/>
        <xdr:cNvSpPr/>
      </xdr:nvSpPr>
      <xdr:spPr>
        <a:xfrm>
          <a:off x="150840" y="251553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126</xdr:row>
      <xdr:rowOff>127800</xdr:rowOff>
    </xdr:from>
    <xdr:to>
      <xdr:col>2</xdr:col>
      <xdr:colOff>141120</xdr:colOff>
      <xdr:row>127</xdr:row>
      <xdr:rowOff>221760</xdr:rowOff>
    </xdr:to>
    <xdr:pic>
      <xdr:nvPicPr>
        <xdr:cNvPr id="233" name="Gráfico 21" descr="Ajudar">
          <a:hlinkClick r:id="rId21"/>
        </xdr:cNvPr>
        <xdr:cNvPicPr/>
      </xdr:nvPicPr>
      <xdr:blipFill>
        <a:blip r:embed="rId22"/>
        <a:stretch/>
      </xdr:blipFill>
      <xdr:spPr>
        <a:xfrm>
          <a:off x="156960" y="251784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145</xdr:row>
      <xdr:rowOff>104760</xdr:rowOff>
    </xdr:from>
    <xdr:to>
      <xdr:col>3</xdr:col>
      <xdr:colOff>95040</xdr:colOff>
      <xdr:row>148</xdr:row>
      <xdr:rowOff>75960</xdr:rowOff>
    </xdr:to>
    <xdr:sp>
      <xdr:nvSpPr>
        <xdr:cNvPr id="234" name="Retângulo: Cantos Arredondados 22"/>
        <xdr:cNvSpPr/>
      </xdr:nvSpPr>
      <xdr:spPr>
        <a:xfrm>
          <a:off x="150840" y="292035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145</xdr:row>
      <xdr:rowOff>127800</xdr:rowOff>
    </xdr:from>
    <xdr:to>
      <xdr:col>2</xdr:col>
      <xdr:colOff>141120</xdr:colOff>
      <xdr:row>146</xdr:row>
      <xdr:rowOff>221760</xdr:rowOff>
    </xdr:to>
    <xdr:pic>
      <xdr:nvPicPr>
        <xdr:cNvPr id="235" name="Gráfico 23" descr="Ajudar">
          <a:hlinkClick r:id="rId23"/>
        </xdr:cNvPr>
        <xdr:cNvPicPr/>
      </xdr:nvPicPr>
      <xdr:blipFill>
        <a:blip r:embed="rId24"/>
        <a:stretch/>
      </xdr:blipFill>
      <xdr:spPr>
        <a:xfrm>
          <a:off x="156960" y="292266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162</xdr:row>
      <xdr:rowOff>104760</xdr:rowOff>
    </xdr:from>
    <xdr:to>
      <xdr:col>3</xdr:col>
      <xdr:colOff>95040</xdr:colOff>
      <xdr:row>165</xdr:row>
      <xdr:rowOff>75960</xdr:rowOff>
    </xdr:to>
    <xdr:sp>
      <xdr:nvSpPr>
        <xdr:cNvPr id="236" name="Retângulo: Cantos Arredondados 24"/>
        <xdr:cNvSpPr/>
      </xdr:nvSpPr>
      <xdr:spPr>
        <a:xfrm>
          <a:off x="150840" y="3275640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162</xdr:row>
      <xdr:rowOff>127800</xdr:rowOff>
    </xdr:from>
    <xdr:to>
      <xdr:col>2</xdr:col>
      <xdr:colOff>141120</xdr:colOff>
      <xdr:row>163</xdr:row>
      <xdr:rowOff>221760</xdr:rowOff>
    </xdr:to>
    <xdr:pic>
      <xdr:nvPicPr>
        <xdr:cNvPr id="237" name="Gráfico 25" descr="Ajudar">
          <a:hlinkClick r:id="rId25"/>
        </xdr:cNvPr>
        <xdr:cNvPicPr/>
      </xdr:nvPicPr>
      <xdr:blipFill>
        <a:blip r:embed="rId26"/>
        <a:stretch/>
      </xdr:blipFill>
      <xdr:spPr>
        <a:xfrm>
          <a:off x="156960" y="32779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181</xdr:row>
      <xdr:rowOff>104760</xdr:rowOff>
    </xdr:from>
    <xdr:to>
      <xdr:col>3</xdr:col>
      <xdr:colOff>95040</xdr:colOff>
      <xdr:row>184</xdr:row>
      <xdr:rowOff>75960</xdr:rowOff>
    </xdr:to>
    <xdr:sp>
      <xdr:nvSpPr>
        <xdr:cNvPr id="238" name="Retângulo: Cantos Arredondados 26"/>
        <xdr:cNvSpPr/>
      </xdr:nvSpPr>
      <xdr:spPr>
        <a:xfrm>
          <a:off x="150840" y="368042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181</xdr:row>
      <xdr:rowOff>127800</xdr:rowOff>
    </xdr:from>
    <xdr:to>
      <xdr:col>2</xdr:col>
      <xdr:colOff>141120</xdr:colOff>
      <xdr:row>182</xdr:row>
      <xdr:rowOff>221400</xdr:rowOff>
    </xdr:to>
    <xdr:pic>
      <xdr:nvPicPr>
        <xdr:cNvPr id="239" name="Gráfico 27" descr="Ajudar">
          <a:hlinkClick r:id="rId27"/>
        </xdr:cNvPr>
        <xdr:cNvPicPr/>
      </xdr:nvPicPr>
      <xdr:blipFill>
        <a:blip r:embed="rId28"/>
        <a:stretch/>
      </xdr:blipFill>
      <xdr:spPr>
        <a:xfrm>
          <a:off x="156960" y="368272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200</xdr:row>
      <xdr:rowOff>104760</xdr:rowOff>
    </xdr:from>
    <xdr:to>
      <xdr:col>3</xdr:col>
      <xdr:colOff>95040</xdr:colOff>
      <xdr:row>203</xdr:row>
      <xdr:rowOff>75960</xdr:rowOff>
    </xdr:to>
    <xdr:sp>
      <xdr:nvSpPr>
        <xdr:cNvPr id="240" name="Retângulo: Cantos Arredondados 28"/>
        <xdr:cNvSpPr/>
      </xdr:nvSpPr>
      <xdr:spPr>
        <a:xfrm>
          <a:off x="150840" y="408524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 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200</xdr:row>
      <xdr:rowOff>127800</xdr:rowOff>
    </xdr:from>
    <xdr:to>
      <xdr:col>2</xdr:col>
      <xdr:colOff>141120</xdr:colOff>
      <xdr:row>201</xdr:row>
      <xdr:rowOff>221400</xdr:rowOff>
    </xdr:to>
    <xdr:pic>
      <xdr:nvPicPr>
        <xdr:cNvPr id="241" name="Gráfico 29" descr="Ajudar">
          <a:hlinkClick r:id="rId29"/>
        </xdr:cNvPr>
        <xdr:cNvPicPr/>
      </xdr:nvPicPr>
      <xdr:blipFill>
        <a:blip r:embed="rId30"/>
        <a:stretch/>
      </xdr:blipFill>
      <xdr:spPr>
        <a:xfrm>
          <a:off x="156960" y="408754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319680</xdr:colOff>
      <xdr:row>77</xdr:row>
      <xdr:rowOff>126720</xdr:rowOff>
    </xdr:from>
    <xdr:to>
      <xdr:col>2</xdr:col>
      <xdr:colOff>711360</xdr:colOff>
      <xdr:row>78</xdr:row>
      <xdr:rowOff>17640</xdr:rowOff>
    </xdr:to>
    <xdr:pic>
      <xdr:nvPicPr>
        <xdr:cNvPr id="242" name="Gráfico 30" descr="Dinheiro"/>
        <xdr:cNvPicPr/>
      </xdr:nvPicPr>
      <xdr:blipFill>
        <a:blip r:embed="rId31"/>
        <a:stretch/>
      </xdr:blipFill>
      <xdr:spPr>
        <a:xfrm flipH="1">
          <a:off x="581760" y="14956920"/>
          <a:ext cx="391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319680</xdr:colOff>
      <xdr:row>91</xdr:row>
      <xdr:rowOff>115920</xdr:rowOff>
    </xdr:from>
    <xdr:to>
      <xdr:col>2</xdr:col>
      <xdr:colOff>720360</xdr:colOff>
      <xdr:row>92</xdr:row>
      <xdr:rowOff>6480</xdr:rowOff>
    </xdr:to>
    <xdr:pic>
      <xdr:nvPicPr>
        <xdr:cNvPr id="243" name="Gráfico 31" descr="Dinheiro"/>
        <xdr:cNvPicPr/>
      </xdr:nvPicPr>
      <xdr:blipFill>
        <a:blip r:embed="rId32"/>
        <a:stretch/>
      </xdr:blipFill>
      <xdr:spPr>
        <a:xfrm flipH="1">
          <a:off x="581760" y="17736840"/>
          <a:ext cx="400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330840</xdr:colOff>
      <xdr:row>108</xdr:row>
      <xdr:rowOff>134280</xdr:rowOff>
    </xdr:from>
    <xdr:to>
      <xdr:col>2</xdr:col>
      <xdr:colOff>722880</xdr:colOff>
      <xdr:row>109</xdr:row>
      <xdr:rowOff>35640</xdr:rowOff>
    </xdr:to>
    <xdr:pic>
      <xdr:nvPicPr>
        <xdr:cNvPr id="244" name="Gráfico 32" descr="Moedas"/>
        <xdr:cNvPicPr/>
      </xdr:nvPicPr>
      <xdr:blipFill>
        <a:blip r:embed="rId33"/>
        <a:stretch/>
      </xdr:blipFill>
      <xdr:spPr>
        <a:xfrm flipH="1">
          <a:off x="592920" y="212889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285840</xdr:colOff>
      <xdr:row>127</xdr:row>
      <xdr:rowOff>149760</xdr:rowOff>
    </xdr:from>
    <xdr:to>
      <xdr:col>2</xdr:col>
      <xdr:colOff>677880</xdr:colOff>
      <xdr:row>128</xdr:row>
      <xdr:rowOff>51120</xdr:rowOff>
    </xdr:to>
    <xdr:pic>
      <xdr:nvPicPr>
        <xdr:cNvPr id="245" name="Gráfico 33" descr="Moedas"/>
        <xdr:cNvPicPr/>
      </xdr:nvPicPr>
      <xdr:blipFill>
        <a:blip r:embed="rId34"/>
        <a:stretch/>
      </xdr:blipFill>
      <xdr:spPr>
        <a:xfrm flipH="1">
          <a:off x="547920" y="2535264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288720</xdr:colOff>
      <xdr:row>146</xdr:row>
      <xdr:rowOff>152280</xdr:rowOff>
    </xdr:from>
    <xdr:to>
      <xdr:col>2</xdr:col>
      <xdr:colOff>680760</xdr:colOff>
      <xdr:row>147</xdr:row>
      <xdr:rowOff>54000</xdr:rowOff>
    </xdr:to>
    <xdr:pic>
      <xdr:nvPicPr>
        <xdr:cNvPr id="246" name="Gráfico 34" descr="Moedas"/>
        <xdr:cNvPicPr/>
      </xdr:nvPicPr>
      <xdr:blipFill>
        <a:blip r:embed="rId35"/>
        <a:stretch/>
      </xdr:blipFill>
      <xdr:spPr>
        <a:xfrm flipH="1">
          <a:off x="550800" y="294033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163</xdr:row>
      <xdr:rowOff>123120</xdr:rowOff>
    </xdr:from>
    <xdr:to>
      <xdr:col>2</xdr:col>
      <xdr:colOff>705240</xdr:colOff>
      <xdr:row>164</xdr:row>
      <xdr:rowOff>14040</xdr:rowOff>
    </xdr:to>
    <xdr:pic>
      <xdr:nvPicPr>
        <xdr:cNvPr id="247" name="Gráfico 35" descr="Sirene"/>
        <xdr:cNvPicPr/>
      </xdr:nvPicPr>
      <xdr:blipFill>
        <a:blip r:embed="rId36"/>
        <a:stretch/>
      </xdr:blipFill>
      <xdr:spPr>
        <a:xfrm>
          <a:off x="562680" y="3292704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182</xdr:row>
      <xdr:rowOff>107640</xdr:rowOff>
    </xdr:from>
    <xdr:to>
      <xdr:col>2</xdr:col>
      <xdr:colOff>705240</xdr:colOff>
      <xdr:row>183</xdr:row>
      <xdr:rowOff>2880</xdr:rowOff>
    </xdr:to>
    <xdr:pic>
      <xdr:nvPicPr>
        <xdr:cNvPr id="248" name="Gráfico 36" descr="Sirene"/>
        <xdr:cNvPicPr/>
      </xdr:nvPicPr>
      <xdr:blipFill>
        <a:blip r:embed="rId37"/>
        <a:stretch/>
      </xdr:blipFill>
      <xdr:spPr>
        <a:xfrm>
          <a:off x="562680" y="36959760"/>
          <a:ext cx="404640" cy="39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201</xdr:row>
      <xdr:rowOff>125640</xdr:rowOff>
    </xdr:from>
    <xdr:to>
      <xdr:col>2</xdr:col>
      <xdr:colOff>705240</xdr:colOff>
      <xdr:row>202</xdr:row>
      <xdr:rowOff>16560</xdr:rowOff>
    </xdr:to>
    <xdr:pic>
      <xdr:nvPicPr>
        <xdr:cNvPr id="249" name="Gráfico 37" descr="Sirene"/>
        <xdr:cNvPicPr/>
      </xdr:nvPicPr>
      <xdr:blipFill>
        <a:blip r:embed="rId38"/>
        <a:stretch/>
      </xdr:blipFill>
      <xdr:spPr>
        <a:xfrm>
          <a:off x="562680" y="4102596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190440</xdr:colOff>
      <xdr:row>1</xdr:row>
      <xdr:rowOff>141120</xdr:rowOff>
    </xdr:from>
    <xdr:to>
      <xdr:col>32</xdr:col>
      <xdr:colOff>138960</xdr:colOff>
      <xdr:row>3</xdr:row>
      <xdr:rowOff>54360</xdr:rowOff>
    </xdr:to>
    <xdr:pic>
      <xdr:nvPicPr>
        <xdr:cNvPr id="250" name="Gráfico 38" descr="Virar calendário">
          <a:hlinkClick r:id="rId39"/>
        </xdr:cNvPr>
        <xdr:cNvPicPr/>
      </xdr:nvPicPr>
      <xdr:blipFill>
        <a:blip r:embed="rId40"/>
        <a:stretch/>
      </xdr:blipFill>
      <xdr:spPr>
        <a:xfrm>
          <a:off x="13463640" y="141120"/>
          <a:ext cx="341640" cy="341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26</xdr:col>
      <xdr:colOff>324720</xdr:colOff>
      <xdr:row>2</xdr:row>
      <xdr:rowOff>174600</xdr:rowOff>
    </xdr:from>
    <xdr:to>
      <xdr:col>28</xdr:col>
      <xdr:colOff>22320</xdr:colOff>
      <xdr:row>2</xdr:row>
      <xdr:rowOff>174600</xdr:rowOff>
    </xdr:to>
    <xdr:sp>
      <xdr:nvSpPr>
        <xdr:cNvPr id="251" name="Conector reto 39"/>
        <xdr:cNvSpPr/>
      </xdr:nvSpPr>
      <xdr:spPr>
        <a:xfrm>
          <a:off x="11632680" y="374400"/>
          <a:ext cx="48384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29</xdr:col>
      <xdr:colOff>331560</xdr:colOff>
      <xdr:row>2</xdr:row>
      <xdr:rowOff>174600</xdr:rowOff>
    </xdr:from>
    <xdr:to>
      <xdr:col>31</xdr:col>
      <xdr:colOff>28800</xdr:colOff>
      <xdr:row>2</xdr:row>
      <xdr:rowOff>174600</xdr:rowOff>
    </xdr:to>
    <xdr:sp>
      <xdr:nvSpPr>
        <xdr:cNvPr id="252" name="Conector reto 40"/>
        <xdr:cNvSpPr/>
      </xdr:nvSpPr>
      <xdr:spPr>
        <a:xfrm>
          <a:off x="12818520" y="374400"/>
          <a:ext cx="48348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142200</xdr:colOff>
      <xdr:row>8</xdr:row>
      <xdr:rowOff>121680</xdr:rowOff>
    </xdr:from>
    <xdr:to>
      <xdr:col>2</xdr:col>
      <xdr:colOff>129960</xdr:colOff>
      <xdr:row>9</xdr:row>
      <xdr:rowOff>215280</xdr:rowOff>
    </xdr:to>
    <xdr:pic>
      <xdr:nvPicPr>
        <xdr:cNvPr id="253" name="Gráfico 42" descr="Ajudar">
          <a:hlinkClick r:id="rId41"/>
        </xdr:cNvPr>
        <xdr:cNvPicPr/>
      </xdr:nvPicPr>
      <xdr:blipFill>
        <a:blip r:embed="rId42"/>
        <a:stretch/>
      </xdr:blipFill>
      <xdr:spPr>
        <a:xfrm>
          <a:off x="142200" y="140724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185760</xdr:colOff>
      <xdr:row>2</xdr:row>
      <xdr:rowOff>145800</xdr:rowOff>
    </xdr:from>
    <xdr:to>
      <xdr:col>35</xdr:col>
      <xdr:colOff>614880</xdr:colOff>
      <xdr:row>4</xdr:row>
      <xdr:rowOff>112680</xdr:rowOff>
    </xdr:to>
    <xdr:pic>
      <xdr:nvPicPr>
        <xdr:cNvPr id="254" name="Gráfico 43" descr="Seta Reta">
          <a:hlinkClick r:id="rId43"/>
        </xdr:cNvPr>
        <xdr:cNvPicPr/>
      </xdr:nvPicPr>
      <xdr:blipFill>
        <a:blip r:embed="rId44"/>
        <a:stretch/>
      </xdr:blipFill>
      <xdr:spPr>
        <a:xfrm rot="10800000">
          <a:off x="14638320" y="345240"/>
          <a:ext cx="42912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156960</xdr:colOff>
      <xdr:row>1</xdr:row>
      <xdr:rowOff>67320</xdr:rowOff>
    </xdr:from>
    <xdr:to>
      <xdr:col>35</xdr:col>
      <xdr:colOff>583200</xdr:colOff>
      <xdr:row>3</xdr:row>
      <xdr:rowOff>63000</xdr:rowOff>
    </xdr:to>
    <xdr:pic>
      <xdr:nvPicPr>
        <xdr:cNvPr id="255" name="Gráfico 44" descr="Seta Reta">
          <a:hlinkClick r:id="rId45"/>
        </xdr:cNvPr>
        <xdr:cNvPicPr/>
      </xdr:nvPicPr>
      <xdr:blipFill>
        <a:blip r:embed="rId46"/>
        <a:stretch/>
      </xdr:blipFill>
      <xdr:spPr>
        <a:xfrm>
          <a:off x="14609520" y="67320"/>
          <a:ext cx="42624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35</xdr:col>
      <xdr:colOff>0</xdr:colOff>
      <xdr:row>5</xdr:row>
      <xdr:rowOff>0</xdr:rowOff>
    </xdr:from>
    <xdr:to>
      <xdr:col>35</xdr:col>
      <xdr:colOff>548640</xdr:colOff>
      <xdr:row>6</xdr:row>
      <xdr:rowOff>10800</xdr:rowOff>
    </xdr:to>
    <xdr:sp>
      <xdr:nvSpPr>
        <xdr:cNvPr id="256" name="Balão de Fala: Retângulo com Cantos Arredondados 45"/>
        <xdr:cNvSpPr/>
      </xdr:nvSpPr>
      <xdr:spPr>
        <a:xfrm>
          <a:off x="14452560" y="799920"/>
          <a:ext cx="548640" cy="182160"/>
        </a:xfrm>
        <a:prstGeom prst="wedgeRoundRectCallout">
          <a:avLst>
            <a:gd name="adj1" fmla="val -18889"/>
            <a:gd name="adj2" fmla="val 13747"/>
            <a:gd name="adj3" fmla="val 16667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28800" bIns="36000" anchor="ctr">
          <a:noAutofit/>
        </a:bodyPr>
        <a:p>
          <a:pPr algn="ctr">
            <a:lnSpc>
              <a:spcPct val="100000"/>
            </a:lnSpc>
          </a:pPr>
          <a:r>
            <a:rPr b="0" lang="en-GB" sz="900" spc="-1" strike="noStrike">
              <a:solidFill>
                <a:srgbClr val="ffffff"/>
              </a:solidFill>
              <a:latin typeface="Calibri"/>
            </a:rPr>
            <a:t>DIAS</a:t>
          </a:r>
          <a:endParaRPr b="0" lang="pt-BR" sz="9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2880</xdr:colOff>
      <xdr:row>54</xdr:row>
      <xdr:rowOff>78480</xdr:rowOff>
    </xdr:from>
    <xdr:to>
      <xdr:col>3</xdr:col>
      <xdr:colOff>99360</xdr:colOff>
      <xdr:row>57</xdr:row>
      <xdr:rowOff>64440</xdr:rowOff>
    </xdr:to>
    <xdr:sp>
      <xdr:nvSpPr>
        <xdr:cNvPr id="257" name="Retângulo: Cantos Arredondados 1"/>
        <xdr:cNvSpPr/>
      </xdr:nvSpPr>
      <xdr:spPr>
        <a:xfrm>
          <a:off x="153720" y="10212840"/>
          <a:ext cx="2274120" cy="78624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8</xdr:row>
      <xdr:rowOff>104760</xdr:rowOff>
    </xdr:from>
    <xdr:to>
      <xdr:col>3</xdr:col>
      <xdr:colOff>77760</xdr:colOff>
      <xdr:row>11</xdr:row>
      <xdr:rowOff>75960</xdr:rowOff>
    </xdr:to>
    <xdr:sp>
      <xdr:nvSpPr>
        <xdr:cNvPr id="258" name="Retângulo: Cantos Arredondados 2"/>
        <xdr:cNvSpPr/>
      </xdr:nvSpPr>
      <xdr:spPr>
        <a:xfrm>
          <a:off x="132480" y="1390320"/>
          <a:ext cx="2273760" cy="79056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JUNTAR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DINHEIRO?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132480</xdr:colOff>
      <xdr:row>19</xdr:row>
      <xdr:rowOff>104760</xdr:rowOff>
    </xdr:from>
    <xdr:to>
      <xdr:col>3</xdr:col>
      <xdr:colOff>77760</xdr:colOff>
      <xdr:row>22</xdr:row>
      <xdr:rowOff>56880</xdr:rowOff>
    </xdr:to>
    <xdr:sp>
      <xdr:nvSpPr>
        <xdr:cNvPr id="259" name="Retângulo: Cantos Arredondados 3"/>
        <xdr:cNvSpPr/>
      </xdr:nvSpPr>
      <xdr:spPr>
        <a:xfrm>
          <a:off x="132480" y="3438360"/>
          <a:ext cx="2273760" cy="752040"/>
        </a:xfrm>
        <a:prstGeom prst="roundRect">
          <a:avLst>
            <a:gd name="adj" fmla="val 7028"/>
          </a:avLst>
        </a:prstGeom>
        <a:solidFill>
          <a:srgbClr val="007c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CONSEGUI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GUARDAR E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INVESTIR?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282240</xdr:colOff>
      <xdr:row>20</xdr:row>
      <xdr:rowOff>118080</xdr:rowOff>
    </xdr:from>
    <xdr:to>
      <xdr:col>2</xdr:col>
      <xdr:colOff>681480</xdr:colOff>
      <xdr:row>21</xdr:row>
      <xdr:rowOff>8640</xdr:rowOff>
    </xdr:to>
    <xdr:pic>
      <xdr:nvPicPr>
        <xdr:cNvPr id="260" name="Gráfico 4" descr="Cofrinho"/>
        <xdr:cNvPicPr/>
      </xdr:nvPicPr>
      <xdr:blipFill>
        <a:blip r:embed="rId1"/>
        <a:stretch/>
      </xdr:blipFill>
      <xdr:spPr>
        <a:xfrm>
          <a:off x="544320" y="3603960"/>
          <a:ext cx="39924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284040</xdr:colOff>
      <xdr:row>9</xdr:row>
      <xdr:rowOff>151200</xdr:rowOff>
    </xdr:from>
    <xdr:to>
      <xdr:col>2</xdr:col>
      <xdr:colOff>680040</xdr:colOff>
      <xdr:row>10</xdr:row>
      <xdr:rowOff>42120</xdr:rowOff>
    </xdr:to>
    <xdr:pic>
      <xdr:nvPicPr>
        <xdr:cNvPr id="261" name="Gráfico 5" descr="Carteira"/>
        <xdr:cNvPicPr/>
      </xdr:nvPicPr>
      <xdr:blipFill>
        <a:blip r:embed="rId2"/>
        <a:stretch/>
      </xdr:blipFill>
      <xdr:spPr>
        <a:xfrm>
          <a:off x="546120" y="1589400"/>
          <a:ext cx="396000" cy="395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0</xdr:col>
      <xdr:colOff>145800</xdr:colOff>
      <xdr:row>31</xdr:row>
      <xdr:rowOff>89640</xdr:rowOff>
    </xdr:from>
    <xdr:to>
      <xdr:col>3</xdr:col>
      <xdr:colOff>91440</xdr:colOff>
      <xdr:row>34</xdr:row>
      <xdr:rowOff>78480</xdr:rowOff>
    </xdr:to>
    <xdr:sp>
      <xdr:nvSpPr>
        <xdr:cNvPr id="262" name="Retângulo: Cantos Arredondados 6"/>
        <xdr:cNvSpPr/>
      </xdr:nvSpPr>
      <xdr:spPr>
        <a:xfrm>
          <a:off x="145800" y="5452200"/>
          <a:ext cx="2274120" cy="7887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REDUZI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DESPESAS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315360</xdr:colOff>
      <xdr:row>32</xdr:row>
      <xdr:rowOff>144360</xdr:rowOff>
    </xdr:from>
    <xdr:to>
      <xdr:col>2</xdr:col>
      <xdr:colOff>709560</xdr:colOff>
      <xdr:row>33</xdr:row>
      <xdr:rowOff>35280</xdr:rowOff>
    </xdr:to>
    <xdr:pic>
      <xdr:nvPicPr>
        <xdr:cNvPr id="263" name="Gráfico 7" descr="Eletricista"/>
        <xdr:cNvPicPr/>
      </xdr:nvPicPr>
      <xdr:blipFill>
        <a:blip r:embed="rId3"/>
        <a:stretch/>
      </xdr:blipFill>
      <xdr:spPr>
        <a:xfrm>
          <a:off x="577440" y="5659200"/>
          <a:ext cx="39420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311760</xdr:colOff>
      <xdr:row>55</xdr:row>
      <xdr:rowOff>132120</xdr:rowOff>
    </xdr:from>
    <xdr:to>
      <xdr:col>2</xdr:col>
      <xdr:colOff>713160</xdr:colOff>
      <xdr:row>56</xdr:row>
      <xdr:rowOff>23040</xdr:rowOff>
    </xdr:to>
    <xdr:pic>
      <xdr:nvPicPr>
        <xdr:cNvPr id="264" name="Gráfico 8" descr="Artista"/>
        <xdr:cNvPicPr/>
      </xdr:nvPicPr>
      <xdr:blipFill>
        <a:blip r:embed="rId4"/>
        <a:stretch/>
      </xdr:blipFill>
      <xdr:spPr>
        <a:xfrm>
          <a:off x="573840" y="10419120"/>
          <a:ext cx="401400" cy="395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76</xdr:row>
      <xdr:rowOff>104760</xdr:rowOff>
    </xdr:from>
    <xdr:to>
      <xdr:col>3</xdr:col>
      <xdr:colOff>95040</xdr:colOff>
      <xdr:row>79</xdr:row>
      <xdr:rowOff>75960</xdr:rowOff>
    </xdr:to>
    <xdr:sp>
      <xdr:nvSpPr>
        <xdr:cNvPr id="265" name="Retângulo: Cantos Arredondados 9"/>
        <xdr:cNvSpPr/>
      </xdr:nvSpPr>
      <xdr:spPr>
        <a:xfrm>
          <a:off x="150840" y="1478268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28</xdr:col>
      <xdr:colOff>211680</xdr:colOff>
      <xdr:row>1</xdr:row>
      <xdr:rowOff>166320</xdr:rowOff>
    </xdr:from>
    <xdr:to>
      <xdr:col>29</xdr:col>
      <xdr:colOff>128880</xdr:colOff>
      <xdr:row>3</xdr:row>
      <xdr:rowOff>47520</xdr:rowOff>
    </xdr:to>
    <xdr:pic>
      <xdr:nvPicPr>
        <xdr:cNvPr id="266" name="Gráfico 10" descr="Impressão digital">
          <a:hlinkClick r:id="rId5"/>
        </xdr:cNvPr>
        <xdr:cNvPicPr/>
      </xdr:nvPicPr>
      <xdr:blipFill>
        <a:blip r:embed="rId6"/>
        <a:stretch/>
      </xdr:blipFill>
      <xdr:spPr>
        <a:xfrm>
          <a:off x="12305880" y="166320"/>
          <a:ext cx="309960" cy="30960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25</xdr:col>
      <xdr:colOff>188640</xdr:colOff>
      <xdr:row>1</xdr:row>
      <xdr:rowOff>129960</xdr:rowOff>
    </xdr:from>
    <xdr:to>
      <xdr:col>26</xdr:col>
      <xdr:colOff>164160</xdr:colOff>
      <xdr:row>3</xdr:row>
      <xdr:rowOff>65880</xdr:rowOff>
    </xdr:to>
    <xdr:pic>
      <xdr:nvPicPr>
        <xdr:cNvPr id="267" name="Gráfico 11" descr="Trancar">
          <a:hlinkClick r:id="rId7"/>
        </xdr:cNvPr>
        <xdr:cNvPicPr/>
      </xdr:nvPicPr>
      <xdr:blipFill>
        <a:blip r:embed="rId8"/>
        <a:stretch/>
      </xdr:blipFill>
      <xdr:spPr>
        <a:xfrm>
          <a:off x="11103480" y="129960"/>
          <a:ext cx="368640" cy="36432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</xdr:colOff>
      <xdr:row>19</xdr:row>
      <xdr:rowOff>126360</xdr:rowOff>
    </xdr:from>
    <xdr:to>
      <xdr:col>2</xdr:col>
      <xdr:colOff>139680</xdr:colOff>
      <xdr:row>20</xdr:row>
      <xdr:rowOff>220320</xdr:rowOff>
    </xdr:to>
    <xdr:pic>
      <xdr:nvPicPr>
        <xdr:cNvPr id="268" name="Gráfico 12" descr="Ajudar">
          <a:hlinkClick r:id="rId9"/>
        </xdr:cNvPr>
        <xdr:cNvPicPr/>
      </xdr:nvPicPr>
      <xdr:blipFill>
        <a:blip r:embed="rId10"/>
        <a:stretch/>
      </xdr:blipFill>
      <xdr:spPr>
        <a:xfrm>
          <a:off x="151920" y="345996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15120</xdr:colOff>
      <xdr:row>31</xdr:row>
      <xdr:rowOff>114480</xdr:rowOff>
    </xdr:from>
    <xdr:to>
      <xdr:col>2</xdr:col>
      <xdr:colOff>150120</xdr:colOff>
      <xdr:row>32</xdr:row>
      <xdr:rowOff>208440</xdr:rowOff>
    </xdr:to>
    <xdr:pic>
      <xdr:nvPicPr>
        <xdr:cNvPr id="269" name="Gráfico 13" descr="Ajudar">
          <a:hlinkClick r:id="rId11"/>
        </xdr:cNvPr>
        <xdr:cNvPicPr/>
      </xdr:nvPicPr>
      <xdr:blipFill>
        <a:blip r:embed="rId12"/>
        <a:stretch/>
      </xdr:blipFill>
      <xdr:spPr>
        <a:xfrm>
          <a:off x="165960" y="54770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10800</xdr:colOff>
      <xdr:row>54</xdr:row>
      <xdr:rowOff>98640</xdr:rowOff>
    </xdr:from>
    <xdr:to>
      <xdr:col>2</xdr:col>
      <xdr:colOff>145800</xdr:colOff>
      <xdr:row>55</xdr:row>
      <xdr:rowOff>192240</xdr:rowOff>
    </xdr:to>
    <xdr:pic>
      <xdr:nvPicPr>
        <xdr:cNvPr id="270" name="Gráfico 14" descr="Ajudar">
          <a:hlinkClick r:id="rId13"/>
        </xdr:cNvPr>
        <xdr:cNvPicPr/>
      </xdr:nvPicPr>
      <xdr:blipFill>
        <a:blip r:embed="rId14"/>
        <a:stretch/>
      </xdr:blipFill>
      <xdr:spPr>
        <a:xfrm>
          <a:off x="161640" y="102330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6120</xdr:colOff>
      <xdr:row>76</xdr:row>
      <xdr:rowOff>127800</xdr:rowOff>
    </xdr:from>
    <xdr:to>
      <xdr:col>2</xdr:col>
      <xdr:colOff>141120</xdr:colOff>
      <xdr:row>77</xdr:row>
      <xdr:rowOff>221760</xdr:rowOff>
    </xdr:to>
    <xdr:pic>
      <xdr:nvPicPr>
        <xdr:cNvPr id="271" name="Gráfico 15" descr="Ajudar">
          <a:hlinkClick r:id="rId15"/>
        </xdr:cNvPr>
        <xdr:cNvPicPr/>
      </xdr:nvPicPr>
      <xdr:blipFill>
        <a:blip r:embed="rId16"/>
        <a:stretch/>
      </xdr:blipFill>
      <xdr:spPr>
        <a:xfrm>
          <a:off x="156960" y="1480572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90</xdr:row>
      <xdr:rowOff>104760</xdr:rowOff>
    </xdr:from>
    <xdr:to>
      <xdr:col>3</xdr:col>
      <xdr:colOff>95040</xdr:colOff>
      <xdr:row>93</xdr:row>
      <xdr:rowOff>75960</xdr:rowOff>
    </xdr:to>
    <xdr:sp>
      <xdr:nvSpPr>
        <xdr:cNvPr id="272" name="Retângulo: Cantos Arredondados 16"/>
        <xdr:cNvSpPr/>
      </xdr:nvSpPr>
      <xdr:spPr>
        <a:xfrm>
          <a:off x="150840" y="1757340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AUMENTEI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GANHOS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VARIÁVEIS?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90</xdr:row>
      <xdr:rowOff>127800</xdr:rowOff>
    </xdr:from>
    <xdr:to>
      <xdr:col>2</xdr:col>
      <xdr:colOff>141120</xdr:colOff>
      <xdr:row>91</xdr:row>
      <xdr:rowOff>221760</xdr:rowOff>
    </xdr:to>
    <xdr:pic>
      <xdr:nvPicPr>
        <xdr:cNvPr id="273" name="Gráfico 17" descr="Ajudar">
          <a:hlinkClick r:id="rId17"/>
        </xdr:cNvPr>
        <xdr:cNvPicPr/>
      </xdr:nvPicPr>
      <xdr:blipFill>
        <a:blip r:embed="rId18"/>
        <a:stretch/>
      </xdr:blipFill>
      <xdr:spPr>
        <a:xfrm>
          <a:off x="156960" y="17596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107</xdr:row>
      <xdr:rowOff>104760</xdr:rowOff>
    </xdr:from>
    <xdr:to>
      <xdr:col>3</xdr:col>
      <xdr:colOff>95040</xdr:colOff>
      <xdr:row>110</xdr:row>
      <xdr:rowOff>75960</xdr:rowOff>
    </xdr:to>
    <xdr:sp>
      <xdr:nvSpPr>
        <xdr:cNvPr id="274" name="Retângulo: Cantos Arredondados 18"/>
        <xdr:cNvSpPr/>
      </xdr:nvSpPr>
      <xdr:spPr>
        <a:xfrm>
          <a:off x="150840" y="2110716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107</xdr:row>
      <xdr:rowOff>127800</xdr:rowOff>
    </xdr:from>
    <xdr:to>
      <xdr:col>2</xdr:col>
      <xdr:colOff>141120</xdr:colOff>
      <xdr:row>108</xdr:row>
      <xdr:rowOff>221760</xdr:rowOff>
    </xdr:to>
    <xdr:pic>
      <xdr:nvPicPr>
        <xdr:cNvPr id="275" name="Gráfico 19" descr="Ajudar">
          <a:hlinkClick r:id="rId19"/>
        </xdr:cNvPr>
        <xdr:cNvPicPr/>
      </xdr:nvPicPr>
      <xdr:blipFill>
        <a:blip r:embed="rId20"/>
        <a:stretch/>
      </xdr:blipFill>
      <xdr:spPr>
        <a:xfrm>
          <a:off x="156960" y="211302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126</xdr:row>
      <xdr:rowOff>104760</xdr:rowOff>
    </xdr:from>
    <xdr:to>
      <xdr:col>3</xdr:col>
      <xdr:colOff>95040</xdr:colOff>
      <xdr:row>129</xdr:row>
      <xdr:rowOff>75960</xdr:rowOff>
    </xdr:to>
    <xdr:sp>
      <xdr:nvSpPr>
        <xdr:cNvPr id="276" name="Retângulo: Cantos Arredondados 20"/>
        <xdr:cNvSpPr/>
      </xdr:nvSpPr>
      <xdr:spPr>
        <a:xfrm>
          <a:off x="150840" y="251553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126</xdr:row>
      <xdr:rowOff>127800</xdr:rowOff>
    </xdr:from>
    <xdr:to>
      <xdr:col>2</xdr:col>
      <xdr:colOff>141120</xdr:colOff>
      <xdr:row>127</xdr:row>
      <xdr:rowOff>221760</xdr:rowOff>
    </xdr:to>
    <xdr:pic>
      <xdr:nvPicPr>
        <xdr:cNvPr id="277" name="Gráfico 21" descr="Ajudar">
          <a:hlinkClick r:id="rId21"/>
        </xdr:cNvPr>
        <xdr:cNvPicPr/>
      </xdr:nvPicPr>
      <xdr:blipFill>
        <a:blip r:embed="rId22"/>
        <a:stretch/>
      </xdr:blipFill>
      <xdr:spPr>
        <a:xfrm>
          <a:off x="156960" y="251784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145</xdr:row>
      <xdr:rowOff>104760</xdr:rowOff>
    </xdr:from>
    <xdr:to>
      <xdr:col>3</xdr:col>
      <xdr:colOff>95040</xdr:colOff>
      <xdr:row>148</xdr:row>
      <xdr:rowOff>75960</xdr:rowOff>
    </xdr:to>
    <xdr:sp>
      <xdr:nvSpPr>
        <xdr:cNvPr id="278" name="Retângulo: Cantos Arredondados 22"/>
        <xdr:cNvSpPr/>
      </xdr:nvSpPr>
      <xdr:spPr>
        <a:xfrm>
          <a:off x="150840" y="2920356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INVESTI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145</xdr:row>
      <xdr:rowOff>127800</xdr:rowOff>
    </xdr:from>
    <xdr:to>
      <xdr:col>2</xdr:col>
      <xdr:colOff>141120</xdr:colOff>
      <xdr:row>146</xdr:row>
      <xdr:rowOff>221760</xdr:rowOff>
    </xdr:to>
    <xdr:pic>
      <xdr:nvPicPr>
        <xdr:cNvPr id="279" name="Gráfico 23" descr="Ajudar">
          <a:hlinkClick r:id="rId23"/>
        </xdr:cNvPr>
        <xdr:cNvPicPr/>
      </xdr:nvPicPr>
      <xdr:blipFill>
        <a:blip r:embed="rId24"/>
        <a:stretch/>
      </xdr:blipFill>
      <xdr:spPr>
        <a:xfrm>
          <a:off x="156960" y="2922660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162</xdr:row>
      <xdr:rowOff>104760</xdr:rowOff>
    </xdr:from>
    <xdr:to>
      <xdr:col>3</xdr:col>
      <xdr:colOff>95040</xdr:colOff>
      <xdr:row>165</xdr:row>
      <xdr:rowOff>75960</xdr:rowOff>
    </xdr:to>
    <xdr:sp>
      <xdr:nvSpPr>
        <xdr:cNvPr id="280" name="Retângulo: Cantos Arredondados 24"/>
        <xdr:cNvSpPr/>
      </xdr:nvSpPr>
      <xdr:spPr>
        <a:xfrm>
          <a:off x="150840" y="32756400"/>
          <a:ext cx="2272680" cy="79020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FIXA?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162</xdr:row>
      <xdr:rowOff>127800</xdr:rowOff>
    </xdr:from>
    <xdr:to>
      <xdr:col>2</xdr:col>
      <xdr:colOff>141120</xdr:colOff>
      <xdr:row>163</xdr:row>
      <xdr:rowOff>221760</xdr:rowOff>
    </xdr:to>
    <xdr:pic>
      <xdr:nvPicPr>
        <xdr:cNvPr id="281" name="Gráfico 25" descr="Ajudar">
          <a:hlinkClick r:id="rId25"/>
        </xdr:cNvPr>
        <xdr:cNvPicPr/>
      </xdr:nvPicPr>
      <xdr:blipFill>
        <a:blip r:embed="rId26"/>
        <a:stretch/>
      </xdr:blipFill>
      <xdr:spPr>
        <a:xfrm>
          <a:off x="156960" y="3277944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181</xdr:row>
      <xdr:rowOff>104760</xdr:rowOff>
    </xdr:from>
    <xdr:to>
      <xdr:col>3</xdr:col>
      <xdr:colOff>95040</xdr:colOff>
      <xdr:row>184</xdr:row>
      <xdr:rowOff>75960</xdr:rowOff>
    </xdr:to>
    <xdr:sp>
      <xdr:nvSpPr>
        <xdr:cNvPr id="282" name="Retângulo: Cantos Arredondados 26"/>
        <xdr:cNvSpPr/>
      </xdr:nvSpPr>
      <xdr:spPr>
        <a:xfrm>
          <a:off x="150840" y="368042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RENDA VARIÁVEL?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181</xdr:row>
      <xdr:rowOff>127800</xdr:rowOff>
    </xdr:from>
    <xdr:to>
      <xdr:col>2</xdr:col>
      <xdr:colOff>141120</xdr:colOff>
      <xdr:row>182</xdr:row>
      <xdr:rowOff>221400</xdr:rowOff>
    </xdr:to>
    <xdr:pic>
      <xdr:nvPicPr>
        <xdr:cNvPr id="283" name="Gráfico 27" descr="Ajudar">
          <a:hlinkClick r:id="rId27"/>
        </xdr:cNvPr>
        <xdr:cNvPicPr/>
      </xdr:nvPicPr>
      <xdr:blipFill>
        <a:blip r:embed="rId28"/>
        <a:stretch/>
      </xdr:blipFill>
      <xdr:spPr>
        <a:xfrm>
          <a:off x="156960" y="368272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1</xdr:col>
      <xdr:colOff>0</xdr:colOff>
      <xdr:row>200</xdr:row>
      <xdr:rowOff>104760</xdr:rowOff>
    </xdr:from>
    <xdr:to>
      <xdr:col>3</xdr:col>
      <xdr:colOff>95040</xdr:colOff>
      <xdr:row>203</xdr:row>
      <xdr:rowOff>75960</xdr:rowOff>
    </xdr:to>
    <xdr:sp>
      <xdr:nvSpPr>
        <xdr:cNvPr id="284" name="Retângulo: Cantos Arredondados 28"/>
        <xdr:cNvSpPr/>
      </xdr:nvSpPr>
      <xdr:spPr>
        <a:xfrm>
          <a:off x="150840" y="40852440"/>
          <a:ext cx="2272680" cy="790560"/>
        </a:xfrm>
        <a:prstGeom prst="roundRect">
          <a:avLst>
            <a:gd name="adj" fmla="val 7028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GB" sz="1000" spc="-1" strike="noStrike">
              <a:solidFill>
                <a:srgbClr val="ffffff"/>
              </a:solidFill>
              <a:latin typeface="Calibri"/>
            </a:rPr>
            <a:t>GUARDEI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RESERVA EM</a:t>
          </a:r>
          <a:br/>
          <a:r>
            <a:rPr b="1" lang="en-GB" sz="1000" spc="-1" strike="noStrike">
              <a:solidFill>
                <a:srgbClr val="ffffff"/>
              </a:solidFill>
              <a:latin typeface="Calibri"/>
            </a:rPr>
            <a:t>OUTROS ATIVOS?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6120</xdr:colOff>
      <xdr:row>200</xdr:row>
      <xdr:rowOff>127800</xdr:rowOff>
    </xdr:from>
    <xdr:to>
      <xdr:col>2</xdr:col>
      <xdr:colOff>141120</xdr:colOff>
      <xdr:row>201</xdr:row>
      <xdr:rowOff>221400</xdr:rowOff>
    </xdr:to>
    <xdr:pic>
      <xdr:nvPicPr>
        <xdr:cNvPr id="285" name="Gráfico 29" descr="Ajudar">
          <a:hlinkClick r:id="rId29"/>
        </xdr:cNvPr>
        <xdr:cNvPicPr/>
      </xdr:nvPicPr>
      <xdr:blipFill>
        <a:blip r:embed="rId30"/>
        <a:stretch/>
      </xdr:blipFill>
      <xdr:spPr>
        <a:xfrm>
          <a:off x="156960" y="40875480"/>
          <a:ext cx="2462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319680</xdr:colOff>
      <xdr:row>77</xdr:row>
      <xdr:rowOff>126720</xdr:rowOff>
    </xdr:from>
    <xdr:to>
      <xdr:col>2</xdr:col>
      <xdr:colOff>711360</xdr:colOff>
      <xdr:row>78</xdr:row>
      <xdr:rowOff>17640</xdr:rowOff>
    </xdr:to>
    <xdr:pic>
      <xdr:nvPicPr>
        <xdr:cNvPr id="286" name="Gráfico 30" descr="Dinheiro"/>
        <xdr:cNvPicPr/>
      </xdr:nvPicPr>
      <xdr:blipFill>
        <a:blip r:embed="rId31"/>
        <a:stretch/>
      </xdr:blipFill>
      <xdr:spPr>
        <a:xfrm flipH="1">
          <a:off x="581760" y="14956920"/>
          <a:ext cx="391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319680</xdr:colOff>
      <xdr:row>91</xdr:row>
      <xdr:rowOff>115920</xdr:rowOff>
    </xdr:from>
    <xdr:to>
      <xdr:col>2</xdr:col>
      <xdr:colOff>720360</xdr:colOff>
      <xdr:row>92</xdr:row>
      <xdr:rowOff>6480</xdr:rowOff>
    </xdr:to>
    <xdr:pic>
      <xdr:nvPicPr>
        <xdr:cNvPr id="287" name="Gráfico 31" descr="Dinheiro"/>
        <xdr:cNvPicPr/>
      </xdr:nvPicPr>
      <xdr:blipFill>
        <a:blip r:embed="rId32"/>
        <a:stretch/>
      </xdr:blipFill>
      <xdr:spPr>
        <a:xfrm flipH="1">
          <a:off x="581760" y="17736840"/>
          <a:ext cx="40068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330840</xdr:colOff>
      <xdr:row>108</xdr:row>
      <xdr:rowOff>134280</xdr:rowOff>
    </xdr:from>
    <xdr:to>
      <xdr:col>2</xdr:col>
      <xdr:colOff>722880</xdr:colOff>
      <xdr:row>109</xdr:row>
      <xdr:rowOff>35640</xdr:rowOff>
    </xdr:to>
    <xdr:pic>
      <xdr:nvPicPr>
        <xdr:cNvPr id="288" name="Gráfico 32" descr="Moedas"/>
        <xdr:cNvPicPr/>
      </xdr:nvPicPr>
      <xdr:blipFill>
        <a:blip r:embed="rId33"/>
        <a:stretch/>
      </xdr:blipFill>
      <xdr:spPr>
        <a:xfrm flipH="1">
          <a:off x="592920" y="212889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285840</xdr:colOff>
      <xdr:row>127</xdr:row>
      <xdr:rowOff>149760</xdr:rowOff>
    </xdr:from>
    <xdr:to>
      <xdr:col>2</xdr:col>
      <xdr:colOff>677880</xdr:colOff>
      <xdr:row>128</xdr:row>
      <xdr:rowOff>51120</xdr:rowOff>
    </xdr:to>
    <xdr:pic>
      <xdr:nvPicPr>
        <xdr:cNvPr id="289" name="Gráfico 33" descr="Moedas"/>
        <xdr:cNvPicPr/>
      </xdr:nvPicPr>
      <xdr:blipFill>
        <a:blip r:embed="rId34"/>
        <a:stretch/>
      </xdr:blipFill>
      <xdr:spPr>
        <a:xfrm flipH="1">
          <a:off x="547920" y="2535264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288720</xdr:colOff>
      <xdr:row>146</xdr:row>
      <xdr:rowOff>152280</xdr:rowOff>
    </xdr:from>
    <xdr:to>
      <xdr:col>2</xdr:col>
      <xdr:colOff>680760</xdr:colOff>
      <xdr:row>147</xdr:row>
      <xdr:rowOff>54000</xdr:rowOff>
    </xdr:to>
    <xdr:pic>
      <xdr:nvPicPr>
        <xdr:cNvPr id="290" name="Gráfico 34" descr="Moedas"/>
        <xdr:cNvPicPr/>
      </xdr:nvPicPr>
      <xdr:blipFill>
        <a:blip r:embed="rId35"/>
        <a:stretch/>
      </xdr:blipFill>
      <xdr:spPr>
        <a:xfrm flipH="1">
          <a:off x="550800" y="29403360"/>
          <a:ext cx="392040" cy="40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163</xdr:row>
      <xdr:rowOff>123120</xdr:rowOff>
    </xdr:from>
    <xdr:to>
      <xdr:col>2</xdr:col>
      <xdr:colOff>705240</xdr:colOff>
      <xdr:row>164</xdr:row>
      <xdr:rowOff>14040</xdr:rowOff>
    </xdr:to>
    <xdr:pic>
      <xdr:nvPicPr>
        <xdr:cNvPr id="291" name="Gráfico 35" descr="Sirene"/>
        <xdr:cNvPicPr/>
      </xdr:nvPicPr>
      <xdr:blipFill>
        <a:blip r:embed="rId36"/>
        <a:stretch/>
      </xdr:blipFill>
      <xdr:spPr>
        <a:xfrm>
          <a:off x="562680" y="3292704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182</xdr:row>
      <xdr:rowOff>107640</xdr:rowOff>
    </xdr:from>
    <xdr:to>
      <xdr:col>2</xdr:col>
      <xdr:colOff>705240</xdr:colOff>
      <xdr:row>183</xdr:row>
      <xdr:rowOff>2880</xdr:rowOff>
    </xdr:to>
    <xdr:pic>
      <xdr:nvPicPr>
        <xdr:cNvPr id="292" name="Gráfico 36" descr="Sirene"/>
        <xdr:cNvPicPr/>
      </xdr:nvPicPr>
      <xdr:blipFill>
        <a:blip r:embed="rId37"/>
        <a:stretch/>
      </xdr:blipFill>
      <xdr:spPr>
        <a:xfrm>
          <a:off x="562680" y="36959760"/>
          <a:ext cx="404640" cy="39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300600</xdr:colOff>
      <xdr:row>201</xdr:row>
      <xdr:rowOff>125640</xdr:rowOff>
    </xdr:from>
    <xdr:to>
      <xdr:col>2</xdr:col>
      <xdr:colOff>705240</xdr:colOff>
      <xdr:row>202</xdr:row>
      <xdr:rowOff>16560</xdr:rowOff>
    </xdr:to>
    <xdr:pic>
      <xdr:nvPicPr>
        <xdr:cNvPr id="293" name="Gráfico 37" descr="Sirene"/>
        <xdr:cNvPicPr/>
      </xdr:nvPicPr>
      <xdr:blipFill>
        <a:blip r:embed="rId38"/>
        <a:stretch/>
      </xdr:blipFill>
      <xdr:spPr>
        <a:xfrm>
          <a:off x="562680" y="41025960"/>
          <a:ext cx="404640" cy="39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190440</xdr:colOff>
      <xdr:row>1</xdr:row>
      <xdr:rowOff>141120</xdr:rowOff>
    </xdr:from>
    <xdr:to>
      <xdr:col>32</xdr:col>
      <xdr:colOff>138960</xdr:colOff>
      <xdr:row>3</xdr:row>
      <xdr:rowOff>54360</xdr:rowOff>
    </xdr:to>
    <xdr:pic>
      <xdr:nvPicPr>
        <xdr:cNvPr id="294" name="Gráfico 38" descr="Virar calendário">
          <a:hlinkClick r:id="rId39"/>
        </xdr:cNvPr>
        <xdr:cNvPicPr/>
      </xdr:nvPicPr>
      <xdr:blipFill>
        <a:blip r:embed="rId40"/>
        <a:stretch/>
      </xdr:blipFill>
      <xdr:spPr>
        <a:xfrm>
          <a:off x="13463640" y="141120"/>
          <a:ext cx="341640" cy="3416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26</xdr:col>
      <xdr:colOff>324720</xdr:colOff>
      <xdr:row>2</xdr:row>
      <xdr:rowOff>174600</xdr:rowOff>
    </xdr:from>
    <xdr:to>
      <xdr:col>28</xdr:col>
      <xdr:colOff>22320</xdr:colOff>
      <xdr:row>2</xdr:row>
      <xdr:rowOff>174600</xdr:rowOff>
    </xdr:to>
    <xdr:sp>
      <xdr:nvSpPr>
        <xdr:cNvPr id="295" name="Conector reto 39"/>
        <xdr:cNvSpPr/>
      </xdr:nvSpPr>
      <xdr:spPr>
        <a:xfrm>
          <a:off x="11632680" y="374400"/>
          <a:ext cx="48384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29</xdr:col>
      <xdr:colOff>331560</xdr:colOff>
      <xdr:row>2</xdr:row>
      <xdr:rowOff>174600</xdr:rowOff>
    </xdr:from>
    <xdr:to>
      <xdr:col>31</xdr:col>
      <xdr:colOff>28800</xdr:colOff>
      <xdr:row>2</xdr:row>
      <xdr:rowOff>174600</xdr:rowOff>
    </xdr:to>
    <xdr:sp>
      <xdr:nvSpPr>
        <xdr:cNvPr id="296" name="Conector reto 40"/>
        <xdr:cNvSpPr/>
      </xdr:nvSpPr>
      <xdr:spPr>
        <a:xfrm>
          <a:off x="12818520" y="374400"/>
          <a:ext cx="483480" cy="0"/>
        </a:xfrm>
        <a:prstGeom prst="line">
          <a:avLst/>
        </a:prstGeom>
        <a:ln>
          <a:solidFill>
            <a:srgbClr val="ffeba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142200</xdr:colOff>
      <xdr:row>8</xdr:row>
      <xdr:rowOff>121680</xdr:rowOff>
    </xdr:from>
    <xdr:to>
      <xdr:col>2</xdr:col>
      <xdr:colOff>129960</xdr:colOff>
      <xdr:row>9</xdr:row>
      <xdr:rowOff>215280</xdr:rowOff>
    </xdr:to>
    <xdr:pic>
      <xdr:nvPicPr>
        <xdr:cNvPr id="297" name="Gráfico 42" descr="Ajudar">
          <a:hlinkClick r:id="rId41"/>
        </xdr:cNvPr>
        <xdr:cNvPicPr/>
      </xdr:nvPicPr>
      <xdr:blipFill>
        <a:blip r:embed="rId42"/>
        <a:stretch/>
      </xdr:blipFill>
      <xdr:spPr>
        <a:xfrm>
          <a:off x="142200" y="1407240"/>
          <a:ext cx="249840" cy="24624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185760</xdr:colOff>
      <xdr:row>2</xdr:row>
      <xdr:rowOff>145800</xdr:rowOff>
    </xdr:from>
    <xdr:to>
      <xdr:col>35</xdr:col>
      <xdr:colOff>614880</xdr:colOff>
      <xdr:row>4</xdr:row>
      <xdr:rowOff>112680</xdr:rowOff>
    </xdr:to>
    <xdr:pic>
      <xdr:nvPicPr>
        <xdr:cNvPr id="298" name="Gráfico 43" descr="Seta Reta">
          <a:hlinkClick r:id="rId43"/>
        </xdr:cNvPr>
        <xdr:cNvPicPr/>
      </xdr:nvPicPr>
      <xdr:blipFill>
        <a:blip r:embed="rId44"/>
        <a:stretch/>
      </xdr:blipFill>
      <xdr:spPr>
        <a:xfrm rot="10800000">
          <a:off x="15031080" y="345240"/>
          <a:ext cx="42912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35</xdr:col>
      <xdr:colOff>156960</xdr:colOff>
      <xdr:row>1</xdr:row>
      <xdr:rowOff>67320</xdr:rowOff>
    </xdr:from>
    <xdr:to>
      <xdr:col>35</xdr:col>
      <xdr:colOff>583200</xdr:colOff>
      <xdr:row>3</xdr:row>
      <xdr:rowOff>63000</xdr:rowOff>
    </xdr:to>
    <xdr:pic>
      <xdr:nvPicPr>
        <xdr:cNvPr id="299" name="Gráfico 44" descr="Seta Reta">
          <a:hlinkClick r:id="rId45"/>
        </xdr:cNvPr>
        <xdr:cNvPicPr/>
      </xdr:nvPicPr>
      <xdr:blipFill>
        <a:blip r:embed="rId46"/>
        <a:stretch/>
      </xdr:blipFill>
      <xdr:spPr>
        <a:xfrm>
          <a:off x="15002280" y="67320"/>
          <a:ext cx="426240" cy="424080"/>
        </a:xfrm>
        <a:prstGeom prst="rect">
          <a:avLst/>
        </a:prstGeom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twoCell">
    <xdr:from>
      <xdr:col>35</xdr:col>
      <xdr:colOff>0</xdr:colOff>
      <xdr:row>5</xdr:row>
      <xdr:rowOff>0</xdr:rowOff>
    </xdr:from>
    <xdr:to>
      <xdr:col>35</xdr:col>
      <xdr:colOff>548640</xdr:colOff>
      <xdr:row>6</xdr:row>
      <xdr:rowOff>10800</xdr:rowOff>
    </xdr:to>
    <xdr:sp>
      <xdr:nvSpPr>
        <xdr:cNvPr id="300" name="Balão de Fala: Retângulo com Cantos Arredondados 45"/>
        <xdr:cNvSpPr/>
      </xdr:nvSpPr>
      <xdr:spPr>
        <a:xfrm>
          <a:off x="14845320" y="799920"/>
          <a:ext cx="548640" cy="182160"/>
        </a:xfrm>
        <a:prstGeom prst="wedgeRoundRectCallout">
          <a:avLst>
            <a:gd name="adj1" fmla="val -18889"/>
            <a:gd name="adj2" fmla="val 13747"/>
            <a:gd name="adj3" fmla="val 16667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28800" bIns="36000" anchor="ctr">
          <a:noAutofit/>
        </a:bodyPr>
        <a:p>
          <a:pPr algn="ctr">
            <a:lnSpc>
              <a:spcPct val="100000"/>
            </a:lnSpc>
          </a:pPr>
          <a:r>
            <a:rPr b="0" lang="en-GB" sz="900" spc="-1" strike="noStrike">
              <a:solidFill>
                <a:srgbClr val="ffffff"/>
              </a:solidFill>
              <a:latin typeface="Calibri"/>
            </a:rPr>
            <a:t>DIAS</a:t>
          </a:r>
          <a:endParaRPr b="0" lang="pt-BR" sz="9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abrinvestir215870" displayName="abrinvestir215870" ref="C24:AJ28" headerRowCount="1" totalsRowCount="1" totalsRowShown="1">
  <autoFilter ref="C24:AJ2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0.xml><?xml version="1.0" encoding="utf-8"?>
<table xmlns="http://schemas.openxmlformats.org/spreadsheetml/2006/main" id="10" name="despesafixaconsolidadoago" displayName="despesafixaconsolidadoago" ref="C36:AJ51" headerRowCount="1" totalsRowCount="0" totalsRowShown="0">
  <autoFilter ref="C36:AJ51"/>
  <tableColumns count="34">
    <tableColumn id="1" name="DESPESA FIXA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100.xml><?xml version="1.0" encoding="utf-8"?>
<table xmlns="http://schemas.openxmlformats.org/spreadsheetml/2006/main" id="100" name="receitasfixasconsolidadodez" displayName="receitasfixasconsolidadodez" ref="C81:AJ87" headerRowCount="1" totalsRowCount="0" totalsRowShown="0">
  <autoFilter ref="C81:AJ8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01.xml><?xml version="1.0" encoding="utf-8"?>
<table xmlns="http://schemas.openxmlformats.org/spreadsheetml/2006/main" id="101" name="receitasfixasconsolidadofev" displayName="receitasfixasconsolidadofev" ref="C81:AJ87" headerRowCount="1" totalsRowCount="0" totalsRowShown="0">
  <autoFilter ref="C81:AJ8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02.xml><?xml version="1.0" encoding="utf-8"?>
<table xmlns="http://schemas.openxmlformats.org/spreadsheetml/2006/main" id="102" name="receitasfixasconsolidadojul" displayName="receitasfixasconsolidadojul" ref="C81:AJ87" headerRowCount="1" totalsRowCount="0" totalsRowShown="0">
  <autoFilter ref="C81:AJ8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03.xml><?xml version="1.0" encoding="utf-8"?>
<table xmlns="http://schemas.openxmlformats.org/spreadsheetml/2006/main" id="103" name="receitasfixasconsolidadojun" displayName="receitasfixasconsolidadojun" ref="C81:AJ87" headerRowCount="1" totalsRowCount="0" totalsRowShown="0">
  <autoFilter ref="C81:AJ8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04.xml><?xml version="1.0" encoding="utf-8"?>
<table xmlns="http://schemas.openxmlformats.org/spreadsheetml/2006/main" id="104" name="receitasfixasconsolidadomai" displayName="receitasfixasconsolidadomai" ref="C81:AJ87" headerRowCount="1" totalsRowCount="0" totalsRowShown="0">
  <autoFilter ref="C81:AJ8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05.xml><?xml version="1.0" encoding="utf-8"?>
<table xmlns="http://schemas.openxmlformats.org/spreadsheetml/2006/main" id="105" name="receitasfixasconsolidadomar" displayName="receitasfixasconsolidadomar" ref="C81:AJ87" headerRowCount="1" totalsRowCount="0" totalsRowShown="0">
  <autoFilter ref="C81:AJ8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06.xml><?xml version="1.0" encoding="utf-8"?>
<table xmlns="http://schemas.openxmlformats.org/spreadsheetml/2006/main" id="106" name="receitasfixasconsolidadonov" displayName="receitasfixasconsolidadonov" ref="C81:AJ87" headerRowCount="1" totalsRowCount="0" totalsRowShown="0">
  <autoFilter ref="C81:AJ8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07.xml><?xml version="1.0" encoding="utf-8"?>
<table xmlns="http://schemas.openxmlformats.org/spreadsheetml/2006/main" id="107" name="receitasfixasconsolidadoout" displayName="receitasfixasconsolidadoout" ref="C81:AJ87" headerRowCount="1" totalsRowCount="0" totalsRowShown="0">
  <autoFilter ref="C81:AJ8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08.xml><?xml version="1.0" encoding="utf-8"?>
<table xmlns="http://schemas.openxmlformats.org/spreadsheetml/2006/main" id="108" name="receitasfixasconsolidadoset" displayName="receitasfixasconsolidadoset" ref="C81:AJ87" headerRowCount="1" totalsRowCount="0" totalsRowShown="0">
  <autoFilter ref="C81:AJ8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09.xml><?xml version="1.0" encoding="utf-8"?>
<table xmlns="http://schemas.openxmlformats.org/spreadsheetml/2006/main" id="109" name="receitasvariáveisconsolidado28" displayName="receitasvariáveisconsolidado28" ref="C95:AJ104" headerRowCount="1" totalsRowCount="0" totalsRowShown="0">
  <autoFilter ref="C95:AJ10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1.xml><?xml version="1.0" encoding="utf-8"?>
<table xmlns="http://schemas.openxmlformats.org/spreadsheetml/2006/main" id="11" name="despesafixaconsolidadoanual" displayName="despesafixaconsolidadoanual" ref="C36:Q51" headerRowCount="1" totalsRowCount="0" totalsRowShown="0">
  <autoFilter ref="C36:Q51"/>
  <tableColumns count="15">
    <tableColumn id="1" name="DESPESA FIXA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TOTAL"/>
  </tableColumns>
</table>
</file>

<file path=xl/tables/table110.xml><?xml version="1.0" encoding="utf-8"?>
<table xmlns="http://schemas.openxmlformats.org/spreadsheetml/2006/main" id="110" name="receitasvariáveisconsolidadoabr" displayName="receitasvariáveisconsolidadoabr" ref="C95:AJ104" headerRowCount="1" totalsRowCount="0" totalsRowShown="0">
  <autoFilter ref="C95:AJ10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11.xml><?xml version="1.0" encoding="utf-8"?>
<table xmlns="http://schemas.openxmlformats.org/spreadsheetml/2006/main" id="111" name="receitasvariáveisconsolidadoago" displayName="receitasvariáveisconsolidadoago" ref="C95:AJ104" headerRowCount="1" totalsRowCount="0" totalsRowShown="0">
  <autoFilter ref="C95:AJ10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12.xml><?xml version="1.0" encoding="utf-8"?>
<table xmlns="http://schemas.openxmlformats.org/spreadsheetml/2006/main" id="112" name="receitasvariáveisconsolidadoanual" displayName="receitasvariáveisconsolidadoanual" ref="C95:Q104" headerRowCount="1" totalsRowCount="0" totalsRowShown="0">
  <autoFilter ref="C95:Q104"/>
  <tableColumns count="15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TOTAL (R$)"/>
  </tableColumns>
</table>
</file>

<file path=xl/tables/table113.xml><?xml version="1.0" encoding="utf-8"?>
<table xmlns="http://schemas.openxmlformats.org/spreadsheetml/2006/main" id="113" name="receitasvariáveisconsolidadodez" displayName="receitasvariáveisconsolidadodez" ref="C95:AJ104" headerRowCount="1" totalsRowCount="0" totalsRowShown="0">
  <autoFilter ref="C95:AJ10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14.xml><?xml version="1.0" encoding="utf-8"?>
<table xmlns="http://schemas.openxmlformats.org/spreadsheetml/2006/main" id="114" name="receitasvariáveisconsolidadofev" displayName="receitasvariáveisconsolidadofev" ref="C95:AJ104" headerRowCount="1" totalsRowCount="0" totalsRowShown="0">
  <autoFilter ref="C95:AJ10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15.xml><?xml version="1.0" encoding="utf-8"?>
<table xmlns="http://schemas.openxmlformats.org/spreadsheetml/2006/main" id="115" name="receitasvariáveisconsolidadojul" displayName="receitasvariáveisconsolidadojul" ref="C95:AJ104" headerRowCount="1" totalsRowCount="0" totalsRowShown="0">
  <autoFilter ref="C95:AJ10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16.xml><?xml version="1.0" encoding="utf-8"?>
<table xmlns="http://schemas.openxmlformats.org/spreadsheetml/2006/main" id="116" name="receitasvariáveisconsolidadojun" displayName="receitasvariáveisconsolidadojun" ref="C95:AJ104" headerRowCount="1" totalsRowCount="0" totalsRowShown="0">
  <autoFilter ref="C95:AJ10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17.xml><?xml version="1.0" encoding="utf-8"?>
<table xmlns="http://schemas.openxmlformats.org/spreadsheetml/2006/main" id="117" name="receitasvariáveisconsolidadomai" displayName="receitasvariáveisconsolidadomai" ref="C95:AJ104" headerRowCount="1" totalsRowCount="0" totalsRowShown="0">
  <autoFilter ref="C95:AJ10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18.xml><?xml version="1.0" encoding="utf-8"?>
<table xmlns="http://schemas.openxmlformats.org/spreadsheetml/2006/main" id="118" name="receitasvariáveisconsolidadomar" displayName="receitasvariáveisconsolidadomar" ref="C95:AJ104" headerRowCount="1" totalsRowCount="0" totalsRowShown="0">
  <autoFilter ref="C95:AJ10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19.xml><?xml version="1.0" encoding="utf-8"?>
<table xmlns="http://schemas.openxmlformats.org/spreadsheetml/2006/main" id="119" name="receitasvariáveisconsolidadonov" displayName="receitasvariáveisconsolidadonov" ref="C95:AJ104" headerRowCount="1" totalsRowCount="0" totalsRowShown="0">
  <autoFilter ref="C95:AJ10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2.xml><?xml version="1.0" encoding="utf-8"?>
<table xmlns="http://schemas.openxmlformats.org/spreadsheetml/2006/main" id="12" name="despesafixaconsolidadodez" displayName="despesafixaconsolidadodez" ref="C36:AJ51" headerRowCount="1" totalsRowCount="0" totalsRowShown="0">
  <autoFilter ref="C36:AJ51"/>
  <tableColumns count="34">
    <tableColumn id="1" name="DESPESA FIXA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120.xml><?xml version="1.0" encoding="utf-8"?>
<table xmlns="http://schemas.openxmlformats.org/spreadsheetml/2006/main" id="120" name="receitasvariáveisconsolidadoout" displayName="receitasvariáveisconsolidadoout" ref="C95:AJ104" headerRowCount="1" totalsRowCount="0" totalsRowShown="0">
  <autoFilter ref="C95:AJ10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21.xml><?xml version="1.0" encoding="utf-8"?>
<table xmlns="http://schemas.openxmlformats.org/spreadsheetml/2006/main" id="121" name="receitasvariáveisconsolidadoset" displayName="receitasvariáveisconsolidadoset" ref="C95:AJ104" headerRowCount="1" totalsRowCount="0" totalsRowShown="0">
  <autoFilter ref="C95:AJ10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22.xml><?xml version="1.0" encoding="utf-8"?>
<table xmlns="http://schemas.openxmlformats.org/spreadsheetml/2006/main" id="122" name="receitavariável" displayName="receitavariável" ref="Z2:Z10" headerRowCount="1" totalsRowCount="0" totalsRowShown="0">
  <autoFilter ref="Z2:Z10"/>
  <tableColumns count="1">
    <tableColumn id="1" name="RECEITA VARIÁVEL"/>
  </tableColumns>
</table>
</file>

<file path=xl/tables/table123.xml><?xml version="1.0" encoding="utf-8"?>
<table xmlns="http://schemas.openxmlformats.org/spreadsheetml/2006/main" id="123" name="registros" displayName="registros" ref="N2:N6" headerRowCount="1" totalsRowCount="0" totalsRowShown="0">
  <autoFilter ref="N2:N6"/>
  <tableColumns count="1">
    <tableColumn id="1" name="REGISTRO"/>
  </tableColumns>
</table>
</file>

<file path=xl/tables/table124.xml><?xml version="1.0" encoding="utf-8"?>
<table xmlns="http://schemas.openxmlformats.org/spreadsheetml/2006/main" id="124" name="rendafixa" displayName="rendafixa" ref="AD2:AD12" headerRowCount="1" totalsRowCount="0" totalsRowShown="0">
  <autoFilter ref="AD2:AD12"/>
  <tableColumns count="1">
    <tableColumn id="1" name="RENDA FIXA"/>
  </tableColumns>
</table>
</file>

<file path=xl/tables/table125.xml><?xml version="1.0" encoding="utf-8"?>
<table xmlns="http://schemas.openxmlformats.org/spreadsheetml/2006/main" id="125" name="rendavariável" displayName="rendavariável" ref="AF2:AF12" headerRowCount="1" totalsRowCount="0" totalsRowShown="0">
  <autoFilter ref="AF2:AF12"/>
  <tableColumns count="1">
    <tableColumn id="1" name="RENDA VARIÁVEL"/>
  </tableColumns>
</table>
</file>

<file path=xl/tables/table126.xml><?xml version="1.0" encoding="utf-8"?>
<table xmlns="http://schemas.openxmlformats.org/spreadsheetml/2006/main" id="126" name="reserva" displayName="reserva" ref="AJ2:AJ5" headerRowCount="1" totalsRowCount="0" totalsRowShown="0">
  <autoFilter ref="AJ2:AJ5"/>
  <tableColumns count="1">
    <tableColumn id="1" name="RESERVA"/>
  </tableColumns>
</table>
</file>

<file path=xl/tables/table127.xml><?xml version="1.0" encoding="utf-8"?>
<table xmlns="http://schemas.openxmlformats.org/spreadsheetml/2006/main" id="127" name="reservafixaconsolidado282933" displayName="reservafixaconsolidado282933" ref="C167:AJ178" headerRowCount="1" totalsRowCount="0" totalsRowShown="0">
  <autoFilter ref="C167:AJ17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28.xml><?xml version="1.0" encoding="utf-8"?>
<table xmlns="http://schemas.openxmlformats.org/spreadsheetml/2006/main" id="128" name="reservafixaconsolidadoabr" displayName="reservafixaconsolidadoabr" ref="C167:AJ178" headerRowCount="1" totalsRowCount="0" totalsRowShown="0">
  <autoFilter ref="C167:AJ17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29.xml><?xml version="1.0" encoding="utf-8"?>
<table xmlns="http://schemas.openxmlformats.org/spreadsheetml/2006/main" id="129" name="reservafixaconsolidadoago" displayName="reservafixaconsolidadoago" ref="C167:AJ178" headerRowCount="1" totalsRowCount="0" totalsRowShown="0">
  <autoFilter ref="C167:AJ17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3.xml><?xml version="1.0" encoding="utf-8"?>
<table xmlns="http://schemas.openxmlformats.org/spreadsheetml/2006/main" id="13" name="despesafixaconsolidadofev" displayName="despesafixaconsolidadofev" ref="C36:AJ51" headerRowCount="1" totalsRowCount="0" totalsRowShown="0">
  <autoFilter ref="C36:AJ51"/>
  <tableColumns count="34">
    <tableColumn id="1" name="DESPESA FIXA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130.xml><?xml version="1.0" encoding="utf-8"?>
<table xmlns="http://schemas.openxmlformats.org/spreadsheetml/2006/main" id="130" name="reservafixaconsolidadoanual" displayName="reservafixaconsolidadoanual" ref="C167:Q178" headerRowCount="1" totalsRowCount="0" totalsRowShown="0">
  <autoFilter ref="C167:Q178"/>
  <tableColumns count="15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TOTAL (R$)"/>
  </tableColumns>
</table>
</file>

<file path=xl/tables/table131.xml><?xml version="1.0" encoding="utf-8"?>
<table xmlns="http://schemas.openxmlformats.org/spreadsheetml/2006/main" id="131" name="reservafixaconsolidadodez" displayName="reservafixaconsolidadodez" ref="C167:AJ178" headerRowCount="1" totalsRowCount="0" totalsRowShown="0">
  <autoFilter ref="C167:AJ17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32.xml><?xml version="1.0" encoding="utf-8"?>
<table xmlns="http://schemas.openxmlformats.org/spreadsheetml/2006/main" id="132" name="reservafixaconsolidadofev" displayName="reservafixaconsolidadofev" ref="C167:AJ178" headerRowCount="1" totalsRowCount="0" totalsRowShown="0">
  <autoFilter ref="C167:AJ17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33.xml><?xml version="1.0" encoding="utf-8"?>
<table xmlns="http://schemas.openxmlformats.org/spreadsheetml/2006/main" id="133" name="reservafixaconsolidadojul" displayName="reservafixaconsolidadojul" ref="C167:AJ178" headerRowCount="1" totalsRowCount="0" totalsRowShown="0">
  <autoFilter ref="C167:AJ17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34.xml><?xml version="1.0" encoding="utf-8"?>
<table xmlns="http://schemas.openxmlformats.org/spreadsheetml/2006/main" id="134" name="reservafixaconsolidadojun" displayName="reservafixaconsolidadojun" ref="C167:AJ178" headerRowCount="1" totalsRowCount="0" totalsRowShown="0">
  <autoFilter ref="C167:AJ17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35.xml><?xml version="1.0" encoding="utf-8"?>
<table xmlns="http://schemas.openxmlformats.org/spreadsheetml/2006/main" id="135" name="reservafixaconsolidadomai" displayName="reservafixaconsolidadomai" ref="C167:AJ178" headerRowCount="1" totalsRowCount="0" totalsRowShown="0">
  <autoFilter ref="C167:AJ17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36.xml><?xml version="1.0" encoding="utf-8"?>
<table xmlns="http://schemas.openxmlformats.org/spreadsheetml/2006/main" id="136" name="reservafixaconsolidadomar" displayName="reservafixaconsolidadomar" ref="C167:AJ178" headerRowCount="1" totalsRowCount="0" totalsRowShown="0">
  <autoFilter ref="C167:AJ17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37.xml><?xml version="1.0" encoding="utf-8"?>
<table xmlns="http://schemas.openxmlformats.org/spreadsheetml/2006/main" id="137" name="reservafixaconsolidadonov" displayName="reservafixaconsolidadonov" ref="C167:AJ178" headerRowCount="1" totalsRowCount="0" totalsRowShown="0">
  <autoFilter ref="C167:AJ17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38.xml><?xml version="1.0" encoding="utf-8"?>
<table xmlns="http://schemas.openxmlformats.org/spreadsheetml/2006/main" id="138" name="reservafixaconsolidadoout" displayName="reservafixaconsolidadoout" ref="C167:AJ178" headerRowCount="1" totalsRowCount="0" totalsRowShown="0">
  <autoFilter ref="C167:AJ17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39.xml><?xml version="1.0" encoding="utf-8"?>
<table xmlns="http://schemas.openxmlformats.org/spreadsheetml/2006/main" id="139" name="reservafixaconsolidadoset" displayName="reservafixaconsolidadoset" ref="C167:AJ178" headerRowCount="1" totalsRowCount="0" totalsRowShown="0">
  <autoFilter ref="C167:AJ17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4.xml><?xml version="1.0" encoding="utf-8"?>
<table xmlns="http://schemas.openxmlformats.org/spreadsheetml/2006/main" id="14" name="despesafixaconsolidadojul" displayName="despesafixaconsolidadojul" ref="C36:AJ51" headerRowCount="1" totalsRowCount="0" totalsRowShown="0">
  <autoFilter ref="C36:AJ51"/>
  <tableColumns count="34">
    <tableColumn id="1" name="DESPESA FIXA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140.xml><?xml version="1.0" encoding="utf-8"?>
<table xmlns="http://schemas.openxmlformats.org/spreadsheetml/2006/main" id="140" name="reservaoutros" displayName="reservaoutros" ref="AP2:AP10" headerRowCount="1" totalsRowCount="0" totalsRowShown="0">
  <autoFilter ref="AP2:AP10"/>
  <tableColumns count="1">
    <tableColumn id="1" name="RESERVA OUTROS INVESTIMENTOS"/>
  </tableColumns>
</table>
</file>

<file path=xl/tables/table141.xml><?xml version="1.0" encoding="utf-8"?>
<table xmlns="http://schemas.openxmlformats.org/spreadsheetml/2006/main" id="141" name="reservaoutrosconsolidado282935" displayName="reservaoutrosconsolidado282935" ref="C205:AJ214" headerRowCount="1" totalsRowCount="0" totalsRowShown="0">
  <autoFilter ref="C205:AJ21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42.xml><?xml version="1.0" encoding="utf-8"?>
<table xmlns="http://schemas.openxmlformats.org/spreadsheetml/2006/main" id="142" name="reservaoutrosconsolidadoabr" displayName="reservaoutrosconsolidadoabr" ref="C205:AJ214" headerRowCount="1" totalsRowCount="0" totalsRowShown="0">
  <autoFilter ref="C205:AJ21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43.xml><?xml version="1.0" encoding="utf-8"?>
<table xmlns="http://schemas.openxmlformats.org/spreadsheetml/2006/main" id="143" name="reservaoutrosconsolidadoago" displayName="reservaoutrosconsolidadoago" ref="C205:AJ214" headerRowCount="1" totalsRowCount="0" totalsRowShown="0">
  <autoFilter ref="C205:AJ21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44.xml><?xml version="1.0" encoding="utf-8"?>
<table xmlns="http://schemas.openxmlformats.org/spreadsheetml/2006/main" id="144" name="reservaoutrosconsolidadoanual" displayName="reservaoutrosconsolidadoanual" ref="C205:Q214" headerRowCount="1" totalsRowCount="0" totalsRowShown="0">
  <autoFilter ref="C205:Q214"/>
  <tableColumns count="15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TOTAL (R$)"/>
  </tableColumns>
</table>
</file>

<file path=xl/tables/table145.xml><?xml version="1.0" encoding="utf-8"?>
<table xmlns="http://schemas.openxmlformats.org/spreadsheetml/2006/main" id="145" name="reservaoutrosconsolidadodez" displayName="reservaoutrosconsolidadodez" ref="C205:AJ214" headerRowCount="1" totalsRowCount="0" totalsRowShown="0">
  <autoFilter ref="C205:AJ21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46.xml><?xml version="1.0" encoding="utf-8"?>
<table xmlns="http://schemas.openxmlformats.org/spreadsheetml/2006/main" id="146" name="reservaoutrosconsolidadofev" displayName="reservaoutrosconsolidadofev" ref="C205:AJ214" headerRowCount="1" totalsRowCount="0" totalsRowShown="0">
  <autoFilter ref="C205:AJ21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47.xml><?xml version="1.0" encoding="utf-8"?>
<table xmlns="http://schemas.openxmlformats.org/spreadsheetml/2006/main" id="147" name="reservaoutrosconsolidadojul" displayName="reservaoutrosconsolidadojul" ref="C205:AJ214" headerRowCount="1" totalsRowCount="0" totalsRowShown="0">
  <autoFilter ref="C205:AJ21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48.xml><?xml version="1.0" encoding="utf-8"?>
<table xmlns="http://schemas.openxmlformats.org/spreadsheetml/2006/main" id="148" name="reservaoutrosconsolidadojun" displayName="reservaoutrosconsolidadojun" ref="C205:AJ214" headerRowCount="1" totalsRowCount="0" totalsRowShown="0">
  <autoFilter ref="C205:AJ21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49.xml><?xml version="1.0" encoding="utf-8"?>
<table xmlns="http://schemas.openxmlformats.org/spreadsheetml/2006/main" id="149" name="reservaoutrosconsolidadomai" displayName="reservaoutrosconsolidadomai" ref="C205:AJ214" headerRowCount="1" totalsRowCount="0" totalsRowShown="0">
  <autoFilter ref="C205:AJ21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5.xml><?xml version="1.0" encoding="utf-8"?>
<table xmlns="http://schemas.openxmlformats.org/spreadsheetml/2006/main" id="15" name="despesafixaconsolidadojun" displayName="despesafixaconsolidadojun" ref="C36:AJ51" headerRowCount="1" totalsRowCount="0" totalsRowShown="0">
  <autoFilter ref="C36:AJ51"/>
  <tableColumns count="34">
    <tableColumn id="1" name="DESPESA FIXA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150.xml><?xml version="1.0" encoding="utf-8"?>
<table xmlns="http://schemas.openxmlformats.org/spreadsheetml/2006/main" id="150" name="reservaoutrosconsolidadomar" displayName="reservaoutrosconsolidadomar" ref="C205:AJ214" headerRowCount="1" totalsRowCount="0" totalsRowShown="0">
  <autoFilter ref="C205:AJ21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51.xml><?xml version="1.0" encoding="utf-8"?>
<table xmlns="http://schemas.openxmlformats.org/spreadsheetml/2006/main" id="151" name="reservaoutrosconsolidadonov" displayName="reservaoutrosconsolidadonov" ref="C205:AJ214" headerRowCount="1" totalsRowCount="0" totalsRowShown="0">
  <autoFilter ref="C205:AJ21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52.xml><?xml version="1.0" encoding="utf-8"?>
<table xmlns="http://schemas.openxmlformats.org/spreadsheetml/2006/main" id="152" name="reservaoutrosconsolidadoout" displayName="reservaoutrosconsolidadoout" ref="C205:AJ214" headerRowCount="1" totalsRowCount="0" totalsRowShown="0">
  <autoFilter ref="C205:AJ21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53.xml><?xml version="1.0" encoding="utf-8"?>
<table xmlns="http://schemas.openxmlformats.org/spreadsheetml/2006/main" id="153" name="reservaoutrosconsolidadoset" displayName="reservaoutrosconsolidadoset" ref="C205:AJ214" headerRowCount="1" totalsRowCount="0" totalsRowShown="0">
  <autoFilter ref="C205:AJ214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54.xml><?xml version="1.0" encoding="utf-8"?>
<table xmlns="http://schemas.openxmlformats.org/spreadsheetml/2006/main" id="154" name="reservarendafixa" displayName="reservarendafixa" ref="AL2:AL12" headerRowCount="1" totalsRowCount="0" totalsRowShown="0">
  <autoFilter ref="AL2:AL12"/>
  <tableColumns count="1">
    <tableColumn id="1" name="RESERVA RENDA FIXA"/>
  </tableColumns>
</table>
</file>

<file path=xl/tables/table155.xml><?xml version="1.0" encoding="utf-8"?>
<table xmlns="http://schemas.openxmlformats.org/spreadsheetml/2006/main" id="155" name="reservarendavariável" displayName="reservarendavariável" ref="AN2:AN12" headerRowCount="1" totalsRowCount="0" totalsRowShown="0">
  <autoFilter ref="AN2:AN12"/>
  <tableColumns count="1">
    <tableColumn id="1" name="RESERVA RENDA VARIÁVEL"/>
  </tableColumns>
</table>
</file>

<file path=xl/tables/table156.xml><?xml version="1.0" encoding="utf-8"?>
<table xmlns="http://schemas.openxmlformats.org/spreadsheetml/2006/main" id="156" name="reservavariáveisconsolidado282934" displayName="reservavariáveisconsolidado282934" ref="C186:AJ197" headerRowCount="1" totalsRowCount="0" totalsRowShown="0">
  <autoFilter ref="C186:AJ19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57.xml><?xml version="1.0" encoding="utf-8"?>
<table xmlns="http://schemas.openxmlformats.org/spreadsheetml/2006/main" id="157" name="reservavariáveisconsolidadoabr" displayName="reservavariáveisconsolidadoabr" ref="C186:AJ197" headerRowCount="1" totalsRowCount="0" totalsRowShown="0">
  <autoFilter ref="C186:AJ19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58.xml><?xml version="1.0" encoding="utf-8"?>
<table xmlns="http://schemas.openxmlformats.org/spreadsheetml/2006/main" id="158" name="reservavariáveisconsolidadoago" displayName="reservavariáveisconsolidadoago" ref="C186:AJ197" headerRowCount="1" totalsRowCount="0" totalsRowShown="0">
  <autoFilter ref="C186:AJ19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59.xml><?xml version="1.0" encoding="utf-8"?>
<table xmlns="http://schemas.openxmlformats.org/spreadsheetml/2006/main" id="159" name="reservavariáveisconsolidadoanual" displayName="reservavariáveisconsolidadoanual" ref="C186:Q197" headerRowCount="1" totalsRowCount="0" totalsRowShown="0">
  <autoFilter ref="C186:Q197"/>
  <tableColumns count="15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TOTAL (R$)"/>
  </tableColumns>
</table>
</file>

<file path=xl/tables/table16.xml><?xml version="1.0" encoding="utf-8"?>
<table xmlns="http://schemas.openxmlformats.org/spreadsheetml/2006/main" id="16" name="despesafixaconsolidadomai" displayName="despesafixaconsolidadomai" ref="C36:AJ51" headerRowCount="1" totalsRowCount="0" totalsRowShown="0">
  <autoFilter ref="C36:AJ51"/>
  <tableColumns count="34">
    <tableColumn id="1" name="DESPESA FIXA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160.xml><?xml version="1.0" encoding="utf-8"?>
<table xmlns="http://schemas.openxmlformats.org/spreadsheetml/2006/main" id="160" name="reservavariáveisconsolidadodez" displayName="reservavariáveisconsolidadodez" ref="C186:AJ197" headerRowCount="1" totalsRowCount="0" totalsRowShown="0">
  <autoFilter ref="C186:AJ19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61.xml><?xml version="1.0" encoding="utf-8"?>
<table xmlns="http://schemas.openxmlformats.org/spreadsheetml/2006/main" id="161" name="reservavariáveisconsolidadofev" displayName="reservavariáveisconsolidadofev" ref="C186:AJ197" headerRowCount="1" totalsRowCount="0" totalsRowShown="0">
  <autoFilter ref="C186:AJ19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62.xml><?xml version="1.0" encoding="utf-8"?>
<table xmlns="http://schemas.openxmlformats.org/spreadsheetml/2006/main" id="162" name="reservavariáveisconsolidadojul" displayName="reservavariáveisconsolidadojul" ref="C186:AJ197" headerRowCount="1" totalsRowCount="0" totalsRowShown="0">
  <autoFilter ref="C186:AJ19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63.xml><?xml version="1.0" encoding="utf-8"?>
<table xmlns="http://schemas.openxmlformats.org/spreadsheetml/2006/main" id="163" name="reservavariáveisconsolidadojun" displayName="reservavariáveisconsolidadojun" ref="C186:AJ197" headerRowCount="1" totalsRowCount="0" totalsRowShown="0">
  <autoFilter ref="C186:AJ19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64.xml><?xml version="1.0" encoding="utf-8"?>
<table xmlns="http://schemas.openxmlformats.org/spreadsheetml/2006/main" id="164" name="reservavariáveisconsolidadomai" displayName="reservavariáveisconsolidadomai" ref="C186:AJ197" headerRowCount="1" totalsRowCount="0" totalsRowShown="0">
  <autoFilter ref="C186:AJ19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65.xml><?xml version="1.0" encoding="utf-8"?>
<table xmlns="http://schemas.openxmlformats.org/spreadsheetml/2006/main" id="165" name="reservavariáveisconsolidadomar" displayName="reservavariáveisconsolidadomar" ref="C186:AJ197" headerRowCount="1" totalsRowCount="0" totalsRowShown="0">
  <autoFilter ref="C186:AJ19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66.xml><?xml version="1.0" encoding="utf-8"?>
<table xmlns="http://schemas.openxmlformats.org/spreadsheetml/2006/main" id="166" name="reservavariáveisconsolidadonov" displayName="reservavariáveisconsolidadonov" ref="C186:AJ197" headerRowCount="1" totalsRowCount="0" totalsRowShown="0">
  <autoFilter ref="C186:AJ19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67.xml><?xml version="1.0" encoding="utf-8"?>
<table xmlns="http://schemas.openxmlformats.org/spreadsheetml/2006/main" id="167" name="reservavariáveisconsolidadoout" displayName="reservavariáveisconsolidadoout" ref="C186:AJ197" headerRowCount="1" totalsRowCount="0" totalsRowShown="0">
  <autoFilter ref="C186:AJ19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68.xml><?xml version="1.0" encoding="utf-8"?>
<table xmlns="http://schemas.openxmlformats.org/spreadsheetml/2006/main" id="168" name="reservavariáveisconsolidadoset" displayName="reservavariáveisconsolidadoset" ref="C186:AJ197" headerRowCount="1" totalsRowCount="0" totalsRowShown="0">
  <autoFilter ref="C186:AJ19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69.xml><?xml version="1.0" encoding="utf-8"?>
<table xmlns="http://schemas.openxmlformats.org/spreadsheetml/2006/main" id="169" name="setinvestir2158708294106118130" displayName="setinvestir2158708294106118130" ref="C24:AJ28" headerRowCount="1" totalsRowCount="1" totalsRowShown="1">
  <autoFilter ref="C24:AJ2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7.xml><?xml version="1.0" encoding="utf-8"?>
<table xmlns="http://schemas.openxmlformats.org/spreadsheetml/2006/main" id="17" name="despesafixaconsolidadomar" displayName="despesafixaconsolidadomar" ref="C36:AJ51" headerRowCount="1" totalsRowCount="0" totalsRowShown="0">
  <autoFilter ref="C36:AJ51"/>
  <tableColumns count="34">
    <tableColumn id="1" name="DESPESA FIXA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170.xml><?xml version="1.0" encoding="utf-8"?>
<table xmlns="http://schemas.openxmlformats.org/spreadsheetml/2006/main" id="170" name="settotal3059718395107119131" displayName="settotal3059718395107119131" ref="C13:AJ16" headerRowCount="1" totalsRowCount="0" totalsRowShown="0">
  <autoFilter ref="C13:AJ16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171.xml><?xml version="1.0" encoding="utf-8"?>
<table xmlns="http://schemas.openxmlformats.org/spreadsheetml/2006/main" id="171" name="Tabela14" displayName="Tabela14" ref="J2:J4" headerRowCount="1" totalsRowCount="0" totalsRowShown="0">
  <autoFilter ref="J2:J4"/>
  <tableColumns count="1">
    <tableColumn id="1" name="SITUAÇÃO"/>
  </tableColumns>
</table>
</file>

<file path=xl/tables/table172.xml><?xml version="1.0" encoding="utf-8"?>
<table xmlns="http://schemas.openxmlformats.org/spreadsheetml/2006/main" id="172" name="tabela_registros" displayName="tabela_registros" ref="B6:L76" headerRowCount="1" totalsRowCount="0" totalsRowShown="0">
  <autoFilter ref="B6:L76"/>
  <tableColumns count="11">
    <tableColumn id="1" name="DIA"/>
    <tableColumn id="2" name="MÊS"/>
    <tableColumn id="3" name="DATA &#10;REGISTRO"/>
    <tableColumn id="4" name="REGISTRO"/>
    <tableColumn id="5" name="TIPO"/>
    <tableColumn id="6" name="CATEGORIA"/>
    <tableColumn id="7" name="DESCRIÇÃO"/>
    <tableColumn id="8" name="VALOR"/>
    <tableColumn id="9" name="FORMATO"/>
    <tableColumn id="10" name="SITUAÇÃO"/>
    <tableColumn id="11" name="DATA&#10;MOVIMENTAÇÃO"/>
  </tableColumns>
</table>
</file>

<file path=xl/tables/table173.xml><?xml version="1.0" encoding="utf-8"?>
<table xmlns="http://schemas.openxmlformats.org/spreadsheetml/2006/main" id="173" name="▲entrada" displayName="▲entrada" ref="V2:V4" headerRowCount="1" totalsRowCount="0" totalsRowShown="0">
  <autoFilter ref="V2:V4"/>
  <tableColumns count="1">
    <tableColumn id="1" name="ENTRADA"/>
  </tableColumns>
</table>
</file>

<file path=xl/tables/table174.xml><?xml version="1.0" encoding="utf-8"?>
<table xmlns="http://schemas.openxmlformats.org/spreadsheetml/2006/main" id="174" name="▼saída" displayName="▼saída" ref="P2:P4" headerRowCount="1" totalsRowCount="0" totalsRowShown="0">
  <autoFilter ref="P2:P4"/>
  <tableColumns count="1">
    <tableColumn id="1" name="SAÍDA"/>
  </tableColumns>
</table>
</file>

<file path=xl/tables/table18.xml><?xml version="1.0" encoding="utf-8"?>
<table xmlns="http://schemas.openxmlformats.org/spreadsheetml/2006/main" id="18" name="despesafixaconsolidadonov" displayName="despesafixaconsolidadonov" ref="C36:AJ51" headerRowCount="1" totalsRowCount="0" totalsRowShown="0">
  <autoFilter ref="C36:AJ51"/>
  <tableColumns count="34">
    <tableColumn id="1" name="DESPESA FIXA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19.xml><?xml version="1.0" encoding="utf-8"?>
<table xmlns="http://schemas.openxmlformats.org/spreadsheetml/2006/main" id="19" name="despesafixaconsolidadoout" displayName="despesafixaconsolidadoout" ref="C36:AJ51" headerRowCount="1" totalsRowCount="0" totalsRowShown="0">
  <autoFilter ref="C36:AJ51"/>
  <tableColumns count="34">
    <tableColumn id="1" name="DESPESA FIXA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2.xml><?xml version="1.0" encoding="utf-8"?>
<table xmlns="http://schemas.openxmlformats.org/spreadsheetml/2006/main" id="2" name="abrtotal305971" displayName="abrtotal305971" ref="C13:AJ16" headerRowCount="1" totalsRowCount="0" totalsRowShown="0">
  <autoFilter ref="C13:AJ16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20.xml><?xml version="1.0" encoding="utf-8"?>
<table xmlns="http://schemas.openxmlformats.org/spreadsheetml/2006/main" id="20" name="despesafixaconsolidadoset" displayName="despesafixaconsolidadoset" ref="C36:AJ51" headerRowCount="1" totalsRowCount="0" totalsRowShown="0">
  <autoFilter ref="C36:AJ51"/>
  <tableColumns count="34">
    <tableColumn id="1" name="DESPESA FIXA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21.xml><?xml version="1.0" encoding="utf-8"?>
<table xmlns="http://schemas.openxmlformats.org/spreadsheetml/2006/main" id="21" name="despesavariável" displayName="despesavariável" ref="T2:T15" headerRowCount="1" totalsRowCount="0" totalsRowShown="0">
  <autoFilter ref="T2:T15"/>
  <tableColumns count="1">
    <tableColumn id="1" name="DESPESA VARIÁVEL"/>
  </tableColumns>
</table>
</file>

<file path=xl/tables/table22.xml><?xml version="1.0" encoding="utf-8"?>
<table xmlns="http://schemas.openxmlformats.org/spreadsheetml/2006/main" id="22" name="despesavariávelconsolidado" displayName="despesavariávelconsolidado" ref="C59:AJ73" headerRowCount="1" totalsRowCount="0" totalsRowShown="0">
  <autoFilter ref="C59:AJ73"/>
  <tableColumns count="34">
    <tableColumn id="1" name="DESPESA VARIÁVE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23.xml><?xml version="1.0" encoding="utf-8"?>
<table xmlns="http://schemas.openxmlformats.org/spreadsheetml/2006/main" id="23" name="despesavariávelconsolidadoabr" displayName="despesavariávelconsolidadoabr" ref="C59:AJ73" headerRowCount="1" totalsRowCount="0" totalsRowShown="0">
  <autoFilter ref="C59:AJ73"/>
  <tableColumns count="34">
    <tableColumn id="1" name="DESPESA VARIÁVE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24.xml><?xml version="1.0" encoding="utf-8"?>
<table xmlns="http://schemas.openxmlformats.org/spreadsheetml/2006/main" id="24" name="despesavariávelconsolidadoago" displayName="despesavariávelconsolidadoago" ref="C59:AJ73" headerRowCount="1" totalsRowCount="0" totalsRowShown="0">
  <autoFilter ref="C59:AJ73"/>
  <tableColumns count="34">
    <tableColumn id="1" name="DESPESA VARIÁVE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25.xml><?xml version="1.0" encoding="utf-8"?>
<table xmlns="http://schemas.openxmlformats.org/spreadsheetml/2006/main" id="25" name="despesavariávelconsolidadoanual" displayName="despesavariávelconsolidadoanual" ref="C59:Q73" headerRowCount="1" totalsRowCount="0" totalsRowShown="0">
  <autoFilter ref="C59:Q73"/>
  <tableColumns count="15">
    <tableColumn id="1" name="DESPESA VARIÁVE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TOTAL"/>
  </tableColumns>
</table>
</file>

<file path=xl/tables/table26.xml><?xml version="1.0" encoding="utf-8"?>
<table xmlns="http://schemas.openxmlformats.org/spreadsheetml/2006/main" id="26" name="despesavariávelconsolidadodez" displayName="despesavariávelconsolidadodez" ref="C59:AJ73" headerRowCount="1" totalsRowCount="0" totalsRowShown="0">
  <autoFilter ref="C59:AJ73"/>
  <tableColumns count="34">
    <tableColumn id="1" name="DESPESA VARIÁVE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27.xml><?xml version="1.0" encoding="utf-8"?>
<table xmlns="http://schemas.openxmlformats.org/spreadsheetml/2006/main" id="27" name="despesavariávelconsolidadofev" displayName="despesavariávelconsolidadofev" ref="C59:AJ73" headerRowCount="1" totalsRowCount="0" totalsRowShown="0">
  <autoFilter ref="C59:AJ73"/>
  <tableColumns count="34">
    <tableColumn id="1" name="DESPESA VARIÁVE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28.xml><?xml version="1.0" encoding="utf-8"?>
<table xmlns="http://schemas.openxmlformats.org/spreadsheetml/2006/main" id="28" name="despesavariávelconsolidadojul" displayName="despesavariávelconsolidadojul" ref="C59:AJ73" headerRowCount="1" totalsRowCount="0" totalsRowShown="0">
  <autoFilter ref="C59:AJ73"/>
  <tableColumns count="34">
    <tableColumn id="1" name="DESPESA VARIÁVE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29.xml><?xml version="1.0" encoding="utf-8"?>
<table xmlns="http://schemas.openxmlformats.org/spreadsheetml/2006/main" id="29" name="despesavariávelconsolidadojun" displayName="despesavariávelconsolidadojun" ref="C59:AJ73" headerRowCount="1" totalsRowCount="0" totalsRowShown="0">
  <autoFilter ref="C59:AJ73"/>
  <tableColumns count="34">
    <tableColumn id="1" name="DESPESA VARIÁVE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3.xml><?xml version="1.0" encoding="utf-8"?>
<table xmlns="http://schemas.openxmlformats.org/spreadsheetml/2006/main" id="3" name="agoinvestir2158708294106118" displayName="agoinvestir2158708294106118" ref="C24:AJ28" headerRowCount="1" totalsRowCount="1" totalsRowShown="1">
  <autoFilter ref="C24:AJ2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30.xml><?xml version="1.0" encoding="utf-8"?>
<table xmlns="http://schemas.openxmlformats.org/spreadsheetml/2006/main" id="30" name="despesavariávelconsolidadomai" displayName="despesavariávelconsolidadomai" ref="C59:AJ73" headerRowCount="1" totalsRowCount="0" totalsRowShown="0">
  <autoFilter ref="C59:AJ73"/>
  <tableColumns count="34">
    <tableColumn id="1" name="DESPESA VARIÁVE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31.xml><?xml version="1.0" encoding="utf-8"?>
<table xmlns="http://schemas.openxmlformats.org/spreadsheetml/2006/main" id="31" name="despesavariávelconsolidadomar" displayName="despesavariávelconsolidadomar" ref="C59:AJ73" headerRowCount="1" totalsRowCount="0" totalsRowShown="0">
  <autoFilter ref="C59:AJ73"/>
  <tableColumns count="34">
    <tableColumn id="1" name="DESPESA VARIÁVE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32.xml><?xml version="1.0" encoding="utf-8"?>
<table xmlns="http://schemas.openxmlformats.org/spreadsheetml/2006/main" id="32" name="despesavariávelconsolidadonov" displayName="despesavariávelconsolidadonov" ref="C59:AJ73" headerRowCount="1" totalsRowCount="0" totalsRowShown="0">
  <autoFilter ref="C59:AJ73"/>
  <tableColumns count="34">
    <tableColumn id="1" name="DESPESA VARIÁVE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33.xml><?xml version="1.0" encoding="utf-8"?>
<table xmlns="http://schemas.openxmlformats.org/spreadsheetml/2006/main" id="33" name="despesavariávelconsolidadoout" displayName="despesavariávelconsolidadoout" ref="C59:AJ73" headerRowCount="1" totalsRowCount="0" totalsRowShown="0">
  <autoFilter ref="C59:AJ73"/>
  <tableColumns count="34">
    <tableColumn id="1" name="DESPESA VARIÁVE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34.xml><?xml version="1.0" encoding="utf-8"?>
<table xmlns="http://schemas.openxmlformats.org/spreadsheetml/2006/main" id="34" name="despesavariávelconsolidadoset" displayName="despesavariávelconsolidadoset" ref="C59:AJ73" headerRowCount="1" totalsRowCount="0" totalsRowShown="0">
  <autoFilter ref="C59:AJ73"/>
  <tableColumns count="34">
    <tableColumn id="1" name="DESPESA VARIÁVE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35.xml><?xml version="1.0" encoding="utf-8"?>
<table xmlns="http://schemas.openxmlformats.org/spreadsheetml/2006/main" id="35" name="dezinvestir2158708294106118130142154166" displayName="dezinvestir2158708294106118130142154166" ref="C24:AJ28" headerRowCount="1" totalsRowCount="1" totalsRowShown="1">
  <autoFilter ref="C24:AJ2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36.xml><?xml version="1.0" encoding="utf-8"?>
<table xmlns="http://schemas.openxmlformats.org/spreadsheetml/2006/main" id="36" name="deztotal3059718395107119131143155167" displayName="deztotal3059718395107119131143155167" ref="C13:AJ16" headerRowCount="1" totalsRowCount="0" totalsRowShown="0">
  <autoFilter ref="C13:AJ16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37.xml><?xml version="1.0" encoding="utf-8"?>
<table xmlns="http://schemas.openxmlformats.org/spreadsheetml/2006/main" id="37" name="fevinvestir21" displayName="fevinvestir21" ref="C24:AJ28" headerRowCount="1" totalsRowCount="1" totalsRowShown="1">
  <autoFilter ref="C24:AJ2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38.xml><?xml version="1.0" encoding="utf-8"?>
<table xmlns="http://schemas.openxmlformats.org/spreadsheetml/2006/main" id="38" name="fevtotal30" displayName="fevtotal30" ref="C13:AJ16" headerRowCount="1" totalsRowCount="0" totalsRowShown="0">
  <autoFilter ref="C13:AJ16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39.xml><?xml version="1.0" encoding="utf-8"?>
<table xmlns="http://schemas.openxmlformats.org/spreadsheetml/2006/main" id="39" name="formato" displayName="formato" ref="L2:L8" headerRowCount="1" totalsRowCount="0" totalsRowShown="0">
  <autoFilter ref="L2:L8"/>
  <tableColumns count="1">
    <tableColumn id="1" name="FORMATO"/>
  </tableColumns>
</table>
</file>

<file path=xl/tables/table4.xml><?xml version="1.0" encoding="utf-8"?>
<table xmlns="http://schemas.openxmlformats.org/spreadsheetml/2006/main" id="4" name="agototal3059718395107119" displayName="agototal3059718395107119" ref="C13:AJ16" headerRowCount="1" totalsRowCount="0" totalsRowShown="0">
  <autoFilter ref="C13:AJ16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40.xml><?xml version="1.0" encoding="utf-8"?>
<table xmlns="http://schemas.openxmlformats.org/spreadsheetml/2006/main" id="40" name="investimento" displayName="investimento" ref="AB2:AB5" headerRowCount="1" totalsRowCount="0" totalsRowShown="0">
  <autoFilter ref="AB2:AB5"/>
  <tableColumns count="1">
    <tableColumn id="1" name="INVESTIMENTO"/>
  </tableColumns>
</table>
</file>

<file path=xl/tables/table41.xml><?xml version="1.0" encoding="utf-8"?>
<table xmlns="http://schemas.openxmlformats.org/spreadsheetml/2006/main" id="41" name="investiroutrosconsolidado282932" displayName="investiroutrosconsolidado282932" ref="C150:AJ159" headerRowCount="1" totalsRowCount="0" totalsRowShown="0">
  <autoFilter ref="C150:AJ159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42.xml><?xml version="1.0" encoding="utf-8"?>
<table xmlns="http://schemas.openxmlformats.org/spreadsheetml/2006/main" id="42" name="investiroutrosconsolidadoabr" displayName="investiroutrosconsolidadoabr" ref="C150:AJ159" headerRowCount="1" totalsRowCount="0" totalsRowShown="0">
  <autoFilter ref="C150:AJ159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43.xml><?xml version="1.0" encoding="utf-8"?>
<table xmlns="http://schemas.openxmlformats.org/spreadsheetml/2006/main" id="43" name="investiroutrosconsolidadoago" displayName="investiroutrosconsolidadoago" ref="C150:AJ159" headerRowCount="1" totalsRowCount="0" totalsRowShown="0">
  <autoFilter ref="C150:AJ159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44.xml><?xml version="1.0" encoding="utf-8"?>
<table xmlns="http://schemas.openxmlformats.org/spreadsheetml/2006/main" id="44" name="investiroutrosconsolidadoanual" displayName="investiroutrosconsolidadoanual" ref="C150:Q159" headerRowCount="1" totalsRowCount="0" totalsRowShown="0">
  <autoFilter ref="C150:Q159"/>
  <tableColumns count="15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TOTAL (R$)"/>
  </tableColumns>
</table>
</file>

<file path=xl/tables/table45.xml><?xml version="1.0" encoding="utf-8"?>
<table xmlns="http://schemas.openxmlformats.org/spreadsheetml/2006/main" id="45" name="investiroutrosconsolidadodez" displayName="investiroutrosconsolidadodez" ref="C150:AJ159" headerRowCount="1" totalsRowCount="0" totalsRowShown="0">
  <autoFilter ref="C150:AJ159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46.xml><?xml version="1.0" encoding="utf-8"?>
<table xmlns="http://schemas.openxmlformats.org/spreadsheetml/2006/main" id="46" name="investiroutrosconsolidadofev" displayName="investiroutrosconsolidadofev" ref="C150:AJ159" headerRowCount="1" totalsRowCount="0" totalsRowShown="0">
  <autoFilter ref="C150:AJ159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47.xml><?xml version="1.0" encoding="utf-8"?>
<table xmlns="http://schemas.openxmlformats.org/spreadsheetml/2006/main" id="47" name="investiroutrosconsolidadojul" displayName="investiroutrosconsolidadojul" ref="C150:AJ159" headerRowCount="1" totalsRowCount="0" totalsRowShown="0">
  <autoFilter ref="C150:AJ159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48.xml><?xml version="1.0" encoding="utf-8"?>
<table xmlns="http://schemas.openxmlformats.org/spreadsheetml/2006/main" id="48" name="investiroutrosconsolidadojun" displayName="investiroutrosconsolidadojun" ref="C150:AJ159" headerRowCount="1" totalsRowCount="0" totalsRowShown="0">
  <autoFilter ref="C150:AJ159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49.xml><?xml version="1.0" encoding="utf-8"?>
<table xmlns="http://schemas.openxmlformats.org/spreadsheetml/2006/main" id="49" name="investiroutrosconsolidadomai" displayName="investiroutrosconsolidadomai" ref="C150:AJ159" headerRowCount="1" totalsRowCount="0" totalsRowShown="0">
  <autoFilter ref="C150:AJ159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5.xml><?xml version="1.0" encoding="utf-8"?>
<table xmlns="http://schemas.openxmlformats.org/spreadsheetml/2006/main" id="5" name="anualinvestir38" displayName="anualinvestir38" ref="C24:Q28" headerRowCount="1" totalsRowCount="1" totalsRowShown="1">
  <autoFilter ref="C24:Q28"/>
  <tableColumns count="15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TOTAL (R$)"/>
  </tableColumns>
</table>
</file>

<file path=xl/tables/table50.xml><?xml version="1.0" encoding="utf-8"?>
<table xmlns="http://schemas.openxmlformats.org/spreadsheetml/2006/main" id="50" name="investiroutrosconsolidadomar" displayName="investiroutrosconsolidadomar" ref="C150:AJ159" headerRowCount="1" totalsRowCount="0" totalsRowShown="0">
  <autoFilter ref="C150:AJ159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51.xml><?xml version="1.0" encoding="utf-8"?>
<table xmlns="http://schemas.openxmlformats.org/spreadsheetml/2006/main" id="51" name="investiroutrosconsolidadonov" displayName="investiroutrosconsolidadonov" ref="C150:AJ159" headerRowCount="1" totalsRowCount="0" totalsRowShown="0">
  <autoFilter ref="C150:AJ159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52.xml><?xml version="1.0" encoding="utf-8"?>
<table xmlns="http://schemas.openxmlformats.org/spreadsheetml/2006/main" id="52" name="investiroutrosconsolidadoout" displayName="investiroutrosconsolidadoout" ref="C150:AJ159" headerRowCount="1" totalsRowCount="0" totalsRowShown="0">
  <autoFilter ref="C150:AJ159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53.xml><?xml version="1.0" encoding="utf-8"?>
<table xmlns="http://schemas.openxmlformats.org/spreadsheetml/2006/main" id="53" name="investiroutrosconsolidadoset" displayName="investiroutrosconsolidadoset" ref="C150:AJ159" headerRowCount="1" totalsRowCount="0" totalsRowShown="0">
  <autoFilter ref="C150:AJ159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54.xml><?xml version="1.0" encoding="utf-8"?>
<table xmlns="http://schemas.openxmlformats.org/spreadsheetml/2006/main" id="54" name="investirrendafixaconsolidado2829" displayName="investirrendafixaconsolidado2829" ref="C112:AJ123" headerRowCount="1" totalsRowCount="0" totalsRowShown="0">
  <autoFilter ref="C112:AJ123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55.xml><?xml version="1.0" encoding="utf-8"?>
<table xmlns="http://schemas.openxmlformats.org/spreadsheetml/2006/main" id="55" name="investirrendafixaconsolidadoabr" displayName="investirrendafixaconsolidadoabr" ref="C112:AJ123" headerRowCount="1" totalsRowCount="0" totalsRowShown="0">
  <autoFilter ref="C112:AJ123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56.xml><?xml version="1.0" encoding="utf-8"?>
<table xmlns="http://schemas.openxmlformats.org/spreadsheetml/2006/main" id="56" name="investirrendafixaconsolidadoago" displayName="investirrendafixaconsolidadoago" ref="C112:AJ123" headerRowCount="1" totalsRowCount="0" totalsRowShown="0">
  <autoFilter ref="C112:AJ123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57.xml><?xml version="1.0" encoding="utf-8"?>
<table xmlns="http://schemas.openxmlformats.org/spreadsheetml/2006/main" id="57" name="investirrendafixaconsolidadoanual" displayName="investirrendafixaconsolidadoanual" ref="C112:Q123" headerRowCount="1" totalsRowCount="0" totalsRowShown="0">
  <autoFilter ref="C112:Q123"/>
  <tableColumns count="15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TOTAL (R$)"/>
  </tableColumns>
</table>
</file>

<file path=xl/tables/table58.xml><?xml version="1.0" encoding="utf-8"?>
<table xmlns="http://schemas.openxmlformats.org/spreadsheetml/2006/main" id="58" name="investirrendafixaconsolidadodez" displayName="investirrendafixaconsolidadodez" ref="C112:AJ123" headerRowCount="1" totalsRowCount="0" totalsRowShown="0">
  <autoFilter ref="C112:AJ123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59.xml><?xml version="1.0" encoding="utf-8"?>
<table xmlns="http://schemas.openxmlformats.org/spreadsheetml/2006/main" id="59" name="investirrendafixaconsolidadofev" displayName="investirrendafixaconsolidadofev" ref="C112:AJ123" headerRowCount="1" totalsRowCount="0" totalsRowShown="0">
  <autoFilter ref="C112:AJ123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6.xml><?xml version="1.0" encoding="utf-8"?>
<table xmlns="http://schemas.openxmlformats.org/spreadsheetml/2006/main" id="6" name="anualtotal39" displayName="anualtotal39" ref="C13:Q16" headerRowCount="1" totalsRowCount="0" totalsRowShown="0">
  <autoFilter ref="C13:Q16"/>
  <tableColumns count="15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TOTAL (R$)"/>
  </tableColumns>
</table>
</file>

<file path=xl/tables/table60.xml><?xml version="1.0" encoding="utf-8"?>
<table xmlns="http://schemas.openxmlformats.org/spreadsheetml/2006/main" id="60" name="investirrendafixaconsolidadojul" displayName="investirrendafixaconsolidadojul" ref="C112:AJ123" headerRowCount="1" totalsRowCount="0" totalsRowShown="0">
  <autoFilter ref="C112:AJ123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61.xml><?xml version="1.0" encoding="utf-8"?>
<table xmlns="http://schemas.openxmlformats.org/spreadsheetml/2006/main" id="61" name="investirrendafixaconsolidadojun" displayName="investirrendafixaconsolidadojun" ref="C112:AJ123" headerRowCount="1" totalsRowCount="0" totalsRowShown="0">
  <autoFilter ref="C112:AJ123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62.xml><?xml version="1.0" encoding="utf-8"?>
<table xmlns="http://schemas.openxmlformats.org/spreadsheetml/2006/main" id="62" name="investirrendafixaconsolidadomai" displayName="investirrendafixaconsolidadomai" ref="C112:AJ123" headerRowCount="1" totalsRowCount="0" totalsRowShown="0">
  <autoFilter ref="C112:AJ123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63.xml><?xml version="1.0" encoding="utf-8"?>
<table xmlns="http://schemas.openxmlformats.org/spreadsheetml/2006/main" id="63" name="investirrendafixaconsolidadomar" displayName="investirrendafixaconsolidadomar" ref="C112:AJ123" headerRowCount="1" totalsRowCount="0" totalsRowShown="0">
  <autoFilter ref="C112:AJ123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64.xml><?xml version="1.0" encoding="utf-8"?>
<table xmlns="http://schemas.openxmlformats.org/spreadsheetml/2006/main" id="64" name="investirrendafixaconsolidadonov" displayName="investirrendafixaconsolidadonov" ref="C112:AJ123" headerRowCount="1" totalsRowCount="0" totalsRowShown="0">
  <autoFilter ref="C112:AJ123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65.xml><?xml version="1.0" encoding="utf-8"?>
<table xmlns="http://schemas.openxmlformats.org/spreadsheetml/2006/main" id="65" name="investirrendafixaconsolidadoout" displayName="investirrendafixaconsolidadoout" ref="C112:AJ123" headerRowCount="1" totalsRowCount="0" totalsRowShown="0">
  <autoFilter ref="C112:AJ123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66.xml><?xml version="1.0" encoding="utf-8"?>
<table xmlns="http://schemas.openxmlformats.org/spreadsheetml/2006/main" id="66" name="investirrendafixaconsolidadoset" displayName="investirrendafixaconsolidadoset" ref="C112:AJ123" headerRowCount="1" totalsRowCount="0" totalsRowShown="0">
  <autoFilter ref="C112:AJ123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67.xml><?xml version="1.0" encoding="utf-8"?>
<table xmlns="http://schemas.openxmlformats.org/spreadsheetml/2006/main" id="67" name="investirrendavariávelconsolidado282931" displayName="investirrendavariávelconsolidado282931" ref="C131:AJ142" headerRowCount="1" totalsRowCount="0" totalsRowShown="0">
  <autoFilter ref="C131:AJ142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68.xml><?xml version="1.0" encoding="utf-8"?>
<table xmlns="http://schemas.openxmlformats.org/spreadsheetml/2006/main" id="68" name="investirrendavariávelconsolidadoabr" displayName="investirrendavariávelconsolidadoabr" ref="C131:AJ142" headerRowCount="1" totalsRowCount="0" totalsRowShown="0">
  <autoFilter ref="C131:AJ142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69.xml><?xml version="1.0" encoding="utf-8"?>
<table xmlns="http://schemas.openxmlformats.org/spreadsheetml/2006/main" id="69" name="investirrendavariávelconsolidadoago" displayName="investirrendavariávelconsolidadoago" ref="C131:AJ142" headerRowCount="1" totalsRowCount="0" totalsRowShown="0">
  <autoFilter ref="C131:AJ142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7.xml><?xml version="1.0" encoding="utf-8"?>
<table xmlns="http://schemas.openxmlformats.org/spreadsheetml/2006/main" id="7" name="despesafixa" displayName="despesafixa" ref="R2:R16" headerRowCount="1" totalsRowCount="0" totalsRowShown="0">
  <autoFilter ref="R2:R16"/>
  <tableColumns count="1">
    <tableColumn id="1" name="DESPESA FIXA"/>
  </tableColumns>
</table>
</file>

<file path=xl/tables/table70.xml><?xml version="1.0" encoding="utf-8"?>
<table xmlns="http://schemas.openxmlformats.org/spreadsheetml/2006/main" id="70" name="investirrendavariávelconsolidadoanual" displayName="investirrendavariávelconsolidadoanual" ref="C131:Q142" headerRowCount="1" totalsRowCount="0" totalsRowShown="0">
  <autoFilter ref="C131:Q142"/>
  <tableColumns count="15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TOTAL (R$)"/>
  </tableColumns>
</table>
</file>

<file path=xl/tables/table71.xml><?xml version="1.0" encoding="utf-8"?>
<table xmlns="http://schemas.openxmlformats.org/spreadsheetml/2006/main" id="71" name="investirrendavariávelconsolidadodez" displayName="investirrendavariávelconsolidadodez" ref="C131:AJ142" headerRowCount="1" totalsRowCount="0" totalsRowShown="0">
  <autoFilter ref="C131:AJ142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72.xml><?xml version="1.0" encoding="utf-8"?>
<table xmlns="http://schemas.openxmlformats.org/spreadsheetml/2006/main" id="72" name="investirrendavariávelconsolidadofev" displayName="investirrendavariávelconsolidadofev" ref="C131:AJ142" headerRowCount="1" totalsRowCount="0" totalsRowShown="0">
  <autoFilter ref="C131:AJ142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73.xml><?xml version="1.0" encoding="utf-8"?>
<table xmlns="http://schemas.openxmlformats.org/spreadsheetml/2006/main" id="73" name="investirrendavariávelconsolidadojul" displayName="investirrendavariávelconsolidadojul" ref="C131:AJ142" headerRowCount="1" totalsRowCount="0" totalsRowShown="0">
  <autoFilter ref="C131:AJ142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74.xml><?xml version="1.0" encoding="utf-8"?>
<table xmlns="http://schemas.openxmlformats.org/spreadsheetml/2006/main" id="74" name="investirrendavariávelconsolidadojun" displayName="investirrendavariávelconsolidadojun" ref="C131:AJ142" headerRowCount="1" totalsRowCount="0" totalsRowShown="0">
  <autoFilter ref="C131:AJ142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75.xml><?xml version="1.0" encoding="utf-8"?>
<table xmlns="http://schemas.openxmlformats.org/spreadsheetml/2006/main" id="75" name="investirrendavariávelconsolidadomai" displayName="investirrendavariávelconsolidadomai" ref="C131:AJ142" headerRowCount="1" totalsRowCount="0" totalsRowShown="0">
  <autoFilter ref="C131:AJ142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76.xml><?xml version="1.0" encoding="utf-8"?>
<table xmlns="http://schemas.openxmlformats.org/spreadsheetml/2006/main" id="76" name="investirrendavariávelconsolidadomar" displayName="investirrendavariávelconsolidadomar" ref="C131:AJ142" headerRowCount="1" totalsRowCount="0" totalsRowShown="0">
  <autoFilter ref="C131:AJ142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77.xml><?xml version="1.0" encoding="utf-8"?>
<table xmlns="http://schemas.openxmlformats.org/spreadsheetml/2006/main" id="77" name="investirrendavariávelconsolidadonov" displayName="investirrendavariávelconsolidadonov" ref="C131:AJ142" headerRowCount="1" totalsRowCount="0" totalsRowShown="0">
  <autoFilter ref="C131:AJ142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78.xml><?xml version="1.0" encoding="utf-8"?>
<table xmlns="http://schemas.openxmlformats.org/spreadsheetml/2006/main" id="78" name="investirrendavariávelconsolidadoout" displayName="investirrendavariávelconsolidadoout" ref="C131:AJ142" headerRowCount="1" totalsRowCount="0" totalsRowShown="0">
  <autoFilter ref="C131:AJ142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79.xml><?xml version="1.0" encoding="utf-8"?>
<table xmlns="http://schemas.openxmlformats.org/spreadsheetml/2006/main" id="79" name="investirrendavariávelconsolidadoset" displayName="investirrendavariávelconsolidadoset" ref="C131:AJ142" headerRowCount="1" totalsRowCount="0" totalsRowShown="0">
  <autoFilter ref="C131:AJ142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8.xml><?xml version="1.0" encoding="utf-8"?>
<table xmlns="http://schemas.openxmlformats.org/spreadsheetml/2006/main" id="8" name="despesafixaconsolidado" displayName="despesafixaconsolidado" ref="C36:AJ51" headerRowCount="1" totalsRowCount="0" totalsRowShown="0">
  <autoFilter ref="C36:AJ51"/>
  <tableColumns count="34">
    <tableColumn id="1" name="DESPESA FIXA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80.xml><?xml version="1.0" encoding="utf-8"?>
<table xmlns="http://schemas.openxmlformats.org/spreadsheetml/2006/main" id="80" name="janinvestir" displayName="janinvestir" ref="C24:AJ28" headerRowCount="1" totalsRowCount="1" totalsRowShown="1">
  <autoFilter ref="C24:AJ2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81.xml><?xml version="1.0" encoding="utf-8"?>
<table xmlns="http://schemas.openxmlformats.org/spreadsheetml/2006/main" id="81" name="jantotal" displayName="jantotal" ref="C13:AJ16" headerRowCount="1" totalsRowCount="0" totalsRowShown="0">
  <autoFilter ref="C13:AJ16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82.xml><?xml version="1.0" encoding="utf-8"?>
<table xmlns="http://schemas.openxmlformats.org/spreadsheetml/2006/main" id="82" name="julinvestir2158708294106" displayName="julinvestir2158708294106" ref="C24:AJ28" headerRowCount="1" totalsRowCount="1" totalsRowShown="1">
  <autoFilter ref="C24:AJ2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83.xml><?xml version="1.0" encoding="utf-8"?>
<table xmlns="http://schemas.openxmlformats.org/spreadsheetml/2006/main" id="83" name="jultotal3059718395107" displayName="jultotal3059718395107" ref="C13:AJ16" headerRowCount="1" totalsRowCount="0" totalsRowShown="0">
  <autoFilter ref="C13:AJ16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84.xml><?xml version="1.0" encoding="utf-8"?>
<table xmlns="http://schemas.openxmlformats.org/spreadsheetml/2006/main" id="84" name="juninvestir2158708294" displayName="juninvestir2158708294" ref="C24:AJ28" headerRowCount="1" totalsRowCount="1" totalsRowShown="1">
  <autoFilter ref="C24:AJ2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85.xml><?xml version="1.0" encoding="utf-8"?>
<table xmlns="http://schemas.openxmlformats.org/spreadsheetml/2006/main" id="85" name="juntotal3059718395" displayName="juntotal3059718395" ref="C13:AJ16" headerRowCount="1" totalsRowCount="0" totalsRowShown="0">
  <autoFilter ref="C13:AJ16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86.xml><?xml version="1.0" encoding="utf-8"?>
<table xmlns="http://schemas.openxmlformats.org/spreadsheetml/2006/main" id="86" name="maiinvestir21587082" displayName="maiinvestir21587082" ref="C24:AJ28" headerRowCount="1" totalsRowCount="1" totalsRowShown="1">
  <autoFilter ref="C24:AJ2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87.xml><?xml version="1.0" encoding="utf-8"?>
<table xmlns="http://schemas.openxmlformats.org/spreadsheetml/2006/main" id="87" name="maitotal30597183" displayName="maitotal30597183" ref="C13:AJ16" headerRowCount="1" totalsRowCount="0" totalsRowShown="0">
  <autoFilter ref="C13:AJ16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88.xml><?xml version="1.0" encoding="utf-8"?>
<table xmlns="http://schemas.openxmlformats.org/spreadsheetml/2006/main" id="88" name="marinvestir2158" displayName="marinvestir2158" ref="C24:AJ28" headerRowCount="1" totalsRowCount="1" totalsRowShown="1">
  <autoFilter ref="C24:AJ2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89.xml><?xml version="1.0" encoding="utf-8"?>
<table xmlns="http://schemas.openxmlformats.org/spreadsheetml/2006/main" id="89" name="martotal3059" displayName="martotal3059" ref="C13:AJ16" headerRowCount="1" totalsRowCount="0" totalsRowShown="0">
  <autoFilter ref="C13:AJ16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9.xml><?xml version="1.0" encoding="utf-8"?>
<table xmlns="http://schemas.openxmlformats.org/spreadsheetml/2006/main" id="9" name="despesafixaconsolidadoabr" displayName="despesafixaconsolidadoabr" ref="C36:AJ51" headerRowCount="1" totalsRowCount="0" totalsRowShown="0">
  <autoFilter ref="C36:AJ51"/>
  <tableColumns count="34">
    <tableColumn id="1" name="DESPESA FIXA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"/>
  </tableColumns>
</table>
</file>

<file path=xl/tables/table90.xml><?xml version="1.0" encoding="utf-8"?>
<table xmlns="http://schemas.openxmlformats.org/spreadsheetml/2006/main" id="90" name="novinvestir2158708294106118130142154" displayName="novinvestir2158708294106118130142154" ref="C24:AJ28" headerRowCount="1" totalsRowCount="1" totalsRowShown="1">
  <autoFilter ref="C24:AJ2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91.xml><?xml version="1.0" encoding="utf-8"?>
<table xmlns="http://schemas.openxmlformats.org/spreadsheetml/2006/main" id="91" name="novtotal3059718395107119131143155" displayName="novtotal3059718395107119131143155" ref="C13:AJ16" headerRowCount="1" totalsRowCount="0" totalsRowShown="0">
  <autoFilter ref="C13:AJ16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92.xml><?xml version="1.0" encoding="utf-8"?>
<table xmlns="http://schemas.openxmlformats.org/spreadsheetml/2006/main" id="92" name="outinvestir2158708294106118130142" displayName="outinvestir2158708294106118130142" ref="C24:AJ28" headerRowCount="1" totalsRowCount="1" totalsRowShown="1">
  <autoFilter ref="C24:AJ28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93.xml><?xml version="1.0" encoding="utf-8"?>
<table xmlns="http://schemas.openxmlformats.org/spreadsheetml/2006/main" id="93" name="outros" displayName="outros" ref="AH2:AH10" headerRowCount="1" totalsRowCount="0" totalsRowShown="0">
  <autoFilter ref="AH2:AH10"/>
  <tableColumns count="1">
    <tableColumn id="1" name="OUTROS INVESTIMENTOS"/>
  </tableColumns>
</table>
</file>

<file path=xl/tables/table94.xml><?xml version="1.0" encoding="utf-8"?>
<table xmlns="http://schemas.openxmlformats.org/spreadsheetml/2006/main" id="94" name="outtotal3059718395107119131143" displayName="outtotal3059718395107119131143" ref="C13:AJ16" headerRowCount="1" totalsRowCount="0" totalsRowShown="0">
  <autoFilter ref="C13:AJ16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95.xml><?xml version="1.0" encoding="utf-8"?>
<table xmlns="http://schemas.openxmlformats.org/spreadsheetml/2006/main" id="95" name="receitafixa" displayName="receitafixa" ref="X2:X7" headerRowCount="1" totalsRowCount="0" totalsRowShown="0">
  <autoFilter ref="X2:X7"/>
  <tableColumns count="1">
    <tableColumn id="1" name="RECEITA FIXA"/>
  </tableColumns>
</table>
</file>

<file path=xl/tables/table96.xml><?xml version="1.0" encoding="utf-8"?>
<table xmlns="http://schemas.openxmlformats.org/spreadsheetml/2006/main" id="96" name="receitasfixasconsolidado" displayName="receitasfixasconsolidado" ref="C81:AJ87" headerRowCount="1" totalsRowCount="0" totalsRowShown="0">
  <autoFilter ref="C81:AJ8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97.xml><?xml version="1.0" encoding="utf-8"?>
<table xmlns="http://schemas.openxmlformats.org/spreadsheetml/2006/main" id="97" name="receitasfixasconsolidadoabr" displayName="receitasfixasconsolidadoabr" ref="C81:AJ87" headerRowCount="1" totalsRowCount="0" totalsRowShown="0">
  <autoFilter ref="C81:AJ8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98.xml><?xml version="1.0" encoding="utf-8"?>
<table xmlns="http://schemas.openxmlformats.org/spreadsheetml/2006/main" id="98" name="receitasfixasconsolidadoago" displayName="receitasfixasconsolidadoago" ref="C81:AJ87" headerRowCount="1" totalsRowCount="0" totalsRowShown="0">
  <autoFilter ref="C81:AJ87"/>
  <tableColumns count="34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  <tableColumn id="31" name="29"/>
    <tableColumn id="32" name="30"/>
    <tableColumn id="33" name="31"/>
    <tableColumn id="34" name="TOTAL (R$)"/>
  </tableColumns>
</table>
</file>

<file path=xl/tables/table99.xml><?xml version="1.0" encoding="utf-8"?>
<table xmlns="http://schemas.openxmlformats.org/spreadsheetml/2006/main" id="99" name="receitasfixasconsolidadoanual" displayName="receitasfixasconsolidadoanual" ref="C81:Q87" headerRowCount="1" totalsRowCount="0" totalsRowShown="0">
  <autoFilter ref="C81:Q87"/>
  <tableColumns count="15">
    <tableColumn id="1" name="ATUAL"/>
    <tableColumn id="2" name="Coluna1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TOTAL (R$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table" Target="../tables/table15.xml"/><Relationship Id="rId3" Type="http://schemas.openxmlformats.org/officeDocument/2006/relationships/table" Target="../tables/table29.xml"/><Relationship Id="rId4" Type="http://schemas.openxmlformats.org/officeDocument/2006/relationships/table" Target="../tables/table48.xml"/><Relationship Id="rId5" Type="http://schemas.openxmlformats.org/officeDocument/2006/relationships/table" Target="../tables/table61.xml"/><Relationship Id="rId6" Type="http://schemas.openxmlformats.org/officeDocument/2006/relationships/table" Target="../tables/table74.xml"/><Relationship Id="rId7" Type="http://schemas.openxmlformats.org/officeDocument/2006/relationships/table" Target="../tables/table84.xml"/><Relationship Id="rId8" Type="http://schemas.openxmlformats.org/officeDocument/2006/relationships/table" Target="../tables/table85.xml"/><Relationship Id="rId9" Type="http://schemas.openxmlformats.org/officeDocument/2006/relationships/table" Target="../tables/table103.xml"/><Relationship Id="rId10" Type="http://schemas.openxmlformats.org/officeDocument/2006/relationships/table" Target="../tables/table116.xml"/><Relationship Id="rId11" Type="http://schemas.openxmlformats.org/officeDocument/2006/relationships/table" Target="../tables/table134.xml"/><Relationship Id="rId12" Type="http://schemas.openxmlformats.org/officeDocument/2006/relationships/table" Target="../tables/table148.xml"/><Relationship Id="rId13" Type="http://schemas.openxmlformats.org/officeDocument/2006/relationships/table" Target="../tables/table16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table" Target="../tables/table14.xml"/><Relationship Id="rId3" Type="http://schemas.openxmlformats.org/officeDocument/2006/relationships/table" Target="../tables/table28.xml"/><Relationship Id="rId4" Type="http://schemas.openxmlformats.org/officeDocument/2006/relationships/table" Target="../tables/table47.xml"/><Relationship Id="rId5" Type="http://schemas.openxmlformats.org/officeDocument/2006/relationships/table" Target="../tables/table60.xml"/><Relationship Id="rId6" Type="http://schemas.openxmlformats.org/officeDocument/2006/relationships/table" Target="../tables/table73.xml"/><Relationship Id="rId7" Type="http://schemas.openxmlformats.org/officeDocument/2006/relationships/table" Target="../tables/table82.xml"/><Relationship Id="rId8" Type="http://schemas.openxmlformats.org/officeDocument/2006/relationships/table" Target="../tables/table83.xml"/><Relationship Id="rId9" Type="http://schemas.openxmlformats.org/officeDocument/2006/relationships/table" Target="../tables/table102.xml"/><Relationship Id="rId10" Type="http://schemas.openxmlformats.org/officeDocument/2006/relationships/table" Target="../tables/table115.xml"/><Relationship Id="rId11" Type="http://schemas.openxmlformats.org/officeDocument/2006/relationships/table" Target="../tables/table133.xml"/><Relationship Id="rId12" Type="http://schemas.openxmlformats.org/officeDocument/2006/relationships/table" Target="../tables/table147.xml"/><Relationship Id="rId13" Type="http://schemas.openxmlformats.org/officeDocument/2006/relationships/table" Target="../tables/table16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10.xml"/><Relationship Id="rId5" Type="http://schemas.openxmlformats.org/officeDocument/2006/relationships/table" Target="../tables/table24.xml"/><Relationship Id="rId6" Type="http://schemas.openxmlformats.org/officeDocument/2006/relationships/table" Target="../tables/table43.xml"/><Relationship Id="rId7" Type="http://schemas.openxmlformats.org/officeDocument/2006/relationships/table" Target="../tables/table56.xml"/><Relationship Id="rId8" Type="http://schemas.openxmlformats.org/officeDocument/2006/relationships/table" Target="../tables/table69.xml"/><Relationship Id="rId9" Type="http://schemas.openxmlformats.org/officeDocument/2006/relationships/table" Target="../tables/table98.xml"/><Relationship Id="rId10" Type="http://schemas.openxmlformats.org/officeDocument/2006/relationships/table" Target="../tables/table111.xml"/><Relationship Id="rId11" Type="http://schemas.openxmlformats.org/officeDocument/2006/relationships/table" Target="../tables/table129.xml"/><Relationship Id="rId12" Type="http://schemas.openxmlformats.org/officeDocument/2006/relationships/table" Target="../tables/table143.xml"/><Relationship Id="rId13" Type="http://schemas.openxmlformats.org/officeDocument/2006/relationships/table" Target="../tables/table158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table" Target="../tables/table20.xml"/><Relationship Id="rId3" Type="http://schemas.openxmlformats.org/officeDocument/2006/relationships/table" Target="../tables/table34.xml"/><Relationship Id="rId4" Type="http://schemas.openxmlformats.org/officeDocument/2006/relationships/table" Target="../tables/table53.xml"/><Relationship Id="rId5" Type="http://schemas.openxmlformats.org/officeDocument/2006/relationships/table" Target="../tables/table66.xml"/><Relationship Id="rId6" Type="http://schemas.openxmlformats.org/officeDocument/2006/relationships/table" Target="../tables/table79.xml"/><Relationship Id="rId7" Type="http://schemas.openxmlformats.org/officeDocument/2006/relationships/table" Target="../tables/table108.xml"/><Relationship Id="rId8" Type="http://schemas.openxmlformats.org/officeDocument/2006/relationships/table" Target="../tables/table121.xml"/><Relationship Id="rId9" Type="http://schemas.openxmlformats.org/officeDocument/2006/relationships/table" Target="../tables/table139.xml"/><Relationship Id="rId10" Type="http://schemas.openxmlformats.org/officeDocument/2006/relationships/table" Target="../tables/table153.xml"/><Relationship Id="rId11" Type="http://schemas.openxmlformats.org/officeDocument/2006/relationships/table" Target="../tables/table168.xml"/><Relationship Id="rId12" Type="http://schemas.openxmlformats.org/officeDocument/2006/relationships/table" Target="../tables/table169.xml"/><Relationship Id="rId13" Type="http://schemas.openxmlformats.org/officeDocument/2006/relationships/table" Target="../tables/table170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table" Target="../tables/table19.xml"/><Relationship Id="rId3" Type="http://schemas.openxmlformats.org/officeDocument/2006/relationships/table" Target="../tables/table33.xml"/><Relationship Id="rId4" Type="http://schemas.openxmlformats.org/officeDocument/2006/relationships/table" Target="../tables/table52.xml"/><Relationship Id="rId5" Type="http://schemas.openxmlformats.org/officeDocument/2006/relationships/table" Target="../tables/table65.xml"/><Relationship Id="rId6" Type="http://schemas.openxmlformats.org/officeDocument/2006/relationships/table" Target="../tables/table78.xml"/><Relationship Id="rId7" Type="http://schemas.openxmlformats.org/officeDocument/2006/relationships/table" Target="../tables/table92.xml"/><Relationship Id="rId8" Type="http://schemas.openxmlformats.org/officeDocument/2006/relationships/table" Target="../tables/table94.xml"/><Relationship Id="rId9" Type="http://schemas.openxmlformats.org/officeDocument/2006/relationships/table" Target="../tables/table107.xml"/><Relationship Id="rId10" Type="http://schemas.openxmlformats.org/officeDocument/2006/relationships/table" Target="../tables/table120.xml"/><Relationship Id="rId11" Type="http://schemas.openxmlformats.org/officeDocument/2006/relationships/table" Target="../tables/table138.xml"/><Relationship Id="rId12" Type="http://schemas.openxmlformats.org/officeDocument/2006/relationships/table" Target="../tables/table152.xml"/><Relationship Id="rId13" Type="http://schemas.openxmlformats.org/officeDocument/2006/relationships/table" Target="../tables/table167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table" Target="../tables/table18.xml"/><Relationship Id="rId3" Type="http://schemas.openxmlformats.org/officeDocument/2006/relationships/table" Target="../tables/table32.xml"/><Relationship Id="rId4" Type="http://schemas.openxmlformats.org/officeDocument/2006/relationships/table" Target="../tables/table51.xml"/><Relationship Id="rId5" Type="http://schemas.openxmlformats.org/officeDocument/2006/relationships/table" Target="../tables/table64.xml"/><Relationship Id="rId6" Type="http://schemas.openxmlformats.org/officeDocument/2006/relationships/table" Target="../tables/table77.xml"/><Relationship Id="rId7" Type="http://schemas.openxmlformats.org/officeDocument/2006/relationships/table" Target="../tables/table90.xml"/><Relationship Id="rId8" Type="http://schemas.openxmlformats.org/officeDocument/2006/relationships/table" Target="../tables/table91.xml"/><Relationship Id="rId9" Type="http://schemas.openxmlformats.org/officeDocument/2006/relationships/table" Target="../tables/table106.xml"/><Relationship Id="rId10" Type="http://schemas.openxmlformats.org/officeDocument/2006/relationships/table" Target="../tables/table119.xml"/><Relationship Id="rId11" Type="http://schemas.openxmlformats.org/officeDocument/2006/relationships/table" Target="../tables/table137.xml"/><Relationship Id="rId12" Type="http://schemas.openxmlformats.org/officeDocument/2006/relationships/table" Target="../tables/table151.xml"/><Relationship Id="rId13" Type="http://schemas.openxmlformats.org/officeDocument/2006/relationships/table" Target="../tables/table166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table" Target="../tables/table12.xml"/><Relationship Id="rId3" Type="http://schemas.openxmlformats.org/officeDocument/2006/relationships/table" Target="../tables/table26.xml"/><Relationship Id="rId4" Type="http://schemas.openxmlformats.org/officeDocument/2006/relationships/table" Target="../tables/table35.xml"/><Relationship Id="rId5" Type="http://schemas.openxmlformats.org/officeDocument/2006/relationships/table" Target="../tables/table36.xml"/><Relationship Id="rId6" Type="http://schemas.openxmlformats.org/officeDocument/2006/relationships/table" Target="../tables/table45.xml"/><Relationship Id="rId7" Type="http://schemas.openxmlformats.org/officeDocument/2006/relationships/table" Target="../tables/table58.xml"/><Relationship Id="rId8" Type="http://schemas.openxmlformats.org/officeDocument/2006/relationships/table" Target="../tables/table71.xml"/><Relationship Id="rId9" Type="http://schemas.openxmlformats.org/officeDocument/2006/relationships/table" Target="../tables/table100.xml"/><Relationship Id="rId10" Type="http://schemas.openxmlformats.org/officeDocument/2006/relationships/table" Target="../tables/table113.xml"/><Relationship Id="rId11" Type="http://schemas.openxmlformats.org/officeDocument/2006/relationships/table" Target="../tables/table131.xml"/><Relationship Id="rId12" Type="http://schemas.openxmlformats.org/officeDocument/2006/relationships/table" Target="../tables/table145.xml"/><Relationship Id="rId13" Type="http://schemas.openxmlformats.org/officeDocument/2006/relationships/table" Target="../tables/table160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table" Target="../tables/table7.xml"/><Relationship Id="rId3" Type="http://schemas.openxmlformats.org/officeDocument/2006/relationships/table" Target="../tables/table21.xml"/><Relationship Id="rId4" Type="http://schemas.openxmlformats.org/officeDocument/2006/relationships/table" Target="../tables/table39.xml"/><Relationship Id="rId5" Type="http://schemas.openxmlformats.org/officeDocument/2006/relationships/table" Target="../tables/table40.xml"/><Relationship Id="rId6" Type="http://schemas.openxmlformats.org/officeDocument/2006/relationships/table" Target="../tables/table93.xml"/><Relationship Id="rId7" Type="http://schemas.openxmlformats.org/officeDocument/2006/relationships/table" Target="../tables/table95.xml"/><Relationship Id="rId8" Type="http://schemas.openxmlformats.org/officeDocument/2006/relationships/table" Target="../tables/table122.xml"/><Relationship Id="rId9" Type="http://schemas.openxmlformats.org/officeDocument/2006/relationships/table" Target="../tables/table123.xml"/><Relationship Id="rId10" Type="http://schemas.openxmlformats.org/officeDocument/2006/relationships/table" Target="../tables/table124.xml"/><Relationship Id="rId11" Type="http://schemas.openxmlformats.org/officeDocument/2006/relationships/table" Target="../tables/table125.xml"/><Relationship Id="rId12" Type="http://schemas.openxmlformats.org/officeDocument/2006/relationships/table" Target="../tables/table126.xml"/><Relationship Id="rId13" Type="http://schemas.openxmlformats.org/officeDocument/2006/relationships/table" Target="../tables/table140.xml"/><Relationship Id="rId14" Type="http://schemas.openxmlformats.org/officeDocument/2006/relationships/table" Target="../tables/table154.xml"/><Relationship Id="rId15" Type="http://schemas.openxmlformats.org/officeDocument/2006/relationships/table" Target="../tables/table155.xml"/><Relationship Id="rId16" Type="http://schemas.openxmlformats.org/officeDocument/2006/relationships/table" Target="../tables/table171.xml"/><Relationship Id="rId17" Type="http://schemas.openxmlformats.org/officeDocument/2006/relationships/table" Target="../tables/table173.xml"/><Relationship Id="rId18" Type="http://schemas.openxmlformats.org/officeDocument/2006/relationships/table" Target="../tables/table17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7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5.xml"/><Relationship Id="rId3" Type="http://schemas.openxmlformats.org/officeDocument/2006/relationships/table" Target="../tables/table6.xml"/><Relationship Id="rId4" Type="http://schemas.openxmlformats.org/officeDocument/2006/relationships/table" Target="../tables/table11.xml"/><Relationship Id="rId5" Type="http://schemas.openxmlformats.org/officeDocument/2006/relationships/table" Target="../tables/table25.xml"/><Relationship Id="rId6" Type="http://schemas.openxmlformats.org/officeDocument/2006/relationships/table" Target="../tables/table44.xml"/><Relationship Id="rId7" Type="http://schemas.openxmlformats.org/officeDocument/2006/relationships/table" Target="../tables/table57.xml"/><Relationship Id="rId8" Type="http://schemas.openxmlformats.org/officeDocument/2006/relationships/table" Target="../tables/table70.xml"/><Relationship Id="rId9" Type="http://schemas.openxmlformats.org/officeDocument/2006/relationships/table" Target="../tables/table99.xml"/><Relationship Id="rId10" Type="http://schemas.openxmlformats.org/officeDocument/2006/relationships/table" Target="../tables/table112.xml"/><Relationship Id="rId11" Type="http://schemas.openxmlformats.org/officeDocument/2006/relationships/table" Target="../tables/table130.xml"/><Relationship Id="rId12" Type="http://schemas.openxmlformats.org/officeDocument/2006/relationships/table" Target="../tables/table144.xml"/><Relationship Id="rId13" Type="http://schemas.openxmlformats.org/officeDocument/2006/relationships/table" Target="../tables/table159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8.xml"/><Relationship Id="rId3" Type="http://schemas.openxmlformats.org/officeDocument/2006/relationships/table" Target="../tables/table22.xml"/><Relationship Id="rId4" Type="http://schemas.openxmlformats.org/officeDocument/2006/relationships/table" Target="../tables/table41.xml"/><Relationship Id="rId5" Type="http://schemas.openxmlformats.org/officeDocument/2006/relationships/table" Target="../tables/table54.xml"/><Relationship Id="rId6" Type="http://schemas.openxmlformats.org/officeDocument/2006/relationships/table" Target="../tables/table67.xml"/><Relationship Id="rId7" Type="http://schemas.openxmlformats.org/officeDocument/2006/relationships/table" Target="../tables/table80.xml"/><Relationship Id="rId8" Type="http://schemas.openxmlformats.org/officeDocument/2006/relationships/table" Target="../tables/table81.xml"/><Relationship Id="rId9" Type="http://schemas.openxmlformats.org/officeDocument/2006/relationships/table" Target="../tables/table96.xml"/><Relationship Id="rId10" Type="http://schemas.openxmlformats.org/officeDocument/2006/relationships/table" Target="../tables/table109.xml"/><Relationship Id="rId11" Type="http://schemas.openxmlformats.org/officeDocument/2006/relationships/table" Target="../tables/table127.xml"/><Relationship Id="rId12" Type="http://schemas.openxmlformats.org/officeDocument/2006/relationships/table" Target="../tables/table141.xml"/><Relationship Id="rId13" Type="http://schemas.openxmlformats.org/officeDocument/2006/relationships/table" Target="../tables/table15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3.xml"/><Relationship Id="rId3" Type="http://schemas.openxmlformats.org/officeDocument/2006/relationships/table" Target="../tables/table27.xml"/><Relationship Id="rId4" Type="http://schemas.openxmlformats.org/officeDocument/2006/relationships/table" Target="../tables/table37.xml"/><Relationship Id="rId5" Type="http://schemas.openxmlformats.org/officeDocument/2006/relationships/table" Target="../tables/table38.xml"/><Relationship Id="rId6" Type="http://schemas.openxmlformats.org/officeDocument/2006/relationships/table" Target="../tables/table46.xml"/><Relationship Id="rId7" Type="http://schemas.openxmlformats.org/officeDocument/2006/relationships/table" Target="../tables/table59.xml"/><Relationship Id="rId8" Type="http://schemas.openxmlformats.org/officeDocument/2006/relationships/table" Target="../tables/table72.xml"/><Relationship Id="rId9" Type="http://schemas.openxmlformats.org/officeDocument/2006/relationships/table" Target="../tables/table101.xml"/><Relationship Id="rId10" Type="http://schemas.openxmlformats.org/officeDocument/2006/relationships/table" Target="../tables/table114.xml"/><Relationship Id="rId11" Type="http://schemas.openxmlformats.org/officeDocument/2006/relationships/table" Target="../tables/table132.xml"/><Relationship Id="rId12" Type="http://schemas.openxmlformats.org/officeDocument/2006/relationships/table" Target="../tables/table146.xml"/><Relationship Id="rId13" Type="http://schemas.openxmlformats.org/officeDocument/2006/relationships/table" Target="../tables/table16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17.xml"/><Relationship Id="rId3" Type="http://schemas.openxmlformats.org/officeDocument/2006/relationships/table" Target="../tables/table31.xml"/><Relationship Id="rId4" Type="http://schemas.openxmlformats.org/officeDocument/2006/relationships/table" Target="../tables/table50.xml"/><Relationship Id="rId5" Type="http://schemas.openxmlformats.org/officeDocument/2006/relationships/table" Target="../tables/table63.xml"/><Relationship Id="rId6" Type="http://schemas.openxmlformats.org/officeDocument/2006/relationships/table" Target="../tables/table76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105.xml"/><Relationship Id="rId10" Type="http://schemas.openxmlformats.org/officeDocument/2006/relationships/table" Target="../tables/table118.xml"/><Relationship Id="rId11" Type="http://schemas.openxmlformats.org/officeDocument/2006/relationships/table" Target="../tables/table136.xml"/><Relationship Id="rId12" Type="http://schemas.openxmlformats.org/officeDocument/2006/relationships/table" Target="../tables/table150.xml"/><Relationship Id="rId13" Type="http://schemas.openxmlformats.org/officeDocument/2006/relationships/table" Target="../tables/table16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9.xml"/><Relationship Id="rId5" Type="http://schemas.openxmlformats.org/officeDocument/2006/relationships/table" Target="../tables/table23.xml"/><Relationship Id="rId6" Type="http://schemas.openxmlformats.org/officeDocument/2006/relationships/table" Target="../tables/table42.xml"/><Relationship Id="rId7" Type="http://schemas.openxmlformats.org/officeDocument/2006/relationships/table" Target="../tables/table55.xml"/><Relationship Id="rId8" Type="http://schemas.openxmlformats.org/officeDocument/2006/relationships/table" Target="../tables/table68.xml"/><Relationship Id="rId9" Type="http://schemas.openxmlformats.org/officeDocument/2006/relationships/table" Target="../tables/table97.xml"/><Relationship Id="rId10" Type="http://schemas.openxmlformats.org/officeDocument/2006/relationships/table" Target="../tables/table110.xml"/><Relationship Id="rId11" Type="http://schemas.openxmlformats.org/officeDocument/2006/relationships/table" Target="../tables/table128.xml"/><Relationship Id="rId12" Type="http://schemas.openxmlformats.org/officeDocument/2006/relationships/table" Target="../tables/table142.xml"/><Relationship Id="rId13" Type="http://schemas.openxmlformats.org/officeDocument/2006/relationships/table" Target="../tables/table15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16.xml"/><Relationship Id="rId3" Type="http://schemas.openxmlformats.org/officeDocument/2006/relationships/table" Target="../tables/table30.xml"/><Relationship Id="rId4" Type="http://schemas.openxmlformats.org/officeDocument/2006/relationships/table" Target="../tables/table49.xml"/><Relationship Id="rId5" Type="http://schemas.openxmlformats.org/officeDocument/2006/relationships/table" Target="../tables/table62.xml"/><Relationship Id="rId6" Type="http://schemas.openxmlformats.org/officeDocument/2006/relationships/table" Target="../tables/table75.xml"/><Relationship Id="rId7" Type="http://schemas.openxmlformats.org/officeDocument/2006/relationships/table" Target="../tables/table86.xml"/><Relationship Id="rId8" Type="http://schemas.openxmlformats.org/officeDocument/2006/relationships/table" Target="../tables/table87.xml"/><Relationship Id="rId9" Type="http://schemas.openxmlformats.org/officeDocument/2006/relationships/table" Target="../tables/table104.xml"/><Relationship Id="rId10" Type="http://schemas.openxmlformats.org/officeDocument/2006/relationships/table" Target="../tables/table117.xml"/><Relationship Id="rId11" Type="http://schemas.openxmlformats.org/officeDocument/2006/relationships/table" Target="../tables/table135.xml"/><Relationship Id="rId12" Type="http://schemas.openxmlformats.org/officeDocument/2006/relationships/table" Target="../tables/table149.xml"/><Relationship Id="rId13" Type="http://schemas.openxmlformats.org/officeDocument/2006/relationships/table" Target="../tables/table16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3:Q16"/>
  <sheetViews>
    <sheetView showFormulas="false" showGridLines="false" showRowColHeaders="false" showZeros="true" rightToLeft="false" tabSelected="false" showOutlineSymbols="true" defaultGridColor="true" view="normal" topLeftCell="A100" colorId="64" zoomScale="115" zoomScaleNormal="115" zoomScalePageLayoutView="100" workbookViewId="0">
      <selection pane="topLeft" activeCell="D24" activeCellId="0" sqref="D24"/>
    </sheetView>
  </sheetViews>
  <sheetFormatPr defaultColWidth="9.15625" defaultRowHeight="15" zeroHeight="false" outlineLevelRow="0" outlineLevelCol="0"/>
  <cols>
    <col collapsed="false" customWidth="false" hidden="false" outlineLevel="0" max="9" min="1" style="1" width="9.14"/>
    <col collapsed="false" customWidth="true" hidden="false" outlineLevel="0" max="10" min="10" style="1" width="31.01"/>
    <col collapsed="false" customWidth="true" hidden="false" outlineLevel="0" max="11" min="11" style="1" width="16.57"/>
    <col collapsed="false" customWidth="false" hidden="false" outlineLevel="0" max="1024" min="12" style="1" width="9.14"/>
  </cols>
  <sheetData>
    <row r="3" customFormat="false" ht="15" hidden="false" customHeight="true" outlineLevel="0" collapsed="false">
      <c r="F3" s="2" t="s">
        <v>0</v>
      </c>
      <c r="G3" s="2"/>
      <c r="H3" s="2"/>
      <c r="I3" s="2"/>
      <c r="J3" s="2"/>
      <c r="K3" s="2"/>
      <c r="L3" s="2"/>
    </row>
    <row r="4" customFormat="false" ht="15" hidden="false" customHeight="true" outlineLevel="0" collapsed="false">
      <c r="F4" s="2"/>
      <c r="G4" s="2"/>
      <c r="H4" s="2"/>
      <c r="I4" s="2"/>
      <c r="J4" s="2"/>
      <c r="K4" s="2"/>
      <c r="L4" s="2"/>
    </row>
    <row r="5" customFormat="false" ht="15" hidden="false" customHeight="true" outlineLevel="0" collapsed="false">
      <c r="F5" s="2"/>
      <c r="G5" s="2"/>
      <c r="H5" s="2"/>
      <c r="I5" s="2"/>
      <c r="J5" s="2"/>
      <c r="K5" s="2"/>
      <c r="L5" s="2"/>
    </row>
    <row r="6" customFormat="false" ht="15" hidden="false" customHeight="true" outlineLevel="0" collapsed="false">
      <c r="F6" s="2"/>
      <c r="G6" s="2"/>
      <c r="H6" s="2"/>
      <c r="I6" s="2"/>
      <c r="J6" s="2"/>
      <c r="K6" s="2"/>
      <c r="L6" s="2"/>
    </row>
    <row r="7" customFormat="false" ht="15" hidden="false" customHeight="true" outlineLevel="0" collapsed="false">
      <c r="F7" s="2"/>
      <c r="G7" s="2"/>
      <c r="H7" s="2"/>
      <c r="I7" s="2"/>
      <c r="J7" s="2"/>
      <c r="K7" s="2"/>
      <c r="L7" s="2"/>
    </row>
    <row r="8" customFormat="false" ht="15" hidden="false" customHeight="true" outlineLevel="0" collapsed="false">
      <c r="F8" s="2"/>
      <c r="G8" s="2"/>
      <c r="H8" s="2"/>
      <c r="I8" s="2"/>
      <c r="J8" s="2"/>
      <c r="K8" s="2"/>
      <c r="L8" s="2"/>
      <c r="Q8" s="3"/>
    </row>
    <row r="9" customFormat="false" ht="15" hidden="false" customHeight="true" outlineLevel="0" collapsed="false">
      <c r="F9" s="2"/>
      <c r="G9" s="2"/>
      <c r="H9" s="2"/>
      <c r="I9" s="2"/>
      <c r="J9" s="2"/>
      <c r="K9" s="2"/>
      <c r="L9" s="2"/>
      <c r="Q9" s="3"/>
    </row>
    <row r="10" customFormat="false" ht="15" hidden="false" customHeight="true" outlineLevel="0" collapsed="false">
      <c r="F10" s="2"/>
      <c r="G10" s="2"/>
      <c r="H10" s="2"/>
      <c r="I10" s="2"/>
      <c r="J10" s="2"/>
      <c r="K10" s="2"/>
      <c r="L10" s="2"/>
    </row>
    <row r="11" customFormat="false" ht="15" hidden="false" customHeight="true" outlineLevel="0" collapsed="false">
      <c r="F11" s="2"/>
      <c r="G11" s="2"/>
      <c r="H11" s="2"/>
      <c r="I11" s="2"/>
      <c r="J11" s="2"/>
      <c r="K11" s="2"/>
      <c r="L11" s="2"/>
    </row>
    <row r="12" customFormat="false" ht="15" hidden="false" customHeight="true" outlineLevel="0" collapsed="false">
      <c r="F12" s="2"/>
      <c r="G12" s="2"/>
      <c r="H12" s="2"/>
      <c r="I12" s="2"/>
      <c r="J12" s="2"/>
      <c r="K12" s="2"/>
      <c r="L12" s="2"/>
    </row>
    <row r="13" customFormat="false" ht="15" hidden="false" customHeight="true" outlineLevel="0" collapsed="false">
      <c r="F13" s="2"/>
      <c r="G13" s="2"/>
      <c r="H13" s="2"/>
      <c r="I13" s="2"/>
      <c r="J13" s="2"/>
      <c r="K13" s="2"/>
      <c r="L13" s="2"/>
    </row>
    <row r="14" customFormat="false" ht="15" hidden="false" customHeight="false" outlineLevel="0" collapsed="false">
      <c r="K14" s="4"/>
    </row>
    <row r="15" customFormat="false" ht="15" hidden="false" customHeight="false" outlineLevel="0" collapsed="false">
      <c r="K15" s="4"/>
      <c r="L15" s="3"/>
    </row>
    <row r="16" customFormat="false" ht="15" hidden="false" customHeight="false" outlineLevel="0" collapsed="false">
      <c r="K16" s="3"/>
      <c r="L16" s="3"/>
    </row>
  </sheetData>
  <sheetProtection algorithmName="SHA-512" hashValue="Q7PoRU/axTjHG2FzxjAq9dxkKV/xkngA1sjwNJBP5ttcfVhA3+kjDG+m2/E8MCzX2xdY8C8mivAUJNrNkx5ZkQ==" saltValue="tcL2jTHz+BYnPukIY4mWcA==" spinCount="100000" sheet="true" objects="true" scenarios="true" selectLockedCells="true" selectUnlockedCells="true"/>
  <mergeCells count="1">
    <mergeCell ref="F3:L1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17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24" activeCellId="0" sqref="D24"/>
    </sheetView>
  </sheetViews>
  <sheetFormatPr defaultColWidth="2.1484375" defaultRowHeight="12" zeroHeight="true" outlineLevelRow="0" outlineLevelCol="0"/>
  <cols>
    <col collapsed="false" customWidth="false" hidden="false" outlineLevel="0" max="1" min="1" style="78" width="2.14"/>
    <col collapsed="false" customWidth="true" hidden="false" outlineLevel="0" max="2" min="2" style="78" width="1.58"/>
    <col collapsed="false" customWidth="true" hidden="false" outlineLevel="0" max="3" min="3" style="78" width="29.29"/>
    <col collapsed="false" customWidth="true" hidden="false" outlineLevel="0" max="4" min="4" style="78" width="4.71"/>
    <col collapsed="false" customWidth="true" hidden="false" outlineLevel="0" max="34" min="5" style="78" width="5.57"/>
    <col collapsed="false" customWidth="true" hidden="true" outlineLevel="0" max="35" min="35" style="167" width="5.57"/>
    <col collapsed="false" customWidth="true" hidden="false" outlineLevel="0" max="36" min="36" style="78" width="9.58"/>
    <col collapsed="false" customWidth="true" hidden="false" outlineLevel="0" max="37" min="37" style="78" width="1.58"/>
    <col collapsed="false" customWidth="true" hidden="false" outlineLevel="0" max="38" min="38" style="78" width="2"/>
    <col collapsed="false" customWidth="false" hidden="true" outlineLevel="0" max="1024" min="39" style="78" width="2.14"/>
  </cols>
  <sheetData>
    <row r="1" customFormat="false" ht="29.25" hidden="true" customHeight="true" outlineLevel="0" collapsed="false">
      <c r="A1" s="81"/>
      <c r="B1" s="81"/>
      <c r="C1" s="81"/>
      <c r="D1" s="82"/>
      <c r="AD1" s="78" t="s">
        <v>19</v>
      </c>
      <c r="AE1" s="168" t="n">
        <v>6</v>
      </c>
      <c r="AH1" s="78" t="s">
        <v>42</v>
      </c>
      <c r="AI1" s="169" t="n">
        <f aca="false">IF('⚙️'!$Q$3=$AE$1,'⚙️'!$F$13,0)</f>
        <v>0</v>
      </c>
      <c r="AK1" s="169"/>
    </row>
    <row r="2" customFormat="false" ht="15.75" hidden="false" customHeight="true" outlineLevel="0" collapsed="false">
      <c r="A2" s="84"/>
      <c r="B2" s="84"/>
      <c r="C2" s="85" t="s">
        <v>104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7"/>
      <c r="U2" s="87"/>
      <c r="V2" s="87"/>
      <c r="W2" s="87"/>
      <c r="X2" s="87"/>
      <c r="Y2" s="87"/>
      <c r="Z2" s="87"/>
      <c r="AA2" s="87"/>
      <c r="AB2" s="87"/>
      <c r="AC2" s="238"/>
      <c r="AD2" s="239"/>
      <c r="AE2" s="239"/>
      <c r="AF2" s="239"/>
      <c r="AG2" s="239"/>
      <c r="AH2" s="239"/>
      <c r="AI2" s="239"/>
      <c r="AJ2" s="239"/>
      <c r="AK2" s="239"/>
      <c r="AL2" s="239"/>
    </row>
    <row r="3" s="180" customFormat="true" ht="18" hidden="false" customHeight="true" outlineLevel="0" collapsed="false">
      <c r="A3" s="89"/>
      <c r="B3" s="89"/>
      <c r="C3" s="85"/>
      <c r="D3" s="86"/>
      <c r="E3" s="90" t="s">
        <v>45</v>
      </c>
      <c r="F3" s="90"/>
      <c r="G3" s="90"/>
      <c r="H3" s="87"/>
      <c r="I3" s="90" t="s">
        <v>46</v>
      </c>
      <c r="J3" s="90"/>
      <c r="K3" s="90"/>
      <c r="L3" s="87"/>
      <c r="M3" s="90" t="s">
        <v>47</v>
      </c>
      <c r="N3" s="90"/>
      <c r="O3" s="90"/>
      <c r="P3" s="87"/>
      <c r="Q3" s="90" t="s">
        <v>48</v>
      </c>
      <c r="R3" s="90"/>
      <c r="S3" s="90"/>
      <c r="T3" s="87"/>
      <c r="U3" s="90" t="s">
        <v>49</v>
      </c>
      <c r="V3" s="90"/>
      <c r="W3" s="90"/>
      <c r="X3" s="87"/>
      <c r="Y3" s="87"/>
      <c r="Z3" s="178" t="s">
        <v>50</v>
      </c>
      <c r="AA3" s="178"/>
      <c r="AB3" s="239"/>
      <c r="AC3" s="178" t="s">
        <v>51</v>
      </c>
      <c r="AD3" s="178"/>
      <c r="AE3" s="239"/>
      <c r="AF3" s="178" t="s">
        <v>17</v>
      </c>
      <c r="AG3" s="178"/>
      <c r="AH3" s="240"/>
      <c r="AI3" s="240"/>
      <c r="AJ3" s="240"/>
      <c r="AK3" s="239"/>
      <c r="AL3" s="239"/>
    </row>
    <row r="4" s="180" customFormat="true" ht="18" hidden="false" customHeight="true" outlineLevel="0" collapsed="false">
      <c r="A4" s="89"/>
      <c r="B4" s="89"/>
      <c r="C4" s="85"/>
      <c r="D4" s="86"/>
      <c r="E4" s="94" t="n">
        <f aca="false">$AJ$16</f>
        <v>0</v>
      </c>
      <c r="F4" s="94"/>
      <c r="G4" s="94"/>
      <c r="H4" s="87"/>
      <c r="I4" s="94" t="n">
        <f aca="false">$AJ$14</f>
        <v>0</v>
      </c>
      <c r="J4" s="94"/>
      <c r="K4" s="94"/>
      <c r="L4" s="87"/>
      <c r="M4" s="94" t="n">
        <f aca="false">$AJ$15</f>
        <v>0</v>
      </c>
      <c r="N4" s="94"/>
      <c r="O4" s="94"/>
      <c r="P4" s="87"/>
      <c r="Q4" s="94" t="n">
        <f aca="false">$AJ$25</f>
        <v>0</v>
      </c>
      <c r="R4" s="94"/>
      <c r="S4" s="94"/>
      <c r="T4" s="87"/>
      <c r="U4" s="94" t="n">
        <f aca="false">$AJ$26</f>
        <v>0</v>
      </c>
      <c r="V4" s="94"/>
      <c r="W4" s="94"/>
      <c r="X4" s="87"/>
      <c r="Y4" s="87"/>
      <c r="Z4" s="178"/>
      <c r="AA4" s="178"/>
      <c r="AB4" s="239"/>
      <c r="AC4" s="178"/>
      <c r="AD4" s="178"/>
      <c r="AE4" s="239"/>
      <c r="AF4" s="178"/>
      <c r="AG4" s="178"/>
      <c r="AH4" s="240"/>
      <c r="AI4" s="240" t="s">
        <v>54</v>
      </c>
      <c r="AJ4" s="240"/>
      <c r="AK4" s="239"/>
      <c r="AL4" s="239"/>
    </row>
    <row r="5" customFormat="false" ht="11.25" hidden="false" customHeight="true" outlineLevel="0" collapsed="false">
      <c r="A5" s="89"/>
      <c r="B5" s="89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7"/>
      <c r="Y5" s="86"/>
      <c r="Z5" s="86"/>
      <c r="AA5" s="87"/>
      <c r="AB5" s="87"/>
      <c r="AC5" s="241"/>
      <c r="AD5" s="242"/>
      <c r="AE5" s="242"/>
      <c r="AF5" s="242"/>
      <c r="AG5" s="242"/>
      <c r="AH5" s="242"/>
      <c r="AI5" s="242"/>
      <c r="AJ5" s="239"/>
      <c r="AK5" s="239"/>
      <c r="AL5" s="239"/>
    </row>
    <row r="6" customFormat="false" ht="13.5" hidden="false" customHeight="true" outlineLevel="0" collapsed="false">
      <c r="A6" s="96"/>
      <c r="B6" s="96"/>
      <c r="C6" s="85"/>
      <c r="D6" s="97"/>
      <c r="E6" s="98" t="s">
        <v>30</v>
      </c>
      <c r="F6" s="98" t="s">
        <v>31</v>
      </c>
      <c r="G6" s="99" t="s">
        <v>32</v>
      </c>
      <c r="H6" s="99" t="s">
        <v>33</v>
      </c>
      <c r="I6" s="99" t="s">
        <v>34</v>
      </c>
      <c r="J6" s="99" t="s">
        <v>35</v>
      </c>
      <c r="K6" s="99" t="s">
        <v>36</v>
      </c>
      <c r="L6" s="99" t="s">
        <v>37</v>
      </c>
      <c r="M6" s="99" t="s">
        <v>38</v>
      </c>
      <c r="N6" s="99" t="s">
        <v>39</v>
      </c>
      <c r="O6" s="99" t="s">
        <v>40</v>
      </c>
      <c r="P6" s="99" t="s">
        <v>41</v>
      </c>
      <c r="Q6" s="99" t="s">
        <v>81</v>
      </c>
      <c r="R6" s="99" t="s">
        <v>82</v>
      </c>
      <c r="S6" s="99" t="s">
        <v>83</v>
      </c>
      <c r="T6" s="99" t="s">
        <v>84</v>
      </c>
      <c r="U6" s="99" t="s">
        <v>85</v>
      </c>
      <c r="V6" s="99" t="s">
        <v>86</v>
      </c>
      <c r="W6" s="99" t="s">
        <v>87</v>
      </c>
      <c r="X6" s="99" t="s">
        <v>88</v>
      </c>
      <c r="Y6" s="99" t="s">
        <v>89</v>
      </c>
      <c r="Z6" s="99" t="s">
        <v>90</v>
      </c>
      <c r="AA6" s="99" t="s">
        <v>91</v>
      </c>
      <c r="AB6" s="99" t="s">
        <v>92</v>
      </c>
      <c r="AC6" s="99" t="s">
        <v>93</v>
      </c>
      <c r="AD6" s="99" t="s">
        <v>94</v>
      </c>
      <c r="AE6" s="99" t="s">
        <v>95</v>
      </c>
      <c r="AF6" s="99" t="s">
        <v>96</v>
      </c>
      <c r="AG6" s="99" t="s">
        <v>97</v>
      </c>
      <c r="AH6" s="99" t="s">
        <v>98</v>
      </c>
      <c r="AI6" s="243" t="s">
        <v>99</v>
      </c>
      <c r="AJ6" s="239"/>
      <c r="AK6" s="239"/>
      <c r="AL6" s="239"/>
    </row>
    <row r="7" s="78" customFormat="true" ht="12.75" hidden="false" customHeight="false" outlineLevel="0" collapsed="false">
      <c r="E7" s="100"/>
    </row>
    <row r="8" s="78" customFormat="true" ht="12" hidden="false" customHeight="false" outlineLevel="0" collapsed="false"/>
    <row r="9" s="78" customFormat="true" ht="12" hidden="false" customHeight="false" outlineLevel="0" collapsed="false"/>
    <row r="10" customFormat="false" ht="39.75" hidden="false" customHeight="true" outlineLevel="0" collapsed="false">
      <c r="C10" s="101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3" t="s">
        <v>2</v>
      </c>
    </row>
    <row r="11" s="78" customFormat="true" ht="12.75" hidden="false" customHeight="false" outlineLevel="0" collapsed="false">
      <c r="AJ11" s="106" t="s">
        <v>64</v>
      </c>
    </row>
    <row r="12" customFormat="false" ht="6.75" hidden="false" customHeight="tru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94"/>
      <c r="AK12" s="107"/>
    </row>
    <row r="13" customFormat="false" ht="13.5" hidden="true" customHeight="false" outlineLevel="0" collapsed="false">
      <c r="B13" s="86"/>
      <c r="C13" s="109" t="s">
        <v>68</v>
      </c>
      <c r="D13" s="110" t="s">
        <v>69</v>
      </c>
      <c r="E13" s="110" t="s">
        <v>30</v>
      </c>
      <c r="F13" s="110" t="s">
        <v>31</v>
      </c>
      <c r="G13" s="110" t="s">
        <v>32</v>
      </c>
      <c r="H13" s="110" t="s">
        <v>33</v>
      </c>
      <c r="I13" s="110" t="s">
        <v>34</v>
      </c>
      <c r="J13" s="110" t="s">
        <v>35</v>
      </c>
      <c r="K13" s="110" t="s">
        <v>36</v>
      </c>
      <c r="L13" s="110" t="s">
        <v>37</v>
      </c>
      <c r="M13" s="110" t="s">
        <v>38</v>
      </c>
      <c r="N13" s="110" t="s">
        <v>39</v>
      </c>
      <c r="O13" s="110" t="s">
        <v>40</v>
      </c>
      <c r="P13" s="110" t="s">
        <v>41</v>
      </c>
      <c r="Q13" s="110" t="s">
        <v>81</v>
      </c>
      <c r="R13" s="110" t="s">
        <v>82</v>
      </c>
      <c r="S13" s="110" t="s">
        <v>83</v>
      </c>
      <c r="T13" s="110" t="s">
        <v>84</v>
      </c>
      <c r="U13" s="110" t="s">
        <v>85</v>
      </c>
      <c r="V13" s="110" t="s">
        <v>86</v>
      </c>
      <c r="W13" s="110" t="s">
        <v>87</v>
      </c>
      <c r="X13" s="110" t="s">
        <v>88</v>
      </c>
      <c r="Y13" s="110" t="s">
        <v>89</v>
      </c>
      <c r="Z13" s="110" t="s">
        <v>90</v>
      </c>
      <c r="AA13" s="110" t="s">
        <v>91</v>
      </c>
      <c r="AB13" s="110" t="s">
        <v>92</v>
      </c>
      <c r="AC13" s="110" t="s">
        <v>93</v>
      </c>
      <c r="AD13" s="110" t="s">
        <v>94</v>
      </c>
      <c r="AE13" s="110" t="s">
        <v>95</v>
      </c>
      <c r="AF13" s="110" t="s">
        <v>96</v>
      </c>
      <c r="AG13" s="110" t="s">
        <v>97</v>
      </c>
      <c r="AH13" s="110" t="s">
        <v>98</v>
      </c>
      <c r="AI13" s="110" t="s">
        <v>99</v>
      </c>
      <c r="AJ13" s="111" t="s">
        <v>70</v>
      </c>
      <c r="AK13" s="107"/>
    </row>
    <row r="14" customFormat="false" ht="19.5" hidden="false" customHeight="true" outlineLevel="0" collapsed="false">
      <c r="B14" s="107"/>
      <c r="C14" s="112" t="s">
        <v>71</v>
      </c>
      <c r="D14" s="113"/>
      <c r="E14" s="114" t="n">
        <f aca="false">SUMIFS(tabela_registros[VALOR],tabela_registros[MÊS],$AE$1,tabela_registros[DIA],juntotal3059718395[[#Headers],[1]],tabela_registros[REGISTRO],DADOS!$N$3)</f>
        <v>0</v>
      </c>
      <c r="F14" s="114" t="n">
        <f aca="false">SUMIFS(tabela_registros[VALOR],tabela_registros[MÊS],$AE$1,tabela_registros[DIA],juntotal3059718395[[#Headers],[2]],tabela_registros[REGISTRO],DADOS!$N$3)</f>
        <v>0</v>
      </c>
      <c r="G14" s="114" t="n">
        <f aca="false">SUMIFS(tabela_registros[VALOR],tabela_registros[MÊS],$AE$1,tabela_registros[DIA],juntotal3059718395[[#Headers],[3]],tabela_registros[REGISTRO],DADOS!$N$3)</f>
        <v>0</v>
      </c>
      <c r="H14" s="114" t="n">
        <f aca="false">SUMIFS(tabela_registros[VALOR],tabela_registros[MÊS],$AE$1,tabela_registros[DIA],juntotal3059718395[[#Headers],[4]],tabela_registros[REGISTRO],DADOS!$N$3)</f>
        <v>0</v>
      </c>
      <c r="I14" s="114" t="n">
        <f aca="false">SUMIFS(tabela_registros[VALOR],tabela_registros[MÊS],$AE$1,tabela_registros[DIA],juntotal3059718395[[#Headers],[5]],tabela_registros[REGISTRO],DADOS!$N$3)</f>
        <v>0</v>
      </c>
      <c r="J14" s="114" t="n">
        <f aca="false">SUMIFS(tabela_registros[VALOR],tabela_registros[MÊS],$AE$1,tabela_registros[DIA],juntotal3059718395[[#Headers],[6]],tabela_registros[REGISTRO],DADOS!$N$3)</f>
        <v>0</v>
      </c>
      <c r="K14" s="114" t="n">
        <f aca="false">SUMIFS(tabela_registros[VALOR],tabela_registros[MÊS],$AE$1,tabela_registros[DIA],juntotal3059718395[[#Headers],[7]],tabela_registros[REGISTRO],DADOS!$N$3)</f>
        <v>0</v>
      </c>
      <c r="L14" s="114" t="n">
        <f aca="false">SUMIFS(tabela_registros[VALOR],tabela_registros[MÊS],$AE$1,tabela_registros[DIA],juntotal3059718395[[#Headers],[8]],tabela_registros[REGISTRO],DADOS!$N$3)</f>
        <v>0</v>
      </c>
      <c r="M14" s="114" t="n">
        <f aca="false">SUMIFS(tabela_registros[VALOR],tabela_registros[MÊS],$AE$1,tabela_registros[DIA],juntotal3059718395[[#Headers],[9]],tabela_registros[REGISTRO],DADOS!$N$3)</f>
        <v>0</v>
      </c>
      <c r="N14" s="114" t="n">
        <f aca="false">SUMIFS(tabela_registros[VALOR],tabela_registros[MÊS],$AE$1,tabela_registros[DIA],juntotal3059718395[[#Headers],[10]],tabela_registros[REGISTRO],DADOS!$N$3)</f>
        <v>0</v>
      </c>
      <c r="O14" s="114" t="n">
        <f aca="false">SUMIFS(tabela_registros[VALOR],tabela_registros[MÊS],$AE$1,tabela_registros[DIA],juntotal3059718395[[#Headers],[11]],tabela_registros[REGISTRO],DADOS!$N$3)</f>
        <v>0</v>
      </c>
      <c r="P14" s="114" t="n">
        <f aca="false">SUMIFS(tabela_registros[VALOR],tabela_registros[MÊS],$AE$1,tabela_registros[DIA],juntotal3059718395[[#Headers],[12]],tabela_registros[REGISTRO],DADOS!$N$3)</f>
        <v>0</v>
      </c>
      <c r="Q14" s="114" t="n">
        <f aca="false">SUMIFS(tabela_registros[VALOR],tabela_registros[MÊS],$AE$1,tabela_registros[DIA],juntotal3059718395[[#Headers],[13]],tabela_registros[REGISTRO],DADOS!$N$3)</f>
        <v>0</v>
      </c>
      <c r="R14" s="114" t="n">
        <f aca="false">SUMIFS(tabela_registros[VALOR],tabela_registros[MÊS],$AE$1,tabela_registros[DIA],juntotal3059718395[[#Headers],[14]],tabela_registros[REGISTRO],DADOS!$N$3)</f>
        <v>0</v>
      </c>
      <c r="S14" s="114" t="n">
        <f aca="false">SUMIFS(tabela_registros[VALOR],tabela_registros[MÊS],$AE$1,tabela_registros[DIA],juntotal3059718395[[#Headers],[15]],tabela_registros[REGISTRO],DADOS!$N$3)</f>
        <v>0</v>
      </c>
      <c r="T14" s="114" t="n">
        <f aca="false">SUMIFS(tabela_registros[VALOR],tabela_registros[MÊS],$AE$1,tabela_registros[DIA],juntotal3059718395[[#Headers],[16]],tabela_registros[REGISTRO],DADOS!$N$3)</f>
        <v>0</v>
      </c>
      <c r="U14" s="114" t="n">
        <f aca="false">SUMIFS(tabela_registros[VALOR],tabela_registros[MÊS],$AE$1,tabela_registros[DIA],juntotal3059718395[[#Headers],[17]],tabela_registros[REGISTRO],DADOS!$N$3)</f>
        <v>0</v>
      </c>
      <c r="V14" s="114" t="n">
        <f aca="false">SUMIFS(tabela_registros[VALOR],tabela_registros[MÊS],$AE$1,tabela_registros[DIA],juntotal3059718395[[#Headers],[18]],tabela_registros[REGISTRO],DADOS!$N$3)</f>
        <v>0</v>
      </c>
      <c r="W14" s="114" t="n">
        <f aca="false">SUMIFS(tabela_registros[VALOR],tabela_registros[MÊS],$AE$1,tabela_registros[DIA],juntotal3059718395[[#Headers],[19]],tabela_registros[REGISTRO],DADOS!$N$3)</f>
        <v>0</v>
      </c>
      <c r="X14" s="114" t="n">
        <f aca="false">SUMIFS(tabela_registros[VALOR],tabela_registros[MÊS],$AE$1,tabela_registros[DIA],juntotal3059718395[[#Headers],[20]],tabela_registros[REGISTRO],DADOS!$N$3)</f>
        <v>0</v>
      </c>
      <c r="Y14" s="114" t="n">
        <f aca="false">SUMIFS(tabela_registros[VALOR],tabela_registros[MÊS],$AE$1,tabela_registros[DIA],juntotal3059718395[[#Headers],[21]],tabela_registros[REGISTRO],DADOS!$N$3)</f>
        <v>0</v>
      </c>
      <c r="Z14" s="114" t="n">
        <f aca="false">SUMIFS(tabela_registros[VALOR],tabela_registros[MÊS],$AE$1,tabela_registros[DIA],juntotal3059718395[[#Headers],[22]],tabela_registros[REGISTRO],DADOS!$N$3)</f>
        <v>0</v>
      </c>
      <c r="AA14" s="114" t="n">
        <f aca="false">SUMIFS(tabela_registros[VALOR],tabela_registros[MÊS],$AE$1,tabela_registros[DIA],juntotal3059718395[[#Headers],[23]],tabela_registros[REGISTRO],DADOS!$N$3)</f>
        <v>0</v>
      </c>
      <c r="AB14" s="114" t="n">
        <f aca="false">SUMIFS(tabela_registros[VALOR],tabela_registros[MÊS],$AE$1,tabela_registros[DIA],juntotal3059718395[[#Headers],[24]],tabela_registros[REGISTRO],DADOS!$N$3)</f>
        <v>0</v>
      </c>
      <c r="AC14" s="114" t="n">
        <f aca="false">SUMIFS(tabela_registros[VALOR],tabela_registros[MÊS],$AE$1,tabela_registros[DIA],juntotal3059718395[[#Headers],[25]],tabela_registros[REGISTRO],DADOS!$N$3)</f>
        <v>0</v>
      </c>
      <c r="AD14" s="114" t="n">
        <f aca="false">SUMIFS(tabela_registros[VALOR],tabela_registros[MÊS],$AE$1,tabela_registros[DIA],juntotal3059718395[[#Headers],[26]],tabela_registros[REGISTRO],DADOS!$N$3)</f>
        <v>0</v>
      </c>
      <c r="AE14" s="114" t="n">
        <f aca="false">SUMIFS(tabela_registros[VALOR],tabela_registros[MÊS],$AE$1,tabela_registros[DIA],juntotal3059718395[[#Headers],[27]],tabela_registros[REGISTRO],DADOS!$N$3)</f>
        <v>0</v>
      </c>
      <c r="AF14" s="114" t="n">
        <f aca="false">SUMIFS(tabela_registros[VALOR],tabela_registros[MÊS],$AE$1,tabela_registros[DIA],juntotal3059718395[[#Headers],[28]],tabela_registros[REGISTRO],DADOS!$N$3)</f>
        <v>0</v>
      </c>
      <c r="AG14" s="114" t="n">
        <f aca="false">SUMIFS(tabela_registros[VALOR],tabela_registros[MÊS],$AE$1,tabela_registros[DIA],juntotal3059718395[[#Headers],[29]],tabela_registros[REGISTRO],DADOS!$N$3)</f>
        <v>0</v>
      </c>
      <c r="AH14" s="115" t="n">
        <f aca="false">SUMIFS(tabela_registros[VALOR],tabela_registros[MÊS],$AE$1,tabela_registros[DIA],juntotal3059718395[[#Headers],[30]],tabela_registros[REGISTRO],DADOS!$N$3)</f>
        <v>0</v>
      </c>
      <c r="AI14" s="116" t="n">
        <f aca="false">SUMIFS(tabela_registros[VALOR],tabela_registros[MÊS],$AE$1,tabela_registros[DIA],juntotal3059718395[[#Headers],[31]],tabela_registros[REGISTRO],DADOS!$N$3)</f>
        <v>0</v>
      </c>
      <c r="AJ14" s="116" t="n">
        <f aca="false">SUM(juntotal3059718395[[#This Row],[1]:[31]])</f>
        <v>0</v>
      </c>
      <c r="AK14" s="107"/>
    </row>
    <row r="15" customFormat="false" ht="18" hidden="false" customHeight="true" outlineLevel="0" collapsed="false">
      <c r="B15" s="107"/>
      <c r="C15" s="112" t="s">
        <v>72</v>
      </c>
      <c r="D15" s="113"/>
      <c r="E15" s="119" t="n">
        <f aca="false">SUMIFS(tabela_registros[VALOR],tabela_registros[MÊS],$AE$1,tabela_registros[DIA],juntotal3059718395[[#Headers],[1]],tabela_registros[REGISTRO],DADOS!$N$4)</f>
        <v>0</v>
      </c>
      <c r="F15" s="119" t="n">
        <f aca="false">SUMIFS(tabela_registros[VALOR],tabela_registros[MÊS],$AE$1,tabela_registros[DIA],juntotal3059718395[[#Headers],[2]],tabela_registros[REGISTRO],DADOS!$N$4)</f>
        <v>0</v>
      </c>
      <c r="G15" s="119" t="n">
        <f aca="false">SUMIFS(tabela_registros[VALOR],tabela_registros[MÊS],$AE$1,tabela_registros[DIA],juntotal3059718395[[#Headers],[3]],tabela_registros[REGISTRO],DADOS!$N$4)</f>
        <v>0</v>
      </c>
      <c r="H15" s="119" t="n">
        <f aca="false">SUMIFS(tabela_registros[VALOR],tabela_registros[MÊS],$AE$1,tabela_registros[DIA],juntotal3059718395[[#Headers],[4]],tabela_registros[REGISTRO],DADOS!$N$4)</f>
        <v>0</v>
      </c>
      <c r="I15" s="119" t="n">
        <f aca="false">SUMIFS(tabela_registros[VALOR],tabela_registros[MÊS],$AE$1,tabela_registros[DIA],juntotal3059718395[[#Headers],[5]],tabela_registros[REGISTRO],DADOS!$N$4)</f>
        <v>0</v>
      </c>
      <c r="J15" s="119" t="n">
        <f aca="false">SUMIFS(tabela_registros[VALOR],tabela_registros[MÊS],$AE$1,tabela_registros[DIA],juntotal3059718395[[#Headers],[6]],tabela_registros[REGISTRO],DADOS!$N$4)</f>
        <v>0</v>
      </c>
      <c r="K15" s="119" t="n">
        <f aca="false">SUMIFS(tabela_registros[VALOR],tabela_registros[MÊS],$AE$1,tabela_registros[DIA],juntotal3059718395[[#Headers],[7]],tabela_registros[REGISTRO],DADOS!$N$4)</f>
        <v>0</v>
      </c>
      <c r="L15" s="119" t="n">
        <f aca="false">SUMIFS(tabela_registros[VALOR],tabela_registros[MÊS],$AE$1,tabela_registros[DIA],juntotal3059718395[[#Headers],[8]],tabela_registros[REGISTRO],DADOS!$N$4)</f>
        <v>0</v>
      </c>
      <c r="M15" s="119" t="n">
        <f aca="false">SUMIFS(tabela_registros[VALOR],tabela_registros[MÊS],$AE$1,tabela_registros[DIA],juntotal3059718395[[#Headers],[9]],tabela_registros[REGISTRO],DADOS!$N$4)</f>
        <v>0</v>
      </c>
      <c r="N15" s="119" t="n">
        <f aca="false">SUMIFS(tabela_registros[VALOR],tabela_registros[MÊS],$AE$1,tabela_registros[DIA],juntotal3059718395[[#Headers],[10]],tabela_registros[REGISTRO],DADOS!$N$4)</f>
        <v>0</v>
      </c>
      <c r="O15" s="119" t="n">
        <f aca="false">SUMIFS(tabela_registros[VALOR],tabela_registros[MÊS],$AE$1,tabela_registros[DIA],juntotal3059718395[[#Headers],[11]],tabela_registros[REGISTRO],DADOS!$N$4)</f>
        <v>0</v>
      </c>
      <c r="P15" s="119" t="n">
        <f aca="false">SUMIFS(tabela_registros[VALOR],tabela_registros[MÊS],$AE$1,tabela_registros[DIA],juntotal3059718395[[#Headers],[12]],tabela_registros[REGISTRO],DADOS!$N$4)</f>
        <v>0</v>
      </c>
      <c r="Q15" s="119" t="n">
        <f aca="false">SUMIFS(tabela_registros[VALOR],tabela_registros[MÊS],$AE$1,tabela_registros[DIA],juntotal3059718395[[#Headers],[13]],tabela_registros[REGISTRO],DADOS!$N$4)</f>
        <v>0</v>
      </c>
      <c r="R15" s="119" t="n">
        <f aca="false">SUMIFS(tabela_registros[VALOR],tabela_registros[MÊS],$AE$1,tabela_registros[DIA],juntotal3059718395[[#Headers],[14]],tabela_registros[REGISTRO],DADOS!$N$4)</f>
        <v>0</v>
      </c>
      <c r="S15" s="119" t="n">
        <f aca="false">SUMIFS(tabela_registros[VALOR],tabela_registros[MÊS],$AE$1,tabela_registros[DIA],juntotal3059718395[[#Headers],[15]],tabela_registros[REGISTRO],DADOS!$N$4)</f>
        <v>0</v>
      </c>
      <c r="T15" s="119" t="n">
        <f aca="false">SUMIFS(tabela_registros[VALOR],tabela_registros[MÊS],$AE$1,tabela_registros[DIA],juntotal3059718395[[#Headers],[16]],tabela_registros[REGISTRO],DADOS!$N$4)</f>
        <v>0</v>
      </c>
      <c r="U15" s="119" t="n">
        <f aca="false">SUMIFS(tabela_registros[VALOR],tabela_registros[MÊS],$AE$1,tabela_registros[DIA],juntotal3059718395[[#Headers],[17]],tabela_registros[REGISTRO],DADOS!$N$4)</f>
        <v>0</v>
      </c>
      <c r="V15" s="119" t="n">
        <f aca="false">SUMIFS(tabela_registros[VALOR],tabela_registros[MÊS],$AE$1,tabela_registros[DIA],juntotal3059718395[[#Headers],[18]],tabela_registros[REGISTRO],DADOS!$N$4)</f>
        <v>0</v>
      </c>
      <c r="W15" s="119" t="n">
        <f aca="false">SUMIFS(tabela_registros[VALOR],tabela_registros[MÊS],$AE$1,tabela_registros[DIA],juntotal3059718395[[#Headers],[19]],tabela_registros[REGISTRO],DADOS!$N$4)</f>
        <v>0</v>
      </c>
      <c r="X15" s="119" t="n">
        <f aca="false">SUMIFS(tabela_registros[VALOR],tabela_registros[MÊS],$AE$1,tabela_registros[DIA],juntotal3059718395[[#Headers],[20]],tabela_registros[REGISTRO],DADOS!$N$4)</f>
        <v>0</v>
      </c>
      <c r="Y15" s="119" t="n">
        <f aca="false">SUMIFS(tabela_registros[VALOR],tabela_registros[MÊS],$AE$1,tabela_registros[DIA],juntotal3059718395[[#Headers],[21]],tabela_registros[REGISTRO],DADOS!$N$4)</f>
        <v>0</v>
      </c>
      <c r="Z15" s="119" t="n">
        <f aca="false">SUMIFS(tabela_registros[VALOR],tabela_registros[MÊS],$AE$1,tabela_registros[DIA],juntotal3059718395[[#Headers],[22]],tabela_registros[REGISTRO],DADOS!$N$4)</f>
        <v>0</v>
      </c>
      <c r="AA15" s="119" t="n">
        <f aca="false">SUMIFS(tabela_registros[VALOR],tabela_registros[MÊS],$AE$1,tabela_registros[DIA],juntotal3059718395[[#Headers],[23]],tabela_registros[REGISTRO],DADOS!$N$4)</f>
        <v>0</v>
      </c>
      <c r="AB15" s="119" t="n">
        <f aca="false">SUMIFS(tabela_registros[VALOR],tabela_registros[MÊS],$AE$1,tabela_registros[DIA],juntotal3059718395[[#Headers],[24]],tabela_registros[REGISTRO],DADOS!$N$4)</f>
        <v>0</v>
      </c>
      <c r="AC15" s="119" t="n">
        <f aca="false">SUMIFS(tabela_registros[VALOR],tabela_registros[MÊS],$AE$1,tabela_registros[DIA],juntotal3059718395[[#Headers],[25]],tabela_registros[REGISTRO],DADOS!$N$4)</f>
        <v>0</v>
      </c>
      <c r="AD15" s="119" t="n">
        <f aca="false">SUMIFS(tabela_registros[VALOR],tabela_registros[MÊS],$AE$1,tabela_registros[DIA],juntotal3059718395[[#Headers],[26]],tabela_registros[REGISTRO],DADOS!$N$4)</f>
        <v>0</v>
      </c>
      <c r="AE15" s="119" t="n">
        <f aca="false">SUMIFS(tabela_registros[VALOR],tabela_registros[MÊS],$AE$1,tabela_registros[DIA],juntotal3059718395[[#Headers],[27]],tabela_registros[REGISTRO],DADOS!$N$4)</f>
        <v>0</v>
      </c>
      <c r="AF15" s="119" t="n">
        <f aca="false">SUMIFS(tabela_registros[VALOR],tabela_registros[MÊS],$AE$1,tabela_registros[DIA],juntotal3059718395[[#Headers],[28]],tabela_registros[REGISTRO],DADOS!$N$4)</f>
        <v>0</v>
      </c>
      <c r="AG15" s="119" t="n">
        <f aca="false">SUMIFS(tabela_registros[VALOR],tabela_registros[MÊS],$AE$1,tabela_registros[DIA],juntotal3059718395[[#Headers],[29]],tabela_registros[REGISTRO],DADOS!$N$4)</f>
        <v>0</v>
      </c>
      <c r="AH15" s="120" t="n">
        <f aca="false">SUMIFS(tabela_registros[VALOR],tabela_registros[MÊS],$AE$1,tabela_registros[DIA],juntotal3059718395[[#Headers],[30]],tabela_registros[REGISTRO],DADOS!$N$4)</f>
        <v>0</v>
      </c>
      <c r="AI15" s="121" t="n">
        <f aca="false">SUMIFS(tabela_registros[VALOR],tabela_registros[MÊS],$AE$1,tabela_registros[DIA],juntotal3059718395[[#Headers],[31]],tabela_registros[REGISTRO],DADOS!$N$4)</f>
        <v>0</v>
      </c>
      <c r="AJ15" s="121" t="n">
        <f aca="false">SUM(juntotal3059718395[[#This Row],[1]:[31]])</f>
        <v>0</v>
      </c>
      <c r="AK15" s="107"/>
    </row>
    <row r="16" s="122" customFormat="true" ht="21" hidden="false" customHeight="true" outlineLevel="0" collapsed="false">
      <c r="B16" s="123"/>
      <c r="C16" s="124" t="s">
        <v>73</v>
      </c>
      <c r="D16" s="125"/>
      <c r="E16" s="126" t="n">
        <f aca="false">(E14-E15)+AI1</f>
        <v>0</v>
      </c>
      <c r="F16" s="127" t="n">
        <f aca="false">juntotal3059718395[[#This Row],[1]]+(F14-F15)</f>
        <v>0</v>
      </c>
      <c r="G16" s="127" t="n">
        <f aca="false">juntotal3059718395[[#This Row],[2]]+(G14-G15)</f>
        <v>0</v>
      </c>
      <c r="H16" s="127" t="n">
        <f aca="false">juntotal3059718395[[#This Row],[3]]+(H14-H15)</f>
        <v>0</v>
      </c>
      <c r="I16" s="127" t="n">
        <f aca="false">juntotal3059718395[[#This Row],[4]]+(I14-I15)</f>
        <v>0</v>
      </c>
      <c r="J16" s="127" t="n">
        <f aca="false">juntotal3059718395[[#This Row],[5]]+(J14-J15)</f>
        <v>0</v>
      </c>
      <c r="K16" s="127" t="n">
        <f aca="false">juntotal3059718395[[#This Row],[6]]+(K14-K15)</f>
        <v>0</v>
      </c>
      <c r="L16" s="127" t="n">
        <f aca="false">juntotal3059718395[[#This Row],[7]]+(L14-L15)</f>
        <v>0</v>
      </c>
      <c r="M16" s="127" t="n">
        <f aca="false">juntotal3059718395[[#This Row],[8]]+(M14-M15)</f>
        <v>0</v>
      </c>
      <c r="N16" s="127" t="n">
        <f aca="false">juntotal3059718395[[#This Row],[9]]+(N14-N15)</f>
        <v>0</v>
      </c>
      <c r="O16" s="127" t="n">
        <f aca="false">juntotal3059718395[[#This Row],[10]]+(O14-O15)</f>
        <v>0</v>
      </c>
      <c r="P16" s="127" t="n">
        <f aca="false">juntotal3059718395[[#This Row],[11]]+(P14-P15)</f>
        <v>0</v>
      </c>
      <c r="Q16" s="127" t="n">
        <f aca="false">juntotal3059718395[[#This Row],[12]]+(Q14-Q15)</f>
        <v>0</v>
      </c>
      <c r="R16" s="127" t="n">
        <f aca="false">juntotal3059718395[[#This Row],[13]]+(R14-R15)</f>
        <v>0</v>
      </c>
      <c r="S16" s="127" t="n">
        <f aca="false">juntotal3059718395[[#This Row],[14]]+(S14-S15)</f>
        <v>0</v>
      </c>
      <c r="T16" s="127" t="n">
        <f aca="false">juntotal3059718395[[#This Row],[15]]+(T14-T15)</f>
        <v>0</v>
      </c>
      <c r="U16" s="127" t="n">
        <f aca="false">juntotal3059718395[[#This Row],[16]]+(U14-U15)</f>
        <v>0</v>
      </c>
      <c r="V16" s="127" t="n">
        <f aca="false">juntotal3059718395[[#This Row],[17]]+(V14-V15)</f>
        <v>0</v>
      </c>
      <c r="W16" s="127" t="n">
        <f aca="false">juntotal3059718395[[#This Row],[18]]+(W14-W15)</f>
        <v>0</v>
      </c>
      <c r="X16" s="127" t="n">
        <f aca="false">juntotal3059718395[[#This Row],[19]]+(X14-X15)</f>
        <v>0</v>
      </c>
      <c r="Y16" s="127" t="n">
        <f aca="false">juntotal3059718395[[#This Row],[20]]+(Y14-Y15)</f>
        <v>0</v>
      </c>
      <c r="Z16" s="127" t="n">
        <f aca="false">juntotal3059718395[[#This Row],[21]]+(Z14-Z15)</f>
        <v>0</v>
      </c>
      <c r="AA16" s="127" t="n">
        <f aca="false">juntotal3059718395[[#This Row],[22]]+(AA14-AA15)</f>
        <v>0</v>
      </c>
      <c r="AB16" s="127" t="n">
        <f aca="false">juntotal3059718395[[#This Row],[23]]+(AB14-AB15)</f>
        <v>0</v>
      </c>
      <c r="AC16" s="127" t="n">
        <f aca="false">juntotal3059718395[[#This Row],[24]]+(AC14-AC15)</f>
        <v>0</v>
      </c>
      <c r="AD16" s="127" t="n">
        <f aca="false">juntotal3059718395[[#This Row],[25]]+(AD14-AD15)</f>
        <v>0</v>
      </c>
      <c r="AE16" s="127" t="n">
        <f aca="false">juntotal3059718395[[#This Row],[26]]+(AE14-AE15)</f>
        <v>0</v>
      </c>
      <c r="AF16" s="127" t="n">
        <f aca="false">juntotal3059718395[[#This Row],[27]]+(AF14-AF15)</f>
        <v>0</v>
      </c>
      <c r="AG16" s="127" t="n">
        <f aca="false">juntotal3059718395[[#This Row],[28]]+(AG14-AG15)</f>
        <v>0</v>
      </c>
      <c r="AH16" s="128" t="n">
        <f aca="false">juntotal3059718395[[#This Row],[29]]+(AH14-AH15)</f>
        <v>0</v>
      </c>
      <c r="AI16" s="129" t="n">
        <f aca="false">juntotal3059718395[[#This Row],[30]]+(AI14-AI15)</f>
        <v>0</v>
      </c>
      <c r="AJ16" s="129" t="n">
        <f aca="false">juntotal3059718395[[#This Row],[31]]</f>
        <v>0</v>
      </c>
      <c r="AK16" s="123"/>
    </row>
    <row r="17" customFormat="false" ht="6.75" hidden="false" customHeight="true" outlineLevel="0" collapsed="false"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94"/>
      <c r="AJ17" s="107"/>
      <c r="AK17" s="107"/>
    </row>
    <row r="18" customFormat="false" ht="12.75" hidden="false" customHeight="false" outlineLevel="0" collapsed="false">
      <c r="C18" s="133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</row>
    <row r="19" customFormat="false" ht="12" hidden="false" customHeight="false" outlineLevel="0" collapsed="false">
      <c r="C19" s="133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</row>
    <row r="20" customFormat="false" ht="12" hidden="false" customHeight="false" outlineLevel="0" collapsed="false">
      <c r="A20" s="133"/>
      <c r="B20" s="133"/>
      <c r="C20" s="133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</row>
    <row r="21" customFormat="false" ht="39.75" hidden="false" customHeight="true" outlineLevel="0" collapsed="false">
      <c r="A21" s="133"/>
      <c r="B21" s="133"/>
      <c r="C21" s="133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3" t="s">
        <v>2</v>
      </c>
    </row>
    <row r="22" s="78" customFormat="true" ht="11.25" hidden="false" customHeight="true" outlineLevel="0" collapsed="false">
      <c r="C22" s="101"/>
      <c r="AJ22" s="106" t="s">
        <v>64</v>
      </c>
    </row>
    <row r="23" customFormat="false" ht="6.75" hidden="false" customHeight="true" outlineLevel="0" collapsed="false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94"/>
      <c r="AK23" s="107"/>
    </row>
    <row r="24" customFormat="false" ht="13.5" hidden="true" customHeight="false" outlineLevel="0" collapsed="false">
      <c r="B24" s="86"/>
      <c r="C24" s="110" t="s">
        <v>68</v>
      </c>
      <c r="D24" s="107" t="s">
        <v>69</v>
      </c>
      <c r="E24" s="110" t="s">
        <v>30</v>
      </c>
      <c r="F24" s="110" t="s">
        <v>31</v>
      </c>
      <c r="G24" s="110" t="s">
        <v>32</v>
      </c>
      <c r="H24" s="110" t="s">
        <v>33</v>
      </c>
      <c r="I24" s="110" t="s">
        <v>34</v>
      </c>
      <c r="J24" s="110" t="s">
        <v>35</v>
      </c>
      <c r="K24" s="110" t="s">
        <v>36</v>
      </c>
      <c r="L24" s="110" t="s">
        <v>37</v>
      </c>
      <c r="M24" s="110" t="s">
        <v>38</v>
      </c>
      <c r="N24" s="110" t="s">
        <v>39</v>
      </c>
      <c r="O24" s="110" t="s">
        <v>40</v>
      </c>
      <c r="P24" s="110" t="s">
        <v>41</v>
      </c>
      <c r="Q24" s="110" t="s">
        <v>81</v>
      </c>
      <c r="R24" s="110" t="s">
        <v>82</v>
      </c>
      <c r="S24" s="110" t="s">
        <v>83</v>
      </c>
      <c r="T24" s="110" t="s">
        <v>84</v>
      </c>
      <c r="U24" s="110" t="s">
        <v>85</v>
      </c>
      <c r="V24" s="110" t="s">
        <v>86</v>
      </c>
      <c r="W24" s="110" t="s">
        <v>87</v>
      </c>
      <c r="X24" s="110" t="s">
        <v>88</v>
      </c>
      <c r="Y24" s="110" t="s">
        <v>89</v>
      </c>
      <c r="Z24" s="110" t="s">
        <v>90</v>
      </c>
      <c r="AA24" s="110" t="s">
        <v>91</v>
      </c>
      <c r="AB24" s="110" t="s">
        <v>92</v>
      </c>
      <c r="AC24" s="110" t="s">
        <v>93</v>
      </c>
      <c r="AD24" s="110" t="s">
        <v>94</v>
      </c>
      <c r="AE24" s="110" t="s">
        <v>95</v>
      </c>
      <c r="AF24" s="110" t="s">
        <v>96</v>
      </c>
      <c r="AG24" s="110" t="s">
        <v>97</v>
      </c>
      <c r="AH24" s="110" t="s">
        <v>98</v>
      </c>
      <c r="AI24" s="110" t="s">
        <v>99</v>
      </c>
      <c r="AJ24" s="111" t="s">
        <v>70</v>
      </c>
      <c r="AK24" s="107"/>
    </row>
    <row r="25" customFormat="false" ht="19.5" hidden="false" customHeight="true" outlineLevel="0" collapsed="false">
      <c r="B25" s="107"/>
      <c r="C25" s="112" t="s">
        <v>15</v>
      </c>
      <c r="D25" s="113"/>
      <c r="E25" s="114" t="n">
        <f aca="false">SUMIFS(tabela_registros[VALOR],tabela_registros[MÊS],$AE$1,tabela_registros[DIA],juntotal3059718395[[#Headers],[1]],tabela_registros[REGISTRO],DADOS!$N$5)</f>
        <v>0</v>
      </c>
      <c r="F25" s="114" t="n">
        <f aca="false">SUMIFS(tabela_registros[VALOR],tabela_registros[MÊS],$AE$1,tabela_registros[DIA],juntotal3059718395[[#Headers],[2]],tabela_registros[REGISTRO],DADOS!$N$5)</f>
        <v>0</v>
      </c>
      <c r="G25" s="114" t="n">
        <f aca="false">SUMIFS(tabela_registros[VALOR],tabela_registros[MÊS],$AE$1,tabela_registros[DIA],juntotal3059718395[[#Headers],[3]],tabela_registros[REGISTRO],DADOS!$N$5)</f>
        <v>0</v>
      </c>
      <c r="H25" s="114" t="n">
        <f aca="false">SUMIFS(tabela_registros[VALOR],tabela_registros[MÊS],$AE$1,tabela_registros[DIA],juntotal3059718395[[#Headers],[4]],tabela_registros[REGISTRO],DADOS!$N$5)</f>
        <v>0</v>
      </c>
      <c r="I25" s="114" t="n">
        <f aca="false">SUMIFS(tabela_registros[VALOR],tabela_registros[MÊS],$AE$1,tabela_registros[DIA],juntotal3059718395[[#Headers],[5]],tabela_registros[REGISTRO],DADOS!$N$5)</f>
        <v>0</v>
      </c>
      <c r="J25" s="114" t="n">
        <f aca="false">SUMIFS(tabela_registros[VALOR],tabela_registros[MÊS],$AE$1,tabela_registros[DIA],juntotal3059718395[[#Headers],[6]],tabela_registros[REGISTRO],DADOS!$N$5)</f>
        <v>0</v>
      </c>
      <c r="K25" s="114" t="n">
        <f aca="false">SUMIFS(tabela_registros[VALOR],tabela_registros[MÊS],$AE$1,tabela_registros[DIA],juntotal3059718395[[#Headers],[7]],tabela_registros[REGISTRO],DADOS!$N$5)</f>
        <v>0</v>
      </c>
      <c r="L25" s="114" t="n">
        <f aca="false">SUMIFS(tabela_registros[VALOR],tabela_registros[MÊS],$AE$1,tabela_registros[DIA],juntotal3059718395[[#Headers],[8]],tabela_registros[REGISTRO],DADOS!$N$5)</f>
        <v>0</v>
      </c>
      <c r="M25" s="114" t="n">
        <f aca="false">SUMIFS(tabela_registros[VALOR],tabela_registros[MÊS],$AE$1,tabela_registros[DIA],juntotal3059718395[[#Headers],[9]],tabela_registros[REGISTRO],DADOS!$N$5)</f>
        <v>0</v>
      </c>
      <c r="N25" s="114" t="n">
        <f aca="false">SUMIFS(tabela_registros[VALOR],tabela_registros[MÊS],$AE$1,tabela_registros[DIA],juntotal3059718395[[#Headers],[10]],tabela_registros[REGISTRO],DADOS!$N$5)</f>
        <v>0</v>
      </c>
      <c r="O25" s="114" t="n">
        <f aca="false">SUMIFS(tabela_registros[VALOR],tabela_registros[MÊS],$AE$1,tabela_registros[DIA],juntotal3059718395[[#Headers],[11]],tabela_registros[REGISTRO],DADOS!$N$5)</f>
        <v>0</v>
      </c>
      <c r="P25" s="114" t="n">
        <f aca="false">SUMIFS(tabela_registros[VALOR],tabela_registros[MÊS],$AE$1,tabela_registros[DIA],juntotal3059718395[[#Headers],[12]],tabela_registros[REGISTRO],DADOS!$N$5)</f>
        <v>0</v>
      </c>
      <c r="Q25" s="114" t="n">
        <f aca="false">SUMIFS(tabela_registros[VALOR],tabela_registros[MÊS],$AE$1,tabela_registros[DIA],juntotal3059718395[[#Headers],[13]],tabela_registros[REGISTRO],DADOS!$N$5)</f>
        <v>0</v>
      </c>
      <c r="R25" s="114" t="n">
        <f aca="false">SUMIFS(tabela_registros[VALOR],tabela_registros[MÊS],$AE$1,tabela_registros[DIA],juntotal3059718395[[#Headers],[14]],tabela_registros[REGISTRO],DADOS!$N$5)</f>
        <v>0</v>
      </c>
      <c r="S25" s="114" t="n">
        <f aca="false">SUMIFS(tabela_registros[VALOR],tabela_registros[MÊS],$AE$1,tabela_registros[DIA],juntotal3059718395[[#Headers],[15]],tabela_registros[REGISTRO],DADOS!$N$5)</f>
        <v>0</v>
      </c>
      <c r="T25" s="114" t="n">
        <f aca="false">SUMIFS(tabela_registros[VALOR],tabela_registros[MÊS],$AE$1,tabela_registros[DIA],juntotal3059718395[[#Headers],[16]],tabela_registros[REGISTRO],DADOS!$N$5)</f>
        <v>0</v>
      </c>
      <c r="U25" s="114" t="n">
        <f aca="false">SUMIFS(tabela_registros[VALOR],tabela_registros[MÊS],$AE$1,tabela_registros[DIA],juntotal3059718395[[#Headers],[17]],tabela_registros[REGISTRO],DADOS!$N$5)</f>
        <v>0</v>
      </c>
      <c r="V25" s="114" t="n">
        <f aca="false">SUMIFS(tabela_registros[VALOR],tabela_registros[MÊS],$AE$1,tabela_registros[DIA],juntotal3059718395[[#Headers],[18]],tabela_registros[REGISTRO],DADOS!$N$5)</f>
        <v>0</v>
      </c>
      <c r="W25" s="114" t="n">
        <f aca="false">SUMIFS(tabela_registros[VALOR],tabela_registros[MÊS],$AE$1,tabela_registros[DIA],juntotal3059718395[[#Headers],[19]],tabela_registros[REGISTRO],DADOS!$N$5)</f>
        <v>0</v>
      </c>
      <c r="X25" s="114" t="n">
        <f aca="false">SUMIFS(tabela_registros[VALOR],tabela_registros[MÊS],$AE$1,tabela_registros[DIA],juntotal3059718395[[#Headers],[20]],tabela_registros[REGISTRO],DADOS!$N$5)</f>
        <v>0</v>
      </c>
      <c r="Y25" s="114" t="n">
        <f aca="false">SUMIFS(tabela_registros[VALOR],tabela_registros[MÊS],$AE$1,tabela_registros[DIA],juntotal3059718395[[#Headers],[21]],tabela_registros[REGISTRO],DADOS!$N$5)</f>
        <v>0</v>
      </c>
      <c r="Z25" s="114" t="n">
        <f aca="false">SUMIFS(tabela_registros[VALOR],tabela_registros[MÊS],$AE$1,tabela_registros[DIA],juntotal3059718395[[#Headers],[22]],tabela_registros[REGISTRO],DADOS!$N$5)</f>
        <v>0</v>
      </c>
      <c r="AA25" s="114" t="n">
        <f aca="false">SUMIFS(tabela_registros[VALOR],tabela_registros[MÊS],$AE$1,tabela_registros[DIA],juntotal3059718395[[#Headers],[23]],tabela_registros[REGISTRO],DADOS!$N$5)</f>
        <v>0</v>
      </c>
      <c r="AB25" s="114" t="n">
        <f aca="false">SUMIFS(tabela_registros[VALOR],tabela_registros[MÊS],$AE$1,tabela_registros[DIA],juntotal3059718395[[#Headers],[24]],tabela_registros[REGISTRO],DADOS!$N$5)</f>
        <v>0</v>
      </c>
      <c r="AC25" s="114" t="n">
        <f aca="false">SUMIFS(tabela_registros[VALOR],tabela_registros[MÊS],$AE$1,tabela_registros[DIA],juntotal3059718395[[#Headers],[25]],tabela_registros[REGISTRO],DADOS!$N$5)</f>
        <v>0</v>
      </c>
      <c r="AD25" s="114" t="n">
        <f aca="false">SUMIFS(tabela_registros[VALOR],tabela_registros[MÊS],$AE$1,tabela_registros[DIA],juntotal3059718395[[#Headers],[26]],tabela_registros[REGISTRO],DADOS!$N$5)</f>
        <v>0</v>
      </c>
      <c r="AE25" s="114" t="n">
        <f aca="false">SUMIFS(tabela_registros[VALOR],tabela_registros[MÊS],$AE$1,tabela_registros[DIA],juntotal3059718395[[#Headers],[27]],tabela_registros[REGISTRO],DADOS!$N$5)</f>
        <v>0</v>
      </c>
      <c r="AF25" s="114" t="n">
        <f aca="false">SUMIFS(tabela_registros[VALOR],tabela_registros[MÊS],$AE$1,tabela_registros[DIA],juntotal3059718395[[#Headers],[28]],tabela_registros[REGISTRO],DADOS!$N$5)</f>
        <v>0</v>
      </c>
      <c r="AG25" s="114" t="n">
        <f aca="false">SUMIFS(tabela_registros[VALOR],tabela_registros[MÊS],$AE$1,tabela_registros[DIA],juntotal3059718395[[#Headers],[29]],tabela_registros[REGISTRO],DADOS!$N$5)</f>
        <v>0</v>
      </c>
      <c r="AH25" s="115" t="n">
        <f aca="false">SUMIFS(tabela_registros[VALOR],tabela_registros[MÊS],$AE$1,tabela_registros[DIA],juntotal3059718395[[#Headers],[30]],tabela_registros[REGISTRO],DADOS!$N$5)</f>
        <v>0</v>
      </c>
      <c r="AI25" s="116" t="n">
        <f aca="false">SUMIFS(tabela_registros[VALOR],tabela_registros[MÊS],$AE$1,tabela_registros[DIA],juntotal3059718395[[#Headers],[31]],tabela_registros[REGISTRO],DADOS!$N$5)</f>
        <v>0</v>
      </c>
      <c r="AJ25" s="116" t="n">
        <f aca="false">SUM(E25:AI25)</f>
        <v>0</v>
      </c>
      <c r="AK25" s="107"/>
    </row>
    <row r="26" customFormat="false" ht="18" hidden="false" customHeight="true" outlineLevel="0" collapsed="false">
      <c r="B26" s="107"/>
      <c r="C26" s="135" t="s">
        <v>14</v>
      </c>
      <c r="D26" s="136"/>
      <c r="E26" s="119" t="n">
        <f aca="false">SUMIFS(tabela_registros[VALOR],tabela_registros[MÊS],$AE$1,tabela_registros[DIA],juntotal3059718395[[#Headers],[1]],tabela_registros[REGISTRO],DADOS!$N$6)</f>
        <v>0</v>
      </c>
      <c r="F26" s="119" t="n">
        <f aca="false">SUMIFS(tabela_registros[VALOR],tabela_registros[MÊS],$AE$1,tabela_registros[DIA],juntotal3059718395[[#Headers],[2]],tabela_registros[REGISTRO],DADOS!$N$6)</f>
        <v>0</v>
      </c>
      <c r="G26" s="119" t="n">
        <f aca="false">SUMIFS(tabela_registros[VALOR],tabela_registros[MÊS],$AE$1,tabela_registros[DIA],juntotal3059718395[[#Headers],[3]],tabela_registros[REGISTRO],DADOS!$N$6)</f>
        <v>0</v>
      </c>
      <c r="H26" s="119" t="n">
        <f aca="false">SUMIFS(tabela_registros[VALOR],tabela_registros[MÊS],$AE$1,tabela_registros[DIA],juntotal3059718395[[#Headers],[4]],tabela_registros[REGISTRO],DADOS!$N$6)</f>
        <v>0</v>
      </c>
      <c r="I26" s="119" t="n">
        <f aca="false">SUMIFS(tabela_registros[VALOR],tabela_registros[MÊS],$AE$1,tabela_registros[DIA],juntotal3059718395[[#Headers],[5]],tabela_registros[REGISTRO],DADOS!$N$6)</f>
        <v>0</v>
      </c>
      <c r="J26" s="119" t="n">
        <f aca="false">SUMIFS(tabela_registros[VALOR],tabela_registros[MÊS],$AE$1,tabela_registros[DIA],juntotal3059718395[[#Headers],[6]],tabela_registros[REGISTRO],DADOS!$N$6)</f>
        <v>0</v>
      </c>
      <c r="K26" s="119" t="n">
        <f aca="false">SUMIFS(tabela_registros[VALOR],tabela_registros[MÊS],$AE$1,tabela_registros[DIA],juntotal3059718395[[#Headers],[7]],tabela_registros[REGISTRO],DADOS!$N$6)</f>
        <v>0</v>
      </c>
      <c r="L26" s="119" t="n">
        <f aca="false">SUMIFS(tabela_registros[VALOR],tabela_registros[MÊS],$AE$1,tabela_registros[DIA],juntotal3059718395[[#Headers],[8]],tabela_registros[REGISTRO],DADOS!$N$6)</f>
        <v>0</v>
      </c>
      <c r="M26" s="119" t="n">
        <f aca="false">SUMIFS(tabela_registros[VALOR],tabela_registros[MÊS],$AE$1,tabela_registros[DIA],juntotal3059718395[[#Headers],[9]],tabela_registros[REGISTRO],DADOS!$N$6)</f>
        <v>0</v>
      </c>
      <c r="N26" s="119" t="n">
        <f aca="false">SUMIFS(tabela_registros[VALOR],tabela_registros[MÊS],$AE$1,tabela_registros[DIA],juntotal3059718395[[#Headers],[10]],tabela_registros[REGISTRO],DADOS!$N$6)</f>
        <v>0</v>
      </c>
      <c r="O26" s="119" t="n">
        <f aca="false">SUMIFS(tabela_registros[VALOR],tabela_registros[MÊS],$AE$1,tabela_registros[DIA],juntotal3059718395[[#Headers],[11]],tabela_registros[REGISTRO],DADOS!$N$6)</f>
        <v>0</v>
      </c>
      <c r="P26" s="119" t="n">
        <f aca="false">SUMIFS(tabela_registros[VALOR],tabela_registros[MÊS],$AE$1,tabela_registros[DIA],juntotal3059718395[[#Headers],[12]],tabela_registros[REGISTRO],DADOS!$N$6)</f>
        <v>0</v>
      </c>
      <c r="Q26" s="119" t="n">
        <f aca="false">SUMIFS(tabela_registros[VALOR],tabela_registros[MÊS],$AE$1,tabela_registros[DIA],juntotal3059718395[[#Headers],[13]],tabela_registros[REGISTRO],DADOS!$N$6)</f>
        <v>0</v>
      </c>
      <c r="R26" s="119" t="n">
        <f aca="false">SUMIFS(tabela_registros[VALOR],tabela_registros[MÊS],$AE$1,tabela_registros[DIA],juntotal3059718395[[#Headers],[14]],tabela_registros[REGISTRO],DADOS!$N$6)</f>
        <v>0</v>
      </c>
      <c r="S26" s="119" t="n">
        <f aca="false">SUMIFS(tabela_registros[VALOR],tabela_registros[MÊS],$AE$1,tabela_registros[DIA],juntotal3059718395[[#Headers],[15]],tabela_registros[REGISTRO],DADOS!$N$6)</f>
        <v>0</v>
      </c>
      <c r="T26" s="119" t="n">
        <f aca="false">SUMIFS(tabela_registros[VALOR],tabela_registros[MÊS],$AE$1,tabela_registros[DIA],juntotal3059718395[[#Headers],[16]],tabela_registros[REGISTRO],DADOS!$N$6)</f>
        <v>0</v>
      </c>
      <c r="U26" s="119" t="n">
        <f aca="false">SUMIFS(tabela_registros[VALOR],tabela_registros[MÊS],$AE$1,tabela_registros[DIA],juntotal3059718395[[#Headers],[17]],tabela_registros[REGISTRO],DADOS!$N$6)</f>
        <v>0</v>
      </c>
      <c r="V26" s="119" t="n">
        <f aca="false">SUMIFS(tabela_registros[VALOR],tabela_registros[MÊS],$AE$1,tabela_registros[DIA],juntotal3059718395[[#Headers],[18]],tabela_registros[REGISTRO],DADOS!$N$6)</f>
        <v>0</v>
      </c>
      <c r="W26" s="119" t="n">
        <f aca="false">SUMIFS(tabela_registros[VALOR],tabela_registros[MÊS],$AE$1,tabela_registros[DIA],juntotal3059718395[[#Headers],[19]],tabela_registros[REGISTRO],DADOS!$N$6)</f>
        <v>0</v>
      </c>
      <c r="X26" s="119" t="n">
        <f aca="false">SUMIFS(tabela_registros[VALOR],tabela_registros[MÊS],$AE$1,tabela_registros[DIA],juntotal3059718395[[#Headers],[20]],tabela_registros[REGISTRO],DADOS!$N$6)</f>
        <v>0</v>
      </c>
      <c r="Y26" s="119" t="n">
        <f aca="false">SUMIFS(tabela_registros[VALOR],tabela_registros[MÊS],$AE$1,tabela_registros[DIA],juntotal3059718395[[#Headers],[21]],tabela_registros[REGISTRO],DADOS!$N$6)</f>
        <v>0</v>
      </c>
      <c r="Z26" s="119" t="n">
        <f aca="false">SUMIFS(tabela_registros[VALOR],tabela_registros[MÊS],$AE$1,tabela_registros[DIA],juntotal3059718395[[#Headers],[22]],tabela_registros[REGISTRO],DADOS!$N$6)</f>
        <v>0</v>
      </c>
      <c r="AA26" s="119" t="n">
        <f aca="false">SUMIFS(tabela_registros[VALOR],tabela_registros[MÊS],$AE$1,tabela_registros[DIA],juntotal3059718395[[#Headers],[23]],tabela_registros[REGISTRO],DADOS!$N$6)</f>
        <v>0</v>
      </c>
      <c r="AB26" s="119" t="n">
        <f aca="false">SUMIFS(tabela_registros[VALOR],tabela_registros[MÊS],$AE$1,tabela_registros[DIA],juntotal3059718395[[#Headers],[24]],tabela_registros[REGISTRO],DADOS!$N$6)</f>
        <v>0</v>
      </c>
      <c r="AC26" s="119" t="n">
        <f aca="false">SUMIFS(tabela_registros[VALOR],tabela_registros[MÊS],$AE$1,tabela_registros[DIA],juntotal3059718395[[#Headers],[25]],tabela_registros[REGISTRO],DADOS!$N$6)</f>
        <v>0</v>
      </c>
      <c r="AD26" s="119" t="n">
        <f aca="false">SUMIFS(tabela_registros[VALOR],tabela_registros[MÊS],$AE$1,tabela_registros[DIA],juntotal3059718395[[#Headers],[26]],tabela_registros[REGISTRO],DADOS!$N$6)</f>
        <v>0</v>
      </c>
      <c r="AE26" s="119" t="n">
        <f aca="false">SUMIFS(tabela_registros[VALOR],tabela_registros[MÊS],$AE$1,tabela_registros[DIA],juntotal3059718395[[#Headers],[27]],tabela_registros[REGISTRO],DADOS!$N$6)</f>
        <v>0</v>
      </c>
      <c r="AF26" s="119" t="n">
        <f aca="false">SUMIFS(tabela_registros[VALOR],tabela_registros[MÊS],$AE$1,tabela_registros[DIA],juntotal3059718395[[#Headers],[28]],tabela_registros[REGISTRO],DADOS!$N$6)</f>
        <v>0</v>
      </c>
      <c r="AG26" s="119" t="n">
        <f aca="false">SUMIFS(tabela_registros[VALOR],tabela_registros[MÊS],$AE$1,tabela_registros[DIA],juntotal3059718395[[#Headers],[29]],tabela_registros[REGISTRO],DADOS!$N$6)</f>
        <v>0</v>
      </c>
      <c r="AH26" s="120" t="n">
        <f aca="false">SUMIFS(tabela_registros[VALOR],tabela_registros[MÊS],$AE$1,tabela_registros[DIA],juntotal3059718395[[#Headers],[30]],tabela_registros[REGISTRO],DADOS!$N$6)</f>
        <v>0</v>
      </c>
      <c r="AI26" s="121" t="n">
        <f aca="false">SUMIFS(tabela_registros[VALOR],tabela_registros[MÊS],$AE$1,tabela_registros[DIA],juntotal3059718395[[#Headers],[31]],tabela_registros[REGISTRO],DADOS!$N$6)</f>
        <v>0</v>
      </c>
      <c r="AJ26" s="121" t="n">
        <f aca="false">SUM(E26:AI26)</f>
        <v>0</v>
      </c>
      <c r="AK26" s="107"/>
    </row>
    <row r="27" s="122" customFormat="true" ht="21" hidden="false" customHeight="true" outlineLevel="0" collapsed="false">
      <c r="B27" s="123"/>
      <c r="C27" s="124" t="s">
        <v>2</v>
      </c>
      <c r="D27" s="137"/>
      <c r="E27" s="126" t="n">
        <f aca="false">SUM(E25:E26)</f>
        <v>0</v>
      </c>
      <c r="F27" s="127" t="n">
        <f aca="false">SUM(F25:F26)+juninvestir2158708294[[#This Row],[1]]</f>
        <v>0</v>
      </c>
      <c r="G27" s="127" t="n">
        <f aca="false">SUM(G25:G26)+juninvestir2158708294[[#This Row],[2]]</f>
        <v>0</v>
      </c>
      <c r="H27" s="127" t="n">
        <f aca="false">SUM(H25:H26)+juninvestir2158708294[[#This Row],[3]]</f>
        <v>0</v>
      </c>
      <c r="I27" s="127" t="n">
        <f aca="false">SUM(I25:I26)+juninvestir2158708294[[#This Row],[4]]</f>
        <v>0</v>
      </c>
      <c r="J27" s="127" t="n">
        <f aca="false">SUM(J25:J26)+juninvestir2158708294[[#This Row],[5]]</f>
        <v>0</v>
      </c>
      <c r="K27" s="127" t="n">
        <f aca="false">SUM(K25:K26)+juninvestir2158708294[[#This Row],[6]]</f>
        <v>0</v>
      </c>
      <c r="L27" s="127" t="n">
        <f aca="false">SUM(L25:L26)+juninvestir2158708294[[#This Row],[7]]</f>
        <v>0</v>
      </c>
      <c r="M27" s="127" t="n">
        <f aca="false">SUM(M25:M26)+juninvestir2158708294[[#This Row],[8]]</f>
        <v>0</v>
      </c>
      <c r="N27" s="127" t="n">
        <f aca="false">SUM(N25:N26)+juninvestir2158708294[[#This Row],[9]]</f>
        <v>0</v>
      </c>
      <c r="O27" s="127" t="n">
        <f aca="false">SUM(O25:O26)+juninvestir2158708294[[#This Row],[10]]</f>
        <v>0</v>
      </c>
      <c r="P27" s="127" t="n">
        <f aca="false">SUM(P25:P26)+juninvestir2158708294[[#This Row],[11]]</f>
        <v>0</v>
      </c>
      <c r="Q27" s="127" t="n">
        <f aca="false">SUM(Q25:Q26)+juninvestir2158708294[[#This Row],[12]]</f>
        <v>0</v>
      </c>
      <c r="R27" s="127" t="n">
        <f aca="false">SUM(R25:R26)+juninvestir2158708294[[#This Row],[13]]</f>
        <v>0</v>
      </c>
      <c r="S27" s="127" t="n">
        <f aca="false">SUM(S25:S26)+juninvestir2158708294[[#This Row],[14]]</f>
        <v>0</v>
      </c>
      <c r="T27" s="127" t="n">
        <f aca="false">SUM(T25:T26)+juninvestir2158708294[[#This Row],[15]]</f>
        <v>0</v>
      </c>
      <c r="U27" s="127" t="n">
        <f aca="false">SUM(U25:U26)+juninvestir2158708294[[#This Row],[16]]</f>
        <v>0</v>
      </c>
      <c r="V27" s="127" t="n">
        <f aca="false">SUM(V25:V26)+juninvestir2158708294[[#This Row],[17]]</f>
        <v>0</v>
      </c>
      <c r="W27" s="127" t="n">
        <f aca="false">SUM(W25:W26)+juninvestir2158708294[[#This Row],[18]]</f>
        <v>0</v>
      </c>
      <c r="X27" s="127" t="n">
        <f aca="false">SUM(X25:X26)+juninvestir2158708294[[#This Row],[19]]</f>
        <v>0</v>
      </c>
      <c r="Y27" s="127" t="n">
        <f aca="false">SUM(Y25:Y26)+juninvestir2158708294[[#This Row],[20]]</f>
        <v>0</v>
      </c>
      <c r="Z27" s="127" t="n">
        <f aca="false">SUM(Z25:Z26)+juninvestir2158708294[[#This Row],[21]]</f>
        <v>0</v>
      </c>
      <c r="AA27" s="127" t="n">
        <f aca="false">SUM(AA25:AA26)+juninvestir2158708294[[#This Row],[22]]</f>
        <v>0</v>
      </c>
      <c r="AB27" s="127" t="n">
        <f aca="false">SUM(AB25:AB26)+juninvestir2158708294[[#This Row],[23]]</f>
        <v>0</v>
      </c>
      <c r="AC27" s="127" t="n">
        <f aca="false">SUM(AC25:AC26)+juninvestir2158708294[[#This Row],[24]]</f>
        <v>0</v>
      </c>
      <c r="AD27" s="127" t="n">
        <f aca="false">SUM(AD25:AD26)+juninvestir2158708294[[#This Row],[25]]</f>
        <v>0</v>
      </c>
      <c r="AE27" s="127" t="n">
        <f aca="false">SUM(AE25:AE26)+juninvestir2158708294[[#This Row],[26]]</f>
        <v>0</v>
      </c>
      <c r="AF27" s="127" t="n">
        <f aca="false">SUM(AF25:AF26)+juninvestir2158708294[[#This Row],[27]]</f>
        <v>0</v>
      </c>
      <c r="AG27" s="127" t="n">
        <f aca="false">SUM(AG25:AG26)+juninvestir2158708294[[#This Row],[28]]</f>
        <v>0</v>
      </c>
      <c r="AH27" s="128" t="n">
        <f aca="false">SUM(AH25:AH26)+juninvestir2158708294[[#This Row],[29]]</f>
        <v>0</v>
      </c>
      <c r="AI27" s="129" t="n">
        <f aca="false">SUM(AI25:AI26)+juninvestir2158708294[[#This Row],[30]]</f>
        <v>0</v>
      </c>
      <c r="AJ27" s="129" t="n">
        <f aca="false">juninvestir2158708294[[#This Row],[31]]</f>
        <v>0</v>
      </c>
      <c r="AK27" s="123"/>
    </row>
    <row r="28" customFormat="false" ht="6.75" hidden="true" customHeight="true" outlineLevel="0" collapsed="false">
      <c r="B28" s="107"/>
      <c r="C28" s="78" t="s">
        <v>73</v>
      </c>
      <c r="E28" s="138" t="n">
        <f aca="false">SUBTOTAL(109,juninvestir2158708294[1])</f>
        <v>0</v>
      </c>
      <c r="F28" s="138" t="n">
        <f aca="false">SUBTOTAL(109,juninvestir2158708294[2])</f>
        <v>0</v>
      </c>
      <c r="G28" s="138" t="n">
        <f aca="false">SUBTOTAL(109,juninvestir2158708294[3])</f>
        <v>0</v>
      </c>
      <c r="H28" s="138" t="n">
        <f aca="false">SUBTOTAL(109,juninvestir2158708294[4])</f>
        <v>0</v>
      </c>
      <c r="I28" s="138" t="n">
        <f aca="false">SUBTOTAL(109,juninvestir2158708294[5])</f>
        <v>0</v>
      </c>
      <c r="J28" s="138" t="n">
        <f aca="false">SUBTOTAL(109,juninvestir2158708294[6])</f>
        <v>0</v>
      </c>
      <c r="K28" s="138" t="n">
        <f aca="false">SUBTOTAL(109,juninvestir2158708294[7])</f>
        <v>0</v>
      </c>
      <c r="L28" s="138" t="n">
        <f aca="false">SUBTOTAL(109,juninvestir2158708294[8])</f>
        <v>0</v>
      </c>
      <c r="M28" s="138" t="n">
        <f aca="false">SUBTOTAL(109,juninvestir2158708294[9])</f>
        <v>0</v>
      </c>
      <c r="N28" s="138" t="n">
        <f aca="false">SUBTOTAL(109,juninvestir2158708294[10])</f>
        <v>0</v>
      </c>
      <c r="O28" s="138" t="n">
        <f aca="false">SUBTOTAL(109,juninvestir2158708294[11])</f>
        <v>0</v>
      </c>
      <c r="P28" s="138" t="n">
        <f aca="false">SUBTOTAL(109,juninvestir2158708294[12])</f>
        <v>0</v>
      </c>
      <c r="Q28" s="138" t="n">
        <f aca="false">SUBTOTAL(109,juninvestir2158708294[13])</f>
        <v>0</v>
      </c>
      <c r="R28" s="138" t="n">
        <f aca="false">SUBTOTAL(109,juninvestir2158708294[14])</f>
        <v>0</v>
      </c>
      <c r="S28" s="138" t="n">
        <f aca="false">SUBTOTAL(109,juninvestir2158708294[15])</f>
        <v>0</v>
      </c>
      <c r="T28" s="138" t="n">
        <f aca="false">SUBTOTAL(109,juninvestir2158708294[16])</f>
        <v>0</v>
      </c>
      <c r="U28" s="138" t="n">
        <f aca="false">SUBTOTAL(109,juninvestir2158708294[17])</f>
        <v>0</v>
      </c>
      <c r="V28" s="138" t="n">
        <f aca="false">SUBTOTAL(109,juninvestir2158708294[18])</f>
        <v>0</v>
      </c>
      <c r="W28" s="138" t="n">
        <f aca="false">SUBTOTAL(109,juninvestir2158708294[19])</f>
        <v>0</v>
      </c>
      <c r="X28" s="138" t="n">
        <f aca="false">SUBTOTAL(109,juninvestir2158708294[20])</f>
        <v>0</v>
      </c>
      <c r="Y28" s="138" t="n">
        <f aca="false">SUBTOTAL(109,juninvestir2158708294[21])</f>
        <v>0</v>
      </c>
      <c r="Z28" s="138" t="n">
        <f aca="false">SUBTOTAL(109,juninvestir2158708294[22])</f>
        <v>0</v>
      </c>
      <c r="AA28" s="138" t="n">
        <f aca="false">SUBTOTAL(109,juninvestir2158708294[23])</f>
        <v>0</v>
      </c>
      <c r="AB28" s="138" t="n">
        <f aca="false">SUBTOTAL(109,juninvestir2158708294[24])</f>
        <v>0</v>
      </c>
      <c r="AC28" s="138" t="n">
        <f aca="false">SUBTOTAL(109,juninvestir2158708294[25])</f>
        <v>0</v>
      </c>
      <c r="AD28" s="138" t="n">
        <f aca="false">SUBTOTAL(109,juninvestir2158708294[26])</f>
        <v>0</v>
      </c>
      <c r="AE28" s="138" t="n">
        <f aca="false">SUBTOTAL(109,juninvestir2158708294[27])</f>
        <v>0</v>
      </c>
      <c r="AF28" s="138" t="n">
        <f aca="false">SUBTOTAL(109,juninvestir2158708294[28])</f>
        <v>0</v>
      </c>
      <c r="AG28" s="138" t="n">
        <f aca="false">SUBTOTAL(109,juninvestir2158708294[29])</f>
        <v>0</v>
      </c>
      <c r="AH28" s="138" t="n">
        <f aca="false">SUBTOTAL(109,juninvestir2158708294[30])</f>
        <v>0</v>
      </c>
      <c r="AI28" s="138" t="n">
        <f aca="false">SUBTOTAL(109,juninvestir2158708294[31])</f>
        <v>0</v>
      </c>
      <c r="AJ28" s="138" t="n">
        <f aca="false">SUBTOTAL(109,juninvestir2158708294[TOTAL (R$)])</f>
        <v>0</v>
      </c>
      <c r="AK28" s="107"/>
    </row>
    <row r="29" customFormat="false" ht="6.75" hidden="false" customHeight="true" outlineLevel="0" collapsed="false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94"/>
      <c r="AJ29" s="107"/>
      <c r="AK29" s="107"/>
    </row>
    <row r="30" customFormat="false" ht="12.75" hidden="false" customHeight="false" outlineLevel="0" collapsed="false">
      <c r="C30" s="133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</row>
    <row r="31" customFormat="false" ht="12" hidden="false" customHeight="false" outlineLevel="0" collapsed="false">
      <c r="C31" s="133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</row>
    <row r="32" customFormat="false" ht="12" hidden="false" customHeight="false" outlineLevel="0" collapsed="false">
      <c r="C32" s="133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</row>
    <row r="33" customFormat="false" ht="39.75" hidden="false" customHeight="true" outlineLevel="0" collapsed="false">
      <c r="C33" s="133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3" t="s">
        <v>2</v>
      </c>
    </row>
    <row r="34" s="78" customFormat="true" ht="11.25" hidden="false" customHeight="true" outlineLevel="0" collapsed="false">
      <c r="C34" s="101"/>
      <c r="AJ34" s="106" t="s">
        <v>64</v>
      </c>
    </row>
    <row r="35" customFormat="false" ht="6.75" hidden="false" customHeight="true" outlineLevel="0" collapsed="false">
      <c r="B35" s="139"/>
      <c r="C35" s="140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212"/>
      <c r="AK35" s="139"/>
    </row>
    <row r="36" customFormat="false" ht="12.75" hidden="true" customHeight="false" outlineLevel="0" collapsed="false">
      <c r="B36" s="86"/>
      <c r="C36" s="109" t="s">
        <v>74</v>
      </c>
      <c r="D36" s="110" t="s">
        <v>69</v>
      </c>
      <c r="E36" s="110" t="s">
        <v>30</v>
      </c>
      <c r="F36" s="110" t="s">
        <v>31</v>
      </c>
      <c r="G36" s="110" t="s">
        <v>32</v>
      </c>
      <c r="H36" s="110" t="s">
        <v>33</v>
      </c>
      <c r="I36" s="110" t="s">
        <v>34</v>
      </c>
      <c r="J36" s="110" t="s">
        <v>35</v>
      </c>
      <c r="K36" s="110" t="s">
        <v>36</v>
      </c>
      <c r="L36" s="110" t="s">
        <v>37</v>
      </c>
      <c r="M36" s="110" t="s">
        <v>38</v>
      </c>
      <c r="N36" s="110" t="s">
        <v>39</v>
      </c>
      <c r="O36" s="110" t="s">
        <v>40</v>
      </c>
      <c r="P36" s="110" t="s">
        <v>41</v>
      </c>
      <c r="Q36" s="110" t="s">
        <v>81</v>
      </c>
      <c r="R36" s="110" t="s">
        <v>82</v>
      </c>
      <c r="S36" s="110" t="s">
        <v>83</v>
      </c>
      <c r="T36" s="110" t="s">
        <v>84</v>
      </c>
      <c r="U36" s="110" t="s">
        <v>85</v>
      </c>
      <c r="V36" s="110" t="s">
        <v>86</v>
      </c>
      <c r="W36" s="110" t="s">
        <v>87</v>
      </c>
      <c r="X36" s="110" t="s">
        <v>88</v>
      </c>
      <c r="Y36" s="110" t="s">
        <v>89</v>
      </c>
      <c r="Z36" s="110" t="s">
        <v>90</v>
      </c>
      <c r="AA36" s="110" t="s">
        <v>91</v>
      </c>
      <c r="AB36" s="110" t="s">
        <v>92</v>
      </c>
      <c r="AC36" s="110" t="s">
        <v>93</v>
      </c>
      <c r="AD36" s="110" t="s">
        <v>94</v>
      </c>
      <c r="AE36" s="110" t="s">
        <v>95</v>
      </c>
      <c r="AF36" s="110" t="s">
        <v>96</v>
      </c>
      <c r="AG36" s="110" t="s">
        <v>97</v>
      </c>
      <c r="AH36" s="110" t="s">
        <v>98</v>
      </c>
      <c r="AI36" s="110" t="s">
        <v>99</v>
      </c>
      <c r="AJ36" s="142" t="s">
        <v>2</v>
      </c>
      <c r="AK36" s="86" t="s">
        <v>75</v>
      </c>
    </row>
    <row r="37" customFormat="false" ht="19.5" hidden="false" customHeight="true" outlineLevel="0" collapsed="false">
      <c r="B37" s="143"/>
      <c r="C37" s="144" t="str">
        <f aca="false">DADOS!$R$3</f>
        <v>💧 ÁGUA</v>
      </c>
      <c r="D37" s="145" t="str">
        <f aca="false">IF(despesafixaconsolidadojun[[#This Row],[TOTAL]]=0,"",IF(OR(despesafixaconsolidadojun[[#This Row],[TOTAL]]=LARGE($AJ$37:$AJ$50,1),despesafixaconsolidadojun[[#This Row],[TOTAL]]=LARGE($AJ$37:$AJ$50,2),despesafixaconsolidadojun[[#This Row],[TOTAL]]=LARGE($AJ$37:$AJ$50,3),despesafixaconsolidadojun[[#This Row],[TOTAL]]=LARGE($AJ$37:$AJ$50,4),despesafixaconsolidadojun[[#This Row],[TOTAL]]=LARGE($AJ$37:$AJ$50,5)),DADOS!$I$8,""))</f>
        <v/>
      </c>
      <c r="E37" s="146" t="n">
        <f aca="false">SUMIFS(tabela_registros[VALOR],tabela_registros[MÊS],$AE$1,tabela_registros[DIA],juntotal3059718395[[#Headers],[1]],tabela_registros[REGISTRO],DADOS!$N$4,tabela_registros[TIPO],DADOS!$P$3,tabela_registros[CATEGORIA],despesafixaconsolidadojun[[#This Row],[DESPESA FIXA]])</f>
        <v>0</v>
      </c>
      <c r="F37" s="114" t="n">
        <f aca="false">SUMIFS(tabela_registros[VALOR],tabela_registros[MÊS],$AE$1,tabela_registros[DIA],juntotal3059718395[[#Headers],[2]],tabela_registros[REGISTRO],DADOS!$N$4,tabela_registros[TIPO],DADOS!$P$3,tabela_registros[CATEGORIA],despesafixaconsolidadojun[[#This Row],[DESPESA FIXA]])</f>
        <v>0</v>
      </c>
      <c r="G37" s="114" t="n">
        <f aca="false">SUMIFS(tabela_registros[VALOR],tabela_registros[MÊS],$AE$1,tabela_registros[DIA],juntotal3059718395[[#Headers],[3]],tabela_registros[REGISTRO],DADOS!$N$4,tabela_registros[TIPO],DADOS!$P$3,tabela_registros[CATEGORIA],despesafixaconsolidadojun[[#This Row],[DESPESA FIXA]])</f>
        <v>0</v>
      </c>
      <c r="H37" s="114" t="n">
        <f aca="false">SUMIFS(tabela_registros[VALOR],tabela_registros[MÊS],$AE$1,tabela_registros[DIA],juntotal3059718395[[#Headers],[4]],tabela_registros[REGISTRO],DADOS!$N$4,tabela_registros[TIPO],DADOS!$P$3,tabela_registros[CATEGORIA],despesafixaconsolidadojun[[#This Row],[DESPESA FIXA]])</f>
        <v>0</v>
      </c>
      <c r="I37" s="114" t="n">
        <f aca="false">SUMIFS(tabela_registros[VALOR],tabela_registros[MÊS],$AE$1,tabela_registros[DIA],juntotal3059718395[[#Headers],[5]],tabela_registros[REGISTRO],DADOS!$N$4,tabela_registros[TIPO],DADOS!$P$3,tabela_registros[CATEGORIA],despesafixaconsolidadojun[[#This Row],[DESPESA FIXA]])</f>
        <v>0</v>
      </c>
      <c r="J37" s="114" t="n">
        <f aca="false">SUMIFS(tabela_registros[VALOR],tabela_registros[MÊS],$AE$1,tabela_registros[DIA],juntotal3059718395[[#Headers],[6]],tabela_registros[REGISTRO],DADOS!$N$4,tabela_registros[TIPO],DADOS!$P$3,tabela_registros[CATEGORIA],despesafixaconsolidadojun[[#This Row],[DESPESA FIXA]])</f>
        <v>0</v>
      </c>
      <c r="K37" s="114" t="n">
        <f aca="false">SUMIFS(tabela_registros[VALOR],tabela_registros[MÊS],$AE$1,tabela_registros[DIA],juntotal3059718395[[#Headers],[7]],tabela_registros[REGISTRO],DADOS!$N$4,tabela_registros[TIPO],DADOS!$P$3,tabela_registros[CATEGORIA],despesafixaconsolidadojun[[#This Row],[DESPESA FIXA]])</f>
        <v>0</v>
      </c>
      <c r="L37" s="114" t="n">
        <f aca="false">SUMIFS(tabela_registros[VALOR],tabela_registros[MÊS],$AE$1,tabela_registros[DIA],juntotal3059718395[[#Headers],[8]],tabela_registros[REGISTRO],DADOS!$N$4,tabela_registros[TIPO],DADOS!$P$3,tabela_registros[CATEGORIA],despesafixaconsolidadojun[[#This Row],[DESPESA FIXA]])</f>
        <v>0</v>
      </c>
      <c r="M37" s="114" t="n">
        <f aca="false">SUMIFS(tabela_registros[VALOR],tabela_registros[MÊS],$AE$1,tabela_registros[DIA],juntotal3059718395[[#Headers],[9]],tabela_registros[REGISTRO],DADOS!$N$4,tabela_registros[TIPO],DADOS!$P$3,tabela_registros[CATEGORIA],despesafixaconsolidadojun[[#This Row],[DESPESA FIXA]])</f>
        <v>0</v>
      </c>
      <c r="N37" s="114" t="n">
        <f aca="false">SUMIFS(tabela_registros[VALOR],tabela_registros[MÊS],$AE$1,tabela_registros[DIA],juntotal3059718395[[#Headers],[10]],tabela_registros[REGISTRO],DADOS!$N$4,tabela_registros[TIPO],DADOS!$P$3,tabela_registros[CATEGORIA],despesafixaconsolidadojun[[#This Row],[DESPESA FIXA]])</f>
        <v>0</v>
      </c>
      <c r="O37" s="114" t="n">
        <f aca="false">SUMIFS(tabela_registros[VALOR],tabela_registros[MÊS],$AE$1,tabela_registros[DIA],juntotal3059718395[[#Headers],[11]],tabela_registros[REGISTRO],DADOS!$N$4,tabela_registros[TIPO],DADOS!$P$3,tabela_registros[CATEGORIA],despesafixaconsolidadojun[[#This Row],[DESPESA FIXA]])</f>
        <v>0</v>
      </c>
      <c r="P37" s="114" t="n">
        <f aca="false">SUMIFS(tabela_registros[VALOR],tabela_registros[MÊS],$AE$1,tabela_registros[DIA],juntotal3059718395[[#Headers],[12]],tabela_registros[REGISTRO],DADOS!$N$4,tabela_registros[TIPO],DADOS!$P$3,tabela_registros[CATEGORIA],despesafixaconsolidadojun[[#This Row],[DESPESA FIXA]])</f>
        <v>0</v>
      </c>
      <c r="Q37" s="114" t="n">
        <f aca="false">SUMIFS(tabela_registros[VALOR],tabela_registros[MÊS],$AE$1,tabela_registros[DIA],juntotal3059718395[[#Headers],[13]],tabela_registros[REGISTRO],DADOS!$N$4,tabela_registros[TIPO],DADOS!$P$3,tabela_registros[CATEGORIA],despesafixaconsolidadojun[[#This Row],[DESPESA FIXA]])</f>
        <v>0</v>
      </c>
      <c r="R37" s="114" t="n">
        <f aca="false">SUMIFS(tabela_registros[VALOR],tabela_registros[MÊS],$AE$1,tabela_registros[DIA],juntotal3059718395[[#Headers],[14]],tabela_registros[REGISTRO],DADOS!$N$4,tabela_registros[TIPO],DADOS!$P$3,tabela_registros[CATEGORIA],despesafixaconsolidadojun[[#This Row],[DESPESA FIXA]])</f>
        <v>0</v>
      </c>
      <c r="S37" s="114" t="n">
        <f aca="false">SUMIFS(tabela_registros[VALOR],tabela_registros[MÊS],$AE$1,tabela_registros[DIA],juntotal3059718395[[#Headers],[15]],tabela_registros[REGISTRO],DADOS!$N$4,tabela_registros[TIPO],DADOS!$P$3,tabela_registros[CATEGORIA],despesafixaconsolidadojun[[#This Row],[DESPESA FIXA]])</f>
        <v>0</v>
      </c>
      <c r="T37" s="114" t="n">
        <f aca="false">SUMIFS(tabela_registros[VALOR],tabela_registros[MÊS],$AE$1,tabela_registros[DIA],juntotal3059718395[[#Headers],[16]],tabela_registros[REGISTRO],DADOS!$N$4,tabela_registros[TIPO],DADOS!$P$3,tabela_registros[CATEGORIA],despesafixaconsolidadojun[[#This Row],[DESPESA FIXA]])</f>
        <v>0</v>
      </c>
      <c r="U37" s="114" t="n">
        <f aca="false">SUMIFS(tabela_registros[VALOR],tabela_registros[MÊS],$AE$1,tabela_registros[DIA],juntotal3059718395[[#Headers],[17]],tabela_registros[REGISTRO],DADOS!$N$4,tabela_registros[TIPO],DADOS!$P$3,tabela_registros[CATEGORIA],despesafixaconsolidadojun[[#This Row],[DESPESA FIXA]])</f>
        <v>0</v>
      </c>
      <c r="V37" s="114" t="n">
        <f aca="false">SUMIFS(tabela_registros[VALOR],tabela_registros[MÊS],$AE$1,tabela_registros[DIA],juntotal3059718395[[#Headers],[18]],tabela_registros[REGISTRO],DADOS!$N$4,tabela_registros[TIPO],DADOS!$P$3,tabela_registros[CATEGORIA],despesafixaconsolidadojun[[#This Row],[DESPESA FIXA]])</f>
        <v>0</v>
      </c>
      <c r="W37" s="114" t="n">
        <f aca="false">SUMIFS(tabela_registros[VALOR],tabela_registros[MÊS],$AE$1,tabela_registros[DIA],juntotal3059718395[[#Headers],[19]],tabela_registros[REGISTRO],DADOS!$N$4,tabela_registros[TIPO],DADOS!$P$3,tabela_registros[CATEGORIA],despesafixaconsolidadojun[[#This Row],[DESPESA FIXA]])</f>
        <v>0</v>
      </c>
      <c r="X37" s="114" t="n">
        <f aca="false">SUMIFS(tabela_registros[VALOR],tabela_registros[MÊS],$AE$1,tabela_registros[DIA],juntotal3059718395[[#Headers],[20]],tabela_registros[REGISTRO],DADOS!$N$4,tabela_registros[TIPO],DADOS!$P$3,tabela_registros[CATEGORIA],despesafixaconsolidadojun[[#This Row],[DESPESA FIXA]])</f>
        <v>0</v>
      </c>
      <c r="Y37" s="114" t="n">
        <f aca="false">SUMIFS(tabela_registros[VALOR],tabela_registros[MÊS],$AE$1,tabela_registros[DIA],juntotal3059718395[[#Headers],[21]],tabela_registros[REGISTRO],DADOS!$N$4,tabela_registros[TIPO],DADOS!$P$3,tabela_registros[CATEGORIA],despesafixaconsolidadojun[[#This Row],[DESPESA FIXA]])</f>
        <v>0</v>
      </c>
      <c r="Z37" s="114" t="n">
        <f aca="false">SUMIFS(tabela_registros[VALOR],tabela_registros[MÊS],$AE$1,tabela_registros[DIA],juntotal3059718395[[#Headers],[22]],tabela_registros[REGISTRO],DADOS!$N$4,tabela_registros[TIPO],DADOS!$P$3,tabela_registros[CATEGORIA],despesafixaconsolidadojun[[#This Row],[DESPESA FIXA]])</f>
        <v>0</v>
      </c>
      <c r="AA37" s="114" t="n">
        <f aca="false">SUMIFS(tabela_registros[VALOR],tabela_registros[MÊS],$AE$1,tabela_registros[DIA],juntotal3059718395[[#Headers],[23]],tabela_registros[REGISTRO],DADOS!$N$4,tabela_registros[TIPO],DADOS!$P$3,tabela_registros[CATEGORIA],despesafixaconsolidadojun[[#This Row],[DESPESA FIXA]])</f>
        <v>0</v>
      </c>
      <c r="AB37" s="114" t="n">
        <f aca="false">SUMIFS(tabela_registros[VALOR],tabela_registros[MÊS],$AE$1,tabela_registros[DIA],juntotal3059718395[[#Headers],[24]],tabela_registros[REGISTRO],DADOS!$N$4,tabela_registros[TIPO],DADOS!$P$3,tabela_registros[CATEGORIA],despesafixaconsolidadojun[[#This Row],[DESPESA FIXA]])</f>
        <v>0</v>
      </c>
      <c r="AC37" s="114" t="n">
        <f aca="false">SUMIFS(tabela_registros[VALOR],tabela_registros[MÊS],$AE$1,tabela_registros[DIA],juntotal3059718395[[#Headers],[25]],tabela_registros[REGISTRO],DADOS!$N$4,tabela_registros[TIPO],DADOS!$P$3,tabela_registros[CATEGORIA],despesafixaconsolidadojun[[#This Row],[DESPESA FIXA]])</f>
        <v>0</v>
      </c>
      <c r="AD37" s="114" t="n">
        <f aca="false">SUMIFS(tabela_registros[VALOR],tabela_registros[MÊS],$AE$1,tabela_registros[DIA],juntotal3059718395[[#Headers],[26]],tabela_registros[REGISTRO],DADOS!$N$4,tabela_registros[TIPO],DADOS!$P$3,tabela_registros[CATEGORIA],despesafixaconsolidadojun[[#This Row],[DESPESA FIXA]])</f>
        <v>0</v>
      </c>
      <c r="AE37" s="114" t="n">
        <f aca="false">SUMIFS(tabela_registros[VALOR],tabela_registros[MÊS],$AE$1,tabela_registros[DIA],juntotal3059718395[[#Headers],[27]],tabela_registros[REGISTRO],DADOS!$N$4,tabela_registros[TIPO],DADOS!$P$3,tabela_registros[CATEGORIA],despesafixaconsolidadojun[[#This Row],[DESPESA FIXA]])</f>
        <v>0</v>
      </c>
      <c r="AF37" s="114" t="n">
        <f aca="false">SUMIFS(tabela_registros[VALOR],tabela_registros[MÊS],$AE$1,tabela_registros[DIA],juntotal3059718395[[#Headers],[28]],tabela_registros[REGISTRO],DADOS!$N$4,tabela_registros[TIPO],DADOS!$P$3,tabela_registros[CATEGORIA],despesafixaconsolidadojun[[#This Row],[DESPESA FIXA]])</f>
        <v>0</v>
      </c>
      <c r="AG37" s="114" t="n">
        <f aca="false">SUMIFS(tabela_registros[VALOR],tabela_registros[MÊS],$AE$1,tabela_registros[DIA],juntotal3059718395[[#Headers],[29]],tabela_registros[REGISTRO],DADOS!$N$4,tabela_registros[TIPO],DADOS!$P$3,tabela_registros[CATEGORIA],despesafixaconsolidadojun[[#This Row],[DESPESA FIXA]])</f>
        <v>0</v>
      </c>
      <c r="AH37" s="114" t="n">
        <f aca="false">SUMIFS(tabela_registros[VALOR],tabela_registros[MÊS],$AE$1,tabela_registros[DIA],juntotal3059718395[[#Headers],[30]],tabela_registros[REGISTRO],DADOS!$N$4,tabela_registros[TIPO],DADOS!$P$3,tabela_registros[CATEGORIA],despesafixaconsolidadojun[[#This Row],[DESPESA FIXA]])</f>
        <v>0</v>
      </c>
      <c r="AI37" s="216" t="n">
        <f aca="false">SUMIFS(tabela_registros[VALOR],tabela_registros[MÊS],$AE$1,tabela_registros[DIA],juntotal3059718395[[#Headers],[31]],tabela_registros[REGISTRO],DADOS!$N$4,tabela_registros[TIPO],DADOS!$P$3,tabela_registros[CATEGORIA],despesafixaconsolidadojun[[#This Row],[DESPESA FIXA]])</f>
        <v>0</v>
      </c>
      <c r="AJ37" s="147" t="n">
        <f aca="false">SUM(despesafixaconsolidadojun[[#This Row],[1]:[31]])</f>
        <v>0</v>
      </c>
      <c r="AK37" s="143"/>
    </row>
    <row r="38" customFormat="false" ht="18" hidden="false" customHeight="true" outlineLevel="0" collapsed="false">
      <c r="B38" s="143"/>
      <c r="C38" s="144" t="str">
        <f aca="false">DADOS!$R$4</f>
        <v>🐶 ANIMAIS DE ESTIMAÇÃO</v>
      </c>
      <c r="D38" s="145" t="str">
        <f aca="false">IF(despesafixaconsolidadojun[[#This Row],[TOTAL]]=0,"",IF(OR(despesafixaconsolidadojun[[#This Row],[TOTAL]]=LARGE($AJ$37:$AJ$50,1),despesafixaconsolidadojun[[#This Row],[TOTAL]]=LARGE($AJ$37:$AJ$50,2),despesafixaconsolidadojun[[#This Row],[TOTAL]]=LARGE($AJ$37:$AJ$50,3),despesafixaconsolidadojun[[#This Row],[TOTAL]]=LARGE($AJ$37:$AJ$50,4),despesafixaconsolidadojun[[#This Row],[TOTAL]]=LARGE($AJ$37:$AJ$50,5)),DADOS!$I$8,""))</f>
        <v/>
      </c>
      <c r="E38" s="148" t="n">
        <f aca="false">SUMIFS(tabela_registros[VALOR],tabela_registros[MÊS],$AE$1,tabela_registros[DIA],juntotal3059718395[[#Headers],[1]],tabela_registros[REGISTRO],DADOS!$N$4,tabela_registros[TIPO],DADOS!$P$3,tabela_registros[CATEGORIA],despesafixaconsolidadojun[[#This Row],[DESPESA FIXA]])</f>
        <v>0</v>
      </c>
      <c r="F38" s="119" t="n">
        <f aca="false">SUMIFS(tabela_registros[VALOR],tabela_registros[MÊS],$AE$1,tabela_registros[DIA],juntotal3059718395[[#Headers],[2]],tabela_registros[REGISTRO],DADOS!$N$4,tabela_registros[TIPO],DADOS!$P$3,tabela_registros[CATEGORIA],despesafixaconsolidadojun[[#This Row],[DESPESA FIXA]])</f>
        <v>0</v>
      </c>
      <c r="G38" s="119" t="n">
        <f aca="false">SUMIFS(tabela_registros[VALOR],tabela_registros[MÊS],$AE$1,tabela_registros[DIA],juntotal3059718395[[#Headers],[3]],tabela_registros[REGISTRO],DADOS!$N$4,tabela_registros[TIPO],DADOS!$P$3,tabela_registros[CATEGORIA],despesafixaconsolidadojun[[#This Row],[DESPESA FIXA]])</f>
        <v>0</v>
      </c>
      <c r="H38" s="119" t="n">
        <f aca="false">SUMIFS(tabela_registros[VALOR],tabela_registros[MÊS],$AE$1,tabela_registros[DIA],juntotal3059718395[[#Headers],[4]],tabela_registros[REGISTRO],DADOS!$N$4,tabela_registros[TIPO],DADOS!$P$3,tabela_registros[CATEGORIA],despesafixaconsolidadojun[[#This Row],[DESPESA FIXA]])</f>
        <v>0</v>
      </c>
      <c r="I38" s="119" t="n">
        <f aca="false">SUMIFS(tabela_registros[VALOR],tabela_registros[MÊS],$AE$1,tabela_registros[DIA],juntotal3059718395[[#Headers],[5]],tabela_registros[REGISTRO],DADOS!$N$4,tabela_registros[TIPO],DADOS!$P$3,tabela_registros[CATEGORIA],despesafixaconsolidadojun[[#This Row],[DESPESA FIXA]])</f>
        <v>0</v>
      </c>
      <c r="J38" s="119" t="n">
        <f aca="false">SUMIFS(tabela_registros[VALOR],tabela_registros[MÊS],$AE$1,tabela_registros[DIA],juntotal3059718395[[#Headers],[6]],tabela_registros[REGISTRO],DADOS!$N$4,tabela_registros[TIPO],DADOS!$P$3,tabela_registros[CATEGORIA],despesafixaconsolidadojun[[#This Row],[DESPESA FIXA]])</f>
        <v>0</v>
      </c>
      <c r="K38" s="119" t="n">
        <f aca="false">SUMIFS(tabela_registros[VALOR],tabela_registros[MÊS],$AE$1,tabela_registros[DIA],juntotal3059718395[[#Headers],[7]],tabela_registros[REGISTRO],DADOS!$N$4,tabela_registros[TIPO],DADOS!$P$3,tabela_registros[CATEGORIA],despesafixaconsolidadojun[[#This Row],[DESPESA FIXA]])</f>
        <v>0</v>
      </c>
      <c r="L38" s="119" t="n">
        <f aca="false">SUMIFS(tabela_registros[VALOR],tabela_registros[MÊS],$AE$1,tabela_registros[DIA],juntotal3059718395[[#Headers],[8]],tabela_registros[REGISTRO],DADOS!$N$4,tabela_registros[TIPO],DADOS!$P$3,tabela_registros[CATEGORIA],despesafixaconsolidadojun[[#This Row],[DESPESA FIXA]])</f>
        <v>0</v>
      </c>
      <c r="M38" s="119" t="n">
        <f aca="false">SUMIFS(tabela_registros[VALOR],tabela_registros[MÊS],$AE$1,tabela_registros[DIA],juntotal3059718395[[#Headers],[9]],tabela_registros[REGISTRO],DADOS!$N$4,tabela_registros[TIPO],DADOS!$P$3,tabela_registros[CATEGORIA],despesafixaconsolidadojun[[#This Row],[DESPESA FIXA]])</f>
        <v>0</v>
      </c>
      <c r="N38" s="119" t="n">
        <f aca="false">SUMIFS(tabela_registros[VALOR],tabela_registros[MÊS],$AE$1,tabela_registros[DIA],juntotal3059718395[[#Headers],[10]],tabela_registros[REGISTRO],DADOS!$N$4,tabela_registros[TIPO],DADOS!$P$3,tabela_registros[CATEGORIA],despesafixaconsolidadojun[[#This Row],[DESPESA FIXA]])</f>
        <v>0</v>
      </c>
      <c r="O38" s="119" t="n">
        <f aca="false">SUMIFS(tabela_registros[VALOR],tabela_registros[MÊS],$AE$1,tabela_registros[DIA],juntotal3059718395[[#Headers],[11]],tabela_registros[REGISTRO],DADOS!$N$4,tabela_registros[TIPO],DADOS!$P$3,tabela_registros[CATEGORIA],despesafixaconsolidadojun[[#This Row],[DESPESA FIXA]])</f>
        <v>0</v>
      </c>
      <c r="P38" s="119" t="n">
        <f aca="false">SUMIFS(tabela_registros[VALOR],tabela_registros[MÊS],$AE$1,tabela_registros[DIA],juntotal3059718395[[#Headers],[12]],tabela_registros[REGISTRO],DADOS!$N$4,tabela_registros[TIPO],DADOS!$P$3,tabela_registros[CATEGORIA],despesafixaconsolidadojun[[#This Row],[DESPESA FIXA]])</f>
        <v>0</v>
      </c>
      <c r="Q38" s="119" t="n">
        <f aca="false">SUMIFS(tabela_registros[VALOR],tabela_registros[MÊS],$AE$1,tabela_registros[DIA],juntotal3059718395[[#Headers],[13]],tabela_registros[REGISTRO],DADOS!$N$4,tabela_registros[TIPO],DADOS!$P$3,tabela_registros[CATEGORIA],despesafixaconsolidadojun[[#This Row],[DESPESA FIXA]])</f>
        <v>0</v>
      </c>
      <c r="R38" s="119" t="n">
        <f aca="false">SUMIFS(tabela_registros[VALOR],tabela_registros[MÊS],$AE$1,tabela_registros[DIA],juntotal3059718395[[#Headers],[14]],tabela_registros[REGISTRO],DADOS!$N$4,tabela_registros[TIPO],DADOS!$P$3,tabela_registros[CATEGORIA],despesafixaconsolidadojun[[#This Row],[DESPESA FIXA]])</f>
        <v>0</v>
      </c>
      <c r="S38" s="119" t="n">
        <f aca="false">SUMIFS(tabela_registros[VALOR],tabela_registros[MÊS],$AE$1,tabela_registros[DIA],juntotal3059718395[[#Headers],[15]],tabela_registros[REGISTRO],DADOS!$N$4,tabela_registros[TIPO],DADOS!$P$3,tabela_registros[CATEGORIA],despesafixaconsolidadojun[[#This Row],[DESPESA FIXA]])</f>
        <v>0</v>
      </c>
      <c r="T38" s="119" t="n">
        <f aca="false">SUMIFS(tabela_registros[VALOR],tabela_registros[MÊS],$AE$1,tabela_registros[DIA],juntotal3059718395[[#Headers],[16]],tabela_registros[REGISTRO],DADOS!$N$4,tabela_registros[TIPO],DADOS!$P$3,tabela_registros[CATEGORIA],despesafixaconsolidadojun[[#This Row],[DESPESA FIXA]])</f>
        <v>0</v>
      </c>
      <c r="U38" s="119" t="n">
        <f aca="false">SUMIFS(tabela_registros[VALOR],tabela_registros[MÊS],$AE$1,tabela_registros[DIA],juntotal3059718395[[#Headers],[17]],tabela_registros[REGISTRO],DADOS!$N$4,tabela_registros[TIPO],DADOS!$P$3,tabela_registros[CATEGORIA],despesafixaconsolidadojun[[#This Row],[DESPESA FIXA]])</f>
        <v>0</v>
      </c>
      <c r="V38" s="119" t="n">
        <f aca="false">SUMIFS(tabela_registros[VALOR],tabela_registros[MÊS],$AE$1,tabela_registros[DIA],juntotal3059718395[[#Headers],[18]],tabela_registros[REGISTRO],DADOS!$N$4,tabela_registros[TIPO],DADOS!$P$3,tabela_registros[CATEGORIA],despesafixaconsolidadojun[[#This Row],[DESPESA FIXA]])</f>
        <v>0</v>
      </c>
      <c r="W38" s="119" t="n">
        <f aca="false">SUMIFS(tabela_registros[VALOR],tabela_registros[MÊS],$AE$1,tabela_registros[DIA],juntotal3059718395[[#Headers],[19]],tabela_registros[REGISTRO],DADOS!$N$4,tabela_registros[TIPO],DADOS!$P$3,tabela_registros[CATEGORIA],despesafixaconsolidadojun[[#This Row],[DESPESA FIXA]])</f>
        <v>0</v>
      </c>
      <c r="X38" s="119" t="n">
        <f aca="false">SUMIFS(tabela_registros[VALOR],tabela_registros[MÊS],$AE$1,tabela_registros[DIA],juntotal3059718395[[#Headers],[20]],tabela_registros[REGISTRO],DADOS!$N$4,tabela_registros[TIPO],DADOS!$P$3,tabela_registros[CATEGORIA],despesafixaconsolidadojun[[#This Row],[DESPESA FIXA]])</f>
        <v>0</v>
      </c>
      <c r="Y38" s="119" t="n">
        <f aca="false">SUMIFS(tabela_registros[VALOR],tabela_registros[MÊS],$AE$1,tabela_registros[DIA],juntotal3059718395[[#Headers],[21]],tabela_registros[REGISTRO],DADOS!$N$4,tabela_registros[TIPO],DADOS!$P$3,tabela_registros[CATEGORIA],despesafixaconsolidadojun[[#This Row],[DESPESA FIXA]])</f>
        <v>0</v>
      </c>
      <c r="Z38" s="119" t="n">
        <f aca="false">SUMIFS(tabela_registros[VALOR],tabela_registros[MÊS],$AE$1,tabela_registros[DIA],juntotal3059718395[[#Headers],[22]],tabela_registros[REGISTRO],DADOS!$N$4,tabela_registros[TIPO],DADOS!$P$3,tabela_registros[CATEGORIA],despesafixaconsolidadojun[[#This Row],[DESPESA FIXA]])</f>
        <v>0</v>
      </c>
      <c r="AA38" s="119" t="n">
        <f aca="false">SUMIFS(tabela_registros[VALOR],tabela_registros[MÊS],$AE$1,tabela_registros[DIA],juntotal3059718395[[#Headers],[23]],tabela_registros[REGISTRO],DADOS!$N$4,tabela_registros[TIPO],DADOS!$P$3,tabela_registros[CATEGORIA],despesafixaconsolidadojun[[#This Row],[DESPESA FIXA]])</f>
        <v>0</v>
      </c>
      <c r="AB38" s="119" t="n">
        <f aca="false">SUMIFS(tabela_registros[VALOR],tabela_registros[MÊS],$AE$1,tabela_registros[DIA],juntotal3059718395[[#Headers],[24]],tabela_registros[REGISTRO],DADOS!$N$4,tabela_registros[TIPO],DADOS!$P$3,tabela_registros[CATEGORIA],despesafixaconsolidadojun[[#This Row],[DESPESA FIXA]])</f>
        <v>0</v>
      </c>
      <c r="AC38" s="119" t="n">
        <f aca="false">SUMIFS(tabela_registros[VALOR],tabela_registros[MÊS],$AE$1,tabela_registros[DIA],juntotal3059718395[[#Headers],[25]],tabela_registros[REGISTRO],DADOS!$N$4,tabela_registros[TIPO],DADOS!$P$3,tabela_registros[CATEGORIA],despesafixaconsolidadojun[[#This Row],[DESPESA FIXA]])</f>
        <v>0</v>
      </c>
      <c r="AD38" s="119" t="n">
        <f aca="false">SUMIFS(tabela_registros[VALOR],tabela_registros[MÊS],$AE$1,tabela_registros[DIA],juntotal3059718395[[#Headers],[26]],tabela_registros[REGISTRO],DADOS!$N$4,tabela_registros[TIPO],DADOS!$P$3,tabela_registros[CATEGORIA],despesafixaconsolidadojun[[#This Row],[DESPESA FIXA]])</f>
        <v>0</v>
      </c>
      <c r="AE38" s="119" t="n">
        <f aca="false">SUMIFS(tabela_registros[VALOR],tabela_registros[MÊS],$AE$1,tabela_registros[DIA],juntotal3059718395[[#Headers],[27]],tabela_registros[REGISTRO],DADOS!$N$4,tabela_registros[TIPO],DADOS!$P$3,tabela_registros[CATEGORIA],despesafixaconsolidadojun[[#This Row],[DESPESA FIXA]])</f>
        <v>0</v>
      </c>
      <c r="AF38" s="119" t="n">
        <f aca="false">SUMIFS(tabela_registros[VALOR],tabela_registros[MÊS],$AE$1,tabela_registros[DIA],juntotal3059718395[[#Headers],[28]],tabela_registros[REGISTRO],DADOS!$N$4,tabela_registros[TIPO],DADOS!$P$3,tabela_registros[CATEGORIA],despesafixaconsolidadojun[[#This Row],[DESPESA FIXA]])</f>
        <v>0</v>
      </c>
      <c r="AG38" s="119" t="n">
        <f aca="false">SUMIFS(tabela_registros[VALOR],tabela_registros[MÊS],$AE$1,tabela_registros[DIA],juntotal3059718395[[#Headers],[29]],tabela_registros[REGISTRO],DADOS!$N$4,tabela_registros[TIPO],DADOS!$P$3,tabela_registros[CATEGORIA],despesafixaconsolidadojun[[#This Row],[DESPESA FIXA]])</f>
        <v>0</v>
      </c>
      <c r="AH38" s="119" t="n">
        <f aca="false">SUMIFS(tabela_registros[VALOR],tabela_registros[MÊS],$AE$1,tabela_registros[DIA],juntotal3059718395[[#Headers],[30]],tabela_registros[REGISTRO],DADOS!$N$4,tabela_registros[TIPO],DADOS!$P$3,tabela_registros[CATEGORIA],despesafixaconsolidadojun[[#This Row],[DESPESA FIXA]])</f>
        <v>0</v>
      </c>
      <c r="AI38" s="217" t="n">
        <f aca="false">SUMIFS(tabela_registros[VALOR],tabela_registros[MÊS],$AE$1,tabela_registros[DIA],juntotal3059718395[[#Headers],[31]],tabela_registros[REGISTRO],DADOS!$N$4,tabela_registros[TIPO],DADOS!$P$3,tabela_registros[CATEGORIA],despesafixaconsolidadojun[[#This Row],[DESPESA FIXA]])</f>
        <v>0</v>
      </c>
      <c r="AJ38" s="149" t="n">
        <f aca="false">SUM(despesafixaconsolidadojun[[#This Row],[1]:[31]])</f>
        <v>0</v>
      </c>
      <c r="AK38" s="143"/>
    </row>
    <row r="39" customFormat="false" ht="18" hidden="false" customHeight="true" outlineLevel="0" collapsed="false">
      <c r="B39" s="143"/>
      <c r="C39" s="144" t="str">
        <f aca="false">DADOS!$R$5</f>
        <v>🔖 ASSINATURAS E SERVIÇOS</v>
      </c>
      <c r="D39" s="145" t="str">
        <f aca="false">IF(despesafixaconsolidadojun[[#This Row],[TOTAL]]=0,"",IF(OR(despesafixaconsolidadojun[[#This Row],[TOTAL]]=LARGE($AJ$37:$AJ$50,1),despesafixaconsolidadojun[[#This Row],[TOTAL]]=LARGE($AJ$37:$AJ$50,2),despesafixaconsolidadojun[[#This Row],[TOTAL]]=LARGE($AJ$37:$AJ$50,3),despesafixaconsolidadojun[[#This Row],[TOTAL]]=LARGE($AJ$37:$AJ$50,4),despesafixaconsolidadojun[[#This Row],[TOTAL]]=LARGE($AJ$37:$AJ$50,5)),DADOS!$I$8,""))</f>
        <v/>
      </c>
      <c r="E39" s="148" t="n">
        <f aca="false">SUMIFS(tabela_registros[VALOR],tabela_registros[MÊS],$AE$1,tabela_registros[DIA],juntotal3059718395[[#Headers],[1]],tabela_registros[REGISTRO],DADOS!$N$4,tabela_registros[TIPO],DADOS!$P$3,tabela_registros[CATEGORIA],despesafixaconsolidadojun[[#This Row],[DESPESA FIXA]])</f>
        <v>0</v>
      </c>
      <c r="F39" s="119" t="n">
        <f aca="false">SUMIFS(tabela_registros[VALOR],tabela_registros[MÊS],$AE$1,tabela_registros[DIA],juntotal3059718395[[#Headers],[2]],tabela_registros[REGISTRO],DADOS!$N$4,tabela_registros[TIPO],DADOS!$P$3,tabela_registros[CATEGORIA],despesafixaconsolidadojun[[#This Row],[DESPESA FIXA]])</f>
        <v>0</v>
      </c>
      <c r="G39" s="119" t="n">
        <f aca="false">SUMIFS(tabela_registros[VALOR],tabela_registros[MÊS],$AE$1,tabela_registros[DIA],juntotal3059718395[[#Headers],[3]],tabela_registros[REGISTRO],DADOS!$N$4,tabela_registros[TIPO],DADOS!$P$3,tabela_registros[CATEGORIA],despesafixaconsolidadojun[[#This Row],[DESPESA FIXA]])</f>
        <v>0</v>
      </c>
      <c r="H39" s="119" t="n">
        <f aca="false">SUMIFS(tabela_registros[VALOR],tabela_registros[MÊS],$AE$1,tabela_registros[DIA],juntotal3059718395[[#Headers],[4]],tabela_registros[REGISTRO],DADOS!$N$4,tabela_registros[TIPO],DADOS!$P$3,tabela_registros[CATEGORIA],despesafixaconsolidadojun[[#This Row],[DESPESA FIXA]])</f>
        <v>0</v>
      </c>
      <c r="I39" s="119" t="n">
        <f aca="false">SUMIFS(tabela_registros[VALOR],tabela_registros[MÊS],$AE$1,tabela_registros[DIA],juntotal3059718395[[#Headers],[5]],tabela_registros[REGISTRO],DADOS!$N$4,tabela_registros[TIPO],DADOS!$P$3,tabela_registros[CATEGORIA],despesafixaconsolidadojun[[#This Row],[DESPESA FIXA]])</f>
        <v>0</v>
      </c>
      <c r="J39" s="119" t="n">
        <f aca="false">SUMIFS(tabela_registros[VALOR],tabela_registros[MÊS],$AE$1,tabela_registros[DIA],juntotal3059718395[[#Headers],[6]],tabela_registros[REGISTRO],DADOS!$N$4,tabela_registros[TIPO],DADOS!$P$3,tabela_registros[CATEGORIA],despesafixaconsolidadojun[[#This Row],[DESPESA FIXA]])</f>
        <v>0</v>
      </c>
      <c r="K39" s="119" t="n">
        <f aca="false">SUMIFS(tabela_registros[VALOR],tabela_registros[MÊS],$AE$1,tabela_registros[DIA],juntotal3059718395[[#Headers],[7]],tabela_registros[REGISTRO],DADOS!$N$4,tabela_registros[TIPO],DADOS!$P$3,tabela_registros[CATEGORIA],despesafixaconsolidadojun[[#This Row],[DESPESA FIXA]])</f>
        <v>0</v>
      </c>
      <c r="L39" s="119" t="n">
        <f aca="false">SUMIFS(tabela_registros[VALOR],tabela_registros[MÊS],$AE$1,tabela_registros[DIA],juntotal3059718395[[#Headers],[8]],tabela_registros[REGISTRO],DADOS!$N$4,tabela_registros[TIPO],DADOS!$P$3,tabela_registros[CATEGORIA],despesafixaconsolidadojun[[#This Row],[DESPESA FIXA]])</f>
        <v>0</v>
      </c>
      <c r="M39" s="119" t="n">
        <f aca="false">SUMIFS(tabela_registros[VALOR],tabela_registros[MÊS],$AE$1,tabela_registros[DIA],juntotal3059718395[[#Headers],[9]],tabela_registros[REGISTRO],DADOS!$N$4,tabela_registros[TIPO],DADOS!$P$3,tabela_registros[CATEGORIA],despesafixaconsolidadojun[[#This Row],[DESPESA FIXA]])</f>
        <v>0</v>
      </c>
      <c r="N39" s="119" t="n">
        <f aca="false">SUMIFS(tabela_registros[VALOR],tabela_registros[MÊS],$AE$1,tabela_registros[DIA],juntotal3059718395[[#Headers],[10]],tabela_registros[REGISTRO],DADOS!$N$4,tabela_registros[TIPO],DADOS!$P$3,tabela_registros[CATEGORIA],despesafixaconsolidadojun[[#This Row],[DESPESA FIXA]])</f>
        <v>0</v>
      </c>
      <c r="O39" s="119" t="n">
        <f aca="false">SUMIFS(tabela_registros[VALOR],tabela_registros[MÊS],$AE$1,tabela_registros[DIA],juntotal3059718395[[#Headers],[11]],tabela_registros[REGISTRO],DADOS!$N$4,tabela_registros[TIPO],DADOS!$P$3,tabela_registros[CATEGORIA],despesafixaconsolidadojun[[#This Row],[DESPESA FIXA]])</f>
        <v>0</v>
      </c>
      <c r="P39" s="119" t="n">
        <f aca="false">SUMIFS(tabela_registros[VALOR],tabela_registros[MÊS],$AE$1,tabela_registros[DIA],juntotal3059718395[[#Headers],[12]],tabela_registros[REGISTRO],DADOS!$N$4,tabela_registros[TIPO],DADOS!$P$3,tabela_registros[CATEGORIA],despesafixaconsolidadojun[[#This Row],[DESPESA FIXA]])</f>
        <v>0</v>
      </c>
      <c r="Q39" s="119" t="n">
        <f aca="false">SUMIFS(tabela_registros[VALOR],tabela_registros[MÊS],$AE$1,tabela_registros[DIA],juntotal3059718395[[#Headers],[13]],tabela_registros[REGISTRO],DADOS!$N$4,tabela_registros[TIPO],DADOS!$P$3,tabela_registros[CATEGORIA],despesafixaconsolidadojun[[#This Row],[DESPESA FIXA]])</f>
        <v>0</v>
      </c>
      <c r="R39" s="119" t="n">
        <f aca="false">SUMIFS(tabela_registros[VALOR],tabela_registros[MÊS],$AE$1,tabela_registros[DIA],juntotal3059718395[[#Headers],[14]],tabela_registros[REGISTRO],DADOS!$N$4,tabela_registros[TIPO],DADOS!$P$3,tabela_registros[CATEGORIA],despesafixaconsolidadojun[[#This Row],[DESPESA FIXA]])</f>
        <v>0</v>
      </c>
      <c r="S39" s="119" t="n">
        <f aca="false">SUMIFS(tabela_registros[VALOR],tabela_registros[MÊS],$AE$1,tabela_registros[DIA],juntotal3059718395[[#Headers],[15]],tabela_registros[REGISTRO],DADOS!$N$4,tabela_registros[TIPO],DADOS!$P$3,tabela_registros[CATEGORIA],despesafixaconsolidadojun[[#This Row],[DESPESA FIXA]])</f>
        <v>0</v>
      </c>
      <c r="T39" s="119" t="n">
        <f aca="false">SUMIFS(tabela_registros[VALOR],tabela_registros[MÊS],$AE$1,tabela_registros[DIA],juntotal3059718395[[#Headers],[16]],tabela_registros[REGISTRO],DADOS!$N$4,tabela_registros[TIPO],DADOS!$P$3,tabela_registros[CATEGORIA],despesafixaconsolidadojun[[#This Row],[DESPESA FIXA]])</f>
        <v>0</v>
      </c>
      <c r="U39" s="119" t="n">
        <f aca="false">SUMIFS(tabela_registros[VALOR],tabela_registros[MÊS],$AE$1,tabela_registros[DIA],juntotal3059718395[[#Headers],[17]],tabela_registros[REGISTRO],DADOS!$N$4,tabela_registros[TIPO],DADOS!$P$3,tabela_registros[CATEGORIA],despesafixaconsolidadojun[[#This Row],[DESPESA FIXA]])</f>
        <v>0</v>
      </c>
      <c r="V39" s="119" t="n">
        <f aca="false">SUMIFS(tabela_registros[VALOR],tabela_registros[MÊS],$AE$1,tabela_registros[DIA],juntotal3059718395[[#Headers],[18]],tabela_registros[REGISTRO],DADOS!$N$4,tabela_registros[TIPO],DADOS!$P$3,tabela_registros[CATEGORIA],despesafixaconsolidadojun[[#This Row],[DESPESA FIXA]])</f>
        <v>0</v>
      </c>
      <c r="W39" s="119" t="n">
        <f aca="false">SUMIFS(tabela_registros[VALOR],tabela_registros[MÊS],$AE$1,tabela_registros[DIA],juntotal3059718395[[#Headers],[19]],tabela_registros[REGISTRO],DADOS!$N$4,tabela_registros[TIPO],DADOS!$P$3,tabela_registros[CATEGORIA],despesafixaconsolidadojun[[#This Row],[DESPESA FIXA]])</f>
        <v>0</v>
      </c>
      <c r="X39" s="119" t="n">
        <f aca="false">SUMIFS(tabela_registros[VALOR],tabela_registros[MÊS],$AE$1,tabela_registros[DIA],juntotal3059718395[[#Headers],[20]],tabela_registros[REGISTRO],DADOS!$N$4,tabela_registros[TIPO],DADOS!$P$3,tabela_registros[CATEGORIA],despesafixaconsolidadojun[[#This Row],[DESPESA FIXA]])</f>
        <v>0</v>
      </c>
      <c r="Y39" s="119" t="n">
        <f aca="false">SUMIFS(tabela_registros[VALOR],tabela_registros[MÊS],$AE$1,tabela_registros[DIA],juntotal3059718395[[#Headers],[21]],tabela_registros[REGISTRO],DADOS!$N$4,tabela_registros[TIPO],DADOS!$P$3,tabela_registros[CATEGORIA],despesafixaconsolidadojun[[#This Row],[DESPESA FIXA]])</f>
        <v>0</v>
      </c>
      <c r="Z39" s="119" t="n">
        <f aca="false">SUMIFS(tabela_registros[VALOR],tabela_registros[MÊS],$AE$1,tabela_registros[DIA],juntotal3059718395[[#Headers],[22]],tabela_registros[REGISTRO],DADOS!$N$4,tabela_registros[TIPO],DADOS!$P$3,tabela_registros[CATEGORIA],despesafixaconsolidadojun[[#This Row],[DESPESA FIXA]])</f>
        <v>0</v>
      </c>
      <c r="AA39" s="119" t="n">
        <f aca="false">SUMIFS(tabela_registros[VALOR],tabela_registros[MÊS],$AE$1,tabela_registros[DIA],juntotal3059718395[[#Headers],[23]],tabela_registros[REGISTRO],DADOS!$N$4,tabela_registros[TIPO],DADOS!$P$3,tabela_registros[CATEGORIA],despesafixaconsolidadojun[[#This Row],[DESPESA FIXA]])</f>
        <v>0</v>
      </c>
      <c r="AB39" s="119" t="n">
        <f aca="false">SUMIFS(tabela_registros[VALOR],tabela_registros[MÊS],$AE$1,tabela_registros[DIA],juntotal3059718395[[#Headers],[24]],tabela_registros[REGISTRO],DADOS!$N$4,tabela_registros[TIPO],DADOS!$P$3,tabela_registros[CATEGORIA],despesafixaconsolidadojun[[#This Row],[DESPESA FIXA]])</f>
        <v>0</v>
      </c>
      <c r="AC39" s="119" t="n">
        <f aca="false">SUMIFS(tabela_registros[VALOR],tabela_registros[MÊS],$AE$1,tabela_registros[DIA],juntotal3059718395[[#Headers],[25]],tabela_registros[REGISTRO],DADOS!$N$4,tabela_registros[TIPO],DADOS!$P$3,tabela_registros[CATEGORIA],despesafixaconsolidadojun[[#This Row],[DESPESA FIXA]])</f>
        <v>0</v>
      </c>
      <c r="AD39" s="119" t="n">
        <f aca="false">SUMIFS(tabela_registros[VALOR],tabela_registros[MÊS],$AE$1,tabela_registros[DIA],juntotal3059718395[[#Headers],[26]],tabela_registros[REGISTRO],DADOS!$N$4,tabela_registros[TIPO],DADOS!$P$3,tabela_registros[CATEGORIA],despesafixaconsolidadojun[[#This Row],[DESPESA FIXA]])</f>
        <v>0</v>
      </c>
      <c r="AE39" s="119" t="n">
        <f aca="false">SUMIFS(tabela_registros[VALOR],tabela_registros[MÊS],$AE$1,tabela_registros[DIA],juntotal3059718395[[#Headers],[27]],tabela_registros[REGISTRO],DADOS!$N$4,tabela_registros[TIPO],DADOS!$P$3,tabela_registros[CATEGORIA],despesafixaconsolidadojun[[#This Row],[DESPESA FIXA]])</f>
        <v>0</v>
      </c>
      <c r="AF39" s="119" t="n">
        <f aca="false">SUMIFS(tabela_registros[VALOR],tabela_registros[MÊS],$AE$1,tabela_registros[DIA],juntotal3059718395[[#Headers],[28]],tabela_registros[REGISTRO],DADOS!$N$4,tabela_registros[TIPO],DADOS!$P$3,tabela_registros[CATEGORIA],despesafixaconsolidadojun[[#This Row],[DESPESA FIXA]])</f>
        <v>0</v>
      </c>
      <c r="AG39" s="119" t="n">
        <f aca="false">SUMIFS(tabela_registros[VALOR],tabela_registros[MÊS],$AE$1,tabela_registros[DIA],juntotal3059718395[[#Headers],[29]],tabela_registros[REGISTRO],DADOS!$N$4,tabela_registros[TIPO],DADOS!$P$3,tabela_registros[CATEGORIA],despesafixaconsolidadojun[[#This Row],[DESPESA FIXA]])</f>
        <v>0</v>
      </c>
      <c r="AH39" s="119" t="n">
        <f aca="false">SUMIFS(tabela_registros[VALOR],tabela_registros[MÊS],$AE$1,tabela_registros[DIA],juntotal3059718395[[#Headers],[30]],tabela_registros[REGISTRO],DADOS!$N$4,tabela_registros[TIPO],DADOS!$P$3,tabela_registros[CATEGORIA],despesafixaconsolidadojun[[#This Row],[DESPESA FIXA]])</f>
        <v>0</v>
      </c>
      <c r="AI39" s="217" t="n">
        <f aca="false">SUMIFS(tabela_registros[VALOR],tabela_registros[MÊS],$AE$1,tabela_registros[DIA],juntotal3059718395[[#Headers],[31]],tabela_registros[REGISTRO],DADOS!$N$4,tabela_registros[TIPO],DADOS!$P$3,tabela_registros[CATEGORIA],despesafixaconsolidadojun[[#This Row],[DESPESA FIXA]])</f>
        <v>0</v>
      </c>
      <c r="AJ39" s="149" t="n">
        <f aca="false">SUM(despesafixaconsolidadojun[[#This Row],[1]:[31]])</f>
        <v>0</v>
      </c>
      <c r="AK39" s="143"/>
    </row>
    <row r="40" customFormat="false" ht="18" hidden="false" customHeight="true" outlineLevel="0" collapsed="false">
      <c r="B40" s="143"/>
      <c r="C40" s="144" t="str">
        <f aca="false">DADOS!$R$6</f>
        <v>📱 CELULAR</v>
      </c>
      <c r="D40" s="145" t="str">
        <f aca="false">IF(despesafixaconsolidadojun[[#This Row],[TOTAL]]=0,"",IF(OR(despesafixaconsolidadojun[[#This Row],[TOTAL]]=LARGE($AJ$37:$AJ$50,1),despesafixaconsolidadojun[[#This Row],[TOTAL]]=LARGE($AJ$37:$AJ$50,2),despesafixaconsolidadojun[[#This Row],[TOTAL]]=LARGE($AJ$37:$AJ$50,3),despesafixaconsolidadojun[[#This Row],[TOTAL]]=LARGE($AJ$37:$AJ$50,4),despesafixaconsolidadojun[[#This Row],[TOTAL]]=LARGE($AJ$37:$AJ$50,5)),DADOS!$I$8,""))</f>
        <v/>
      </c>
      <c r="E40" s="148" t="n">
        <f aca="false">SUMIFS(tabela_registros[VALOR],tabela_registros[MÊS],$AE$1,tabela_registros[DIA],juntotal3059718395[[#Headers],[1]],tabela_registros[REGISTRO],DADOS!$N$4,tabela_registros[TIPO],DADOS!$P$3,tabela_registros[CATEGORIA],despesafixaconsolidadojun[[#This Row],[DESPESA FIXA]])</f>
        <v>0</v>
      </c>
      <c r="F40" s="119" t="n">
        <f aca="false">SUMIFS(tabela_registros[VALOR],tabela_registros[MÊS],$AE$1,tabela_registros[DIA],juntotal3059718395[[#Headers],[2]],tabela_registros[REGISTRO],DADOS!$N$4,tabela_registros[TIPO],DADOS!$P$3,tabela_registros[CATEGORIA],despesafixaconsolidadojun[[#This Row],[DESPESA FIXA]])</f>
        <v>0</v>
      </c>
      <c r="G40" s="119" t="n">
        <f aca="false">SUMIFS(tabela_registros[VALOR],tabela_registros[MÊS],$AE$1,tabela_registros[DIA],juntotal3059718395[[#Headers],[3]],tabela_registros[REGISTRO],DADOS!$N$4,tabela_registros[TIPO],DADOS!$P$3,tabela_registros[CATEGORIA],despesafixaconsolidadojun[[#This Row],[DESPESA FIXA]])</f>
        <v>0</v>
      </c>
      <c r="H40" s="119" t="n">
        <f aca="false">SUMIFS(tabela_registros[VALOR],tabela_registros[MÊS],$AE$1,tabela_registros[DIA],juntotal3059718395[[#Headers],[4]],tabela_registros[REGISTRO],DADOS!$N$4,tabela_registros[TIPO],DADOS!$P$3,tabela_registros[CATEGORIA],despesafixaconsolidadojun[[#This Row],[DESPESA FIXA]])</f>
        <v>0</v>
      </c>
      <c r="I40" s="119" t="n">
        <f aca="false">SUMIFS(tabela_registros[VALOR],tabela_registros[MÊS],$AE$1,tabela_registros[DIA],juntotal3059718395[[#Headers],[5]],tabela_registros[REGISTRO],DADOS!$N$4,tabela_registros[TIPO],DADOS!$P$3,tabela_registros[CATEGORIA],despesafixaconsolidadojun[[#This Row],[DESPESA FIXA]])</f>
        <v>0</v>
      </c>
      <c r="J40" s="119" t="n">
        <f aca="false">SUMIFS(tabela_registros[VALOR],tabela_registros[MÊS],$AE$1,tabela_registros[DIA],juntotal3059718395[[#Headers],[6]],tabela_registros[REGISTRO],DADOS!$N$4,tabela_registros[TIPO],DADOS!$P$3,tabela_registros[CATEGORIA],despesafixaconsolidadojun[[#This Row],[DESPESA FIXA]])</f>
        <v>0</v>
      </c>
      <c r="K40" s="119" t="n">
        <f aca="false">SUMIFS(tabela_registros[VALOR],tabela_registros[MÊS],$AE$1,tabela_registros[DIA],juntotal3059718395[[#Headers],[7]],tabela_registros[REGISTRO],DADOS!$N$4,tabela_registros[TIPO],DADOS!$P$3,tabela_registros[CATEGORIA],despesafixaconsolidadojun[[#This Row],[DESPESA FIXA]])</f>
        <v>0</v>
      </c>
      <c r="L40" s="119" t="n">
        <f aca="false">SUMIFS(tabela_registros[VALOR],tabela_registros[MÊS],$AE$1,tabela_registros[DIA],juntotal3059718395[[#Headers],[8]],tabela_registros[REGISTRO],DADOS!$N$4,tabela_registros[TIPO],DADOS!$P$3,tabela_registros[CATEGORIA],despesafixaconsolidadojun[[#This Row],[DESPESA FIXA]])</f>
        <v>0</v>
      </c>
      <c r="M40" s="119" t="n">
        <f aca="false">SUMIFS(tabela_registros[VALOR],tabela_registros[MÊS],$AE$1,tabela_registros[DIA],juntotal3059718395[[#Headers],[9]],tabela_registros[REGISTRO],DADOS!$N$4,tabela_registros[TIPO],DADOS!$P$3,tabela_registros[CATEGORIA],despesafixaconsolidadojun[[#This Row],[DESPESA FIXA]])</f>
        <v>0</v>
      </c>
      <c r="N40" s="119" t="n">
        <f aca="false">SUMIFS(tabela_registros[VALOR],tabela_registros[MÊS],$AE$1,tabela_registros[DIA],juntotal3059718395[[#Headers],[10]],tabela_registros[REGISTRO],DADOS!$N$4,tabela_registros[TIPO],DADOS!$P$3,tabela_registros[CATEGORIA],despesafixaconsolidadojun[[#This Row],[DESPESA FIXA]])</f>
        <v>0</v>
      </c>
      <c r="O40" s="119" t="n">
        <f aca="false">SUMIFS(tabela_registros[VALOR],tabela_registros[MÊS],$AE$1,tabela_registros[DIA],juntotal3059718395[[#Headers],[11]],tabela_registros[REGISTRO],DADOS!$N$4,tabela_registros[TIPO],DADOS!$P$3,tabela_registros[CATEGORIA],despesafixaconsolidadojun[[#This Row],[DESPESA FIXA]])</f>
        <v>0</v>
      </c>
      <c r="P40" s="119" t="n">
        <f aca="false">SUMIFS(tabela_registros[VALOR],tabela_registros[MÊS],$AE$1,tabela_registros[DIA],juntotal3059718395[[#Headers],[12]],tabela_registros[REGISTRO],DADOS!$N$4,tabela_registros[TIPO],DADOS!$P$3,tabela_registros[CATEGORIA],despesafixaconsolidadojun[[#This Row],[DESPESA FIXA]])</f>
        <v>0</v>
      </c>
      <c r="Q40" s="119" t="n">
        <f aca="false">SUMIFS(tabela_registros[VALOR],tabela_registros[MÊS],$AE$1,tabela_registros[DIA],juntotal3059718395[[#Headers],[13]],tabela_registros[REGISTRO],DADOS!$N$4,tabela_registros[TIPO],DADOS!$P$3,tabela_registros[CATEGORIA],despesafixaconsolidadojun[[#This Row],[DESPESA FIXA]])</f>
        <v>0</v>
      </c>
      <c r="R40" s="119" t="n">
        <f aca="false">SUMIFS(tabela_registros[VALOR],tabela_registros[MÊS],$AE$1,tabela_registros[DIA],juntotal3059718395[[#Headers],[14]],tabela_registros[REGISTRO],DADOS!$N$4,tabela_registros[TIPO],DADOS!$P$3,tabela_registros[CATEGORIA],despesafixaconsolidadojun[[#This Row],[DESPESA FIXA]])</f>
        <v>0</v>
      </c>
      <c r="S40" s="119" t="n">
        <f aca="false">SUMIFS(tabela_registros[VALOR],tabela_registros[MÊS],$AE$1,tabela_registros[DIA],juntotal3059718395[[#Headers],[15]],tabela_registros[REGISTRO],DADOS!$N$4,tabela_registros[TIPO],DADOS!$P$3,tabela_registros[CATEGORIA],despesafixaconsolidadojun[[#This Row],[DESPESA FIXA]])</f>
        <v>0</v>
      </c>
      <c r="T40" s="119" t="n">
        <f aca="false">SUMIFS(tabela_registros[VALOR],tabela_registros[MÊS],$AE$1,tabela_registros[DIA],juntotal3059718395[[#Headers],[16]],tabela_registros[REGISTRO],DADOS!$N$4,tabela_registros[TIPO],DADOS!$P$3,tabela_registros[CATEGORIA],despesafixaconsolidadojun[[#This Row],[DESPESA FIXA]])</f>
        <v>0</v>
      </c>
      <c r="U40" s="119" t="n">
        <f aca="false">SUMIFS(tabela_registros[VALOR],tabela_registros[MÊS],$AE$1,tabela_registros[DIA],juntotal3059718395[[#Headers],[17]],tabela_registros[REGISTRO],DADOS!$N$4,tabela_registros[TIPO],DADOS!$P$3,tabela_registros[CATEGORIA],despesafixaconsolidadojun[[#This Row],[DESPESA FIXA]])</f>
        <v>0</v>
      </c>
      <c r="V40" s="119" t="n">
        <f aca="false">SUMIFS(tabela_registros[VALOR],tabela_registros[MÊS],$AE$1,tabela_registros[DIA],juntotal3059718395[[#Headers],[18]],tabela_registros[REGISTRO],DADOS!$N$4,tabela_registros[TIPO],DADOS!$P$3,tabela_registros[CATEGORIA],despesafixaconsolidadojun[[#This Row],[DESPESA FIXA]])</f>
        <v>0</v>
      </c>
      <c r="W40" s="119" t="n">
        <f aca="false">SUMIFS(tabela_registros[VALOR],tabela_registros[MÊS],$AE$1,tabela_registros[DIA],juntotal3059718395[[#Headers],[19]],tabela_registros[REGISTRO],DADOS!$N$4,tabela_registros[TIPO],DADOS!$P$3,tabela_registros[CATEGORIA],despesafixaconsolidadojun[[#This Row],[DESPESA FIXA]])</f>
        <v>0</v>
      </c>
      <c r="X40" s="119" t="n">
        <f aca="false">SUMIFS(tabela_registros[VALOR],tabela_registros[MÊS],$AE$1,tabela_registros[DIA],juntotal3059718395[[#Headers],[20]],tabela_registros[REGISTRO],DADOS!$N$4,tabela_registros[TIPO],DADOS!$P$3,tabela_registros[CATEGORIA],despesafixaconsolidadojun[[#This Row],[DESPESA FIXA]])</f>
        <v>0</v>
      </c>
      <c r="Y40" s="119" t="n">
        <f aca="false">SUMIFS(tabela_registros[VALOR],tabela_registros[MÊS],$AE$1,tabela_registros[DIA],juntotal3059718395[[#Headers],[21]],tabela_registros[REGISTRO],DADOS!$N$4,tabela_registros[TIPO],DADOS!$P$3,tabela_registros[CATEGORIA],despesafixaconsolidadojun[[#This Row],[DESPESA FIXA]])</f>
        <v>0</v>
      </c>
      <c r="Z40" s="119" t="n">
        <f aca="false">SUMIFS(tabela_registros[VALOR],tabela_registros[MÊS],$AE$1,tabela_registros[DIA],juntotal3059718395[[#Headers],[22]],tabela_registros[REGISTRO],DADOS!$N$4,tabela_registros[TIPO],DADOS!$P$3,tabela_registros[CATEGORIA],despesafixaconsolidadojun[[#This Row],[DESPESA FIXA]])</f>
        <v>0</v>
      </c>
      <c r="AA40" s="119" t="n">
        <f aca="false">SUMIFS(tabela_registros[VALOR],tabela_registros[MÊS],$AE$1,tabela_registros[DIA],juntotal3059718395[[#Headers],[23]],tabela_registros[REGISTRO],DADOS!$N$4,tabela_registros[TIPO],DADOS!$P$3,tabela_registros[CATEGORIA],despesafixaconsolidadojun[[#This Row],[DESPESA FIXA]])</f>
        <v>0</v>
      </c>
      <c r="AB40" s="119" t="n">
        <f aca="false">SUMIFS(tabela_registros[VALOR],tabela_registros[MÊS],$AE$1,tabela_registros[DIA],juntotal3059718395[[#Headers],[24]],tabela_registros[REGISTRO],DADOS!$N$4,tabela_registros[TIPO],DADOS!$P$3,tabela_registros[CATEGORIA],despesafixaconsolidadojun[[#This Row],[DESPESA FIXA]])</f>
        <v>0</v>
      </c>
      <c r="AC40" s="119" t="n">
        <f aca="false">SUMIFS(tabela_registros[VALOR],tabela_registros[MÊS],$AE$1,tabela_registros[DIA],juntotal3059718395[[#Headers],[25]],tabela_registros[REGISTRO],DADOS!$N$4,tabela_registros[TIPO],DADOS!$P$3,tabela_registros[CATEGORIA],despesafixaconsolidadojun[[#This Row],[DESPESA FIXA]])</f>
        <v>0</v>
      </c>
      <c r="AD40" s="119" t="n">
        <f aca="false">SUMIFS(tabela_registros[VALOR],tabela_registros[MÊS],$AE$1,tabela_registros[DIA],juntotal3059718395[[#Headers],[26]],tabela_registros[REGISTRO],DADOS!$N$4,tabela_registros[TIPO],DADOS!$P$3,tabela_registros[CATEGORIA],despesafixaconsolidadojun[[#This Row],[DESPESA FIXA]])</f>
        <v>0</v>
      </c>
      <c r="AE40" s="119" t="n">
        <f aca="false">SUMIFS(tabela_registros[VALOR],tabela_registros[MÊS],$AE$1,tabela_registros[DIA],juntotal3059718395[[#Headers],[27]],tabela_registros[REGISTRO],DADOS!$N$4,tabela_registros[TIPO],DADOS!$P$3,tabela_registros[CATEGORIA],despesafixaconsolidadojun[[#This Row],[DESPESA FIXA]])</f>
        <v>0</v>
      </c>
      <c r="AF40" s="119" t="n">
        <f aca="false">SUMIFS(tabela_registros[VALOR],tabela_registros[MÊS],$AE$1,tabela_registros[DIA],juntotal3059718395[[#Headers],[28]],tabela_registros[REGISTRO],DADOS!$N$4,tabela_registros[TIPO],DADOS!$P$3,tabela_registros[CATEGORIA],despesafixaconsolidadojun[[#This Row],[DESPESA FIXA]])</f>
        <v>0</v>
      </c>
      <c r="AG40" s="119" t="n">
        <f aca="false">SUMIFS(tabela_registros[VALOR],tabela_registros[MÊS],$AE$1,tabela_registros[DIA],juntotal3059718395[[#Headers],[29]],tabela_registros[REGISTRO],DADOS!$N$4,tabela_registros[TIPO],DADOS!$P$3,tabela_registros[CATEGORIA],despesafixaconsolidadojun[[#This Row],[DESPESA FIXA]])</f>
        <v>0</v>
      </c>
      <c r="AH40" s="119" t="n">
        <f aca="false">SUMIFS(tabela_registros[VALOR],tabela_registros[MÊS],$AE$1,tabela_registros[DIA],juntotal3059718395[[#Headers],[30]],tabela_registros[REGISTRO],DADOS!$N$4,tabela_registros[TIPO],DADOS!$P$3,tabela_registros[CATEGORIA],despesafixaconsolidadojun[[#This Row],[DESPESA FIXA]])</f>
        <v>0</v>
      </c>
      <c r="AI40" s="217" t="n">
        <f aca="false">SUMIFS(tabela_registros[VALOR],tabela_registros[MÊS],$AE$1,tabela_registros[DIA],juntotal3059718395[[#Headers],[31]],tabela_registros[REGISTRO],DADOS!$N$4,tabela_registros[TIPO],DADOS!$P$3,tabela_registros[CATEGORIA],despesafixaconsolidadojun[[#This Row],[DESPESA FIXA]])</f>
        <v>0</v>
      </c>
      <c r="AJ40" s="149" t="n">
        <f aca="false">SUM(despesafixaconsolidadojun[[#This Row],[1]:[31]])</f>
        <v>0</v>
      </c>
      <c r="AK40" s="143"/>
    </row>
    <row r="41" customFormat="false" ht="18" hidden="false" customHeight="true" outlineLevel="0" collapsed="false">
      <c r="B41" s="143"/>
      <c r="C41" s="144" t="str">
        <f aca="false">DADOS!$R$7</f>
        <v>📖 EDUCAÇÃO</v>
      </c>
      <c r="D41" s="145" t="str">
        <f aca="false">IF(despesafixaconsolidadojun[[#This Row],[TOTAL]]=0,"",IF(OR(despesafixaconsolidadojun[[#This Row],[TOTAL]]=LARGE($AJ$37:$AJ$50,1),despesafixaconsolidadojun[[#This Row],[TOTAL]]=LARGE($AJ$37:$AJ$50,2),despesafixaconsolidadojun[[#This Row],[TOTAL]]=LARGE($AJ$37:$AJ$50,3),despesafixaconsolidadojun[[#This Row],[TOTAL]]=LARGE($AJ$37:$AJ$50,4),despesafixaconsolidadojun[[#This Row],[TOTAL]]=LARGE($AJ$37:$AJ$50,5)),DADOS!$I$8,""))</f>
        <v/>
      </c>
      <c r="E41" s="148" t="n">
        <f aca="false">SUMIFS(tabela_registros[VALOR],tabela_registros[MÊS],$AE$1,tabela_registros[DIA],juntotal3059718395[[#Headers],[1]],tabela_registros[REGISTRO],DADOS!$N$4,tabela_registros[TIPO],DADOS!$P$3,tabela_registros[CATEGORIA],despesafixaconsolidadojun[[#This Row],[DESPESA FIXA]])</f>
        <v>0</v>
      </c>
      <c r="F41" s="119" t="n">
        <f aca="false">SUMIFS(tabela_registros[VALOR],tabela_registros[MÊS],$AE$1,tabela_registros[DIA],juntotal3059718395[[#Headers],[2]],tabela_registros[REGISTRO],DADOS!$N$4,tabela_registros[TIPO],DADOS!$P$3,tabela_registros[CATEGORIA],despesafixaconsolidadojun[[#This Row],[DESPESA FIXA]])</f>
        <v>0</v>
      </c>
      <c r="G41" s="119" t="n">
        <f aca="false">SUMIFS(tabela_registros[VALOR],tabela_registros[MÊS],$AE$1,tabela_registros[DIA],juntotal3059718395[[#Headers],[3]],tabela_registros[REGISTRO],DADOS!$N$4,tabela_registros[TIPO],DADOS!$P$3,tabela_registros[CATEGORIA],despesafixaconsolidadojun[[#This Row],[DESPESA FIXA]])</f>
        <v>0</v>
      </c>
      <c r="H41" s="119" t="n">
        <f aca="false">SUMIFS(tabela_registros[VALOR],tabela_registros[MÊS],$AE$1,tabela_registros[DIA],juntotal3059718395[[#Headers],[4]],tabela_registros[REGISTRO],DADOS!$N$4,tabela_registros[TIPO],DADOS!$P$3,tabela_registros[CATEGORIA],despesafixaconsolidadojun[[#This Row],[DESPESA FIXA]])</f>
        <v>0</v>
      </c>
      <c r="I41" s="119" t="n">
        <f aca="false">SUMIFS(tabela_registros[VALOR],tabela_registros[MÊS],$AE$1,tabela_registros[DIA],juntotal3059718395[[#Headers],[5]],tabela_registros[REGISTRO],DADOS!$N$4,tabela_registros[TIPO],DADOS!$P$3,tabela_registros[CATEGORIA],despesafixaconsolidadojun[[#This Row],[DESPESA FIXA]])</f>
        <v>0</v>
      </c>
      <c r="J41" s="119" t="n">
        <f aca="false">SUMIFS(tabela_registros[VALOR],tabela_registros[MÊS],$AE$1,tabela_registros[DIA],juntotal3059718395[[#Headers],[6]],tabela_registros[REGISTRO],DADOS!$N$4,tabela_registros[TIPO],DADOS!$P$3,tabela_registros[CATEGORIA],despesafixaconsolidadojun[[#This Row],[DESPESA FIXA]])</f>
        <v>0</v>
      </c>
      <c r="K41" s="119" t="n">
        <f aca="false">SUMIFS(tabela_registros[VALOR],tabela_registros[MÊS],$AE$1,tabela_registros[DIA],juntotal3059718395[[#Headers],[7]],tabela_registros[REGISTRO],DADOS!$N$4,tabela_registros[TIPO],DADOS!$P$3,tabela_registros[CATEGORIA],despesafixaconsolidadojun[[#This Row],[DESPESA FIXA]])</f>
        <v>0</v>
      </c>
      <c r="L41" s="119" t="n">
        <f aca="false">SUMIFS(tabela_registros[VALOR],tabela_registros[MÊS],$AE$1,tabela_registros[DIA],juntotal3059718395[[#Headers],[8]],tabela_registros[REGISTRO],DADOS!$N$4,tabela_registros[TIPO],DADOS!$P$3,tabela_registros[CATEGORIA],despesafixaconsolidadojun[[#This Row],[DESPESA FIXA]])</f>
        <v>0</v>
      </c>
      <c r="M41" s="119" t="n">
        <f aca="false">SUMIFS(tabela_registros[VALOR],tabela_registros[MÊS],$AE$1,tabela_registros[DIA],juntotal3059718395[[#Headers],[9]],tabela_registros[REGISTRO],DADOS!$N$4,tabela_registros[TIPO],DADOS!$P$3,tabela_registros[CATEGORIA],despesafixaconsolidadojun[[#This Row],[DESPESA FIXA]])</f>
        <v>0</v>
      </c>
      <c r="N41" s="119" t="n">
        <f aca="false">SUMIFS(tabela_registros[VALOR],tabela_registros[MÊS],$AE$1,tabela_registros[DIA],juntotal3059718395[[#Headers],[10]],tabela_registros[REGISTRO],DADOS!$N$4,tabela_registros[TIPO],DADOS!$P$3,tabela_registros[CATEGORIA],despesafixaconsolidadojun[[#This Row],[DESPESA FIXA]])</f>
        <v>0</v>
      </c>
      <c r="O41" s="119" t="n">
        <f aca="false">SUMIFS(tabela_registros[VALOR],tabela_registros[MÊS],$AE$1,tabela_registros[DIA],juntotal3059718395[[#Headers],[11]],tabela_registros[REGISTRO],DADOS!$N$4,tabela_registros[TIPO],DADOS!$P$3,tabela_registros[CATEGORIA],despesafixaconsolidadojun[[#This Row],[DESPESA FIXA]])</f>
        <v>0</v>
      </c>
      <c r="P41" s="119" t="n">
        <f aca="false">SUMIFS(tabela_registros[VALOR],tabela_registros[MÊS],$AE$1,tabela_registros[DIA],juntotal3059718395[[#Headers],[12]],tabela_registros[REGISTRO],DADOS!$N$4,tabela_registros[TIPO],DADOS!$P$3,tabela_registros[CATEGORIA],despesafixaconsolidadojun[[#This Row],[DESPESA FIXA]])</f>
        <v>0</v>
      </c>
      <c r="Q41" s="119" t="n">
        <f aca="false">SUMIFS(tabela_registros[VALOR],tabela_registros[MÊS],$AE$1,tabela_registros[DIA],juntotal3059718395[[#Headers],[13]],tabela_registros[REGISTRO],DADOS!$N$4,tabela_registros[TIPO],DADOS!$P$3,tabela_registros[CATEGORIA],despesafixaconsolidadojun[[#This Row],[DESPESA FIXA]])</f>
        <v>0</v>
      </c>
      <c r="R41" s="119" t="n">
        <f aca="false">SUMIFS(tabela_registros[VALOR],tabela_registros[MÊS],$AE$1,tabela_registros[DIA],juntotal3059718395[[#Headers],[14]],tabela_registros[REGISTRO],DADOS!$N$4,tabela_registros[TIPO],DADOS!$P$3,tabela_registros[CATEGORIA],despesafixaconsolidadojun[[#This Row],[DESPESA FIXA]])</f>
        <v>0</v>
      </c>
      <c r="S41" s="119" t="n">
        <f aca="false">SUMIFS(tabela_registros[VALOR],tabela_registros[MÊS],$AE$1,tabela_registros[DIA],juntotal3059718395[[#Headers],[15]],tabela_registros[REGISTRO],DADOS!$N$4,tabela_registros[TIPO],DADOS!$P$3,tabela_registros[CATEGORIA],despesafixaconsolidadojun[[#This Row],[DESPESA FIXA]])</f>
        <v>0</v>
      </c>
      <c r="T41" s="119" t="n">
        <f aca="false">SUMIFS(tabela_registros[VALOR],tabela_registros[MÊS],$AE$1,tabela_registros[DIA],juntotal3059718395[[#Headers],[16]],tabela_registros[REGISTRO],DADOS!$N$4,tabela_registros[TIPO],DADOS!$P$3,tabela_registros[CATEGORIA],despesafixaconsolidadojun[[#This Row],[DESPESA FIXA]])</f>
        <v>0</v>
      </c>
      <c r="U41" s="119" t="n">
        <f aca="false">SUMIFS(tabela_registros[VALOR],tabela_registros[MÊS],$AE$1,tabela_registros[DIA],juntotal3059718395[[#Headers],[17]],tabela_registros[REGISTRO],DADOS!$N$4,tabela_registros[TIPO],DADOS!$P$3,tabela_registros[CATEGORIA],despesafixaconsolidadojun[[#This Row],[DESPESA FIXA]])</f>
        <v>0</v>
      </c>
      <c r="V41" s="119" t="n">
        <f aca="false">SUMIFS(tabela_registros[VALOR],tabela_registros[MÊS],$AE$1,tabela_registros[DIA],juntotal3059718395[[#Headers],[18]],tabela_registros[REGISTRO],DADOS!$N$4,tabela_registros[TIPO],DADOS!$P$3,tabela_registros[CATEGORIA],despesafixaconsolidadojun[[#This Row],[DESPESA FIXA]])</f>
        <v>0</v>
      </c>
      <c r="W41" s="119" t="n">
        <f aca="false">SUMIFS(tabela_registros[VALOR],tabela_registros[MÊS],$AE$1,tabela_registros[DIA],juntotal3059718395[[#Headers],[19]],tabela_registros[REGISTRO],DADOS!$N$4,tabela_registros[TIPO],DADOS!$P$3,tabela_registros[CATEGORIA],despesafixaconsolidadojun[[#This Row],[DESPESA FIXA]])</f>
        <v>0</v>
      </c>
      <c r="X41" s="119" t="n">
        <f aca="false">SUMIFS(tabela_registros[VALOR],tabela_registros[MÊS],$AE$1,tabela_registros[DIA],juntotal3059718395[[#Headers],[20]],tabela_registros[REGISTRO],DADOS!$N$4,tabela_registros[TIPO],DADOS!$P$3,tabela_registros[CATEGORIA],despesafixaconsolidadojun[[#This Row],[DESPESA FIXA]])</f>
        <v>0</v>
      </c>
      <c r="Y41" s="119" t="n">
        <f aca="false">SUMIFS(tabela_registros[VALOR],tabela_registros[MÊS],$AE$1,tabela_registros[DIA],juntotal3059718395[[#Headers],[21]],tabela_registros[REGISTRO],DADOS!$N$4,tabela_registros[TIPO],DADOS!$P$3,tabela_registros[CATEGORIA],despesafixaconsolidadojun[[#This Row],[DESPESA FIXA]])</f>
        <v>0</v>
      </c>
      <c r="Z41" s="119" t="n">
        <f aca="false">SUMIFS(tabela_registros[VALOR],tabela_registros[MÊS],$AE$1,tabela_registros[DIA],juntotal3059718395[[#Headers],[22]],tabela_registros[REGISTRO],DADOS!$N$4,tabela_registros[TIPO],DADOS!$P$3,tabela_registros[CATEGORIA],despesafixaconsolidadojun[[#This Row],[DESPESA FIXA]])</f>
        <v>0</v>
      </c>
      <c r="AA41" s="119" t="n">
        <f aca="false">SUMIFS(tabela_registros[VALOR],tabela_registros[MÊS],$AE$1,tabela_registros[DIA],juntotal3059718395[[#Headers],[23]],tabela_registros[REGISTRO],DADOS!$N$4,tabela_registros[TIPO],DADOS!$P$3,tabela_registros[CATEGORIA],despesafixaconsolidadojun[[#This Row],[DESPESA FIXA]])</f>
        <v>0</v>
      </c>
      <c r="AB41" s="119" t="n">
        <f aca="false">SUMIFS(tabela_registros[VALOR],tabela_registros[MÊS],$AE$1,tabela_registros[DIA],juntotal3059718395[[#Headers],[24]],tabela_registros[REGISTRO],DADOS!$N$4,tabela_registros[TIPO],DADOS!$P$3,tabela_registros[CATEGORIA],despesafixaconsolidadojun[[#This Row],[DESPESA FIXA]])</f>
        <v>0</v>
      </c>
      <c r="AC41" s="119" t="n">
        <f aca="false">SUMIFS(tabela_registros[VALOR],tabela_registros[MÊS],$AE$1,tabela_registros[DIA],juntotal3059718395[[#Headers],[25]],tabela_registros[REGISTRO],DADOS!$N$4,tabela_registros[TIPO],DADOS!$P$3,tabela_registros[CATEGORIA],despesafixaconsolidadojun[[#This Row],[DESPESA FIXA]])</f>
        <v>0</v>
      </c>
      <c r="AD41" s="119" t="n">
        <f aca="false">SUMIFS(tabela_registros[VALOR],tabela_registros[MÊS],$AE$1,tabela_registros[DIA],juntotal3059718395[[#Headers],[26]],tabela_registros[REGISTRO],DADOS!$N$4,tabela_registros[TIPO],DADOS!$P$3,tabela_registros[CATEGORIA],despesafixaconsolidadojun[[#This Row],[DESPESA FIXA]])</f>
        <v>0</v>
      </c>
      <c r="AE41" s="119" t="n">
        <f aca="false">SUMIFS(tabela_registros[VALOR],tabela_registros[MÊS],$AE$1,tabela_registros[DIA],juntotal3059718395[[#Headers],[27]],tabela_registros[REGISTRO],DADOS!$N$4,tabela_registros[TIPO],DADOS!$P$3,tabela_registros[CATEGORIA],despesafixaconsolidadojun[[#This Row],[DESPESA FIXA]])</f>
        <v>0</v>
      </c>
      <c r="AF41" s="119" t="n">
        <f aca="false">SUMIFS(tabela_registros[VALOR],tabela_registros[MÊS],$AE$1,tabela_registros[DIA],juntotal3059718395[[#Headers],[28]],tabela_registros[REGISTRO],DADOS!$N$4,tabela_registros[TIPO],DADOS!$P$3,tabela_registros[CATEGORIA],despesafixaconsolidadojun[[#This Row],[DESPESA FIXA]])</f>
        <v>0</v>
      </c>
      <c r="AG41" s="119" t="n">
        <f aca="false">SUMIFS(tabela_registros[VALOR],tabela_registros[MÊS],$AE$1,tabela_registros[DIA],juntotal3059718395[[#Headers],[29]],tabela_registros[REGISTRO],DADOS!$N$4,tabela_registros[TIPO],DADOS!$P$3,tabela_registros[CATEGORIA],despesafixaconsolidadojun[[#This Row],[DESPESA FIXA]])</f>
        <v>0</v>
      </c>
      <c r="AH41" s="119" t="n">
        <f aca="false">SUMIFS(tabela_registros[VALOR],tabela_registros[MÊS],$AE$1,tabela_registros[DIA],juntotal3059718395[[#Headers],[30]],tabela_registros[REGISTRO],DADOS!$N$4,tabela_registros[TIPO],DADOS!$P$3,tabela_registros[CATEGORIA],despesafixaconsolidadojun[[#This Row],[DESPESA FIXA]])</f>
        <v>0</v>
      </c>
      <c r="AI41" s="217" t="n">
        <f aca="false">SUMIFS(tabela_registros[VALOR],tabela_registros[MÊS],$AE$1,tabela_registros[DIA],juntotal3059718395[[#Headers],[31]],tabela_registros[REGISTRO],DADOS!$N$4,tabela_registros[TIPO],DADOS!$P$3,tabela_registros[CATEGORIA],despesafixaconsolidadojun[[#This Row],[DESPESA FIXA]])</f>
        <v>0</v>
      </c>
      <c r="AJ41" s="149" t="n">
        <f aca="false">SUM(despesafixaconsolidadojun[[#This Row],[1]:[31]])</f>
        <v>0</v>
      </c>
      <c r="AK41" s="143"/>
    </row>
    <row r="42" customFormat="false" ht="18" hidden="false" customHeight="true" outlineLevel="0" collapsed="false">
      <c r="B42" s="143"/>
      <c r="C42" s="144" t="str">
        <f aca="false">DADOS!$R$8</f>
        <v>🏦 EMPRÉSTIMO</v>
      </c>
      <c r="D42" s="145" t="str">
        <f aca="false">IF(despesafixaconsolidadojun[[#This Row],[TOTAL]]=0,"",IF(OR(despesafixaconsolidadojun[[#This Row],[TOTAL]]=LARGE($AJ$37:$AJ$50,1),despesafixaconsolidadojun[[#This Row],[TOTAL]]=LARGE($AJ$37:$AJ$50,2),despesafixaconsolidadojun[[#This Row],[TOTAL]]=LARGE($AJ$37:$AJ$50,3),despesafixaconsolidadojun[[#This Row],[TOTAL]]=LARGE($AJ$37:$AJ$50,4),despesafixaconsolidadojun[[#This Row],[TOTAL]]=LARGE($AJ$37:$AJ$50,5)),DADOS!$I$8,""))</f>
        <v/>
      </c>
      <c r="E42" s="148" t="n">
        <f aca="false">SUMIFS(tabela_registros[VALOR],tabela_registros[MÊS],$AE$1,tabela_registros[DIA],juntotal3059718395[[#Headers],[1]],tabela_registros[REGISTRO],DADOS!$N$4,tabela_registros[TIPO],DADOS!$P$3,tabela_registros[CATEGORIA],despesafixaconsolidadojun[[#This Row],[DESPESA FIXA]])</f>
        <v>0</v>
      </c>
      <c r="F42" s="119" t="n">
        <f aca="false">SUMIFS(tabela_registros[VALOR],tabela_registros[MÊS],$AE$1,tabela_registros[DIA],juntotal3059718395[[#Headers],[2]],tabela_registros[REGISTRO],DADOS!$N$4,tabela_registros[TIPO],DADOS!$P$3,tabela_registros[CATEGORIA],despesafixaconsolidadojun[[#This Row],[DESPESA FIXA]])</f>
        <v>0</v>
      </c>
      <c r="G42" s="119" t="n">
        <f aca="false">SUMIFS(tabela_registros[VALOR],tabela_registros[MÊS],$AE$1,tabela_registros[DIA],juntotal3059718395[[#Headers],[3]],tabela_registros[REGISTRO],DADOS!$N$4,tabela_registros[TIPO],DADOS!$P$3,tabela_registros[CATEGORIA],despesafixaconsolidadojun[[#This Row],[DESPESA FIXA]])</f>
        <v>0</v>
      </c>
      <c r="H42" s="119" t="n">
        <f aca="false">SUMIFS(tabela_registros[VALOR],tabela_registros[MÊS],$AE$1,tabela_registros[DIA],juntotal3059718395[[#Headers],[4]],tabela_registros[REGISTRO],DADOS!$N$4,tabela_registros[TIPO],DADOS!$P$3,tabela_registros[CATEGORIA],despesafixaconsolidadojun[[#This Row],[DESPESA FIXA]])</f>
        <v>0</v>
      </c>
      <c r="I42" s="119" t="n">
        <f aca="false">SUMIFS(tabela_registros[VALOR],tabela_registros[MÊS],$AE$1,tabela_registros[DIA],juntotal3059718395[[#Headers],[5]],tabela_registros[REGISTRO],DADOS!$N$4,tabela_registros[TIPO],DADOS!$P$3,tabela_registros[CATEGORIA],despesafixaconsolidadojun[[#This Row],[DESPESA FIXA]])</f>
        <v>0</v>
      </c>
      <c r="J42" s="119" t="n">
        <f aca="false">SUMIFS(tabela_registros[VALOR],tabela_registros[MÊS],$AE$1,tabela_registros[DIA],juntotal3059718395[[#Headers],[6]],tabela_registros[REGISTRO],DADOS!$N$4,tabela_registros[TIPO],DADOS!$P$3,tabela_registros[CATEGORIA],despesafixaconsolidadojun[[#This Row],[DESPESA FIXA]])</f>
        <v>0</v>
      </c>
      <c r="K42" s="119" t="n">
        <f aca="false">SUMIFS(tabela_registros[VALOR],tabela_registros[MÊS],$AE$1,tabela_registros[DIA],juntotal3059718395[[#Headers],[7]],tabela_registros[REGISTRO],DADOS!$N$4,tabela_registros[TIPO],DADOS!$P$3,tabela_registros[CATEGORIA],despesafixaconsolidadojun[[#This Row],[DESPESA FIXA]])</f>
        <v>0</v>
      </c>
      <c r="L42" s="119" t="n">
        <f aca="false">SUMIFS(tabela_registros[VALOR],tabela_registros[MÊS],$AE$1,tabela_registros[DIA],juntotal3059718395[[#Headers],[8]],tabela_registros[REGISTRO],DADOS!$N$4,tabela_registros[TIPO],DADOS!$P$3,tabela_registros[CATEGORIA],despesafixaconsolidadojun[[#This Row],[DESPESA FIXA]])</f>
        <v>0</v>
      </c>
      <c r="M42" s="119" t="n">
        <f aca="false">SUMIFS(tabela_registros[VALOR],tabela_registros[MÊS],$AE$1,tabela_registros[DIA],juntotal3059718395[[#Headers],[9]],tabela_registros[REGISTRO],DADOS!$N$4,tabela_registros[TIPO],DADOS!$P$3,tabela_registros[CATEGORIA],despesafixaconsolidadojun[[#This Row],[DESPESA FIXA]])</f>
        <v>0</v>
      </c>
      <c r="N42" s="119" t="n">
        <f aca="false">SUMIFS(tabela_registros[VALOR],tabela_registros[MÊS],$AE$1,tabela_registros[DIA],juntotal3059718395[[#Headers],[10]],tabela_registros[REGISTRO],DADOS!$N$4,tabela_registros[TIPO],DADOS!$P$3,tabela_registros[CATEGORIA],despesafixaconsolidadojun[[#This Row],[DESPESA FIXA]])</f>
        <v>0</v>
      </c>
      <c r="O42" s="119" t="n">
        <f aca="false">SUMIFS(tabela_registros[VALOR],tabela_registros[MÊS],$AE$1,tabela_registros[DIA],juntotal3059718395[[#Headers],[11]],tabela_registros[REGISTRO],DADOS!$N$4,tabela_registros[TIPO],DADOS!$P$3,tabela_registros[CATEGORIA],despesafixaconsolidadojun[[#This Row],[DESPESA FIXA]])</f>
        <v>0</v>
      </c>
      <c r="P42" s="119" t="n">
        <f aca="false">SUMIFS(tabela_registros[VALOR],tabela_registros[MÊS],$AE$1,tabela_registros[DIA],juntotal3059718395[[#Headers],[12]],tabela_registros[REGISTRO],DADOS!$N$4,tabela_registros[TIPO],DADOS!$P$3,tabela_registros[CATEGORIA],despesafixaconsolidadojun[[#This Row],[DESPESA FIXA]])</f>
        <v>0</v>
      </c>
      <c r="Q42" s="119" t="n">
        <f aca="false">SUMIFS(tabela_registros[VALOR],tabela_registros[MÊS],$AE$1,tabela_registros[DIA],juntotal3059718395[[#Headers],[13]],tabela_registros[REGISTRO],DADOS!$N$4,tabela_registros[TIPO],DADOS!$P$3,tabela_registros[CATEGORIA],despesafixaconsolidadojun[[#This Row],[DESPESA FIXA]])</f>
        <v>0</v>
      </c>
      <c r="R42" s="119" t="n">
        <f aca="false">SUMIFS(tabela_registros[VALOR],tabela_registros[MÊS],$AE$1,tabela_registros[DIA],juntotal3059718395[[#Headers],[14]],tabela_registros[REGISTRO],DADOS!$N$4,tabela_registros[TIPO],DADOS!$P$3,tabela_registros[CATEGORIA],despesafixaconsolidadojun[[#This Row],[DESPESA FIXA]])</f>
        <v>0</v>
      </c>
      <c r="S42" s="119" t="n">
        <f aca="false">SUMIFS(tabela_registros[VALOR],tabela_registros[MÊS],$AE$1,tabela_registros[DIA],juntotal3059718395[[#Headers],[15]],tabela_registros[REGISTRO],DADOS!$N$4,tabela_registros[TIPO],DADOS!$P$3,tabela_registros[CATEGORIA],despesafixaconsolidadojun[[#This Row],[DESPESA FIXA]])</f>
        <v>0</v>
      </c>
      <c r="T42" s="119" t="n">
        <f aca="false">SUMIFS(tabela_registros[VALOR],tabela_registros[MÊS],$AE$1,tabela_registros[DIA],juntotal3059718395[[#Headers],[16]],tabela_registros[REGISTRO],DADOS!$N$4,tabela_registros[TIPO],DADOS!$P$3,tabela_registros[CATEGORIA],despesafixaconsolidadojun[[#This Row],[DESPESA FIXA]])</f>
        <v>0</v>
      </c>
      <c r="U42" s="119" t="n">
        <f aca="false">SUMIFS(tabela_registros[VALOR],tabela_registros[MÊS],$AE$1,tabela_registros[DIA],juntotal3059718395[[#Headers],[17]],tabela_registros[REGISTRO],DADOS!$N$4,tabela_registros[TIPO],DADOS!$P$3,tabela_registros[CATEGORIA],despesafixaconsolidadojun[[#This Row],[DESPESA FIXA]])</f>
        <v>0</v>
      </c>
      <c r="V42" s="119" t="n">
        <f aca="false">SUMIFS(tabela_registros[VALOR],tabela_registros[MÊS],$AE$1,tabela_registros[DIA],juntotal3059718395[[#Headers],[18]],tabela_registros[REGISTRO],DADOS!$N$4,tabela_registros[TIPO],DADOS!$P$3,tabela_registros[CATEGORIA],despesafixaconsolidadojun[[#This Row],[DESPESA FIXA]])</f>
        <v>0</v>
      </c>
      <c r="W42" s="119" t="n">
        <f aca="false">SUMIFS(tabela_registros[VALOR],tabela_registros[MÊS],$AE$1,tabela_registros[DIA],juntotal3059718395[[#Headers],[19]],tabela_registros[REGISTRO],DADOS!$N$4,tabela_registros[TIPO],DADOS!$P$3,tabela_registros[CATEGORIA],despesafixaconsolidadojun[[#This Row],[DESPESA FIXA]])</f>
        <v>0</v>
      </c>
      <c r="X42" s="119" t="n">
        <f aca="false">SUMIFS(tabela_registros[VALOR],tabela_registros[MÊS],$AE$1,tabela_registros[DIA],juntotal3059718395[[#Headers],[20]],tabela_registros[REGISTRO],DADOS!$N$4,tabela_registros[TIPO],DADOS!$P$3,tabela_registros[CATEGORIA],despesafixaconsolidadojun[[#This Row],[DESPESA FIXA]])</f>
        <v>0</v>
      </c>
      <c r="Y42" s="119" t="n">
        <f aca="false">SUMIFS(tabela_registros[VALOR],tabela_registros[MÊS],$AE$1,tabela_registros[DIA],juntotal3059718395[[#Headers],[21]],tabela_registros[REGISTRO],DADOS!$N$4,tabela_registros[TIPO],DADOS!$P$3,tabela_registros[CATEGORIA],despesafixaconsolidadojun[[#This Row],[DESPESA FIXA]])</f>
        <v>0</v>
      </c>
      <c r="Z42" s="119" t="n">
        <f aca="false">SUMIFS(tabela_registros[VALOR],tabela_registros[MÊS],$AE$1,tabela_registros[DIA],juntotal3059718395[[#Headers],[22]],tabela_registros[REGISTRO],DADOS!$N$4,tabela_registros[TIPO],DADOS!$P$3,tabela_registros[CATEGORIA],despesafixaconsolidadojun[[#This Row],[DESPESA FIXA]])</f>
        <v>0</v>
      </c>
      <c r="AA42" s="119" t="n">
        <f aca="false">SUMIFS(tabela_registros[VALOR],tabela_registros[MÊS],$AE$1,tabela_registros[DIA],juntotal3059718395[[#Headers],[23]],tabela_registros[REGISTRO],DADOS!$N$4,tabela_registros[TIPO],DADOS!$P$3,tabela_registros[CATEGORIA],despesafixaconsolidadojun[[#This Row],[DESPESA FIXA]])</f>
        <v>0</v>
      </c>
      <c r="AB42" s="119" t="n">
        <f aca="false">SUMIFS(tabela_registros[VALOR],tabela_registros[MÊS],$AE$1,tabela_registros[DIA],juntotal3059718395[[#Headers],[24]],tabela_registros[REGISTRO],DADOS!$N$4,tabela_registros[TIPO],DADOS!$P$3,tabela_registros[CATEGORIA],despesafixaconsolidadojun[[#This Row],[DESPESA FIXA]])</f>
        <v>0</v>
      </c>
      <c r="AC42" s="119" t="n">
        <f aca="false">SUMIFS(tabela_registros[VALOR],tabela_registros[MÊS],$AE$1,tabela_registros[DIA],juntotal3059718395[[#Headers],[25]],tabela_registros[REGISTRO],DADOS!$N$4,tabela_registros[TIPO],DADOS!$P$3,tabela_registros[CATEGORIA],despesafixaconsolidadojun[[#This Row],[DESPESA FIXA]])</f>
        <v>0</v>
      </c>
      <c r="AD42" s="119" t="n">
        <f aca="false">SUMIFS(tabela_registros[VALOR],tabela_registros[MÊS],$AE$1,tabela_registros[DIA],juntotal3059718395[[#Headers],[26]],tabela_registros[REGISTRO],DADOS!$N$4,tabela_registros[TIPO],DADOS!$P$3,tabela_registros[CATEGORIA],despesafixaconsolidadojun[[#This Row],[DESPESA FIXA]])</f>
        <v>0</v>
      </c>
      <c r="AE42" s="119" t="n">
        <f aca="false">SUMIFS(tabela_registros[VALOR],tabela_registros[MÊS],$AE$1,tabela_registros[DIA],juntotal3059718395[[#Headers],[27]],tabela_registros[REGISTRO],DADOS!$N$4,tabela_registros[TIPO],DADOS!$P$3,tabela_registros[CATEGORIA],despesafixaconsolidadojun[[#This Row],[DESPESA FIXA]])</f>
        <v>0</v>
      </c>
      <c r="AF42" s="119" t="n">
        <f aca="false">SUMIFS(tabela_registros[VALOR],tabela_registros[MÊS],$AE$1,tabela_registros[DIA],juntotal3059718395[[#Headers],[28]],tabela_registros[REGISTRO],DADOS!$N$4,tabela_registros[TIPO],DADOS!$P$3,tabela_registros[CATEGORIA],despesafixaconsolidadojun[[#This Row],[DESPESA FIXA]])</f>
        <v>0</v>
      </c>
      <c r="AG42" s="119" t="n">
        <f aca="false">SUMIFS(tabela_registros[VALOR],tabela_registros[MÊS],$AE$1,tabela_registros[DIA],juntotal3059718395[[#Headers],[29]],tabela_registros[REGISTRO],DADOS!$N$4,tabela_registros[TIPO],DADOS!$P$3,tabela_registros[CATEGORIA],despesafixaconsolidadojun[[#This Row],[DESPESA FIXA]])</f>
        <v>0</v>
      </c>
      <c r="AH42" s="119" t="n">
        <f aca="false">SUMIFS(tabela_registros[VALOR],tabela_registros[MÊS],$AE$1,tabela_registros[DIA],juntotal3059718395[[#Headers],[30]],tabela_registros[REGISTRO],DADOS!$N$4,tabela_registros[TIPO],DADOS!$P$3,tabela_registros[CATEGORIA],despesafixaconsolidadojun[[#This Row],[DESPESA FIXA]])</f>
        <v>0</v>
      </c>
      <c r="AI42" s="217" t="n">
        <f aca="false">SUMIFS(tabela_registros[VALOR],tabela_registros[MÊS],$AE$1,tabela_registros[DIA],juntotal3059718395[[#Headers],[31]],tabela_registros[REGISTRO],DADOS!$N$4,tabela_registros[TIPO],DADOS!$P$3,tabela_registros[CATEGORIA],despesafixaconsolidadojun[[#This Row],[DESPESA FIXA]])</f>
        <v>0</v>
      </c>
      <c r="AJ42" s="149" t="n">
        <f aca="false">SUM(despesafixaconsolidadojun[[#This Row],[1]:[31]])</f>
        <v>0</v>
      </c>
      <c r="AK42" s="143"/>
    </row>
    <row r="43" customFormat="false" ht="18" hidden="false" customHeight="true" outlineLevel="0" collapsed="false">
      <c r="B43" s="143"/>
      <c r="C43" s="144" t="str">
        <f aca="false">DADOS!$R$9</f>
        <v>💡 ENERGIA</v>
      </c>
      <c r="D43" s="145" t="str">
        <f aca="false">IF(despesafixaconsolidadojun[[#This Row],[TOTAL]]=0,"",IF(OR(despesafixaconsolidadojun[[#This Row],[TOTAL]]=LARGE($AJ$37:$AJ$50,1),despesafixaconsolidadojun[[#This Row],[TOTAL]]=LARGE($AJ$37:$AJ$50,2),despesafixaconsolidadojun[[#This Row],[TOTAL]]=LARGE($AJ$37:$AJ$50,3),despesafixaconsolidadojun[[#This Row],[TOTAL]]=LARGE($AJ$37:$AJ$50,4),despesafixaconsolidadojun[[#This Row],[TOTAL]]=LARGE($AJ$37:$AJ$50,5)),DADOS!$I$8,""))</f>
        <v/>
      </c>
      <c r="E43" s="148" t="n">
        <f aca="false">SUMIFS(tabela_registros[VALOR],tabela_registros[MÊS],$AE$1,tabela_registros[DIA],juntotal3059718395[[#Headers],[1]],tabela_registros[REGISTRO],DADOS!$N$4,tabela_registros[TIPO],DADOS!$P$3,tabela_registros[CATEGORIA],despesafixaconsolidadojun[[#This Row],[DESPESA FIXA]])</f>
        <v>0</v>
      </c>
      <c r="F43" s="119" t="n">
        <f aca="false">SUMIFS(tabela_registros[VALOR],tabela_registros[MÊS],$AE$1,tabela_registros[DIA],juntotal3059718395[[#Headers],[2]],tabela_registros[REGISTRO],DADOS!$N$4,tabela_registros[TIPO],DADOS!$P$3,tabela_registros[CATEGORIA],despesafixaconsolidadojun[[#This Row],[DESPESA FIXA]])</f>
        <v>0</v>
      </c>
      <c r="G43" s="119" t="n">
        <f aca="false">SUMIFS(tabela_registros[VALOR],tabela_registros[MÊS],$AE$1,tabela_registros[DIA],juntotal3059718395[[#Headers],[3]],tabela_registros[REGISTRO],DADOS!$N$4,tabela_registros[TIPO],DADOS!$P$3,tabela_registros[CATEGORIA],despesafixaconsolidadojun[[#This Row],[DESPESA FIXA]])</f>
        <v>0</v>
      </c>
      <c r="H43" s="119" t="n">
        <f aca="false">SUMIFS(tabela_registros[VALOR],tabela_registros[MÊS],$AE$1,tabela_registros[DIA],juntotal3059718395[[#Headers],[4]],tabela_registros[REGISTRO],DADOS!$N$4,tabela_registros[TIPO],DADOS!$P$3,tabela_registros[CATEGORIA],despesafixaconsolidadojun[[#This Row],[DESPESA FIXA]])</f>
        <v>0</v>
      </c>
      <c r="I43" s="119" t="n">
        <f aca="false">SUMIFS(tabela_registros[VALOR],tabela_registros[MÊS],$AE$1,tabela_registros[DIA],juntotal3059718395[[#Headers],[5]],tabela_registros[REGISTRO],DADOS!$N$4,tabela_registros[TIPO],DADOS!$P$3,tabela_registros[CATEGORIA],despesafixaconsolidadojun[[#This Row],[DESPESA FIXA]])</f>
        <v>0</v>
      </c>
      <c r="J43" s="119" t="n">
        <f aca="false">SUMIFS(tabela_registros[VALOR],tabela_registros[MÊS],$AE$1,tabela_registros[DIA],juntotal3059718395[[#Headers],[6]],tabela_registros[REGISTRO],DADOS!$N$4,tabela_registros[TIPO],DADOS!$P$3,tabela_registros[CATEGORIA],despesafixaconsolidadojun[[#This Row],[DESPESA FIXA]])</f>
        <v>0</v>
      </c>
      <c r="K43" s="119" t="n">
        <f aca="false">SUMIFS(tabela_registros[VALOR],tabela_registros[MÊS],$AE$1,tabela_registros[DIA],juntotal3059718395[[#Headers],[7]],tabela_registros[REGISTRO],DADOS!$N$4,tabela_registros[TIPO],DADOS!$P$3,tabela_registros[CATEGORIA],despesafixaconsolidadojun[[#This Row],[DESPESA FIXA]])</f>
        <v>0</v>
      </c>
      <c r="L43" s="119" t="n">
        <f aca="false">SUMIFS(tabela_registros[VALOR],tabela_registros[MÊS],$AE$1,tabela_registros[DIA],juntotal3059718395[[#Headers],[8]],tabela_registros[REGISTRO],DADOS!$N$4,tabela_registros[TIPO],DADOS!$P$3,tabela_registros[CATEGORIA],despesafixaconsolidadojun[[#This Row],[DESPESA FIXA]])</f>
        <v>0</v>
      </c>
      <c r="M43" s="119" t="n">
        <f aca="false">SUMIFS(tabela_registros[VALOR],tabela_registros[MÊS],$AE$1,tabela_registros[DIA],juntotal3059718395[[#Headers],[9]],tabela_registros[REGISTRO],DADOS!$N$4,tabela_registros[TIPO],DADOS!$P$3,tabela_registros[CATEGORIA],despesafixaconsolidadojun[[#This Row],[DESPESA FIXA]])</f>
        <v>0</v>
      </c>
      <c r="N43" s="119" t="n">
        <f aca="false">SUMIFS(tabela_registros[VALOR],tabela_registros[MÊS],$AE$1,tabela_registros[DIA],juntotal3059718395[[#Headers],[10]],tabela_registros[REGISTRO],DADOS!$N$4,tabela_registros[TIPO],DADOS!$P$3,tabela_registros[CATEGORIA],despesafixaconsolidadojun[[#This Row],[DESPESA FIXA]])</f>
        <v>0</v>
      </c>
      <c r="O43" s="119" t="n">
        <f aca="false">SUMIFS(tabela_registros[VALOR],tabela_registros[MÊS],$AE$1,tabela_registros[DIA],juntotal3059718395[[#Headers],[11]],tabela_registros[REGISTRO],DADOS!$N$4,tabela_registros[TIPO],DADOS!$P$3,tabela_registros[CATEGORIA],despesafixaconsolidadojun[[#This Row],[DESPESA FIXA]])</f>
        <v>0</v>
      </c>
      <c r="P43" s="119" t="n">
        <f aca="false">SUMIFS(tabela_registros[VALOR],tabela_registros[MÊS],$AE$1,tabela_registros[DIA],juntotal3059718395[[#Headers],[12]],tabela_registros[REGISTRO],DADOS!$N$4,tabela_registros[TIPO],DADOS!$P$3,tabela_registros[CATEGORIA],despesafixaconsolidadojun[[#This Row],[DESPESA FIXA]])</f>
        <v>0</v>
      </c>
      <c r="Q43" s="119" t="n">
        <f aca="false">SUMIFS(tabela_registros[VALOR],tabela_registros[MÊS],$AE$1,tabela_registros[DIA],juntotal3059718395[[#Headers],[13]],tabela_registros[REGISTRO],DADOS!$N$4,tabela_registros[TIPO],DADOS!$P$3,tabela_registros[CATEGORIA],despesafixaconsolidadojun[[#This Row],[DESPESA FIXA]])</f>
        <v>0</v>
      </c>
      <c r="R43" s="119" t="n">
        <f aca="false">SUMIFS(tabela_registros[VALOR],tabela_registros[MÊS],$AE$1,tabela_registros[DIA],juntotal3059718395[[#Headers],[14]],tabela_registros[REGISTRO],DADOS!$N$4,tabela_registros[TIPO],DADOS!$P$3,tabela_registros[CATEGORIA],despesafixaconsolidadojun[[#This Row],[DESPESA FIXA]])</f>
        <v>0</v>
      </c>
      <c r="S43" s="119" t="n">
        <f aca="false">SUMIFS(tabela_registros[VALOR],tabela_registros[MÊS],$AE$1,tabela_registros[DIA],juntotal3059718395[[#Headers],[15]],tabela_registros[REGISTRO],DADOS!$N$4,tabela_registros[TIPO],DADOS!$P$3,tabela_registros[CATEGORIA],despesafixaconsolidadojun[[#This Row],[DESPESA FIXA]])</f>
        <v>0</v>
      </c>
      <c r="T43" s="119" t="n">
        <f aca="false">SUMIFS(tabela_registros[VALOR],tabela_registros[MÊS],$AE$1,tabela_registros[DIA],juntotal3059718395[[#Headers],[16]],tabela_registros[REGISTRO],DADOS!$N$4,tabela_registros[TIPO],DADOS!$P$3,tabela_registros[CATEGORIA],despesafixaconsolidadojun[[#This Row],[DESPESA FIXA]])</f>
        <v>0</v>
      </c>
      <c r="U43" s="119" t="n">
        <f aca="false">SUMIFS(tabela_registros[VALOR],tabela_registros[MÊS],$AE$1,tabela_registros[DIA],juntotal3059718395[[#Headers],[17]],tabela_registros[REGISTRO],DADOS!$N$4,tabela_registros[TIPO],DADOS!$P$3,tabela_registros[CATEGORIA],despesafixaconsolidadojun[[#This Row],[DESPESA FIXA]])</f>
        <v>0</v>
      </c>
      <c r="V43" s="119" t="n">
        <f aca="false">SUMIFS(tabela_registros[VALOR],tabela_registros[MÊS],$AE$1,tabela_registros[DIA],juntotal3059718395[[#Headers],[18]],tabela_registros[REGISTRO],DADOS!$N$4,tabela_registros[TIPO],DADOS!$P$3,tabela_registros[CATEGORIA],despesafixaconsolidadojun[[#This Row],[DESPESA FIXA]])</f>
        <v>0</v>
      </c>
      <c r="W43" s="119" t="n">
        <f aca="false">SUMIFS(tabela_registros[VALOR],tabela_registros[MÊS],$AE$1,tabela_registros[DIA],juntotal3059718395[[#Headers],[19]],tabela_registros[REGISTRO],DADOS!$N$4,tabela_registros[TIPO],DADOS!$P$3,tabela_registros[CATEGORIA],despesafixaconsolidadojun[[#This Row],[DESPESA FIXA]])</f>
        <v>0</v>
      </c>
      <c r="X43" s="119" t="n">
        <f aca="false">SUMIFS(tabela_registros[VALOR],tabela_registros[MÊS],$AE$1,tabela_registros[DIA],juntotal3059718395[[#Headers],[20]],tabela_registros[REGISTRO],DADOS!$N$4,tabela_registros[TIPO],DADOS!$P$3,tabela_registros[CATEGORIA],despesafixaconsolidadojun[[#This Row],[DESPESA FIXA]])</f>
        <v>0</v>
      </c>
      <c r="Y43" s="119" t="n">
        <f aca="false">SUMIFS(tabela_registros[VALOR],tabela_registros[MÊS],$AE$1,tabela_registros[DIA],juntotal3059718395[[#Headers],[21]],tabela_registros[REGISTRO],DADOS!$N$4,tabela_registros[TIPO],DADOS!$P$3,tabela_registros[CATEGORIA],despesafixaconsolidadojun[[#This Row],[DESPESA FIXA]])</f>
        <v>0</v>
      </c>
      <c r="Z43" s="119" t="n">
        <f aca="false">SUMIFS(tabela_registros[VALOR],tabela_registros[MÊS],$AE$1,tabela_registros[DIA],juntotal3059718395[[#Headers],[22]],tabela_registros[REGISTRO],DADOS!$N$4,tabela_registros[TIPO],DADOS!$P$3,tabela_registros[CATEGORIA],despesafixaconsolidadojun[[#This Row],[DESPESA FIXA]])</f>
        <v>0</v>
      </c>
      <c r="AA43" s="119" t="n">
        <f aca="false">SUMIFS(tabela_registros[VALOR],tabela_registros[MÊS],$AE$1,tabela_registros[DIA],juntotal3059718395[[#Headers],[23]],tabela_registros[REGISTRO],DADOS!$N$4,tabela_registros[TIPO],DADOS!$P$3,tabela_registros[CATEGORIA],despesafixaconsolidadojun[[#This Row],[DESPESA FIXA]])</f>
        <v>0</v>
      </c>
      <c r="AB43" s="119" t="n">
        <f aca="false">SUMIFS(tabela_registros[VALOR],tabela_registros[MÊS],$AE$1,tabela_registros[DIA],juntotal3059718395[[#Headers],[24]],tabela_registros[REGISTRO],DADOS!$N$4,tabela_registros[TIPO],DADOS!$P$3,tabela_registros[CATEGORIA],despesafixaconsolidadojun[[#This Row],[DESPESA FIXA]])</f>
        <v>0</v>
      </c>
      <c r="AC43" s="119" t="n">
        <f aca="false">SUMIFS(tabela_registros[VALOR],tabela_registros[MÊS],$AE$1,tabela_registros[DIA],juntotal3059718395[[#Headers],[25]],tabela_registros[REGISTRO],DADOS!$N$4,tabela_registros[TIPO],DADOS!$P$3,tabela_registros[CATEGORIA],despesafixaconsolidadojun[[#This Row],[DESPESA FIXA]])</f>
        <v>0</v>
      </c>
      <c r="AD43" s="119" t="n">
        <f aca="false">SUMIFS(tabela_registros[VALOR],tabela_registros[MÊS],$AE$1,tabela_registros[DIA],juntotal3059718395[[#Headers],[26]],tabela_registros[REGISTRO],DADOS!$N$4,tabela_registros[TIPO],DADOS!$P$3,tabela_registros[CATEGORIA],despesafixaconsolidadojun[[#This Row],[DESPESA FIXA]])</f>
        <v>0</v>
      </c>
      <c r="AE43" s="119" t="n">
        <f aca="false">SUMIFS(tabela_registros[VALOR],tabela_registros[MÊS],$AE$1,tabela_registros[DIA],juntotal3059718395[[#Headers],[27]],tabela_registros[REGISTRO],DADOS!$N$4,tabela_registros[TIPO],DADOS!$P$3,tabela_registros[CATEGORIA],despesafixaconsolidadojun[[#This Row],[DESPESA FIXA]])</f>
        <v>0</v>
      </c>
      <c r="AF43" s="119" t="n">
        <f aca="false">SUMIFS(tabela_registros[VALOR],tabela_registros[MÊS],$AE$1,tabela_registros[DIA],juntotal3059718395[[#Headers],[28]],tabela_registros[REGISTRO],DADOS!$N$4,tabela_registros[TIPO],DADOS!$P$3,tabela_registros[CATEGORIA],despesafixaconsolidadojun[[#This Row],[DESPESA FIXA]])</f>
        <v>0</v>
      </c>
      <c r="AG43" s="119" t="n">
        <f aca="false">SUMIFS(tabela_registros[VALOR],tabela_registros[MÊS],$AE$1,tabela_registros[DIA],juntotal3059718395[[#Headers],[29]],tabela_registros[REGISTRO],DADOS!$N$4,tabela_registros[TIPO],DADOS!$P$3,tabela_registros[CATEGORIA],despesafixaconsolidadojun[[#This Row],[DESPESA FIXA]])</f>
        <v>0</v>
      </c>
      <c r="AH43" s="119" t="n">
        <f aca="false">SUMIFS(tabela_registros[VALOR],tabela_registros[MÊS],$AE$1,tabela_registros[DIA],juntotal3059718395[[#Headers],[30]],tabela_registros[REGISTRO],DADOS!$N$4,tabela_registros[TIPO],DADOS!$P$3,tabela_registros[CATEGORIA],despesafixaconsolidadojun[[#This Row],[DESPESA FIXA]])</f>
        <v>0</v>
      </c>
      <c r="AI43" s="217" t="n">
        <f aca="false">SUMIFS(tabela_registros[VALOR],tabela_registros[MÊS],$AE$1,tabela_registros[DIA],juntotal3059718395[[#Headers],[31]],tabela_registros[REGISTRO],DADOS!$N$4,tabela_registros[TIPO],DADOS!$P$3,tabela_registros[CATEGORIA],despesafixaconsolidadojun[[#This Row],[DESPESA FIXA]])</f>
        <v>0</v>
      </c>
      <c r="AJ43" s="149" t="n">
        <f aca="false">SUM(despesafixaconsolidadojun[[#This Row],[1]:[31]])</f>
        <v>0</v>
      </c>
      <c r="AK43" s="143"/>
    </row>
    <row r="44" customFormat="false" ht="18" hidden="false" customHeight="true" outlineLevel="0" collapsed="false">
      <c r="B44" s="143"/>
      <c r="C44" s="144" t="str">
        <f aca="false">DADOS!$R$10</f>
        <v>👨‍👩‍👧 FAMÍLIA</v>
      </c>
      <c r="D44" s="145" t="str">
        <f aca="false">IF(despesafixaconsolidadojun[[#This Row],[TOTAL]]=0,"",IF(OR(despesafixaconsolidadojun[[#This Row],[TOTAL]]=LARGE($AJ$37:$AJ$50,1),despesafixaconsolidadojun[[#This Row],[TOTAL]]=LARGE($AJ$37:$AJ$50,2),despesafixaconsolidadojun[[#This Row],[TOTAL]]=LARGE($AJ$37:$AJ$50,3),despesafixaconsolidadojun[[#This Row],[TOTAL]]=LARGE($AJ$37:$AJ$50,4),despesafixaconsolidadojun[[#This Row],[TOTAL]]=LARGE($AJ$37:$AJ$50,5)),DADOS!$I$8,""))</f>
        <v/>
      </c>
      <c r="E44" s="148" t="n">
        <f aca="false">SUMIFS(tabela_registros[VALOR],tabela_registros[MÊS],$AE$1,tabela_registros[DIA],juntotal3059718395[[#Headers],[1]],tabela_registros[REGISTRO],DADOS!$N$4,tabela_registros[TIPO],DADOS!$P$3,tabela_registros[CATEGORIA],despesafixaconsolidadojun[[#This Row],[DESPESA FIXA]])</f>
        <v>0</v>
      </c>
      <c r="F44" s="119" t="n">
        <f aca="false">SUMIFS(tabela_registros[VALOR],tabela_registros[MÊS],$AE$1,tabela_registros[DIA],juntotal3059718395[[#Headers],[2]],tabela_registros[REGISTRO],DADOS!$N$4,tabela_registros[TIPO],DADOS!$P$3,tabela_registros[CATEGORIA],despesafixaconsolidadojun[[#This Row],[DESPESA FIXA]])</f>
        <v>0</v>
      </c>
      <c r="G44" s="119" t="n">
        <f aca="false">SUMIFS(tabela_registros[VALOR],tabela_registros[MÊS],$AE$1,tabela_registros[DIA],juntotal3059718395[[#Headers],[3]],tabela_registros[REGISTRO],DADOS!$N$4,tabela_registros[TIPO],DADOS!$P$3,tabela_registros[CATEGORIA],despesafixaconsolidadojun[[#This Row],[DESPESA FIXA]])</f>
        <v>0</v>
      </c>
      <c r="H44" s="119" t="n">
        <f aca="false">SUMIFS(tabela_registros[VALOR],tabela_registros[MÊS],$AE$1,tabela_registros[DIA],juntotal3059718395[[#Headers],[4]],tabela_registros[REGISTRO],DADOS!$N$4,tabela_registros[TIPO],DADOS!$P$3,tabela_registros[CATEGORIA],despesafixaconsolidadojun[[#This Row],[DESPESA FIXA]])</f>
        <v>0</v>
      </c>
      <c r="I44" s="119" t="n">
        <f aca="false">SUMIFS(tabela_registros[VALOR],tabela_registros[MÊS],$AE$1,tabela_registros[DIA],juntotal3059718395[[#Headers],[5]],tabela_registros[REGISTRO],DADOS!$N$4,tabela_registros[TIPO],DADOS!$P$3,tabela_registros[CATEGORIA],despesafixaconsolidadojun[[#This Row],[DESPESA FIXA]])</f>
        <v>0</v>
      </c>
      <c r="J44" s="119" t="n">
        <f aca="false">SUMIFS(tabela_registros[VALOR],tabela_registros[MÊS],$AE$1,tabela_registros[DIA],juntotal3059718395[[#Headers],[6]],tabela_registros[REGISTRO],DADOS!$N$4,tabela_registros[TIPO],DADOS!$P$3,tabela_registros[CATEGORIA],despesafixaconsolidadojun[[#This Row],[DESPESA FIXA]])</f>
        <v>0</v>
      </c>
      <c r="K44" s="119" t="n">
        <f aca="false">SUMIFS(tabela_registros[VALOR],tabela_registros[MÊS],$AE$1,tabela_registros[DIA],juntotal3059718395[[#Headers],[7]],tabela_registros[REGISTRO],DADOS!$N$4,tabela_registros[TIPO],DADOS!$P$3,tabela_registros[CATEGORIA],despesafixaconsolidadojun[[#This Row],[DESPESA FIXA]])</f>
        <v>0</v>
      </c>
      <c r="L44" s="119" t="n">
        <f aca="false">SUMIFS(tabela_registros[VALOR],tabela_registros[MÊS],$AE$1,tabela_registros[DIA],juntotal3059718395[[#Headers],[8]],tabela_registros[REGISTRO],DADOS!$N$4,tabela_registros[TIPO],DADOS!$P$3,tabela_registros[CATEGORIA],despesafixaconsolidadojun[[#This Row],[DESPESA FIXA]])</f>
        <v>0</v>
      </c>
      <c r="M44" s="119" t="n">
        <f aca="false">SUMIFS(tabela_registros[VALOR],tabela_registros[MÊS],$AE$1,tabela_registros[DIA],juntotal3059718395[[#Headers],[9]],tabela_registros[REGISTRO],DADOS!$N$4,tabela_registros[TIPO],DADOS!$P$3,tabela_registros[CATEGORIA],despesafixaconsolidadojun[[#This Row],[DESPESA FIXA]])</f>
        <v>0</v>
      </c>
      <c r="N44" s="119" t="n">
        <f aca="false">SUMIFS(tabela_registros[VALOR],tabela_registros[MÊS],$AE$1,tabela_registros[DIA],juntotal3059718395[[#Headers],[10]],tabela_registros[REGISTRO],DADOS!$N$4,tabela_registros[TIPO],DADOS!$P$3,tabela_registros[CATEGORIA],despesafixaconsolidadojun[[#This Row],[DESPESA FIXA]])</f>
        <v>0</v>
      </c>
      <c r="O44" s="119" t="n">
        <f aca="false">SUMIFS(tabela_registros[VALOR],tabela_registros[MÊS],$AE$1,tabela_registros[DIA],juntotal3059718395[[#Headers],[11]],tabela_registros[REGISTRO],DADOS!$N$4,tabela_registros[TIPO],DADOS!$P$3,tabela_registros[CATEGORIA],despesafixaconsolidadojun[[#This Row],[DESPESA FIXA]])</f>
        <v>0</v>
      </c>
      <c r="P44" s="119" t="n">
        <f aca="false">SUMIFS(tabela_registros[VALOR],tabela_registros[MÊS],$AE$1,tabela_registros[DIA],juntotal3059718395[[#Headers],[12]],tabela_registros[REGISTRO],DADOS!$N$4,tabela_registros[TIPO],DADOS!$P$3,tabela_registros[CATEGORIA],despesafixaconsolidadojun[[#This Row],[DESPESA FIXA]])</f>
        <v>0</v>
      </c>
      <c r="Q44" s="119" t="n">
        <f aca="false">SUMIFS(tabela_registros[VALOR],tabela_registros[MÊS],$AE$1,tabela_registros[DIA],juntotal3059718395[[#Headers],[13]],tabela_registros[REGISTRO],DADOS!$N$4,tabela_registros[TIPO],DADOS!$P$3,tabela_registros[CATEGORIA],despesafixaconsolidadojun[[#This Row],[DESPESA FIXA]])</f>
        <v>0</v>
      </c>
      <c r="R44" s="119" t="n">
        <f aca="false">SUMIFS(tabela_registros[VALOR],tabela_registros[MÊS],$AE$1,tabela_registros[DIA],juntotal3059718395[[#Headers],[14]],tabela_registros[REGISTRO],DADOS!$N$4,tabela_registros[TIPO],DADOS!$P$3,tabela_registros[CATEGORIA],despesafixaconsolidadojun[[#This Row],[DESPESA FIXA]])</f>
        <v>0</v>
      </c>
      <c r="S44" s="119" t="n">
        <f aca="false">SUMIFS(tabela_registros[VALOR],tabela_registros[MÊS],$AE$1,tabela_registros[DIA],juntotal3059718395[[#Headers],[15]],tabela_registros[REGISTRO],DADOS!$N$4,tabela_registros[TIPO],DADOS!$P$3,tabela_registros[CATEGORIA],despesafixaconsolidadojun[[#This Row],[DESPESA FIXA]])</f>
        <v>0</v>
      </c>
      <c r="T44" s="119" t="n">
        <f aca="false">SUMIFS(tabela_registros[VALOR],tabela_registros[MÊS],$AE$1,tabela_registros[DIA],juntotal3059718395[[#Headers],[16]],tabela_registros[REGISTRO],DADOS!$N$4,tabela_registros[TIPO],DADOS!$P$3,tabela_registros[CATEGORIA],despesafixaconsolidadojun[[#This Row],[DESPESA FIXA]])</f>
        <v>0</v>
      </c>
      <c r="U44" s="119" t="n">
        <f aca="false">SUMIFS(tabela_registros[VALOR],tabela_registros[MÊS],$AE$1,tabela_registros[DIA],juntotal3059718395[[#Headers],[17]],tabela_registros[REGISTRO],DADOS!$N$4,tabela_registros[TIPO],DADOS!$P$3,tabela_registros[CATEGORIA],despesafixaconsolidadojun[[#This Row],[DESPESA FIXA]])</f>
        <v>0</v>
      </c>
      <c r="V44" s="119" t="n">
        <f aca="false">SUMIFS(tabela_registros[VALOR],tabela_registros[MÊS],$AE$1,tabela_registros[DIA],juntotal3059718395[[#Headers],[18]],tabela_registros[REGISTRO],DADOS!$N$4,tabela_registros[TIPO],DADOS!$P$3,tabela_registros[CATEGORIA],despesafixaconsolidadojun[[#This Row],[DESPESA FIXA]])</f>
        <v>0</v>
      </c>
      <c r="W44" s="119" t="n">
        <f aca="false">SUMIFS(tabela_registros[VALOR],tabela_registros[MÊS],$AE$1,tabela_registros[DIA],juntotal3059718395[[#Headers],[19]],tabela_registros[REGISTRO],DADOS!$N$4,tabela_registros[TIPO],DADOS!$P$3,tabela_registros[CATEGORIA],despesafixaconsolidadojun[[#This Row],[DESPESA FIXA]])</f>
        <v>0</v>
      </c>
      <c r="X44" s="119" t="n">
        <f aca="false">SUMIFS(tabela_registros[VALOR],tabela_registros[MÊS],$AE$1,tabela_registros[DIA],juntotal3059718395[[#Headers],[20]],tabela_registros[REGISTRO],DADOS!$N$4,tabela_registros[TIPO],DADOS!$P$3,tabela_registros[CATEGORIA],despesafixaconsolidadojun[[#This Row],[DESPESA FIXA]])</f>
        <v>0</v>
      </c>
      <c r="Y44" s="119" t="n">
        <f aca="false">SUMIFS(tabela_registros[VALOR],tabela_registros[MÊS],$AE$1,tabela_registros[DIA],juntotal3059718395[[#Headers],[21]],tabela_registros[REGISTRO],DADOS!$N$4,tabela_registros[TIPO],DADOS!$P$3,tabela_registros[CATEGORIA],despesafixaconsolidadojun[[#This Row],[DESPESA FIXA]])</f>
        <v>0</v>
      </c>
      <c r="Z44" s="119" t="n">
        <f aca="false">SUMIFS(tabela_registros[VALOR],tabela_registros[MÊS],$AE$1,tabela_registros[DIA],juntotal3059718395[[#Headers],[22]],tabela_registros[REGISTRO],DADOS!$N$4,tabela_registros[TIPO],DADOS!$P$3,tabela_registros[CATEGORIA],despesafixaconsolidadojun[[#This Row],[DESPESA FIXA]])</f>
        <v>0</v>
      </c>
      <c r="AA44" s="119" t="n">
        <f aca="false">SUMIFS(tabela_registros[VALOR],tabela_registros[MÊS],$AE$1,tabela_registros[DIA],juntotal3059718395[[#Headers],[23]],tabela_registros[REGISTRO],DADOS!$N$4,tabela_registros[TIPO],DADOS!$P$3,tabela_registros[CATEGORIA],despesafixaconsolidadojun[[#This Row],[DESPESA FIXA]])</f>
        <v>0</v>
      </c>
      <c r="AB44" s="119" t="n">
        <f aca="false">SUMIFS(tabela_registros[VALOR],tabela_registros[MÊS],$AE$1,tabela_registros[DIA],juntotal3059718395[[#Headers],[24]],tabela_registros[REGISTRO],DADOS!$N$4,tabela_registros[TIPO],DADOS!$P$3,tabela_registros[CATEGORIA],despesafixaconsolidadojun[[#This Row],[DESPESA FIXA]])</f>
        <v>0</v>
      </c>
      <c r="AC44" s="119" t="n">
        <f aca="false">SUMIFS(tabela_registros[VALOR],tabela_registros[MÊS],$AE$1,tabela_registros[DIA],juntotal3059718395[[#Headers],[25]],tabela_registros[REGISTRO],DADOS!$N$4,tabela_registros[TIPO],DADOS!$P$3,tabela_registros[CATEGORIA],despesafixaconsolidadojun[[#This Row],[DESPESA FIXA]])</f>
        <v>0</v>
      </c>
      <c r="AD44" s="119" t="n">
        <f aca="false">SUMIFS(tabela_registros[VALOR],tabela_registros[MÊS],$AE$1,tabela_registros[DIA],juntotal3059718395[[#Headers],[26]],tabela_registros[REGISTRO],DADOS!$N$4,tabela_registros[TIPO],DADOS!$P$3,tabela_registros[CATEGORIA],despesafixaconsolidadojun[[#This Row],[DESPESA FIXA]])</f>
        <v>0</v>
      </c>
      <c r="AE44" s="119" t="n">
        <f aca="false">SUMIFS(tabela_registros[VALOR],tabela_registros[MÊS],$AE$1,tabela_registros[DIA],juntotal3059718395[[#Headers],[27]],tabela_registros[REGISTRO],DADOS!$N$4,tabela_registros[TIPO],DADOS!$P$3,tabela_registros[CATEGORIA],despesafixaconsolidadojun[[#This Row],[DESPESA FIXA]])</f>
        <v>0</v>
      </c>
      <c r="AF44" s="119" t="n">
        <f aca="false">SUMIFS(tabela_registros[VALOR],tabela_registros[MÊS],$AE$1,tabela_registros[DIA],juntotal3059718395[[#Headers],[28]],tabela_registros[REGISTRO],DADOS!$N$4,tabela_registros[TIPO],DADOS!$P$3,tabela_registros[CATEGORIA],despesafixaconsolidadojun[[#This Row],[DESPESA FIXA]])</f>
        <v>0</v>
      </c>
      <c r="AG44" s="119" t="n">
        <f aca="false">SUMIFS(tabela_registros[VALOR],tabela_registros[MÊS],$AE$1,tabela_registros[DIA],juntotal3059718395[[#Headers],[29]],tabela_registros[REGISTRO],DADOS!$N$4,tabela_registros[TIPO],DADOS!$P$3,tabela_registros[CATEGORIA],despesafixaconsolidadojun[[#This Row],[DESPESA FIXA]])</f>
        <v>0</v>
      </c>
      <c r="AH44" s="119" t="n">
        <f aca="false">SUMIFS(tabela_registros[VALOR],tabela_registros[MÊS],$AE$1,tabela_registros[DIA],juntotal3059718395[[#Headers],[30]],tabela_registros[REGISTRO],DADOS!$N$4,tabela_registros[TIPO],DADOS!$P$3,tabela_registros[CATEGORIA],despesafixaconsolidadojun[[#This Row],[DESPESA FIXA]])</f>
        <v>0</v>
      </c>
      <c r="AI44" s="217" t="n">
        <f aca="false">SUMIFS(tabela_registros[VALOR],tabela_registros[MÊS],$AE$1,tabela_registros[DIA],juntotal3059718395[[#Headers],[31]],tabela_registros[REGISTRO],DADOS!$N$4,tabela_registros[TIPO],DADOS!$P$3,tabela_registros[CATEGORIA],despesafixaconsolidadojun[[#This Row],[DESPESA FIXA]])</f>
        <v>0</v>
      </c>
      <c r="AJ44" s="149" t="n">
        <f aca="false">SUM(despesafixaconsolidadojun[[#This Row],[1]:[31]])</f>
        <v>0</v>
      </c>
      <c r="AK44" s="143"/>
    </row>
    <row r="45" customFormat="false" ht="18" hidden="false" customHeight="true" outlineLevel="0" collapsed="false">
      <c r="B45" s="143"/>
      <c r="C45" s="144" t="str">
        <f aca="false">DADOS!$R$11</f>
        <v>🔢 IMPOSTOS</v>
      </c>
      <c r="D45" s="145" t="str">
        <f aca="false">IF(despesafixaconsolidadojun[[#This Row],[TOTAL]]=0,"",IF(OR(despesafixaconsolidadojun[[#This Row],[TOTAL]]=LARGE($AJ$37:$AJ$50,1),despesafixaconsolidadojun[[#This Row],[TOTAL]]=LARGE($AJ$37:$AJ$50,2),despesafixaconsolidadojun[[#This Row],[TOTAL]]=LARGE($AJ$37:$AJ$50,3),despesafixaconsolidadojun[[#This Row],[TOTAL]]=LARGE($AJ$37:$AJ$50,4),despesafixaconsolidadojun[[#This Row],[TOTAL]]=LARGE($AJ$37:$AJ$50,5)),DADOS!$I$8,""))</f>
        <v/>
      </c>
      <c r="E45" s="148" t="n">
        <f aca="false">SUMIFS(tabela_registros[VALOR],tabela_registros[MÊS],$AE$1,tabela_registros[DIA],juntotal3059718395[[#Headers],[1]],tabela_registros[REGISTRO],DADOS!$N$4,tabela_registros[TIPO],DADOS!$P$3,tabela_registros[CATEGORIA],despesafixaconsolidadojun[[#This Row],[DESPESA FIXA]])</f>
        <v>0</v>
      </c>
      <c r="F45" s="119" t="n">
        <f aca="false">SUMIFS(tabela_registros[VALOR],tabela_registros[MÊS],$AE$1,tabela_registros[DIA],juntotal3059718395[[#Headers],[2]],tabela_registros[REGISTRO],DADOS!$N$4,tabela_registros[TIPO],DADOS!$P$3,tabela_registros[CATEGORIA],despesafixaconsolidadojun[[#This Row],[DESPESA FIXA]])</f>
        <v>0</v>
      </c>
      <c r="G45" s="119" t="n">
        <f aca="false">SUMIFS(tabela_registros[VALOR],tabela_registros[MÊS],$AE$1,tabela_registros[DIA],juntotal3059718395[[#Headers],[3]],tabela_registros[REGISTRO],DADOS!$N$4,tabela_registros[TIPO],DADOS!$P$3,tabela_registros[CATEGORIA],despesafixaconsolidadojun[[#This Row],[DESPESA FIXA]])</f>
        <v>0</v>
      </c>
      <c r="H45" s="119" t="n">
        <f aca="false">SUMIFS(tabela_registros[VALOR],tabela_registros[MÊS],$AE$1,tabela_registros[DIA],juntotal3059718395[[#Headers],[4]],tabela_registros[REGISTRO],DADOS!$N$4,tabela_registros[TIPO],DADOS!$P$3,tabela_registros[CATEGORIA],despesafixaconsolidadojun[[#This Row],[DESPESA FIXA]])</f>
        <v>0</v>
      </c>
      <c r="I45" s="119" t="n">
        <f aca="false">SUMIFS(tabela_registros[VALOR],tabela_registros[MÊS],$AE$1,tabela_registros[DIA],juntotal3059718395[[#Headers],[5]],tabela_registros[REGISTRO],DADOS!$N$4,tabela_registros[TIPO],DADOS!$P$3,tabela_registros[CATEGORIA],despesafixaconsolidadojun[[#This Row],[DESPESA FIXA]])</f>
        <v>0</v>
      </c>
      <c r="J45" s="119" t="n">
        <f aca="false">SUMIFS(tabela_registros[VALOR],tabela_registros[MÊS],$AE$1,tabela_registros[DIA],juntotal3059718395[[#Headers],[6]],tabela_registros[REGISTRO],DADOS!$N$4,tabela_registros[TIPO],DADOS!$P$3,tabela_registros[CATEGORIA],despesafixaconsolidadojun[[#This Row],[DESPESA FIXA]])</f>
        <v>0</v>
      </c>
      <c r="K45" s="119" t="n">
        <f aca="false">SUMIFS(tabela_registros[VALOR],tabela_registros[MÊS],$AE$1,tabela_registros[DIA],juntotal3059718395[[#Headers],[7]],tabela_registros[REGISTRO],DADOS!$N$4,tabela_registros[TIPO],DADOS!$P$3,tabela_registros[CATEGORIA],despesafixaconsolidadojun[[#This Row],[DESPESA FIXA]])</f>
        <v>0</v>
      </c>
      <c r="L45" s="119" t="n">
        <f aca="false">SUMIFS(tabela_registros[VALOR],tabela_registros[MÊS],$AE$1,tabela_registros[DIA],juntotal3059718395[[#Headers],[8]],tabela_registros[REGISTRO],DADOS!$N$4,tabela_registros[TIPO],DADOS!$P$3,tabela_registros[CATEGORIA],despesafixaconsolidadojun[[#This Row],[DESPESA FIXA]])</f>
        <v>0</v>
      </c>
      <c r="M45" s="119" t="n">
        <f aca="false">SUMIFS(tabela_registros[VALOR],tabela_registros[MÊS],$AE$1,tabela_registros[DIA],juntotal3059718395[[#Headers],[9]],tabela_registros[REGISTRO],DADOS!$N$4,tabela_registros[TIPO],DADOS!$P$3,tabela_registros[CATEGORIA],despesafixaconsolidadojun[[#This Row],[DESPESA FIXA]])</f>
        <v>0</v>
      </c>
      <c r="N45" s="119" t="n">
        <f aca="false">SUMIFS(tabela_registros[VALOR],tabela_registros[MÊS],$AE$1,tabela_registros[DIA],juntotal3059718395[[#Headers],[10]],tabela_registros[REGISTRO],DADOS!$N$4,tabela_registros[TIPO],DADOS!$P$3,tabela_registros[CATEGORIA],despesafixaconsolidadojun[[#This Row],[DESPESA FIXA]])</f>
        <v>0</v>
      </c>
      <c r="O45" s="119" t="n">
        <f aca="false">SUMIFS(tabela_registros[VALOR],tabela_registros[MÊS],$AE$1,tabela_registros[DIA],juntotal3059718395[[#Headers],[11]],tabela_registros[REGISTRO],DADOS!$N$4,tabela_registros[TIPO],DADOS!$P$3,tabela_registros[CATEGORIA],despesafixaconsolidadojun[[#This Row],[DESPESA FIXA]])</f>
        <v>0</v>
      </c>
      <c r="P45" s="119" t="n">
        <f aca="false">SUMIFS(tabela_registros[VALOR],tabela_registros[MÊS],$AE$1,tabela_registros[DIA],juntotal3059718395[[#Headers],[12]],tabela_registros[REGISTRO],DADOS!$N$4,tabela_registros[TIPO],DADOS!$P$3,tabela_registros[CATEGORIA],despesafixaconsolidadojun[[#This Row],[DESPESA FIXA]])</f>
        <v>0</v>
      </c>
      <c r="Q45" s="119" t="n">
        <f aca="false">SUMIFS(tabela_registros[VALOR],tabela_registros[MÊS],$AE$1,tabela_registros[DIA],juntotal3059718395[[#Headers],[13]],tabela_registros[REGISTRO],DADOS!$N$4,tabela_registros[TIPO],DADOS!$P$3,tabela_registros[CATEGORIA],despesafixaconsolidadojun[[#This Row],[DESPESA FIXA]])</f>
        <v>0</v>
      </c>
      <c r="R45" s="119" t="n">
        <f aca="false">SUMIFS(tabela_registros[VALOR],tabela_registros[MÊS],$AE$1,tabela_registros[DIA],juntotal3059718395[[#Headers],[14]],tabela_registros[REGISTRO],DADOS!$N$4,tabela_registros[TIPO],DADOS!$P$3,tabela_registros[CATEGORIA],despesafixaconsolidadojun[[#This Row],[DESPESA FIXA]])</f>
        <v>0</v>
      </c>
      <c r="S45" s="119" t="n">
        <f aca="false">SUMIFS(tabela_registros[VALOR],tabela_registros[MÊS],$AE$1,tabela_registros[DIA],juntotal3059718395[[#Headers],[15]],tabela_registros[REGISTRO],DADOS!$N$4,tabela_registros[TIPO],DADOS!$P$3,tabela_registros[CATEGORIA],despesafixaconsolidadojun[[#This Row],[DESPESA FIXA]])</f>
        <v>0</v>
      </c>
      <c r="T45" s="119" t="n">
        <f aca="false">SUMIFS(tabela_registros[VALOR],tabela_registros[MÊS],$AE$1,tabela_registros[DIA],juntotal3059718395[[#Headers],[16]],tabela_registros[REGISTRO],DADOS!$N$4,tabela_registros[TIPO],DADOS!$P$3,tabela_registros[CATEGORIA],despesafixaconsolidadojun[[#This Row],[DESPESA FIXA]])</f>
        <v>0</v>
      </c>
      <c r="U45" s="119" t="n">
        <f aca="false">SUMIFS(tabela_registros[VALOR],tabela_registros[MÊS],$AE$1,tabela_registros[DIA],juntotal3059718395[[#Headers],[17]],tabela_registros[REGISTRO],DADOS!$N$4,tabela_registros[TIPO],DADOS!$P$3,tabela_registros[CATEGORIA],despesafixaconsolidadojun[[#This Row],[DESPESA FIXA]])</f>
        <v>0</v>
      </c>
      <c r="V45" s="119" t="n">
        <f aca="false">SUMIFS(tabela_registros[VALOR],tabela_registros[MÊS],$AE$1,tabela_registros[DIA],juntotal3059718395[[#Headers],[18]],tabela_registros[REGISTRO],DADOS!$N$4,tabela_registros[TIPO],DADOS!$P$3,tabela_registros[CATEGORIA],despesafixaconsolidadojun[[#This Row],[DESPESA FIXA]])</f>
        <v>0</v>
      </c>
      <c r="W45" s="119" t="n">
        <f aca="false">SUMIFS(tabela_registros[VALOR],tabela_registros[MÊS],$AE$1,tabela_registros[DIA],juntotal3059718395[[#Headers],[19]],tabela_registros[REGISTRO],DADOS!$N$4,tabela_registros[TIPO],DADOS!$P$3,tabela_registros[CATEGORIA],despesafixaconsolidadojun[[#This Row],[DESPESA FIXA]])</f>
        <v>0</v>
      </c>
      <c r="X45" s="119" t="n">
        <f aca="false">SUMIFS(tabela_registros[VALOR],tabela_registros[MÊS],$AE$1,tabela_registros[DIA],juntotal3059718395[[#Headers],[20]],tabela_registros[REGISTRO],DADOS!$N$4,tabela_registros[TIPO],DADOS!$P$3,tabela_registros[CATEGORIA],despesafixaconsolidadojun[[#This Row],[DESPESA FIXA]])</f>
        <v>0</v>
      </c>
      <c r="Y45" s="119" t="n">
        <f aca="false">SUMIFS(tabela_registros[VALOR],tabela_registros[MÊS],$AE$1,tabela_registros[DIA],juntotal3059718395[[#Headers],[21]],tabela_registros[REGISTRO],DADOS!$N$4,tabela_registros[TIPO],DADOS!$P$3,tabela_registros[CATEGORIA],despesafixaconsolidadojun[[#This Row],[DESPESA FIXA]])</f>
        <v>0</v>
      </c>
      <c r="Z45" s="119" t="n">
        <f aca="false">SUMIFS(tabela_registros[VALOR],tabela_registros[MÊS],$AE$1,tabela_registros[DIA],juntotal3059718395[[#Headers],[22]],tabela_registros[REGISTRO],DADOS!$N$4,tabela_registros[TIPO],DADOS!$P$3,tabela_registros[CATEGORIA],despesafixaconsolidadojun[[#This Row],[DESPESA FIXA]])</f>
        <v>0</v>
      </c>
      <c r="AA45" s="119" t="n">
        <f aca="false">SUMIFS(tabela_registros[VALOR],tabela_registros[MÊS],$AE$1,tabela_registros[DIA],juntotal3059718395[[#Headers],[23]],tabela_registros[REGISTRO],DADOS!$N$4,tabela_registros[TIPO],DADOS!$P$3,tabela_registros[CATEGORIA],despesafixaconsolidadojun[[#This Row],[DESPESA FIXA]])</f>
        <v>0</v>
      </c>
      <c r="AB45" s="119" t="n">
        <f aca="false">SUMIFS(tabela_registros[VALOR],tabela_registros[MÊS],$AE$1,tabela_registros[DIA],juntotal3059718395[[#Headers],[24]],tabela_registros[REGISTRO],DADOS!$N$4,tabela_registros[TIPO],DADOS!$P$3,tabela_registros[CATEGORIA],despesafixaconsolidadojun[[#This Row],[DESPESA FIXA]])</f>
        <v>0</v>
      </c>
      <c r="AC45" s="119" t="n">
        <f aca="false">SUMIFS(tabela_registros[VALOR],tabela_registros[MÊS],$AE$1,tabela_registros[DIA],juntotal3059718395[[#Headers],[25]],tabela_registros[REGISTRO],DADOS!$N$4,tabela_registros[TIPO],DADOS!$P$3,tabela_registros[CATEGORIA],despesafixaconsolidadojun[[#This Row],[DESPESA FIXA]])</f>
        <v>0</v>
      </c>
      <c r="AD45" s="119" t="n">
        <f aca="false">SUMIFS(tabela_registros[VALOR],tabela_registros[MÊS],$AE$1,tabela_registros[DIA],juntotal3059718395[[#Headers],[26]],tabela_registros[REGISTRO],DADOS!$N$4,tabela_registros[TIPO],DADOS!$P$3,tabela_registros[CATEGORIA],despesafixaconsolidadojun[[#This Row],[DESPESA FIXA]])</f>
        <v>0</v>
      </c>
      <c r="AE45" s="119" t="n">
        <f aca="false">SUMIFS(tabela_registros[VALOR],tabela_registros[MÊS],$AE$1,tabela_registros[DIA],juntotal3059718395[[#Headers],[27]],tabela_registros[REGISTRO],DADOS!$N$4,tabela_registros[TIPO],DADOS!$P$3,tabela_registros[CATEGORIA],despesafixaconsolidadojun[[#This Row],[DESPESA FIXA]])</f>
        <v>0</v>
      </c>
      <c r="AF45" s="119" t="n">
        <f aca="false">SUMIFS(tabela_registros[VALOR],tabela_registros[MÊS],$AE$1,tabela_registros[DIA],juntotal3059718395[[#Headers],[28]],tabela_registros[REGISTRO],DADOS!$N$4,tabela_registros[TIPO],DADOS!$P$3,tabela_registros[CATEGORIA],despesafixaconsolidadojun[[#This Row],[DESPESA FIXA]])</f>
        <v>0</v>
      </c>
      <c r="AG45" s="119" t="n">
        <f aca="false">SUMIFS(tabela_registros[VALOR],tabela_registros[MÊS],$AE$1,tabela_registros[DIA],juntotal3059718395[[#Headers],[29]],tabela_registros[REGISTRO],DADOS!$N$4,tabela_registros[TIPO],DADOS!$P$3,tabela_registros[CATEGORIA],despesafixaconsolidadojun[[#This Row],[DESPESA FIXA]])</f>
        <v>0</v>
      </c>
      <c r="AH45" s="119" t="n">
        <f aca="false">SUMIFS(tabela_registros[VALOR],tabela_registros[MÊS],$AE$1,tabela_registros[DIA],juntotal3059718395[[#Headers],[30]],tabela_registros[REGISTRO],DADOS!$N$4,tabela_registros[TIPO],DADOS!$P$3,tabela_registros[CATEGORIA],despesafixaconsolidadojun[[#This Row],[DESPESA FIXA]])</f>
        <v>0</v>
      </c>
      <c r="AI45" s="217" t="n">
        <f aca="false">SUMIFS(tabela_registros[VALOR],tabela_registros[MÊS],$AE$1,tabela_registros[DIA],juntotal3059718395[[#Headers],[31]],tabela_registros[REGISTRO],DADOS!$N$4,tabela_registros[TIPO],DADOS!$P$3,tabela_registros[CATEGORIA],despesafixaconsolidadojun[[#This Row],[DESPESA FIXA]])</f>
        <v>0</v>
      </c>
      <c r="AJ45" s="149" t="n">
        <f aca="false">SUM(despesafixaconsolidadojun[[#This Row],[1]:[31]])</f>
        <v>0</v>
      </c>
      <c r="AK45" s="143"/>
    </row>
    <row r="46" customFormat="false" ht="18" hidden="false" customHeight="true" outlineLevel="0" collapsed="false">
      <c r="B46" s="143"/>
      <c r="C46" s="144" t="str">
        <f aca="false">DADOS!$R$12</f>
        <v>🖱️ INTERNET</v>
      </c>
      <c r="D46" s="145" t="str">
        <f aca="false">IF(despesafixaconsolidadojun[[#This Row],[TOTAL]]=0,"",IF(OR(despesafixaconsolidadojun[[#This Row],[TOTAL]]=LARGE($AJ$37:$AJ$50,1),despesafixaconsolidadojun[[#This Row],[TOTAL]]=LARGE($AJ$37:$AJ$50,2),despesafixaconsolidadojun[[#This Row],[TOTAL]]=LARGE($AJ$37:$AJ$50,3),despesafixaconsolidadojun[[#This Row],[TOTAL]]=LARGE($AJ$37:$AJ$50,4),despesafixaconsolidadojun[[#This Row],[TOTAL]]=LARGE($AJ$37:$AJ$50,5)),DADOS!$I$8,""))</f>
        <v/>
      </c>
      <c r="E46" s="148" t="n">
        <f aca="false">SUMIFS(tabela_registros[VALOR],tabela_registros[MÊS],$AE$1,tabela_registros[DIA],juntotal3059718395[[#Headers],[1]],tabela_registros[REGISTRO],DADOS!$N$4,tabela_registros[TIPO],DADOS!$P$3,tabela_registros[CATEGORIA],despesafixaconsolidadojun[[#This Row],[DESPESA FIXA]])</f>
        <v>0</v>
      </c>
      <c r="F46" s="119" t="n">
        <f aca="false">SUMIFS(tabela_registros[VALOR],tabela_registros[MÊS],$AE$1,tabela_registros[DIA],juntotal3059718395[[#Headers],[2]],tabela_registros[REGISTRO],DADOS!$N$4,tabela_registros[TIPO],DADOS!$P$3,tabela_registros[CATEGORIA],despesafixaconsolidadojun[[#This Row],[DESPESA FIXA]])</f>
        <v>0</v>
      </c>
      <c r="G46" s="119" t="n">
        <f aca="false">SUMIFS(tabela_registros[VALOR],tabela_registros[MÊS],$AE$1,tabela_registros[DIA],juntotal3059718395[[#Headers],[3]],tabela_registros[REGISTRO],DADOS!$N$4,tabela_registros[TIPO],DADOS!$P$3,tabela_registros[CATEGORIA],despesafixaconsolidadojun[[#This Row],[DESPESA FIXA]])</f>
        <v>0</v>
      </c>
      <c r="H46" s="119" t="n">
        <f aca="false">SUMIFS(tabela_registros[VALOR],tabela_registros[MÊS],$AE$1,tabela_registros[DIA],juntotal3059718395[[#Headers],[4]],tabela_registros[REGISTRO],DADOS!$N$4,tabela_registros[TIPO],DADOS!$P$3,tabela_registros[CATEGORIA],despesafixaconsolidadojun[[#This Row],[DESPESA FIXA]])</f>
        <v>0</v>
      </c>
      <c r="I46" s="119" t="n">
        <f aca="false">SUMIFS(tabela_registros[VALOR],tabela_registros[MÊS],$AE$1,tabela_registros[DIA],juntotal3059718395[[#Headers],[5]],tabela_registros[REGISTRO],DADOS!$N$4,tabela_registros[TIPO],DADOS!$P$3,tabela_registros[CATEGORIA],despesafixaconsolidadojun[[#This Row],[DESPESA FIXA]])</f>
        <v>0</v>
      </c>
      <c r="J46" s="119" t="n">
        <f aca="false">SUMIFS(tabela_registros[VALOR],tabela_registros[MÊS],$AE$1,tabela_registros[DIA],juntotal3059718395[[#Headers],[6]],tabela_registros[REGISTRO],DADOS!$N$4,tabela_registros[TIPO],DADOS!$P$3,tabela_registros[CATEGORIA],despesafixaconsolidadojun[[#This Row],[DESPESA FIXA]])</f>
        <v>0</v>
      </c>
      <c r="K46" s="119" t="n">
        <f aca="false">SUMIFS(tabela_registros[VALOR],tabela_registros[MÊS],$AE$1,tabela_registros[DIA],juntotal3059718395[[#Headers],[7]],tabela_registros[REGISTRO],DADOS!$N$4,tabela_registros[TIPO],DADOS!$P$3,tabela_registros[CATEGORIA],despesafixaconsolidadojun[[#This Row],[DESPESA FIXA]])</f>
        <v>0</v>
      </c>
      <c r="L46" s="119" t="n">
        <f aca="false">SUMIFS(tabela_registros[VALOR],tabela_registros[MÊS],$AE$1,tabela_registros[DIA],juntotal3059718395[[#Headers],[8]],tabela_registros[REGISTRO],DADOS!$N$4,tabela_registros[TIPO],DADOS!$P$3,tabela_registros[CATEGORIA],despesafixaconsolidadojun[[#This Row],[DESPESA FIXA]])</f>
        <v>0</v>
      </c>
      <c r="M46" s="119" t="n">
        <f aca="false">SUMIFS(tabela_registros[VALOR],tabela_registros[MÊS],$AE$1,tabela_registros[DIA],juntotal3059718395[[#Headers],[9]],tabela_registros[REGISTRO],DADOS!$N$4,tabela_registros[TIPO],DADOS!$P$3,tabela_registros[CATEGORIA],despesafixaconsolidadojun[[#This Row],[DESPESA FIXA]])</f>
        <v>0</v>
      </c>
      <c r="N46" s="119" t="n">
        <f aca="false">SUMIFS(tabela_registros[VALOR],tabela_registros[MÊS],$AE$1,tabela_registros[DIA],juntotal3059718395[[#Headers],[10]],tabela_registros[REGISTRO],DADOS!$N$4,tabela_registros[TIPO],DADOS!$P$3,tabela_registros[CATEGORIA],despesafixaconsolidadojun[[#This Row],[DESPESA FIXA]])</f>
        <v>0</v>
      </c>
      <c r="O46" s="119" t="n">
        <f aca="false">SUMIFS(tabela_registros[VALOR],tabela_registros[MÊS],$AE$1,tabela_registros[DIA],juntotal3059718395[[#Headers],[11]],tabela_registros[REGISTRO],DADOS!$N$4,tabela_registros[TIPO],DADOS!$P$3,tabela_registros[CATEGORIA],despesafixaconsolidadojun[[#This Row],[DESPESA FIXA]])</f>
        <v>0</v>
      </c>
      <c r="P46" s="119" t="n">
        <f aca="false">SUMIFS(tabela_registros[VALOR],tabela_registros[MÊS],$AE$1,tabela_registros[DIA],juntotal3059718395[[#Headers],[12]],tabela_registros[REGISTRO],DADOS!$N$4,tabela_registros[TIPO],DADOS!$P$3,tabela_registros[CATEGORIA],despesafixaconsolidadojun[[#This Row],[DESPESA FIXA]])</f>
        <v>0</v>
      </c>
      <c r="Q46" s="119" t="n">
        <f aca="false">SUMIFS(tabela_registros[VALOR],tabela_registros[MÊS],$AE$1,tabela_registros[DIA],juntotal3059718395[[#Headers],[13]],tabela_registros[REGISTRO],DADOS!$N$4,tabela_registros[TIPO],DADOS!$P$3,tabela_registros[CATEGORIA],despesafixaconsolidadojun[[#This Row],[DESPESA FIXA]])</f>
        <v>0</v>
      </c>
      <c r="R46" s="119" t="n">
        <f aca="false">SUMIFS(tabela_registros[VALOR],tabela_registros[MÊS],$AE$1,tabela_registros[DIA],juntotal3059718395[[#Headers],[14]],tabela_registros[REGISTRO],DADOS!$N$4,tabela_registros[TIPO],DADOS!$P$3,tabela_registros[CATEGORIA],despesafixaconsolidadojun[[#This Row],[DESPESA FIXA]])</f>
        <v>0</v>
      </c>
      <c r="S46" s="119" t="n">
        <f aca="false">SUMIFS(tabela_registros[VALOR],tabela_registros[MÊS],$AE$1,tabela_registros[DIA],juntotal3059718395[[#Headers],[15]],tabela_registros[REGISTRO],DADOS!$N$4,tabela_registros[TIPO],DADOS!$P$3,tabela_registros[CATEGORIA],despesafixaconsolidadojun[[#This Row],[DESPESA FIXA]])</f>
        <v>0</v>
      </c>
      <c r="T46" s="119" t="n">
        <f aca="false">SUMIFS(tabela_registros[VALOR],tabela_registros[MÊS],$AE$1,tabela_registros[DIA],juntotal3059718395[[#Headers],[16]],tabela_registros[REGISTRO],DADOS!$N$4,tabela_registros[TIPO],DADOS!$P$3,tabela_registros[CATEGORIA],despesafixaconsolidadojun[[#This Row],[DESPESA FIXA]])</f>
        <v>0</v>
      </c>
      <c r="U46" s="119" t="n">
        <f aca="false">SUMIFS(tabela_registros[VALOR],tabela_registros[MÊS],$AE$1,tabela_registros[DIA],juntotal3059718395[[#Headers],[17]],tabela_registros[REGISTRO],DADOS!$N$4,tabela_registros[TIPO],DADOS!$P$3,tabela_registros[CATEGORIA],despesafixaconsolidadojun[[#This Row],[DESPESA FIXA]])</f>
        <v>0</v>
      </c>
      <c r="V46" s="119" t="n">
        <f aca="false">SUMIFS(tabela_registros[VALOR],tabela_registros[MÊS],$AE$1,tabela_registros[DIA],juntotal3059718395[[#Headers],[18]],tabela_registros[REGISTRO],DADOS!$N$4,tabela_registros[TIPO],DADOS!$P$3,tabela_registros[CATEGORIA],despesafixaconsolidadojun[[#This Row],[DESPESA FIXA]])</f>
        <v>0</v>
      </c>
      <c r="W46" s="119" t="n">
        <f aca="false">SUMIFS(tabela_registros[VALOR],tabela_registros[MÊS],$AE$1,tabela_registros[DIA],juntotal3059718395[[#Headers],[19]],tabela_registros[REGISTRO],DADOS!$N$4,tabela_registros[TIPO],DADOS!$P$3,tabela_registros[CATEGORIA],despesafixaconsolidadojun[[#This Row],[DESPESA FIXA]])</f>
        <v>0</v>
      </c>
      <c r="X46" s="119" t="n">
        <f aca="false">SUMIFS(tabela_registros[VALOR],tabela_registros[MÊS],$AE$1,tabela_registros[DIA],juntotal3059718395[[#Headers],[20]],tabela_registros[REGISTRO],DADOS!$N$4,tabela_registros[TIPO],DADOS!$P$3,tabela_registros[CATEGORIA],despesafixaconsolidadojun[[#This Row],[DESPESA FIXA]])</f>
        <v>0</v>
      </c>
      <c r="Y46" s="119" t="n">
        <f aca="false">SUMIFS(tabela_registros[VALOR],tabela_registros[MÊS],$AE$1,tabela_registros[DIA],juntotal3059718395[[#Headers],[21]],tabela_registros[REGISTRO],DADOS!$N$4,tabela_registros[TIPO],DADOS!$P$3,tabela_registros[CATEGORIA],despesafixaconsolidadojun[[#This Row],[DESPESA FIXA]])</f>
        <v>0</v>
      </c>
      <c r="Z46" s="119" t="n">
        <f aca="false">SUMIFS(tabela_registros[VALOR],tabela_registros[MÊS],$AE$1,tabela_registros[DIA],juntotal3059718395[[#Headers],[22]],tabela_registros[REGISTRO],DADOS!$N$4,tabela_registros[TIPO],DADOS!$P$3,tabela_registros[CATEGORIA],despesafixaconsolidadojun[[#This Row],[DESPESA FIXA]])</f>
        <v>0</v>
      </c>
      <c r="AA46" s="119" t="n">
        <f aca="false">SUMIFS(tabela_registros[VALOR],tabela_registros[MÊS],$AE$1,tabela_registros[DIA],juntotal3059718395[[#Headers],[23]],tabela_registros[REGISTRO],DADOS!$N$4,tabela_registros[TIPO],DADOS!$P$3,tabela_registros[CATEGORIA],despesafixaconsolidadojun[[#This Row],[DESPESA FIXA]])</f>
        <v>0</v>
      </c>
      <c r="AB46" s="119" t="n">
        <f aca="false">SUMIFS(tabela_registros[VALOR],tabela_registros[MÊS],$AE$1,tabela_registros[DIA],juntotal3059718395[[#Headers],[24]],tabela_registros[REGISTRO],DADOS!$N$4,tabela_registros[TIPO],DADOS!$P$3,tabela_registros[CATEGORIA],despesafixaconsolidadojun[[#This Row],[DESPESA FIXA]])</f>
        <v>0</v>
      </c>
      <c r="AC46" s="119" t="n">
        <f aca="false">SUMIFS(tabela_registros[VALOR],tabela_registros[MÊS],$AE$1,tabela_registros[DIA],juntotal3059718395[[#Headers],[25]],tabela_registros[REGISTRO],DADOS!$N$4,tabela_registros[TIPO],DADOS!$P$3,tabela_registros[CATEGORIA],despesafixaconsolidadojun[[#This Row],[DESPESA FIXA]])</f>
        <v>0</v>
      </c>
      <c r="AD46" s="119" t="n">
        <f aca="false">SUMIFS(tabela_registros[VALOR],tabela_registros[MÊS],$AE$1,tabela_registros[DIA],juntotal3059718395[[#Headers],[26]],tabela_registros[REGISTRO],DADOS!$N$4,tabela_registros[TIPO],DADOS!$P$3,tabela_registros[CATEGORIA],despesafixaconsolidadojun[[#This Row],[DESPESA FIXA]])</f>
        <v>0</v>
      </c>
      <c r="AE46" s="119" t="n">
        <f aca="false">SUMIFS(tabela_registros[VALOR],tabela_registros[MÊS],$AE$1,tabela_registros[DIA],juntotal3059718395[[#Headers],[27]],tabela_registros[REGISTRO],DADOS!$N$4,tabela_registros[TIPO],DADOS!$P$3,tabela_registros[CATEGORIA],despesafixaconsolidadojun[[#This Row],[DESPESA FIXA]])</f>
        <v>0</v>
      </c>
      <c r="AF46" s="119" t="n">
        <f aca="false">SUMIFS(tabela_registros[VALOR],tabela_registros[MÊS],$AE$1,tabela_registros[DIA],juntotal3059718395[[#Headers],[28]],tabela_registros[REGISTRO],DADOS!$N$4,tabela_registros[TIPO],DADOS!$P$3,tabela_registros[CATEGORIA],despesafixaconsolidadojun[[#This Row],[DESPESA FIXA]])</f>
        <v>0</v>
      </c>
      <c r="AG46" s="119" t="n">
        <f aca="false">SUMIFS(tabela_registros[VALOR],tabela_registros[MÊS],$AE$1,tabela_registros[DIA],juntotal3059718395[[#Headers],[29]],tabela_registros[REGISTRO],DADOS!$N$4,tabela_registros[TIPO],DADOS!$P$3,tabela_registros[CATEGORIA],despesafixaconsolidadojun[[#This Row],[DESPESA FIXA]])</f>
        <v>0</v>
      </c>
      <c r="AH46" s="119" t="n">
        <f aca="false">SUMIFS(tabela_registros[VALOR],tabela_registros[MÊS],$AE$1,tabela_registros[DIA],juntotal3059718395[[#Headers],[30]],tabela_registros[REGISTRO],DADOS!$N$4,tabela_registros[TIPO],DADOS!$P$3,tabela_registros[CATEGORIA],despesafixaconsolidadojun[[#This Row],[DESPESA FIXA]])</f>
        <v>0</v>
      </c>
      <c r="AI46" s="217" t="n">
        <f aca="false">SUMIFS(tabela_registros[VALOR],tabela_registros[MÊS],$AE$1,tabela_registros[DIA],juntotal3059718395[[#Headers],[31]],tabela_registros[REGISTRO],DADOS!$N$4,tabela_registros[TIPO],DADOS!$P$3,tabela_registros[CATEGORIA],despesafixaconsolidadojun[[#This Row],[DESPESA FIXA]])</f>
        <v>0</v>
      </c>
      <c r="AJ46" s="149" t="n">
        <f aca="false">SUM(despesafixaconsolidadojun[[#This Row],[1]:[31]])</f>
        <v>0</v>
      </c>
      <c r="AK46" s="143"/>
    </row>
    <row r="47" customFormat="false" ht="18" hidden="false" customHeight="true" outlineLevel="0" collapsed="false">
      <c r="B47" s="143"/>
      <c r="C47" s="144" t="str">
        <f aca="false">DADOS!$R$13</f>
        <v>🏠 MORADIA</v>
      </c>
      <c r="D47" s="145" t="str">
        <f aca="false">IF(despesafixaconsolidadojun[[#This Row],[TOTAL]]=0,"",IF(OR(despesafixaconsolidadojun[[#This Row],[TOTAL]]=LARGE($AJ$37:$AJ$50,1),despesafixaconsolidadojun[[#This Row],[TOTAL]]=LARGE($AJ$37:$AJ$50,2),despesafixaconsolidadojun[[#This Row],[TOTAL]]=LARGE($AJ$37:$AJ$50,3),despesafixaconsolidadojun[[#This Row],[TOTAL]]=LARGE($AJ$37:$AJ$50,4),despesafixaconsolidadojun[[#This Row],[TOTAL]]=LARGE($AJ$37:$AJ$50,5)),DADOS!$I$8,""))</f>
        <v/>
      </c>
      <c r="E47" s="148" t="n">
        <f aca="false">SUMIFS(tabela_registros[VALOR],tabela_registros[MÊS],$AE$1,tabela_registros[DIA],juntotal3059718395[[#Headers],[1]],tabela_registros[REGISTRO],DADOS!$N$4,tabela_registros[TIPO],DADOS!$P$3,tabela_registros[CATEGORIA],despesafixaconsolidadojun[[#This Row],[DESPESA FIXA]])</f>
        <v>0</v>
      </c>
      <c r="F47" s="119" t="n">
        <f aca="false">SUMIFS(tabela_registros[VALOR],tabela_registros[MÊS],$AE$1,tabela_registros[DIA],juntotal3059718395[[#Headers],[2]],tabela_registros[REGISTRO],DADOS!$N$4,tabela_registros[TIPO],DADOS!$P$3,tabela_registros[CATEGORIA],despesafixaconsolidadojun[[#This Row],[DESPESA FIXA]])</f>
        <v>0</v>
      </c>
      <c r="G47" s="119" t="n">
        <f aca="false">SUMIFS(tabela_registros[VALOR],tabela_registros[MÊS],$AE$1,tabela_registros[DIA],juntotal3059718395[[#Headers],[3]],tabela_registros[REGISTRO],DADOS!$N$4,tabela_registros[TIPO],DADOS!$P$3,tabela_registros[CATEGORIA],despesafixaconsolidadojun[[#This Row],[DESPESA FIXA]])</f>
        <v>0</v>
      </c>
      <c r="H47" s="119" t="n">
        <f aca="false">SUMIFS(tabela_registros[VALOR],tabela_registros[MÊS],$AE$1,tabela_registros[DIA],juntotal3059718395[[#Headers],[4]],tabela_registros[REGISTRO],DADOS!$N$4,tabela_registros[TIPO],DADOS!$P$3,tabela_registros[CATEGORIA],despesafixaconsolidadojun[[#This Row],[DESPESA FIXA]])</f>
        <v>0</v>
      </c>
      <c r="I47" s="119" t="n">
        <f aca="false">SUMIFS(tabela_registros[VALOR],tabela_registros[MÊS],$AE$1,tabela_registros[DIA],juntotal3059718395[[#Headers],[5]],tabela_registros[REGISTRO],DADOS!$N$4,tabela_registros[TIPO],DADOS!$P$3,tabela_registros[CATEGORIA],despesafixaconsolidadojun[[#This Row],[DESPESA FIXA]])</f>
        <v>0</v>
      </c>
      <c r="J47" s="119" t="n">
        <f aca="false">SUMIFS(tabela_registros[VALOR],tabela_registros[MÊS],$AE$1,tabela_registros[DIA],juntotal3059718395[[#Headers],[6]],tabela_registros[REGISTRO],DADOS!$N$4,tabela_registros[TIPO],DADOS!$P$3,tabela_registros[CATEGORIA],despesafixaconsolidadojun[[#This Row],[DESPESA FIXA]])</f>
        <v>0</v>
      </c>
      <c r="K47" s="119" t="n">
        <f aca="false">SUMIFS(tabela_registros[VALOR],tabela_registros[MÊS],$AE$1,tabela_registros[DIA],juntotal3059718395[[#Headers],[7]],tabela_registros[REGISTRO],DADOS!$N$4,tabela_registros[TIPO],DADOS!$P$3,tabela_registros[CATEGORIA],despesafixaconsolidadojun[[#This Row],[DESPESA FIXA]])</f>
        <v>0</v>
      </c>
      <c r="L47" s="119" t="n">
        <f aca="false">SUMIFS(tabela_registros[VALOR],tabela_registros[MÊS],$AE$1,tabela_registros[DIA],juntotal3059718395[[#Headers],[8]],tabela_registros[REGISTRO],DADOS!$N$4,tabela_registros[TIPO],DADOS!$P$3,tabela_registros[CATEGORIA],despesafixaconsolidadojun[[#This Row],[DESPESA FIXA]])</f>
        <v>0</v>
      </c>
      <c r="M47" s="119" t="n">
        <f aca="false">SUMIFS(tabela_registros[VALOR],tabela_registros[MÊS],$AE$1,tabela_registros[DIA],juntotal3059718395[[#Headers],[9]],tabela_registros[REGISTRO],DADOS!$N$4,tabela_registros[TIPO],DADOS!$P$3,tabela_registros[CATEGORIA],despesafixaconsolidadojun[[#This Row],[DESPESA FIXA]])</f>
        <v>0</v>
      </c>
      <c r="N47" s="119" t="n">
        <f aca="false">SUMIFS(tabela_registros[VALOR],tabela_registros[MÊS],$AE$1,tabela_registros[DIA],juntotal3059718395[[#Headers],[10]],tabela_registros[REGISTRO],DADOS!$N$4,tabela_registros[TIPO],DADOS!$P$3,tabela_registros[CATEGORIA],despesafixaconsolidadojun[[#This Row],[DESPESA FIXA]])</f>
        <v>0</v>
      </c>
      <c r="O47" s="119" t="n">
        <f aca="false">SUMIFS(tabela_registros[VALOR],tabela_registros[MÊS],$AE$1,tabela_registros[DIA],juntotal3059718395[[#Headers],[11]],tabela_registros[REGISTRO],DADOS!$N$4,tabela_registros[TIPO],DADOS!$P$3,tabela_registros[CATEGORIA],despesafixaconsolidadojun[[#This Row],[DESPESA FIXA]])</f>
        <v>0</v>
      </c>
      <c r="P47" s="119" t="n">
        <f aca="false">SUMIFS(tabela_registros[VALOR],tabela_registros[MÊS],$AE$1,tabela_registros[DIA],juntotal3059718395[[#Headers],[12]],tabela_registros[REGISTRO],DADOS!$N$4,tabela_registros[TIPO],DADOS!$P$3,tabela_registros[CATEGORIA],despesafixaconsolidadojun[[#This Row],[DESPESA FIXA]])</f>
        <v>0</v>
      </c>
      <c r="Q47" s="119" t="n">
        <f aca="false">SUMIFS(tabela_registros[VALOR],tabela_registros[MÊS],$AE$1,tabela_registros[DIA],juntotal3059718395[[#Headers],[13]],tabela_registros[REGISTRO],DADOS!$N$4,tabela_registros[TIPO],DADOS!$P$3,tabela_registros[CATEGORIA],despesafixaconsolidadojun[[#This Row],[DESPESA FIXA]])</f>
        <v>0</v>
      </c>
      <c r="R47" s="119" t="n">
        <f aca="false">SUMIFS(tabela_registros[VALOR],tabela_registros[MÊS],$AE$1,tabela_registros[DIA],juntotal3059718395[[#Headers],[14]],tabela_registros[REGISTRO],DADOS!$N$4,tabela_registros[TIPO],DADOS!$P$3,tabela_registros[CATEGORIA],despesafixaconsolidadojun[[#This Row],[DESPESA FIXA]])</f>
        <v>0</v>
      </c>
      <c r="S47" s="119" t="n">
        <f aca="false">SUMIFS(tabela_registros[VALOR],tabela_registros[MÊS],$AE$1,tabela_registros[DIA],juntotal3059718395[[#Headers],[15]],tabela_registros[REGISTRO],DADOS!$N$4,tabela_registros[TIPO],DADOS!$P$3,tabela_registros[CATEGORIA],despesafixaconsolidadojun[[#This Row],[DESPESA FIXA]])</f>
        <v>0</v>
      </c>
      <c r="T47" s="119" t="n">
        <f aca="false">SUMIFS(tabela_registros[VALOR],tabela_registros[MÊS],$AE$1,tabela_registros[DIA],juntotal3059718395[[#Headers],[16]],tabela_registros[REGISTRO],DADOS!$N$4,tabela_registros[TIPO],DADOS!$P$3,tabela_registros[CATEGORIA],despesafixaconsolidadojun[[#This Row],[DESPESA FIXA]])</f>
        <v>0</v>
      </c>
      <c r="U47" s="119" t="n">
        <f aca="false">SUMIFS(tabela_registros[VALOR],tabela_registros[MÊS],$AE$1,tabela_registros[DIA],juntotal3059718395[[#Headers],[17]],tabela_registros[REGISTRO],DADOS!$N$4,tabela_registros[TIPO],DADOS!$P$3,tabela_registros[CATEGORIA],despesafixaconsolidadojun[[#This Row],[DESPESA FIXA]])</f>
        <v>0</v>
      </c>
      <c r="V47" s="119" t="n">
        <f aca="false">SUMIFS(tabela_registros[VALOR],tabela_registros[MÊS],$AE$1,tabela_registros[DIA],juntotal3059718395[[#Headers],[18]],tabela_registros[REGISTRO],DADOS!$N$4,tabela_registros[TIPO],DADOS!$P$3,tabela_registros[CATEGORIA],despesafixaconsolidadojun[[#This Row],[DESPESA FIXA]])</f>
        <v>0</v>
      </c>
      <c r="W47" s="119" t="n">
        <f aca="false">SUMIFS(tabela_registros[VALOR],tabela_registros[MÊS],$AE$1,tabela_registros[DIA],juntotal3059718395[[#Headers],[19]],tabela_registros[REGISTRO],DADOS!$N$4,tabela_registros[TIPO],DADOS!$P$3,tabela_registros[CATEGORIA],despesafixaconsolidadojun[[#This Row],[DESPESA FIXA]])</f>
        <v>0</v>
      </c>
      <c r="X47" s="119" t="n">
        <f aca="false">SUMIFS(tabela_registros[VALOR],tabela_registros[MÊS],$AE$1,tabela_registros[DIA],juntotal3059718395[[#Headers],[20]],tabela_registros[REGISTRO],DADOS!$N$4,tabela_registros[TIPO],DADOS!$P$3,tabela_registros[CATEGORIA],despesafixaconsolidadojun[[#This Row],[DESPESA FIXA]])</f>
        <v>0</v>
      </c>
      <c r="Y47" s="119" t="n">
        <f aca="false">SUMIFS(tabela_registros[VALOR],tabela_registros[MÊS],$AE$1,tabela_registros[DIA],juntotal3059718395[[#Headers],[21]],tabela_registros[REGISTRO],DADOS!$N$4,tabela_registros[TIPO],DADOS!$P$3,tabela_registros[CATEGORIA],despesafixaconsolidadojun[[#This Row],[DESPESA FIXA]])</f>
        <v>0</v>
      </c>
      <c r="Z47" s="119" t="n">
        <f aca="false">SUMIFS(tabela_registros[VALOR],tabela_registros[MÊS],$AE$1,tabela_registros[DIA],juntotal3059718395[[#Headers],[22]],tabela_registros[REGISTRO],DADOS!$N$4,tabela_registros[TIPO],DADOS!$P$3,tabela_registros[CATEGORIA],despesafixaconsolidadojun[[#This Row],[DESPESA FIXA]])</f>
        <v>0</v>
      </c>
      <c r="AA47" s="119" t="n">
        <f aca="false">SUMIFS(tabela_registros[VALOR],tabela_registros[MÊS],$AE$1,tabela_registros[DIA],juntotal3059718395[[#Headers],[23]],tabela_registros[REGISTRO],DADOS!$N$4,tabela_registros[TIPO],DADOS!$P$3,tabela_registros[CATEGORIA],despesafixaconsolidadojun[[#This Row],[DESPESA FIXA]])</f>
        <v>0</v>
      </c>
      <c r="AB47" s="119" t="n">
        <f aca="false">SUMIFS(tabela_registros[VALOR],tabela_registros[MÊS],$AE$1,tabela_registros[DIA],juntotal3059718395[[#Headers],[24]],tabela_registros[REGISTRO],DADOS!$N$4,tabela_registros[TIPO],DADOS!$P$3,tabela_registros[CATEGORIA],despesafixaconsolidadojun[[#This Row],[DESPESA FIXA]])</f>
        <v>0</v>
      </c>
      <c r="AC47" s="119" t="n">
        <f aca="false">SUMIFS(tabela_registros[VALOR],tabela_registros[MÊS],$AE$1,tabela_registros[DIA],juntotal3059718395[[#Headers],[25]],tabela_registros[REGISTRO],DADOS!$N$4,tabela_registros[TIPO],DADOS!$P$3,tabela_registros[CATEGORIA],despesafixaconsolidadojun[[#This Row],[DESPESA FIXA]])</f>
        <v>0</v>
      </c>
      <c r="AD47" s="119" t="n">
        <f aca="false">SUMIFS(tabela_registros[VALOR],tabela_registros[MÊS],$AE$1,tabela_registros[DIA],juntotal3059718395[[#Headers],[26]],tabela_registros[REGISTRO],DADOS!$N$4,tabela_registros[TIPO],DADOS!$P$3,tabela_registros[CATEGORIA],despesafixaconsolidadojun[[#This Row],[DESPESA FIXA]])</f>
        <v>0</v>
      </c>
      <c r="AE47" s="119" t="n">
        <f aca="false">SUMIFS(tabela_registros[VALOR],tabela_registros[MÊS],$AE$1,tabela_registros[DIA],juntotal3059718395[[#Headers],[27]],tabela_registros[REGISTRO],DADOS!$N$4,tabela_registros[TIPO],DADOS!$P$3,tabela_registros[CATEGORIA],despesafixaconsolidadojun[[#This Row],[DESPESA FIXA]])</f>
        <v>0</v>
      </c>
      <c r="AF47" s="119" t="n">
        <f aca="false">SUMIFS(tabela_registros[VALOR],tabela_registros[MÊS],$AE$1,tabela_registros[DIA],juntotal3059718395[[#Headers],[28]],tabela_registros[REGISTRO],DADOS!$N$4,tabela_registros[TIPO],DADOS!$P$3,tabela_registros[CATEGORIA],despesafixaconsolidadojun[[#This Row],[DESPESA FIXA]])</f>
        <v>0</v>
      </c>
      <c r="AG47" s="119" t="n">
        <f aca="false">SUMIFS(tabela_registros[VALOR],tabela_registros[MÊS],$AE$1,tabela_registros[DIA],juntotal3059718395[[#Headers],[29]],tabela_registros[REGISTRO],DADOS!$N$4,tabela_registros[TIPO],DADOS!$P$3,tabela_registros[CATEGORIA],despesafixaconsolidadojun[[#This Row],[DESPESA FIXA]])</f>
        <v>0</v>
      </c>
      <c r="AH47" s="119" t="n">
        <f aca="false">SUMIFS(tabela_registros[VALOR],tabela_registros[MÊS],$AE$1,tabela_registros[DIA],juntotal3059718395[[#Headers],[30]],tabela_registros[REGISTRO],DADOS!$N$4,tabela_registros[TIPO],DADOS!$P$3,tabela_registros[CATEGORIA],despesafixaconsolidadojun[[#This Row],[DESPESA FIXA]])</f>
        <v>0</v>
      </c>
      <c r="AI47" s="217" t="n">
        <f aca="false">SUMIFS(tabela_registros[VALOR],tabela_registros[MÊS],$AE$1,tabela_registros[DIA],juntotal3059718395[[#Headers],[31]],tabela_registros[REGISTRO],DADOS!$N$4,tabela_registros[TIPO],DADOS!$P$3,tabela_registros[CATEGORIA],despesafixaconsolidadojun[[#This Row],[DESPESA FIXA]])</f>
        <v>0</v>
      </c>
      <c r="AJ47" s="149" t="n">
        <f aca="false">SUM(despesafixaconsolidadojun[[#This Row],[1]:[31]])</f>
        <v>0</v>
      </c>
      <c r="AK47" s="143"/>
    </row>
    <row r="48" customFormat="false" ht="18" hidden="false" customHeight="true" outlineLevel="0" collapsed="false">
      <c r="B48" s="143"/>
      <c r="C48" s="144" t="str">
        <f aca="false">DADOS!$R$14</f>
        <v>💊 SAÚDE</v>
      </c>
      <c r="D48" s="145" t="str">
        <f aca="false">IF(despesafixaconsolidadojun[[#This Row],[TOTAL]]=0,"",IF(OR(despesafixaconsolidadojun[[#This Row],[TOTAL]]=LARGE($AJ$37:$AJ$50,1),despesafixaconsolidadojun[[#This Row],[TOTAL]]=LARGE($AJ$37:$AJ$50,2),despesafixaconsolidadojun[[#This Row],[TOTAL]]=LARGE($AJ$37:$AJ$50,3),despesafixaconsolidadojun[[#This Row],[TOTAL]]=LARGE($AJ$37:$AJ$50,4),despesafixaconsolidadojun[[#This Row],[TOTAL]]=LARGE($AJ$37:$AJ$50,5)),DADOS!$I$8,""))</f>
        <v/>
      </c>
      <c r="E48" s="148" t="n">
        <f aca="false">SUMIFS(tabela_registros[VALOR],tabela_registros[MÊS],$AE$1,tabela_registros[DIA],juntotal3059718395[[#Headers],[1]],tabela_registros[REGISTRO],DADOS!$N$4,tabela_registros[TIPO],DADOS!$P$3,tabela_registros[CATEGORIA],despesafixaconsolidadojun[[#This Row],[DESPESA FIXA]])</f>
        <v>0</v>
      </c>
      <c r="F48" s="119" t="n">
        <f aca="false">SUMIFS(tabela_registros[VALOR],tabela_registros[MÊS],$AE$1,tabela_registros[DIA],juntotal3059718395[[#Headers],[2]],tabela_registros[REGISTRO],DADOS!$N$4,tabela_registros[TIPO],DADOS!$P$3,tabela_registros[CATEGORIA],despesafixaconsolidadojun[[#This Row],[DESPESA FIXA]])</f>
        <v>0</v>
      </c>
      <c r="G48" s="119" t="n">
        <f aca="false">SUMIFS(tabela_registros[VALOR],tabela_registros[MÊS],$AE$1,tabela_registros[DIA],juntotal3059718395[[#Headers],[3]],tabela_registros[REGISTRO],DADOS!$N$4,tabela_registros[TIPO],DADOS!$P$3,tabela_registros[CATEGORIA],despesafixaconsolidadojun[[#This Row],[DESPESA FIXA]])</f>
        <v>0</v>
      </c>
      <c r="H48" s="119" t="n">
        <f aca="false">SUMIFS(tabela_registros[VALOR],tabela_registros[MÊS],$AE$1,tabela_registros[DIA],juntotal3059718395[[#Headers],[4]],tabela_registros[REGISTRO],DADOS!$N$4,tabela_registros[TIPO],DADOS!$P$3,tabela_registros[CATEGORIA],despesafixaconsolidadojun[[#This Row],[DESPESA FIXA]])</f>
        <v>0</v>
      </c>
      <c r="I48" s="119" t="n">
        <f aca="false">SUMIFS(tabela_registros[VALOR],tabela_registros[MÊS],$AE$1,tabela_registros[DIA],juntotal3059718395[[#Headers],[5]],tabela_registros[REGISTRO],DADOS!$N$4,tabela_registros[TIPO],DADOS!$P$3,tabela_registros[CATEGORIA],despesafixaconsolidadojun[[#This Row],[DESPESA FIXA]])</f>
        <v>0</v>
      </c>
      <c r="J48" s="119" t="n">
        <f aca="false">SUMIFS(tabela_registros[VALOR],tabela_registros[MÊS],$AE$1,tabela_registros[DIA],juntotal3059718395[[#Headers],[6]],tabela_registros[REGISTRO],DADOS!$N$4,tabela_registros[TIPO],DADOS!$P$3,tabela_registros[CATEGORIA],despesafixaconsolidadojun[[#This Row],[DESPESA FIXA]])</f>
        <v>0</v>
      </c>
      <c r="K48" s="119" t="n">
        <f aca="false">SUMIFS(tabela_registros[VALOR],tabela_registros[MÊS],$AE$1,tabela_registros[DIA],juntotal3059718395[[#Headers],[7]],tabela_registros[REGISTRO],DADOS!$N$4,tabela_registros[TIPO],DADOS!$P$3,tabela_registros[CATEGORIA],despesafixaconsolidadojun[[#This Row],[DESPESA FIXA]])</f>
        <v>0</v>
      </c>
      <c r="L48" s="119" t="n">
        <f aca="false">SUMIFS(tabela_registros[VALOR],tabela_registros[MÊS],$AE$1,tabela_registros[DIA],juntotal3059718395[[#Headers],[8]],tabela_registros[REGISTRO],DADOS!$N$4,tabela_registros[TIPO],DADOS!$P$3,tabela_registros[CATEGORIA],despesafixaconsolidadojun[[#This Row],[DESPESA FIXA]])</f>
        <v>0</v>
      </c>
      <c r="M48" s="119" t="n">
        <f aca="false">SUMIFS(tabela_registros[VALOR],tabela_registros[MÊS],$AE$1,tabela_registros[DIA],juntotal3059718395[[#Headers],[9]],tabela_registros[REGISTRO],DADOS!$N$4,tabela_registros[TIPO],DADOS!$P$3,tabela_registros[CATEGORIA],despesafixaconsolidadojun[[#This Row],[DESPESA FIXA]])</f>
        <v>0</v>
      </c>
      <c r="N48" s="119" t="n">
        <f aca="false">SUMIFS(tabela_registros[VALOR],tabela_registros[MÊS],$AE$1,tabela_registros[DIA],juntotal3059718395[[#Headers],[10]],tabela_registros[REGISTRO],DADOS!$N$4,tabela_registros[TIPO],DADOS!$P$3,tabela_registros[CATEGORIA],despesafixaconsolidadojun[[#This Row],[DESPESA FIXA]])</f>
        <v>0</v>
      </c>
      <c r="O48" s="119" t="n">
        <f aca="false">SUMIFS(tabela_registros[VALOR],tabela_registros[MÊS],$AE$1,tabela_registros[DIA],juntotal3059718395[[#Headers],[11]],tabela_registros[REGISTRO],DADOS!$N$4,tabela_registros[TIPO],DADOS!$P$3,tabela_registros[CATEGORIA],despesafixaconsolidadojun[[#This Row],[DESPESA FIXA]])</f>
        <v>0</v>
      </c>
      <c r="P48" s="119" t="n">
        <f aca="false">SUMIFS(tabela_registros[VALOR],tabela_registros[MÊS],$AE$1,tabela_registros[DIA],juntotal3059718395[[#Headers],[12]],tabela_registros[REGISTRO],DADOS!$N$4,tabela_registros[TIPO],DADOS!$P$3,tabela_registros[CATEGORIA],despesafixaconsolidadojun[[#This Row],[DESPESA FIXA]])</f>
        <v>0</v>
      </c>
      <c r="Q48" s="119" t="n">
        <f aca="false">SUMIFS(tabela_registros[VALOR],tabela_registros[MÊS],$AE$1,tabela_registros[DIA],juntotal3059718395[[#Headers],[13]],tabela_registros[REGISTRO],DADOS!$N$4,tabela_registros[TIPO],DADOS!$P$3,tabela_registros[CATEGORIA],despesafixaconsolidadojun[[#This Row],[DESPESA FIXA]])</f>
        <v>0</v>
      </c>
      <c r="R48" s="119" t="n">
        <f aca="false">SUMIFS(tabela_registros[VALOR],tabela_registros[MÊS],$AE$1,tabela_registros[DIA],juntotal3059718395[[#Headers],[14]],tabela_registros[REGISTRO],DADOS!$N$4,tabela_registros[TIPO],DADOS!$P$3,tabela_registros[CATEGORIA],despesafixaconsolidadojun[[#This Row],[DESPESA FIXA]])</f>
        <v>0</v>
      </c>
      <c r="S48" s="119" t="n">
        <f aca="false">SUMIFS(tabela_registros[VALOR],tabela_registros[MÊS],$AE$1,tabela_registros[DIA],juntotal3059718395[[#Headers],[15]],tabela_registros[REGISTRO],DADOS!$N$4,tabela_registros[TIPO],DADOS!$P$3,tabela_registros[CATEGORIA],despesafixaconsolidadojun[[#This Row],[DESPESA FIXA]])</f>
        <v>0</v>
      </c>
      <c r="T48" s="119" t="n">
        <f aca="false">SUMIFS(tabela_registros[VALOR],tabela_registros[MÊS],$AE$1,tabela_registros[DIA],juntotal3059718395[[#Headers],[16]],tabela_registros[REGISTRO],DADOS!$N$4,tabela_registros[TIPO],DADOS!$P$3,tabela_registros[CATEGORIA],despesafixaconsolidadojun[[#This Row],[DESPESA FIXA]])</f>
        <v>0</v>
      </c>
      <c r="U48" s="119" t="n">
        <f aca="false">SUMIFS(tabela_registros[VALOR],tabela_registros[MÊS],$AE$1,tabela_registros[DIA],juntotal3059718395[[#Headers],[17]],tabela_registros[REGISTRO],DADOS!$N$4,tabela_registros[TIPO],DADOS!$P$3,tabela_registros[CATEGORIA],despesafixaconsolidadojun[[#This Row],[DESPESA FIXA]])</f>
        <v>0</v>
      </c>
      <c r="V48" s="119" t="n">
        <f aca="false">SUMIFS(tabela_registros[VALOR],tabela_registros[MÊS],$AE$1,tabela_registros[DIA],juntotal3059718395[[#Headers],[18]],tabela_registros[REGISTRO],DADOS!$N$4,tabela_registros[TIPO],DADOS!$P$3,tabela_registros[CATEGORIA],despesafixaconsolidadojun[[#This Row],[DESPESA FIXA]])</f>
        <v>0</v>
      </c>
      <c r="W48" s="119" t="n">
        <f aca="false">SUMIFS(tabela_registros[VALOR],tabela_registros[MÊS],$AE$1,tabela_registros[DIA],juntotal3059718395[[#Headers],[19]],tabela_registros[REGISTRO],DADOS!$N$4,tabela_registros[TIPO],DADOS!$P$3,tabela_registros[CATEGORIA],despesafixaconsolidadojun[[#This Row],[DESPESA FIXA]])</f>
        <v>0</v>
      </c>
      <c r="X48" s="119" t="n">
        <f aca="false">SUMIFS(tabela_registros[VALOR],tabela_registros[MÊS],$AE$1,tabela_registros[DIA],juntotal3059718395[[#Headers],[20]],tabela_registros[REGISTRO],DADOS!$N$4,tabela_registros[TIPO],DADOS!$P$3,tabela_registros[CATEGORIA],despesafixaconsolidadojun[[#This Row],[DESPESA FIXA]])</f>
        <v>0</v>
      </c>
      <c r="Y48" s="119" t="n">
        <f aca="false">SUMIFS(tabela_registros[VALOR],tabela_registros[MÊS],$AE$1,tabela_registros[DIA],juntotal3059718395[[#Headers],[21]],tabela_registros[REGISTRO],DADOS!$N$4,tabela_registros[TIPO],DADOS!$P$3,tabela_registros[CATEGORIA],despesafixaconsolidadojun[[#This Row],[DESPESA FIXA]])</f>
        <v>0</v>
      </c>
      <c r="Z48" s="119" t="n">
        <f aca="false">SUMIFS(tabela_registros[VALOR],tabela_registros[MÊS],$AE$1,tabela_registros[DIA],juntotal3059718395[[#Headers],[22]],tabela_registros[REGISTRO],DADOS!$N$4,tabela_registros[TIPO],DADOS!$P$3,tabela_registros[CATEGORIA],despesafixaconsolidadojun[[#This Row],[DESPESA FIXA]])</f>
        <v>0</v>
      </c>
      <c r="AA48" s="119" t="n">
        <f aca="false">SUMIFS(tabela_registros[VALOR],tabela_registros[MÊS],$AE$1,tabela_registros[DIA],juntotal3059718395[[#Headers],[23]],tabela_registros[REGISTRO],DADOS!$N$4,tabela_registros[TIPO],DADOS!$P$3,tabela_registros[CATEGORIA],despesafixaconsolidadojun[[#This Row],[DESPESA FIXA]])</f>
        <v>0</v>
      </c>
      <c r="AB48" s="119" t="n">
        <f aca="false">SUMIFS(tabela_registros[VALOR],tabela_registros[MÊS],$AE$1,tabela_registros[DIA],juntotal3059718395[[#Headers],[24]],tabela_registros[REGISTRO],DADOS!$N$4,tabela_registros[TIPO],DADOS!$P$3,tabela_registros[CATEGORIA],despesafixaconsolidadojun[[#This Row],[DESPESA FIXA]])</f>
        <v>0</v>
      </c>
      <c r="AC48" s="119" t="n">
        <f aca="false">SUMIFS(tabela_registros[VALOR],tabela_registros[MÊS],$AE$1,tabela_registros[DIA],juntotal3059718395[[#Headers],[25]],tabela_registros[REGISTRO],DADOS!$N$4,tabela_registros[TIPO],DADOS!$P$3,tabela_registros[CATEGORIA],despesafixaconsolidadojun[[#This Row],[DESPESA FIXA]])</f>
        <v>0</v>
      </c>
      <c r="AD48" s="119" t="n">
        <f aca="false">SUMIFS(tabela_registros[VALOR],tabela_registros[MÊS],$AE$1,tabela_registros[DIA],juntotal3059718395[[#Headers],[26]],tabela_registros[REGISTRO],DADOS!$N$4,tabela_registros[TIPO],DADOS!$P$3,tabela_registros[CATEGORIA],despesafixaconsolidadojun[[#This Row],[DESPESA FIXA]])</f>
        <v>0</v>
      </c>
      <c r="AE48" s="119" t="n">
        <f aca="false">SUMIFS(tabela_registros[VALOR],tabela_registros[MÊS],$AE$1,tabela_registros[DIA],juntotal3059718395[[#Headers],[27]],tabela_registros[REGISTRO],DADOS!$N$4,tabela_registros[TIPO],DADOS!$P$3,tabela_registros[CATEGORIA],despesafixaconsolidadojun[[#This Row],[DESPESA FIXA]])</f>
        <v>0</v>
      </c>
      <c r="AF48" s="119" t="n">
        <f aca="false">SUMIFS(tabela_registros[VALOR],tabela_registros[MÊS],$AE$1,tabela_registros[DIA],juntotal3059718395[[#Headers],[28]],tabela_registros[REGISTRO],DADOS!$N$4,tabela_registros[TIPO],DADOS!$P$3,tabela_registros[CATEGORIA],despesafixaconsolidadojun[[#This Row],[DESPESA FIXA]])</f>
        <v>0</v>
      </c>
      <c r="AG48" s="119" t="n">
        <f aca="false">SUMIFS(tabela_registros[VALOR],tabela_registros[MÊS],$AE$1,tabela_registros[DIA],juntotal3059718395[[#Headers],[29]],tabela_registros[REGISTRO],DADOS!$N$4,tabela_registros[TIPO],DADOS!$P$3,tabela_registros[CATEGORIA],despesafixaconsolidadojun[[#This Row],[DESPESA FIXA]])</f>
        <v>0</v>
      </c>
      <c r="AH48" s="119" t="n">
        <f aca="false">SUMIFS(tabela_registros[VALOR],tabela_registros[MÊS],$AE$1,tabela_registros[DIA],juntotal3059718395[[#Headers],[30]],tabela_registros[REGISTRO],DADOS!$N$4,tabela_registros[TIPO],DADOS!$P$3,tabela_registros[CATEGORIA],despesafixaconsolidadojun[[#This Row],[DESPESA FIXA]])</f>
        <v>0</v>
      </c>
      <c r="AI48" s="217" t="n">
        <f aca="false">SUMIFS(tabela_registros[VALOR],tabela_registros[MÊS],$AE$1,tabela_registros[DIA],juntotal3059718395[[#Headers],[31]],tabela_registros[REGISTRO],DADOS!$N$4,tabela_registros[TIPO],DADOS!$P$3,tabela_registros[CATEGORIA],despesafixaconsolidadojun[[#This Row],[DESPESA FIXA]])</f>
        <v>0</v>
      </c>
      <c r="AJ48" s="149" t="n">
        <f aca="false">SUM(despesafixaconsolidadojun[[#This Row],[1]:[31]])</f>
        <v>0</v>
      </c>
      <c r="AK48" s="143"/>
    </row>
    <row r="49" customFormat="false" ht="18" hidden="false" customHeight="true" outlineLevel="0" collapsed="false">
      <c r="B49" s="143"/>
      <c r="C49" s="144" t="str">
        <f aca="false">DADOS!$R$15</f>
        <v>📞 TELEFONE</v>
      </c>
      <c r="D49" s="145" t="str">
        <f aca="false">IF(despesafixaconsolidadojun[[#This Row],[TOTAL]]=0,"",IF(OR(despesafixaconsolidadojun[[#This Row],[TOTAL]]=LARGE($AJ$37:$AJ$50,1),despesafixaconsolidadojun[[#This Row],[TOTAL]]=LARGE($AJ$37:$AJ$50,2),despesafixaconsolidadojun[[#This Row],[TOTAL]]=LARGE($AJ$37:$AJ$50,3),despesafixaconsolidadojun[[#This Row],[TOTAL]]=LARGE($AJ$37:$AJ$50,4),despesafixaconsolidadojun[[#This Row],[TOTAL]]=LARGE($AJ$37:$AJ$50,5)),DADOS!$I$8,""))</f>
        <v/>
      </c>
      <c r="E49" s="148" t="n">
        <f aca="false">SUMIFS(tabela_registros[VALOR],tabela_registros[MÊS],$AE$1,tabela_registros[DIA],juntotal3059718395[[#Headers],[1]],tabela_registros[REGISTRO],DADOS!$N$4,tabela_registros[TIPO],DADOS!$P$3,tabela_registros[CATEGORIA],despesafixaconsolidadojun[[#This Row],[DESPESA FIXA]])</f>
        <v>0</v>
      </c>
      <c r="F49" s="119" t="n">
        <f aca="false">SUMIFS(tabela_registros[VALOR],tabela_registros[MÊS],$AE$1,tabela_registros[DIA],juntotal3059718395[[#Headers],[2]],tabela_registros[REGISTRO],DADOS!$N$4,tabela_registros[TIPO],DADOS!$P$3,tabela_registros[CATEGORIA],despesafixaconsolidadojun[[#This Row],[DESPESA FIXA]])</f>
        <v>0</v>
      </c>
      <c r="G49" s="119" t="n">
        <f aca="false">SUMIFS(tabela_registros[VALOR],tabela_registros[MÊS],$AE$1,tabela_registros[DIA],juntotal3059718395[[#Headers],[3]],tabela_registros[REGISTRO],DADOS!$N$4,tabela_registros[TIPO],DADOS!$P$3,tabela_registros[CATEGORIA],despesafixaconsolidadojun[[#This Row],[DESPESA FIXA]])</f>
        <v>0</v>
      </c>
      <c r="H49" s="119" t="n">
        <f aca="false">SUMIFS(tabela_registros[VALOR],tabela_registros[MÊS],$AE$1,tabela_registros[DIA],juntotal3059718395[[#Headers],[4]],tabela_registros[REGISTRO],DADOS!$N$4,tabela_registros[TIPO],DADOS!$P$3,tabela_registros[CATEGORIA],despesafixaconsolidadojun[[#This Row],[DESPESA FIXA]])</f>
        <v>0</v>
      </c>
      <c r="I49" s="119" t="n">
        <f aca="false">SUMIFS(tabela_registros[VALOR],tabela_registros[MÊS],$AE$1,tabela_registros[DIA],juntotal3059718395[[#Headers],[5]],tabela_registros[REGISTRO],DADOS!$N$4,tabela_registros[TIPO],DADOS!$P$3,tabela_registros[CATEGORIA],despesafixaconsolidadojun[[#This Row],[DESPESA FIXA]])</f>
        <v>0</v>
      </c>
      <c r="J49" s="119" t="n">
        <f aca="false">SUMIFS(tabela_registros[VALOR],tabela_registros[MÊS],$AE$1,tabela_registros[DIA],juntotal3059718395[[#Headers],[6]],tabela_registros[REGISTRO],DADOS!$N$4,tabela_registros[TIPO],DADOS!$P$3,tabela_registros[CATEGORIA],despesafixaconsolidadojun[[#This Row],[DESPESA FIXA]])</f>
        <v>0</v>
      </c>
      <c r="K49" s="119" t="n">
        <f aca="false">SUMIFS(tabela_registros[VALOR],tabela_registros[MÊS],$AE$1,tabela_registros[DIA],juntotal3059718395[[#Headers],[7]],tabela_registros[REGISTRO],DADOS!$N$4,tabela_registros[TIPO],DADOS!$P$3,tabela_registros[CATEGORIA],despesafixaconsolidadojun[[#This Row],[DESPESA FIXA]])</f>
        <v>0</v>
      </c>
      <c r="L49" s="119" t="n">
        <f aca="false">SUMIFS(tabela_registros[VALOR],tabela_registros[MÊS],$AE$1,tabela_registros[DIA],juntotal3059718395[[#Headers],[8]],tabela_registros[REGISTRO],DADOS!$N$4,tabela_registros[TIPO],DADOS!$P$3,tabela_registros[CATEGORIA],despesafixaconsolidadojun[[#This Row],[DESPESA FIXA]])</f>
        <v>0</v>
      </c>
      <c r="M49" s="119" t="n">
        <f aca="false">SUMIFS(tabela_registros[VALOR],tabela_registros[MÊS],$AE$1,tabela_registros[DIA],juntotal3059718395[[#Headers],[9]],tabela_registros[REGISTRO],DADOS!$N$4,tabela_registros[TIPO],DADOS!$P$3,tabela_registros[CATEGORIA],despesafixaconsolidadojun[[#This Row],[DESPESA FIXA]])</f>
        <v>0</v>
      </c>
      <c r="N49" s="119" t="n">
        <f aca="false">SUMIFS(tabela_registros[VALOR],tabela_registros[MÊS],$AE$1,tabela_registros[DIA],juntotal3059718395[[#Headers],[10]],tabela_registros[REGISTRO],DADOS!$N$4,tabela_registros[TIPO],DADOS!$P$3,tabela_registros[CATEGORIA],despesafixaconsolidadojun[[#This Row],[DESPESA FIXA]])</f>
        <v>0</v>
      </c>
      <c r="O49" s="119" t="n">
        <f aca="false">SUMIFS(tabela_registros[VALOR],tabela_registros[MÊS],$AE$1,tabela_registros[DIA],juntotal3059718395[[#Headers],[11]],tabela_registros[REGISTRO],DADOS!$N$4,tabela_registros[TIPO],DADOS!$P$3,tabela_registros[CATEGORIA],despesafixaconsolidadojun[[#This Row],[DESPESA FIXA]])</f>
        <v>0</v>
      </c>
      <c r="P49" s="119" t="n">
        <f aca="false">SUMIFS(tabela_registros[VALOR],tabela_registros[MÊS],$AE$1,tabela_registros[DIA],juntotal3059718395[[#Headers],[12]],tabela_registros[REGISTRO],DADOS!$N$4,tabela_registros[TIPO],DADOS!$P$3,tabela_registros[CATEGORIA],despesafixaconsolidadojun[[#This Row],[DESPESA FIXA]])</f>
        <v>0</v>
      </c>
      <c r="Q49" s="119" t="n">
        <f aca="false">SUMIFS(tabela_registros[VALOR],tabela_registros[MÊS],$AE$1,tabela_registros[DIA],juntotal3059718395[[#Headers],[13]],tabela_registros[REGISTRO],DADOS!$N$4,tabela_registros[TIPO],DADOS!$P$3,tabela_registros[CATEGORIA],despesafixaconsolidadojun[[#This Row],[DESPESA FIXA]])</f>
        <v>0</v>
      </c>
      <c r="R49" s="119" t="n">
        <f aca="false">SUMIFS(tabela_registros[VALOR],tabela_registros[MÊS],$AE$1,tabela_registros[DIA],juntotal3059718395[[#Headers],[14]],tabela_registros[REGISTRO],DADOS!$N$4,tabela_registros[TIPO],DADOS!$P$3,tabela_registros[CATEGORIA],despesafixaconsolidadojun[[#This Row],[DESPESA FIXA]])</f>
        <v>0</v>
      </c>
      <c r="S49" s="119" t="n">
        <f aca="false">SUMIFS(tabela_registros[VALOR],tabela_registros[MÊS],$AE$1,tabela_registros[DIA],juntotal3059718395[[#Headers],[15]],tabela_registros[REGISTRO],DADOS!$N$4,tabela_registros[TIPO],DADOS!$P$3,tabela_registros[CATEGORIA],despesafixaconsolidadojun[[#This Row],[DESPESA FIXA]])</f>
        <v>0</v>
      </c>
      <c r="T49" s="119" t="n">
        <f aca="false">SUMIFS(tabela_registros[VALOR],tabela_registros[MÊS],$AE$1,tabela_registros[DIA],juntotal3059718395[[#Headers],[16]],tabela_registros[REGISTRO],DADOS!$N$4,tabela_registros[TIPO],DADOS!$P$3,tabela_registros[CATEGORIA],despesafixaconsolidadojun[[#This Row],[DESPESA FIXA]])</f>
        <v>0</v>
      </c>
      <c r="U49" s="119" t="n">
        <f aca="false">SUMIFS(tabela_registros[VALOR],tabela_registros[MÊS],$AE$1,tabela_registros[DIA],juntotal3059718395[[#Headers],[17]],tabela_registros[REGISTRO],DADOS!$N$4,tabela_registros[TIPO],DADOS!$P$3,tabela_registros[CATEGORIA],despesafixaconsolidadojun[[#This Row],[DESPESA FIXA]])</f>
        <v>0</v>
      </c>
      <c r="V49" s="119" t="n">
        <f aca="false">SUMIFS(tabela_registros[VALOR],tabela_registros[MÊS],$AE$1,tabela_registros[DIA],juntotal3059718395[[#Headers],[18]],tabela_registros[REGISTRO],DADOS!$N$4,tabela_registros[TIPO],DADOS!$P$3,tabela_registros[CATEGORIA],despesafixaconsolidadojun[[#This Row],[DESPESA FIXA]])</f>
        <v>0</v>
      </c>
      <c r="W49" s="119" t="n">
        <f aca="false">SUMIFS(tabela_registros[VALOR],tabela_registros[MÊS],$AE$1,tabela_registros[DIA],juntotal3059718395[[#Headers],[19]],tabela_registros[REGISTRO],DADOS!$N$4,tabela_registros[TIPO],DADOS!$P$3,tabela_registros[CATEGORIA],despesafixaconsolidadojun[[#This Row],[DESPESA FIXA]])</f>
        <v>0</v>
      </c>
      <c r="X49" s="119" t="n">
        <f aca="false">SUMIFS(tabela_registros[VALOR],tabela_registros[MÊS],$AE$1,tabela_registros[DIA],juntotal3059718395[[#Headers],[20]],tabela_registros[REGISTRO],DADOS!$N$4,tabela_registros[TIPO],DADOS!$P$3,tabela_registros[CATEGORIA],despesafixaconsolidadojun[[#This Row],[DESPESA FIXA]])</f>
        <v>0</v>
      </c>
      <c r="Y49" s="119" t="n">
        <f aca="false">SUMIFS(tabela_registros[VALOR],tabela_registros[MÊS],$AE$1,tabela_registros[DIA],juntotal3059718395[[#Headers],[21]],tabela_registros[REGISTRO],DADOS!$N$4,tabela_registros[TIPO],DADOS!$P$3,tabela_registros[CATEGORIA],despesafixaconsolidadojun[[#This Row],[DESPESA FIXA]])</f>
        <v>0</v>
      </c>
      <c r="Z49" s="119" t="n">
        <f aca="false">SUMIFS(tabela_registros[VALOR],tabela_registros[MÊS],$AE$1,tabela_registros[DIA],juntotal3059718395[[#Headers],[22]],tabela_registros[REGISTRO],DADOS!$N$4,tabela_registros[TIPO],DADOS!$P$3,tabela_registros[CATEGORIA],despesafixaconsolidadojun[[#This Row],[DESPESA FIXA]])</f>
        <v>0</v>
      </c>
      <c r="AA49" s="119" t="n">
        <f aca="false">SUMIFS(tabela_registros[VALOR],tabela_registros[MÊS],$AE$1,tabela_registros[DIA],juntotal3059718395[[#Headers],[23]],tabela_registros[REGISTRO],DADOS!$N$4,tabela_registros[TIPO],DADOS!$P$3,tabela_registros[CATEGORIA],despesafixaconsolidadojun[[#This Row],[DESPESA FIXA]])</f>
        <v>0</v>
      </c>
      <c r="AB49" s="119" t="n">
        <f aca="false">SUMIFS(tabela_registros[VALOR],tabela_registros[MÊS],$AE$1,tabela_registros[DIA],juntotal3059718395[[#Headers],[24]],tabela_registros[REGISTRO],DADOS!$N$4,tabela_registros[TIPO],DADOS!$P$3,tabela_registros[CATEGORIA],despesafixaconsolidadojun[[#This Row],[DESPESA FIXA]])</f>
        <v>0</v>
      </c>
      <c r="AC49" s="119" t="n">
        <f aca="false">SUMIFS(tabela_registros[VALOR],tabela_registros[MÊS],$AE$1,tabela_registros[DIA],juntotal3059718395[[#Headers],[25]],tabela_registros[REGISTRO],DADOS!$N$4,tabela_registros[TIPO],DADOS!$P$3,tabela_registros[CATEGORIA],despesafixaconsolidadojun[[#This Row],[DESPESA FIXA]])</f>
        <v>0</v>
      </c>
      <c r="AD49" s="119" t="n">
        <f aca="false">SUMIFS(tabela_registros[VALOR],tabela_registros[MÊS],$AE$1,tabela_registros[DIA],juntotal3059718395[[#Headers],[26]],tabela_registros[REGISTRO],DADOS!$N$4,tabela_registros[TIPO],DADOS!$P$3,tabela_registros[CATEGORIA],despesafixaconsolidadojun[[#This Row],[DESPESA FIXA]])</f>
        <v>0</v>
      </c>
      <c r="AE49" s="119" t="n">
        <f aca="false">SUMIFS(tabela_registros[VALOR],tabela_registros[MÊS],$AE$1,tabela_registros[DIA],juntotal3059718395[[#Headers],[27]],tabela_registros[REGISTRO],DADOS!$N$4,tabela_registros[TIPO],DADOS!$P$3,tabela_registros[CATEGORIA],despesafixaconsolidadojun[[#This Row],[DESPESA FIXA]])</f>
        <v>0</v>
      </c>
      <c r="AF49" s="119" t="n">
        <f aca="false">SUMIFS(tabela_registros[VALOR],tabela_registros[MÊS],$AE$1,tabela_registros[DIA],juntotal3059718395[[#Headers],[28]],tabela_registros[REGISTRO],DADOS!$N$4,tabela_registros[TIPO],DADOS!$P$3,tabela_registros[CATEGORIA],despesafixaconsolidadojun[[#This Row],[DESPESA FIXA]])</f>
        <v>0</v>
      </c>
      <c r="AG49" s="119" t="n">
        <f aca="false">SUMIFS(tabela_registros[VALOR],tabela_registros[MÊS],$AE$1,tabela_registros[DIA],juntotal3059718395[[#Headers],[29]],tabela_registros[REGISTRO],DADOS!$N$4,tabela_registros[TIPO],DADOS!$P$3,tabela_registros[CATEGORIA],despesafixaconsolidadojun[[#This Row],[DESPESA FIXA]])</f>
        <v>0</v>
      </c>
      <c r="AH49" s="119" t="n">
        <f aca="false">SUMIFS(tabela_registros[VALOR],tabela_registros[MÊS],$AE$1,tabela_registros[DIA],juntotal3059718395[[#Headers],[30]],tabela_registros[REGISTRO],DADOS!$N$4,tabela_registros[TIPO],DADOS!$P$3,tabela_registros[CATEGORIA],despesafixaconsolidadojun[[#This Row],[DESPESA FIXA]])</f>
        <v>0</v>
      </c>
      <c r="AI49" s="217" t="n">
        <f aca="false">SUMIFS(tabela_registros[VALOR],tabela_registros[MÊS],$AE$1,tabela_registros[DIA],juntotal3059718395[[#Headers],[31]],tabela_registros[REGISTRO],DADOS!$N$4,tabela_registros[TIPO],DADOS!$P$3,tabela_registros[CATEGORIA],despesafixaconsolidadojun[[#This Row],[DESPESA FIXA]])</f>
        <v>0</v>
      </c>
      <c r="AJ49" s="149" t="n">
        <f aca="false">SUM(despesafixaconsolidadojun[[#This Row],[1]:[31]])</f>
        <v>0</v>
      </c>
      <c r="AK49" s="143"/>
    </row>
    <row r="50" customFormat="false" ht="18" hidden="false" customHeight="true" outlineLevel="0" collapsed="false">
      <c r="B50" s="143"/>
      <c r="C50" s="144" t="str">
        <f aca="false">DADOS!$R$16</f>
        <v>📎 OUTROS</v>
      </c>
      <c r="D50" s="145" t="str">
        <f aca="false">IF(despesafixaconsolidadojun[[#This Row],[TOTAL]]=0,"",IF(OR(despesafixaconsolidadojun[[#This Row],[TOTAL]]=LARGE($AJ$37:$AJ$50,1),despesafixaconsolidadojun[[#This Row],[TOTAL]]=LARGE($AJ$37:$AJ$50,2),despesafixaconsolidadojun[[#This Row],[TOTAL]]=LARGE($AJ$37:$AJ$50,3),despesafixaconsolidadojun[[#This Row],[TOTAL]]=LARGE($AJ$37:$AJ$50,4),despesafixaconsolidadojun[[#This Row],[TOTAL]]=LARGE($AJ$37:$AJ$50,5)),DADOS!$I$8,""))</f>
        <v/>
      </c>
      <c r="E50" s="150" t="n">
        <f aca="false">SUMIFS(tabela_registros[VALOR],tabela_registros[MÊS],$AE$1,tabela_registros[DIA],juntotal3059718395[[#Headers],[1]],tabela_registros[REGISTRO],DADOS!$N$4,tabela_registros[TIPO],DADOS!$P$3,tabela_registros[CATEGORIA],despesafixaconsolidadojun[[#This Row],[DESPESA FIXA]])</f>
        <v>0</v>
      </c>
      <c r="F50" s="151" t="n">
        <f aca="false">SUMIFS(tabela_registros[VALOR],tabela_registros[MÊS],$AE$1,tabela_registros[DIA],juntotal3059718395[[#Headers],[2]],tabela_registros[REGISTRO],DADOS!$N$4,tabela_registros[TIPO],DADOS!$P$3,tabela_registros[CATEGORIA],despesafixaconsolidadojun[[#This Row],[DESPESA FIXA]])</f>
        <v>0</v>
      </c>
      <c r="G50" s="151" t="n">
        <f aca="false">SUMIFS(tabela_registros[VALOR],tabela_registros[MÊS],$AE$1,tabela_registros[DIA],juntotal3059718395[[#Headers],[3]],tabela_registros[REGISTRO],DADOS!$N$4,tabela_registros[TIPO],DADOS!$P$3,tabela_registros[CATEGORIA],despesafixaconsolidadojun[[#This Row],[DESPESA FIXA]])</f>
        <v>0</v>
      </c>
      <c r="H50" s="151" t="n">
        <f aca="false">SUMIFS(tabela_registros[VALOR],tabela_registros[MÊS],$AE$1,tabela_registros[DIA],juntotal3059718395[[#Headers],[4]],tabela_registros[REGISTRO],DADOS!$N$4,tabela_registros[TIPO],DADOS!$P$3,tabela_registros[CATEGORIA],despesafixaconsolidadojun[[#This Row],[DESPESA FIXA]])</f>
        <v>0</v>
      </c>
      <c r="I50" s="151" t="n">
        <f aca="false">SUMIFS(tabela_registros[VALOR],tabela_registros[MÊS],$AE$1,tabela_registros[DIA],juntotal3059718395[[#Headers],[5]],tabela_registros[REGISTRO],DADOS!$N$4,tabela_registros[TIPO],DADOS!$P$3,tabela_registros[CATEGORIA],despesafixaconsolidadojun[[#This Row],[DESPESA FIXA]])</f>
        <v>0</v>
      </c>
      <c r="J50" s="151" t="n">
        <f aca="false">SUMIFS(tabela_registros[VALOR],tabela_registros[MÊS],$AE$1,tabela_registros[DIA],juntotal3059718395[[#Headers],[6]],tabela_registros[REGISTRO],DADOS!$N$4,tabela_registros[TIPO],DADOS!$P$3,tabela_registros[CATEGORIA],despesafixaconsolidadojun[[#This Row],[DESPESA FIXA]])</f>
        <v>0</v>
      </c>
      <c r="K50" s="151" t="n">
        <f aca="false">SUMIFS(tabela_registros[VALOR],tabela_registros[MÊS],$AE$1,tabela_registros[DIA],juntotal3059718395[[#Headers],[7]],tabela_registros[REGISTRO],DADOS!$N$4,tabela_registros[TIPO],DADOS!$P$3,tabela_registros[CATEGORIA],despesafixaconsolidadojun[[#This Row],[DESPESA FIXA]])</f>
        <v>0</v>
      </c>
      <c r="L50" s="151" t="n">
        <f aca="false">SUMIFS(tabela_registros[VALOR],tabela_registros[MÊS],$AE$1,tabela_registros[DIA],juntotal3059718395[[#Headers],[8]],tabela_registros[REGISTRO],DADOS!$N$4,tabela_registros[TIPO],DADOS!$P$3,tabela_registros[CATEGORIA],despesafixaconsolidadojun[[#This Row],[DESPESA FIXA]])</f>
        <v>0</v>
      </c>
      <c r="M50" s="151" t="n">
        <f aca="false">SUMIFS(tabela_registros[VALOR],tabela_registros[MÊS],$AE$1,tabela_registros[DIA],juntotal3059718395[[#Headers],[9]],tabela_registros[REGISTRO],DADOS!$N$4,tabela_registros[TIPO],DADOS!$P$3,tabela_registros[CATEGORIA],despesafixaconsolidadojun[[#This Row],[DESPESA FIXA]])</f>
        <v>0</v>
      </c>
      <c r="N50" s="151" t="n">
        <f aca="false">SUMIFS(tabela_registros[VALOR],tabela_registros[MÊS],$AE$1,tabela_registros[DIA],juntotal3059718395[[#Headers],[10]],tabela_registros[REGISTRO],DADOS!$N$4,tabela_registros[TIPO],DADOS!$P$3,tabela_registros[CATEGORIA],despesafixaconsolidadojun[[#This Row],[DESPESA FIXA]])</f>
        <v>0</v>
      </c>
      <c r="O50" s="151" t="n">
        <f aca="false">SUMIFS(tabela_registros[VALOR],tabela_registros[MÊS],$AE$1,tabela_registros[DIA],juntotal3059718395[[#Headers],[11]],tabela_registros[REGISTRO],DADOS!$N$4,tabela_registros[TIPO],DADOS!$P$3,tabela_registros[CATEGORIA],despesafixaconsolidadojun[[#This Row],[DESPESA FIXA]])</f>
        <v>0</v>
      </c>
      <c r="P50" s="151" t="n">
        <f aca="false">SUMIFS(tabela_registros[VALOR],tabela_registros[MÊS],$AE$1,tabela_registros[DIA],juntotal3059718395[[#Headers],[12]],tabela_registros[REGISTRO],DADOS!$N$4,tabela_registros[TIPO],DADOS!$P$3,tabela_registros[CATEGORIA],despesafixaconsolidadojun[[#This Row],[DESPESA FIXA]])</f>
        <v>0</v>
      </c>
      <c r="Q50" s="151" t="n">
        <f aca="false">SUMIFS(tabela_registros[VALOR],tabela_registros[MÊS],$AE$1,tabela_registros[DIA],juntotal3059718395[[#Headers],[13]],tabela_registros[REGISTRO],DADOS!$N$4,tabela_registros[TIPO],DADOS!$P$3,tabela_registros[CATEGORIA],despesafixaconsolidadojun[[#This Row],[DESPESA FIXA]])</f>
        <v>0</v>
      </c>
      <c r="R50" s="151" t="n">
        <f aca="false">SUMIFS(tabela_registros[VALOR],tabela_registros[MÊS],$AE$1,tabela_registros[DIA],juntotal3059718395[[#Headers],[14]],tabela_registros[REGISTRO],DADOS!$N$4,tabela_registros[TIPO],DADOS!$P$3,tabela_registros[CATEGORIA],despesafixaconsolidadojun[[#This Row],[DESPESA FIXA]])</f>
        <v>0</v>
      </c>
      <c r="S50" s="151" t="n">
        <f aca="false">SUMIFS(tabela_registros[VALOR],tabela_registros[MÊS],$AE$1,tabela_registros[DIA],juntotal3059718395[[#Headers],[15]],tabela_registros[REGISTRO],DADOS!$N$4,tabela_registros[TIPO],DADOS!$P$3,tabela_registros[CATEGORIA],despesafixaconsolidadojun[[#This Row],[DESPESA FIXA]])</f>
        <v>0</v>
      </c>
      <c r="T50" s="151" t="n">
        <f aca="false">SUMIFS(tabela_registros[VALOR],tabela_registros[MÊS],$AE$1,tabela_registros[DIA],juntotal3059718395[[#Headers],[16]],tabela_registros[REGISTRO],DADOS!$N$4,tabela_registros[TIPO],DADOS!$P$3,tabela_registros[CATEGORIA],despesafixaconsolidadojun[[#This Row],[DESPESA FIXA]])</f>
        <v>0</v>
      </c>
      <c r="U50" s="151" t="n">
        <f aca="false">SUMIFS(tabela_registros[VALOR],tabela_registros[MÊS],$AE$1,tabela_registros[DIA],juntotal3059718395[[#Headers],[17]],tabela_registros[REGISTRO],DADOS!$N$4,tabela_registros[TIPO],DADOS!$P$3,tabela_registros[CATEGORIA],despesafixaconsolidadojun[[#This Row],[DESPESA FIXA]])</f>
        <v>0</v>
      </c>
      <c r="V50" s="151" t="n">
        <f aca="false">SUMIFS(tabela_registros[VALOR],tabela_registros[MÊS],$AE$1,tabela_registros[DIA],juntotal3059718395[[#Headers],[18]],tabela_registros[REGISTRO],DADOS!$N$4,tabela_registros[TIPO],DADOS!$P$3,tabela_registros[CATEGORIA],despesafixaconsolidadojun[[#This Row],[DESPESA FIXA]])</f>
        <v>0</v>
      </c>
      <c r="W50" s="151" t="n">
        <f aca="false">SUMIFS(tabela_registros[VALOR],tabela_registros[MÊS],$AE$1,tabela_registros[DIA],juntotal3059718395[[#Headers],[19]],tabela_registros[REGISTRO],DADOS!$N$4,tabela_registros[TIPO],DADOS!$P$3,tabela_registros[CATEGORIA],despesafixaconsolidadojun[[#This Row],[DESPESA FIXA]])</f>
        <v>0</v>
      </c>
      <c r="X50" s="151" t="n">
        <f aca="false">SUMIFS(tabela_registros[VALOR],tabela_registros[MÊS],$AE$1,tabela_registros[DIA],juntotal3059718395[[#Headers],[20]],tabela_registros[REGISTRO],DADOS!$N$4,tabela_registros[TIPO],DADOS!$P$3,tabela_registros[CATEGORIA],despesafixaconsolidadojun[[#This Row],[DESPESA FIXA]])</f>
        <v>0</v>
      </c>
      <c r="Y50" s="151" t="n">
        <f aca="false">SUMIFS(tabela_registros[VALOR],tabela_registros[MÊS],$AE$1,tabela_registros[DIA],juntotal3059718395[[#Headers],[21]],tabela_registros[REGISTRO],DADOS!$N$4,tabela_registros[TIPO],DADOS!$P$3,tabela_registros[CATEGORIA],despesafixaconsolidadojun[[#This Row],[DESPESA FIXA]])</f>
        <v>0</v>
      </c>
      <c r="Z50" s="151" t="n">
        <f aca="false">SUMIFS(tabela_registros[VALOR],tabela_registros[MÊS],$AE$1,tabela_registros[DIA],juntotal3059718395[[#Headers],[22]],tabela_registros[REGISTRO],DADOS!$N$4,tabela_registros[TIPO],DADOS!$P$3,tabela_registros[CATEGORIA],despesafixaconsolidadojun[[#This Row],[DESPESA FIXA]])</f>
        <v>0</v>
      </c>
      <c r="AA50" s="151" t="n">
        <f aca="false">SUMIFS(tabela_registros[VALOR],tabela_registros[MÊS],$AE$1,tabela_registros[DIA],juntotal3059718395[[#Headers],[23]],tabela_registros[REGISTRO],DADOS!$N$4,tabela_registros[TIPO],DADOS!$P$3,tabela_registros[CATEGORIA],despesafixaconsolidadojun[[#This Row],[DESPESA FIXA]])</f>
        <v>0</v>
      </c>
      <c r="AB50" s="151" t="n">
        <f aca="false">SUMIFS(tabela_registros[VALOR],tabela_registros[MÊS],$AE$1,tabela_registros[DIA],juntotal3059718395[[#Headers],[24]],tabela_registros[REGISTRO],DADOS!$N$4,tabela_registros[TIPO],DADOS!$P$3,tabela_registros[CATEGORIA],despesafixaconsolidadojun[[#This Row],[DESPESA FIXA]])</f>
        <v>0</v>
      </c>
      <c r="AC50" s="151" t="n">
        <f aca="false">SUMIFS(tabela_registros[VALOR],tabela_registros[MÊS],$AE$1,tabela_registros[DIA],juntotal3059718395[[#Headers],[25]],tabela_registros[REGISTRO],DADOS!$N$4,tabela_registros[TIPO],DADOS!$P$3,tabela_registros[CATEGORIA],despesafixaconsolidadojun[[#This Row],[DESPESA FIXA]])</f>
        <v>0</v>
      </c>
      <c r="AD50" s="151" t="n">
        <f aca="false">SUMIFS(tabela_registros[VALOR],tabela_registros[MÊS],$AE$1,tabela_registros[DIA],juntotal3059718395[[#Headers],[26]],tabela_registros[REGISTRO],DADOS!$N$4,tabela_registros[TIPO],DADOS!$P$3,tabela_registros[CATEGORIA],despesafixaconsolidadojun[[#This Row],[DESPESA FIXA]])</f>
        <v>0</v>
      </c>
      <c r="AE50" s="151" t="n">
        <f aca="false">SUMIFS(tabela_registros[VALOR],tabela_registros[MÊS],$AE$1,tabela_registros[DIA],juntotal3059718395[[#Headers],[27]],tabela_registros[REGISTRO],DADOS!$N$4,tabela_registros[TIPO],DADOS!$P$3,tabela_registros[CATEGORIA],despesafixaconsolidadojun[[#This Row],[DESPESA FIXA]])</f>
        <v>0</v>
      </c>
      <c r="AF50" s="151" t="n">
        <f aca="false">SUMIFS(tabela_registros[VALOR],tabela_registros[MÊS],$AE$1,tabela_registros[DIA],juntotal3059718395[[#Headers],[28]],tabela_registros[REGISTRO],DADOS!$N$4,tabela_registros[TIPO],DADOS!$P$3,tabela_registros[CATEGORIA],despesafixaconsolidadojun[[#This Row],[DESPESA FIXA]])</f>
        <v>0</v>
      </c>
      <c r="AG50" s="151" t="n">
        <f aca="false">SUMIFS(tabela_registros[VALOR],tabela_registros[MÊS],$AE$1,tabela_registros[DIA],juntotal3059718395[[#Headers],[29]],tabela_registros[REGISTRO],DADOS!$N$4,tabela_registros[TIPO],DADOS!$P$3,tabela_registros[CATEGORIA],despesafixaconsolidadojun[[#This Row],[DESPESA FIXA]])</f>
        <v>0</v>
      </c>
      <c r="AH50" s="151" t="n">
        <f aca="false">SUMIFS(tabela_registros[VALOR],tabela_registros[MÊS],$AE$1,tabela_registros[DIA],juntotal3059718395[[#Headers],[30]],tabela_registros[REGISTRO],DADOS!$N$4,tabela_registros[TIPO],DADOS!$P$3,tabela_registros[CATEGORIA],despesafixaconsolidadojun[[#This Row],[DESPESA FIXA]])</f>
        <v>0</v>
      </c>
      <c r="AI50" s="218" t="n">
        <f aca="false">SUMIFS(tabela_registros[VALOR],tabela_registros[MÊS],$AE$1,tabela_registros[DIA],juntotal3059718395[[#Headers],[31]],tabela_registros[REGISTRO],DADOS!$N$4,tabela_registros[TIPO],DADOS!$P$3,tabela_registros[CATEGORIA],despesafixaconsolidadojun[[#This Row],[DESPESA FIXA]])</f>
        <v>0</v>
      </c>
      <c r="AJ50" s="219" t="n">
        <f aca="false">SUM(despesafixaconsolidadojun[[#This Row],[1]:[31]])</f>
        <v>0</v>
      </c>
      <c r="AK50" s="143"/>
    </row>
    <row r="51" s="122" customFormat="true" ht="21" hidden="false" customHeight="true" outlineLevel="0" collapsed="false">
      <c r="B51" s="152"/>
      <c r="C51" s="153" t="s">
        <v>2</v>
      </c>
      <c r="D51" s="154" t="str">
        <f aca="false">IF(despesafixaconsolidadojun[[#This Row],[TOTAL]]=0,"",IF(OR(despesafixaconsolidadojun[[#This Row],[TOTAL]]=SMALL($AJ$37:$AJ$50,1),despesafixaconsolidadojun[[#This Row],[TOTAL]]=SMALL($AJ$37:$AJ$50,2),despesafixaconsolidadojun[[#This Row],[TOTAL]]=SMALL($AJ$37:$AJ$50,3),despesafixaconsolidadojun[[#This Row],[TOTAL]]=SMALL($AJ$37:$AJ$50,4),despesafixaconsolidadojun[[#This Row],[TOTAL]]=SMALL($AJ$37:$AJ$50,5)),DADOS!$I$8,""))</f>
        <v/>
      </c>
      <c r="E51" s="155" t="n">
        <f aca="false">SUM(E37:E50)</f>
        <v>0</v>
      </c>
      <c r="F51" s="156" t="n">
        <f aca="false">SUM(F37:F50)+despesafixaconsolidadojun[[#This Row],[1]]</f>
        <v>0</v>
      </c>
      <c r="G51" s="156" t="n">
        <f aca="false">SUM(G37:G50)+despesafixaconsolidadojun[[#This Row],[2]]</f>
        <v>0</v>
      </c>
      <c r="H51" s="156" t="n">
        <f aca="false">SUM(H37:H50)+despesafixaconsolidadojun[[#This Row],[3]]</f>
        <v>0</v>
      </c>
      <c r="I51" s="156" t="n">
        <f aca="false">SUM(I37:I50)+despesafixaconsolidadojun[[#This Row],[4]]</f>
        <v>0</v>
      </c>
      <c r="J51" s="156" t="n">
        <f aca="false">SUM(J37:J50)+despesafixaconsolidadojun[[#This Row],[5]]</f>
        <v>0</v>
      </c>
      <c r="K51" s="156" t="n">
        <f aca="false">SUM(K37:K50)+despesafixaconsolidadojun[[#This Row],[6]]</f>
        <v>0</v>
      </c>
      <c r="L51" s="156" t="n">
        <f aca="false">SUM(L37:L50)+despesafixaconsolidadojun[[#This Row],[7]]</f>
        <v>0</v>
      </c>
      <c r="M51" s="156" t="n">
        <f aca="false">SUM(M37:M50)+despesafixaconsolidadojun[[#This Row],[8]]</f>
        <v>0</v>
      </c>
      <c r="N51" s="156" t="n">
        <f aca="false">SUM(N37:N50)+despesafixaconsolidadojun[[#This Row],[9]]</f>
        <v>0</v>
      </c>
      <c r="O51" s="156" t="n">
        <f aca="false">SUM(O37:O50)+despesafixaconsolidadojun[[#This Row],[10]]</f>
        <v>0</v>
      </c>
      <c r="P51" s="156" t="n">
        <f aca="false">SUM(P37:P50)+despesafixaconsolidadojun[[#This Row],[11]]</f>
        <v>0</v>
      </c>
      <c r="Q51" s="156" t="n">
        <f aca="false">SUM(Q37:Q50)+despesafixaconsolidadojun[[#This Row],[12]]</f>
        <v>0</v>
      </c>
      <c r="R51" s="156" t="n">
        <f aca="false">SUM(R37:R50)+despesafixaconsolidadojun[[#This Row],[13]]</f>
        <v>0</v>
      </c>
      <c r="S51" s="156" t="n">
        <f aca="false">SUM(S37:S50)+despesafixaconsolidadojun[[#This Row],[14]]</f>
        <v>0</v>
      </c>
      <c r="T51" s="156" t="n">
        <f aca="false">SUM(T37:T50)+despesafixaconsolidadojun[[#This Row],[15]]</f>
        <v>0</v>
      </c>
      <c r="U51" s="156" t="n">
        <f aca="false">SUM(U37:U50)+despesafixaconsolidadojun[[#This Row],[16]]</f>
        <v>0</v>
      </c>
      <c r="V51" s="156" t="n">
        <f aca="false">SUM(V37:V50)+despesafixaconsolidadojun[[#This Row],[17]]</f>
        <v>0</v>
      </c>
      <c r="W51" s="156" t="n">
        <f aca="false">SUM(W37:W50)+despesafixaconsolidadojun[[#This Row],[18]]</f>
        <v>0</v>
      </c>
      <c r="X51" s="156" t="n">
        <f aca="false">SUM(X37:X50)+despesafixaconsolidadojun[[#This Row],[19]]</f>
        <v>0</v>
      </c>
      <c r="Y51" s="156" t="n">
        <f aca="false">SUM(Y37:Y50)+despesafixaconsolidadojun[[#This Row],[20]]</f>
        <v>0</v>
      </c>
      <c r="Z51" s="156" t="n">
        <f aca="false">SUM(Z37:Z50)+despesafixaconsolidadojun[[#This Row],[21]]</f>
        <v>0</v>
      </c>
      <c r="AA51" s="156" t="n">
        <f aca="false">SUM(AA37:AA50)+despesafixaconsolidadojun[[#This Row],[22]]</f>
        <v>0</v>
      </c>
      <c r="AB51" s="156" t="n">
        <f aca="false">SUM(AB37:AB50)+despesafixaconsolidadojun[[#This Row],[23]]</f>
        <v>0</v>
      </c>
      <c r="AC51" s="156" t="n">
        <f aca="false">SUM(AC37:AC50)+despesafixaconsolidadojun[[#This Row],[24]]</f>
        <v>0</v>
      </c>
      <c r="AD51" s="156" t="n">
        <f aca="false">SUM(AD37:AD50)+despesafixaconsolidadojun[[#This Row],[25]]</f>
        <v>0</v>
      </c>
      <c r="AE51" s="156" t="n">
        <f aca="false">SUM(AE37:AE50)+despesafixaconsolidadojun[[#This Row],[26]]</f>
        <v>0</v>
      </c>
      <c r="AF51" s="156" t="n">
        <f aca="false">SUM(AF37:AF50)+despesafixaconsolidadojun[[#This Row],[27]]</f>
        <v>0</v>
      </c>
      <c r="AG51" s="156" t="n">
        <f aca="false">SUM(AG37:AG50)+despesafixaconsolidadojun[[#This Row],[28]]</f>
        <v>0</v>
      </c>
      <c r="AH51" s="156" t="n">
        <f aca="false">SUM(AH37:AH50)+despesafixaconsolidadojun[[#This Row],[29]]</f>
        <v>0</v>
      </c>
      <c r="AI51" s="223" t="n">
        <f aca="false">SUM(AI37:AI50)+despesafixaconsolidadojun[[#This Row],[30]]</f>
        <v>0</v>
      </c>
      <c r="AJ51" s="157" t="n">
        <f aca="false">despesafixaconsolidadojun[[#This Row],[31]]</f>
        <v>0</v>
      </c>
      <c r="AK51" s="158"/>
    </row>
    <row r="52" customFormat="false" ht="6.75" hidden="false" customHeight="true" outlineLevel="0" collapsed="false">
      <c r="B52" s="97"/>
      <c r="C52" s="159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227"/>
      <c r="AJ52" s="97"/>
      <c r="AK52" s="244"/>
    </row>
    <row r="53" customFormat="false" ht="12.75" hidden="false" customHeight="false" outlineLevel="0" collapsed="false">
      <c r="C53" s="133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K53" s="100"/>
    </row>
    <row r="54" customFormat="false" ht="12" hidden="false" customHeight="false" outlineLevel="0" collapsed="false">
      <c r="C54" s="133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</row>
    <row r="55" customFormat="false" ht="12" hidden="false" customHeight="false" outlineLevel="0" collapsed="false">
      <c r="C55" s="133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</row>
    <row r="56" customFormat="false" ht="39.75" hidden="false" customHeight="true" outlineLevel="0" collapsed="false">
      <c r="C56" s="133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3" t="s">
        <v>2</v>
      </c>
    </row>
    <row r="57" s="78" customFormat="true" ht="11.25" hidden="false" customHeight="true" outlineLevel="0" collapsed="false">
      <c r="C57" s="101"/>
      <c r="AJ57" s="106" t="s">
        <v>64</v>
      </c>
    </row>
    <row r="58" customFormat="false" ht="6.75" hidden="false" customHeight="true" outlineLevel="0" collapsed="false">
      <c r="B58" s="139"/>
      <c r="C58" s="140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212"/>
      <c r="AK58" s="139"/>
    </row>
    <row r="59" customFormat="false" ht="12.75" hidden="true" customHeight="false" outlineLevel="0" collapsed="false">
      <c r="B59" s="86"/>
      <c r="C59" s="109" t="s">
        <v>79</v>
      </c>
      <c r="D59" s="110" t="s">
        <v>69</v>
      </c>
      <c r="E59" s="110" t="s">
        <v>30</v>
      </c>
      <c r="F59" s="110" t="s">
        <v>31</v>
      </c>
      <c r="G59" s="110" t="s">
        <v>32</v>
      </c>
      <c r="H59" s="110" t="s">
        <v>33</v>
      </c>
      <c r="I59" s="110" t="s">
        <v>34</v>
      </c>
      <c r="J59" s="110" t="s">
        <v>35</v>
      </c>
      <c r="K59" s="110" t="s">
        <v>36</v>
      </c>
      <c r="L59" s="110" t="s">
        <v>37</v>
      </c>
      <c r="M59" s="110" t="s">
        <v>38</v>
      </c>
      <c r="N59" s="110" t="s">
        <v>39</v>
      </c>
      <c r="O59" s="110" t="s">
        <v>40</v>
      </c>
      <c r="P59" s="110" t="s">
        <v>41</v>
      </c>
      <c r="Q59" s="110" t="s">
        <v>81</v>
      </c>
      <c r="R59" s="110" t="s">
        <v>82</v>
      </c>
      <c r="S59" s="110" t="s">
        <v>83</v>
      </c>
      <c r="T59" s="110" t="s">
        <v>84</v>
      </c>
      <c r="U59" s="110" t="s">
        <v>85</v>
      </c>
      <c r="V59" s="110" t="s">
        <v>86</v>
      </c>
      <c r="W59" s="110" t="s">
        <v>87</v>
      </c>
      <c r="X59" s="110" t="s">
        <v>88</v>
      </c>
      <c r="Y59" s="110" t="s">
        <v>89</v>
      </c>
      <c r="Z59" s="110" t="s">
        <v>90</v>
      </c>
      <c r="AA59" s="110" t="s">
        <v>91</v>
      </c>
      <c r="AB59" s="110" t="s">
        <v>92</v>
      </c>
      <c r="AC59" s="110" t="s">
        <v>93</v>
      </c>
      <c r="AD59" s="110" t="s">
        <v>94</v>
      </c>
      <c r="AE59" s="110" t="s">
        <v>95</v>
      </c>
      <c r="AF59" s="110" t="s">
        <v>96</v>
      </c>
      <c r="AG59" s="110" t="s">
        <v>97</v>
      </c>
      <c r="AH59" s="110" t="s">
        <v>98</v>
      </c>
      <c r="AI59" s="110" t="s">
        <v>99</v>
      </c>
      <c r="AJ59" s="142" t="s">
        <v>2</v>
      </c>
      <c r="AK59" s="86" t="s">
        <v>75</v>
      </c>
    </row>
    <row r="60" customFormat="false" ht="19.5" hidden="false" customHeight="true" outlineLevel="0" collapsed="false">
      <c r="B60" s="143"/>
      <c r="C60" s="144" t="str">
        <f aca="false">DADOS!$T$3</f>
        <v>🍕 ALIMENTAÇÃO</v>
      </c>
      <c r="D60" s="145" t="str">
        <f aca="false">IF(despesavariávelconsolidadojun[[#This Row],[TOTAL]]=0,"",IF(OR(despesavariávelconsolidadojun[[#This Row],[TOTAL]]=LARGE($AJ$60:$AJ$72,1),despesavariávelconsolidadojun[[#This Row],[TOTAL]]=LARGE($AJ$60:$AJ$72,2),despesavariávelconsolidadojun[[#This Row],[TOTAL]]=LARGE($AJ$60:$AJ$72,3),despesavariávelconsolidadojun[[#This Row],[TOTAL]]=LARGE($AJ$60:$AJ$72,4),despesavariávelconsolidadojun[[#This Row],[TOTAL]]=LARGE($AJ$60:$AJ$72,5)),DADOS!$I$8,""))</f>
        <v/>
      </c>
      <c r="E60" s="146" t="n">
        <f aca="false">SUMIFS(tabela_registros[VALOR],tabela_registros[MÊS],$AE$1,tabela_registros[DIA],juntotal3059718395[[#Headers],[1]],tabela_registros[REGISTRO],DADOS!$N$4,tabela_registros[TIPO],DADOS!$P$4,tabela_registros[CATEGORIA],despesavariávelconsolidadojun[[#This Row],[DESPESA VARIÁVEL]])</f>
        <v>0</v>
      </c>
      <c r="F60" s="114" t="n">
        <f aca="false">SUMIFS(tabela_registros[VALOR],tabela_registros[MÊS],$AE$1,tabela_registros[DIA],juntotal3059718395[[#Headers],[2]],tabela_registros[REGISTRO],DADOS!$N$4,tabela_registros[TIPO],DADOS!$P$4,tabela_registros[CATEGORIA],despesavariávelconsolidadojun[[#This Row],[DESPESA VARIÁVEL]])</f>
        <v>0</v>
      </c>
      <c r="G60" s="114" t="n">
        <f aca="false">SUMIFS(tabela_registros[VALOR],tabela_registros[MÊS],$AE$1,tabela_registros[DIA],juntotal3059718395[[#Headers],[3]],tabela_registros[REGISTRO],DADOS!$N$4,tabela_registros[TIPO],DADOS!$P$4,tabela_registros[CATEGORIA],despesavariávelconsolidadojun[[#This Row],[DESPESA VARIÁVEL]])</f>
        <v>0</v>
      </c>
      <c r="H60" s="114" t="n">
        <f aca="false">SUMIFS(tabela_registros[VALOR],tabela_registros[MÊS],$AE$1,tabela_registros[DIA],juntotal3059718395[[#Headers],[4]],tabela_registros[REGISTRO],DADOS!$N$4,tabela_registros[TIPO],DADOS!$P$4,tabela_registros[CATEGORIA],despesavariávelconsolidadojun[[#This Row],[DESPESA VARIÁVEL]])</f>
        <v>0</v>
      </c>
      <c r="I60" s="114" t="n">
        <f aca="false">SUMIFS(tabela_registros[VALOR],tabela_registros[MÊS],$AE$1,tabela_registros[DIA],juntotal3059718395[[#Headers],[5]],tabela_registros[REGISTRO],DADOS!$N$4,tabela_registros[TIPO],DADOS!$P$4,tabela_registros[CATEGORIA],despesavariávelconsolidadojun[[#This Row],[DESPESA VARIÁVEL]])</f>
        <v>0</v>
      </c>
      <c r="J60" s="114" t="n">
        <f aca="false">SUMIFS(tabela_registros[VALOR],tabela_registros[MÊS],$AE$1,tabela_registros[DIA],juntotal3059718395[[#Headers],[6]],tabela_registros[REGISTRO],DADOS!$N$4,tabela_registros[TIPO],DADOS!$P$4,tabela_registros[CATEGORIA],despesavariávelconsolidadojun[[#This Row],[DESPESA VARIÁVEL]])</f>
        <v>0</v>
      </c>
      <c r="K60" s="114" t="n">
        <f aca="false">SUMIFS(tabela_registros[VALOR],tabela_registros[MÊS],$AE$1,tabela_registros[DIA],juntotal3059718395[[#Headers],[7]],tabela_registros[REGISTRO],DADOS!$N$4,tabela_registros[TIPO],DADOS!$P$4,tabela_registros[CATEGORIA],despesavariávelconsolidadojun[[#This Row],[DESPESA VARIÁVEL]])</f>
        <v>0</v>
      </c>
      <c r="L60" s="114" t="n">
        <f aca="false">SUMIFS(tabela_registros[VALOR],tabela_registros[MÊS],$AE$1,tabela_registros[DIA],juntotal3059718395[[#Headers],[8]],tabela_registros[REGISTRO],DADOS!$N$4,tabela_registros[TIPO],DADOS!$P$4,tabela_registros[CATEGORIA],despesavariávelconsolidadojun[[#This Row],[DESPESA VARIÁVEL]])</f>
        <v>0</v>
      </c>
      <c r="M60" s="114" t="n">
        <f aca="false">SUMIFS(tabela_registros[VALOR],tabela_registros[MÊS],$AE$1,tabela_registros[DIA],juntotal3059718395[[#Headers],[9]],tabela_registros[REGISTRO],DADOS!$N$4,tabela_registros[TIPO],DADOS!$P$4,tabela_registros[CATEGORIA],despesavariávelconsolidadojun[[#This Row],[DESPESA VARIÁVEL]])</f>
        <v>0</v>
      </c>
      <c r="N60" s="114" t="n">
        <f aca="false">SUMIFS(tabela_registros[VALOR],tabela_registros[MÊS],$AE$1,tabela_registros[DIA],juntotal3059718395[[#Headers],[10]],tabela_registros[REGISTRO],DADOS!$N$4,tabela_registros[TIPO],DADOS!$P$4,tabela_registros[CATEGORIA],despesavariávelconsolidadojun[[#This Row],[DESPESA VARIÁVEL]])</f>
        <v>0</v>
      </c>
      <c r="O60" s="114" t="n">
        <f aca="false">SUMIFS(tabela_registros[VALOR],tabela_registros[MÊS],$AE$1,tabela_registros[DIA],juntotal3059718395[[#Headers],[11]],tabela_registros[REGISTRO],DADOS!$N$4,tabela_registros[TIPO],DADOS!$P$4,tabela_registros[CATEGORIA],despesavariávelconsolidadojun[[#This Row],[DESPESA VARIÁVEL]])</f>
        <v>0</v>
      </c>
      <c r="P60" s="114" t="n">
        <f aca="false">SUMIFS(tabela_registros[VALOR],tabela_registros[MÊS],$AE$1,tabela_registros[DIA],juntotal3059718395[[#Headers],[12]],tabela_registros[REGISTRO],DADOS!$N$4,tabela_registros[TIPO],DADOS!$P$4,tabela_registros[CATEGORIA],despesavariávelconsolidadojun[[#This Row],[DESPESA VARIÁVEL]])</f>
        <v>0</v>
      </c>
      <c r="Q60" s="114" t="n">
        <f aca="false">SUMIFS(tabela_registros[VALOR],tabela_registros[MÊS],$AE$1,tabela_registros[DIA],juntotal3059718395[[#Headers],[13]],tabela_registros[REGISTRO],DADOS!$N$4,tabela_registros[TIPO],DADOS!$P$4,tabela_registros[CATEGORIA],despesavariávelconsolidadojun[[#This Row],[DESPESA VARIÁVEL]])</f>
        <v>0</v>
      </c>
      <c r="R60" s="114" t="n">
        <f aca="false">SUMIFS(tabela_registros[VALOR],tabela_registros[MÊS],$AE$1,tabela_registros[DIA],juntotal3059718395[[#Headers],[14]],tabela_registros[REGISTRO],DADOS!$N$4,tabela_registros[TIPO],DADOS!$P$4,tabela_registros[CATEGORIA],despesavariávelconsolidadojun[[#This Row],[DESPESA VARIÁVEL]])</f>
        <v>0</v>
      </c>
      <c r="S60" s="114" t="n">
        <f aca="false">SUMIFS(tabela_registros[VALOR],tabela_registros[MÊS],$AE$1,tabela_registros[DIA],juntotal3059718395[[#Headers],[15]],tabela_registros[REGISTRO],DADOS!$N$4,tabela_registros[TIPO],DADOS!$P$4,tabela_registros[CATEGORIA],despesavariávelconsolidadojun[[#This Row],[DESPESA VARIÁVEL]])</f>
        <v>0</v>
      </c>
      <c r="T60" s="114" t="n">
        <f aca="false">SUMIFS(tabela_registros[VALOR],tabela_registros[MÊS],$AE$1,tabela_registros[DIA],juntotal3059718395[[#Headers],[16]],tabela_registros[REGISTRO],DADOS!$N$4,tabela_registros[TIPO],DADOS!$P$4,tabela_registros[CATEGORIA],despesavariávelconsolidadojun[[#This Row],[DESPESA VARIÁVEL]])</f>
        <v>0</v>
      </c>
      <c r="U60" s="114" t="n">
        <f aca="false">SUMIFS(tabela_registros[VALOR],tabela_registros[MÊS],$AE$1,tabela_registros[DIA],juntotal3059718395[[#Headers],[17]],tabela_registros[REGISTRO],DADOS!$N$4,tabela_registros[TIPO],DADOS!$P$4,tabela_registros[CATEGORIA],despesavariávelconsolidadojun[[#This Row],[DESPESA VARIÁVEL]])</f>
        <v>0</v>
      </c>
      <c r="V60" s="114" t="n">
        <f aca="false">SUMIFS(tabela_registros[VALOR],tabela_registros[MÊS],$AE$1,tabela_registros[DIA],juntotal3059718395[[#Headers],[18]],tabela_registros[REGISTRO],DADOS!$N$4,tabela_registros[TIPO],DADOS!$P$4,tabela_registros[CATEGORIA],despesavariávelconsolidadojun[[#This Row],[DESPESA VARIÁVEL]])</f>
        <v>0</v>
      </c>
      <c r="W60" s="114" t="n">
        <f aca="false">SUMIFS(tabela_registros[VALOR],tabela_registros[MÊS],$AE$1,tabela_registros[DIA],juntotal3059718395[[#Headers],[19]],tabela_registros[REGISTRO],DADOS!$N$4,tabela_registros[TIPO],DADOS!$P$4,tabela_registros[CATEGORIA],despesavariávelconsolidadojun[[#This Row],[DESPESA VARIÁVEL]])</f>
        <v>0</v>
      </c>
      <c r="X60" s="114" t="n">
        <f aca="false">SUMIFS(tabela_registros[VALOR],tabela_registros[MÊS],$AE$1,tabela_registros[DIA],juntotal3059718395[[#Headers],[20]],tabela_registros[REGISTRO],DADOS!$N$4,tabela_registros[TIPO],DADOS!$P$4,tabela_registros[CATEGORIA],despesavariávelconsolidadojun[[#This Row],[DESPESA VARIÁVEL]])</f>
        <v>0</v>
      </c>
      <c r="Y60" s="114" t="n">
        <f aca="false">SUMIFS(tabela_registros[VALOR],tabela_registros[MÊS],$AE$1,tabela_registros[DIA],juntotal3059718395[[#Headers],[21]],tabela_registros[REGISTRO],DADOS!$N$4,tabela_registros[TIPO],DADOS!$P$4,tabela_registros[CATEGORIA],despesavariávelconsolidadojun[[#This Row],[DESPESA VARIÁVEL]])</f>
        <v>0</v>
      </c>
      <c r="Z60" s="114" t="n">
        <f aca="false">SUMIFS(tabela_registros[VALOR],tabela_registros[MÊS],$AE$1,tabela_registros[DIA],juntotal3059718395[[#Headers],[22]],tabela_registros[REGISTRO],DADOS!$N$4,tabela_registros[TIPO],DADOS!$P$4,tabela_registros[CATEGORIA],despesavariávelconsolidadojun[[#This Row],[DESPESA VARIÁVEL]])</f>
        <v>0</v>
      </c>
      <c r="AA60" s="114" t="n">
        <f aca="false">SUMIFS(tabela_registros[VALOR],tabela_registros[MÊS],$AE$1,tabela_registros[DIA],juntotal3059718395[[#Headers],[23]],tabela_registros[REGISTRO],DADOS!$N$4,tabela_registros[TIPO],DADOS!$P$4,tabela_registros[CATEGORIA],despesavariávelconsolidadojun[[#This Row],[DESPESA VARIÁVEL]])</f>
        <v>0</v>
      </c>
      <c r="AB60" s="114" t="n">
        <f aca="false">SUMIFS(tabela_registros[VALOR],tabela_registros[MÊS],$AE$1,tabela_registros[DIA],juntotal3059718395[[#Headers],[24]],tabela_registros[REGISTRO],DADOS!$N$4,tabela_registros[TIPO],DADOS!$P$4,tabela_registros[CATEGORIA],despesavariávelconsolidadojun[[#This Row],[DESPESA VARIÁVEL]])</f>
        <v>0</v>
      </c>
      <c r="AC60" s="114" t="n">
        <f aca="false">SUMIFS(tabela_registros[VALOR],tabela_registros[MÊS],$AE$1,tabela_registros[DIA],juntotal3059718395[[#Headers],[25]],tabela_registros[REGISTRO],DADOS!$N$4,tabela_registros[TIPO],DADOS!$P$4,tabela_registros[CATEGORIA],despesavariávelconsolidadojun[[#This Row],[DESPESA VARIÁVEL]])</f>
        <v>0</v>
      </c>
      <c r="AD60" s="114" t="n">
        <f aca="false">SUMIFS(tabela_registros[VALOR],tabela_registros[MÊS],$AE$1,tabela_registros[DIA],juntotal3059718395[[#Headers],[26]],tabela_registros[REGISTRO],DADOS!$N$4,tabela_registros[TIPO],DADOS!$P$4,tabela_registros[CATEGORIA],despesavariávelconsolidadojun[[#This Row],[DESPESA VARIÁVEL]])</f>
        <v>0</v>
      </c>
      <c r="AE60" s="114" t="n">
        <f aca="false">SUMIFS(tabela_registros[VALOR],tabela_registros[MÊS],$AE$1,tabela_registros[DIA],juntotal3059718395[[#Headers],[27]],tabela_registros[REGISTRO],DADOS!$N$4,tabela_registros[TIPO],DADOS!$P$4,tabela_registros[CATEGORIA],despesavariávelconsolidadojun[[#This Row],[DESPESA VARIÁVEL]])</f>
        <v>0</v>
      </c>
      <c r="AF60" s="114" t="n">
        <f aca="false">SUMIFS(tabela_registros[VALOR],tabela_registros[MÊS],$AE$1,tabela_registros[DIA],juntotal3059718395[[#Headers],[28]],tabela_registros[REGISTRO],DADOS!$N$4,tabela_registros[TIPO],DADOS!$P$4,tabela_registros[CATEGORIA],despesavariávelconsolidadojun[[#This Row],[DESPESA VARIÁVEL]])</f>
        <v>0</v>
      </c>
      <c r="AG60" s="114" t="n">
        <f aca="false">SUMIFS(tabela_registros[VALOR],tabela_registros[MÊS],$AE$1,tabela_registros[DIA],juntotal3059718395[[#Headers],[29]],tabela_registros[REGISTRO],DADOS!$N$4,tabela_registros[TIPO],DADOS!$P$4,tabela_registros[CATEGORIA],despesavariávelconsolidadojun[[#This Row],[DESPESA VARIÁVEL]])</f>
        <v>0</v>
      </c>
      <c r="AH60" s="114" t="n">
        <f aca="false">SUMIFS(tabela_registros[VALOR],tabela_registros[MÊS],$AE$1,tabela_registros[DIA],juntotal3059718395[[#Headers],[30]],tabela_registros[REGISTRO],DADOS!$N$4,tabela_registros[TIPO],DADOS!$P$4,tabela_registros[CATEGORIA],despesavariávelconsolidadojun[[#This Row],[DESPESA VARIÁVEL]])</f>
        <v>0</v>
      </c>
      <c r="AI60" s="216" t="n">
        <f aca="false">SUMIFS(tabela_registros[VALOR],tabela_registros[MÊS],$AE$1,tabela_registros[DIA],juntotal3059718395[[#Headers],[31]],tabela_registros[REGISTRO],DADOS!$N$4,tabela_registros[TIPO],DADOS!$P$4,tabela_registros[CATEGORIA],despesavariávelconsolidadojun[[#This Row],[DESPESA VARIÁVEL]])</f>
        <v>0</v>
      </c>
      <c r="AJ60" s="147" t="n">
        <f aca="false">SUM(despesavariávelconsolidadojun[[#This Row],[1]:[31]])</f>
        <v>0</v>
      </c>
      <c r="AK60" s="143"/>
    </row>
    <row r="61" customFormat="false" ht="18" hidden="false" customHeight="true" outlineLevel="0" collapsed="false">
      <c r="B61" s="143"/>
      <c r="C61" s="144" t="str">
        <f aca="false">DADOS!$T$4</f>
        <v>💳 CARTÃO DE CRÉDITO</v>
      </c>
      <c r="D61" s="145" t="str">
        <f aca="false">IF(despesavariávelconsolidadojun[[#This Row],[TOTAL]]=0,"",IF(OR(despesavariávelconsolidadojun[[#This Row],[TOTAL]]=LARGE($AJ$60:$AJ$72,1),despesavariávelconsolidadojun[[#This Row],[TOTAL]]=LARGE($AJ$60:$AJ$72,2),despesavariávelconsolidadojun[[#This Row],[TOTAL]]=LARGE($AJ$60:$AJ$72,3),despesavariávelconsolidadojun[[#This Row],[TOTAL]]=LARGE($AJ$60:$AJ$72,4),despesavariávelconsolidadojun[[#This Row],[TOTAL]]=LARGE($AJ$60:$AJ$72,5)),DADOS!$I$8,""))</f>
        <v/>
      </c>
      <c r="E61" s="148" t="n">
        <f aca="false">SUMIFS(tabela_registros[VALOR],tabela_registros[MÊS],$AE$1,tabela_registros[DIA],juntotal3059718395[[#Headers],[1]],tabela_registros[REGISTRO],DADOS!$N$4,tabela_registros[TIPO],DADOS!$P$4,tabela_registros[CATEGORIA],despesavariávelconsolidadojun[[#This Row],[DESPESA VARIÁVEL]])</f>
        <v>0</v>
      </c>
      <c r="F61" s="119" t="n">
        <f aca="false">SUMIFS(tabela_registros[VALOR],tabela_registros[MÊS],$AE$1,tabela_registros[DIA],juntotal3059718395[[#Headers],[2]],tabela_registros[REGISTRO],DADOS!$N$4,tabela_registros[TIPO],DADOS!$P$4,tabela_registros[CATEGORIA],despesavariávelconsolidadojun[[#This Row],[DESPESA VARIÁVEL]])</f>
        <v>0</v>
      </c>
      <c r="G61" s="119" t="n">
        <f aca="false">SUMIFS(tabela_registros[VALOR],tabela_registros[MÊS],$AE$1,tabela_registros[DIA],juntotal3059718395[[#Headers],[3]],tabela_registros[REGISTRO],DADOS!$N$4,tabela_registros[TIPO],DADOS!$P$4,tabela_registros[CATEGORIA],despesavariávelconsolidadojun[[#This Row],[DESPESA VARIÁVEL]])</f>
        <v>0</v>
      </c>
      <c r="H61" s="119" t="n">
        <f aca="false">SUMIFS(tabela_registros[VALOR],tabela_registros[MÊS],$AE$1,tabela_registros[DIA],juntotal3059718395[[#Headers],[4]],tabela_registros[REGISTRO],DADOS!$N$4,tabela_registros[TIPO],DADOS!$P$4,tabela_registros[CATEGORIA],despesavariávelconsolidadojun[[#This Row],[DESPESA VARIÁVEL]])</f>
        <v>0</v>
      </c>
      <c r="I61" s="119" t="n">
        <f aca="false">SUMIFS(tabela_registros[VALOR],tabela_registros[MÊS],$AE$1,tabela_registros[DIA],juntotal3059718395[[#Headers],[5]],tabela_registros[REGISTRO],DADOS!$N$4,tabela_registros[TIPO],DADOS!$P$4,tabela_registros[CATEGORIA],despesavariávelconsolidadojun[[#This Row],[DESPESA VARIÁVEL]])</f>
        <v>0</v>
      </c>
      <c r="J61" s="119" t="n">
        <f aca="false">SUMIFS(tabela_registros[VALOR],tabela_registros[MÊS],$AE$1,tabela_registros[DIA],juntotal3059718395[[#Headers],[6]],tabela_registros[REGISTRO],DADOS!$N$4,tabela_registros[TIPO],DADOS!$P$4,tabela_registros[CATEGORIA],despesavariávelconsolidadojun[[#This Row],[DESPESA VARIÁVEL]])</f>
        <v>0</v>
      </c>
      <c r="K61" s="119" t="n">
        <f aca="false">SUMIFS(tabela_registros[VALOR],tabela_registros[MÊS],$AE$1,tabela_registros[DIA],juntotal3059718395[[#Headers],[7]],tabela_registros[REGISTRO],DADOS!$N$4,tabela_registros[TIPO],DADOS!$P$4,tabela_registros[CATEGORIA],despesavariávelconsolidadojun[[#This Row],[DESPESA VARIÁVEL]])</f>
        <v>0</v>
      </c>
      <c r="L61" s="119" t="n">
        <f aca="false">SUMIFS(tabela_registros[VALOR],tabela_registros[MÊS],$AE$1,tabela_registros[DIA],juntotal3059718395[[#Headers],[8]],tabela_registros[REGISTRO],DADOS!$N$4,tabela_registros[TIPO],DADOS!$P$4,tabela_registros[CATEGORIA],despesavariávelconsolidadojun[[#This Row],[DESPESA VARIÁVEL]])</f>
        <v>0</v>
      </c>
      <c r="M61" s="119" t="n">
        <f aca="false">SUMIFS(tabela_registros[VALOR],tabela_registros[MÊS],$AE$1,tabela_registros[DIA],juntotal3059718395[[#Headers],[9]],tabela_registros[REGISTRO],DADOS!$N$4,tabela_registros[TIPO],DADOS!$P$4,tabela_registros[CATEGORIA],despesavariávelconsolidadojun[[#This Row],[DESPESA VARIÁVEL]])</f>
        <v>0</v>
      </c>
      <c r="N61" s="119" t="n">
        <f aca="false">SUMIFS(tabela_registros[VALOR],tabela_registros[MÊS],$AE$1,tabela_registros[DIA],juntotal3059718395[[#Headers],[10]],tabela_registros[REGISTRO],DADOS!$N$4,tabela_registros[TIPO],DADOS!$P$4,tabela_registros[CATEGORIA],despesavariávelconsolidadojun[[#This Row],[DESPESA VARIÁVEL]])</f>
        <v>0</v>
      </c>
      <c r="O61" s="119" t="n">
        <f aca="false">SUMIFS(tabela_registros[VALOR],tabela_registros[MÊS],$AE$1,tabela_registros[DIA],juntotal3059718395[[#Headers],[11]],tabela_registros[REGISTRO],DADOS!$N$4,tabela_registros[TIPO],DADOS!$P$4,tabela_registros[CATEGORIA],despesavariávelconsolidadojun[[#This Row],[DESPESA VARIÁVEL]])</f>
        <v>0</v>
      </c>
      <c r="P61" s="119" t="n">
        <f aca="false">SUMIFS(tabela_registros[VALOR],tabela_registros[MÊS],$AE$1,tabela_registros[DIA],juntotal3059718395[[#Headers],[12]],tabela_registros[REGISTRO],DADOS!$N$4,tabela_registros[TIPO],DADOS!$P$4,tabela_registros[CATEGORIA],despesavariávelconsolidadojun[[#This Row],[DESPESA VARIÁVEL]])</f>
        <v>0</v>
      </c>
      <c r="Q61" s="119" t="n">
        <f aca="false">SUMIFS(tabela_registros[VALOR],tabela_registros[MÊS],$AE$1,tabela_registros[DIA],juntotal3059718395[[#Headers],[13]],tabela_registros[REGISTRO],DADOS!$N$4,tabela_registros[TIPO],DADOS!$P$4,tabela_registros[CATEGORIA],despesavariávelconsolidadojun[[#This Row],[DESPESA VARIÁVEL]])</f>
        <v>0</v>
      </c>
      <c r="R61" s="119" t="n">
        <f aca="false">SUMIFS(tabela_registros[VALOR],tabela_registros[MÊS],$AE$1,tabela_registros[DIA],juntotal3059718395[[#Headers],[14]],tabela_registros[REGISTRO],DADOS!$N$4,tabela_registros[TIPO],DADOS!$P$4,tabela_registros[CATEGORIA],despesavariávelconsolidadojun[[#This Row],[DESPESA VARIÁVEL]])</f>
        <v>0</v>
      </c>
      <c r="S61" s="119" t="n">
        <f aca="false">SUMIFS(tabela_registros[VALOR],tabela_registros[MÊS],$AE$1,tabela_registros[DIA],juntotal3059718395[[#Headers],[15]],tabela_registros[REGISTRO],DADOS!$N$4,tabela_registros[TIPO],DADOS!$P$4,tabela_registros[CATEGORIA],despesavariávelconsolidadojun[[#This Row],[DESPESA VARIÁVEL]])</f>
        <v>0</v>
      </c>
      <c r="T61" s="119" t="n">
        <f aca="false">SUMIFS(tabela_registros[VALOR],tabela_registros[MÊS],$AE$1,tabela_registros[DIA],juntotal3059718395[[#Headers],[16]],tabela_registros[REGISTRO],DADOS!$N$4,tabela_registros[TIPO],DADOS!$P$4,tabela_registros[CATEGORIA],despesavariávelconsolidadojun[[#This Row],[DESPESA VARIÁVEL]])</f>
        <v>0</v>
      </c>
      <c r="U61" s="119" t="n">
        <f aca="false">SUMIFS(tabela_registros[VALOR],tabela_registros[MÊS],$AE$1,tabela_registros[DIA],juntotal3059718395[[#Headers],[17]],tabela_registros[REGISTRO],DADOS!$N$4,tabela_registros[TIPO],DADOS!$P$4,tabela_registros[CATEGORIA],despesavariávelconsolidadojun[[#This Row],[DESPESA VARIÁVEL]])</f>
        <v>0</v>
      </c>
      <c r="V61" s="119" t="n">
        <f aca="false">SUMIFS(tabela_registros[VALOR],tabela_registros[MÊS],$AE$1,tabela_registros[DIA],juntotal3059718395[[#Headers],[18]],tabela_registros[REGISTRO],DADOS!$N$4,tabela_registros[TIPO],DADOS!$P$4,tabela_registros[CATEGORIA],despesavariávelconsolidadojun[[#This Row],[DESPESA VARIÁVEL]])</f>
        <v>0</v>
      </c>
      <c r="W61" s="119" t="n">
        <f aca="false">SUMIFS(tabela_registros[VALOR],tabela_registros[MÊS],$AE$1,tabela_registros[DIA],juntotal3059718395[[#Headers],[19]],tabela_registros[REGISTRO],DADOS!$N$4,tabela_registros[TIPO],DADOS!$P$4,tabela_registros[CATEGORIA],despesavariávelconsolidadojun[[#This Row],[DESPESA VARIÁVEL]])</f>
        <v>0</v>
      </c>
      <c r="X61" s="119" t="n">
        <f aca="false">SUMIFS(tabela_registros[VALOR],tabela_registros[MÊS],$AE$1,tabela_registros[DIA],juntotal3059718395[[#Headers],[20]],tabela_registros[REGISTRO],DADOS!$N$4,tabela_registros[TIPO],DADOS!$P$4,tabela_registros[CATEGORIA],despesavariávelconsolidadojun[[#This Row],[DESPESA VARIÁVEL]])</f>
        <v>0</v>
      </c>
      <c r="Y61" s="119" t="n">
        <f aca="false">SUMIFS(tabela_registros[VALOR],tabela_registros[MÊS],$AE$1,tabela_registros[DIA],juntotal3059718395[[#Headers],[21]],tabela_registros[REGISTRO],DADOS!$N$4,tabela_registros[TIPO],DADOS!$P$4,tabela_registros[CATEGORIA],despesavariávelconsolidadojun[[#This Row],[DESPESA VARIÁVEL]])</f>
        <v>0</v>
      </c>
      <c r="Z61" s="119" t="n">
        <f aca="false">SUMIFS(tabela_registros[VALOR],tabela_registros[MÊS],$AE$1,tabela_registros[DIA],juntotal3059718395[[#Headers],[22]],tabela_registros[REGISTRO],DADOS!$N$4,tabela_registros[TIPO],DADOS!$P$4,tabela_registros[CATEGORIA],despesavariávelconsolidadojun[[#This Row],[DESPESA VARIÁVEL]])</f>
        <v>0</v>
      </c>
      <c r="AA61" s="119" t="n">
        <f aca="false">SUMIFS(tabela_registros[VALOR],tabela_registros[MÊS],$AE$1,tabela_registros[DIA],juntotal3059718395[[#Headers],[23]],tabela_registros[REGISTRO],DADOS!$N$4,tabela_registros[TIPO],DADOS!$P$4,tabela_registros[CATEGORIA],despesavariávelconsolidadojun[[#This Row],[DESPESA VARIÁVEL]])</f>
        <v>0</v>
      </c>
      <c r="AB61" s="119" t="n">
        <f aca="false">SUMIFS(tabela_registros[VALOR],tabela_registros[MÊS],$AE$1,tabela_registros[DIA],juntotal3059718395[[#Headers],[24]],tabela_registros[REGISTRO],DADOS!$N$4,tabela_registros[TIPO],DADOS!$P$4,tabela_registros[CATEGORIA],despesavariávelconsolidadojun[[#This Row],[DESPESA VARIÁVEL]])</f>
        <v>0</v>
      </c>
      <c r="AC61" s="119" t="n">
        <f aca="false">SUMIFS(tabela_registros[VALOR],tabela_registros[MÊS],$AE$1,tabela_registros[DIA],juntotal3059718395[[#Headers],[25]],tabela_registros[REGISTRO],DADOS!$N$4,tabela_registros[TIPO],DADOS!$P$4,tabela_registros[CATEGORIA],despesavariávelconsolidadojun[[#This Row],[DESPESA VARIÁVEL]])</f>
        <v>0</v>
      </c>
      <c r="AD61" s="119" t="n">
        <f aca="false">SUMIFS(tabela_registros[VALOR],tabela_registros[MÊS],$AE$1,tabela_registros[DIA],juntotal3059718395[[#Headers],[26]],tabela_registros[REGISTRO],DADOS!$N$4,tabela_registros[TIPO],DADOS!$P$4,tabela_registros[CATEGORIA],despesavariávelconsolidadojun[[#This Row],[DESPESA VARIÁVEL]])</f>
        <v>0</v>
      </c>
      <c r="AE61" s="119" t="n">
        <f aca="false">SUMIFS(tabela_registros[VALOR],tabela_registros[MÊS],$AE$1,tabela_registros[DIA],juntotal3059718395[[#Headers],[27]],tabela_registros[REGISTRO],DADOS!$N$4,tabela_registros[TIPO],DADOS!$P$4,tabela_registros[CATEGORIA],despesavariávelconsolidadojun[[#This Row],[DESPESA VARIÁVEL]])</f>
        <v>0</v>
      </c>
      <c r="AF61" s="119" t="n">
        <f aca="false">SUMIFS(tabela_registros[VALOR],tabela_registros[MÊS],$AE$1,tabela_registros[DIA],juntotal3059718395[[#Headers],[28]],tabela_registros[REGISTRO],DADOS!$N$4,tabela_registros[TIPO],DADOS!$P$4,tabela_registros[CATEGORIA],despesavariávelconsolidadojun[[#This Row],[DESPESA VARIÁVEL]])</f>
        <v>0</v>
      </c>
      <c r="AG61" s="119" t="n">
        <f aca="false">SUMIFS(tabela_registros[VALOR],tabela_registros[MÊS],$AE$1,tabela_registros[DIA],juntotal3059718395[[#Headers],[29]],tabela_registros[REGISTRO],DADOS!$N$4,tabela_registros[TIPO],DADOS!$P$4,tabela_registros[CATEGORIA],despesavariávelconsolidadojun[[#This Row],[DESPESA VARIÁVEL]])</f>
        <v>0</v>
      </c>
      <c r="AH61" s="119" t="n">
        <f aca="false">SUMIFS(tabela_registros[VALOR],tabela_registros[MÊS],$AE$1,tabela_registros[DIA],juntotal3059718395[[#Headers],[30]],tabela_registros[REGISTRO],DADOS!$N$4,tabela_registros[TIPO],DADOS!$P$4,tabela_registros[CATEGORIA],despesavariávelconsolidadojun[[#This Row],[DESPESA VARIÁVEL]])</f>
        <v>0</v>
      </c>
      <c r="AI61" s="217" t="n">
        <f aca="false">SUMIFS(tabela_registros[VALOR],tabela_registros[MÊS],$AE$1,tabela_registros[DIA],juntotal3059718395[[#Headers],[31]],tabela_registros[REGISTRO],DADOS!$N$4,tabela_registros[TIPO],DADOS!$P$4,tabela_registros[CATEGORIA],despesavariávelconsolidadojun[[#This Row],[DESPESA VARIÁVEL]])</f>
        <v>0</v>
      </c>
      <c r="AJ61" s="149" t="n">
        <f aca="false">SUM(despesavariávelconsolidadojun[[#This Row],[1]:[31]])</f>
        <v>0</v>
      </c>
      <c r="AK61" s="143"/>
    </row>
    <row r="62" customFormat="false" ht="18" hidden="false" customHeight="true" outlineLevel="0" collapsed="false">
      <c r="B62" s="143"/>
      <c r="C62" s="144" t="str">
        <f aca="false">DADOS!$T$5</f>
        <v>✍️ CHEQUE ESPECIAL</v>
      </c>
      <c r="D62" s="145" t="str">
        <f aca="false">IF(despesavariávelconsolidadojun[[#This Row],[TOTAL]]=0,"",IF(OR(despesavariávelconsolidadojun[[#This Row],[TOTAL]]=LARGE($AJ$60:$AJ$72,1),despesavariávelconsolidadojun[[#This Row],[TOTAL]]=LARGE($AJ$60:$AJ$72,2),despesavariávelconsolidadojun[[#This Row],[TOTAL]]=LARGE($AJ$60:$AJ$72,3),despesavariávelconsolidadojun[[#This Row],[TOTAL]]=LARGE($AJ$60:$AJ$72,4),despesavariávelconsolidadojun[[#This Row],[TOTAL]]=LARGE($AJ$60:$AJ$72,5)),DADOS!$I$8,""))</f>
        <v/>
      </c>
      <c r="E62" s="148" t="n">
        <f aca="false">SUMIFS(tabela_registros[VALOR],tabela_registros[MÊS],$AE$1,tabela_registros[DIA],juntotal3059718395[[#Headers],[1]],tabela_registros[REGISTRO],DADOS!$N$4,tabela_registros[TIPO],DADOS!$P$4,tabela_registros[CATEGORIA],despesavariávelconsolidadojun[[#This Row],[DESPESA VARIÁVEL]])</f>
        <v>0</v>
      </c>
      <c r="F62" s="119" t="n">
        <f aca="false">SUMIFS(tabela_registros[VALOR],tabela_registros[MÊS],$AE$1,tabela_registros[DIA],juntotal3059718395[[#Headers],[2]],tabela_registros[REGISTRO],DADOS!$N$4,tabela_registros[TIPO],DADOS!$P$4,tabela_registros[CATEGORIA],despesavariávelconsolidadojun[[#This Row],[DESPESA VARIÁVEL]])</f>
        <v>0</v>
      </c>
      <c r="G62" s="119" t="n">
        <f aca="false">SUMIFS(tabela_registros[VALOR],tabela_registros[MÊS],$AE$1,tabela_registros[DIA],juntotal3059718395[[#Headers],[3]],tabela_registros[REGISTRO],DADOS!$N$4,tabela_registros[TIPO],DADOS!$P$4,tabela_registros[CATEGORIA],despesavariávelconsolidadojun[[#This Row],[DESPESA VARIÁVEL]])</f>
        <v>0</v>
      </c>
      <c r="H62" s="119" t="n">
        <f aca="false">SUMIFS(tabela_registros[VALOR],tabela_registros[MÊS],$AE$1,tabela_registros[DIA],juntotal3059718395[[#Headers],[4]],tabela_registros[REGISTRO],DADOS!$N$4,tabela_registros[TIPO],DADOS!$P$4,tabela_registros[CATEGORIA],despesavariávelconsolidadojun[[#This Row],[DESPESA VARIÁVEL]])</f>
        <v>0</v>
      </c>
      <c r="I62" s="119" t="n">
        <f aca="false">SUMIFS(tabela_registros[VALOR],tabela_registros[MÊS],$AE$1,tabela_registros[DIA],juntotal3059718395[[#Headers],[5]],tabela_registros[REGISTRO],DADOS!$N$4,tabela_registros[TIPO],DADOS!$P$4,tabela_registros[CATEGORIA],despesavariávelconsolidadojun[[#This Row],[DESPESA VARIÁVEL]])</f>
        <v>0</v>
      </c>
      <c r="J62" s="119" t="n">
        <f aca="false">SUMIFS(tabela_registros[VALOR],tabela_registros[MÊS],$AE$1,tabela_registros[DIA],juntotal3059718395[[#Headers],[6]],tabela_registros[REGISTRO],DADOS!$N$4,tabela_registros[TIPO],DADOS!$P$4,tabela_registros[CATEGORIA],despesavariávelconsolidadojun[[#This Row],[DESPESA VARIÁVEL]])</f>
        <v>0</v>
      </c>
      <c r="K62" s="119" t="n">
        <f aca="false">SUMIFS(tabela_registros[VALOR],tabela_registros[MÊS],$AE$1,tabela_registros[DIA],juntotal3059718395[[#Headers],[7]],tabela_registros[REGISTRO],DADOS!$N$4,tabela_registros[TIPO],DADOS!$P$4,tabela_registros[CATEGORIA],despesavariávelconsolidadojun[[#This Row],[DESPESA VARIÁVEL]])</f>
        <v>0</v>
      </c>
      <c r="L62" s="119" t="n">
        <f aca="false">SUMIFS(tabela_registros[VALOR],tabela_registros[MÊS],$AE$1,tabela_registros[DIA],juntotal3059718395[[#Headers],[8]],tabela_registros[REGISTRO],DADOS!$N$4,tabela_registros[TIPO],DADOS!$P$4,tabela_registros[CATEGORIA],despesavariávelconsolidadojun[[#This Row],[DESPESA VARIÁVEL]])</f>
        <v>0</v>
      </c>
      <c r="M62" s="119" t="n">
        <f aca="false">SUMIFS(tabela_registros[VALOR],tabela_registros[MÊS],$AE$1,tabela_registros[DIA],juntotal3059718395[[#Headers],[9]],tabela_registros[REGISTRO],DADOS!$N$4,tabela_registros[TIPO],DADOS!$P$4,tabela_registros[CATEGORIA],despesavariávelconsolidadojun[[#This Row],[DESPESA VARIÁVEL]])</f>
        <v>0</v>
      </c>
      <c r="N62" s="119" t="n">
        <f aca="false">SUMIFS(tabela_registros[VALOR],tabela_registros[MÊS],$AE$1,tabela_registros[DIA],juntotal3059718395[[#Headers],[10]],tabela_registros[REGISTRO],DADOS!$N$4,tabela_registros[TIPO],DADOS!$P$4,tabela_registros[CATEGORIA],despesavariávelconsolidadojun[[#This Row],[DESPESA VARIÁVEL]])</f>
        <v>0</v>
      </c>
      <c r="O62" s="119" t="n">
        <f aca="false">SUMIFS(tabela_registros[VALOR],tabela_registros[MÊS],$AE$1,tabela_registros[DIA],juntotal3059718395[[#Headers],[11]],tabela_registros[REGISTRO],DADOS!$N$4,tabela_registros[TIPO],DADOS!$P$4,tabela_registros[CATEGORIA],despesavariávelconsolidadojun[[#This Row],[DESPESA VARIÁVEL]])</f>
        <v>0</v>
      </c>
      <c r="P62" s="119" t="n">
        <f aca="false">SUMIFS(tabela_registros[VALOR],tabela_registros[MÊS],$AE$1,tabela_registros[DIA],juntotal3059718395[[#Headers],[12]],tabela_registros[REGISTRO],DADOS!$N$4,tabela_registros[TIPO],DADOS!$P$4,tabela_registros[CATEGORIA],despesavariávelconsolidadojun[[#This Row],[DESPESA VARIÁVEL]])</f>
        <v>0</v>
      </c>
      <c r="Q62" s="119" t="n">
        <f aca="false">SUMIFS(tabela_registros[VALOR],tabela_registros[MÊS],$AE$1,tabela_registros[DIA],juntotal3059718395[[#Headers],[13]],tabela_registros[REGISTRO],DADOS!$N$4,tabela_registros[TIPO],DADOS!$P$4,tabela_registros[CATEGORIA],despesavariávelconsolidadojun[[#This Row],[DESPESA VARIÁVEL]])</f>
        <v>0</v>
      </c>
      <c r="R62" s="119" t="n">
        <f aca="false">SUMIFS(tabela_registros[VALOR],tabela_registros[MÊS],$AE$1,tabela_registros[DIA],juntotal3059718395[[#Headers],[14]],tabela_registros[REGISTRO],DADOS!$N$4,tabela_registros[TIPO],DADOS!$P$4,tabela_registros[CATEGORIA],despesavariávelconsolidadojun[[#This Row],[DESPESA VARIÁVEL]])</f>
        <v>0</v>
      </c>
      <c r="S62" s="119" t="n">
        <f aca="false">SUMIFS(tabela_registros[VALOR],tabela_registros[MÊS],$AE$1,tabela_registros[DIA],juntotal3059718395[[#Headers],[15]],tabela_registros[REGISTRO],DADOS!$N$4,tabela_registros[TIPO],DADOS!$P$4,tabela_registros[CATEGORIA],despesavariávelconsolidadojun[[#This Row],[DESPESA VARIÁVEL]])</f>
        <v>0</v>
      </c>
      <c r="T62" s="119" t="n">
        <f aca="false">SUMIFS(tabela_registros[VALOR],tabela_registros[MÊS],$AE$1,tabela_registros[DIA],juntotal3059718395[[#Headers],[16]],tabela_registros[REGISTRO],DADOS!$N$4,tabela_registros[TIPO],DADOS!$P$4,tabela_registros[CATEGORIA],despesavariávelconsolidadojun[[#This Row],[DESPESA VARIÁVEL]])</f>
        <v>0</v>
      </c>
      <c r="U62" s="119" t="n">
        <f aca="false">SUMIFS(tabela_registros[VALOR],tabela_registros[MÊS],$AE$1,tabela_registros[DIA],juntotal3059718395[[#Headers],[17]],tabela_registros[REGISTRO],DADOS!$N$4,tabela_registros[TIPO],DADOS!$P$4,tabela_registros[CATEGORIA],despesavariávelconsolidadojun[[#This Row],[DESPESA VARIÁVEL]])</f>
        <v>0</v>
      </c>
      <c r="V62" s="119" t="n">
        <f aca="false">SUMIFS(tabela_registros[VALOR],tabela_registros[MÊS],$AE$1,tabela_registros[DIA],juntotal3059718395[[#Headers],[18]],tabela_registros[REGISTRO],DADOS!$N$4,tabela_registros[TIPO],DADOS!$P$4,tabela_registros[CATEGORIA],despesavariávelconsolidadojun[[#This Row],[DESPESA VARIÁVEL]])</f>
        <v>0</v>
      </c>
      <c r="W62" s="119" t="n">
        <f aca="false">SUMIFS(tabela_registros[VALOR],tabela_registros[MÊS],$AE$1,tabela_registros[DIA],juntotal3059718395[[#Headers],[19]],tabela_registros[REGISTRO],DADOS!$N$4,tabela_registros[TIPO],DADOS!$P$4,tabela_registros[CATEGORIA],despesavariávelconsolidadojun[[#This Row],[DESPESA VARIÁVEL]])</f>
        <v>0</v>
      </c>
      <c r="X62" s="119" t="n">
        <f aca="false">SUMIFS(tabela_registros[VALOR],tabela_registros[MÊS],$AE$1,tabela_registros[DIA],juntotal3059718395[[#Headers],[20]],tabela_registros[REGISTRO],DADOS!$N$4,tabela_registros[TIPO],DADOS!$P$4,tabela_registros[CATEGORIA],despesavariávelconsolidadojun[[#This Row],[DESPESA VARIÁVEL]])</f>
        <v>0</v>
      </c>
      <c r="Y62" s="119" t="n">
        <f aca="false">SUMIFS(tabela_registros[VALOR],tabela_registros[MÊS],$AE$1,tabela_registros[DIA],juntotal3059718395[[#Headers],[21]],tabela_registros[REGISTRO],DADOS!$N$4,tabela_registros[TIPO],DADOS!$P$4,tabela_registros[CATEGORIA],despesavariávelconsolidadojun[[#This Row],[DESPESA VARIÁVEL]])</f>
        <v>0</v>
      </c>
      <c r="Z62" s="119" t="n">
        <f aca="false">SUMIFS(tabela_registros[VALOR],tabela_registros[MÊS],$AE$1,tabela_registros[DIA],juntotal3059718395[[#Headers],[22]],tabela_registros[REGISTRO],DADOS!$N$4,tabela_registros[TIPO],DADOS!$P$4,tabela_registros[CATEGORIA],despesavariávelconsolidadojun[[#This Row],[DESPESA VARIÁVEL]])</f>
        <v>0</v>
      </c>
      <c r="AA62" s="119" t="n">
        <f aca="false">SUMIFS(tabela_registros[VALOR],tabela_registros[MÊS],$AE$1,tabela_registros[DIA],juntotal3059718395[[#Headers],[23]],tabela_registros[REGISTRO],DADOS!$N$4,tabela_registros[TIPO],DADOS!$P$4,tabela_registros[CATEGORIA],despesavariávelconsolidadojun[[#This Row],[DESPESA VARIÁVEL]])</f>
        <v>0</v>
      </c>
      <c r="AB62" s="119" t="n">
        <f aca="false">SUMIFS(tabela_registros[VALOR],tabela_registros[MÊS],$AE$1,tabela_registros[DIA],juntotal3059718395[[#Headers],[24]],tabela_registros[REGISTRO],DADOS!$N$4,tabela_registros[TIPO],DADOS!$P$4,tabela_registros[CATEGORIA],despesavariávelconsolidadojun[[#This Row],[DESPESA VARIÁVEL]])</f>
        <v>0</v>
      </c>
      <c r="AC62" s="119" t="n">
        <f aca="false">SUMIFS(tabela_registros[VALOR],tabela_registros[MÊS],$AE$1,tabela_registros[DIA],juntotal3059718395[[#Headers],[25]],tabela_registros[REGISTRO],DADOS!$N$4,tabela_registros[TIPO],DADOS!$P$4,tabela_registros[CATEGORIA],despesavariávelconsolidadojun[[#This Row],[DESPESA VARIÁVEL]])</f>
        <v>0</v>
      </c>
      <c r="AD62" s="119" t="n">
        <f aca="false">SUMIFS(tabela_registros[VALOR],tabela_registros[MÊS],$AE$1,tabela_registros[DIA],juntotal3059718395[[#Headers],[26]],tabela_registros[REGISTRO],DADOS!$N$4,tabela_registros[TIPO],DADOS!$P$4,tabela_registros[CATEGORIA],despesavariávelconsolidadojun[[#This Row],[DESPESA VARIÁVEL]])</f>
        <v>0</v>
      </c>
      <c r="AE62" s="119" t="n">
        <f aca="false">SUMIFS(tabela_registros[VALOR],tabela_registros[MÊS],$AE$1,tabela_registros[DIA],juntotal3059718395[[#Headers],[27]],tabela_registros[REGISTRO],DADOS!$N$4,tabela_registros[TIPO],DADOS!$P$4,tabela_registros[CATEGORIA],despesavariávelconsolidadojun[[#This Row],[DESPESA VARIÁVEL]])</f>
        <v>0</v>
      </c>
      <c r="AF62" s="119" t="n">
        <f aca="false">SUMIFS(tabela_registros[VALOR],tabela_registros[MÊS],$AE$1,tabela_registros[DIA],juntotal3059718395[[#Headers],[28]],tabela_registros[REGISTRO],DADOS!$N$4,tabela_registros[TIPO],DADOS!$P$4,tabela_registros[CATEGORIA],despesavariávelconsolidadojun[[#This Row],[DESPESA VARIÁVEL]])</f>
        <v>0</v>
      </c>
      <c r="AG62" s="119" t="n">
        <f aca="false">SUMIFS(tabela_registros[VALOR],tabela_registros[MÊS],$AE$1,tabela_registros[DIA],juntotal3059718395[[#Headers],[29]],tabela_registros[REGISTRO],DADOS!$N$4,tabela_registros[TIPO],DADOS!$P$4,tabela_registros[CATEGORIA],despesavariávelconsolidadojun[[#This Row],[DESPESA VARIÁVEL]])</f>
        <v>0</v>
      </c>
      <c r="AH62" s="119" t="n">
        <f aca="false">SUMIFS(tabela_registros[VALOR],tabela_registros[MÊS],$AE$1,tabela_registros[DIA],juntotal3059718395[[#Headers],[30]],tabela_registros[REGISTRO],DADOS!$N$4,tabela_registros[TIPO],DADOS!$P$4,tabela_registros[CATEGORIA],despesavariávelconsolidadojun[[#This Row],[DESPESA VARIÁVEL]])</f>
        <v>0</v>
      </c>
      <c r="AI62" s="217" t="n">
        <f aca="false">SUMIFS(tabela_registros[VALOR],tabela_registros[MÊS],$AE$1,tabela_registros[DIA],juntotal3059718395[[#Headers],[31]],tabela_registros[REGISTRO],DADOS!$N$4,tabela_registros[TIPO],DADOS!$P$4,tabela_registros[CATEGORIA],despesavariávelconsolidadojun[[#This Row],[DESPESA VARIÁVEL]])</f>
        <v>0</v>
      </c>
      <c r="AJ62" s="149" t="n">
        <f aca="false">SUM(despesavariávelconsolidadojun[[#This Row],[1]:[31]])</f>
        <v>0</v>
      </c>
      <c r="AK62" s="143"/>
    </row>
    <row r="63" customFormat="false" ht="18" hidden="false" customHeight="true" outlineLevel="0" collapsed="false">
      <c r="B63" s="143"/>
      <c r="C63" s="144" t="str">
        <f aca="false">DADOS!$T$6</f>
        <v>💄 CUIDADOS PESSOAIS</v>
      </c>
      <c r="D63" s="145" t="str">
        <f aca="false">IF(despesavariávelconsolidadojun[[#This Row],[TOTAL]]=0,"",IF(OR(despesavariávelconsolidadojun[[#This Row],[TOTAL]]=LARGE($AJ$60:$AJ$72,1),despesavariávelconsolidadojun[[#This Row],[TOTAL]]=LARGE($AJ$60:$AJ$72,2),despesavariávelconsolidadojun[[#This Row],[TOTAL]]=LARGE($AJ$60:$AJ$72,3),despesavariávelconsolidadojun[[#This Row],[TOTAL]]=LARGE($AJ$60:$AJ$72,4),despesavariávelconsolidadojun[[#This Row],[TOTAL]]=LARGE($AJ$60:$AJ$72,5)),DADOS!$I$8,""))</f>
        <v/>
      </c>
      <c r="E63" s="148" t="n">
        <f aca="false">SUMIFS(tabela_registros[VALOR],tabela_registros[MÊS],$AE$1,tabela_registros[DIA],juntotal3059718395[[#Headers],[1]],tabela_registros[REGISTRO],DADOS!$N$4,tabela_registros[TIPO],DADOS!$P$4,tabela_registros[CATEGORIA],despesavariávelconsolidadojun[[#This Row],[DESPESA VARIÁVEL]])</f>
        <v>0</v>
      </c>
      <c r="F63" s="119" t="n">
        <f aca="false">SUMIFS(tabela_registros[VALOR],tabela_registros[MÊS],$AE$1,tabela_registros[DIA],juntotal3059718395[[#Headers],[2]],tabela_registros[REGISTRO],DADOS!$N$4,tabela_registros[TIPO],DADOS!$P$4,tabela_registros[CATEGORIA],despesavariávelconsolidadojun[[#This Row],[DESPESA VARIÁVEL]])</f>
        <v>0</v>
      </c>
      <c r="G63" s="119" t="n">
        <f aca="false">SUMIFS(tabela_registros[VALOR],tabela_registros[MÊS],$AE$1,tabela_registros[DIA],juntotal3059718395[[#Headers],[3]],tabela_registros[REGISTRO],DADOS!$N$4,tabela_registros[TIPO],DADOS!$P$4,tabela_registros[CATEGORIA],despesavariávelconsolidadojun[[#This Row],[DESPESA VARIÁVEL]])</f>
        <v>0</v>
      </c>
      <c r="H63" s="119" t="n">
        <f aca="false">SUMIFS(tabela_registros[VALOR],tabela_registros[MÊS],$AE$1,tabela_registros[DIA],juntotal3059718395[[#Headers],[4]],tabela_registros[REGISTRO],DADOS!$N$4,tabela_registros[TIPO],DADOS!$P$4,tabela_registros[CATEGORIA],despesavariávelconsolidadojun[[#This Row],[DESPESA VARIÁVEL]])</f>
        <v>0</v>
      </c>
      <c r="I63" s="119" t="n">
        <f aca="false">SUMIFS(tabela_registros[VALOR],tabela_registros[MÊS],$AE$1,tabela_registros[DIA],juntotal3059718395[[#Headers],[5]],tabela_registros[REGISTRO],DADOS!$N$4,tabela_registros[TIPO],DADOS!$P$4,tabela_registros[CATEGORIA],despesavariávelconsolidadojun[[#This Row],[DESPESA VARIÁVEL]])</f>
        <v>0</v>
      </c>
      <c r="J63" s="119" t="n">
        <f aca="false">SUMIFS(tabela_registros[VALOR],tabela_registros[MÊS],$AE$1,tabela_registros[DIA],juntotal3059718395[[#Headers],[6]],tabela_registros[REGISTRO],DADOS!$N$4,tabela_registros[TIPO],DADOS!$P$4,tabela_registros[CATEGORIA],despesavariávelconsolidadojun[[#This Row],[DESPESA VARIÁVEL]])</f>
        <v>0</v>
      </c>
      <c r="K63" s="119" t="n">
        <f aca="false">SUMIFS(tabela_registros[VALOR],tabela_registros[MÊS],$AE$1,tabela_registros[DIA],juntotal3059718395[[#Headers],[7]],tabela_registros[REGISTRO],DADOS!$N$4,tabela_registros[TIPO],DADOS!$P$4,tabela_registros[CATEGORIA],despesavariávelconsolidadojun[[#This Row],[DESPESA VARIÁVEL]])</f>
        <v>0</v>
      </c>
      <c r="L63" s="119" t="n">
        <f aca="false">SUMIFS(tabela_registros[VALOR],tabela_registros[MÊS],$AE$1,tabela_registros[DIA],juntotal3059718395[[#Headers],[8]],tabela_registros[REGISTRO],DADOS!$N$4,tabela_registros[TIPO],DADOS!$P$4,tabela_registros[CATEGORIA],despesavariávelconsolidadojun[[#This Row],[DESPESA VARIÁVEL]])</f>
        <v>0</v>
      </c>
      <c r="M63" s="119" t="n">
        <f aca="false">SUMIFS(tabela_registros[VALOR],tabela_registros[MÊS],$AE$1,tabela_registros[DIA],juntotal3059718395[[#Headers],[9]],tabela_registros[REGISTRO],DADOS!$N$4,tabela_registros[TIPO],DADOS!$P$4,tabela_registros[CATEGORIA],despesavariávelconsolidadojun[[#This Row],[DESPESA VARIÁVEL]])</f>
        <v>0</v>
      </c>
      <c r="N63" s="119" t="n">
        <f aca="false">SUMIFS(tabela_registros[VALOR],tabela_registros[MÊS],$AE$1,tabela_registros[DIA],juntotal3059718395[[#Headers],[10]],tabela_registros[REGISTRO],DADOS!$N$4,tabela_registros[TIPO],DADOS!$P$4,tabela_registros[CATEGORIA],despesavariávelconsolidadojun[[#This Row],[DESPESA VARIÁVEL]])</f>
        <v>0</v>
      </c>
      <c r="O63" s="119" t="n">
        <f aca="false">SUMIFS(tabela_registros[VALOR],tabela_registros[MÊS],$AE$1,tabela_registros[DIA],juntotal3059718395[[#Headers],[11]],tabela_registros[REGISTRO],DADOS!$N$4,tabela_registros[TIPO],DADOS!$P$4,tabela_registros[CATEGORIA],despesavariávelconsolidadojun[[#This Row],[DESPESA VARIÁVEL]])</f>
        <v>0</v>
      </c>
      <c r="P63" s="119" t="n">
        <f aca="false">SUMIFS(tabela_registros[VALOR],tabela_registros[MÊS],$AE$1,tabela_registros[DIA],juntotal3059718395[[#Headers],[12]],tabela_registros[REGISTRO],DADOS!$N$4,tabela_registros[TIPO],DADOS!$P$4,tabela_registros[CATEGORIA],despesavariávelconsolidadojun[[#This Row],[DESPESA VARIÁVEL]])</f>
        <v>0</v>
      </c>
      <c r="Q63" s="119" t="n">
        <f aca="false">SUMIFS(tabela_registros[VALOR],tabela_registros[MÊS],$AE$1,tabela_registros[DIA],juntotal3059718395[[#Headers],[13]],tabela_registros[REGISTRO],DADOS!$N$4,tabela_registros[TIPO],DADOS!$P$4,tabela_registros[CATEGORIA],despesavariávelconsolidadojun[[#This Row],[DESPESA VARIÁVEL]])</f>
        <v>0</v>
      </c>
      <c r="R63" s="119" t="n">
        <f aca="false">SUMIFS(tabela_registros[VALOR],tabela_registros[MÊS],$AE$1,tabela_registros[DIA],juntotal3059718395[[#Headers],[14]],tabela_registros[REGISTRO],DADOS!$N$4,tabela_registros[TIPO],DADOS!$P$4,tabela_registros[CATEGORIA],despesavariávelconsolidadojun[[#This Row],[DESPESA VARIÁVEL]])</f>
        <v>0</v>
      </c>
      <c r="S63" s="119" t="n">
        <f aca="false">SUMIFS(tabela_registros[VALOR],tabela_registros[MÊS],$AE$1,tabela_registros[DIA],juntotal3059718395[[#Headers],[15]],tabela_registros[REGISTRO],DADOS!$N$4,tabela_registros[TIPO],DADOS!$P$4,tabela_registros[CATEGORIA],despesavariávelconsolidadojun[[#This Row],[DESPESA VARIÁVEL]])</f>
        <v>0</v>
      </c>
      <c r="T63" s="119" t="n">
        <f aca="false">SUMIFS(tabela_registros[VALOR],tabela_registros[MÊS],$AE$1,tabela_registros[DIA],juntotal3059718395[[#Headers],[16]],tabela_registros[REGISTRO],DADOS!$N$4,tabela_registros[TIPO],DADOS!$P$4,tabela_registros[CATEGORIA],despesavariávelconsolidadojun[[#This Row],[DESPESA VARIÁVEL]])</f>
        <v>0</v>
      </c>
      <c r="U63" s="119" t="n">
        <f aca="false">SUMIFS(tabela_registros[VALOR],tabela_registros[MÊS],$AE$1,tabela_registros[DIA],juntotal3059718395[[#Headers],[17]],tabela_registros[REGISTRO],DADOS!$N$4,tabela_registros[TIPO],DADOS!$P$4,tabela_registros[CATEGORIA],despesavariávelconsolidadojun[[#This Row],[DESPESA VARIÁVEL]])</f>
        <v>0</v>
      </c>
      <c r="V63" s="119" t="n">
        <f aca="false">SUMIFS(tabela_registros[VALOR],tabela_registros[MÊS],$AE$1,tabela_registros[DIA],juntotal3059718395[[#Headers],[18]],tabela_registros[REGISTRO],DADOS!$N$4,tabela_registros[TIPO],DADOS!$P$4,tabela_registros[CATEGORIA],despesavariávelconsolidadojun[[#This Row],[DESPESA VARIÁVEL]])</f>
        <v>0</v>
      </c>
      <c r="W63" s="119" t="n">
        <f aca="false">SUMIFS(tabela_registros[VALOR],tabela_registros[MÊS],$AE$1,tabela_registros[DIA],juntotal3059718395[[#Headers],[19]],tabela_registros[REGISTRO],DADOS!$N$4,tabela_registros[TIPO],DADOS!$P$4,tabela_registros[CATEGORIA],despesavariávelconsolidadojun[[#This Row],[DESPESA VARIÁVEL]])</f>
        <v>0</v>
      </c>
      <c r="X63" s="119" t="n">
        <f aca="false">SUMIFS(tabela_registros[VALOR],tabela_registros[MÊS],$AE$1,tabela_registros[DIA],juntotal3059718395[[#Headers],[20]],tabela_registros[REGISTRO],DADOS!$N$4,tabela_registros[TIPO],DADOS!$P$4,tabela_registros[CATEGORIA],despesavariávelconsolidadojun[[#This Row],[DESPESA VARIÁVEL]])</f>
        <v>0</v>
      </c>
      <c r="Y63" s="119" t="n">
        <f aca="false">SUMIFS(tabela_registros[VALOR],tabela_registros[MÊS],$AE$1,tabela_registros[DIA],juntotal3059718395[[#Headers],[21]],tabela_registros[REGISTRO],DADOS!$N$4,tabela_registros[TIPO],DADOS!$P$4,tabela_registros[CATEGORIA],despesavariávelconsolidadojun[[#This Row],[DESPESA VARIÁVEL]])</f>
        <v>0</v>
      </c>
      <c r="Z63" s="119" t="n">
        <f aca="false">SUMIFS(tabela_registros[VALOR],tabela_registros[MÊS],$AE$1,tabela_registros[DIA],juntotal3059718395[[#Headers],[22]],tabela_registros[REGISTRO],DADOS!$N$4,tabela_registros[TIPO],DADOS!$P$4,tabela_registros[CATEGORIA],despesavariávelconsolidadojun[[#This Row],[DESPESA VARIÁVEL]])</f>
        <v>0</v>
      </c>
      <c r="AA63" s="119" t="n">
        <f aca="false">SUMIFS(tabela_registros[VALOR],tabela_registros[MÊS],$AE$1,tabela_registros[DIA],juntotal3059718395[[#Headers],[23]],tabela_registros[REGISTRO],DADOS!$N$4,tabela_registros[TIPO],DADOS!$P$4,tabela_registros[CATEGORIA],despesavariávelconsolidadojun[[#This Row],[DESPESA VARIÁVEL]])</f>
        <v>0</v>
      </c>
      <c r="AB63" s="119" t="n">
        <f aca="false">SUMIFS(tabela_registros[VALOR],tabela_registros[MÊS],$AE$1,tabela_registros[DIA],juntotal3059718395[[#Headers],[24]],tabela_registros[REGISTRO],DADOS!$N$4,tabela_registros[TIPO],DADOS!$P$4,tabela_registros[CATEGORIA],despesavariávelconsolidadojun[[#This Row],[DESPESA VARIÁVEL]])</f>
        <v>0</v>
      </c>
      <c r="AC63" s="119" t="n">
        <f aca="false">SUMIFS(tabela_registros[VALOR],tabela_registros[MÊS],$AE$1,tabela_registros[DIA],juntotal3059718395[[#Headers],[25]],tabela_registros[REGISTRO],DADOS!$N$4,tabela_registros[TIPO],DADOS!$P$4,tabela_registros[CATEGORIA],despesavariávelconsolidadojun[[#This Row],[DESPESA VARIÁVEL]])</f>
        <v>0</v>
      </c>
      <c r="AD63" s="119" t="n">
        <f aca="false">SUMIFS(tabela_registros[VALOR],tabela_registros[MÊS],$AE$1,tabela_registros[DIA],juntotal3059718395[[#Headers],[26]],tabela_registros[REGISTRO],DADOS!$N$4,tabela_registros[TIPO],DADOS!$P$4,tabela_registros[CATEGORIA],despesavariávelconsolidadojun[[#This Row],[DESPESA VARIÁVEL]])</f>
        <v>0</v>
      </c>
      <c r="AE63" s="119" t="n">
        <f aca="false">SUMIFS(tabela_registros[VALOR],tabela_registros[MÊS],$AE$1,tabela_registros[DIA],juntotal3059718395[[#Headers],[27]],tabela_registros[REGISTRO],DADOS!$N$4,tabela_registros[TIPO],DADOS!$P$4,tabela_registros[CATEGORIA],despesavariávelconsolidadojun[[#This Row],[DESPESA VARIÁVEL]])</f>
        <v>0</v>
      </c>
      <c r="AF63" s="119" t="n">
        <f aca="false">SUMIFS(tabela_registros[VALOR],tabela_registros[MÊS],$AE$1,tabela_registros[DIA],juntotal3059718395[[#Headers],[28]],tabela_registros[REGISTRO],DADOS!$N$4,tabela_registros[TIPO],DADOS!$P$4,tabela_registros[CATEGORIA],despesavariávelconsolidadojun[[#This Row],[DESPESA VARIÁVEL]])</f>
        <v>0</v>
      </c>
      <c r="AG63" s="119" t="n">
        <f aca="false">SUMIFS(tabela_registros[VALOR],tabela_registros[MÊS],$AE$1,tabela_registros[DIA],juntotal3059718395[[#Headers],[29]],tabela_registros[REGISTRO],DADOS!$N$4,tabela_registros[TIPO],DADOS!$P$4,tabela_registros[CATEGORIA],despesavariávelconsolidadojun[[#This Row],[DESPESA VARIÁVEL]])</f>
        <v>0</v>
      </c>
      <c r="AH63" s="119" t="n">
        <f aca="false">SUMIFS(tabela_registros[VALOR],tabela_registros[MÊS],$AE$1,tabela_registros[DIA],juntotal3059718395[[#Headers],[30]],tabela_registros[REGISTRO],DADOS!$N$4,tabela_registros[TIPO],DADOS!$P$4,tabela_registros[CATEGORIA],despesavariávelconsolidadojun[[#This Row],[DESPESA VARIÁVEL]])</f>
        <v>0</v>
      </c>
      <c r="AI63" s="217" t="n">
        <f aca="false">SUMIFS(tabela_registros[VALOR],tabela_registros[MÊS],$AE$1,tabela_registros[DIA],juntotal3059718395[[#Headers],[31]],tabela_registros[REGISTRO],DADOS!$N$4,tabela_registros[TIPO],DADOS!$P$4,tabela_registros[CATEGORIA],despesavariávelconsolidadojun[[#This Row],[DESPESA VARIÁVEL]])</f>
        <v>0</v>
      </c>
      <c r="AJ63" s="149" t="n">
        <f aca="false">SUM(despesavariávelconsolidadojun[[#This Row],[1]:[31]])</f>
        <v>0</v>
      </c>
      <c r="AK63" s="143"/>
    </row>
    <row r="64" customFormat="false" ht="18" hidden="false" customHeight="true" outlineLevel="0" collapsed="false">
      <c r="B64" s="143"/>
      <c r="C64" s="144" t="str">
        <f aca="false">DADOS!$T$7</f>
        <v>🤝 DOAÇÃO</v>
      </c>
      <c r="D64" s="145" t="str">
        <f aca="false">IF(despesavariávelconsolidadojun[[#This Row],[TOTAL]]=0,"",IF(OR(despesavariávelconsolidadojun[[#This Row],[TOTAL]]=LARGE($AJ$60:$AJ$72,1),despesavariávelconsolidadojun[[#This Row],[TOTAL]]=LARGE($AJ$60:$AJ$72,2),despesavariávelconsolidadojun[[#This Row],[TOTAL]]=LARGE($AJ$60:$AJ$72,3),despesavariávelconsolidadojun[[#This Row],[TOTAL]]=LARGE($AJ$60:$AJ$72,4),despesavariávelconsolidadojun[[#This Row],[TOTAL]]=LARGE($AJ$60:$AJ$72,5)),DADOS!$I$8,""))</f>
        <v/>
      </c>
      <c r="E64" s="148" t="n">
        <f aca="false">SUMIFS(tabela_registros[VALOR],tabela_registros[MÊS],$AE$1,tabela_registros[DIA],juntotal3059718395[[#Headers],[1]],tabela_registros[REGISTRO],DADOS!$N$4,tabela_registros[TIPO],DADOS!$P$4,tabela_registros[CATEGORIA],despesavariávelconsolidadojun[[#This Row],[DESPESA VARIÁVEL]])</f>
        <v>0</v>
      </c>
      <c r="F64" s="119" t="n">
        <f aca="false">SUMIFS(tabela_registros[VALOR],tabela_registros[MÊS],$AE$1,tabela_registros[DIA],juntotal3059718395[[#Headers],[2]],tabela_registros[REGISTRO],DADOS!$N$4,tabela_registros[TIPO],DADOS!$P$4,tabela_registros[CATEGORIA],despesavariávelconsolidadojun[[#This Row],[DESPESA VARIÁVEL]])</f>
        <v>0</v>
      </c>
      <c r="G64" s="119" t="n">
        <f aca="false">SUMIFS(tabela_registros[VALOR],tabela_registros[MÊS],$AE$1,tabela_registros[DIA],juntotal3059718395[[#Headers],[3]],tabela_registros[REGISTRO],DADOS!$N$4,tabela_registros[TIPO],DADOS!$P$4,tabela_registros[CATEGORIA],despesavariávelconsolidadojun[[#This Row],[DESPESA VARIÁVEL]])</f>
        <v>0</v>
      </c>
      <c r="H64" s="119" t="n">
        <f aca="false">SUMIFS(tabela_registros[VALOR],tabela_registros[MÊS],$AE$1,tabela_registros[DIA],juntotal3059718395[[#Headers],[4]],tabela_registros[REGISTRO],DADOS!$N$4,tabela_registros[TIPO],DADOS!$P$4,tabela_registros[CATEGORIA],despesavariávelconsolidadojun[[#This Row],[DESPESA VARIÁVEL]])</f>
        <v>0</v>
      </c>
      <c r="I64" s="119" t="n">
        <f aca="false">SUMIFS(tabela_registros[VALOR],tabela_registros[MÊS],$AE$1,tabela_registros[DIA],juntotal3059718395[[#Headers],[5]],tabela_registros[REGISTRO],DADOS!$N$4,tabela_registros[TIPO],DADOS!$P$4,tabela_registros[CATEGORIA],despesavariávelconsolidadojun[[#This Row],[DESPESA VARIÁVEL]])</f>
        <v>0</v>
      </c>
      <c r="J64" s="119" t="n">
        <f aca="false">SUMIFS(tabela_registros[VALOR],tabela_registros[MÊS],$AE$1,tabela_registros[DIA],juntotal3059718395[[#Headers],[6]],tabela_registros[REGISTRO],DADOS!$N$4,tabela_registros[TIPO],DADOS!$P$4,tabela_registros[CATEGORIA],despesavariávelconsolidadojun[[#This Row],[DESPESA VARIÁVEL]])</f>
        <v>0</v>
      </c>
      <c r="K64" s="119" t="n">
        <f aca="false">SUMIFS(tabela_registros[VALOR],tabela_registros[MÊS],$AE$1,tabela_registros[DIA],juntotal3059718395[[#Headers],[7]],tabela_registros[REGISTRO],DADOS!$N$4,tabela_registros[TIPO],DADOS!$P$4,tabela_registros[CATEGORIA],despesavariávelconsolidadojun[[#This Row],[DESPESA VARIÁVEL]])</f>
        <v>0</v>
      </c>
      <c r="L64" s="119" t="n">
        <f aca="false">SUMIFS(tabela_registros[VALOR],tabela_registros[MÊS],$AE$1,tabela_registros[DIA],juntotal3059718395[[#Headers],[8]],tabela_registros[REGISTRO],DADOS!$N$4,tabela_registros[TIPO],DADOS!$P$4,tabela_registros[CATEGORIA],despesavariávelconsolidadojun[[#This Row],[DESPESA VARIÁVEL]])</f>
        <v>0</v>
      </c>
      <c r="M64" s="119" t="n">
        <f aca="false">SUMIFS(tabela_registros[VALOR],tabela_registros[MÊS],$AE$1,tabela_registros[DIA],juntotal3059718395[[#Headers],[9]],tabela_registros[REGISTRO],DADOS!$N$4,tabela_registros[TIPO],DADOS!$P$4,tabela_registros[CATEGORIA],despesavariávelconsolidadojun[[#This Row],[DESPESA VARIÁVEL]])</f>
        <v>0</v>
      </c>
      <c r="N64" s="119" t="n">
        <f aca="false">SUMIFS(tabela_registros[VALOR],tabela_registros[MÊS],$AE$1,tabela_registros[DIA],juntotal3059718395[[#Headers],[10]],tabela_registros[REGISTRO],DADOS!$N$4,tabela_registros[TIPO],DADOS!$P$4,tabela_registros[CATEGORIA],despesavariávelconsolidadojun[[#This Row],[DESPESA VARIÁVEL]])</f>
        <v>0</v>
      </c>
      <c r="O64" s="119" t="n">
        <f aca="false">SUMIFS(tabela_registros[VALOR],tabela_registros[MÊS],$AE$1,tabela_registros[DIA],juntotal3059718395[[#Headers],[11]],tabela_registros[REGISTRO],DADOS!$N$4,tabela_registros[TIPO],DADOS!$P$4,tabela_registros[CATEGORIA],despesavariávelconsolidadojun[[#This Row],[DESPESA VARIÁVEL]])</f>
        <v>0</v>
      </c>
      <c r="P64" s="119" t="n">
        <f aca="false">SUMIFS(tabela_registros[VALOR],tabela_registros[MÊS],$AE$1,tabela_registros[DIA],juntotal3059718395[[#Headers],[12]],tabela_registros[REGISTRO],DADOS!$N$4,tabela_registros[TIPO],DADOS!$P$4,tabela_registros[CATEGORIA],despesavariávelconsolidadojun[[#This Row],[DESPESA VARIÁVEL]])</f>
        <v>0</v>
      </c>
      <c r="Q64" s="119" t="n">
        <f aca="false">SUMIFS(tabela_registros[VALOR],tabela_registros[MÊS],$AE$1,tabela_registros[DIA],juntotal3059718395[[#Headers],[13]],tabela_registros[REGISTRO],DADOS!$N$4,tabela_registros[TIPO],DADOS!$P$4,tabela_registros[CATEGORIA],despesavariávelconsolidadojun[[#This Row],[DESPESA VARIÁVEL]])</f>
        <v>0</v>
      </c>
      <c r="R64" s="119" t="n">
        <f aca="false">SUMIFS(tabela_registros[VALOR],tabela_registros[MÊS],$AE$1,tabela_registros[DIA],juntotal3059718395[[#Headers],[14]],tabela_registros[REGISTRO],DADOS!$N$4,tabela_registros[TIPO],DADOS!$P$4,tabela_registros[CATEGORIA],despesavariávelconsolidadojun[[#This Row],[DESPESA VARIÁVEL]])</f>
        <v>0</v>
      </c>
      <c r="S64" s="119" t="n">
        <f aca="false">SUMIFS(tabela_registros[VALOR],tabela_registros[MÊS],$AE$1,tabela_registros[DIA],juntotal3059718395[[#Headers],[15]],tabela_registros[REGISTRO],DADOS!$N$4,tabela_registros[TIPO],DADOS!$P$4,tabela_registros[CATEGORIA],despesavariávelconsolidadojun[[#This Row],[DESPESA VARIÁVEL]])</f>
        <v>0</v>
      </c>
      <c r="T64" s="119" t="n">
        <f aca="false">SUMIFS(tabela_registros[VALOR],tabela_registros[MÊS],$AE$1,tabela_registros[DIA],juntotal3059718395[[#Headers],[16]],tabela_registros[REGISTRO],DADOS!$N$4,tabela_registros[TIPO],DADOS!$P$4,tabela_registros[CATEGORIA],despesavariávelconsolidadojun[[#This Row],[DESPESA VARIÁVEL]])</f>
        <v>0</v>
      </c>
      <c r="U64" s="119" t="n">
        <f aca="false">SUMIFS(tabela_registros[VALOR],tabela_registros[MÊS],$AE$1,tabela_registros[DIA],juntotal3059718395[[#Headers],[17]],tabela_registros[REGISTRO],DADOS!$N$4,tabela_registros[TIPO],DADOS!$P$4,tabela_registros[CATEGORIA],despesavariávelconsolidadojun[[#This Row],[DESPESA VARIÁVEL]])</f>
        <v>0</v>
      </c>
      <c r="V64" s="119" t="n">
        <f aca="false">SUMIFS(tabela_registros[VALOR],tabela_registros[MÊS],$AE$1,tabela_registros[DIA],juntotal3059718395[[#Headers],[18]],tabela_registros[REGISTRO],DADOS!$N$4,tabela_registros[TIPO],DADOS!$P$4,tabela_registros[CATEGORIA],despesavariávelconsolidadojun[[#This Row],[DESPESA VARIÁVEL]])</f>
        <v>0</v>
      </c>
      <c r="W64" s="119" t="n">
        <f aca="false">SUMIFS(tabela_registros[VALOR],tabela_registros[MÊS],$AE$1,tabela_registros[DIA],juntotal3059718395[[#Headers],[19]],tabela_registros[REGISTRO],DADOS!$N$4,tabela_registros[TIPO],DADOS!$P$4,tabela_registros[CATEGORIA],despesavariávelconsolidadojun[[#This Row],[DESPESA VARIÁVEL]])</f>
        <v>0</v>
      </c>
      <c r="X64" s="119" t="n">
        <f aca="false">SUMIFS(tabela_registros[VALOR],tabela_registros[MÊS],$AE$1,tabela_registros[DIA],juntotal3059718395[[#Headers],[20]],tabela_registros[REGISTRO],DADOS!$N$4,tabela_registros[TIPO],DADOS!$P$4,tabela_registros[CATEGORIA],despesavariávelconsolidadojun[[#This Row],[DESPESA VARIÁVEL]])</f>
        <v>0</v>
      </c>
      <c r="Y64" s="119" t="n">
        <f aca="false">SUMIFS(tabela_registros[VALOR],tabela_registros[MÊS],$AE$1,tabela_registros[DIA],juntotal3059718395[[#Headers],[21]],tabela_registros[REGISTRO],DADOS!$N$4,tabela_registros[TIPO],DADOS!$P$4,tabela_registros[CATEGORIA],despesavariávelconsolidadojun[[#This Row],[DESPESA VARIÁVEL]])</f>
        <v>0</v>
      </c>
      <c r="Z64" s="119" t="n">
        <f aca="false">SUMIFS(tabela_registros[VALOR],tabela_registros[MÊS],$AE$1,tabela_registros[DIA],juntotal3059718395[[#Headers],[22]],tabela_registros[REGISTRO],DADOS!$N$4,tabela_registros[TIPO],DADOS!$P$4,tabela_registros[CATEGORIA],despesavariávelconsolidadojun[[#This Row],[DESPESA VARIÁVEL]])</f>
        <v>0</v>
      </c>
      <c r="AA64" s="119" t="n">
        <f aca="false">SUMIFS(tabela_registros[VALOR],tabela_registros[MÊS],$AE$1,tabela_registros[DIA],juntotal3059718395[[#Headers],[23]],tabela_registros[REGISTRO],DADOS!$N$4,tabela_registros[TIPO],DADOS!$P$4,tabela_registros[CATEGORIA],despesavariávelconsolidadojun[[#This Row],[DESPESA VARIÁVEL]])</f>
        <v>0</v>
      </c>
      <c r="AB64" s="119" t="n">
        <f aca="false">SUMIFS(tabela_registros[VALOR],tabela_registros[MÊS],$AE$1,tabela_registros[DIA],juntotal3059718395[[#Headers],[24]],tabela_registros[REGISTRO],DADOS!$N$4,tabela_registros[TIPO],DADOS!$P$4,tabela_registros[CATEGORIA],despesavariávelconsolidadojun[[#This Row],[DESPESA VARIÁVEL]])</f>
        <v>0</v>
      </c>
      <c r="AC64" s="119" t="n">
        <f aca="false">SUMIFS(tabela_registros[VALOR],tabela_registros[MÊS],$AE$1,tabela_registros[DIA],juntotal3059718395[[#Headers],[25]],tabela_registros[REGISTRO],DADOS!$N$4,tabela_registros[TIPO],DADOS!$P$4,tabela_registros[CATEGORIA],despesavariávelconsolidadojun[[#This Row],[DESPESA VARIÁVEL]])</f>
        <v>0</v>
      </c>
      <c r="AD64" s="119" t="n">
        <f aca="false">SUMIFS(tabela_registros[VALOR],tabela_registros[MÊS],$AE$1,tabela_registros[DIA],juntotal3059718395[[#Headers],[26]],tabela_registros[REGISTRO],DADOS!$N$4,tabela_registros[TIPO],DADOS!$P$4,tabela_registros[CATEGORIA],despesavariávelconsolidadojun[[#This Row],[DESPESA VARIÁVEL]])</f>
        <v>0</v>
      </c>
      <c r="AE64" s="119" t="n">
        <f aca="false">SUMIFS(tabela_registros[VALOR],tabela_registros[MÊS],$AE$1,tabela_registros[DIA],juntotal3059718395[[#Headers],[27]],tabela_registros[REGISTRO],DADOS!$N$4,tabela_registros[TIPO],DADOS!$P$4,tabela_registros[CATEGORIA],despesavariávelconsolidadojun[[#This Row],[DESPESA VARIÁVEL]])</f>
        <v>0</v>
      </c>
      <c r="AF64" s="119" t="n">
        <f aca="false">SUMIFS(tabela_registros[VALOR],tabela_registros[MÊS],$AE$1,tabela_registros[DIA],juntotal3059718395[[#Headers],[28]],tabela_registros[REGISTRO],DADOS!$N$4,tabela_registros[TIPO],DADOS!$P$4,tabela_registros[CATEGORIA],despesavariávelconsolidadojun[[#This Row],[DESPESA VARIÁVEL]])</f>
        <v>0</v>
      </c>
      <c r="AG64" s="119" t="n">
        <f aca="false">SUMIFS(tabela_registros[VALOR],tabela_registros[MÊS],$AE$1,tabela_registros[DIA],juntotal3059718395[[#Headers],[29]],tabela_registros[REGISTRO],DADOS!$N$4,tabela_registros[TIPO],DADOS!$P$4,tabela_registros[CATEGORIA],despesavariávelconsolidadojun[[#This Row],[DESPESA VARIÁVEL]])</f>
        <v>0</v>
      </c>
      <c r="AH64" s="119" t="n">
        <f aca="false">SUMIFS(tabela_registros[VALOR],tabela_registros[MÊS],$AE$1,tabela_registros[DIA],juntotal3059718395[[#Headers],[30]],tabela_registros[REGISTRO],DADOS!$N$4,tabela_registros[TIPO],DADOS!$P$4,tabela_registros[CATEGORIA],despesavariávelconsolidadojun[[#This Row],[DESPESA VARIÁVEL]])</f>
        <v>0</v>
      </c>
      <c r="AI64" s="217" t="n">
        <f aca="false">SUMIFS(tabela_registros[VALOR],tabela_registros[MÊS],$AE$1,tabela_registros[DIA],juntotal3059718395[[#Headers],[31]],tabela_registros[REGISTRO],DADOS!$N$4,tabela_registros[TIPO],DADOS!$P$4,tabela_registros[CATEGORIA],despesavariávelconsolidadojun[[#This Row],[DESPESA VARIÁVEL]])</f>
        <v>0</v>
      </c>
      <c r="AJ64" s="149" t="n">
        <f aca="false">SUM(despesavariávelconsolidadojun[[#This Row],[1]:[31]])</f>
        <v>0</v>
      </c>
      <c r="AK64" s="143"/>
    </row>
    <row r="65" customFormat="false" ht="18" hidden="false" customHeight="true" outlineLevel="0" collapsed="false">
      <c r="B65" s="143"/>
      <c r="C65" s="144" t="str">
        <f aca="false">DADOS!$T$8</f>
        <v>📖 EDUCAÇÃO</v>
      </c>
      <c r="D65" s="145" t="str">
        <f aca="false">IF(despesavariávelconsolidadojun[[#This Row],[TOTAL]]=0,"",IF(OR(despesavariávelconsolidadojun[[#This Row],[TOTAL]]=LARGE($AJ$60:$AJ$72,1),despesavariávelconsolidadojun[[#This Row],[TOTAL]]=LARGE($AJ$60:$AJ$72,2),despesavariávelconsolidadojun[[#This Row],[TOTAL]]=LARGE($AJ$60:$AJ$72,3),despesavariávelconsolidadojun[[#This Row],[TOTAL]]=LARGE($AJ$60:$AJ$72,4),despesavariávelconsolidadojun[[#This Row],[TOTAL]]=LARGE($AJ$60:$AJ$72,5)),DADOS!$I$8,""))</f>
        <v/>
      </c>
      <c r="E65" s="148" t="n">
        <f aca="false">SUMIFS(tabela_registros[VALOR],tabela_registros[MÊS],$AE$1,tabela_registros[DIA],juntotal3059718395[[#Headers],[1]],tabela_registros[REGISTRO],DADOS!$N$4,tabela_registros[TIPO],DADOS!$P$4,tabela_registros[CATEGORIA],despesavariávelconsolidadojun[[#This Row],[DESPESA VARIÁVEL]])</f>
        <v>0</v>
      </c>
      <c r="F65" s="119" t="n">
        <f aca="false">SUMIFS(tabela_registros[VALOR],tabela_registros[MÊS],$AE$1,tabela_registros[DIA],juntotal3059718395[[#Headers],[2]],tabela_registros[REGISTRO],DADOS!$N$4,tabela_registros[TIPO],DADOS!$P$4,tabela_registros[CATEGORIA],despesavariávelconsolidadojun[[#This Row],[DESPESA VARIÁVEL]])</f>
        <v>0</v>
      </c>
      <c r="G65" s="119" t="n">
        <f aca="false">SUMIFS(tabela_registros[VALOR],tabela_registros[MÊS],$AE$1,tabela_registros[DIA],juntotal3059718395[[#Headers],[3]],tabela_registros[REGISTRO],DADOS!$N$4,tabela_registros[TIPO],DADOS!$P$4,tabela_registros[CATEGORIA],despesavariávelconsolidadojun[[#This Row],[DESPESA VARIÁVEL]])</f>
        <v>0</v>
      </c>
      <c r="H65" s="119" t="n">
        <f aca="false">SUMIFS(tabela_registros[VALOR],tabela_registros[MÊS],$AE$1,tabela_registros[DIA],juntotal3059718395[[#Headers],[4]],tabela_registros[REGISTRO],DADOS!$N$4,tabela_registros[TIPO],DADOS!$P$4,tabela_registros[CATEGORIA],despesavariávelconsolidadojun[[#This Row],[DESPESA VARIÁVEL]])</f>
        <v>0</v>
      </c>
      <c r="I65" s="119" t="n">
        <f aca="false">SUMIFS(tabela_registros[VALOR],tabela_registros[MÊS],$AE$1,tabela_registros[DIA],juntotal3059718395[[#Headers],[5]],tabela_registros[REGISTRO],DADOS!$N$4,tabela_registros[TIPO],DADOS!$P$4,tabela_registros[CATEGORIA],despesavariávelconsolidadojun[[#This Row],[DESPESA VARIÁVEL]])</f>
        <v>0</v>
      </c>
      <c r="J65" s="119" t="n">
        <f aca="false">SUMIFS(tabela_registros[VALOR],tabela_registros[MÊS],$AE$1,tabela_registros[DIA],juntotal3059718395[[#Headers],[6]],tabela_registros[REGISTRO],DADOS!$N$4,tabela_registros[TIPO],DADOS!$P$4,tabela_registros[CATEGORIA],despesavariávelconsolidadojun[[#This Row],[DESPESA VARIÁVEL]])</f>
        <v>0</v>
      </c>
      <c r="K65" s="119" t="n">
        <f aca="false">SUMIFS(tabela_registros[VALOR],tabela_registros[MÊS],$AE$1,tabela_registros[DIA],juntotal3059718395[[#Headers],[7]],tabela_registros[REGISTRO],DADOS!$N$4,tabela_registros[TIPO],DADOS!$P$4,tabela_registros[CATEGORIA],despesavariávelconsolidadojun[[#This Row],[DESPESA VARIÁVEL]])</f>
        <v>0</v>
      </c>
      <c r="L65" s="119" t="n">
        <f aca="false">SUMIFS(tabela_registros[VALOR],tabela_registros[MÊS],$AE$1,tabela_registros[DIA],juntotal3059718395[[#Headers],[8]],tabela_registros[REGISTRO],DADOS!$N$4,tabela_registros[TIPO],DADOS!$P$4,tabela_registros[CATEGORIA],despesavariávelconsolidadojun[[#This Row],[DESPESA VARIÁVEL]])</f>
        <v>0</v>
      </c>
      <c r="M65" s="119" t="n">
        <f aca="false">SUMIFS(tabela_registros[VALOR],tabela_registros[MÊS],$AE$1,tabela_registros[DIA],juntotal3059718395[[#Headers],[9]],tabela_registros[REGISTRO],DADOS!$N$4,tabela_registros[TIPO],DADOS!$P$4,tabela_registros[CATEGORIA],despesavariávelconsolidadojun[[#This Row],[DESPESA VARIÁVEL]])</f>
        <v>0</v>
      </c>
      <c r="N65" s="119" t="n">
        <f aca="false">SUMIFS(tabela_registros[VALOR],tabela_registros[MÊS],$AE$1,tabela_registros[DIA],juntotal3059718395[[#Headers],[10]],tabela_registros[REGISTRO],DADOS!$N$4,tabela_registros[TIPO],DADOS!$P$4,tabela_registros[CATEGORIA],despesavariávelconsolidadojun[[#This Row],[DESPESA VARIÁVEL]])</f>
        <v>0</v>
      </c>
      <c r="O65" s="119" t="n">
        <f aca="false">SUMIFS(tabela_registros[VALOR],tabela_registros[MÊS],$AE$1,tabela_registros[DIA],juntotal3059718395[[#Headers],[11]],tabela_registros[REGISTRO],DADOS!$N$4,tabela_registros[TIPO],DADOS!$P$4,tabela_registros[CATEGORIA],despesavariávelconsolidadojun[[#This Row],[DESPESA VARIÁVEL]])</f>
        <v>0</v>
      </c>
      <c r="P65" s="119" t="n">
        <f aca="false">SUMIFS(tabela_registros[VALOR],tabela_registros[MÊS],$AE$1,tabela_registros[DIA],juntotal3059718395[[#Headers],[12]],tabela_registros[REGISTRO],DADOS!$N$4,tabela_registros[TIPO],DADOS!$P$4,tabela_registros[CATEGORIA],despesavariávelconsolidadojun[[#This Row],[DESPESA VARIÁVEL]])</f>
        <v>0</v>
      </c>
      <c r="Q65" s="119" t="n">
        <f aca="false">SUMIFS(tabela_registros[VALOR],tabela_registros[MÊS],$AE$1,tabela_registros[DIA],juntotal3059718395[[#Headers],[13]],tabela_registros[REGISTRO],DADOS!$N$4,tabela_registros[TIPO],DADOS!$P$4,tabela_registros[CATEGORIA],despesavariávelconsolidadojun[[#This Row],[DESPESA VARIÁVEL]])</f>
        <v>0</v>
      </c>
      <c r="R65" s="119" t="n">
        <f aca="false">SUMIFS(tabela_registros[VALOR],tabela_registros[MÊS],$AE$1,tabela_registros[DIA],juntotal3059718395[[#Headers],[14]],tabela_registros[REGISTRO],DADOS!$N$4,tabela_registros[TIPO],DADOS!$P$4,tabela_registros[CATEGORIA],despesavariávelconsolidadojun[[#This Row],[DESPESA VARIÁVEL]])</f>
        <v>0</v>
      </c>
      <c r="S65" s="119" t="n">
        <f aca="false">SUMIFS(tabela_registros[VALOR],tabela_registros[MÊS],$AE$1,tabela_registros[DIA],juntotal3059718395[[#Headers],[15]],tabela_registros[REGISTRO],DADOS!$N$4,tabela_registros[TIPO],DADOS!$P$4,tabela_registros[CATEGORIA],despesavariávelconsolidadojun[[#This Row],[DESPESA VARIÁVEL]])</f>
        <v>0</v>
      </c>
      <c r="T65" s="119" t="n">
        <f aca="false">SUMIFS(tabela_registros[VALOR],tabela_registros[MÊS],$AE$1,tabela_registros[DIA],juntotal3059718395[[#Headers],[16]],tabela_registros[REGISTRO],DADOS!$N$4,tabela_registros[TIPO],DADOS!$P$4,tabela_registros[CATEGORIA],despesavariávelconsolidadojun[[#This Row],[DESPESA VARIÁVEL]])</f>
        <v>0</v>
      </c>
      <c r="U65" s="119" t="n">
        <f aca="false">SUMIFS(tabela_registros[VALOR],tabela_registros[MÊS],$AE$1,tabela_registros[DIA],juntotal3059718395[[#Headers],[17]],tabela_registros[REGISTRO],DADOS!$N$4,tabela_registros[TIPO],DADOS!$P$4,tabela_registros[CATEGORIA],despesavariávelconsolidadojun[[#This Row],[DESPESA VARIÁVEL]])</f>
        <v>0</v>
      </c>
      <c r="V65" s="119" t="n">
        <f aca="false">SUMIFS(tabela_registros[VALOR],tabela_registros[MÊS],$AE$1,tabela_registros[DIA],juntotal3059718395[[#Headers],[18]],tabela_registros[REGISTRO],DADOS!$N$4,tabela_registros[TIPO],DADOS!$P$4,tabela_registros[CATEGORIA],despesavariávelconsolidadojun[[#This Row],[DESPESA VARIÁVEL]])</f>
        <v>0</v>
      </c>
      <c r="W65" s="119" t="n">
        <f aca="false">SUMIFS(tabela_registros[VALOR],tabela_registros[MÊS],$AE$1,tabela_registros[DIA],juntotal3059718395[[#Headers],[19]],tabela_registros[REGISTRO],DADOS!$N$4,tabela_registros[TIPO],DADOS!$P$4,tabela_registros[CATEGORIA],despesavariávelconsolidadojun[[#This Row],[DESPESA VARIÁVEL]])</f>
        <v>0</v>
      </c>
      <c r="X65" s="119" t="n">
        <f aca="false">SUMIFS(tabela_registros[VALOR],tabela_registros[MÊS],$AE$1,tabela_registros[DIA],juntotal3059718395[[#Headers],[20]],tabela_registros[REGISTRO],DADOS!$N$4,tabela_registros[TIPO],DADOS!$P$4,tabela_registros[CATEGORIA],despesavariávelconsolidadojun[[#This Row],[DESPESA VARIÁVEL]])</f>
        <v>0</v>
      </c>
      <c r="Y65" s="119" t="n">
        <f aca="false">SUMIFS(tabela_registros[VALOR],tabela_registros[MÊS],$AE$1,tabela_registros[DIA],juntotal3059718395[[#Headers],[21]],tabela_registros[REGISTRO],DADOS!$N$4,tabela_registros[TIPO],DADOS!$P$4,tabela_registros[CATEGORIA],despesavariávelconsolidadojun[[#This Row],[DESPESA VARIÁVEL]])</f>
        <v>0</v>
      </c>
      <c r="Z65" s="119" t="n">
        <f aca="false">SUMIFS(tabela_registros[VALOR],tabela_registros[MÊS],$AE$1,tabela_registros[DIA],juntotal3059718395[[#Headers],[22]],tabela_registros[REGISTRO],DADOS!$N$4,tabela_registros[TIPO],DADOS!$P$4,tabela_registros[CATEGORIA],despesavariávelconsolidadojun[[#This Row],[DESPESA VARIÁVEL]])</f>
        <v>0</v>
      </c>
      <c r="AA65" s="119" t="n">
        <f aca="false">SUMIFS(tabela_registros[VALOR],tabela_registros[MÊS],$AE$1,tabela_registros[DIA],juntotal3059718395[[#Headers],[23]],tabela_registros[REGISTRO],DADOS!$N$4,tabela_registros[TIPO],DADOS!$P$4,tabela_registros[CATEGORIA],despesavariávelconsolidadojun[[#This Row],[DESPESA VARIÁVEL]])</f>
        <v>0</v>
      </c>
      <c r="AB65" s="119" t="n">
        <f aca="false">SUMIFS(tabela_registros[VALOR],tabela_registros[MÊS],$AE$1,tabela_registros[DIA],juntotal3059718395[[#Headers],[24]],tabela_registros[REGISTRO],DADOS!$N$4,tabela_registros[TIPO],DADOS!$P$4,tabela_registros[CATEGORIA],despesavariávelconsolidadojun[[#This Row],[DESPESA VARIÁVEL]])</f>
        <v>0</v>
      </c>
      <c r="AC65" s="119" t="n">
        <f aca="false">SUMIFS(tabela_registros[VALOR],tabela_registros[MÊS],$AE$1,tabela_registros[DIA],juntotal3059718395[[#Headers],[25]],tabela_registros[REGISTRO],DADOS!$N$4,tabela_registros[TIPO],DADOS!$P$4,tabela_registros[CATEGORIA],despesavariávelconsolidadojun[[#This Row],[DESPESA VARIÁVEL]])</f>
        <v>0</v>
      </c>
      <c r="AD65" s="119" t="n">
        <f aca="false">SUMIFS(tabela_registros[VALOR],tabela_registros[MÊS],$AE$1,tabela_registros[DIA],juntotal3059718395[[#Headers],[26]],tabela_registros[REGISTRO],DADOS!$N$4,tabela_registros[TIPO],DADOS!$P$4,tabela_registros[CATEGORIA],despesavariávelconsolidadojun[[#This Row],[DESPESA VARIÁVEL]])</f>
        <v>0</v>
      </c>
      <c r="AE65" s="119" t="n">
        <f aca="false">SUMIFS(tabela_registros[VALOR],tabela_registros[MÊS],$AE$1,tabela_registros[DIA],juntotal3059718395[[#Headers],[27]],tabela_registros[REGISTRO],DADOS!$N$4,tabela_registros[TIPO],DADOS!$P$4,tabela_registros[CATEGORIA],despesavariávelconsolidadojun[[#This Row],[DESPESA VARIÁVEL]])</f>
        <v>0</v>
      </c>
      <c r="AF65" s="119" t="n">
        <f aca="false">SUMIFS(tabela_registros[VALOR],tabela_registros[MÊS],$AE$1,tabela_registros[DIA],juntotal3059718395[[#Headers],[28]],tabela_registros[REGISTRO],DADOS!$N$4,tabela_registros[TIPO],DADOS!$P$4,tabela_registros[CATEGORIA],despesavariávelconsolidadojun[[#This Row],[DESPESA VARIÁVEL]])</f>
        <v>0</v>
      </c>
      <c r="AG65" s="119" t="n">
        <f aca="false">SUMIFS(tabela_registros[VALOR],tabela_registros[MÊS],$AE$1,tabela_registros[DIA],juntotal3059718395[[#Headers],[29]],tabela_registros[REGISTRO],DADOS!$N$4,tabela_registros[TIPO],DADOS!$P$4,tabela_registros[CATEGORIA],despesavariávelconsolidadojun[[#This Row],[DESPESA VARIÁVEL]])</f>
        <v>0</v>
      </c>
      <c r="AH65" s="119" t="n">
        <f aca="false">SUMIFS(tabela_registros[VALOR],tabela_registros[MÊS],$AE$1,tabela_registros[DIA],juntotal3059718395[[#Headers],[30]],tabela_registros[REGISTRO],DADOS!$N$4,tabela_registros[TIPO],DADOS!$P$4,tabela_registros[CATEGORIA],despesavariávelconsolidadojun[[#This Row],[DESPESA VARIÁVEL]])</f>
        <v>0</v>
      </c>
      <c r="AI65" s="217" t="n">
        <f aca="false">SUMIFS(tabela_registros[VALOR],tabela_registros[MÊS],$AE$1,tabela_registros[DIA],juntotal3059718395[[#Headers],[31]],tabela_registros[REGISTRO],DADOS!$N$4,tabela_registros[TIPO],DADOS!$P$4,tabela_registros[CATEGORIA],despesavariávelconsolidadojun[[#This Row],[DESPESA VARIÁVEL]])</f>
        <v>0</v>
      </c>
      <c r="AJ65" s="149" t="n">
        <f aca="false">SUM(despesavariávelconsolidadojun[[#This Row],[1]:[31]])</f>
        <v>0</v>
      </c>
      <c r="AK65" s="143"/>
    </row>
    <row r="66" customFormat="false" ht="18" hidden="false" customHeight="true" outlineLevel="0" collapsed="false">
      <c r="B66" s="143"/>
      <c r="C66" s="144" t="str">
        <f aca="false">DADOS!$T$9</f>
        <v>🎭 LAZER</v>
      </c>
      <c r="D66" s="145" t="str">
        <f aca="false">IF(despesavariávelconsolidadojun[[#This Row],[TOTAL]]=0,"",IF(OR(despesavariávelconsolidadojun[[#This Row],[TOTAL]]=LARGE($AJ$60:$AJ$72,1),despesavariávelconsolidadojun[[#This Row],[TOTAL]]=LARGE($AJ$60:$AJ$72,2),despesavariávelconsolidadojun[[#This Row],[TOTAL]]=LARGE($AJ$60:$AJ$72,3),despesavariávelconsolidadojun[[#This Row],[TOTAL]]=LARGE($AJ$60:$AJ$72,4),despesavariávelconsolidadojun[[#This Row],[TOTAL]]=LARGE($AJ$60:$AJ$72,5)),DADOS!$I$8,""))</f>
        <v/>
      </c>
      <c r="E66" s="148" t="n">
        <f aca="false">SUMIFS(tabela_registros[VALOR],tabela_registros[MÊS],$AE$1,tabela_registros[DIA],juntotal3059718395[[#Headers],[1]],tabela_registros[REGISTRO],DADOS!$N$4,tabela_registros[TIPO],DADOS!$P$4,tabela_registros[CATEGORIA],despesavariávelconsolidadojun[[#This Row],[DESPESA VARIÁVEL]])</f>
        <v>0</v>
      </c>
      <c r="F66" s="119" t="n">
        <f aca="false">SUMIFS(tabela_registros[VALOR],tabela_registros[MÊS],$AE$1,tabela_registros[DIA],juntotal3059718395[[#Headers],[2]],tabela_registros[REGISTRO],DADOS!$N$4,tabela_registros[TIPO],DADOS!$P$4,tabela_registros[CATEGORIA],despesavariávelconsolidadojun[[#This Row],[DESPESA VARIÁVEL]])</f>
        <v>0</v>
      </c>
      <c r="G66" s="119" t="n">
        <f aca="false">SUMIFS(tabela_registros[VALOR],tabela_registros[MÊS],$AE$1,tabela_registros[DIA],juntotal3059718395[[#Headers],[3]],tabela_registros[REGISTRO],DADOS!$N$4,tabela_registros[TIPO],DADOS!$P$4,tabela_registros[CATEGORIA],despesavariávelconsolidadojun[[#This Row],[DESPESA VARIÁVEL]])</f>
        <v>0</v>
      </c>
      <c r="H66" s="119" t="n">
        <f aca="false">SUMIFS(tabela_registros[VALOR],tabela_registros[MÊS],$AE$1,tabela_registros[DIA],juntotal3059718395[[#Headers],[4]],tabela_registros[REGISTRO],DADOS!$N$4,tabela_registros[TIPO],DADOS!$P$4,tabela_registros[CATEGORIA],despesavariávelconsolidadojun[[#This Row],[DESPESA VARIÁVEL]])</f>
        <v>0</v>
      </c>
      <c r="I66" s="119" t="n">
        <f aca="false">SUMIFS(tabela_registros[VALOR],tabela_registros[MÊS],$AE$1,tabela_registros[DIA],juntotal3059718395[[#Headers],[5]],tabela_registros[REGISTRO],DADOS!$N$4,tabela_registros[TIPO],DADOS!$P$4,tabela_registros[CATEGORIA],despesavariávelconsolidadojun[[#This Row],[DESPESA VARIÁVEL]])</f>
        <v>0</v>
      </c>
      <c r="J66" s="119" t="n">
        <f aca="false">SUMIFS(tabela_registros[VALOR],tabela_registros[MÊS],$AE$1,tabela_registros[DIA],juntotal3059718395[[#Headers],[6]],tabela_registros[REGISTRO],DADOS!$N$4,tabela_registros[TIPO],DADOS!$P$4,tabela_registros[CATEGORIA],despesavariávelconsolidadojun[[#This Row],[DESPESA VARIÁVEL]])</f>
        <v>0</v>
      </c>
      <c r="K66" s="119" t="n">
        <f aca="false">SUMIFS(tabela_registros[VALOR],tabela_registros[MÊS],$AE$1,tabela_registros[DIA],juntotal3059718395[[#Headers],[7]],tabela_registros[REGISTRO],DADOS!$N$4,tabela_registros[TIPO],DADOS!$P$4,tabela_registros[CATEGORIA],despesavariávelconsolidadojun[[#This Row],[DESPESA VARIÁVEL]])</f>
        <v>0</v>
      </c>
      <c r="L66" s="119" t="n">
        <f aca="false">SUMIFS(tabela_registros[VALOR],tabela_registros[MÊS],$AE$1,tabela_registros[DIA],juntotal3059718395[[#Headers],[8]],tabela_registros[REGISTRO],DADOS!$N$4,tabela_registros[TIPO],DADOS!$P$4,tabela_registros[CATEGORIA],despesavariávelconsolidadojun[[#This Row],[DESPESA VARIÁVEL]])</f>
        <v>0</v>
      </c>
      <c r="M66" s="119" t="n">
        <f aca="false">SUMIFS(tabela_registros[VALOR],tabela_registros[MÊS],$AE$1,tabela_registros[DIA],juntotal3059718395[[#Headers],[9]],tabela_registros[REGISTRO],DADOS!$N$4,tabela_registros[TIPO],DADOS!$P$4,tabela_registros[CATEGORIA],despesavariávelconsolidadojun[[#This Row],[DESPESA VARIÁVEL]])</f>
        <v>0</v>
      </c>
      <c r="N66" s="119" t="n">
        <f aca="false">SUMIFS(tabela_registros[VALOR],tabela_registros[MÊS],$AE$1,tabela_registros[DIA],juntotal3059718395[[#Headers],[10]],tabela_registros[REGISTRO],DADOS!$N$4,tabela_registros[TIPO],DADOS!$P$4,tabela_registros[CATEGORIA],despesavariávelconsolidadojun[[#This Row],[DESPESA VARIÁVEL]])</f>
        <v>0</v>
      </c>
      <c r="O66" s="119" t="n">
        <f aca="false">SUMIFS(tabela_registros[VALOR],tabela_registros[MÊS],$AE$1,tabela_registros[DIA],juntotal3059718395[[#Headers],[11]],tabela_registros[REGISTRO],DADOS!$N$4,tabela_registros[TIPO],DADOS!$P$4,tabela_registros[CATEGORIA],despesavariávelconsolidadojun[[#This Row],[DESPESA VARIÁVEL]])</f>
        <v>0</v>
      </c>
      <c r="P66" s="119" t="n">
        <f aca="false">SUMIFS(tabela_registros[VALOR],tabela_registros[MÊS],$AE$1,tabela_registros[DIA],juntotal3059718395[[#Headers],[12]],tabela_registros[REGISTRO],DADOS!$N$4,tabela_registros[TIPO],DADOS!$P$4,tabela_registros[CATEGORIA],despesavariávelconsolidadojun[[#This Row],[DESPESA VARIÁVEL]])</f>
        <v>0</v>
      </c>
      <c r="Q66" s="119" t="n">
        <f aca="false">SUMIFS(tabela_registros[VALOR],tabela_registros[MÊS],$AE$1,tabela_registros[DIA],juntotal3059718395[[#Headers],[13]],tabela_registros[REGISTRO],DADOS!$N$4,tabela_registros[TIPO],DADOS!$P$4,tabela_registros[CATEGORIA],despesavariávelconsolidadojun[[#This Row],[DESPESA VARIÁVEL]])</f>
        <v>0</v>
      </c>
      <c r="R66" s="119" t="n">
        <f aca="false">SUMIFS(tabela_registros[VALOR],tabela_registros[MÊS],$AE$1,tabela_registros[DIA],juntotal3059718395[[#Headers],[14]],tabela_registros[REGISTRO],DADOS!$N$4,tabela_registros[TIPO],DADOS!$P$4,tabela_registros[CATEGORIA],despesavariávelconsolidadojun[[#This Row],[DESPESA VARIÁVEL]])</f>
        <v>0</v>
      </c>
      <c r="S66" s="119" t="n">
        <f aca="false">SUMIFS(tabela_registros[VALOR],tabela_registros[MÊS],$AE$1,tabela_registros[DIA],juntotal3059718395[[#Headers],[15]],tabela_registros[REGISTRO],DADOS!$N$4,tabela_registros[TIPO],DADOS!$P$4,tabela_registros[CATEGORIA],despesavariávelconsolidadojun[[#This Row],[DESPESA VARIÁVEL]])</f>
        <v>0</v>
      </c>
      <c r="T66" s="119" t="n">
        <f aca="false">SUMIFS(tabela_registros[VALOR],tabela_registros[MÊS],$AE$1,tabela_registros[DIA],juntotal3059718395[[#Headers],[16]],tabela_registros[REGISTRO],DADOS!$N$4,tabela_registros[TIPO],DADOS!$P$4,tabela_registros[CATEGORIA],despesavariávelconsolidadojun[[#This Row],[DESPESA VARIÁVEL]])</f>
        <v>0</v>
      </c>
      <c r="U66" s="119" t="n">
        <f aca="false">SUMIFS(tabela_registros[VALOR],tabela_registros[MÊS],$AE$1,tabela_registros[DIA],juntotal3059718395[[#Headers],[17]],tabela_registros[REGISTRO],DADOS!$N$4,tabela_registros[TIPO],DADOS!$P$4,tabela_registros[CATEGORIA],despesavariávelconsolidadojun[[#This Row],[DESPESA VARIÁVEL]])</f>
        <v>0</v>
      </c>
      <c r="V66" s="119" t="n">
        <f aca="false">SUMIFS(tabela_registros[VALOR],tabela_registros[MÊS],$AE$1,tabela_registros[DIA],juntotal3059718395[[#Headers],[18]],tabela_registros[REGISTRO],DADOS!$N$4,tabela_registros[TIPO],DADOS!$P$4,tabela_registros[CATEGORIA],despesavariávelconsolidadojun[[#This Row],[DESPESA VARIÁVEL]])</f>
        <v>0</v>
      </c>
      <c r="W66" s="119" t="n">
        <f aca="false">SUMIFS(tabela_registros[VALOR],tabela_registros[MÊS],$AE$1,tabela_registros[DIA],juntotal3059718395[[#Headers],[19]],tabela_registros[REGISTRO],DADOS!$N$4,tabela_registros[TIPO],DADOS!$P$4,tabela_registros[CATEGORIA],despesavariávelconsolidadojun[[#This Row],[DESPESA VARIÁVEL]])</f>
        <v>0</v>
      </c>
      <c r="X66" s="119" t="n">
        <f aca="false">SUMIFS(tabela_registros[VALOR],tabela_registros[MÊS],$AE$1,tabela_registros[DIA],juntotal3059718395[[#Headers],[20]],tabela_registros[REGISTRO],DADOS!$N$4,tabela_registros[TIPO],DADOS!$P$4,tabela_registros[CATEGORIA],despesavariávelconsolidadojun[[#This Row],[DESPESA VARIÁVEL]])</f>
        <v>0</v>
      </c>
      <c r="Y66" s="119" t="n">
        <f aca="false">SUMIFS(tabela_registros[VALOR],tabela_registros[MÊS],$AE$1,tabela_registros[DIA],juntotal3059718395[[#Headers],[21]],tabela_registros[REGISTRO],DADOS!$N$4,tabela_registros[TIPO],DADOS!$P$4,tabela_registros[CATEGORIA],despesavariávelconsolidadojun[[#This Row],[DESPESA VARIÁVEL]])</f>
        <v>0</v>
      </c>
      <c r="Z66" s="119" t="n">
        <f aca="false">SUMIFS(tabela_registros[VALOR],tabela_registros[MÊS],$AE$1,tabela_registros[DIA],juntotal3059718395[[#Headers],[22]],tabela_registros[REGISTRO],DADOS!$N$4,tabela_registros[TIPO],DADOS!$P$4,tabela_registros[CATEGORIA],despesavariávelconsolidadojun[[#This Row],[DESPESA VARIÁVEL]])</f>
        <v>0</v>
      </c>
      <c r="AA66" s="119" t="n">
        <f aca="false">SUMIFS(tabela_registros[VALOR],tabela_registros[MÊS],$AE$1,tabela_registros[DIA],juntotal3059718395[[#Headers],[23]],tabela_registros[REGISTRO],DADOS!$N$4,tabela_registros[TIPO],DADOS!$P$4,tabela_registros[CATEGORIA],despesavariávelconsolidadojun[[#This Row],[DESPESA VARIÁVEL]])</f>
        <v>0</v>
      </c>
      <c r="AB66" s="119" t="n">
        <f aca="false">SUMIFS(tabela_registros[VALOR],tabela_registros[MÊS],$AE$1,tabela_registros[DIA],juntotal3059718395[[#Headers],[24]],tabela_registros[REGISTRO],DADOS!$N$4,tabela_registros[TIPO],DADOS!$P$4,tabela_registros[CATEGORIA],despesavariávelconsolidadojun[[#This Row],[DESPESA VARIÁVEL]])</f>
        <v>0</v>
      </c>
      <c r="AC66" s="119" t="n">
        <f aca="false">SUMIFS(tabela_registros[VALOR],tabela_registros[MÊS],$AE$1,tabela_registros[DIA],juntotal3059718395[[#Headers],[25]],tabela_registros[REGISTRO],DADOS!$N$4,tabela_registros[TIPO],DADOS!$P$4,tabela_registros[CATEGORIA],despesavariávelconsolidadojun[[#This Row],[DESPESA VARIÁVEL]])</f>
        <v>0</v>
      </c>
      <c r="AD66" s="119" t="n">
        <f aca="false">SUMIFS(tabela_registros[VALOR],tabela_registros[MÊS],$AE$1,tabela_registros[DIA],juntotal3059718395[[#Headers],[26]],tabela_registros[REGISTRO],DADOS!$N$4,tabela_registros[TIPO],DADOS!$P$4,tabela_registros[CATEGORIA],despesavariávelconsolidadojun[[#This Row],[DESPESA VARIÁVEL]])</f>
        <v>0</v>
      </c>
      <c r="AE66" s="119" t="n">
        <f aca="false">SUMIFS(tabela_registros[VALOR],tabela_registros[MÊS],$AE$1,tabela_registros[DIA],juntotal3059718395[[#Headers],[27]],tabela_registros[REGISTRO],DADOS!$N$4,tabela_registros[TIPO],DADOS!$P$4,tabela_registros[CATEGORIA],despesavariávelconsolidadojun[[#This Row],[DESPESA VARIÁVEL]])</f>
        <v>0</v>
      </c>
      <c r="AF66" s="119" t="n">
        <f aca="false">SUMIFS(tabela_registros[VALOR],tabela_registros[MÊS],$AE$1,tabela_registros[DIA],juntotal3059718395[[#Headers],[28]],tabela_registros[REGISTRO],DADOS!$N$4,tabela_registros[TIPO],DADOS!$P$4,tabela_registros[CATEGORIA],despesavariávelconsolidadojun[[#This Row],[DESPESA VARIÁVEL]])</f>
        <v>0</v>
      </c>
      <c r="AG66" s="119" t="n">
        <f aca="false">SUMIFS(tabela_registros[VALOR],tabela_registros[MÊS],$AE$1,tabela_registros[DIA],juntotal3059718395[[#Headers],[29]],tabela_registros[REGISTRO],DADOS!$N$4,tabela_registros[TIPO],DADOS!$P$4,tabela_registros[CATEGORIA],despesavariávelconsolidadojun[[#This Row],[DESPESA VARIÁVEL]])</f>
        <v>0</v>
      </c>
      <c r="AH66" s="119" t="n">
        <f aca="false">SUMIFS(tabela_registros[VALOR],tabela_registros[MÊS],$AE$1,tabela_registros[DIA],juntotal3059718395[[#Headers],[30]],tabela_registros[REGISTRO],DADOS!$N$4,tabela_registros[TIPO],DADOS!$P$4,tabela_registros[CATEGORIA],despesavariávelconsolidadojun[[#This Row],[DESPESA VARIÁVEL]])</f>
        <v>0</v>
      </c>
      <c r="AI66" s="217" t="n">
        <f aca="false">SUMIFS(tabela_registros[VALOR],tabela_registros[MÊS],$AE$1,tabela_registros[DIA],juntotal3059718395[[#Headers],[31]],tabela_registros[REGISTRO],DADOS!$N$4,tabela_registros[TIPO],DADOS!$P$4,tabela_registros[CATEGORIA],despesavariávelconsolidadojun[[#This Row],[DESPESA VARIÁVEL]])</f>
        <v>0</v>
      </c>
      <c r="AJ66" s="149" t="n">
        <f aca="false">SUM(despesavariávelconsolidadojun[[#This Row],[1]:[31]])</f>
        <v>0</v>
      </c>
      <c r="AK66" s="143"/>
    </row>
    <row r="67" customFormat="false" ht="18" hidden="false" customHeight="true" outlineLevel="0" collapsed="false">
      <c r="B67" s="143"/>
      <c r="C67" s="144" t="str">
        <f aca="false">DADOS!$T$10</f>
        <v>🛒 MERCADO</v>
      </c>
      <c r="D67" s="145" t="str">
        <f aca="false">IF(despesavariávelconsolidadojun[[#This Row],[TOTAL]]=0,"",IF(OR(despesavariávelconsolidadojun[[#This Row],[TOTAL]]=LARGE($AJ$60:$AJ$72,1),despesavariávelconsolidadojun[[#This Row],[TOTAL]]=LARGE($AJ$60:$AJ$72,2),despesavariávelconsolidadojun[[#This Row],[TOTAL]]=LARGE($AJ$60:$AJ$72,3),despesavariávelconsolidadojun[[#This Row],[TOTAL]]=LARGE($AJ$60:$AJ$72,4),despesavariávelconsolidadojun[[#This Row],[TOTAL]]=LARGE($AJ$60:$AJ$72,5)),DADOS!$I$8,""))</f>
        <v/>
      </c>
      <c r="E67" s="148" t="n">
        <f aca="false">SUMIFS(tabela_registros[VALOR],tabela_registros[MÊS],$AE$1,tabela_registros[DIA],juntotal3059718395[[#Headers],[1]],tabela_registros[REGISTRO],DADOS!$N$4,tabela_registros[TIPO],DADOS!$P$4,tabela_registros[CATEGORIA],despesavariávelconsolidadojun[[#This Row],[DESPESA VARIÁVEL]])</f>
        <v>0</v>
      </c>
      <c r="F67" s="119" t="n">
        <f aca="false">SUMIFS(tabela_registros[VALOR],tabela_registros[MÊS],$AE$1,tabela_registros[DIA],juntotal3059718395[[#Headers],[2]],tabela_registros[REGISTRO],DADOS!$N$4,tabela_registros[TIPO],DADOS!$P$4,tabela_registros[CATEGORIA],despesavariávelconsolidadojun[[#This Row],[DESPESA VARIÁVEL]])</f>
        <v>0</v>
      </c>
      <c r="G67" s="119" t="n">
        <f aca="false">SUMIFS(tabela_registros[VALOR],tabela_registros[MÊS],$AE$1,tabela_registros[DIA],juntotal3059718395[[#Headers],[3]],tabela_registros[REGISTRO],DADOS!$N$4,tabela_registros[TIPO],DADOS!$P$4,tabela_registros[CATEGORIA],despesavariávelconsolidadojun[[#This Row],[DESPESA VARIÁVEL]])</f>
        <v>0</v>
      </c>
      <c r="H67" s="119" t="n">
        <f aca="false">SUMIFS(tabela_registros[VALOR],tabela_registros[MÊS],$AE$1,tabela_registros[DIA],juntotal3059718395[[#Headers],[4]],tabela_registros[REGISTRO],DADOS!$N$4,tabela_registros[TIPO],DADOS!$P$4,tabela_registros[CATEGORIA],despesavariávelconsolidadojun[[#This Row],[DESPESA VARIÁVEL]])</f>
        <v>0</v>
      </c>
      <c r="I67" s="119" t="n">
        <f aca="false">SUMIFS(tabela_registros[VALOR],tabela_registros[MÊS],$AE$1,tabela_registros[DIA],juntotal3059718395[[#Headers],[5]],tabela_registros[REGISTRO],DADOS!$N$4,tabela_registros[TIPO],DADOS!$P$4,tabela_registros[CATEGORIA],despesavariávelconsolidadojun[[#This Row],[DESPESA VARIÁVEL]])</f>
        <v>0</v>
      </c>
      <c r="J67" s="119" t="n">
        <f aca="false">SUMIFS(tabela_registros[VALOR],tabela_registros[MÊS],$AE$1,tabela_registros[DIA],juntotal3059718395[[#Headers],[6]],tabela_registros[REGISTRO],DADOS!$N$4,tabela_registros[TIPO],DADOS!$P$4,tabela_registros[CATEGORIA],despesavariávelconsolidadojun[[#This Row],[DESPESA VARIÁVEL]])</f>
        <v>0</v>
      </c>
      <c r="K67" s="119" t="n">
        <f aca="false">SUMIFS(tabela_registros[VALOR],tabela_registros[MÊS],$AE$1,tabela_registros[DIA],juntotal3059718395[[#Headers],[7]],tabela_registros[REGISTRO],DADOS!$N$4,tabela_registros[TIPO],DADOS!$P$4,tabela_registros[CATEGORIA],despesavariávelconsolidadojun[[#This Row],[DESPESA VARIÁVEL]])</f>
        <v>0</v>
      </c>
      <c r="L67" s="119" t="n">
        <f aca="false">SUMIFS(tabela_registros[VALOR],tabela_registros[MÊS],$AE$1,tabela_registros[DIA],juntotal3059718395[[#Headers],[8]],tabela_registros[REGISTRO],DADOS!$N$4,tabela_registros[TIPO],DADOS!$P$4,tabela_registros[CATEGORIA],despesavariávelconsolidadojun[[#This Row],[DESPESA VARIÁVEL]])</f>
        <v>0</v>
      </c>
      <c r="M67" s="119" t="n">
        <f aca="false">SUMIFS(tabela_registros[VALOR],tabela_registros[MÊS],$AE$1,tabela_registros[DIA],juntotal3059718395[[#Headers],[9]],tabela_registros[REGISTRO],DADOS!$N$4,tabela_registros[TIPO],DADOS!$P$4,tabela_registros[CATEGORIA],despesavariávelconsolidadojun[[#This Row],[DESPESA VARIÁVEL]])</f>
        <v>0</v>
      </c>
      <c r="N67" s="119" t="n">
        <f aca="false">SUMIFS(tabela_registros[VALOR],tabela_registros[MÊS],$AE$1,tabela_registros[DIA],juntotal3059718395[[#Headers],[10]],tabela_registros[REGISTRO],DADOS!$N$4,tabela_registros[TIPO],DADOS!$P$4,tabela_registros[CATEGORIA],despesavariávelconsolidadojun[[#This Row],[DESPESA VARIÁVEL]])</f>
        <v>0</v>
      </c>
      <c r="O67" s="119" t="n">
        <f aca="false">SUMIFS(tabela_registros[VALOR],tabela_registros[MÊS],$AE$1,tabela_registros[DIA],juntotal3059718395[[#Headers],[11]],tabela_registros[REGISTRO],DADOS!$N$4,tabela_registros[TIPO],DADOS!$P$4,tabela_registros[CATEGORIA],despesavariávelconsolidadojun[[#This Row],[DESPESA VARIÁVEL]])</f>
        <v>0</v>
      </c>
      <c r="P67" s="119" t="n">
        <f aca="false">SUMIFS(tabela_registros[VALOR],tabela_registros[MÊS],$AE$1,tabela_registros[DIA],juntotal3059718395[[#Headers],[12]],tabela_registros[REGISTRO],DADOS!$N$4,tabela_registros[TIPO],DADOS!$P$4,tabela_registros[CATEGORIA],despesavariávelconsolidadojun[[#This Row],[DESPESA VARIÁVEL]])</f>
        <v>0</v>
      </c>
      <c r="Q67" s="119" t="n">
        <f aca="false">SUMIFS(tabela_registros[VALOR],tabela_registros[MÊS],$AE$1,tabela_registros[DIA],juntotal3059718395[[#Headers],[13]],tabela_registros[REGISTRO],DADOS!$N$4,tabela_registros[TIPO],DADOS!$P$4,tabela_registros[CATEGORIA],despesavariávelconsolidadojun[[#This Row],[DESPESA VARIÁVEL]])</f>
        <v>0</v>
      </c>
      <c r="R67" s="119" t="n">
        <f aca="false">SUMIFS(tabela_registros[VALOR],tabela_registros[MÊS],$AE$1,tabela_registros[DIA],juntotal3059718395[[#Headers],[14]],tabela_registros[REGISTRO],DADOS!$N$4,tabela_registros[TIPO],DADOS!$P$4,tabela_registros[CATEGORIA],despesavariávelconsolidadojun[[#This Row],[DESPESA VARIÁVEL]])</f>
        <v>0</v>
      </c>
      <c r="S67" s="119" t="n">
        <f aca="false">SUMIFS(tabela_registros[VALOR],tabela_registros[MÊS],$AE$1,tabela_registros[DIA],juntotal3059718395[[#Headers],[15]],tabela_registros[REGISTRO],DADOS!$N$4,tabela_registros[TIPO],DADOS!$P$4,tabela_registros[CATEGORIA],despesavariávelconsolidadojun[[#This Row],[DESPESA VARIÁVEL]])</f>
        <v>0</v>
      </c>
      <c r="T67" s="119" t="n">
        <f aca="false">SUMIFS(tabela_registros[VALOR],tabela_registros[MÊS],$AE$1,tabela_registros[DIA],juntotal3059718395[[#Headers],[16]],tabela_registros[REGISTRO],DADOS!$N$4,tabela_registros[TIPO],DADOS!$P$4,tabela_registros[CATEGORIA],despesavariávelconsolidadojun[[#This Row],[DESPESA VARIÁVEL]])</f>
        <v>0</v>
      </c>
      <c r="U67" s="119" t="n">
        <f aca="false">SUMIFS(tabela_registros[VALOR],tabela_registros[MÊS],$AE$1,tabela_registros[DIA],juntotal3059718395[[#Headers],[17]],tabela_registros[REGISTRO],DADOS!$N$4,tabela_registros[TIPO],DADOS!$P$4,tabela_registros[CATEGORIA],despesavariávelconsolidadojun[[#This Row],[DESPESA VARIÁVEL]])</f>
        <v>0</v>
      </c>
      <c r="V67" s="119" t="n">
        <f aca="false">SUMIFS(tabela_registros[VALOR],tabela_registros[MÊS],$AE$1,tabela_registros[DIA],juntotal3059718395[[#Headers],[18]],tabela_registros[REGISTRO],DADOS!$N$4,tabela_registros[TIPO],DADOS!$P$4,tabela_registros[CATEGORIA],despesavariávelconsolidadojun[[#This Row],[DESPESA VARIÁVEL]])</f>
        <v>0</v>
      </c>
      <c r="W67" s="119" t="n">
        <f aca="false">SUMIFS(tabela_registros[VALOR],tabela_registros[MÊS],$AE$1,tabela_registros[DIA],juntotal3059718395[[#Headers],[19]],tabela_registros[REGISTRO],DADOS!$N$4,tabela_registros[TIPO],DADOS!$P$4,tabela_registros[CATEGORIA],despesavariávelconsolidadojun[[#This Row],[DESPESA VARIÁVEL]])</f>
        <v>0</v>
      </c>
      <c r="X67" s="119" t="n">
        <f aca="false">SUMIFS(tabela_registros[VALOR],tabela_registros[MÊS],$AE$1,tabela_registros[DIA],juntotal3059718395[[#Headers],[20]],tabela_registros[REGISTRO],DADOS!$N$4,tabela_registros[TIPO],DADOS!$P$4,tabela_registros[CATEGORIA],despesavariávelconsolidadojun[[#This Row],[DESPESA VARIÁVEL]])</f>
        <v>0</v>
      </c>
      <c r="Y67" s="119" t="n">
        <f aca="false">SUMIFS(tabela_registros[VALOR],tabela_registros[MÊS],$AE$1,tabela_registros[DIA],juntotal3059718395[[#Headers],[21]],tabela_registros[REGISTRO],DADOS!$N$4,tabela_registros[TIPO],DADOS!$P$4,tabela_registros[CATEGORIA],despesavariávelconsolidadojun[[#This Row],[DESPESA VARIÁVEL]])</f>
        <v>0</v>
      </c>
      <c r="Z67" s="119" t="n">
        <f aca="false">SUMIFS(tabela_registros[VALOR],tabela_registros[MÊS],$AE$1,tabela_registros[DIA],juntotal3059718395[[#Headers],[22]],tabela_registros[REGISTRO],DADOS!$N$4,tabela_registros[TIPO],DADOS!$P$4,tabela_registros[CATEGORIA],despesavariávelconsolidadojun[[#This Row],[DESPESA VARIÁVEL]])</f>
        <v>0</v>
      </c>
      <c r="AA67" s="119" t="n">
        <f aca="false">SUMIFS(tabela_registros[VALOR],tabela_registros[MÊS],$AE$1,tabela_registros[DIA],juntotal3059718395[[#Headers],[23]],tabela_registros[REGISTRO],DADOS!$N$4,tabela_registros[TIPO],DADOS!$P$4,tabela_registros[CATEGORIA],despesavariávelconsolidadojun[[#This Row],[DESPESA VARIÁVEL]])</f>
        <v>0</v>
      </c>
      <c r="AB67" s="119" t="n">
        <f aca="false">SUMIFS(tabela_registros[VALOR],tabela_registros[MÊS],$AE$1,tabela_registros[DIA],juntotal3059718395[[#Headers],[24]],tabela_registros[REGISTRO],DADOS!$N$4,tabela_registros[TIPO],DADOS!$P$4,tabela_registros[CATEGORIA],despesavariávelconsolidadojun[[#This Row],[DESPESA VARIÁVEL]])</f>
        <v>0</v>
      </c>
      <c r="AC67" s="119" t="n">
        <f aca="false">SUMIFS(tabela_registros[VALOR],tabela_registros[MÊS],$AE$1,tabela_registros[DIA],juntotal3059718395[[#Headers],[25]],tabela_registros[REGISTRO],DADOS!$N$4,tabela_registros[TIPO],DADOS!$P$4,tabela_registros[CATEGORIA],despesavariávelconsolidadojun[[#This Row],[DESPESA VARIÁVEL]])</f>
        <v>0</v>
      </c>
      <c r="AD67" s="119" t="n">
        <f aca="false">SUMIFS(tabela_registros[VALOR],tabela_registros[MÊS],$AE$1,tabela_registros[DIA],juntotal3059718395[[#Headers],[26]],tabela_registros[REGISTRO],DADOS!$N$4,tabela_registros[TIPO],DADOS!$P$4,tabela_registros[CATEGORIA],despesavariávelconsolidadojun[[#This Row],[DESPESA VARIÁVEL]])</f>
        <v>0</v>
      </c>
      <c r="AE67" s="119" t="n">
        <f aca="false">SUMIFS(tabela_registros[VALOR],tabela_registros[MÊS],$AE$1,tabela_registros[DIA],juntotal3059718395[[#Headers],[27]],tabela_registros[REGISTRO],DADOS!$N$4,tabela_registros[TIPO],DADOS!$P$4,tabela_registros[CATEGORIA],despesavariávelconsolidadojun[[#This Row],[DESPESA VARIÁVEL]])</f>
        <v>0</v>
      </c>
      <c r="AF67" s="119" t="n">
        <f aca="false">SUMIFS(tabela_registros[VALOR],tabela_registros[MÊS],$AE$1,tabela_registros[DIA],juntotal3059718395[[#Headers],[28]],tabela_registros[REGISTRO],DADOS!$N$4,tabela_registros[TIPO],DADOS!$P$4,tabela_registros[CATEGORIA],despesavariávelconsolidadojun[[#This Row],[DESPESA VARIÁVEL]])</f>
        <v>0</v>
      </c>
      <c r="AG67" s="119" t="n">
        <f aca="false">SUMIFS(tabela_registros[VALOR],tabela_registros[MÊS],$AE$1,tabela_registros[DIA],juntotal3059718395[[#Headers],[29]],tabela_registros[REGISTRO],DADOS!$N$4,tabela_registros[TIPO],DADOS!$P$4,tabela_registros[CATEGORIA],despesavariávelconsolidadojun[[#This Row],[DESPESA VARIÁVEL]])</f>
        <v>0</v>
      </c>
      <c r="AH67" s="119" t="n">
        <f aca="false">SUMIFS(tabela_registros[VALOR],tabela_registros[MÊS],$AE$1,tabela_registros[DIA],juntotal3059718395[[#Headers],[30]],tabela_registros[REGISTRO],DADOS!$N$4,tabela_registros[TIPO],DADOS!$P$4,tabela_registros[CATEGORIA],despesavariávelconsolidadojun[[#This Row],[DESPESA VARIÁVEL]])</f>
        <v>0</v>
      </c>
      <c r="AI67" s="217" t="n">
        <f aca="false">SUMIFS(tabela_registros[VALOR],tabela_registros[MÊS],$AE$1,tabela_registros[DIA],juntotal3059718395[[#Headers],[31]],tabela_registros[REGISTRO],DADOS!$N$4,tabela_registros[TIPO],DADOS!$P$4,tabela_registros[CATEGORIA],despesavariávelconsolidadojun[[#This Row],[DESPESA VARIÁVEL]])</f>
        <v>0</v>
      </c>
      <c r="AJ67" s="149" t="n">
        <f aca="false">SUM(despesavariávelconsolidadojun[[#This Row],[1]:[31]])</f>
        <v>0</v>
      </c>
      <c r="AK67" s="143"/>
    </row>
    <row r="68" customFormat="false" ht="18" hidden="false" customHeight="true" outlineLevel="0" collapsed="false">
      <c r="B68" s="143"/>
      <c r="C68" s="144" t="str">
        <f aca="false">DADOS!$T$11</f>
        <v>🎁 PRESENTES</v>
      </c>
      <c r="D68" s="145" t="str">
        <f aca="false">IF(despesavariávelconsolidadojun[[#This Row],[TOTAL]]=0,"",IF(OR(despesavariávelconsolidadojun[[#This Row],[TOTAL]]=LARGE($AJ$60:$AJ$72,1),despesavariávelconsolidadojun[[#This Row],[TOTAL]]=LARGE($AJ$60:$AJ$72,2),despesavariávelconsolidadojun[[#This Row],[TOTAL]]=LARGE($AJ$60:$AJ$72,3),despesavariávelconsolidadojun[[#This Row],[TOTAL]]=LARGE($AJ$60:$AJ$72,4),despesavariávelconsolidadojun[[#This Row],[TOTAL]]=LARGE($AJ$60:$AJ$72,5)),DADOS!$I$8,""))</f>
        <v/>
      </c>
      <c r="E68" s="148" t="n">
        <f aca="false">SUMIFS(tabela_registros[VALOR],tabela_registros[MÊS],$AE$1,tabela_registros[DIA],juntotal3059718395[[#Headers],[1]],tabela_registros[REGISTRO],DADOS!$N$4,tabela_registros[TIPO],DADOS!$P$4,tabela_registros[CATEGORIA],despesavariávelconsolidadojun[[#This Row],[DESPESA VARIÁVEL]])</f>
        <v>0</v>
      </c>
      <c r="F68" s="119" t="n">
        <f aca="false">SUMIFS(tabela_registros[VALOR],tabela_registros[MÊS],$AE$1,tabela_registros[DIA],juntotal3059718395[[#Headers],[2]],tabela_registros[REGISTRO],DADOS!$N$4,tabela_registros[TIPO],DADOS!$P$4,tabela_registros[CATEGORIA],despesavariávelconsolidadojun[[#This Row],[DESPESA VARIÁVEL]])</f>
        <v>0</v>
      </c>
      <c r="G68" s="119" t="n">
        <f aca="false">SUMIFS(tabela_registros[VALOR],tabela_registros[MÊS],$AE$1,tabela_registros[DIA],juntotal3059718395[[#Headers],[3]],tabela_registros[REGISTRO],DADOS!$N$4,tabela_registros[TIPO],DADOS!$P$4,tabela_registros[CATEGORIA],despesavariávelconsolidadojun[[#This Row],[DESPESA VARIÁVEL]])</f>
        <v>0</v>
      </c>
      <c r="H68" s="119" t="n">
        <f aca="false">SUMIFS(tabela_registros[VALOR],tabela_registros[MÊS],$AE$1,tabela_registros[DIA],juntotal3059718395[[#Headers],[4]],tabela_registros[REGISTRO],DADOS!$N$4,tabela_registros[TIPO],DADOS!$P$4,tabela_registros[CATEGORIA],despesavariávelconsolidadojun[[#This Row],[DESPESA VARIÁVEL]])</f>
        <v>0</v>
      </c>
      <c r="I68" s="119" t="n">
        <f aca="false">SUMIFS(tabela_registros[VALOR],tabela_registros[MÊS],$AE$1,tabela_registros[DIA],juntotal3059718395[[#Headers],[5]],tabela_registros[REGISTRO],DADOS!$N$4,tabela_registros[TIPO],DADOS!$P$4,tabela_registros[CATEGORIA],despesavariávelconsolidadojun[[#This Row],[DESPESA VARIÁVEL]])</f>
        <v>0</v>
      </c>
      <c r="J68" s="119" t="n">
        <f aca="false">SUMIFS(tabela_registros[VALOR],tabela_registros[MÊS],$AE$1,tabela_registros[DIA],juntotal3059718395[[#Headers],[6]],tabela_registros[REGISTRO],DADOS!$N$4,tabela_registros[TIPO],DADOS!$P$4,tabela_registros[CATEGORIA],despesavariávelconsolidadojun[[#This Row],[DESPESA VARIÁVEL]])</f>
        <v>0</v>
      </c>
      <c r="K68" s="119" t="n">
        <f aca="false">SUMIFS(tabela_registros[VALOR],tabela_registros[MÊS],$AE$1,tabela_registros[DIA],juntotal3059718395[[#Headers],[7]],tabela_registros[REGISTRO],DADOS!$N$4,tabela_registros[TIPO],DADOS!$P$4,tabela_registros[CATEGORIA],despesavariávelconsolidadojun[[#This Row],[DESPESA VARIÁVEL]])</f>
        <v>0</v>
      </c>
      <c r="L68" s="119" t="n">
        <f aca="false">SUMIFS(tabela_registros[VALOR],tabela_registros[MÊS],$AE$1,tabela_registros[DIA],juntotal3059718395[[#Headers],[8]],tabela_registros[REGISTRO],DADOS!$N$4,tabela_registros[TIPO],DADOS!$P$4,tabela_registros[CATEGORIA],despesavariávelconsolidadojun[[#This Row],[DESPESA VARIÁVEL]])</f>
        <v>0</v>
      </c>
      <c r="M68" s="119" t="n">
        <f aca="false">SUMIFS(tabela_registros[VALOR],tabela_registros[MÊS],$AE$1,tabela_registros[DIA],juntotal3059718395[[#Headers],[9]],tabela_registros[REGISTRO],DADOS!$N$4,tabela_registros[TIPO],DADOS!$P$4,tabela_registros[CATEGORIA],despesavariávelconsolidadojun[[#This Row],[DESPESA VARIÁVEL]])</f>
        <v>0</v>
      </c>
      <c r="N68" s="119" t="n">
        <f aca="false">SUMIFS(tabela_registros[VALOR],tabela_registros[MÊS],$AE$1,tabela_registros[DIA],juntotal3059718395[[#Headers],[10]],tabela_registros[REGISTRO],DADOS!$N$4,tabela_registros[TIPO],DADOS!$P$4,tabela_registros[CATEGORIA],despesavariávelconsolidadojun[[#This Row],[DESPESA VARIÁVEL]])</f>
        <v>0</v>
      </c>
      <c r="O68" s="119" t="n">
        <f aca="false">SUMIFS(tabela_registros[VALOR],tabela_registros[MÊS],$AE$1,tabela_registros[DIA],juntotal3059718395[[#Headers],[11]],tabela_registros[REGISTRO],DADOS!$N$4,tabela_registros[TIPO],DADOS!$P$4,tabela_registros[CATEGORIA],despesavariávelconsolidadojun[[#This Row],[DESPESA VARIÁVEL]])</f>
        <v>0</v>
      </c>
      <c r="P68" s="119" t="n">
        <f aca="false">SUMIFS(tabela_registros[VALOR],tabela_registros[MÊS],$AE$1,tabela_registros[DIA],juntotal3059718395[[#Headers],[12]],tabela_registros[REGISTRO],DADOS!$N$4,tabela_registros[TIPO],DADOS!$P$4,tabela_registros[CATEGORIA],despesavariávelconsolidadojun[[#This Row],[DESPESA VARIÁVEL]])</f>
        <v>0</v>
      </c>
      <c r="Q68" s="119" t="n">
        <f aca="false">SUMIFS(tabela_registros[VALOR],tabela_registros[MÊS],$AE$1,tabela_registros[DIA],juntotal3059718395[[#Headers],[13]],tabela_registros[REGISTRO],DADOS!$N$4,tabela_registros[TIPO],DADOS!$P$4,tabela_registros[CATEGORIA],despesavariávelconsolidadojun[[#This Row],[DESPESA VARIÁVEL]])</f>
        <v>0</v>
      </c>
      <c r="R68" s="119" t="n">
        <f aca="false">SUMIFS(tabela_registros[VALOR],tabela_registros[MÊS],$AE$1,tabela_registros[DIA],juntotal3059718395[[#Headers],[14]],tabela_registros[REGISTRO],DADOS!$N$4,tabela_registros[TIPO],DADOS!$P$4,tabela_registros[CATEGORIA],despesavariávelconsolidadojun[[#This Row],[DESPESA VARIÁVEL]])</f>
        <v>0</v>
      </c>
      <c r="S68" s="119" t="n">
        <f aca="false">SUMIFS(tabela_registros[VALOR],tabela_registros[MÊS],$AE$1,tabela_registros[DIA],juntotal3059718395[[#Headers],[15]],tabela_registros[REGISTRO],DADOS!$N$4,tabela_registros[TIPO],DADOS!$P$4,tabela_registros[CATEGORIA],despesavariávelconsolidadojun[[#This Row],[DESPESA VARIÁVEL]])</f>
        <v>0</v>
      </c>
      <c r="T68" s="119" t="n">
        <f aca="false">SUMIFS(tabela_registros[VALOR],tabela_registros[MÊS],$AE$1,tabela_registros[DIA],juntotal3059718395[[#Headers],[16]],tabela_registros[REGISTRO],DADOS!$N$4,tabela_registros[TIPO],DADOS!$P$4,tabela_registros[CATEGORIA],despesavariávelconsolidadojun[[#This Row],[DESPESA VARIÁVEL]])</f>
        <v>0</v>
      </c>
      <c r="U68" s="119" t="n">
        <f aca="false">SUMIFS(tabela_registros[VALOR],tabela_registros[MÊS],$AE$1,tabela_registros[DIA],juntotal3059718395[[#Headers],[17]],tabela_registros[REGISTRO],DADOS!$N$4,tabela_registros[TIPO],DADOS!$P$4,tabela_registros[CATEGORIA],despesavariávelconsolidadojun[[#This Row],[DESPESA VARIÁVEL]])</f>
        <v>0</v>
      </c>
      <c r="V68" s="119" t="n">
        <f aca="false">SUMIFS(tabela_registros[VALOR],tabela_registros[MÊS],$AE$1,tabela_registros[DIA],juntotal3059718395[[#Headers],[18]],tabela_registros[REGISTRO],DADOS!$N$4,tabela_registros[TIPO],DADOS!$P$4,tabela_registros[CATEGORIA],despesavariávelconsolidadojun[[#This Row],[DESPESA VARIÁVEL]])</f>
        <v>0</v>
      </c>
      <c r="W68" s="119" t="n">
        <f aca="false">SUMIFS(tabela_registros[VALOR],tabela_registros[MÊS],$AE$1,tabela_registros[DIA],juntotal3059718395[[#Headers],[19]],tabela_registros[REGISTRO],DADOS!$N$4,tabela_registros[TIPO],DADOS!$P$4,tabela_registros[CATEGORIA],despesavariávelconsolidadojun[[#This Row],[DESPESA VARIÁVEL]])</f>
        <v>0</v>
      </c>
      <c r="X68" s="119" t="n">
        <f aca="false">SUMIFS(tabela_registros[VALOR],tabela_registros[MÊS],$AE$1,tabela_registros[DIA],juntotal3059718395[[#Headers],[20]],tabela_registros[REGISTRO],DADOS!$N$4,tabela_registros[TIPO],DADOS!$P$4,tabela_registros[CATEGORIA],despesavariávelconsolidadojun[[#This Row],[DESPESA VARIÁVEL]])</f>
        <v>0</v>
      </c>
      <c r="Y68" s="119" t="n">
        <f aca="false">SUMIFS(tabela_registros[VALOR],tabela_registros[MÊS],$AE$1,tabela_registros[DIA],juntotal3059718395[[#Headers],[21]],tabela_registros[REGISTRO],DADOS!$N$4,tabela_registros[TIPO],DADOS!$P$4,tabela_registros[CATEGORIA],despesavariávelconsolidadojun[[#This Row],[DESPESA VARIÁVEL]])</f>
        <v>0</v>
      </c>
      <c r="Z68" s="119" t="n">
        <f aca="false">SUMIFS(tabela_registros[VALOR],tabela_registros[MÊS],$AE$1,tabela_registros[DIA],juntotal3059718395[[#Headers],[22]],tabela_registros[REGISTRO],DADOS!$N$4,tabela_registros[TIPO],DADOS!$P$4,tabela_registros[CATEGORIA],despesavariávelconsolidadojun[[#This Row],[DESPESA VARIÁVEL]])</f>
        <v>0</v>
      </c>
      <c r="AA68" s="119" t="n">
        <f aca="false">SUMIFS(tabela_registros[VALOR],tabela_registros[MÊS],$AE$1,tabela_registros[DIA],juntotal3059718395[[#Headers],[23]],tabela_registros[REGISTRO],DADOS!$N$4,tabela_registros[TIPO],DADOS!$P$4,tabela_registros[CATEGORIA],despesavariávelconsolidadojun[[#This Row],[DESPESA VARIÁVEL]])</f>
        <v>0</v>
      </c>
      <c r="AB68" s="119" t="n">
        <f aca="false">SUMIFS(tabela_registros[VALOR],tabela_registros[MÊS],$AE$1,tabela_registros[DIA],juntotal3059718395[[#Headers],[24]],tabela_registros[REGISTRO],DADOS!$N$4,tabela_registros[TIPO],DADOS!$P$4,tabela_registros[CATEGORIA],despesavariávelconsolidadojun[[#This Row],[DESPESA VARIÁVEL]])</f>
        <v>0</v>
      </c>
      <c r="AC68" s="119" t="n">
        <f aca="false">SUMIFS(tabela_registros[VALOR],tabela_registros[MÊS],$AE$1,tabela_registros[DIA],juntotal3059718395[[#Headers],[25]],tabela_registros[REGISTRO],DADOS!$N$4,tabela_registros[TIPO],DADOS!$P$4,tabela_registros[CATEGORIA],despesavariávelconsolidadojun[[#This Row],[DESPESA VARIÁVEL]])</f>
        <v>0</v>
      </c>
      <c r="AD68" s="119" t="n">
        <f aca="false">SUMIFS(tabela_registros[VALOR],tabela_registros[MÊS],$AE$1,tabela_registros[DIA],juntotal3059718395[[#Headers],[26]],tabela_registros[REGISTRO],DADOS!$N$4,tabela_registros[TIPO],DADOS!$P$4,tabela_registros[CATEGORIA],despesavariávelconsolidadojun[[#This Row],[DESPESA VARIÁVEL]])</f>
        <v>0</v>
      </c>
      <c r="AE68" s="119" t="n">
        <f aca="false">SUMIFS(tabela_registros[VALOR],tabela_registros[MÊS],$AE$1,tabela_registros[DIA],juntotal3059718395[[#Headers],[27]],tabela_registros[REGISTRO],DADOS!$N$4,tabela_registros[TIPO],DADOS!$P$4,tabela_registros[CATEGORIA],despesavariávelconsolidadojun[[#This Row],[DESPESA VARIÁVEL]])</f>
        <v>0</v>
      </c>
      <c r="AF68" s="119" t="n">
        <f aca="false">SUMIFS(tabela_registros[VALOR],tabela_registros[MÊS],$AE$1,tabela_registros[DIA],juntotal3059718395[[#Headers],[28]],tabela_registros[REGISTRO],DADOS!$N$4,tabela_registros[TIPO],DADOS!$P$4,tabela_registros[CATEGORIA],despesavariávelconsolidadojun[[#This Row],[DESPESA VARIÁVEL]])</f>
        <v>0</v>
      </c>
      <c r="AG68" s="119" t="n">
        <f aca="false">SUMIFS(tabela_registros[VALOR],tabela_registros[MÊS],$AE$1,tabela_registros[DIA],juntotal3059718395[[#Headers],[29]],tabela_registros[REGISTRO],DADOS!$N$4,tabela_registros[TIPO],DADOS!$P$4,tabela_registros[CATEGORIA],despesavariávelconsolidadojun[[#This Row],[DESPESA VARIÁVEL]])</f>
        <v>0</v>
      </c>
      <c r="AH68" s="119" t="n">
        <f aca="false">SUMIFS(tabela_registros[VALOR],tabela_registros[MÊS],$AE$1,tabela_registros[DIA],juntotal3059718395[[#Headers],[30]],tabela_registros[REGISTRO],DADOS!$N$4,tabela_registros[TIPO],DADOS!$P$4,tabela_registros[CATEGORIA],despesavariávelconsolidadojun[[#This Row],[DESPESA VARIÁVEL]])</f>
        <v>0</v>
      </c>
      <c r="AI68" s="217" t="n">
        <f aca="false">SUMIFS(tabela_registros[VALOR],tabela_registros[MÊS],$AE$1,tabela_registros[DIA],juntotal3059718395[[#Headers],[31]],tabela_registros[REGISTRO],DADOS!$N$4,tabela_registros[TIPO],DADOS!$P$4,tabela_registros[CATEGORIA],despesavariávelconsolidadojun[[#This Row],[DESPESA VARIÁVEL]])</f>
        <v>0</v>
      </c>
      <c r="AJ68" s="149" t="n">
        <f aca="false">SUM(despesavariávelconsolidadojun[[#This Row],[1]:[31]])</f>
        <v>0</v>
      </c>
      <c r="AK68" s="143"/>
    </row>
    <row r="69" customFormat="false" ht="18" hidden="false" customHeight="true" outlineLevel="0" collapsed="false">
      <c r="B69" s="143"/>
      <c r="C69" s="144" t="str">
        <f aca="false">DADOS!$T$12</f>
        <v>💊 SAÚDE</v>
      </c>
      <c r="D69" s="145" t="str">
        <f aca="false">IF(despesavariávelconsolidadojun[[#This Row],[TOTAL]]=0,"",IF(OR(despesavariávelconsolidadojun[[#This Row],[TOTAL]]=LARGE($AJ$60:$AJ$72,1),despesavariávelconsolidadojun[[#This Row],[TOTAL]]=LARGE($AJ$60:$AJ$72,2),despesavariávelconsolidadojun[[#This Row],[TOTAL]]=LARGE($AJ$60:$AJ$72,3),despesavariávelconsolidadojun[[#This Row],[TOTAL]]=LARGE($AJ$60:$AJ$72,4),despesavariávelconsolidadojun[[#This Row],[TOTAL]]=LARGE($AJ$60:$AJ$72,5)),DADOS!$I$8,""))</f>
        <v/>
      </c>
      <c r="E69" s="148" t="n">
        <f aca="false">SUMIFS(tabela_registros[VALOR],tabela_registros[MÊS],$AE$1,tabela_registros[DIA],juntotal3059718395[[#Headers],[1]],tabela_registros[REGISTRO],DADOS!$N$4,tabela_registros[TIPO],DADOS!$P$4,tabela_registros[CATEGORIA],despesavariávelconsolidadojun[[#This Row],[DESPESA VARIÁVEL]])</f>
        <v>0</v>
      </c>
      <c r="F69" s="119" t="n">
        <f aca="false">SUMIFS(tabela_registros[VALOR],tabela_registros[MÊS],$AE$1,tabela_registros[DIA],juntotal3059718395[[#Headers],[2]],tabela_registros[REGISTRO],DADOS!$N$4,tabela_registros[TIPO],DADOS!$P$4,tabela_registros[CATEGORIA],despesavariávelconsolidadojun[[#This Row],[DESPESA VARIÁVEL]])</f>
        <v>0</v>
      </c>
      <c r="G69" s="119" t="n">
        <f aca="false">SUMIFS(tabela_registros[VALOR],tabela_registros[MÊS],$AE$1,tabela_registros[DIA],juntotal3059718395[[#Headers],[3]],tabela_registros[REGISTRO],DADOS!$N$4,tabela_registros[TIPO],DADOS!$P$4,tabela_registros[CATEGORIA],despesavariávelconsolidadojun[[#This Row],[DESPESA VARIÁVEL]])</f>
        <v>0</v>
      </c>
      <c r="H69" s="119" t="n">
        <f aca="false">SUMIFS(tabela_registros[VALOR],tabela_registros[MÊS],$AE$1,tabela_registros[DIA],juntotal3059718395[[#Headers],[4]],tabela_registros[REGISTRO],DADOS!$N$4,tabela_registros[TIPO],DADOS!$P$4,tabela_registros[CATEGORIA],despesavariávelconsolidadojun[[#This Row],[DESPESA VARIÁVEL]])</f>
        <v>0</v>
      </c>
      <c r="I69" s="119" t="n">
        <f aca="false">SUMIFS(tabela_registros[VALOR],tabela_registros[MÊS],$AE$1,tabela_registros[DIA],juntotal3059718395[[#Headers],[5]],tabela_registros[REGISTRO],DADOS!$N$4,tabela_registros[TIPO],DADOS!$P$4,tabela_registros[CATEGORIA],despesavariávelconsolidadojun[[#This Row],[DESPESA VARIÁVEL]])</f>
        <v>0</v>
      </c>
      <c r="J69" s="119" t="n">
        <f aca="false">SUMIFS(tabela_registros[VALOR],tabela_registros[MÊS],$AE$1,tabela_registros[DIA],juntotal3059718395[[#Headers],[6]],tabela_registros[REGISTRO],DADOS!$N$4,tabela_registros[TIPO],DADOS!$P$4,tabela_registros[CATEGORIA],despesavariávelconsolidadojun[[#This Row],[DESPESA VARIÁVEL]])</f>
        <v>0</v>
      </c>
      <c r="K69" s="119" t="n">
        <f aca="false">SUMIFS(tabela_registros[VALOR],tabela_registros[MÊS],$AE$1,tabela_registros[DIA],juntotal3059718395[[#Headers],[7]],tabela_registros[REGISTRO],DADOS!$N$4,tabela_registros[TIPO],DADOS!$P$4,tabela_registros[CATEGORIA],despesavariávelconsolidadojun[[#This Row],[DESPESA VARIÁVEL]])</f>
        <v>0</v>
      </c>
      <c r="L69" s="119" t="n">
        <f aca="false">SUMIFS(tabela_registros[VALOR],tabela_registros[MÊS],$AE$1,tabela_registros[DIA],juntotal3059718395[[#Headers],[8]],tabela_registros[REGISTRO],DADOS!$N$4,tabela_registros[TIPO],DADOS!$P$4,tabela_registros[CATEGORIA],despesavariávelconsolidadojun[[#This Row],[DESPESA VARIÁVEL]])</f>
        <v>0</v>
      </c>
      <c r="M69" s="119" t="n">
        <f aca="false">SUMIFS(tabela_registros[VALOR],tabela_registros[MÊS],$AE$1,tabela_registros[DIA],juntotal3059718395[[#Headers],[9]],tabela_registros[REGISTRO],DADOS!$N$4,tabela_registros[TIPO],DADOS!$P$4,tabela_registros[CATEGORIA],despesavariávelconsolidadojun[[#This Row],[DESPESA VARIÁVEL]])</f>
        <v>0</v>
      </c>
      <c r="N69" s="119" t="n">
        <f aca="false">SUMIFS(tabela_registros[VALOR],tabela_registros[MÊS],$AE$1,tabela_registros[DIA],juntotal3059718395[[#Headers],[10]],tabela_registros[REGISTRO],DADOS!$N$4,tabela_registros[TIPO],DADOS!$P$4,tabela_registros[CATEGORIA],despesavariávelconsolidadojun[[#This Row],[DESPESA VARIÁVEL]])</f>
        <v>0</v>
      </c>
      <c r="O69" s="119" t="n">
        <f aca="false">SUMIFS(tabela_registros[VALOR],tabela_registros[MÊS],$AE$1,tabela_registros[DIA],juntotal3059718395[[#Headers],[11]],tabela_registros[REGISTRO],DADOS!$N$4,tabela_registros[TIPO],DADOS!$P$4,tabela_registros[CATEGORIA],despesavariávelconsolidadojun[[#This Row],[DESPESA VARIÁVEL]])</f>
        <v>0</v>
      </c>
      <c r="P69" s="119" t="n">
        <f aca="false">SUMIFS(tabela_registros[VALOR],tabela_registros[MÊS],$AE$1,tabela_registros[DIA],juntotal3059718395[[#Headers],[12]],tabela_registros[REGISTRO],DADOS!$N$4,tabela_registros[TIPO],DADOS!$P$4,tabela_registros[CATEGORIA],despesavariávelconsolidadojun[[#This Row],[DESPESA VARIÁVEL]])</f>
        <v>0</v>
      </c>
      <c r="Q69" s="119" t="n">
        <f aca="false">SUMIFS(tabela_registros[VALOR],tabela_registros[MÊS],$AE$1,tabela_registros[DIA],juntotal3059718395[[#Headers],[13]],tabela_registros[REGISTRO],DADOS!$N$4,tabela_registros[TIPO],DADOS!$P$4,tabela_registros[CATEGORIA],despesavariávelconsolidadojun[[#This Row],[DESPESA VARIÁVEL]])</f>
        <v>0</v>
      </c>
      <c r="R69" s="119" t="n">
        <f aca="false">SUMIFS(tabela_registros[VALOR],tabela_registros[MÊS],$AE$1,tabela_registros[DIA],juntotal3059718395[[#Headers],[14]],tabela_registros[REGISTRO],DADOS!$N$4,tabela_registros[TIPO],DADOS!$P$4,tabela_registros[CATEGORIA],despesavariávelconsolidadojun[[#This Row],[DESPESA VARIÁVEL]])</f>
        <v>0</v>
      </c>
      <c r="S69" s="119" t="n">
        <f aca="false">SUMIFS(tabela_registros[VALOR],tabela_registros[MÊS],$AE$1,tabela_registros[DIA],juntotal3059718395[[#Headers],[15]],tabela_registros[REGISTRO],DADOS!$N$4,tabela_registros[TIPO],DADOS!$P$4,tabela_registros[CATEGORIA],despesavariávelconsolidadojun[[#This Row],[DESPESA VARIÁVEL]])</f>
        <v>0</v>
      </c>
      <c r="T69" s="119" t="n">
        <f aca="false">SUMIFS(tabela_registros[VALOR],tabela_registros[MÊS],$AE$1,tabela_registros[DIA],juntotal3059718395[[#Headers],[16]],tabela_registros[REGISTRO],DADOS!$N$4,tabela_registros[TIPO],DADOS!$P$4,tabela_registros[CATEGORIA],despesavariávelconsolidadojun[[#This Row],[DESPESA VARIÁVEL]])</f>
        <v>0</v>
      </c>
      <c r="U69" s="119" t="n">
        <f aca="false">SUMIFS(tabela_registros[VALOR],tabela_registros[MÊS],$AE$1,tabela_registros[DIA],juntotal3059718395[[#Headers],[17]],tabela_registros[REGISTRO],DADOS!$N$4,tabela_registros[TIPO],DADOS!$P$4,tabela_registros[CATEGORIA],despesavariávelconsolidadojun[[#This Row],[DESPESA VARIÁVEL]])</f>
        <v>0</v>
      </c>
      <c r="V69" s="119" t="n">
        <f aca="false">SUMIFS(tabela_registros[VALOR],tabela_registros[MÊS],$AE$1,tabela_registros[DIA],juntotal3059718395[[#Headers],[18]],tabela_registros[REGISTRO],DADOS!$N$4,tabela_registros[TIPO],DADOS!$P$4,tabela_registros[CATEGORIA],despesavariávelconsolidadojun[[#This Row],[DESPESA VARIÁVEL]])</f>
        <v>0</v>
      </c>
      <c r="W69" s="119" t="n">
        <f aca="false">SUMIFS(tabela_registros[VALOR],tabela_registros[MÊS],$AE$1,tabela_registros[DIA],juntotal3059718395[[#Headers],[19]],tabela_registros[REGISTRO],DADOS!$N$4,tabela_registros[TIPO],DADOS!$P$4,tabela_registros[CATEGORIA],despesavariávelconsolidadojun[[#This Row],[DESPESA VARIÁVEL]])</f>
        <v>0</v>
      </c>
      <c r="X69" s="119" t="n">
        <f aca="false">SUMIFS(tabela_registros[VALOR],tabela_registros[MÊS],$AE$1,tabela_registros[DIA],juntotal3059718395[[#Headers],[20]],tabela_registros[REGISTRO],DADOS!$N$4,tabela_registros[TIPO],DADOS!$P$4,tabela_registros[CATEGORIA],despesavariávelconsolidadojun[[#This Row],[DESPESA VARIÁVEL]])</f>
        <v>0</v>
      </c>
      <c r="Y69" s="119" t="n">
        <f aca="false">SUMIFS(tabela_registros[VALOR],tabela_registros[MÊS],$AE$1,tabela_registros[DIA],juntotal3059718395[[#Headers],[21]],tabela_registros[REGISTRO],DADOS!$N$4,tabela_registros[TIPO],DADOS!$P$4,tabela_registros[CATEGORIA],despesavariávelconsolidadojun[[#This Row],[DESPESA VARIÁVEL]])</f>
        <v>0</v>
      </c>
      <c r="Z69" s="119" t="n">
        <f aca="false">SUMIFS(tabela_registros[VALOR],tabela_registros[MÊS],$AE$1,tabela_registros[DIA],juntotal3059718395[[#Headers],[22]],tabela_registros[REGISTRO],DADOS!$N$4,tabela_registros[TIPO],DADOS!$P$4,tabela_registros[CATEGORIA],despesavariávelconsolidadojun[[#This Row],[DESPESA VARIÁVEL]])</f>
        <v>0</v>
      </c>
      <c r="AA69" s="119" t="n">
        <f aca="false">SUMIFS(tabela_registros[VALOR],tabela_registros[MÊS],$AE$1,tabela_registros[DIA],juntotal3059718395[[#Headers],[23]],tabela_registros[REGISTRO],DADOS!$N$4,tabela_registros[TIPO],DADOS!$P$4,tabela_registros[CATEGORIA],despesavariávelconsolidadojun[[#This Row],[DESPESA VARIÁVEL]])</f>
        <v>0</v>
      </c>
      <c r="AB69" s="119" t="n">
        <f aca="false">SUMIFS(tabela_registros[VALOR],tabela_registros[MÊS],$AE$1,tabela_registros[DIA],juntotal3059718395[[#Headers],[24]],tabela_registros[REGISTRO],DADOS!$N$4,tabela_registros[TIPO],DADOS!$P$4,tabela_registros[CATEGORIA],despesavariávelconsolidadojun[[#This Row],[DESPESA VARIÁVEL]])</f>
        <v>0</v>
      </c>
      <c r="AC69" s="119" t="n">
        <f aca="false">SUMIFS(tabela_registros[VALOR],tabela_registros[MÊS],$AE$1,tabela_registros[DIA],juntotal3059718395[[#Headers],[25]],tabela_registros[REGISTRO],DADOS!$N$4,tabela_registros[TIPO],DADOS!$P$4,tabela_registros[CATEGORIA],despesavariávelconsolidadojun[[#This Row],[DESPESA VARIÁVEL]])</f>
        <v>0</v>
      </c>
      <c r="AD69" s="119" t="n">
        <f aca="false">SUMIFS(tabela_registros[VALOR],tabela_registros[MÊS],$AE$1,tabela_registros[DIA],juntotal3059718395[[#Headers],[26]],tabela_registros[REGISTRO],DADOS!$N$4,tabela_registros[TIPO],DADOS!$P$4,tabela_registros[CATEGORIA],despesavariávelconsolidadojun[[#This Row],[DESPESA VARIÁVEL]])</f>
        <v>0</v>
      </c>
      <c r="AE69" s="119" t="n">
        <f aca="false">SUMIFS(tabela_registros[VALOR],tabela_registros[MÊS],$AE$1,tabela_registros[DIA],juntotal3059718395[[#Headers],[27]],tabela_registros[REGISTRO],DADOS!$N$4,tabela_registros[TIPO],DADOS!$P$4,tabela_registros[CATEGORIA],despesavariávelconsolidadojun[[#This Row],[DESPESA VARIÁVEL]])</f>
        <v>0</v>
      </c>
      <c r="AF69" s="119" t="n">
        <f aca="false">SUMIFS(tabela_registros[VALOR],tabela_registros[MÊS],$AE$1,tabela_registros[DIA],juntotal3059718395[[#Headers],[28]],tabela_registros[REGISTRO],DADOS!$N$4,tabela_registros[TIPO],DADOS!$P$4,tabela_registros[CATEGORIA],despesavariávelconsolidadojun[[#This Row],[DESPESA VARIÁVEL]])</f>
        <v>0</v>
      </c>
      <c r="AG69" s="119" t="n">
        <f aca="false">SUMIFS(tabela_registros[VALOR],tabela_registros[MÊS],$AE$1,tabela_registros[DIA],juntotal3059718395[[#Headers],[29]],tabela_registros[REGISTRO],DADOS!$N$4,tabela_registros[TIPO],DADOS!$P$4,tabela_registros[CATEGORIA],despesavariávelconsolidadojun[[#This Row],[DESPESA VARIÁVEL]])</f>
        <v>0</v>
      </c>
      <c r="AH69" s="119" t="n">
        <f aca="false">SUMIFS(tabela_registros[VALOR],tabela_registros[MÊS],$AE$1,tabela_registros[DIA],juntotal3059718395[[#Headers],[30]],tabela_registros[REGISTRO],DADOS!$N$4,tabela_registros[TIPO],DADOS!$P$4,tabela_registros[CATEGORIA],despesavariávelconsolidadojun[[#This Row],[DESPESA VARIÁVEL]])</f>
        <v>0</v>
      </c>
      <c r="AI69" s="217" t="n">
        <f aca="false">SUMIFS(tabela_registros[VALOR],tabela_registros[MÊS],$AE$1,tabela_registros[DIA],juntotal3059718395[[#Headers],[31]],tabela_registros[REGISTRO],DADOS!$N$4,tabela_registros[TIPO],DADOS!$P$4,tabela_registros[CATEGORIA],despesavariávelconsolidadojun[[#This Row],[DESPESA VARIÁVEL]])</f>
        <v>0</v>
      </c>
      <c r="AJ69" s="149" t="n">
        <f aca="false">SUM(despesavariávelconsolidadojun[[#This Row],[1]:[31]])</f>
        <v>0</v>
      </c>
      <c r="AK69" s="143"/>
    </row>
    <row r="70" customFormat="false" ht="18" hidden="false" customHeight="true" outlineLevel="0" collapsed="false">
      <c r="B70" s="143"/>
      <c r="C70" s="144" t="str">
        <f aca="false">DADOS!$T$13</f>
        <v>🚍 TRANSPORTE</v>
      </c>
      <c r="D70" s="145" t="str">
        <f aca="false">IF(despesavariávelconsolidadojun[[#This Row],[TOTAL]]=0,"",IF(OR(despesavariávelconsolidadojun[[#This Row],[TOTAL]]=LARGE($AJ$60:$AJ$72,1),despesavariávelconsolidadojun[[#This Row],[TOTAL]]=LARGE($AJ$60:$AJ$72,2),despesavariávelconsolidadojun[[#This Row],[TOTAL]]=LARGE($AJ$60:$AJ$72,3),despesavariávelconsolidadojun[[#This Row],[TOTAL]]=LARGE($AJ$60:$AJ$72,4),despesavariávelconsolidadojun[[#This Row],[TOTAL]]=LARGE($AJ$60:$AJ$72,5)),DADOS!$I$8,""))</f>
        <v/>
      </c>
      <c r="E70" s="148" t="n">
        <f aca="false">SUMIFS(tabela_registros[VALOR],tabela_registros[MÊS],$AE$1,tabela_registros[DIA],juntotal3059718395[[#Headers],[1]],tabela_registros[REGISTRO],DADOS!$N$4,tabela_registros[TIPO],DADOS!$P$4,tabela_registros[CATEGORIA],despesavariávelconsolidadojun[[#This Row],[DESPESA VARIÁVEL]])</f>
        <v>0</v>
      </c>
      <c r="F70" s="119" t="n">
        <f aca="false">SUMIFS(tabela_registros[VALOR],tabela_registros[MÊS],$AE$1,tabela_registros[DIA],juntotal3059718395[[#Headers],[2]],tabela_registros[REGISTRO],DADOS!$N$4,tabela_registros[TIPO],DADOS!$P$4,tabela_registros[CATEGORIA],despesavariávelconsolidadojun[[#This Row],[DESPESA VARIÁVEL]])</f>
        <v>0</v>
      </c>
      <c r="G70" s="119" t="n">
        <f aca="false">SUMIFS(tabela_registros[VALOR],tabela_registros[MÊS],$AE$1,tabela_registros[DIA],juntotal3059718395[[#Headers],[3]],tabela_registros[REGISTRO],DADOS!$N$4,tabela_registros[TIPO],DADOS!$P$4,tabela_registros[CATEGORIA],despesavariávelconsolidadojun[[#This Row],[DESPESA VARIÁVEL]])</f>
        <v>0</v>
      </c>
      <c r="H70" s="119" t="n">
        <f aca="false">SUMIFS(tabela_registros[VALOR],tabela_registros[MÊS],$AE$1,tabela_registros[DIA],juntotal3059718395[[#Headers],[4]],tabela_registros[REGISTRO],DADOS!$N$4,tabela_registros[TIPO],DADOS!$P$4,tabela_registros[CATEGORIA],despesavariávelconsolidadojun[[#This Row],[DESPESA VARIÁVEL]])</f>
        <v>0</v>
      </c>
      <c r="I70" s="119" t="n">
        <f aca="false">SUMIFS(tabela_registros[VALOR],tabela_registros[MÊS],$AE$1,tabela_registros[DIA],juntotal3059718395[[#Headers],[5]],tabela_registros[REGISTRO],DADOS!$N$4,tabela_registros[TIPO],DADOS!$P$4,tabela_registros[CATEGORIA],despesavariávelconsolidadojun[[#This Row],[DESPESA VARIÁVEL]])</f>
        <v>0</v>
      </c>
      <c r="J70" s="119" t="n">
        <f aca="false">SUMIFS(tabela_registros[VALOR],tabela_registros[MÊS],$AE$1,tabela_registros[DIA],juntotal3059718395[[#Headers],[6]],tabela_registros[REGISTRO],DADOS!$N$4,tabela_registros[TIPO],DADOS!$P$4,tabela_registros[CATEGORIA],despesavariávelconsolidadojun[[#This Row],[DESPESA VARIÁVEL]])</f>
        <v>0</v>
      </c>
      <c r="K70" s="119" t="n">
        <f aca="false">SUMIFS(tabela_registros[VALOR],tabela_registros[MÊS],$AE$1,tabela_registros[DIA],juntotal3059718395[[#Headers],[7]],tabela_registros[REGISTRO],DADOS!$N$4,tabela_registros[TIPO],DADOS!$P$4,tabela_registros[CATEGORIA],despesavariávelconsolidadojun[[#This Row],[DESPESA VARIÁVEL]])</f>
        <v>0</v>
      </c>
      <c r="L70" s="119" t="n">
        <f aca="false">SUMIFS(tabela_registros[VALOR],tabela_registros[MÊS],$AE$1,tabela_registros[DIA],juntotal3059718395[[#Headers],[8]],tabela_registros[REGISTRO],DADOS!$N$4,tabela_registros[TIPO],DADOS!$P$4,tabela_registros[CATEGORIA],despesavariávelconsolidadojun[[#This Row],[DESPESA VARIÁVEL]])</f>
        <v>0</v>
      </c>
      <c r="M70" s="119" t="n">
        <f aca="false">SUMIFS(tabela_registros[VALOR],tabela_registros[MÊS],$AE$1,tabela_registros[DIA],juntotal3059718395[[#Headers],[9]],tabela_registros[REGISTRO],DADOS!$N$4,tabela_registros[TIPO],DADOS!$P$4,tabela_registros[CATEGORIA],despesavariávelconsolidadojun[[#This Row],[DESPESA VARIÁVEL]])</f>
        <v>0</v>
      </c>
      <c r="N70" s="119" t="n">
        <f aca="false">SUMIFS(tabela_registros[VALOR],tabela_registros[MÊS],$AE$1,tabela_registros[DIA],juntotal3059718395[[#Headers],[10]],tabela_registros[REGISTRO],DADOS!$N$4,tabela_registros[TIPO],DADOS!$P$4,tabela_registros[CATEGORIA],despesavariávelconsolidadojun[[#This Row],[DESPESA VARIÁVEL]])</f>
        <v>0</v>
      </c>
      <c r="O70" s="119" t="n">
        <f aca="false">SUMIFS(tabela_registros[VALOR],tabela_registros[MÊS],$AE$1,tabela_registros[DIA],juntotal3059718395[[#Headers],[11]],tabela_registros[REGISTRO],DADOS!$N$4,tabela_registros[TIPO],DADOS!$P$4,tabela_registros[CATEGORIA],despesavariávelconsolidadojun[[#This Row],[DESPESA VARIÁVEL]])</f>
        <v>0</v>
      </c>
      <c r="P70" s="119" t="n">
        <f aca="false">SUMIFS(tabela_registros[VALOR],tabela_registros[MÊS],$AE$1,tabela_registros[DIA],juntotal3059718395[[#Headers],[12]],tabela_registros[REGISTRO],DADOS!$N$4,tabela_registros[TIPO],DADOS!$P$4,tabela_registros[CATEGORIA],despesavariávelconsolidadojun[[#This Row],[DESPESA VARIÁVEL]])</f>
        <v>0</v>
      </c>
      <c r="Q70" s="119" t="n">
        <f aca="false">SUMIFS(tabela_registros[VALOR],tabela_registros[MÊS],$AE$1,tabela_registros[DIA],juntotal3059718395[[#Headers],[13]],tabela_registros[REGISTRO],DADOS!$N$4,tabela_registros[TIPO],DADOS!$P$4,tabela_registros[CATEGORIA],despesavariávelconsolidadojun[[#This Row],[DESPESA VARIÁVEL]])</f>
        <v>0</v>
      </c>
      <c r="R70" s="119" t="n">
        <f aca="false">SUMIFS(tabela_registros[VALOR],tabela_registros[MÊS],$AE$1,tabela_registros[DIA],juntotal3059718395[[#Headers],[14]],tabela_registros[REGISTRO],DADOS!$N$4,tabela_registros[TIPO],DADOS!$P$4,tabela_registros[CATEGORIA],despesavariávelconsolidadojun[[#This Row],[DESPESA VARIÁVEL]])</f>
        <v>0</v>
      </c>
      <c r="S70" s="119" t="n">
        <f aca="false">SUMIFS(tabela_registros[VALOR],tabela_registros[MÊS],$AE$1,tabela_registros[DIA],juntotal3059718395[[#Headers],[15]],tabela_registros[REGISTRO],DADOS!$N$4,tabela_registros[TIPO],DADOS!$P$4,tabela_registros[CATEGORIA],despesavariávelconsolidadojun[[#This Row],[DESPESA VARIÁVEL]])</f>
        <v>0</v>
      </c>
      <c r="T70" s="119" t="n">
        <f aca="false">SUMIFS(tabela_registros[VALOR],tabela_registros[MÊS],$AE$1,tabela_registros[DIA],juntotal3059718395[[#Headers],[16]],tabela_registros[REGISTRO],DADOS!$N$4,tabela_registros[TIPO],DADOS!$P$4,tabela_registros[CATEGORIA],despesavariávelconsolidadojun[[#This Row],[DESPESA VARIÁVEL]])</f>
        <v>0</v>
      </c>
      <c r="U70" s="119" t="n">
        <f aca="false">SUMIFS(tabela_registros[VALOR],tabela_registros[MÊS],$AE$1,tabela_registros[DIA],juntotal3059718395[[#Headers],[17]],tabela_registros[REGISTRO],DADOS!$N$4,tabela_registros[TIPO],DADOS!$P$4,tabela_registros[CATEGORIA],despesavariávelconsolidadojun[[#This Row],[DESPESA VARIÁVEL]])</f>
        <v>0</v>
      </c>
      <c r="V70" s="119" t="n">
        <f aca="false">SUMIFS(tabela_registros[VALOR],tabela_registros[MÊS],$AE$1,tabela_registros[DIA],juntotal3059718395[[#Headers],[18]],tabela_registros[REGISTRO],DADOS!$N$4,tabela_registros[TIPO],DADOS!$P$4,tabela_registros[CATEGORIA],despesavariávelconsolidadojun[[#This Row],[DESPESA VARIÁVEL]])</f>
        <v>0</v>
      </c>
      <c r="W70" s="119" t="n">
        <f aca="false">SUMIFS(tabela_registros[VALOR],tabela_registros[MÊS],$AE$1,tabela_registros[DIA],juntotal3059718395[[#Headers],[19]],tabela_registros[REGISTRO],DADOS!$N$4,tabela_registros[TIPO],DADOS!$P$4,tabela_registros[CATEGORIA],despesavariávelconsolidadojun[[#This Row],[DESPESA VARIÁVEL]])</f>
        <v>0</v>
      </c>
      <c r="X70" s="119" t="n">
        <f aca="false">SUMIFS(tabela_registros[VALOR],tabela_registros[MÊS],$AE$1,tabela_registros[DIA],juntotal3059718395[[#Headers],[20]],tabela_registros[REGISTRO],DADOS!$N$4,tabela_registros[TIPO],DADOS!$P$4,tabela_registros[CATEGORIA],despesavariávelconsolidadojun[[#This Row],[DESPESA VARIÁVEL]])</f>
        <v>0</v>
      </c>
      <c r="Y70" s="119" t="n">
        <f aca="false">SUMIFS(tabela_registros[VALOR],tabela_registros[MÊS],$AE$1,tabela_registros[DIA],juntotal3059718395[[#Headers],[21]],tabela_registros[REGISTRO],DADOS!$N$4,tabela_registros[TIPO],DADOS!$P$4,tabela_registros[CATEGORIA],despesavariávelconsolidadojun[[#This Row],[DESPESA VARIÁVEL]])</f>
        <v>0</v>
      </c>
      <c r="Z70" s="119" t="n">
        <f aca="false">SUMIFS(tabela_registros[VALOR],tabela_registros[MÊS],$AE$1,tabela_registros[DIA],juntotal3059718395[[#Headers],[22]],tabela_registros[REGISTRO],DADOS!$N$4,tabela_registros[TIPO],DADOS!$P$4,tabela_registros[CATEGORIA],despesavariávelconsolidadojun[[#This Row],[DESPESA VARIÁVEL]])</f>
        <v>0</v>
      </c>
      <c r="AA70" s="119" t="n">
        <f aca="false">SUMIFS(tabela_registros[VALOR],tabela_registros[MÊS],$AE$1,tabela_registros[DIA],juntotal3059718395[[#Headers],[23]],tabela_registros[REGISTRO],DADOS!$N$4,tabela_registros[TIPO],DADOS!$P$4,tabela_registros[CATEGORIA],despesavariávelconsolidadojun[[#This Row],[DESPESA VARIÁVEL]])</f>
        <v>0</v>
      </c>
      <c r="AB70" s="119" t="n">
        <f aca="false">SUMIFS(tabela_registros[VALOR],tabela_registros[MÊS],$AE$1,tabela_registros[DIA],juntotal3059718395[[#Headers],[24]],tabela_registros[REGISTRO],DADOS!$N$4,tabela_registros[TIPO],DADOS!$P$4,tabela_registros[CATEGORIA],despesavariávelconsolidadojun[[#This Row],[DESPESA VARIÁVEL]])</f>
        <v>0</v>
      </c>
      <c r="AC70" s="119" t="n">
        <f aca="false">SUMIFS(tabela_registros[VALOR],tabela_registros[MÊS],$AE$1,tabela_registros[DIA],juntotal3059718395[[#Headers],[25]],tabela_registros[REGISTRO],DADOS!$N$4,tabela_registros[TIPO],DADOS!$P$4,tabela_registros[CATEGORIA],despesavariávelconsolidadojun[[#This Row],[DESPESA VARIÁVEL]])</f>
        <v>0</v>
      </c>
      <c r="AD70" s="119" t="n">
        <f aca="false">SUMIFS(tabela_registros[VALOR],tabela_registros[MÊS],$AE$1,tabela_registros[DIA],juntotal3059718395[[#Headers],[26]],tabela_registros[REGISTRO],DADOS!$N$4,tabela_registros[TIPO],DADOS!$P$4,tabela_registros[CATEGORIA],despesavariávelconsolidadojun[[#This Row],[DESPESA VARIÁVEL]])</f>
        <v>0</v>
      </c>
      <c r="AE70" s="119" t="n">
        <f aca="false">SUMIFS(tabela_registros[VALOR],tabela_registros[MÊS],$AE$1,tabela_registros[DIA],juntotal3059718395[[#Headers],[27]],tabela_registros[REGISTRO],DADOS!$N$4,tabela_registros[TIPO],DADOS!$P$4,tabela_registros[CATEGORIA],despesavariávelconsolidadojun[[#This Row],[DESPESA VARIÁVEL]])</f>
        <v>0</v>
      </c>
      <c r="AF70" s="119" t="n">
        <f aca="false">SUMIFS(tabela_registros[VALOR],tabela_registros[MÊS],$AE$1,tabela_registros[DIA],juntotal3059718395[[#Headers],[28]],tabela_registros[REGISTRO],DADOS!$N$4,tabela_registros[TIPO],DADOS!$P$4,tabela_registros[CATEGORIA],despesavariávelconsolidadojun[[#This Row],[DESPESA VARIÁVEL]])</f>
        <v>0</v>
      </c>
      <c r="AG70" s="119" t="n">
        <f aca="false">SUMIFS(tabela_registros[VALOR],tabela_registros[MÊS],$AE$1,tabela_registros[DIA],juntotal3059718395[[#Headers],[29]],tabela_registros[REGISTRO],DADOS!$N$4,tabela_registros[TIPO],DADOS!$P$4,tabela_registros[CATEGORIA],despesavariávelconsolidadojun[[#This Row],[DESPESA VARIÁVEL]])</f>
        <v>0</v>
      </c>
      <c r="AH70" s="119" t="n">
        <f aca="false">SUMIFS(tabela_registros[VALOR],tabela_registros[MÊS],$AE$1,tabela_registros[DIA],juntotal3059718395[[#Headers],[30]],tabela_registros[REGISTRO],DADOS!$N$4,tabela_registros[TIPO],DADOS!$P$4,tabela_registros[CATEGORIA],despesavariávelconsolidadojun[[#This Row],[DESPESA VARIÁVEL]])</f>
        <v>0</v>
      </c>
      <c r="AI70" s="217" t="n">
        <f aca="false">SUMIFS(tabela_registros[VALOR],tabela_registros[MÊS],$AE$1,tabela_registros[DIA],juntotal3059718395[[#Headers],[31]],tabela_registros[REGISTRO],DADOS!$N$4,tabela_registros[TIPO],DADOS!$P$4,tabela_registros[CATEGORIA],despesavariávelconsolidadojun[[#This Row],[DESPESA VARIÁVEL]])</f>
        <v>0</v>
      </c>
      <c r="AJ70" s="149" t="n">
        <f aca="false">SUM(despesavariávelconsolidadojun[[#This Row],[1]:[31]])</f>
        <v>0</v>
      </c>
      <c r="AK70" s="143"/>
    </row>
    <row r="71" customFormat="false" ht="18" hidden="false" customHeight="true" outlineLevel="0" collapsed="false">
      <c r="B71" s="143"/>
      <c r="C71" s="144" t="str">
        <f aca="false">DADOS!$T$14</f>
        <v>🛍️ VESTUÁRIO</v>
      </c>
      <c r="D71" s="145" t="str">
        <f aca="false">IF(despesavariávelconsolidadojun[[#This Row],[TOTAL]]=0,"",IF(OR(despesavariávelconsolidadojun[[#This Row],[TOTAL]]=LARGE($AJ$60:$AJ$72,1),despesavariávelconsolidadojun[[#This Row],[TOTAL]]=LARGE($AJ$60:$AJ$72,2),despesavariávelconsolidadojun[[#This Row],[TOTAL]]=LARGE($AJ$60:$AJ$72,3),despesavariávelconsolidadojun[[#This Row],[TOTAL]]=LARGE($AJ$60:$AJ$72,4),despesavariávelconsolidadojun[[#This Row],[TOTAL]]=LARGE($AJ$60:$AJ$72,5)),DADOS!$I$8,""))</f>
        <v/>
      </c>
      <c r="E71" s="148" t="n">
        <f aca="false">SUMIFS(tabela_registros[VALOR],tabela_registros[MÊS],$AE$1,tabela_registros[DIA],juntotal3059718395[[#Headers],[1]],tabela_registros[REGISTRO],DADOS!$N$4,tabela_registros[TIPO],DADOS!$P$4,tabela_registros[CATEGORIA],despesavariávelconsolidadojun[[#This Row],[DESPESA VARIÁVEL]])</f>
        <v>0</v>
      </c>
      <c r="F71" s="119" t="n">
        <f aca="false">SUMIFS(tabela_registros[VALOR],tabela_registros[MÊS],$AE$1,tabela_registros[DIA],juntotal3059718395[[#Headers],[2]],tabela_registros[REGISTRO],DADOS!$N$4,tabela_registros[TIPO],DADOS!$P$4,tabela_registros[CATEGORIA],despesavariávelconsolidadojun[[#This Row],[DESPESA VARIÁVEL]])</f>
        <v>0</v>
      </c>
      <c r="G71" s="119" t="n">
        <f aca="false">SUMIFS(tabela_registros[VALOR],tabela_registros[MÊS],$AE$1,tabela_registros[DIA],juntotal3059718395[[#Headers],[3]],tabela_registros[REGISTRO],DADOS!$N$4,tabela_registros[TIPO],DADOS!$P$4,tabela_registros[CATEGORIA],despesavariávelconsolidadojun[[#This Row],[DESPESA VARIÁVEL]])</f>
        <v>0</v>
      </c>
      <c r="H71" s="119" t="n">
        <f aca="false">SUMIFS(tabela_registros[VALOR],tabela_registros[MÊS],$AE$1,tabela_registros[DIA],juntotal3059718395[[#Headers],[4]],tabela_registros[REGISTRO],DADOS!$N$4,tabela_registros[TIPO],DADOS!$P$4,tabela_registros[CATEGORIA],despesavariávelconsolidadojun[[#This Row],[DESPESA VARIÁVEL]])</f>
        <v>0</v>
      </c>
      <c r="I71" s="119" t="n">
        <f aca="false">SUMIFS(tabela_registros[VALOR],tabela_registros[MÊS],$AE$1,tabela_registros[DIA],juntotal3059718395[[#Headers],[5]],tabela_registros[REGISTRO],DADOS!$N$4,tabela_registros[TIPO],DADOS!$P$4,tabela_registros[CATEGORIA],despesavariávelconsolidadojun[[#This Row],[DESPESA VARIÁVEL]])</f>
        <v>0</v>
      </c>
      <c r="J71" s="119" t="n">
        <f aca="false">SUMIFS(tabela_registros[VALOR],tabela_registros[MÊS],$AE$1,tabela_registros[DIA],juntotal3059718395[[#Headers],[6]],tabela_registros[REGISTRO],DADOS!$N$4,tabela_registros[TIPO],DADOS!$P$4,tabela_registros[CATEGORIA],despesavariávelconsolidadojun[[#This Row],[DESPESA VARIÁVEL]])</f>
        <v>0</v>
      </c>
      <c r="K71" s="119" t="n">
        <f aca="false">SUMIFS(tabela_registros[VALOR],tabela_registros[MÊS],$AE$1,tabela_registros[DIA],juntotal3059718395[[#Headers],[7]],tabela_registros[REGISTRO],DADOS!$N$4,tabela_registros[TIPO],DADOS!$P$4,tabela_registros[CATEGORIA],despesavariávelconsolidadojun[[#This Row],[DESPESA VARIÁVEL]])</f>
        <v>0</v>
      </c>
      <c r="L71" s="119" t="n">
        <f aca="false">SUMIFS(tabela_registros[VALOR],tabela_registros[MÊS],$AE$1,tabela_registros[DIA],juntotal3059718395[[#Headers],[8]],tabela_registros[REGISTRO],DADOS!$N$4,tabela_registros[TIPO],DADOS!$P$4,tabela_registros[CATEGORIA],despesavariávelconsolidadojun[[#This Row],[DESPESA VARIÁVEL]])</f>
        <v>0</v>
      </c>
      <c r="M71" s="119" t="n">
        <f aca="false">SUMIFS(tabela_registros[VALOR],tabela_registros[MÊS],$AE$1,tabela_registros[DIA],juntotal3059718395[[#Headers],[9]],tabela_registros[REGISTRO],DADOS!$N$4,tabela_registros[TIPO],DADOS!$P$4,tabela_registros[CATEGORIA],despesavariávelconsolidadojun[[#This Row],[DESPESA VARIÁVEL]])</f>
        <v>0</v>
      </c>
      <c r="N71" s="119" t="n">
        <f aca="false">SUMIFS(tabela_registros[VALOR],tabela_registros[MÊS],$AE$1,tabela_registros[DIA],juntotal3059718395[[#Headers],[10]],tabela_registros[REGISTRO],DADOS!$N$4,tabela_registros[TIPO],DADOS!$P$4,tabela_registros[CATEGORIA],despesavariávelconsolidadojun[[#This Row],[DESPESA VARIÁVEL]])</f>
        <v>0</v>
      </c>
      <c r="O71" s="119" t="n">
        <f aca="false">SUMIFS(tabela_registros[VALOR],tabela_registros[MÊS],$AE$1,tabela_registros[DIA],juntotal3059718395[[#Headers],[11]],tabela_registros[REGISTRO],DADOS!$N$4,tabela_registros[TIPO],DADOS!$P$4,tabela_registros[CATEGORIA],despesavariávelconsolidadojun[[#This Row],[DESPESA VARIÁVEL]])</f>
        <v>0</v>
      </c>
      <c r="P71" s="119" t="n">
        <f aca="false">SUMIFS(tabela_registros[VALOR],tabela_registros[MÊS],$AE$1,tabela_registros[DIA],juntotal3059718395[[#Headers],[12]],tabela_registros[REGISTRO],DADOS!$N$4,tabela_registros[TIPO],DADOS!$P$4,tabela_registros[CATEGORIA],despesavariávelconsolidadojun[[#This Row],[DESPESA VARIÁVEL]])</f>
        <v>0</v>
      </c>
      <c r="Q71" s="119" t="n">
        <f aca="false">SUMIFS(tabela_registros[VALOR],tabela_registros[MÊS],$AE$1,tabela_registros[DIA],juntotal3059718395[[#Headers],[13]],tabela_registros[REGISTRO],DADOS!$N$4,tabela_registros[TIPO],DADOS!$P$4,tabela_registros[CATEGORIA],despesavariávelconsolidadojun[[#This Row],[DESPESA VARIÁVEL]])</f>
        <v>0</v>
      </c>
      <c r="R71" s="119" t="n">
        <f aca="false">SUMIFS(tabela_registros[VALOR],tabela_registros[MÊS],$AE$1,tabela_registros[DIA],juntotal3059718395[[#Headers],[14]],tabela_registros[REGISTRO],DADOS!$N$4,tabela_registros[TIPO],DADOS!$P$4,tabela_registros[CATEGORIA],despesavariávelconsolidadojun[[#This Row],[DESPESA VARIÁVEL]])</f>
        <v>0</v>
      </c>
      <c r="S71" s="119" t="n">
        <f aca="false">SUMIFS(tabela_registros[VALOR],tabela_registros[MÊS],$AE$1,tabela_registros[DIA],juntotal3059718395[[#Headers],[15]],tabela_registros[REGISTRO],DADOS!$N$4,tabela_registros[TIPO],DADOS!$P$4,tabela_registros[CATEGORIA],despesavariávelconsolidadojun[[#This Row],[DESPESA VARIÁVEL]])</f>
        <v>0</v>
      </c>
      <c r="T71" s="119" t="n">
        <f aca="false">SUMIFS(tabela_registros[VALOR],tabela_registros[MÊS],$AE$1,tabela_registros[DIA],juntotal3059718395[[#Headers],[16]],tabela_registros[REGISTRO],DADOS!$N$4,tabela_registros[TIPO],DADOS!$P$4,tabela_registros[CATEGORIA],despesavariávelconsolidadojun[[#This Row],[DESPESA VARIÁVEL]])</f>
        <v>0</v>
      </c>
      <c r="U71" s="119" t="n">
        <f aca="false">SUMIFS(tabela_registros[VALOR],tabela_registros[MÊS],$AE$1,tabela_registros[DIA],juntotal3059718395[[#Headers],[17]],tabela_registros[REGISTRO],DADOS!$N$4,tabela_registros[TIPO],DADOS!$P$4,tabela_registros[CATEGORIA],despesavariávelconsolidadojun[[#This Row],[DESPESA VARIÁVEL]])</f>
        <v>0</v>
      </c>
      <c r="V71" s="119" t="n">
        <f aca="false">SUMIFS(tabela_registros[VALOR],tabela_registros[MÊS],$AE$1,tabela_registros[DIA],juntotal3059718395[[#Headers],[18]],tabela_registros[REGISTRO],DADOS!$N$4,tabela_registros[TIPO],DADOS!$P$4,tabela_registros[CATEGORIA],despesavariávelconsolidadojun[[#This Row],[DESPESA VARIÁVEL]])</f>
        <v>0</v>
      </c>
      <c r="W71" s="119" t="n">
        <f aca="false">SUMIFS(tabela_registros[VALOR],tabela_registros[MÊS],$AE$1,tabela_registros[DIA],juntotal3059718395[[#Headers],[19]],tabela_registros[REGISTRO],DADOS!$N$4,tabela_registros[TIPO],DADOS!$P$4,tabela_registros[CATEGORIA],despesavariávelconsolidadojun[[#This Row],[DESPESA VARIÁVEL]])</f>
        <v>0</v>
      </c>
      <c r="X71" s="119" t="n">
        <f aca="false">SUMIFS(tabela_registros[VALOR],tabela_registros[MÊS],$AE$1,tabela_registros[DIA],juntotal3059718395[[#Headers],[20]],tabela_registros[REGISTRO],DADOS!$N$4,tabela_registros[TIPO],DADOS!$P$4,tabela_registros[CATEGORIA],despesavariávelconsolidadojun[[#This Row],[DESPESA VARIÁVEL]])</f>
        <v>0</v>
      </c>
      <c r="Y71" s="119" t="n">
        <f aca="false">SUMIFS(tabela_registros[VALOR],tabela_registros[MÊS],$AE$1,tabela_registros[DIA],juntotal3059718395[[#Headers],[21]],tabela_registros[REGISTRO],DADOS!$N$4,tabela_registros[TIPO],DADOS!$P$4,tabela_registros[CATEGORIA],despesavariávelconsolidadojun[[#This Row],[DESPESA VARIÁVEL]])</f>
        <v>0</v>
      </c>
      <c r="Z71" s="119" t="n">
        <f aca="false">SUMIFS(tabela_registros[VALOR],tabela_registros[MÊS],$AE$1,tabela_registros[DIA],juntotal3059718395[[#Headers],[22]],tabela_registros[REGISTRO],DADOS!$N$4,tabela_registros[TIPO],DADOS!$P$4,tabela_registros[CATEGORIA],despesavariávelconsolidadojun[[#This Row],[DESPESA VARIÁVEL]])</f>
        <v>0</v>
      </c>
      <c r="AA71" s="119" t="n">
        <f aca="false">SUMIFS(tabela_registros[VALOR],tabela_registros[MÊS],$AE$1,tabela_registros[DIA],juntotal3059718395[[#Headers],[23]],tabela_registros[REGISTRO],DADOS!$N$4,tabela_registros[TIPO],DADOS!$P$4,tabela_registros[CATEGORIA],despesavariávelconsolidadojun[[#This Row],[DESPESA VARIÁVEL]])</f>
        <v>0</v>
      </c>
      <c r="AB71" s="119" t="n">
        <f aca="false">SUMIFS(tabela_registros[VALOR],tabela_registros[MÊS],$AE$1,tabela_registros[DIA],juntotal3059718395[[#Headers],[24]],tabela_registros[REGISTRO],DADOS!$N$4,tabela_registros[TIPO],DADOS!$P$4,tabela_registros[CATEGORIA],despesavariávelconsolidadojun[[#This Row],[DESPESA VARIÁVEL]])</f>
        <v>0</v>
      </c>
      <c r="AC71" s="119" t="n">
        <f aca="false">SUMIFS(tabela_registros[VALOR],tabela_registros[MÊS],$AE$1,tabela_registros[DIA],juntotal3059718395[[#Headers],[25]],tabela_registros[REGISTRO],DADOS!$N$4,tabela_registros[TIPO],DADOS!$P$4,tabela_registros[CATEGORIA],despesavariávelconsolidadojun[[#This Row],[DESPESA VARIÁVEL]])</f>
        <v>0</v>
      </c>
      <c r="AD71" s="119" t="n">
        <f aca="false">SUMIFS(tabela_registros[VALOR],tabela_registros[MÊS],$AE$1,tabela_registros[DIA],juntotal3059718395[[#Headers],[26]],tabela_registros[REGISTRO],DADOS!$N$4,tabela_registros[TIPO],DADOS!$P$4,tabela_registros[CATEGORIA],despesavariávelconsolidadojun[[#This Row],[DESPESA VARIÁVEL]])</f>
        <v>0</v>
      </c>
      <c r="AE71" s="119" t="n">
        <f aca="false">SUMIFS(tabela_registros[VALOR],tabela_registros[MÊS],$AE$1,tabela_registros[DIA],juntotal3059718395[[#Headers],[27]],tabela_registros[REGISTRO],DADOS!$N$4,tabela_registros[TIPO],DADOS!$P$4,tabela_registros[CATEGORIA],despesavariávelconsolidadojun[[#This Row],[DESPESA VARIÁVEL]])</f>
        <v>0</v>
      </c>
      <c r="AF71" s="119" t="n">
        <f aca="false">SUMIFS(tabela_registros[VALOR],tabela_registros[MÊS],$AE$1,tabela_registros[DIA],juntotal3059718395[[#Headers],[28]],tabela_registros[REGISTRO],DADOS!$N$4,tabela_registros[TIPO],DADOS!$P$4,tabela_registros[CATEGORIA],despesavariávelconsolidadojun[[#This Row],[DESPESA VARIÁVEL]])</f>
        <v>0</v>
      </c>
      <c r="AG71" s="119" t="n">
        <f aca="false">SUMIFS(tabela_registros[VALOR],tabela_registros[MÊS],$AE$1,tabela_registros[DIA],juntotal3059718395[[#Headers],[29]],tabela_registros[REGISTRO],DADOS!$N$4,tabela_registros[TIPO],DADOS!$P$4,tabela_registros[CATEGORIA],despesavariávelconsolidadojun[[#This Row],[DESPESA VARIÁVEL]])</f>
        <v>0</v>
      </c>
      <c r="AH71" s="119" t="n">
        <f aca="false">SUMIFS(tabela_registros[VALOR],tabela_registros[MÊS],$AE$1,tabela_registros[DIA],juntotal3059718395[[#Headers],[30]],tabela_registros[REGISTRO],DADOS!$N$4,tabela_registros[TIPO],DADOS!$P$4,tabela_registros[CATEGORIA],despesavariávelconsolidadojun[[#This Row],[DESPESA VARIÁVEL]])</f>
        <v>0</v>
      </c>
      <c r="AI71" s="217" t="n">
        <f aca="false">SUMIFS(tabela_registros[VALOR],tabela_registros[MÊS],$AE$1,tabela_registros[DIA],juntotal3059718395[[#Headers],[31]],tabela_registros[REGISTRO],DADOS!$N$4,tabela_registros[TIPO],DADOS!$P$4,tabela_registros[CATEGORIA],despesavariávelconsolidadojun[[#This Row],[DESPESA VARIÁVEL]])</f>
        <v>0</v>
      </c>
      <c r="AJ71" s="149" t="n">
        <f aca="false">SUM(despesavariávelconsolidadojun[[#This Row],[1]:[31]])</f>
        <v>0</v>
      </c>
      <c r="AK71" s="143"/>
    </row>
    <row r="72" customFormat="false" ht="18" hidden="false" customHeight="true" outlineLevel="0" collapsed="false">
      <c r="B72" s="143"/>
      <c r="C72" s="144" t="str">
        <f aca="false">DADOS!$T$15</f>
        <v>📎 OUTROS</v>
      </c>
      <c r="D72" s="145" t="str">
        <f aca="false">IF(despesavariávelconsolidadojun[[#This Row],[TOTAL]]=0,"",IF(OR(despesavariávelconsolidadojun[[#This Row],[TOTAL]]=LARGE($AJ$60:$AJ$72,1),despesavariávelconsolidadojun[[#This Row],[TOTAL]]=LARGE($AJ$60:$AJ$72,2),despesavariávelconsolidadojun[[#This Row],[TOTAL]]=LARGE($AJ$60:$AJ$72,3),despesavariávelconsolidadojun[[#This Row],[TOTAL]]=LARGE($AJ$60:$AJ$72,4),despesavariávelconsolidadojun[[#This Row],[TOTAL]]=LARGE($AJ$60:$AJ$72,5)),DADOS!$I$8,""))</f>
        <v/>
      </c>
      <c r="E72" s="148" t="n">
        <f aca="false">SUMIFS(tabela_registros[VALOR],tabela_registros[MÊS],$AE$1,tabela_registros[DIA],juntotal3059718395[[#Headers],[1]],tabela_registros[REGISTRO],DADOS!$N$4,tabela_registros[TIPO],DADOS!$P$4,tabela_registros[CATEGORIA],despesavariávelconsolidadojun[[#This Row],[DESPESA VARIÁVEL]])</f>
        <v>0</v>
      </c>
      <c r="F72" s="119" t="n">
        <f aca="false">SUMIFS(tabela_registros[VALOR],tabela_registros[MÊS],$AE$1,tabela_registros[DIA],juntotal3059718395[[#Headers],[2]],tabela_registros[REGISTRO],DADOS!$N$4,tabela_registros[TIPO],DADOS!$P$4,tabela_registros[CATEGORIA],despesavariávelconsolidadojun[[#This Row],[DESPESA VARIÁVEL]])</f>
        <v>0</v>
      </c>
      <c r="G72" s="119" t="n">
        <f aca="false">SUMIFS(tabela_registros[VALOR],tabela_registros[MÊS],$AE$1,tabela_registros[DIA],juntotal3059718395[[#Headers],[3]],tabela_registros[REGISTRO],DADOS!$N$4,tabela_registros[TIPO],DADOS!$P$4,tabela_registros[CATEGORIA],despesavariávelconsolidadojun[[#This Row],[DESPESA VARIÁVEL]])</f>
        <v>0</v>
      </c>
      <c r="H72" s="119" t="n">
        <f aca="false">SUMIFS(tabela_registros[VALOR],tabela_registros[MÊS],$AE$1,tabela_registros[DIA],juntotal3059718395[[#Headers],[4]],tabela_registros[REGISTRO],DADOS!$N$4,tabela_registros[TIPO],DADOS!$P$4,tabela_registros[CATEGORIA],despesavariávelconsolidadojun[[#This Row],[DESPESA VARIÁVEL]])</f>
        <v>0</v>
      </c>
      <c r="I72" s="119" t="n">
        <f aca="false">SUMIFS(tabela_registros[VALOR],tabela_registros[MÊS],$AE$1,tabela_registros[DIA],juntotal3059718395[[#Headers],[5]],tabela_registros[REGISTRO],DADOS!$N$4,tabela_registros[TIPO],DADOS!$P$4,tabela_registros[CATEGORIA],despesavariávelconsolidadojun[[#This Row],[DESPESA VARIÁVEL]])</f>
        <v>0</v>
      </c>
      <c r="J72" s="119" t="n">
        <f aca="false">SUMIFS(tabela_registros[VALOR],tabela_registros[MÊS],$AE$1,tabela_registros[DIA],juntotal3059718395[[#Headers],[6]],tabela_registros[REGISTRO],DADOS!$N$4,tabela_registros[TIPO],DADOS!$P$4,tabela_registros[CATEGORIA],despesavariávelconsolidadojun[[#This Row],[DESPESA VARIÁVEL]])</f>
        <v>0</v>
      </c>
      <c r="K72" s="119" t="n">
        <f aca="false">SUMIFS(tabela_registros[VALOR],tabela_registros[MÊS],$AE$1,tabela_registros[DIA],juntotal3059718395[[#Headers],[7]],tabela_registros[REGISTRO],DADOS!$N$4,tabela_registros[TIPO],DADOS!$P$4,tabela_registros[CATEGORIA],despesavariávelconsolidadojun[[#This Row],[DESPESA VARIÁVEL]])</f>
        <v>0</v>
      </c>
      <c r="L72" s="119" t="n">
        <f aca="false">SUMIFS(tabela_registros[VALOR],tabela_registros[MÊS],$AE$1,tabela_registros[DIA],juntotal3059718395[[#Headers],[8]],tabela_registros[REGISTRO],DADOS!$N$4,tabela_registros[TIPO],DADOS!$P$4,tabela_registros[CATEGORIA],despesavariávelconsolidadojun[[#This Row],[DESPESA VARIÁVEL]])</f>
        <v>0</v>
      </c>
      <c r="M72" s="119" t="n">
        <f aca="false">SUMIFS(tabela_registros[VALOR],tabela_registros[MÊS],$AE$1,tabela_registros[DIA],juntotal3059718395[[#Headers],[9]],tabela_registros[REGISTRO],DADOS!$N$4,tabela_registros[TIPO],DADOS!$P$4,tabela_registros[CATEGORIA],despesavariávelconsolidadojun[[#This Row],[DESPESA VARIÁVEL]])</f>
        <v>0</v>
      </c>
      <c r="N72" s="119" t="n">
        <f aca="false">SUMIFS(tabela_registros[VALOR],tabela_registros[MÊS],$AE$1,tabela_registros[DIA],juntotal3059718395[[#Headers],[10]],tabela_registros[REGISTRO],DADOS!$N$4,tabela_registros[TIPO],DADOS!$P$4,tabela_registros[CATEGORIA],despesavariávelconsolidadojun[[#This Row],[DESPESA VARIÁVEL]])</f>
        <v>0</v>
      </c>
      <c r="O72" s="119" t="n">
        <f aca="false">SUMIFS(tabela_registros[VALOR],tabela_registros[MÊS],$AE$1,tabela_registros[DIA],juntotal3059718395[[#Headers],[11]],tabela_registros[REGISTRO],DADOS!$N$4,tabela_registros[TIPO],DADOS!$P$4,tabela_registros[CATEGORIA],despesavariávelconsolidadojun[[#This Row],[DESPESA VARIÁVEL]])</f>
        <v>0</v>
      </c>
      <c r="P72" s="119" t="n">
        <f aca="false">SUMIFS(tabela_registros[VALOR],tabela_registros[MÊS],$AE$1,tabela_registros[DIA],juntotal3059718395[[#Headers],[12]],tabela_registros[REGISTRO],DADOS!$N$4,tabela_registros[TIPO],DADOS!$P$4,tabela_registros[CATEGORIA],despesavariávelconsolidadojun[[#This Row],[DESPESA VARIÁVEL]])</f>
        <v>0</v>
      </c>
      <c r="Q72" s="119" t="n">
        <f aca="false">SUMIFS(tabela_registros[VALOR],tabela_registros[MÊS],$AE$1,tabela_registros[DIA],juntotal3059718395[[#Headers],[13]],tabela_registros[REGISTRO],DADOS!$N$4,tabela_registros[TIPO],DADOS!$P$4,tabela_registros[CATEGORIA],despesavariávelconsolidadojun[[#This Row],[DESPESA VARIÁVEL]])</f>
        <v>0</v>
      </c>
      <c r="R72" s="119" t="n">
        <f aca="false">SUMIFS(tabela_registros[VALOR],tabela_registros[MÊS],$AE$1,tabela_registros[DIA],juntotal3059718395[[#Headers],[14]],tabela_registros[REGISTRO],DADOS!$N$4,tabela_registros[TIPO],DADOS!$P$4,tabela_registros[CATEGORIA],despesavariávelconsolidadojun[[#This Row],[DESPESA VARIÁVEL]])</f>
        <v>0</v>
      </c>
      <c r="S72" s="119" t="n">
        <f aca="false">SUMIFS(tabela_registros[VALOR],tabela_registros[MÊS],$AE$1,tabela_registros[DIA],juntotal3059718395[[#Headers],[15]],tabela_registros[REGISTRO],DADOS!$N$4,tabela_registros[TIPO],DADOS!$P$4,tabela_registros[CATEGORIA],despesavariávelconsolidadojun[[#This Row],[DESPESA VARIÁVEL]])</f>
        <v>0</v>
      </c>
      <c r="T72" s="119" t="n">
        <f aca="false">SUMIFS(tabela_registros[VALOR],tabela_registros[MÊS],$AE$1,tabela_registros[DIA],juntotal3059718395[[#Headers],[16]],tabela_registros[REGISTRO],DADOS!$N$4,tabela_registros[TIPO],DADOS!$P$4,tabela_registros[CATEGORIA],despesavariávelconsolidadojun[[#This Row],[DESPESA VARIÁVEL]])</f>
        <v>0</v>
      </c>
      <c r="U72" s="119" t="n">
        <f aca="false">SUMIFS(tabela_registros[VALOR],tabela_registros[MÊS],$AE$1,tabela_registros[DIA],juntotal3059718395[[#Headers],[17]],tabela_registros[REGISTRO],DADOS!$N$4,tabela_registros[TIPO],DADOS!$P$4,tabela_registros[CATEGORIA],despesavariávelconsolidadojun[[#This Row],[DESPESA VARIÁVEL]])</f>
        <v>0</v>
      </c>
      <c r="V72" s="119" t="n">
        <f aca="false">SUMIFS(tabela_registros[VALOR],tabela_registros[MÊS],$AE$1,tabela_registros[DIA],juntotal3059718395[[#Headers],[18]],tabela_registros[REGISTRO],DADOS!$N$4,tabela_registros[TIPO],DADOS!$P$4,tabela_registros[CATEGORIA],despesavariávelconsolidadojun[[#This Row],[DESPESA VARIÁVEL]])</f>
        <v>0</v>
      </c>
      <c r="W72" s="119" t="n">
        <f aca="false">SUMIFS(tabela_registros[VALOR],tabela_registros[MÊS],$AE$1,tabela_registros[DIA],juntotal3059718395[[#Headers],[19]],tabela_registros[REGISTRO],DADOS!$N$4,tabela_registros[TIPO],DADOS!$P$4,tabela_registros[CATEGORIA],despesavariávelconsolidadojun[[#This Row],[DESPESA VARIÁVEL]])</f>
        <v>0</v>
      </c>
      <c r="X72" s="119" t="n">
        <f aca="false">SUMIFS(tabela_registros[VALOR],tabela_registros[MÊS],$AE$1,tabela_registros[DIA],juntotal3059718395[[#Headers],[20]],tabela_registros[REGISTRO],DADOS!$N$4,tabela_registros[TIPO],DADOS!$P$4,tabela_registros[CATEGORIA],despesavariávelconsolidadojun[[#This Row],[DESPESA VARIÁVEL]])</f>
        <v>0</v>
      </c>
      <c r="Y72" s="119" t="n">
        <f aca="false">SUMIFS(tabela_registros[VALOR],tabela_registros[MÊS],$AE$1,tabela_registros[DIA],juntotal3059718395[[#Headers],[21]],tabela_registros[REGISTRO],DADOS!$N$4,tabela_registros[TIPO],DADOS!$P$4,tabela_registros[CATEGORIA],despesavariávelconsolidadojun[[#This Row],[DESPESA VARIÁVEL]])</f>
        <v>0</v>
      </c>
      <c r="Z72" s="119" t="n">
        <f aca="false">SUMIFS(tabela_registros[VALOR],tabela_registros[MÊS],$AE$1,tabela_registros[DIA],juntotal3059718395[[#Headers],[22]],tabela_registros[REGISTRO],DADOS!$N$4,tabela_registros[TIPO],DADOS!$P$4,tabela_registros[CATEGORIA],despesavariávelconsolidadojun[[#This Row],[DESPESA VARIÁVEL]])</f>
        <v>0</v>
      </c>
      <c r="AA72" s="119" t="n">
        <f aca="false">SUMIFS(tabela_registros[VALOR],tabela_registros[MÊS],$AE$1,tabela_registros[DIA],juntotal3059718395[[#Headers],[23]],tabela_registros[REGISTRO],DADOS!$N$4,tabela_registros[TIPO],DADOS!$P$4,tabela_registros[CATEGORIA],despesavariávelconsolidadojun[[#This Row],[DESPESA VARIÁVEL]])</f>
        <v>0</v>
      </c>
      <c r="AB72" s="119" t="n">
        <f aca="false">SUMIFS(tabela_registros[VALOR],tabela_registros[MÊS],$AE$1,tabela_registros[DIA],juntotal3059718395[[#Headers],[24]],tabela_registros[REGISTRO],DADOS!$N$4,tabela_registros[TIPO],DADOS!$P$4,tabela_registros[CATEGORIA],despesavariávelconsolidadojun[[#This Row],[DESPESA VARIÁVEL]])</f>
        <v>0</v>
      </c>
      <c r="AC72" s="119" t="n">
        <f aca="false">SUMIFS(tabela_registros[VALOR],tabela_registros[MÊS],$AE$1,tabela_registros[DIA],juntotal3059718395[[#Headers],[25]],tabela_registros[REGISTRO],DADOS!$N$4,tabela_registros[TIPO],DADOS!$P$4,tabela_registros[CATEGORIA],despesavariávelconsolidadojun[[#This Row],[DESPESA VARIÁVEL]])</f>
        <v>0</v>
      </c>
      <c r="AD72" s="119" t="n">
        <f aca="false">SUMIFS(tabela_registros[VALOR],tabela_registros[MÊS],$AE$1,tabela_registros[DIA],juntotal3059718395[[#Headers],[26]],tabela_registros[REGISTRO],DADOS!$N$4,tabela_registros[TIPO],DADOS!$P$4,tabela_registros[CATEGORIA],despesavariávelconsolidadojun[[#This Row],[DESPESA VARIÁVEL]])</f>
        <v>0</v>
      </c>
      <c r="AE72" s="119" t="n">
        <f aca="false">SUMIFS(tabela_registros[VALOR],tabela_registros[MÊS],$AE$1,tabela_registros[DIA],juntotal3059718395[[#Headers],[27]],tabela_registros[REGISTRO],DADOS!$N$4,tabela_registros[TIPO],DADOS!$P$4,tabela_registros[CATEGORIA],despesavariávelconsolidadojun[[#This Row],[DESPESA VARIÁVEL]])</f>
        <v>0</v>
      </c>
      <c r="AF72" s="119" t="n">
        <f aca="false">SUMIFS(tabela_registros[VALOR],tabela_registros[MÊS],$AE$1,tabela_registros[DIA],juntotal3059718395[[#Headers],[28]],tabela_registros[REGISTRO],DADOS!$N$4,tabela_registros[TIPO],DADOS!$P$4,tabela_registros[CATEGORIA],despesavariávelconsolidadojun[[#This Row],[DESPESA VARIÁVEL]])</f>
        <v>0</v>
      </c>
      <c r="AG72" s="119" t="n">
        <f aca="false">SUMIFS(tabela_registros[VALOR],tabela_registros[MÊS],$AE$1,tabela_registros[DIA],juntotal3059718395[[#Headers],[29]],tabela_registros[REGISTRO],DADOS!$N$4,tabela_registros[TIPO],DADOS!$P$4,tabela_registros[CATEGORIA],despesavariávelconsolidadojun[[#This Row],[DESPESA VARIÁVEL]])</f>
        <v>0</v>
      </c>
      <c r="AH72" s="119" t="n">
        <f aca="false">SUMIFS(tabela_registros[VALOR],tabela_registros[MÊS],$AE$1,tabela_registros[DIA],juntotal3059718395[[#Headers],[30]],tabela_registros[REGISTRO],DADOS!$N$4,tabela_registros[TIPO],DADOS!$P$4,tabela_registros[CATEGORIA],despesavariávelconsolidadojun[[#This Row],[DESPESA VARIÁVEL]])</f>
        <v>0</v>
      </c>
      <c r="AI72" s="218" t="n">
        <f aca="false">SUMIFS(tabela_registros[VALOR],tabela_registros[MÊS],$AE$1,tabela_registros[DIA],juntotal3059718395[[#Headers],[31]],tabela_registros[REGISTRO],DADOS!$N$4,tabela_registros[TIPO],DADOS!$P$4,tabela_registros[CATEGORIA],despesavariávelconsolidadojun[[#This Row],[DESPESA VARIÁVEL]])</f>
        <v>0</v>
      </c>
      <c r="AJ72" s="149" t="n">
        <f aca="false">SUM(despesavariávelconsolidadojun[[#This Row],[1]:[31]])</f>
        <v>0</v>
      </c>
      <c r="AK72" s="143"/>
    </row>
    <row r="73" s="122" customFormat="true" ht="21" hidden="false" customHeight="true" outlineLevel="0" collapsed="false">
      <c r="B73" s="152"/>
      <c r="C73" s="153" t="s">
        <v>2</v>
      </c>
      <c r="D73" s="154" t="str">
        <f aca="false">IF(despesavariávelconsolidadojun[[#This Row],[TOTAL]]=0,"",IF(OR(despesavariávelconsolidadojun[[#This Row],[TOTAL]]=SMALL(despesavariávelconsolidadojun[TOTAL],1),despesavariávelconsolidadojun[[#This Row],[TOTAL]]=SMALL(despesavariávelconsolidadojun[TOTAL],2),despesavariávelconsolidadojun[[#This Row],[TOTAL]]=SMALL(despesavariávelconsolidadojun[TOTAL],3),despesavariávelconsolidadojun[[#This Row],[TOTAL]]=SMALL(despesavariávelconsolidadojun[TOTAL],4),despesavariávelconsolidadojun[[#This Row],[TOTAL]]=SMALL(despesavariávelconsolidadojun[TOTAL],5)),DADOS!$I$8,""))</f>
        <v/>
      </c>
      <c r="E73" s="155" t="n">
        <f aca="false">SUM(E60:E72)</f>
        <v>0</v>
      </c>
      <c r="F73" s="156" t="n">
        <f aca="false">SUM(F60:F72)+despesavariávelconsolidadojun[[#This Row],[1]]</f>
        <v>0</v>
      </c>
      <c r="G73" s="156" t="n">
        <f aca="false">SUM(G60:G72)+despesavariávelconsolidadojun[[#This Row],[2]]</f>
        <v>0</v>
      </c>
      <c r="H73" s="156" t="n">
        <f aca="false">SUM(H60:H72)+despesavariávelconsolidadojun[[#This Row],[3]]</f>
        <v>0</v>
      </c>
      <c r="I73" s="156" t="n">
        <f aca="false">SUM(I60:I72)+despesavariávelconsolidadojun[[#This Row],[4]]</f>
        <v>0</v>
      </c>
      <c r="J73" s="156" t="n">
        <f aca="false">SUM(J60:J72)+despesavariávelconsolidadojun[[#This Row],[5]]</f>
        <v>0</v>
      </c>
      <c r="K73" s="156" t="n">
        <f aca="false">SUM(K60:K72)+despesavariávelconsolidadojun[[#This Row],[6]]</f>
        <v>0</v>
      </c>
      <c r="L73" s="156" t="n">
        <f aca="false">SUM(L60:L72)+despesavariávelconsolidadojun[[#This Row],[7]]</f>
        <v>0</v>
      </c>
      <c r="M73" s="156" t="n">
        <f aca="false">SUM(M60:M72)+despesavariávelconsolidadojun[[#This Row],[8]]</f>
        <v>0</v>
      </c>
      <c r="N73" s="156" t="n">
        <f aca="false">SUM(N60:N72)+despesavariávelconsolidadojun[[#This Row],[9]]</f>
        <v>0</v>
      </c>
      <c r="O73" s="156" t="n">
        <f aca="false">SUM(O60:O72)+despesavariávelconsolidadojun[[#This Row],[10]]</f>
        <v>0</v>
      </c>
      <c r="P73" s="156" t="n">
        <f aca="false">SUM(P60:P72)+despesavariávelconsolidadojun[[#This Row],[11]]</f>
        <v>0</v>
      </c>
      <c r="Q73" s="156" t="n">
        <f aca="false">SUM(Q60:Q72)+despesavariávelconsolidadojun[[#This Row],[12]]</f>
        <v>0</v>
      </c>
      <c r="R73" s="156" t="n">
        <f aca="false">SUM(R60:R72)+despesavariávelconsolidadojun[[#This Row],[13]]</f>
        <v>0</v>
      </c>
      <c r="S73" s="156" t="n">
        <f aca="false">SUM(S60:S72)+despesavariávelconsolidadojun[[#This Row],[14]]</f>
        <v>0</v>
      </c>
      <c r="T73" s="156" t="n">
        <f aca="false">SUM(T60:T72)+despesavariávelconsolidadojun[[#This Row],[15]]</f>
        <v>0</v>
      </c>
      <c r="U73" s="156" t="n">
        <f aca="false">SUM(U60:U72)+despesavariávelconsolidadojun[[#This Row],[16]]</f>
        <v>0</v>
      </c>
      <c r="V73" s="156" t="n">
        <f aca="false">SUM(V60:V72)+despesavariávelconsolidadojun[[#This Row],[17]]</f>
        <v>0</v>
      </c>
      <c r="W73" s="156" t="n">
        <f aca="false">SUM(W60:W72)+despesavariávelconsolidadojun[[#This Row],[18]]</f>
        <v>0</v>
      </c>
      <c r="X73" s="156" t="n">
        <f aca="false">SUM(X60:X72)+despesavariávelconsolidadojun[[#This Row],[19]]</f>
        <v>0</v>
      </c>
      <c r="Y73" s="156" t="n">
        <f aca="false">SUM(Y60:Y72)+despesavariávelconsolidadojun[[#This Row],[20]]</f>
        <v>0</v>
      </c>
      <c r="Z73" s="156" t="n">
        <f aca="false">SUM(Z60:Z72)+despesavariávelconsolidadojun[[#This Row],[21]]</f>
        <v>0</v>
      </c>
      <c r="AA73" s="156" t="n">
        <f aca="false">SUM(AA60:AA72)+despesavariávelconsolidadojun[[#This Row],[22]]</f>
        <v>0</v>
      </c>
      <c r="AB73" s="156" t="n">
        <f aca="false">SUM(AB60:AB72)+despesavariávelconsolidadojun[[#This Row],[23]]</f>
        <v>0</v>
      </c>
      <c r="AC73" s="156" t="n">
        <f aca="false">SUM(AC60:AC72)+despesavariávelconsolidadojun[[#This Row],[24]]</f>
        <v>0</v>
      </c>
      <c r="AD73" s="156" t="n">
        <f aca="false">SUM(AD60:AD72)+despesavariávelconsolidadojun[[#This Row],[25]]</f>
        <v>0</v>
      </c>
      <c r="AE73" s="156" t="n">
        <f aca="false">SUM(AE60:AE72)+despesavariávelconsolidadojun[[#This Row],[26]]</f>
        <v>0</v>
      </c>
      <c r="AF73" s="156" t="n">
        <f aca="false">SUM(AF60:AF72)+despesavariávelconsolidadojun[[#This Row],[27]]</f>
        <v>0</v>
      </c>
      <c r="AG73" s="156" t="n">
        <f aca="false">SUM(AG60:AG72)+despesavariávelconsolidadojun[[#This Row],[28]]</f>
        <v>0</v>
      </c>
      <c r="AH73" s="156" t="n">
        <f aca="false">SUM(AH60:AH72)+despesavariávelconsolidadojun[[#This Row],[29]]</f>
        <v>0</v>
      </c>
      <c r="AI73" s="223" t="n">
        <f aca="false">SUM(AI60:AI72)+despesavariávelconsolidadojun[[#This Row],[30]]</f>
        <v>0</v>
      </c>
      <c r="AJ73" s="157" t="n">
        <f aca="false">despesavariávelconsolidadojun[[#This Row],[31]]</f>
        <v>0</v>
      </c>
      <c r="AK73" s="158"/>
    </row>
    <row r="74" customFormat="false" ht="6.75" hidden="false" customHeight="true" outlineLevel="0" collapsed="false">
      <c r="B74" s="97"/>
      <c r="C74" s="159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229"/>
      <c r="AJ74" s="97"/>
      <c r="AK74" s="244"/>
    </row>
    <row r="75" s="78" customFormat="true" ht="12.75" hidden="false" customHeight="false" outlineLevel="0" collapsed="false">
      <c r="E75" s="100"/>
    </row>
    <row r="76" s="78" customFormat="true" ht="12" hidden="false" customHeight="false" outlineLevel="0" collapsed="false"/>
    <row r="77" s="78" customFormat="true" ht="12" hidden="false" customHeight="false" outlineLevel="0" collapsed="false"/>
    <row r="78" customFormat="false" ht="39.75" hidden="false" customHeight="true" outlineLevel="0" collapsed="false">
      <c r="C78" s="101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3" t="s">
        <v>2</v>
      </c>
    </row>
    <row r="79" s="78" customFormat="true" ht="12.75" hidden="false" customHeight="false" outlineLevel="0" collapsed="false">
      <c r="B79" s="161"/>
      <c r="AJ79" s="106" t="s">
        <v>64</v>
      </c>
    </row>
    <row r="80" customFormat="false" ht="6.75" hidden="false" customHeight="true" outlineLevel="0" collapsed="false">
      <c r="B80" s="86"/>
      <c r="C80" s="162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233"/>
      <c r="AK80" s="139"/>
    </row>
    <row r="81" customFormat="false" ht="13.5" hidden="true" customHeight="false" outlineLevel="0" collapsed="false">
      <c r="B81" s="86"/>
      <c r="C81" s="109" t="s">
        <v>68</v>
      </c>
      <c r="D81" s="110" t="s">
        <v>69</v>
      </c>
      <c r="E81" s="110" t="s">
        <v>30</v>
      </c>
      <c r="F81" s="110" t="s">
        <v>31</v>
      </c>
      <c r="G81" s="110" t="s">
        <v>32</v>
      </c>
      <c r="H81" s="110" t="s">
        <v>33</v>
      </c>
      <c r="I81" s="110" t="s">
        <v>34</v>
      </c>
      <c r="J81" s="110" t="s">
        <v>35</v>
      </c>
      <c r="K81" s="110" t="s">
        <v>36</v>
      </c>
      <c r="L81" s="110" t="s">
        <v>37</v>
      </c>
      <c r="M81" s="110" t="s">
        <v>38</v>
      </c>
      <c r="N81" s="110" t="s">
        <v>39</v>
      </c>
      <c r="O81" s="110" t="s">
        <v>40</v>
      </c>
      <c r="P81" s="110" t="s">
        <v>41</v>
      </c>
      <c r="Q81" s="110" t="s">
        <v>81</v>
      </c>
      <c r="R81" s="110" t="s">
        <v>82</v>
      </c>
      <c r="S81" s="110" t="s">
        <v>83</v>
      </c>
      <c r="T81" s="110" t="s">
        <v>84</v>
      </c>
      <c r="U81" s="110" t="s">
        <v>85</v>
      </c>
      <c r="V81" s="110" t="s">
        <v>86</v>
      </c>
      <c r="W81" s="110" t="s">
        <v>87</v>
      </c>
      <c r="X81" s="110" t="s">
        <v>88</v>
      </c>
      <c r="Y81" s="110" t="s">
        <v>89</v>
      </c>
      <c r="Z81" s="110" t="s">
        <v>90</v>
      </c>
      <c r="AA81" s="110" t="s">
        <v>91</v>
      </c>
      <c r="AB81" s="110" t="s">
        <v>92</v>
      </c>
      <c r="AC81" s="110" t="s">
        <v>93</v>
      </c>
      <c r="AD81" s="110" t="s">
        <v>94</v>
      </c>
      <c r="AE81" s="110" t="s">
        <v>95</v>
      </c>
      <c r="AF81" s="110" t="s">
        <v>96</v>
      </c>
      <c r="AG81" s="110" t="s">
        <v>97</v>
      </c>
      <c r="AH81" s="110" t="s">
        <v>98</v>
      </c>
      <c r="AI81" s="110" t="s">
        <v>99</v>
      </c>
      <c r="AJ81" s="111" t="s">
        <v>70</v>
      </c>
      <c r="AK81" s="86"/>
    </row>
    <row r="82" customFormat="false" ht="19.5" hidden="false" customHeight="true" outlineLevel="0" collapsed="false">
      <c r="B82" s="143"/>
      <c r="C82" s="144" t="str">
        <f aca="false">DADOS!$X$3</f>
        <v>💵 ALUGUEL</v>
      </c>
      <c r="D82" s="145" t="str">
        <f aca="false">IF(receitasfixasconsolidadojun[[#This Row],[TOTAL (R$)]]=0,"",IF(OR(receitasfixasconsolidadojun[[#This Row],[TOTAL (R$)]]=LARGE($AJ$82:$AJ$86,1),receitasfixasconsolidadojun[[#This Row],[TOTAL (R$)]]=LARGE($AJ$82:$AJ$86,2)),DADOS!$I$9,""))</f>
        <v/>
      </c>
      <c r="E82" s="146" t="n">
        <f aca="false">SUMIFS(tabela_registros[VALOR],tabela_registros[MÊS],$AE$1,tabela_registros[DIA],receitasfixasconsolidadojun[[#Headers],[1]],tabela_registros[REGISTRO],DADOS!$N$3,tabela_registros[TIPO],DADOS!$V$3,tabela_registros[CATEGORIA],receitasfixasconsolidadojun[[#This Row],[ATUAL]])</f>
        <v>0</v>
      </c>
      <c r="F82" s="114" t="n">
        <f aca="false">SUMIFS(tabela_registros[VALOR],tabela_registros[MÊS],$AE$1,tabela_registros[DIA],receitasfixasconsolidadojun[[#Headers],[2]],tabela_registros[REGISTRO],DADOS!$N$3,tabela_registros[TIPO],DADOS!$V$3,tabela_registros[CATEGORIA],receitasfixasconsolidadojun[[#This Row],[ATUAL]])</f>
        <v>0</v>
      </c>
      <c r="G82" s="114" t="n">
        <f aca="false">SUMIFS(tabela_registros[VALOR],tabela_registros[MÊS],$AE$1,tabela_registros[DIA],receitasfixasconsolidadojun[[#Headers],[3]],tabela_registros[REGISTRO],DADOS!$N$3,tabela_registros[TIPO],DADOS!$V$3,tabela_registros[CATEGORIA],receitasfixasconsolidadojun[[#This Row],[ATUAL]])</f>
        <v>0</v>
      </c>
      <c r="H82" s="114" t="n">
        <f aca="false">SUMIFS(tabela_registros[VALOR],tabela_registros[MÊS],$AE$1,tabela_registros[DIA],receitasfixasconsolidadojun[[#Headers],[4]],tabela_registros[REGISTRO],DADOS!$N$3,tabela_registros[TIPO],DADOS!$V$3,tabela_registros[CATEGORIA],receitasfixasconsolidadojun[[#This Row],[ATUAL]])</f>
        <v>0</v>
      </c>
      <c r="I82" s="114" t="n">
        <f aca="false">SUMIFS(tabela_registros[VALOR],tabela_registros[MÊS],$AE$1,tabela_registros[DIA],receitasfixasconsolidadojun[[#Headers],[5]],tabela_registros[REGISTRO],DADOS!$N$3,tabela_registros[TIPO],DADOS!$V$3,tabela_registros[CATEGORIA],receitasfixasconsolidadojun[[#This Row],[ATUAL]])</f>
        <v>0</v>
      </c>
      <c r="J82" s="114" t="n">
        <f aca="false">SUMIFS(tabela_registros[VALOR],tabela_registros[MÊS],$AE$1,tabela_registros[DIA],receitasfixasconsolidadojun[[#Headers],[6]],tabela_registros[REGISTRO],DADOS!$N$3,tabela_registros[TIPO],DADOS!$V$3,tabela_registros[CATEGORIA],receitasfixasconsolidadojun[[#This Row],[ATUAL]])</f>
        <v>0</v>
      </c>
      <c r="K82" s="114" t="n">
        <f aca="false">SUMIFS(tabela_registros[VALOR],tabela_registros[MÊS],$AE$1,tabela_registros[DIA],receitasfixasconsolidadojun[[#Headers],[7]],tabela_registros[REGISTRO],DADOS!$N$3,tabela_registros[TIPO],DADOS!$V$3,tabela_registros[CATEGORIA],receitasfixasconsolidadojun[[#This Row],[ATUAL]])</f>
        <v>0</v>
      </c>
      <c r="L82" s="114" t="n">
        <f aca="false">SUMIFS(tabela_registros[VALOR],tabela_registros[MÊS],$AE$1,tabela_registros[DIA],receitasfixasconsolidadojun[[#Headers],[8]],tabela_registros[REGISTRO],DADOS!$N$3,tabela_registros[TIPO],DADOS!$V$3,tabela_registros[CATEGORIA],receitasfixasconsolidadojun[[#This Row],[ATUAL]])</f>
        <v>0</v>
      </c>
      <c r="M82" s="114" t="n">
        <f aca="false">SUMIFS(tabela_registros[VALOR],tabela_registros[MÊS],$AE$1,tabela_registros[DIA],receitasfixasconsolidadojun[[#Headers],[9]],tabela_registros[REGISTRO],DADOS!$N$3,tabela_registros[TIPO],DADOS!$V$3,tabela_registros[CATEGORIA],receitasfixasconsolidadojun[[#This Row],[ATUAL]])</f>
        <v>0</v>
      </c>
      <c r="N82" s="114" t="n">
        <f aca="false">SUMIFS(tabela_registros[VALOR],tabela_registros[MÊS],$AE$1,tabela_registros[DIA],receitasfixasconsolidadojun[[#Headers],[10]],tabela_registros[REGISTRO],DADOS!$N$3,tabela_registros[TIPO],DADOS!$V$3,tabela_registros[CATEGORIA],receitasfixasconsolidadojun[[#This Row],[ATUAL]])</f>
        <v>0</v>
      </c>
      <c r="O82" s="114" t="n">
        <f aca="false">SUMIFS(tabela_registros[VALOR],tabela_registros[MÊS],$AE$1,tabela_registros[DIA],receitasfixasconsolidadojun[[#Headers],[11]],tabela_registros[REGISTRO],DADOS!$N$3,tabela_registros[TIPO],DADOS!$V$3,tabela_registros[CATEGORIA],receitasfixasconsolidadojun[[#This Row],[ATUAL]])</f>
        <v>0</v>
      </c>
      <c r="P82" s="114" t="n">
        <f aca="false">SUMIFS(tabela_registros[VALOR],tabela_registros[MÊS],$AE$1,tabela_registros[DIA],receitasfixasconsolidadojun[[#Headers],[12]],tabela_registros[REGISTRO],DADOS!$N$3,tabela_registros[TIPO],DADOS!$V$3,tabela_registros[CATEGORIA],receitasfixasconsolidadojun[[#This Row],[ATUAL]])</f>
        <v>0</v>
      </c>
      <c r="Q82" s="114" t="n">
        <f aca="false">SUMIFS(tabela_registros[VALOR],tabela_registros[MÊS],$AE$1,tabela_registros[DIA],receitasfixasconsolidadojun[[#Headers],[13]],tabela_registros[REGISTRO],DADOS!$N$3,tabela_registros[TIPO],DADOS!$V$3,tabela_registros[CATEGORIA],receitasfixasconsolidadojun[[#This Row],[ATUAL]])</f>
        <v>0</v>
      </c>
      <c r="R82" s="114" t="n">
        <f aca="false">SUMIFS(tabela_registros[VALOR],tabela_registros[MÊS],$AE$1,tabela_registros[DIA],receitasfixasconsolidadojun[[#Headers],[14]],tabela_registros[REGISTRO],DADOS!$N$3,tabela_registros[TIPO],DADOS!$V$3,tabela_registros[CATEGORIA],receitasfixasconsolidadojun[[#This Row],[ATUAL]])</f>
        <v>0</v>
      </c>
      <c r="S82" s="114" t="n">
        <f aca="false">SUMIFS(tabela_registros[VALOR],tabela_registros[MÊS],$AE$1,tabela_registros[DIA],receitasfixasconsolidadojun[[#Headers],[15]],tabela_registros[REGISTRO],DADOS!$N$3,tabela_registros[TIPO],DADOS!$V$3,tabela_registros[CATEGORIA],receitasfixasconsolidadojun[[#This Row],[ATUAL]])</f>
        <v>0</v>
      </c>
      <c r="T82" s="114" t="n">
        <f aca="false">SUMIFS(tabela_registros[VALOR],tabela_registros[MÊS],$AE$1,tabela_registros[DIA],receitasfixasconsolidadojun[[#Headers],[16]],tabela_registros[REGISTRO],DADOS!$N$3,tabela_registros[TIPO],DADOS!$V$3,tabela_registros[CATEGORIA],receitasfixasconsolidadojun[[#This Row],[ATUAL]])</f>
        <v>0</v>
      </c>
      <c r="U82" s="114" t="n">
        <f aca="false">SUMIFS(tabela_registros[VALOR],tabela_registros[MÊS],$AE$1,tabela_registros[DIA],receitasfixasconsolidadojun[[#Headers],[17]],tabela_registros[REGISTRO],DADOS!$N$3,tabela_registros[TIPO],DADOS!$V$3,tabela_registros[CATEGORIA],receitasfixasconsolidadojun[[#This Row],[ATUAL]])</f>
        <v>0</v>
      </c>
      <c r="V82" s="114" t="n">
        <f aca="false">SUMIFS(tabela_registros[VALOR],tabela_registros[MÊS],$AE$1,tabela_registros[DIA],receitasfixasconsolidadojun[[#Headers],[18]],tabela_registros[REGISTRO],DADOS!$N$3,tabela_registros[TIPO],DADOS!$V$3,tabela_registros[CATEGORIA],receitasfixasconsolidadojun[[#This Row],[ATUAL]])</f>
        <v>0</v>
      </c>
      <c r="W82" s="114" t="n">
        <f aca="false">SUMIFS(tabela_registros[VALOR],tabela_registros[MÊS],$AE$1,tabela_registros[DIA],receitasfixasconsolidadojun[[#Headers],[19]],tabela_registros[REGISTRO],DADOS!$N$3,tabela_registros[TIPO],DADOS!$V$3,tabela_registros[CATEGORIA],receitasfixasconsolidadojun[[#This Row],[ATUAL]])</f>
        <v>0</v>
      </c>
      <c r="X82" s="114" t="n">
        <f aca="false">SUMIFS(tabela_registros[VALOR],tabela_registros[MÊS],$AE$1,tabela_registros[DIA],receitasfixasconsolidadojun[[#Headers],[20]],tabela_registros[REGISTRO],DADOS!$N$3,tabela_registros[TIPO],DADOS!$V$3,tabela_registros[CATEGORIA],receitasfixasconsolidadojun[[#This Row],[ATUAL]])</f>
        <v>0</v>
      </c>
      <c r="Y82" s="114" t="n">
        <f aca="false">SUMIFS(tabela_registros[VALOR],tabela_registros[MÊS],$AE$1,tabela_registros[DIA],receitasfixasconsolidadojun[[#Headers],[21]],tabela_registros[REGISTRO],DADOS!$N$3,tabela_registros[TIPO],DADOS!$V$3,tabela_registros[CATEGORIA],receitasfixasconsolidadojun[[#This Row],[ATUAL]])</f>
        <v>0</v>
      </c>
      <c r="Z82" s="114" t="n">
        <f aca="false">SUMIFS(tabela_registros[VALOR],tabela_registros[MÊS],$AE$1,tabela_registros[DIA],receitasfixasconsolidadojun[[#Headers],[22]],tabela_registros[REGISTRO],DADOS!$N$3,tabela_registros[TIPO],DADOS!$V$3,tabela_registros[CATEGORIA],receitasfixasconsolidadojun[[#This Row],[ATUAL]])</f>
        <v>0</v>
      </c>
      <c r="AA82" s="114" t="n">
        <f aca="false">SUMIFS(tabela_registros[VALOR],tabela_registros[MÊS],$AE$1,tabela_registros[DIA],receitasfixasconsolidadojun[[#Headers],[23]],tabela_registros[REGISTRO],DADOS!$N$3,tabela_registros[TIPO],DADOS!$V$3,tabela_registros[CATEGORIA],receitasfixasconsolidadojun[[#This Row],[ATUAL]])</f>
        <v>0</v>
      </c>
      <c r="AB82" s="114" t="n">
        <f aca="false">SUMIFS(tabela_registros[VALOR],tabela_registros[MÊS],$AE$1,tabela_registros[DIA],receitasfixasconsolidadojun[[#Headers],[24]],tabela_registros[REGISTRO],DADOS!$N$3,tabela_registros[TIPO],DADOS!$V$3,tabela_registros[CATEGORIA],receitasfixasconsolidadojun[[#This Row],[ATUAL]])</f>
        <v>0</v>
      </c>
      <c r="AC82" s="114" t="n">
        <f aca="false">SUMIFS(tabela_registros[VALOR],tabela_registros[MÊS],$AE$1,tabela_registros[DIA],receitasfixasconsolidadojun[[#Headers],[25]],tabela_registros[REGISTRO],DADOS!$N$3,tabela_registros[TIPO],DADOS!$V$3,tabela_registros[CATEGORIA],receitasfixasconsolidadojun[[#This Row],[ATUAL]])</f>
        <v>0</v>
      </c>
      <c r="AD82" s="114" t="n">
        <f aca="false">SUMIFS(tabela_registros[VALOR],tabela_registros[MÊS],$AE$1,tabela_registros[DIA],receitasfixasconsolidadojun[[#Headers],[26]],tabela_registros[REGISTRO],DADOS!$N$3,tabela_registros[TIPO],DADOS!$V$3,tabela_registros[CATEGORIA],receitasfixasconsolidadojun[[#This Row],[ATUAL]])</f>
        <v>0</v>
      </c>
      <c r="AE82" s="114" t="n">
        <f aca="false">SUMIFS(tabela_registros[VALOR],tabela_registros[MÊS],$AE$1,tabela_registros[DIA],receitasfixasconsolidadojun[[#Headers],[27]],tabela_registros[REGISTRO],DADOS!$N$3,tabela_registros[TIPO],DADOS!$V$3,tabela_registros[CATEGORIA],receitasfixasconsolidadojun[[#This Row],[ATUAL]])</f>
        <v>0</v>
      </c>
      <c r="AF82" s="114" t="n">
        <f aca="false">SUMIFS(tabela_registros[VALOR],tabela_registros[MÊS],$AE$1,tabela_registros[DIA],receitasfixasconsolidadojun[[#Headers],[28]],tabela_registros[REGISTRO],DADOS!$N$3,tabela_registros[TIPO],DADOS!$V$3,tabela_registros[CATEGORIA],receitasfixasconsolidadojun[[#This Row],[ATUAL]])</f>
        <v>0</v>
      </c>
      <c r="AG82" s="114" t="n">
        <f aca="false">SUMIFS(tabela_registros[VALOR],tabela_registros[MÊS],$AE$1,tabela_registros[DIA],receitasfixasconsolidadojun[[#Headers],[29]],tabela_registros[REGISTRO],DADOS!$N$3,tabela_registros[TIPO],DADOS!$V$3,tabela_registros[CATEGORIA],receitasfixasconsolidadojun[[#This Row],[ATUAL]])</f>
        <v>0</v>
      </c>
      <c r="AH82" s="114" t="n">
        <f aca="false">SUMIFS(tabela_registros[VALOR],tabela_registros[MÊS],$AE$1,tabela_registros[DIA],receitasfixasconsolidadojun[[#Headers],[30]],tabela_registros[REGISTRO],DADOS!$N$3,tabela_registros[TIPO],DADOS!$V$3,tabela_registros[CATEGORIA],receitasfixasconsolidadojun[[#This Row],[ATUAL]])</f>
        <v>0</v>
      </c>
      <c r="AI82" s="216" t="n">
        <f aca="false">SUMIFS(tabela_registros[VALOR],tabela_registros[MÊS],$AE$1,tabela_registros[DIA],receitasfixasconsolidadojun[[#Headers],[31]],tabela_registros[REGISTRO],DADOS!$N$3,tabela_registros[TIPO],DADOS!$V$3,tabela_registros[CATEGORIA],receitasfixasconsolidadojun[[#This Row],[ATUAL]])</f>
        <v>0</v>
      </c>
      <c r="AJ82" s="149" t="n">
        <f aca="false">SUM(receitasfixasconsolidadojun[[#This Row],[1]:[31]])</f>
        <v>0</v>
      </c>
      <c r="AK82" s="165"/>
    </row>
    <row r="83" customFormat="false" ht="19.5" hidden="false" customHeight="true" outlineLevel="0" collapsed="false">
      <c r="B83" s="143"/>
      <c r="C83" s="144" t="str">
        <f aca="false">DADOS!$X$4</f>
        <v>💸APOSENTADORIA</v>
      </c>
      <c r="D83" s="145" t="str">
        <f aca="false">IF(receitasfixasconsolidadojun[[#This Row],[TOTAL (R$)]]=0,"",IF(OR(receitasfixasconsolidadojun[[#This Row],[TOTAL (R$)]]=LARGE($AJ$82:$AJ$86,1),receitasfixasconsolidadojun[[#This Row],[TOTAL (R$)]]=LARGE($AJ$82:$AJ$86,2)),DADOS!$I$9,""))</f>
        <v/>
      </c>
      <c r="E83" s="148" t="n">
        <f aca="false">SUMIFS(tabela_registros[VALOR],tabela_registros[MÊS],$AE$1,tabela_registros[DIA],receitasfixasconsolidadojun[[#Headers],[1]],tabela_registros[REGISTRO],DADOS!$N$3,tabela_registros[TIPO],DADOS!$V$3,tabela_registros[CATEGORIA],receitasfixasconsolidadojun[[#This Row],[ATUAL]])</f>
        <v>0</v>
      </c>
      <c r="F83" s="119" t="n">
        <f aca="false">SUMIFS(tabela_registros[VALOR],tabela_registros[MÊS],$AE$1,tabela_registros[DIA],receitasfixasconsolidadojun[[#Headers],[2]],tabela_registros[REGISTRO],DADOS!$N$3,tabela_registros[TIPO],DADOS!$V$3,tabela_registros[CATEGORIA],receitasfixasconsolidadojun[[#This Row],[ATUAL]])</f>
        <v>0</v>
      </c>
      <c r="G83" s="119" t="n">
        <f aca="false">SUMIFS(tabela_registros[VALOR],tabela_registros[MÊS],$AE$1,tabela_registros[DIA],receitasfixasconsolidadojun[[#Headers],[3]],tabela_registros[REGISTRO],DADOS!$N$3,tabela_registros[TIPO],DADOS!$V$3,tabela_registros[CATEGORIA],receitasfixasconsolidadojun[[#This Row],[ATUAL]])</f>
        <v>0</v>
      </c>
      <c r="H83" s="119" t="n">
        <f aca="false">SUMIFS(tabela_registros[VALOR],tabela_registros[MÊS],$AE$1,tabela_registros[DIA],receitasfixasconsolidadojun[[#Headers],[4]],tabela_registros[REGISTRO],DADOS!$N$3,tabela_registros[TIPO],DADOS!$V$3,tabela_registros[CATEGORIA],receitasfixasconsolidadojun[[#This Row],[ATUAL]])</f>
        <v>0</v>
      </c>
      <c r="I83" s="119" t="n">
        <f aca="false">SUMIFS(tabela_registros[VALOR],tabela_registros[MÊS],$AE$1,tabela_registros[DIA],receitasfixasconsolidadojun[[#Headers],[5]],tabela_registros[REGISTRO],DADOS!$N$3,tabela_registros[TIPO],DADOS!$V$3,tabela_registros[CATEGORIA],receitasfixasconsolidadojun[[#This Row],[ATUAL]])</f>
        <v>0</v>
      </c>
      <c r="J83" s="119" t="n">
        <f aca="false">SUMIFS(tabela_registros[VALOR],tabela_registros[MÊS],$AE$1,tabela_registros[DIA],receitasfixasconsolidadojun[[#Headers],[6]],tabela_registros[REGISTRO],DADOS!$N$3,tabela_registros[TIPO],DADOS!$V$3,tabela_registros[CATEGORIA],receitasfixasconsolidadojun[[#This Row],[ATUAL]])</f>
        <v>0</v>
      </c>
      <c r="K83" s="119" t="n">
        <f aca="false">SUMIFS(tabela_registros[VALOR],tabela_registros[MÊS],$AE$1,tabela_registros[DIA],receitasfixasconsolidadojun[[#Headers],[7]],tabela_registros[REGISTRO],DADOS!$N$3,tabela_registros[TIPO],DADOS!$V$3,tabela_registros[CATEGORIA],receitasfixasconsolidadojun[[#This Row],[ATUAL]])</f>
        <v>0</v>
      </c>
      <c r="L83" s="119" t="n">
        <f aca="false">SUMIFS(tabela_registros[VALOR],tabela_registros[MÊS],$AE$1,tabela_registros[DIA],receitasfixasconsolidadojun[[#Headers],[8]],tabela_registros[REGISTRO],DADOS!$N$3,tabela_registros[TIPO],DADOS!$V$3,tabela_registros[CATEGORIA],receitasfixasconsolidadojun[[#This Row],[ATUAL]])</f>
        <v>0</v>
      </c>
      <c r="M83" s="119" t="n">
        <f aca="false">SUMIFS(tabela_registros[VALOR],tabela_registros[MÊS],$AE$1,tabela_registros[DIA],receitasfixasconsolidadojun[[#Headers],[9]],tabela_registros[REGISTRO],DADOS!$N$3,tabela_registros[TIPO],DADOS!$V$3,tabela_registros[CATEGORIA],receitasfixasconsolidadojun[[#This Row],[ATUAL]])</f>
        <v>0</v>
      </c>
      <c r="N83" s="119" t="n">
        <f aca="false">SUMIFS(tabela_registros[VALOR],tabela_registros[MÊS],$AE$1,tabela_registros[DIA],receitasfixasconsolidadojun[[#Headers],[10]],tabela_registros[REGISTRO],DADOS!$N$3,tabela_registros[TIPO],DADOS!$V$3,tabela_registros[CATEGORIA],receitasfixasconsolidadojun[[#This Row],[ATUAL]])</f>
        <v>0</v>
      </c>
      <c r="O83" s="119" t="n">
        <f aca="false">SUMIFS(tabela_registros[VALOR],tabela_registros[MÊS],$AE$1,tabela_registros[DIA],receitasfixasconsolidadojun[[#Headers],[11]],tabela_registros[REGISTRO],DADOS!$N$3,tabela_registros[TIPO],DADOS!$V$3,tabela_registros[CATEGORIA],receitasfixasconsolidadojun[[#This Row],[ATUAL]])</f>
        <v>0</v>
      </c>
      <c r="P83" s="119" t="n">
        <f aca="false">SUMIFS(tabela_registros[VALOR],tabela_registros[MÊS],$AE$1,tabela_registros[DIA],receitasfixasconsolidadojun[[#Headers],[12]],tabela_registros[REGISTRO],DADOS!$N$3,tabela_registros[TIPO],DADOS!$V$3,tabela_registros[CATEGORIA],receitasfixasconsolidadojun[[#This Row],[ATUAL]])</f>
        <v>0</v>
      </c>
      <c r="Q83" s="119" t="n">
        <f aca="false">SUMIFS(tabela_registros[VALOR],tabela_registros[MÊS],$AE$1,tabela_registros[DIA],receitasfixasconsolidadojun[[#Headers],[13]],tabela_registros[REGISTRO],DADOS!$N$3,tabela_registros[TIPO],DADOS!$V$3,tabela_registros[CATEGORIA],receitasfixasconsolidadojun[[#This Row],[ATUAL]])</f>
        <v>0</v>
      </c>
      <c r="R83" s="119" t="n">
        <f aca="false">SUMIFS(tabela_registros[VALOR],tabela_registros[MÊS],$AE$1,tabela_registros[DIA],receitasfixasconsolidadojun[[#Headers],[14]],tabela_registros[REGISTRO],DADOS!$N$3,tabela_registros[TIPO],DADOS!$V$3,tabela_registros[CATEGORIA],receitasfixasconsolidadojun[[#This Row],[ATUAL]])</f>
        <v>0</v>
      </c>
      <c r="S83" s="119" t="n">
        <f aca="false">SUMIFS(tabela_registros[VALOR],tabela_registros[MÊS],$AE$1,tabela_registros[DIA],receitasfixasconsolidadojun[[#Headers],[15]],tabela_registros[REGISTRO],DADOS!$N$3,tabela_registros[TIPO],DADOS!$V$3,tabela_registros[CATEGORIA],receitasfixasconsolidadojun[[#This Row],[ATUAL]])</f>
        <v>0</v>
      </c>
      <c r="T83" s="119" t="n">
        <f aca="false">SUMIFS(tabela_registros[VALOR],tabela_registros[MÊS],$AE$1,tabela_registros[DIA],receitasfixasconsolidadojun[[#Headers],[16]],tabela_registros[REGISTRO],DADOS!$N$3,tabela_registros[TIPO],DADOS!$V$3,tabela_registros[CATEGORIA],receitasfixasconsolidadojun[[#This Row],[ATUAL]])</f>
        <v>0</v>
      </c>
      <c r="U83" s="119" t="n">
        <f aca="false">SUMIFS(tabela_registros[VALOR],tabela_registros[MÊS],$AE$1,tabela_registros[DIA],receitasfixasconsolidadojun[[#Headers],[17]],tabela_registros[REGISTRO],DADOS!$N$3,tabela_registros[TIPO],DADOS!$V$3,tabela_registros[CATEGORIA],receitasfixasconsolidadojun[[#This Row],[ATUAL]])</f>
        <v>0</v>
      </c>
      <c r="V83" s="119" t="n">
        <f aca="false">SUMIFS(tabela_registros[VALOR],tabela_registros[MÊS],$AE$1,tabela_registros[DIA],receitasfixasconsolidadojun[[#Headers],[18]],tabela_registros[REGISTRO],DADOS!$N$3,tabela_registros[TIPO],DADOS!$V$3,tabela_registros[CATEGORIA],receitasfixasconsolidadojun[[#This Row],[ATUAL]])</f>
        <v>0</v>
      </c>
      <c r="W83" s="119" t="n">
        <f aca="false">SUMIFS(tabela_registros[VALOR],tabela_registros[MÊS],$AE$1,tabela_registros[DIA],receitasfixasconsolidadojun[[#Headers],[19]],tabela_registros[REGISTRO],DADOS!$N$3,tabela_registros[TIPO],DADOS!$V$3,tabela_registros[CATEGORIA],receitasfixasconsolidadojun[[#This Row],[ATUAL]])</f>
        <v>0</v>
      </c>
      <c r="X83" s="119" t="n">
        <f aca="false">SUMIFS(tabela_registros[VALOR],tabela_registros[MÊS],$AE$1,tabela_registros[DIA],receitasfixasconsolidadojun[[#Headers],[20]],tabela_registros[REGISTRO],DADOS!$N$3,tabela_registros[TIPO],DADOS!$V$3,tabela_registros[CATEGORIA],receitasfixasconsolidadojun[[#This Row],[ATUAL]])</f>
        <v>0</v>
      </c>
      <c r="Y83" s="119" t="n">
        <f aca="false">SUMIFS(tabela_registros[VALOR],tabela_registros[MÊS],$AE$1,tabela_registros[DIA],receitasfixasconsolidadojun[[#Headers],[21]],tabela_registros[REGISTRO],DADOS!$N$3,tabela_registros[TIPO],DADOS!$V$3,tabela_registros[CATEGORIA],receitasfixasconsolidadojun[[#This Row],[ATUAL]])</f>
        <v>0</v>
      </c>
      <c r="Z83" s="119" t="n">
        <f aca="false">SUMIFS(tabela_registros[VALOR],tabela_registros[MÊS],$AE$1,tabela_registros[DIA],receitasfixasconsolidadojun[[#Headers],[22]],tabela_registros[REGISTRO],DADOS!$N$3,tabela_registros[TIPO],DADOS!$V$3,tabela_registros[CATEGORIA],receitasfixasconsolidadojun[[#This Row],[ATUAL]])</f>
        <v>0</v>
      </c>
      <c r="AA83" s="119" t="n">
        <f aca="false">SUMIFS(tabela_registros[VALOR],tabela_registros[MÊS],$AE$1,tabela_registros[DIA],receitasfixasconsolidadojun[[#Headers],[23]],tabela_registros[REGISTRO],DADOS!$N$3,tabela_registros[TIPO],DADOS!$V$3,tabela_registros[CATEGORIA],receitasfixasconsolidadojun[[#This Row],[ATUAL]])</f>
        <v>0</v>
      </c>
      <c r="AB83" s="119" t="n">
        <f aca="false">SUMIFS(tabela_registros[VALOR],tabela_registros[MÊS],$AE$1,tabela_registros[DIA],receitasfixasconsolidadojun[[#Headers],[24]],tabela_registros[REGISTRO],DADOS!$N$3,tabela_registros[TIPO],DADOS!$V$3,tabela_registros[CATEGORIA],receitasfixasconsolidadojun[[#This Row],[ATUAL]])</f>
        <v>0</v>
      </c>
      <c r="AC83" s="119" t="n">
        <f aca="false">SUMIFS(tabela_registros[VALOR],tabela_registros[MÊS],$AE$1,tabela_registros[DIA],receitasfixasconsolidadojun[[#Headers],[25]],tabela_registros[REGISTRO],DADOS!$N$3,tabela_registros[TIPO],DADOS!$V$3,tabela_registros[CATEGORIA],receitasfixasconsolidadojun[[#This Row],[ATUAL]])</f>
        <v>0</v>
      </c>
      <c r="AD83" s="119" t="n">
        <f aca="false">SUMIFS(tabela_registros[VALOR],tabela_registros[MÊS],$AE$1,tabela_registros[DIA],receitasfixasconsolidadojun[[#Headers],[26]],tabela_registros[REGISTRO],DADOS!$N$3,tabela_registros[TIPO],DADOS!$V$3,tabela_registros[CATEGORIA],receitasfixasconsolidadojun[[#This Row],[ATUAL]])</f>
        <v>0</v>
      </c>
      <c r="AE83" s="119" t="n">
        <f aca="false">SUMIFS(tabela_registros[VALOR],tabela_registros[MÊS],$AE$1,tabela_registros[DIA],receitasfixasconsolidadojun[[#Headers],[27]],tabela_registros[REGISTRO],DADOS!$N$3,tabela_registros[TIPO],DADOS!$V$3,tabela_registros[CATEGORIA],receitasfixasconsolidadojun[[#This Row],[ATUAL]])</f>
        <v>0</v>
      </c>
      <c r="AF83" s="119" t="n">
        <f aca="false">SUMIFS(tabela_registros[VALOR],tabela_registros[MÊS],$AE$1,tabela_registros[DIA],receitasfixasconsolidadojun[[#Headers],[28]],tabela_registros[REGISTRO],DADOS!$N$3,tabela_registros[TIPO],DADOS!$V$3,tabela_registros[CATEGORIA],receitasfixasconsolidadojun[[#This Row],[ATUAL]])</f>
        <v>0</v>
      </c>
      <c r="AG83" s="119" t="n">
        <f aca="false">SUMIFS(tabela_registros[VALOR],tabela_registros[MÊS],$AE$1,tabela_registros[DIA],receitasfixasconsolidadojun[[#Headers],[29]],tabela_registros[REGISTRO],DADOS!$N$3,tabela_registros[TIPO],DADOS!$V$3,tabela_registros[CATEGORIA],receitasfixasconsolidadojun[[#This Row],[ATUAL]])</f>
        <v>0</v>
      </c>
      <c r="AH83" s="119" t="n">
        <f aca="false">SUMIFS(tabela_registros[VALOR],tabela_registros[MÊS],$AE$1,tabela_registros[DIA],receitasfixasconsolidadojun[[#Headers],[30]],tabela_registros[REGISTRO],DADOS!$N$3,tabela_registros[TIPO],DADOS!$V$3,tabela_registros[CATEGORIA],receitasfixasconsolidadojun[[#This Row],[ATUAL]])</f>
        <v>0</v>
      </c>
      <c r="AI83" s="217" t="n">
        <f aca="false">SUMIFS(tabela_registros[VALOR],tabela_registros[MÊS],$AE$1,tabela_registros[DIA],receitasfixasconsolidadojun[[#Headers],[31]],tabela_registros[REGISTRO],DADOS!$N$3,tabela_registros[TIPO],DADOS!$V$3,tabela_registros[CATEGORIA],receitasfixasconsolidadojun[[#This Row],[ATUAL]])</f>
        <v>0</v>
      </c>
      <c r="AJ83" s="149" t="n">
        <f aca="false">SUM(receitasfixasconsolidadojun[[#This Row],[1]:[31]])</f>
        <v>0</v>
      </c>
      <c r="AK83" s="165"/>
    </row>
    <row r="84" customFormat="false" ht="19.5" hidden="false" customHeight="true" outlineLevel="0" collapsed="false">
      <c r="B84" s="143"/>
      <c r="C84" s="144" t="str">
        <f aca="false">DADOS!$X$5</f>
        <v>🎀 MESADA</v>
      </c>
      <c r="D84" s="145" t="str">
        <f aca="false">IF(receitasfixasconsolidadojun[[#This Row],[TOTAL (R$)]]=0,"",IF(OR(receitasfixasconsolidadojun[[#This Row],[TOTAL (R$)]]=LARGE($AJ$82:$AJ$86,1),receitasfixasconsolidadojun[[#This Row],[TOTAL (R$)]]=LARGE($AJ$82:$AJ$86,2)),DADOS!$I$9,""))</f>
        <v/>
      </c>
      <c r="E84" s="148" t="n">
        <f aca="false">SUMIFS(tabela_registros[VALOR],tabela_registros[MÊS],$AE$1,tabela_registros[DIA],receitasfixasconsolidadojun[[#Headers],[1]],tabela_registros[REGISTRO],DADOS!$N$3,tabela_registros[TIPO],DADOS!$V$3,tabela_registros[CATEGORIA],receitasfixasconsolidadojun[[#This Row],[ATUAL]])</f>
        <v>0</v>
      </c>
      <c r="F84" s="119" t="n">
        <f aca="false">SUMIFS(tabela_registros[VALOR],tabela_registros[MÊS],$AE$1,tabela_registros[DIA],receitasfixasconsolidadojun[[#Headers],[2]],tabela_registros[REGISTRO],DADOS!$N$3,tabela_registros[TIPO],DADOS!$V$3,tabela_registros[CATEGORIA],receitasfixasconsolidadojun[[#This Row],[ATUAL]])</f>
        <v>0</v>
      </c>
      <c r="G84" s="119" t="n">
        <f aca="false">SUMIFS(tabela_registros[VALOR],tabela_registros[MÊS],$AE$1,tabela_registros[DIA],receitasfixasconsolidadojun[[#Headers],[3]],tabela_registros[REGISTRO],DADOS!$N$3,tabela_registros[TIPO],DADOS!$V$3,tabela_registros[CATEGORIA],receitasfixasconsolidadojun[[#This Row],[ATUAL]])</f>
        <v>0</v>
      </c>
      <c r="H84" s="119" t="n">
        <f aca="false">SUMIFS(tabela_registros[VALOR],tabela_registros[MÊS],$AE$1,tabela_registros[DIA],receitasfixasconsolidadojun[[#Headers],[4]],tabela_registros[REGISTRO],DADOS!$N$3,tabela_registros[TIPO],DADOS!$V$3,tabela_registros[CATEGORIA],receitasfixasconsolidadojun[[#This Row],[ATUAL]])</f>
        <v>0</v>
      </c>
      <c r="I84" s="119" t="n">
        <f aca="false">SUMIFS(tabela_registros[VALOR],tabela_registros[MÊS],$AE$1,tabela_registros[DIA],receitasfixasconsolidadojun[[#Headers],[5]],tabela_registros[REGISTRO],DADOS!$N$3,tabela_registros[TIPO],DADOS!$V$3,tabela_registros[CATEGORIA],receitasfixasconsolidadojun[[#This Row],[ATUAL]])</f>
        <v>0</v>
      </c>
      <c r="J84" s="119" t="n">
        <f aca="false">SUMIFS(tabela_registros[VALOR],tabela_registros[MÊS],$AE$1,tabela_registros[DIA],receitasfixasconsolidadojun[[#Headers],[6]],tabela_registros[REGISTRO],DADOS!$N$3,tabela_registros[TIPO],DADOS!$V$3,tabela_registros[CATEGORIA],receitasfixasconsolidadojun[[#This Row],[ATUAL]])</f>
        <v>0</v>
      </c>
      <c r="K84" s="119" t="n">
        <f aca="false">SUMIFS(tabela_registros[VALOR],tabela_registros[MÊS],$AE$1,tabela_registros[DIA],receitasfixasconsolidadojun[[#Headers],[7]],tabela_registros[REGISTRO],DADOS!$N$3,tabela_registros[TIPO],DADOS!$V$3,tabela_registros[CATEGORIA],receitasfixasconsolidadojun[[#This Row],[ATUAL]])</f>
        <v>0</v>
      </c>
      <c r="L84" s="119" t="n">
        <f aca="false">SUMIFS(tabela_registros[VALOR],tabela_registros[MÊS],$AE$1,tabela_registros[DIA],receitasfixasconsolidadojun[[#Headers],[8]],tabela_registros[REGISTRO],DADOS!$N$3,tabela_registros[TIPO],DADOS!$V$3,tabela_registros[CATEGORIA],receitasfixasconsolidadojun[[#This Row],[ATUAL]])</f>
        <v>0</v>
      </c>
      <c r="M84" s="119" t="n">
        <f aca="false">SUMIFS(tabela_registros[VALOR],tabela_registros[MÊS],$AE$1,tabela_registros[DIA],receitasfixasconsolidadojun[[#Headers],[9]],tabela_registros[REGISTRO],DADOS!$N$3,tabela_registros[TIPO],DADOS!$V$3,tabela_registros[CATEGORIA],receitasfixasconsolidadojun[[#This Row],[ATUAL]])</f>
        <v>0</v>
      </c>
      <c r="N84" s="119" t="n">
        <f aca="false">SUMIFS(tabela_registros[VALOR],tabela_registros[MÊS],$AE$1,tabela_registros[DIA],receitasfixasconsolidadojun[[#Headers],[10]],tabela_registros[REGISTRO],DADOS!$N$3,tabela_registros[TIPO],DADOS!$V$3,tabela_registros[CATEGORIA],receitasfixasconsolidadojun[[#This Row],[ATUAL]])</f>
        <v>0</v>
      </c>
      <c r="O84" s="119" t="n">
        <f aca="false">SUMIFS(tabela_registros[VALOR],tabela_registros[MÊS],$AE$1,tabela_registros[DIA],receitasfixasconsolidadojun[[#Headers],[11]],tabela_registros[REGISTRO],DADOS!$N$3,tabela_registros[TIPO],DADOS!$V$3,tabela_registros[CATEGORIA],receitasfixasconsolidadojun[[#This Row],[ATUAL]])</f>
        <v>0</v>
      </c>
      <c r="P84" s="119" t="n">
        <f aca="false">SUMIFS(tabela_registros[VALOR],tabela_registros[MÊS],$AE$1,tabela_registros[DIA],receitasfixasconsolidadojun[[#Headers],[12]],tabela_registros[REGISTRO],DADOS!$N$3,tabela_registros[TIPO],DADOS!$V$3,tabela_registros[CATEGORIA],receitasfixasconsolidadojun[[#This Row],[ATUAL]])</f>
        <v>0</v>
      </c>
      <c r="Q84" s="119" t="n">
        <f aca="false">SUMIFS(tabela_registros[VALOR],tabela_registros[MÊS],$AE$1,tabela_registros[DIA],receitasfixasconsolidadojun[[#Headers],[13]],tabela_registros[REGISTRO],DADOS!$N$3,tabela_registros[TIPO],DADOS!$V$3,tabela_registros[CATEGORIA],receitasfixasconsolidadojun[[#This Row],[ATUAL]])</f>
        <v>0</v>
      </c>
      <c r="R84" s="119" t="n">
        <f aca="false">SUMIFS(tabela_registros[VALOR],tabela_registros[MÊS],$AE$1,tabela_registros[DIA],receitasfixasconsolidadojun[[#Headers],[14]],tabela_registros[REGISTRO],DADOS!$N$3,tabela_registros[TIPO],DADOS!$V$3,tabela_registros[CATEGORIA],receitasfixasconsolidadojun[[#This Row],[ATUAL]])</f>
        <v>0</v>
      </c>
      <c r="S84" s="119" t="n">
        <f aca="false">SUMIFS(tabela_registros[VALOR],tabela_registros[MÊS],$AE$1,tabela_registros[DIA],receitasfixasconsolidadojun[[#Headers],[15]],tabela_registros[REGISTRO],DADOS!$N$3,tabela_registros[TIPO],DADOS!$V$3,tabela_registros[CATEGORIA],receitasfixasconsolidadojun[[#This Row],[ATUAL]])</f>
        <v>0</v>
      </c>
      <c r="T84" s="119" t="n">
        <f aca="false">SUMIFS(tabela_registros[VALOR],tabela_registros[MÊS],$AE$1,tabela_registros[DIA],receitasfixasconsolidadojun[[#Headers],[16]],tabela_registros[REGISTRO],DADOS!$N$3,tabela_registros[TIPO],DADOS!$V$3,tabela_registros[CATEGORIA],receitasfixasconsolidadojun[[#This Row],[ATUAL]])</f>
        <v>0</v>
      </c>
      <c r="U84" s="119" t="n">
        <f aca="false">SUMIFS(tabela_registros[VALOR],tabela_registros[MÊS],$AE$1,tabela_registros[DIA],receitasfixasconsolidadojun[[#Headers],[17]],tabela_registros[REGISTRO],DADOS!$N$3,tabela_registros[TIPO],DADOS!$V$3,tabela_registros[CATEGORIA],receitasfixasconsolidadojun[[#This Row],[ATUAL]])</f>
        <v>0</v>
      </c>
      <c r="V84" s="119" t="n">
        <f aca="false">SUMIFS(tabela_registros[VALOR],tabela_registros[MÊS],$AE$1,tabela_registros[DIA],receitasfixasconsolidadojun[[#Headers],[18]],tabela_registros[REGISTRO],DADOS!$N$3,tabela_registros[TIPO],DADOS!$V$3,tabela_registros[CATEGORIA],receitasfixasconsolidadojun[[#This Row],[ATUAL]])</f>
        <v>0</v>
      </c>
      <c r="W84" s="119" t="n">
        <f aca="false">SUMIFS(tabela_registros[VALOR],tabela_registros[MÊS],$AE$1,tabela_registros[DIA],receitasfixasconsolidadojun[[#Headers],[19]],tabela_registros[REGISTRO],DADOS!$N$3,tabela_registros[TIPO],DADOS!$V$3,tabela_registros[CATEGORIA],receitasfixasconsolidadojun[[#This Row],[ATUAL]])</f>
        <v>0</v>
      </c>
      <c r="X84" s="119" t="n">
        <f aca="false">SUMIFS(tabela_registros[VALOR],tabela_registros[MÊS],$AE$1,tabela_registros[DIA],receitasfixasconsolidadojun[[#Headers],[20]],tabela_registros[REGISTRO],DADOS!$N$3,tabela_registros[TIPO],DADOS!$V$3,tabela_registros[CATEGORIA],receitasfixasconsolidadojun[[#This Row],[ATUAL]])</f>
        <v>0</v>
      </c>
      <c r="Y84" s="119" t="n">
        <f aca="false">SUMIFS(tabela_registros[VALOR],tabela_registros[MÊS],$AE$1,tabela_registros[DIA],receitasfixasconsolidadojun[[#Headers],[21]],tabela_registros[REGISTRO],DADOS!$N$3,tabela_registros[TIPO],DADOS!$V$3,tabela_registros[CATEGORIA],receitasfixasconsolidadojun[[#This Row],[ATUAL]])</f>
        <v>0</v>
      </c>
      <c r="Z84" s="119" t="n">
        <f aca="false">SUMIFS(tabela_registros[VALOR],tabela_registros[MÊS],$AE$1,tabela_registros[DIA],receitasfixasconsolidadojun[[#Headers],[22]],tabela_registros[REGISTRO],DADOS!$N$3,tabela_registros[TIPO],DADOS!$V$3,tabela_registros[CATEGORIA],receitasfixasconsolidadojun[[#This Row],[ATUAL]])</f>
        <v>0</v>
      </c>
      <c r="AA84" s="119" t="n">
        <f aca="false">SUMIFS(tabela_registros[VALOR],tabela_registros[MÊS],$AE$1,tabela_registros[DIA],receitasfixasconsolidadojun[[#Headers],[23]],tabela_registros[REGISTRO],DADOS!$N$3,tabela_registros[TIPO],DADOS!$V$3,tabela_registros[CATEGORIA],receitasfixasconsolidadojun[[#This Row],[ATUAL]])</f>
        <v>0</v>
      </c>
      <c r="AB84" s="119" t="n">
        <f aca="false">SUMIFS(tabela_registros[VALOR],tabela_registros[MÊS],$AE$1,tabela_registros[DIA],receitasfixasconsolidadojun[[#Headers],[24]],tabela_registros[REGISTRO],DADOS!$N$3,tabela_registros[TIPO],DADOS!$V$3,tabela_registros[CATEGORIA],receitasfixasconsolidadojun[[#This Row],[ATUAL]])</f>
        <v>0</v>
      </c>
      <c r="AC84" s="119" t="n">
        <f aca="false">SUMIFS(tabela_registros[VALOR],tabela_registros[MÊS],$AE$1,tabela_registros[DIA],receitasfixasconsolidadojun[[#Headers],[25]],tabela_registros[REGISTRO],DADOS!$N$3,tabela_registros[TIPO],DADOS!$V$3,tabela_registros[CATEGORIA],receitasfixasconsolidadojun[[#This Row],[ATUAL]])</f>
        <v>0</v>
      </c>
      <c r="AD84" s="119" t="n">
        <f aca="false">SUMIFS(tabela_registros[VALOR],tabela_registros[MÊS],$AE$1,tabela_registros[DIA],receitasfixasconsolidadojun[[#Headers],[26]],tabela_registros[REGISTRO],DADOS!$N$3,tabela_registros[TIPO],DADOS!$V$3,tabela_registros[CATEGORIA],receitasfixasconsolidadojun[[#This Row],[ATUAL]])</f>
        <v>0</v>
      </c>
      <c r="AE84" s="119" t="n">
        <f aca="false">SUMIFS(tabela_registros[VALOR],tabela_registros[MÊS],$AE$1,tabela_registros[DIA],receitasfixasconsolidadojun[[#Headers],[27]],tabela_registros[REGISTRO],DADOS!$N$3,tabela_registros[TIPO],DADOS!$V$3,tabela_registros[CATEGORIA],receitasfixasconsolidadojun[[#This Row],[ATUAL]])</f>
        <v>0</v>
      </c>
      <c r="AF84" s="119" t="n">
        <f aca="false">SUMIFS(tabela_registros[VALOR],tabela_registros[MÊS],$AE$1,tabela_registros[DIA],receitasfixasconsolidadojun[[#Headers],[28]],tabela_registros[REGISTRO],DADOS!$N$3,tabela_registros[TIPO],DADOS!$V$3,tabela_registros[CATEGORIA],receitasfixasconsolidadojun[[#This Row],[ATUAL]])</f>
        <v>0</v>
      </c>
      <c r="AG84" s="119" t="n">
        <f aca="false">SUMIFS(tabela_registros[VALOR],tabela_registros[MÊS],$AE$1,tabela_registros[DIA],receitasfixasconsolidadojun[[#Headers],[29]],tabela_registros[REGISTRO],DADOS!$N$3,tabela_registros[TIPO],DADOS!$V$3,tabela_registros[CATEGORIA],receitasfixasconsolidadojun[[#This Row],[ATUAL]])</f>
        <v>0</v>
      </c>
      <c r="AH84" s="119" t="n">
        <f aca="false">SUMIFS(tabela_registros[VALOR],tabela_registros[MÊS],$AE$1,tabela_registros[DIA],receitasfixasconsolidadojun[[#Headers],[30]],tabela_registros[REGISTRO],DADOS!$N$3,tabela_registros[TIPO],DADOS!$V$3,tabela_registros[CATEGORIA],receitasfixasconsolidadojun[[#This Row],[ATUAL]])</f>
        <v>0</v>
      </c>
      <c r="AI84" s="217" t="n">
        <f aca="false">SUMIFS(tabela_registros[VALOR],tabela_registros[MÊS],$AE$1,tabela_registros[DIA],receitasfixasconsolidadojun[[#Headers],[31]],tabela_registros[REGISTRO],DADOS!$N$3,tabela_registros[TIPO],DADOS!$V$3,tabela_registros[CATEGORIA],receitasfixasconsolidadojun[[#This Row],[ATUAL]])</f>
        <v>0</v>
      </c>
      <c r="AJ84" s="149" t="n">
        <f aca="false">SUM(receitasfixasconsolidadojun[[#This Row],[1]:[31]])</f>
        <v>0</v>
      </c>
      <c r="AK84" s="165"/>
    </row>
    <row r="85" customFormat="false" ht="19.5" hidden="false" customHeight="true" outlineLevel="0" collapsed="false">
      <c r="B85" s="143"/>
      <c r="C85" s="144" t="str">
        <f aca="false">DADOS!$X$6</f>
        <v>💰 SALÁRIO</v>
      </c>
      <c r="D85" s="145" t="str">
        <f aca="false">IF(receitasfixasconsolidadojun[[#This Row],[TOTAL (R$)]]=0,"",IF(OR(receitasfixasconsolidadojun[[#This Row],[TOTAL (R$)]]=LARGE($AJ$82:$AJ$86,1),receitasfixasconsolidadojun[[#This Row],[TOTAL (R$)]]=LARGE($AJ$82:$AJ$86,2)),DADOS!$I$9,""))</f>
        <v/>
      </c>
      <c r="E85" s="148" t="n">
        <f aca="false">SUMIFS(tabela_registros[VALOR],tabela_registros[MÊS],$AE$1,tabela_registros[DIA],receitasfixasconsolidadojun[[#Headers],[1]],tabela_registros[REGISTRO],DADOS!$N$3,tabela_registros[TIPO],DADOS!$V$3,tabela_registros[CATEGORIA],receitasfixasconsolidadojun[[#This Row],[ATUAL]])</f>
        <v>0</v>
      </c>
      <c r="F85" s="119" t="n">
        <f aca="false">SUMIFS(tabela_registros[VALOR],tabela_registros[MÊS],$AE$1,tabela_registros[DIA],receitasfixasconsolidadojun[[#Headers],[2]],tabela_registros[REGISTRO],DADOS!$N$3,tabela_registros[TIPO],DADOS!$V$3,tabela_registros[CATEGORIA],receitasfixasconsolidadojun[[#This Row],[ATUAL]])</f>
        <v>0</v>
      </c>
      <c r="G85" s="119" t="n">
        <f aca="false">SUMIFS(tabela_registros[VALOR],tabela_registros[MÊS],$AE$1,tabela_registros[DIA],receitasfixasconsolidadojun[[#Headers],[3]],tabela_registros[REGISTRO],DADOS!$N$3,tabela_registros[TIPO],DADOS!$V$3,tabela_registros[CATEGORIA],receitasfixasconsolidadojun[[#This Row],[ATUAL]])</f>
        <v>0</v>
      </c>
      <c r="H85" s="119" t="n">
        <f aca="false">SUMIFS(tabela_registros[VALOR],tabela_registros[MÊS],$AE$1,tabela_registros[DIA],receitasfixasconsolidadojun[[#Headers],[4]],tabela_registros[REGISTRO],DADOS!$N$3,tabela_registros[TIPO],DADOS!$V$3,tabela_registros[CATEGORIA],receitasfixasconsolidadojun[[#This Row],[ATUAL]])</f>
        <v>0</v>
      </c>
      <c r="I85" s="119" t="n">
        <f aca="false">SUMIFS(tabela_registros[VALOR],tabela_registros[MÊS],$AE$1,tabela_registros[DIA],receitasfixasconsolidadojun[[#Headers],[5]],tabela_registros[REGISTRO],DADOS!$N$3,tabela_registros[TIPO],DADOS!$V$3,tabela_registros[CATEGORIA],receitasfixasconsolidadojun[[#This Row],[ATUAL]])</f>
        <v>0</v>
      </c>
      <c r="J85" s="119" t="n">
        <f aca="false">SUMIFS(tabela_registros[VALOR],tabela_registros[MÊS],$AE$1,tabela_registros[DIA],receitasfixasconsolidadojun[[#Headers],[6]],tabela_registros[REGISTRO],DADOS!$N$3,tabela_registros[TIPO],DADOS!$V$3,tabela_registros[CATEGORIA],receitasfixasconsolidadojun[[#This Row],[ATUAL]])</f>
        <v>0</v>
      </c>
      <c r="K85" s="119" t="n">
        <f aca="false">SUMIFS(tabela_registros[VALOR],tabela_registros[MÊS],$AE$1,tabela_registros[DIA],receitasfixasconsolidadojun[[#Headers],[7]],tabela_registros[REGISTRO],DADOS!$N$3,tabela_registros[TIPO],DADOS!$V$3,tabela_registros[CATEGORIA],receitasfixasconsolidadojun[[#This Row],[ATUAL]])</f>
        <v>0</v>
      </c>
      <c r="L85" s="119" t="n">
        <f aca="false">SUMIFS(tabela_registros[VALOR],tabela_registros[MÊS],$AE$1,tabela_registros[DIA],receitasfixasconsolidadojun[[#Headers],[8]],tabela_registros[REGISTRO],DADOS!$N$3,tabela_registros[TIPO],DADOS!$V$3,tabela_registros[CATEGORIA],receitasfixasconsolidadojun[[#This Row],[ATUAL]])</f>
        <v>0</v>
      </c>
      <c r="M85" s="119" t="n">
        <f aca="false">SUMIFS(tabela_registros[VALOR],tabela_registros[MÊS],$AE$1,tabela_registros[DIA],receitasfixasconsolidadojun[[#Headers],[9]],tabela_registros[REGISTRO],DADOS!$N$3,tabela_registros[TIPO],DADOS!$V$3,tabela_registros[CATEGORIA],receitasfixasconsolidadojun[[#This Row],[ATUAL]])</f>
        <v>0</v>
      </c>
      <c r="N85" s="119" t="n">
        <f aca="false">SUMIFS(tabela_registros[VALOR],tabela_registros[MÊS],$AE$1,tabela_registros[DIA],receitasfixasconsolidadojun[[#Headers],[10]],tabela_registros[REGISTRO],DADOS!$N$3,tabela_registros[TIPO],DADOS!$V$3,tabela_registros[CATEGORIA],receitasfixasconsolidadojun[[#This Row],[ATUAL]])</f>
        <v>0</v>
      </c>
      <c r="O85" s="119" t="n">
        <f aca="false">SUMIFS(tabela_registros[VALOR],tabela_registros[MÊS],$AE$1,tabela_registros[DIA],receitasfixasconsolidadojun[[#Headers],[11]],tabela_registros[REGISTRO],DADOS!$N$3,tabela_registros[TIPO],DADOS!$V$3,tabela_registros[CATEGORIA],receitasfixasconsolidadojun[[#This Row],[ATUAL]])</f>
        <v>0</v>
      </c>
      <c r="P85" s="119" t="n">
        <f aca="false">SUMIFS(tabela_registros[VALOR],tabela_registros[MÊS],$AE$1,tabela_registros[DIA],receitasfixasconsolidadojun[[#Headers],[12]],tabela_registros[REGISTRO],DADOS!$N$3,tabela_registros[TIPO],DADOS!$V$3,tabela_registros[CATEGORIA],receitasfixasconsolidadojun[[#This Row],[ATUAL]])</f>
        <v>0</v>
      </c>
      <c r="Q85" s="119" t="n">
        <f aca="false">SUMIFS(tabela_registros[VALOR],tabela_registros[MÊS],$AE$1,tabela_registros[DIA],receitasfixasconsolidadojun[[#Headers],[13]],tabela_registros[REGISTRO],DADOS!$N$3,tabela_registros[TIPO],DADOS!$V$3,tabela_registros[CATEGORIA],receitasfixasconsolidadojun[[#This Row],[ATUAL]])</f>
        <v>0</v>
      </c>
      <c r="R85" s="119" t="n">
        <f aca="false">SUMIFS(tabela_registros[VALOR],tabela_registros[MÊS],$AE$1,tabela_registros[DIA],receitasfixasconsolidadojun[[#Headers],[14]],tabela_registros[REGISTRO],DADOS!$N$3,tabela_registros[TIPO],DADOS!$V$3,tabela_registros[CATEGORIA],receitasfixasconsolidadojun[[#This Row],[ATUAL]])</f>
        <v>0</v>
      </c>
      <c r="S85" s="119" t="n">
        <f aca="false">SUMIFS(tabela_registros[VALOR],tabela_registros[MÊS],$AE$1,tabela_registros[DIA],receitasfixasconsolidadojun[[#Headers],[15]],tabela_registros[REGISTRO],DADOS!$N$3,tabela_registros[TIPO],DADOS!$V$3,tabela_registros[CATEGORIA],receitasfixasconsolidadojun[[#This Row],[ATUAL]])</f>
        <v>0</v>
      </c>
      <c r="T85" s="119" t="n">
        <f aca="false">SUMIFS(tabela_registros[VALOR],tabela_registros[MÊS],$AE$1,tabela_registros[DIA],receitasfixasconsolidadojun[[#Headers],[16]],tabela_registros[REGISTRO],DADOS!$N$3,tabela_registros[TIPO],DADOS!$V$3,tabela_registros[CATEGORIA],receitasfixasconsolidadojun[[#This Row],[ATUAL]])</f>
        <v>0</v>
      </c>
      <c r="U85" s="119" t="n">
        <f aca="false">SUMIFS(tabela_registros[VALOR],tabela_registros[MÊS],$AE$1,tabela_registros[DIA],receitasfixasconsolidadojun[[#Headers],[17]],tabela_registros[REGISTRO],DADOS!$N$3,tabela_registros[TIPO],DADOS!$V$3,tabela_registros[CATEGORIA],receitasfixasconsolidadojun[[#This Row],[ATUAL]])</f>
        <v>0</v>
      </c>
      <c r="V85" s="119" t="n">
        <f aca="false">SUMIFS(tabela_registros[VALOR],tabela_registros[MÊS],$AE$1,tabela_registros[DIA],receitasfixasconsolidadojun[[#Headers],[18]],tabela_registros[REGISTRO],DADOS!$N$3,tabela_registros[TIPO],DADOS!$V$3,tabela_registros[CATEGORIA],receitasfixasconsolidadojun[[#This Row],[ATUAL]])</f>
        <v>0</v>
      </c>
      <c r="W85" s="119" t="n">
        <f aca="false">SUMIFS(tabela_registros[VALOR],tabela_registros[MÊS],$AE$1,tabela_registros[DIA],receitasfixasconsolidadojun[[#Headers],[19]],tabela_registros[REGISTRO],DADOS!$N$3,tabela_registros[TIPO],DADOS!$V$3,tabela_registros[CATEGORIA],receitasfixasconsolidadojun[[#This Row],[ATUAL]])</f>
        <v>0</v>
      </c>
      <c r="X85" s="119" t="n">
        <f aca="false">SUMIFS(tabela_registros[VALOR],tabela_registros[MÊS],$AE$1,tabela_registros[DIA],receitasfixasconsolidadojun[[#Headers],[20]],tabela_registros[REGISTRO],DADOS!$N$3,tabela_registros[TIPO],DADOS!$V$3,tabela_registros[CATEGORIA],receitasfixasconsolidadojun[[#This Row],[ATUAL]])</f>
        <v>0</v>
      </c>
      <c r="Y85" s="119" t="n">
        <f aca="false">SUMIFS(tabela_registros[VALOR],tabela_registros[MÊS],$AE$1,tabela_registros[DIA],receitasfixasconsolidadojun[[#Headers],[21]],tabela_registros[REGISTRO],DADOS!$N$3,tabela_registros[TIPO],DADOS!$V$3,tabela_registros[CATEGORIA],receitasfixasconsolidadojun[[#This Row],[ATUAL]])</f>
        <v>0</v>
      </c>
      <c r="Z85" s="119" t="n">
        <f aca="false">SUMIFS(tabela_registros[VALOR],tabela_registros[MÊS],$AE$1,tabela_registros[DIA],receitasfixasconsolidadojun[[#Headers],[22]],tabela_registros[REGISTRO],DADOS!$N$3,tabela_registros[TIPO],DADOS!$V$3,tabela_registros[CATEGORIA],receitasfixasconsolidadojun[[#This Row],[ATUAL]])</f>
        <v>0</v>
      </c>
      <c r="AA85" s="119" t="n">
        <f aca="false">SUMIFS(tabela_registros[VALOR],tabela_registros[MÊS],$AE$1,tabela_registros[DIA],receitasfixasconsolidadojun[[#Headers],[23]],tabela_registros[REGISTRO],DADOS!$N$3,tabela_registros[TIPO],DADOS!$V$3,tabela_registros[CATEGORIA],receitasfixasconsolidadojun[[#This Row],[ATUAL]])</f>
        <v>0</v>
      </c>
      <c r="AB85" s="119" t="n">
        <f aca="false">SUMIFS(tabela_registros[VALOR],tabela_registros[MÊS],$AE$1,tabela_registros[DIA],receitasfixasconsolidadojun[[#Headers],[24]],tabela_registros[REGISTRO],DADOS!$N$3,tabela_registros[TIPO],DADOS!$V$3,tabela_registros[CATEGORIA],receitasfixasconsolidadojun[[#This Row],[ATUAL]])</f>
        <v>0</v>
      </c>
      <c r="AC85" s="119" t="n">
        <f aca="false">SUMIFS(tabela_registros[VALOR],tabela_registros[MÊS],$AE$1,tabela_registros[DIA],receitasfixasconsolidadojun[[#Headers],[25]],tabela_registros[REGISTRO],DADOS!$N$3,tabela_registros[TIPO],DADOS!$V$3,tabela_registros[CATEGORIA],receitasfixasconsolidadojun[[#This Row],[ATUAL]])</f>
        <v>0</v>
      </c>
      <c r="AD85" s="119" t="n">
        <f aca="false">SUMIFS(tabela_registros[VALOR],tabela_registros[MÊS],$AE$1,tabela_registros[DIA],receitasfixasconsolidadojun[[#Headers],[26]],tabela_registros[REGISTRO],DADOS!$N$3,tabela_registros[TIPO],DADOS!$V$3,tabela_registros[CATEGORIA],receitasfixasconsolidadojun[[#This Row],[ATUAL]])</f>
        <v>0</v>
      </c>
      <c r="AE85" s="119" t="n">
        <f aca="false">SUMIFS(tabela_registros[VALOR],tabela_registros[MÊS],$AE$1,tabela_registros[DIA],receitasfixasconsolidadojun[[#Headers],[27]],tabela_registros[REGISTRO],DADOS!$N$3,tabela_registros[TIPO],DADOS!$V$3,tabela_registros[CATEGORIA],receitasfixasconsolidadojun[[#This Row],[ATUAL]])</f>
        <v>0</v>
      </c>
      <c r="AF85" s="119" t="n">
        <f aca="false">SUMIFS(tabela_registros[VALOR],tabela_registros[MÊS],$AE$1,tabela_registros[DIA],receitasfixasconsolidadojun[[#Headers],[28]],tabela_registros[REGISTRO],DADOS!$N$3,tabela_registros[TIPO],DADOS!$V$3,tabela_registros[CATEGORIA],receitasfixasconsolidadojun[[#This Row],[ATUAL]])</f>
        <v>0</v>
      </c>
      <c r="AG85" s="119" t="n">
        <f aca="false">SUMIFS(tabela_registros[VALOR],tabela_registros[MÊS],$AE$1,tabela_registros[DIA],receitasfixasconsolidadojun[[#Headers],[29]],tabela_registros[REGISTRO],DADOS!$N$3,tabela_registros[TIPO],DADOS!$V$3,tabela_registros[CATEGORIA],receitasfixasconsolidadojun[[#This Row],[ATUAL]])</f>
        <v>0</v>
      </c>
      <c r="AH85" s="119" t="n">
        <f aca="false">SUMIFS(tabela_registros[VALOR],tabela_registros[MÊS],$AE$1,tabela_registros[DIA],receitasfixasconsolidadojun[[#Headers],[30]],tabela_registros[REGISTRO],DADOS!$N$3,tabela_registros[TIPO],DADOS!$V$3,tabela_registros[CATEGORIA],receitasfixasconsolidadojun[[#This Row],[ATUAL]])</f>
        <v>0</v>
      </c>
      <c r="AI85" s="217" t="n">
        <f aca="false">SUMIFS(tabela_registros[VALOR],tabela_registros[MÊS],$AE$1,tabela_registros[DIA],receitasfixasconsolidadojun[[#Headers],[31]],tabela_registros[REGISTRO],DADOS!$N$3,tabela_registros[TIPO],DADOS!$V$3,tabela_registros[CATEGORIA],receitasfixasconsolidadojun[[#This Row],[ATUAL]])</f>
        <v>0</v>
      </c>
      <c r="AJ85" s="149" t="n">
        <f aca="false">SUM(receitasfixasconsolidadojun[[#This Row],[1]:[31]])</f>
        <v>0</v>
      </c>
      <c r="AK85" s="165"/>
    </row>
    <row r="86" customFormat="false" ht="18" hidden="false" customHeight="true" outlineLevel="0" collapsed="false">
      <c r="B86" s="143"/>
      <c r="C86" s="144" t="str">
        <f aca="false">DADOS!$X$7</f>
        <v>📎 OUTROS</v>
      </c>
      <c r="D86" s="145" t="str">
        <f aca="false">IF(receitasfixasconsolidadojun[[#This Row],[TOTAL (R$)]]=0,"",IF(OR(receitasfixasconsolidadojun[[#This Row],[TOTAL (R$)]]=LARGE($AJ$82:$AJ$86,1),receitasfixasconsolidadojun[[#This Row],[TOTAL (R$)]]=LARGE($AJ$82:$AJ$86,2)),DADOS!$I$9,""))</f>
        <v/>
      </c>
      <c r="E86" s="148" t="n">
        <f aca="false">SUMIFS(tabela_registros[VALOR],tabela_registros[MÊS],$AE$1,tabela_registros[DIA],receitasfixasconsolidadojun[[#Headers],[1]],tabela_registros[REGISTRO],DADOS!$N$3,tabela_registros[TIPO],DADOS!$V$3,tabela_registros[CATEGORIA],receitasfixasconsolidadojun[[#This Row],[ATUAL]])</f>
        <v>0</v>
      </c>
      <c r="F86" s="119" t="n">
        <f aca="false">SUMIFS(tabela_registros[VALOR],tabela_registros[MÊS],$AE$1,tabela_registros[DIA],receitasfixasconsolidadojun[[#Headers],[2]],tabela_registros[REGISTRO],DADOS!$N$3,tabela_registros[TIPO],DADOS!$V$3,tabela_registros[CATEGORIA],receitasfixasconsolidadojun[[#This Row],[ATUAL]])</f>
        <v>0</v>
      </c>
      <c r="G86" s="119" t="n">
        <f aca="false">SUMIFS(tabela_registros[VALOR],tabela_registros[MÊS],$AE$1,tabela_registros[DIA],receitasfixasconsolidadojun[[#Headers],[3]],tabela_registros[REGISTRO],DADOS!$N$3,tabela_registros[TIPO],DADOS!$V$3,tabela_registros[CATEGORIA],receitasfixasconsolidadojun[[#This Row],[ATUAL]])</f>
        <v>0</v>
      </c>
      <c r="H86" s="119" t="n">
        <f aca="false">SUMIFS(tabela_registros[VALOR],tabela_registros[MÊS],$AE$1,tabela_registros[DIA],receitasfixasconsolidadojun[[#Headers],[4]],tabela_registros[REGISTRO],DADOS!$N$3,tabela_registros[TIPO],DADOS!$V$3,tabela_registros[CATEGORIA],receitasfixasconsolidadojun[[#This Row],[ATUAL]])</f>
        <v>0</v>
      </c>
      <c r="I86" s="119" t="n">
        <f aca="false">SUMIFS(tabela_registros[VALOR],tabela_registros[MÊS],$AE$1,tabela_registros[DIA],receitasfixasconsolidadojun[[#Headers],[5]],tabela_registros[REGISTRO],DADOS!$N$3,tabela_registros[TIPO],DADOS!$V$3,tabela_registros[CATEGORIA],receitasfixasconsolidadojun[[#This Row],[ATUAL]])</f>
        <v>0</v>
      </c>
      <c r="J86" s="119" t="n">
        <f aca="false">SUMIFS(tabela_registros[VALOR],tabela_registros[MÊS],$AE$1,tabela_registros[DIA],receitasfixasconsolidadojun[[#Headers],[6]],tabela_registros[REGISTRO],DADOS!$N$3,tabela_registros[TIPO],DADOS!$V$3,tabela_registros[CATEGORIA],receitasfixasconsolidadojun[[#This Row],[ATUAL]])</f>
        <v>0</v>
      </c>
      <c r="K86" s="119" t="n">
        <f aca="false">SUMIFS(tabela_registros[VALOR],tabela_registros[MÊS],$AE$1,tabela_registros[DIA],receitasfixasconsolidadojun[[#Headers],[7]],tabela_registros[REGISTRO],DADOS!$N$3,tabela_registros[TIPO],DADOS!$V$3,tabela_registros[CATEGORIA],receitasfixasconsolidadojun[[#This Row],[ATUAL]])</f>
        <v>0</v>
      </c>
      <c r="L86" s="119" t="n">
        <f aca="false">SUMIFS(tabela_registros[VALOR],tabela_registros[MÊS],$AE$1,tabela_registros[DIA],receitasfixasconsolidadojun[[#Headers],[8]],tabela_registros[REGISTRO],DADOS!$N$3,tabela_registros[TIPO],DADOS!$V$3,tabela_registros[CATEGORIA],receitasfixasconsolidadojun[[#This Row],[ATUAL]])</f>
        <v>0</v>
      </c>
      <c r="M86" s="119" t="n">
        <f aca="false">SUMIFS(tabela_registros[VALOR],tabela_registros[MÊS],$AE$1,tabela_registros[DIA],receitasfixasconsolidadojun[[#Headers],[9]],tabela_registros[REGISTRO],DADOS!$N$3,tabela_registros[TIPO],DADOS!$V$3,tabela_registros[CATEGORIA],receitasfixasconsolidadojun[[#This Row],[ATUAL]])</f>
        <v>0</v>
      </c>
      <c r="N86" s="119" t="n">
        <f aca="false">SUMIFS(tabela_registros[VALOR],tabela_registros[MÊS],$AE$1,tabela_registros[DIA],receitasfixasconsolidadojun[[#Headers],[10]],tabela_registros[REGISTRO],DADOS!$N$3,tabela_registros[TIPO],DADOS!$V$3,tabela_registros[CATEGORIA],receitasfixasconsolidadojun[[#This Row],[ATUAL]])</f>
        <v>0</v>
      </c>
      <c r="O86" s="119" t="n">
        <f aca="false">SUMIFS(tabela_registros[VALOR],tabela_registros[MÊS],$AE$1,tabela_registros[DIA],receitasfixasconsolidadojun[[#Headers],[11]],tabela_registros[REGISTRO],DADOS!$N$3,tabela_registros[TIPO],DADOS!$V$3,tabela_registros[CATEGORIA],receitasfixasconsolidadojun[[#This Row],[ATUAL]])</f>
        <v>0</v>
      </c>
      <c r="P86" s="119" t="n">
        <f aca="false">SUMIFS(tabela_registros[VALOR],tabela_registros[MÊS],$AE$1,tabela_registros[DIA],receitasfixasconsolidadojun[[#Headers],[12]],tabela_registros[REGISTRO],DADOS!$N$3,tabela_registros[TIPO],DADOS!$V$3,tabela_registros[CATEGORIA],receitasfixasconsolidadojun[[#This Row],[ATUAL]])</f>
        <v>0</v>
      </c>
      <c r="Q86" s="119" t="n">
        <f aca="false">SUMIFS(tabela_registros[VALOR],tabela_registros[MÊS],$AE$1,tabela_registros[DIA],receitasfixasconsolidadojun[[#Headers],[13]],tabela_registros[REGISTRO],DADOS!$N$3,tabela_registros[TIPO],DADOS!$V$3,tabela_registros[CATEGORIA],receitasfixasconsolidadojun[[#This Row],[ATUAL]])</f>
        <v>0</v>
      </c>
      <c r="R86" s="119" t="n">
        <f aca="false">SUMIFS(tabela_registros[VALOR],tabela_registros[MÊS],$AE$1,tabela_registros[DIA],receitasfixasconsolidadojun[[#Headers],[14]],tabela_registros[REGISTRO],DADOS!$N$3,tabela_registros[TIPO],DADOS!$V$3,tabela_registros[CATEGORIA],receitasfixasconsolidadojun[[#This Row],[ATUAL]])</f>
        <v>0</v>
      </c>
      <c r="S86" s="119" t="n">
        <f aca="false">SUMIFS(tabela_registros[VALOR],tabela_registros[MÊS],$AE$1,tabela_registros[DIA],receitasfixasconsolidadojun[[#Headers],[15]],tabela_registros[REGISTRO],DADOS!$N$3,tabela_registros[TIPO],DADOS!$V$3,tabela_registros[CATEGORIA],receitasfixasconsolidadojun[[#This Row],[ATUAL]])</f>
        <v>0</v>
      </c>
      <c r="T86" s="119" t="n">
        <f aca="false">SUMIFS(tabela_registros[VALOR],tabela_registros[MÊS],$AE$1,tabela_registros[DIA],receitasfixasconsolidadojun[[#Headers],[16]],tabela_registros[REGISTRO],DADOS!$N$3,tabela_registros[TIPO],DADOS!$V$3,tabela_registros[CATEGORIA],receitasfixasconsolidadojun[[#This Row],[ATUAL]])</f>
        <v>0</v>
      </c>
      <c r="U86" s="119" t="n">
        <f aca="false">SUMIFS(tabela_registros[VALOR],tabela_registros[MÊS],$AE$1,tabela_registros[DIA],receitasfixasconsolidadojun[[#Headers],[17]],tabela_registros[REGISTRO],DADOS!$N$3,tabela_registros[TIPO],DADOS!$V$3,tabela_registros[CATEGORIA],receitasfixasconsolidadojun[[#This Row],[ATUAL]])</f>
        <v>0</v>
      </c>
      <c r="V86" s="119" t="n">
        <f aca="false">SUMIFS(tabela_registros[VALOR],tabela_registros[MÊS],$AE$1,tabela_registros[DIA],receitasfixasconsolidadojun[[#Headers],[18]],tabela_registros[REGISTRO],DADOS!$N$3,tabela_registros[TIPO],DADOS!$V$3,tabela_registros[CATEGORIA],receitasfixasconsolidadojun[[#This Row],[ATUAL]])</f>
        <v>0</v>
      </c>
      <c r="W86" s="119" t="n">
        <f aca="false">SUMIFS(tabela_registros[VALOR],tabela_registros[MÊS],$AE$1,tabela_registros[DIA],receitasfixasconsolidadojun[[#Headers],[19]],tabela_registros[REGISTRO],DADOS!$N$3,tabela_registros[TIPO],DADOS!$V$3,tabela_registros[CATEGORIA],receitasfixasconsolidadojun[[#This Row],[ATUAL]])</f>
        <v>0</v>
      </c>
      <c r="X86" s="119" t="n">
        <f aca="false">SUMIFS(tabela_registros[VALOR],tabela_registros[MÊS],$AE$1,tabela_registros[DIA],receitasfixasconsolidadojun[[#Headers],[20]],tabela_registros[REGISTRO],DADOS!$N$3,tabela_registros[TIPO],DADOS!$V$3,tabela_registros[CATEGORIA],receitasfixasconsolidadojun[[#This Row],[ATUAL]])</f>
        <v>0</v>
      </c>
      <c r="Y86" s="119" t="n">
        <f aca="false">SUMIFS(tabela_registros[VALOR],tabela_registros[MÊS],$AE$1,tabela_registros[DIA],receitasfixasconsolidadojun[[#Headers],[21]],tabela_registros[REGISTRO],DADOS!$N$3,tabela_registros[TIPO],DADOS!$V$3,tabela_registros[CATEGORIA],receitasfixasconsolidadojun[[#This Row],[ATUAL]])</f>
        <v>0</v>
      </c>
      <c r="Z86" s="119" t="n">
        <f aca="false">SUMIFS(tabela_registros[VALOR],tabela_registros[MÊS],$AE$1,tabela_registros[DIA],receitasfixasconsolidadojun[[#Headers],[22]],tabela_registros[REGISTRO],DADOS!$N$3,tabela_registros[TIPO],DADOS!$V$3,tabela_registros[CATEGORIA],receitasfixasconsolidadojun[[#This Row],[ATUAL]])</f>
        <v>0</v>
      </c>
      <c r="AA86" s="119" t="n">
        <f aca="false">SUMIFS(tabela_registros[VALOR],tabela_registros[MÊS],$AE$1,tabela_registros[DIA],receitasfixasconsolidadojun[[#Headers],[23]],tabela_registros[REGISTRO],DADOS!$N$3,tabela_registros[TIPO],DADOS!$V$3,tabela_registros[CATEGORIA],receitasfixasconsolidadojun[[#This Row],[ATUAL]])</f>
        <v>0</v>
      </c>
      <c r="AB86" s="119" t="n">
        <f aca="false">SUMIFS(tabela_registros[VALOR],tabela_registros[MÊS],$AE$1,tabela_registros[DIA],receitasfixasconsolidadojun[[#Headers],[24]],tabela_registros[REGISTRO],DADOS!$N$3,tabela_registros[TIPO],DADOS!$V$3,tabela_registros[CATEGORIA],receitasfixasconsolidadojun[[#This Row],[ATUAL]])</f>
        <v>0</v>
      </c>
      <c r="AC86" s="119" t="n">
        <f aca="false">SUMIFS(tabela_registros[VALOR],tabela_registros[MÊS],$AE$1,tabela_registros[DIA],receitasfixasconsolidadojun[[#Headers],[25]],tabela_registros[REGISTRO],DADOS!$N$3,tabela_registros[TIPO],DADOS!$V$3,tabela_registros[CATEGORIA],receitasfixasconsolidadojun[[#This Row],[ATUAL]])</f>
        <v>0</v>
      </c>
      <c r="AD86" s="119" t="n">
        <f aca="false">SUMIFS(tabela_registros[VALOR],tabela_registros[MÊS],$AE$1,tabela_registros[DIA],receitasfixasconsolidadojun[[#Headers],[26]],tabela_registros[REGISTRO],DADOS!$N$3,tabela_registros[TIPO],DADOS!$V$3,tabela_registros[CATEGORIA],receitasfixasconsolidadojun[[#This Row],[ATUAL]])</f>
        <v>0</v>
      </c>
      <c r="AE86" s="119" t="n">
        <f aca="false">SUMIFS(tabela_registros[VALOR],tabela_registros[MÊS],$AE$1,tabela_registros[DIA],receitasfixasconsolidadojun[[#Headers],[27]],tabela_registros[REGISTRO],DADOS!$N$3,tabela_registros[TIPO],DADOS!$V$3,tabela_registros[CATEGORIA],receitasfixasconsolidadojun[[#This Row],[ATUAL]])</f>
        <v>0</v>
      </c>
      <c r="AF86" s="119" t="n">
        <f aca="false">SUMIFS(tabela_registros[VALOR],tabela_registros[MÊS],$AE$1,tabela_registros[DIA],receitasfixasconsolidadojun[[#Headers],[28]],tabela_registros[REGISTRO],DADOS!$N$3,tabela_registros[TIPO],DADOS!$V$3,tabela_registros[CATEGORIA],receitasfixasconsolidadojun[[#This Row],[ATUAL]])</f>
        <v>0</v>
      </c>
      <c r="AG86" s="119" t="n">
        <f aca="false">SUMIFS(tabela_registros[VALOR],tabela_registros[MÊS],$AE$1,tabela_registros[DIA],receitasfixasconsolidadojun[[#Headers],[29]],tabela_registros[REGISTRO],DADOS!$N$3,tabela_registros[TIPO],DADOS!$V$3,tabela_registros[CATEGORIA],receitasfixasconsolidadojun[[#This Row],[ATUAL]])</f>
        <v>0</v>
      </c>
      <c r="AH86" s="119" t="n">
        <f aca="false">SUMIFS(tabela_registros[VALOR],tabela_registros[MÊS],$AE$1,tabela_registros[DIA],receitasfixasconsolidadojun[[#Headers],[30]],tabela_registros[REGISTRO],DADOS!$N$3,tabela_registros[TIPO],DADOS!$V$3,tabela_registros[CATEGORIA],receitasfixasconsolidadojun[[#This Row],[ATUAL]])</f>
        <v>0</v>
      </c>
      <c r="AI86" s="218" t="n">
        <f aca="false">SUMIFS(tabela_registros[VALOR],tabela_registros[MÊS],$AE$1,tabela_registros[DIA],receitasfixasconsolidadojun[[#Headers],[31]],tabela_registros[REGISTRO],DADOS!$N$3,tabela_registros[TIPO],DADOS!$V$3,tabela_registros[CATEGORIA],receitasfixasconsolidadojun[[#This Row],[ATUAL]])</f>
        <v>0</v>
      </c>
      <c r="AJ86" s="149" t="n">
        <f aca="false">SUM(receitasfixasconsolidadojun[[#This Row],[1]:[31]])</f>
        <v>0</v>
      </c>
      <c r="AK86" s="165"/>
    </row>
    <row r="87" s="122" customFormat="true" ht="21" hidden="false" customHeight="true" outlineLevel="0" collapsed="false">
      <c r="B87" s="152"/>
      <c r="C87" s="153" t="s">
        <v>2</v>
      </c>
      <c r="D87" s="166"/>
      <c r="E87" s="155" t="n">
        <f aca="false">SUM(E82:E86)</f>
        <v>0</v>
      </c>
      <c r="F87" s="156" t="n">
        <f aca="false">SUM(F82:F86)+receitasfixasconsolidadojun[[#This Row],[1]]</f>
        <v>0</v>
      </c>
      <c r="G87" s="156" t="n">
        <f aca="false">SUM(G82:G86)+receitasfixasconsolidadojun[[#This Row],[2]]</f>
        <v>0</v>
      </c>
      <c r="H87" s="156" t="n">
        <f aca="false">SUM(H82:H86)+receitasfixasconsolidadojun[[#This Row],[3]]</f>
        <v>0</v>
      </c>
      <c r="I87" s="156" t="n">
        <f aca="false">SUM(I82:I86)+receitasfixasconsolidadojun[[#This Row],[4]]</f>
        <v>0</v>
      </c>
      <c r="J87" s="156" t="n">
        <f aca="false">SUM(J82:J86)+receitasfixasconsolidadojun[[#This Row],[5]]</f>
        <v>0</v>
      </c>
      <c r="K87" s="156" t="n">
        <f aca="false">SUM(K82:K86)+receitasfixasconsolidadojun[[#This Row],[6]]</f>
        <v>0</v>
      </c>
      <c r="L87" s="156" t="n">
        <f aca="false">SUM(L82:L86)+receitasfixasconsolidadojun[[#This Row],[7]]</f>
        <v>0</v>
      </c>
      <c r="M87" s="156" t="n">
        <f aca="false">SUM(M82:M86)+receitasfixasconsolidadojun[[#This Row],[8]]</f>
        <v>0</v>
      </c>
      <c r="N87" s="156" t="n">
        <f aca="false">SUM(N82:N86)+receitasfixasconsolidadojun[[#This Row],[9]]</f>
        <v>0</v>
      </c>
      <c r="O87" s="156" t="n">
        <f aca="false">SUM(O82:O86)+receitasfixasconsolidadojun[[#This Row],[10]]</f>
        <v>0</v>
      </c>
      <c r="P87" s="156" t="n">
        <f aca="false">SUM(P82:P86)+receitasfixasconsolidadojun[[#This Row],[11]]</f>
        <v>0</v>
      </c>
      <c r="Q87" s="156" t="n">
        <f aca="false">SUM(Q82:Q86)+receitasfixasconsolidadojun[[#This Row],[12]]</f>
        <v>0</v>
      </c>
      <c r="R87" s="156" t="n">
        <f aca="false">SUM(R82:R86)+receitasfixasconsolidadojun[[#This Row],[13]]</f>
        <v>0</v>
      </c>
      <c r="S87" s="156" t="n">
        <f aca="false">SUM(S82:S86)+receitasfixasconsolidadojun[[#This Row],[14]]</f>
        <v>0</v>
      </c>
      <c r="T87" s="156" t="n">
        <f aca="false">SUM(T82:T86)+receitasfixasconsolidadojun[[#This Row],[15]]</f>
        <v>0</v>
      </c>
      <c r="U87" s="156" t="n">
        <f aca="false">SUM(U82:U86)+receitasfixasconsolidadojun[[#This Row],[16]]</f>
        <v>0</v>
      </c>
      <c r="V87" s="156" t="n">
        <f aca="false">SUM(V82:V86)+receitasfixasconsolidadojun[[#This Row],[17]]</f>
        <v>0</v>
      </c>
      <c r="W87" s="156" t="n">
        <f aca="false">SUM(W82:W86)+receitasfixasconsolidadojun[[#This Row],[18]]</f>
        <v>0</v>
      </c>
      <c r="X87" s="156" t="n">
        <f aca="false">SUM(X82:X86)+receitasfixasconsolidadojun[[#This Row],[19]]</f>
        <v>0</v>
      </c>
      <c r="Y87" s="156" t="n">
        <f aca="false">SUM(Y82:Y86)+receitasfixasconsolidadojun[[#This Row],[20]]</f>
        <v>0</v>
      </c>
      <c r="Z87" s="156" t="n">
        <f aca="false">SUM(Z82:Z86)+receitasfixasconsolidadojun[[#This Row],[21]]</f>
        <v>0</v>
      </c>
      <c r="AA87" s="156" t="n">
        <f aca="false">SUM(AA82:AA86)+receitasfixasconsolidadojun[[#This Row],[22]]</f>
        <v>0</v>
      </c>
      <c r="AB87" s="156" t="n">
        <f aca="false">SUM(AB82:AB86)+receitasfixasconsolidadojun[[#This Row],[23]]</f>
        <v>0</v>
      </c>
      <c r="AC87" s="156" t="n">
        <f aca="false">SUM(AC82:AC86)+receitasfixasconsolidadojun[[#This Row],[24]]</f>
        <v>0</v>
      </c>
      <c r="AD87" s="156" t="n">
        <f aca="false">SUM(AD82:AD86)+receitasfixasconsolidadojun[[#This Row],[25]]</f>
        <v>0</v>
      </c>
      <c r="AE87" s="156" t="n">
        <f aca="false">SUM(AE82:AE86)+receitasfixasconsolidadojun[[#This Row],[26]]</f>
        <v>0</v>
      </c>
      <c r="AF87" s="156" t="n">
        <f aca="false">SUM(AF82:AF86)+receitasfixasconsolidadojun[[#This Row],[27]]</f>
        <v>0</v>
      </c>
      <c r="AG87" s="156" t="n">
        <f aca="false">SUM(AG82:AG86)+receitasfixasconsolidadojun[[#This Row],[28]]</f>
        <v>0</v>
      </c>
      <c r="AH87" s="156" t="n">
        <f aca="false">SUM(AH82:AH86)+receitasfixasconsolidadojun[[#This Row],[29]]</f>
        <v>0</v>
      </c>
      <c r="AI87" s="223" t="n">
        <f aca="false">SUM(AI82:AI86)+receitasfixasconsolidadojun[[#This Row],[30]]</f>
        <v>0</v>
      </c>
      <c r="AJ87" s="157" t="n">
        <f aca="false">receitasfixasconsolidadojun[[#This Row],[31]]</f>
        <v>0</v>
      </c>
      <c r="AK87" s="158"/>
    </row>
    <row r="88" customFormat="false" ht="6.75" hidden="false" customHeight="true" outlineLevel="0" collapsed="false">
      <c r="B88" s="97"/>
      <c r="C88" s="162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233"/>
      <c r="AJ88" s="164"/>
      <c r="AK88" s="244"/>
    </row>
    <row r="89" s="78" customFormat="true" ht="12.75" hidden="false" customHeight="false" outlineLevel="0" collapsed="false">
      <c r="E89" s="100"/>
    </row>
    <row r="90" s="78" customFormat="true" ht="12" hidden="false" customHeight="false" outlineLevel="0" collapsed="false"/>
    <row r="91" s="78" customFormat="true" ht="12" hidden="false" customHeight="false" outlineLevel="0" collapsed="false"/>
    <row r="92" customFormat="false" ht="39.75" hidden="false" customHeight="true" outlineLevel="0" collapsed="false">
      <c r="C92" s="101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3" t="s">
        <v>2</v>
      </c>
    </row>
    <row r="93" s="78" customFormat="true" ht="12.75" hidden="false" customHeight="false" outlineLevel="0" collapsed="false">
      <c r="B93" s="161"/>
      <c r="AJ93" s="106" t="s">
        <v>64</v>
      </c>
    </row>
    <row r="94" customFormat="false" ht="6.75" hidden="false" customHeight="true" outlineLevel="0" collapsed="false">
      <c r="B94" s="86"/>
      <c r="C94" s="162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233"/>
      <c r="AK94" s="139"/>
    </row>
    <row r="95" customFormat="false" ht="13.5" hidden="true" customHeight="false" outlineLevel="0" collapsed="false">
      <c r="B95" s="86"/>
      <c r="C95" s="109" t="s">
        <v>68</v>
      </c>
      <c r="D95" s="110" t="s">
        <v>69</v>
      </c>
      <c r="E95" s="110" t="s">
        <v>30</v>
      </c>
      <c r="F95" s="110" t="s">
        <v>31</v>
      </c>
      <c r="G95" s="110" t="s">
        <v>32</v>
      </c>
      <c r="H95" s="110" t="s">
        <v>33</v>
      </c>
      <c r="I95" s="110" t="s">
        <v>34</v>
      </c>
      <c r="J95" s="110" t="s">
        <v>35</v>
      </c>
      <c r="K95" s="110" t="s">
        <v>36</v>
      </c>
      <c r="L95" s="110" t="s">
        <v>37</v>
      </c>
      <c r="M95" s="110" t="s">
        <v>38</v>
      </c>
      <c r="N95" s="110" t="s">
        <v>39</v>
      </c>
      <c r="O95" s="110" t="s">
        <v>40</v>
      </c>
      <c r="P95" s="110" t="s">
        <v>41</v>
      </c>
      <c r="Q95" s="110" t="s">
        <v>81</v>
      </c>
      <c r="R95" s="110" t="s">
        <v>82</v>
      </c>
      <c r="S95" s="110" t="s">
        <v>83</v>
      </c>
      <c r="T95" s="110" t="s">
        <v>84</v>
      </c>
      <c r="U95" s="110" t="s">
        <v>85</v>
      </c>
      <c r="V95" s="110" t="s">
        <v>86</v>
      </c>
      <c r="W95" s="110" t="s">
        <v>87</v>
      </c>
      <c r="X95" s="110" t="s">
        <v>88</v>
      </c>
      <c r="Y95" s="110" t="s">
        <v>89</v>
      </c>
      <c r="Z95" s="110" t="s">
        <v>90</v>
      </c>
      <c r="AA95" s="110" t="s">
        <v>91</v>
      </c>
      <c r="AB95" s="110" t="s">
        <v>92</v>
      </c>
      <c r="AC95" s="110" t="s">
        <v>93</v>
      </c>
      <c r="AD95" s="110" t="s">
        <v>94</v>
      </c>
      <c r="AE95" s="110" t="s">
        <v>95</v>
      </c>
      <c r="AF95" s="110" t="s">
        <v>96</v>
      </c>
      <c r="AG95" s="110" t="s">
        <v>97</v>
      </c>
      <c r="AH95" s="110" t="s">
        <v>98</v>
      </c>
      <c r="AI95" s="110" t="s">
        <v>99</v>
      </c>
      <c r="AJ95" s="111" t="s">
        <v>70</v>
      </c>
      <c r="AK95" s="86"/>
    </row>
    <row r="96" customFormat="false" ht="19.5" hidden="false" customHeight="true" outlineLevel="0" collapsed="false">
      <c r="B96" s="143"/>
      <c r="C96" s="144" t="str">
        <f aca="false">DADOS!$Z$3</f>
        <v>🏅 BÔNUS</v>
      </c>
      <c r="D96" s="145" t="str">
        <f aca="false">IF(receitasvariáveisconsolidadojun[[#This Row],[TOTAL (R$)]]=0,"",IF(OR(receitasvariáveisconsolidadojun[[#This Row],[TOTAL (R$)]]=LARGE($AJ$96:$AJ$103,1),receitasvariáveisconsolidadojun[[#This Row],[TOTAL (R$)]]=LARGE($AJ$96:$AJ$103,2)),DADOS!$I$9,""))</f>
        <v/>
      </c>
      <c r="E96" s="148" t="n">
        <f aca="false">SUMIFS(tabela_registros[VALOR],tabela_registros[MÊS],$AE$1,tabela_registros[DIA],receitasvariáveisconsolidadojun[[#Headers],[1]],tabela_registros[REGISTRO],DADOS!$N$3,tabela_registros[TIPO],DADOS!$V$4,tabela_registros[CATEGORIA],receitasvariáveisconsolidadojun[[#This Row],[ATUAL]])</f>
        <v>0</v>
      </c>
      <c r="F96" s="119" t="n">
        <f aca="false">SUMIFS(tabela_registros[VALOR],tabela_registros[MÊS],$AE$1,tabela_registros[DIA],receitasvariáveisconsolidadojun[[#Headers],[2]],tabela_registros[REGISTRO],DADOS!$N$3,tabela_registros[TIPO],DADOS!$V$4,tabela_registros[CATEGORIA],receitasvariáveisconsolidadojun[[#This Row],[ATUAL]])</f>
        <v>0</v>
      </c>
      <c r="G96" s="119" t="n">
        <f aca="false">SUMIFS(tabela_registros[VALOR],tabela_registros[MÊS],$AE$1,tabela_registros[DIA],receitasvariáveisconsolidadojun[[#Headers],[3]],tabela_registros[REGISTRO],DADOS!$N$3,tabela_registros[TIPO],DADOS!$V$4,tabela_registros[CATEGORIA],receitasvariáveisconsolidadojun[[#This Row],[ATUAL]])</f>
        <v>0</v>
      </c>
      <c r="H96" s="119" t="n">
        <f aca="false">SUMIFS(tabela_registros[VALOR],tabela_registros[MÊS],$AE$1,tabela_registros[DIA],receitasvariáveisconsolidadojun[[#Headers],[4]],tabela_registros[REGISTRO],DADOS!$N$3,tabela_registros[TIPO],DADOS!$V$4,tabela_registros[CATEGORIA],receitasvariáveisconsolidadojun[[#This Row],[ATUAL]])</f>
        <v>0</v>
      </c>
      <c r="I96" s="119" t="n">
        <f aca="false">SUMIFS(tabela_registros[VALOR],tabela_registros[MÊS],$AE$1,tabela_registros[DIA],receitasvariáveisconsolidadojun[[#Headers],[5]],tabela_registros[REGISTRO],DADOS!$N$3,tabela_registros[TIPO],DADOS!$V$4,tabela_registros[CATEGORIA],receitasvariáveisconsolidadojun[[#This Row],[ATUAL]])</f>
        <v>0</v>
      </c>
      <c r="J96" s="119" t="n">
        <f aca="false">SUMIFS(tabela_registros[VALOR],tabela_registros[MÊS],$AE$1,tabela_registros[DIA],receitasvariáveisconsolidadojun[[#Headers],[6]],tabela_registros[REGISTRO],DADOS!$N$3,tabela_registros[TIPO],DADOS!$V$4,tabela_registros[CATEGORIA],receitasvariáveisconsolidadojun[[#This Row],[ATUAL]])</f>
        <v>0</v>
      </c>
      <c r="K96" s="119" t="n">
        <f aca="false">SUMIFS(tabela_registros[VALOR],tabela_registros[MÊS],$AE$1,tabela_registros[DIA],receitasvariáveisconsolidadojun[[#Headers],[7]],tabela_registros[REGISTRO],DADOS!$N$3,tabela_registros[TIPO],DADOS!$V$4,tabela_registros[CATEGORIA],receitasvariáveisconsolidadojun[[#This Row],[ATUAL]])</f>
        <v>0</v>
      </c>
      <c r="L96" s="119" t="n">
        <f aca="false">SUMIFS(tabela_registros[VALOR],tabela_registros[MÊS],$AE$1,tabela_registros[DIA],receitasvariáveisconsolidadojun[[#Headers],[8]],tabela_registros[REGISTRO],DADOS!$N$3,tabela_registros[TIPO],DADOS!$V$4,tabela_registros[CATEGORIA],receitasvariáveisconsolidadojun[[#This Row],[ATUAL]])</f>
        <v>0</v>
      </c>
      <c r="M96" s="119" t="n">
        <f aca="false">SUMIFS(tabela_registros[VALOR],tabela_registros[MÊS],$AE$1,tabela_registros[DIA],receitasvariáveisconsolidadojun[[#Headers],[9]],tabela_registros[REGISTRO],DADOS!$N$3,tabela_registros[TIPO],DADOS!$V$4,tabela_registros[CATEGORIA],receitasvariáveisconsolidadojun[[#This Row],[ATUAL]])</f>
        <v>0</v>
      </c>
      <c r="N96" s="119" t="n">
        <f aca="false">SUMIFS(tabela_registros[VALOR],tabela_registros[MÊS],$AE$1,tabela_registros[DIA],receitasvariáveisconsolidadojun[[#Headers],[10]],tabela_registros[REGISTRO],DADOS!$N$3,tabela_registros[TIPO],DADOS!$V$4,tabela_registros[CATEGORIA],receitasvariáveisconsolidadojun[[#This Row],[ATUAL]])</f>
        <v>0</v>
      </c>
      <c r="O96" s="119" t="n">
        <f aca="false">SUMIFS(tabela_registros[VALOR],tabela_registros[MÊS],$AE$1,tabela_registros[DIA],receitasvariáveisconsolidadojun[[#Headers],[11]],tabela_registros[REGISTRO],DADOS!$N$3,tabela_registros[TIPO],DADOS!$V$4,tabela_registros[CATEGORIA],receitasvariáveisconsolidadojun[[#This Row],[ATUAL]])</f>
        <v>0</v>
      </c>
      <c r="P96" s="119" t="n">
        <f aca="false">SUMIFS(tabela_registros[VALOR],tabela_registros[MÊS],$AE$1,tabela_registros[DIA],receitasvariáveisconsolidadojun[[#Headers],[12]],tabela_registros[REGISTRO],DADOS!$N$3,tabela_registros[TIPO],DADOS!$V$4,tabela_registros[CATEGORIA],receitasvariáveisconsolidadojun[[#This Row],[ATUAL]])</f>
        <v>0</v>
      </c>
      <c r="Q96" s="119" t="n">
        <f aca="false">SUMIFS(tabela_registros[VALOR],tabela_registros[MÊS],$AE$1,tabela_registros[DIA],receitasvariáveisconsolidadojun[[#Headers],[13]],tabela_registros[REGISTRO],DADOS!$N$3,tabela_registros[TIPO],DADOS!$V$4,tabela_registros[CATEGORIA],receitasvariáveisconsolidadojun[[#This Row],[ATUAL]])</f>
        <v>0</v>
      </c>
      <c r="R96" s="119" t="n">
        <f aca="false">SUMIFS(tabela_registros[VALOR],tabela_registros[MÊS],$AE$1,tabela_registros[DIA],receitasvariáveisconsolidadojun[[#Headers],[14]],tabela_registros[REGISTRO],DADOS!$N$3,tabela_registros[TIPO],DADOS!$V$4,tabela_registros[CATEGORIA],receitasvariáveisconsolidadojun[[#This Row],[ATUAL]])</f>
        <v>0</v>
      </c>
      <c r="S96" s="119" t="n">
        <f aca="false">SUMIFS(tabela_registros[VALOR],tabela_registros[MÊS],$AE$1,tabela_registros[DIA],receitasvariáveisconsolidadojun[[#Headers],[15]],tabela_registros[REGISTRO],DADOS!$N$3,tabela_registros[TIPO],DADOS!$V$4,tabela_registros[CATEGORIA],receitasvariáveisconsolidadojun[[#This Row],[ATUAL]])</f>
        <v>0</v>
      </c>
      <c r="T96" s="119" t="n">
        <f aca="false">SUMIFS(tabela_registros[VALOR],tabela_registros[MÊS],$AE$1,tabela_registros[DIA],receitasvariáveisconsolidadojun[[#Headers],[16]],tabela_registros[REGISTRO],DADOS!$N$3,tabela_registros[TIPO],DADOS!$V$4,tabela_registros[CATEGORIA],receitasvariáveisconsolidadojun[[#This Row],[ATUAL]])</f>
        <v>0</v>
      </c>
      <c r="U96" s="119" t="n">
        <f aca="false">SUMIFS(tabela_registros[VALOR],tabela_registros[MÊS],$AE$1,tabela_registros[DIA],receitasvariáveisconsolidadojun[[#Headers],[17]],tabela_registros[REGISTRO],DADOS!$N$3,tabela_registros[TIPO],DADOS!$V$4,tabela_registros[CATEGORIA],receitasvariáveisconsolidadojun[[#This Row],[ATUAL]])</f>
        <v>0</v>
      </c>
      <c r="V96" s="119" t="n">
        <f aca="false">SUMIFS(tabela_registros[VALOR],tabela_registros[MÊS],$AE$1,tabela_registros[DIA],receitasvariáveisconsolidadojun[[#Headers],[18]],tabela_registros[REGISTRO],DADOS!$N$3,tabela_registros[TIPO],DADOS!$V$4,tabela_registros[CATEGORIA],receitasvariáveisconsolidadojun[[#This Row],[ATUAL]])</f>
        <v>0</v>
      </c>
      <c r="W96" s="119" t="n">
        <f aca="false">SUMIFS(tabela_registros[VALOR],tabela_registros[MÊS],$AE$1,tabela_registros[DIA],receitasvariáveisconsolidadojun[[#Headers],[19]],tabela_registros[REGISTRO],DADOS!$N$3,tabela_registros[TIPO],DADOS!$V$4,tabela_registros[CATEGORIA],receitasvariáveisconsolidadojun[[#This Row],[ATUAL]])</f>
        <v>0</v>
      </c>
      <c r="X96" s="119" t="n">
        <f aca="false">SUMIFS(tabela_registros[VALOR],tabela_registros[MÊS],$AE$1,tabela_registros[DIA],receitasvariáveisconsolidadojun[[#Headers],[20]],tabela_registros[REGISTRO],DADOS!$N$3,tabela_registros[TIPO],DADOS!$V$4,tabela_registros[CATEGORIA],receitasvariáveisconsolidadojun[[#This Row],[ATUAL]])</f>
        <v>0</v>
      </c>
      <c r="Y96" s="119" t="n">
        <f aca="false">SUMIFS(tabela_registros[VALOR],tabela_registros[MÊS],$AE$1,tabela_registros[DIA],receitasvariáveisconsolidadojun[[#Headers],[21]],tabela_registros[REGISTRO],DADOS!$N$3,tabela_registros[TIPO],DADOS!$V$4,tabela_registros[CATEGORIA],receitasvariáveisconsolidadojun[[#This Row],[ATUAL]])</f>
        <v>0</v>
      </c>
      <c r="Z96" s="119" t="n">
        <f aca="false">SUMIFS(tabela_registros[VALOR],tabela_registros[MÊS],$AE$1,tabela_registros[DIA],receitasvariáveisconsolidadojun[[#Headers],[22]],tabela_registros[REGISTRO],DADOS!$N$3,tabela_registros[TIPO],DADOS!$V$4,tabela_registros[CATEGORIA],receitasvariáveisconsolidadojun[[#This Row],[ATUAL]])</f>
        <v>0</v>
      </c>
      <c r="AA96" s="119" t="n">
        <f aca="false">SUMIFS(tabela_registros[VALOR],tabela_registros[MÊS],$AE$1,tabela_registros[DIA],receitasvariáveisconsolidadojun[[#Headers],[23]],tabela_registros[REGISTRO],DADOS!$N$3,tabela_registros[TIPO],DADOS!$V$4,tabela_registros[CATEGORIA],receitasvariáveisconsolidadojun[[#This Row],[ATUAL]])</f>
        <v>0</v>
      </c>
      <c r="AB96" s="119" t="n">
        <f aca="false">SUMIFS(tabela_registros[VALOR],tabela_registros[MÊS],$AE$1,tabela_registros[DIA],receitasvariáveisconsolidadojun[[#Headers],[24]],tabela_registros[REGISTRO],DADOS!$N$3,tabela_registros[TIPO],DADOS!$V$4,tabela_registros[CATEGORIA],receitasvariáveisconsolidadojun[[#This Row],[ATUAL]])</f>
        <v>0</v>
      </c>
      <c r="AC96" s="119" t="n">
        <f aca="false">SUMIFS(tabela_registros[VALOR],tabela_registros[MÊS],$AE$1,tabela_registros[DIA],receitasvariáveisconsolidadojun[[#Headers],[25]],tabela_registros[REGISTRO],DADOS!$N$3,tabela_registros[TIPO],DADOS!$V$4,tabela_registros[CATEGORIA],receitasvariáveisconsolidadojun[[#This Row],[ATUAL]])</f>
        <v>0</v>
      </c>
      <c r="AD96" s="119" t="n">
        <f aca="false">SUMIFS(tabela_registros[VALOR],tabela_registros[MÊS],$AE$1,tabela_registros[DIA],receitasvariáveisconsolidadojun[[#Headers],[26]],tabela_registros[REGISTRO],DADOS!$N$3,tabela_registros[TIPO],DADOS!$V$4,tabela_registros[CATEGORIA],receitasvariáveisconsolidadojun[[#This Row],[ATUAL]])</f>
        <v>0</v>
      </c>
      <c r="AE96" s="119" t="n">
        <f aca="false">SUMIFS(tabela_registros[VALOR],tabela_registros[MÊS],$AE$1,tabela_registros[DIA],receitasvariáveisconsolidadojun[[#Headers],[27]],tabela_registros[REGISTRO],DADOS!$N$3,tabela_registros[TIPO],DADOS!$V$4,tabela_registros[CATEGORIA],receitasvariáveisconsolidadojun[[#This Row],[ATUAL]])</f>
        <v>0</v>
      </c>
      <c r="AF96" s="119" t="n">
        <f aca="false">SUMIFS(tabela_registros[VALOR],tabela_registros[MÊS],$AE$1,tabela_registros[DIA],receitasvariáveisconsolidadojun[[#Headers],[28]],tabela_registros[REGISTRO],DADOS!$N$3,tabela_registros[TIPO],DADOS!$V$4,tabela_registros[CATEGORIA],receitasvariáveisconsolidadojun[[#This Row],[ATUAL]])</f>
        <v>0</v>
      </c>
      <c r="AG96" s="119" t="n">
        <f aca="false">SUMIFS(tabela_registros[VALOR],tabela_registros[MÊS],$AE$1,tabela_registros[DIA],receitasvariáveisconsolidadojun[[#Headers],[29]],tabela_registros[REGISTRO],DADOS!$N$3,tabela_registros[TIPO],DADOS!$V$4,tabela_registros[CATEGORIA],receitasvariáveisconsolidadojun[[#This Row],[ATUAL]])</f>
        <v>0</v>
      </c>
      <c r="AH96" s="119" t="n">
        <f aca="false">SUMIFS(tabela_registros[VALOR],tabela_registros[MÊS],$AE$1,tabela_registros[DIA],receitasvariáveisconsolidadojun[[#Headers],[30]],tabela_registros[REGISTRO],DADOS!$N$3,tabela_registros[TIPO],DADOS!$V$4,tabela_registros[CATEGORIA],receitasvariáveisconsolidadojun[[#This Row],[ATUAL]])</f>
        <v>0</v>
      </c>
      <c r="AI96" s="217" t="n">
        <f aca="false">SUMIFS(tabela_registros[VALOR],tabela_registros[MÊS],$AE$1,tabela_registros[DIA],receitasvariáveisconsolidadojun[[#Headers],[31]],tabela_registros[REGISTRO],DADOS!$N$3,tabela_registros[TIPO],DADOS!$V$4,tabela_registros[CATEGORIA],receitasvariáveisconsolidadojun[[#This Row],[ATUAL]])</f>
        <v>0</v>
      </c>
      <c r="AJ96" s="149" t="n">
        <f aca="false">SUM(receitasvariáveisconsolidadojun[[#This Row],[1]:[31]])</f>
        <v>0</v>
      </c>
      <c r="AK96" s="165"/>
    </row>
    <row r="97" customFormat="false" ht="19.5" hidden="false" customHeight="true" outlineLevel="0" collapsed="false">
      <c r="B97" s="143"/>
      <c r="C97" s="144" t="str">
        <f aca="false">DADOS!$Z$4</f>
        <v>🤑 COMISSÃO</v>
      </c>
      <c r="D97" s="145" t="str">
        <f aca="false">IF(receitasvariáveisconsolidadojun[[#This Row],[TOTAL (R$)]]=0,"",IF(OR(receitasvariáveisconsolidadojun[[#This Row],[TOTAL (R$)]]=LARGE($AJ$96:$AJ$103,1),receitasvariáveisconsolidadojun[[#This Row],[TOTAL (R$)]]=LARGE($AJ$96:$AJ$103,2)),DADOS!$I$9,""))</f>
        <v/>
      </c>
      <c r="E97" s="148" t="n">
        <f aca="false">SUMIFS(tabela_registros[VALOR],tabela_registros[MÊS],$AE$1,tabela_registros[DIA],receitasvariáveisconsolidadojun[[#Headers],[1]],tabela_registros[REGISTRO],DADOS!$N$3,tabela_registros[TIPO],DADOS!$V$4,tabela_registros[CATEGORIA],receitasvariáveisconsolidadojun[[#This Row],[ATUAL]])</f>
        <v>0</v>
      </c>
      <c r="F97" s="119" t="n">
        <f aca="false">SUMIFS(tabela_registros[VALOR],tabela_registros[MÊS],$AE$1,tabela_registros[DIA],receitasvariáveisconsolidadojun[[#Headers],[2]],tabela_registros[REGISTRO],DADOS!$N$3,tabela_registros[TIPO],DADOS!$V$4,tabela_registros[CATEGORIA],receitasvariáveisconsolidadojun[[#This Row],[ATUAL]])</f>
        <v>0</v>
      </c>
      <c r="G97" s="119" t="n">
        <f aca="false">SUMIFS(tabela_registros[VALOR],tabela_registros[MÊS],$AE$1,tabela_registros[DIA],receitasvariáveisconsolidadojun[[#Headers],[3]],tabela_registros[REGISTRO],DADOS!$N$3,tabela_registros[TIPO],DADOS!$V$4,tabela_registros[CATEGORIA],receitasvariáveisconsolidadojun[[#This Row],[ATUAL]])</f>
        <v>0</v>
      </c>
      <c r="H97" s="119" t="n">
        <f aca="false">SUMIFS(tabela_registros[VALOR],tabela_registros[MÊS],$AE$1,tabela_registros[DIA],receitasvariáveisconsolidadojun[[#Headers],[4]],tabela_registros[REGISTRO],DADOS!$N$3,tabela_registros[TIPO],DADOS!$V$4,tabela_registros[CATEGORIA],receitasvariáveisconsolidadojun[[#This Row],[ATUAL]])</f>
        <v>0</v>
      </c>
      <c r="I97" s="119" t="n">
        <f aca="false">SUMIFS(tabela_registros[VALOR],tabela_registros[MÊS],$AE$1,tabela_registros[DIA],receitasvariáveisconsolidadojun[[#Headers],[5]],tabela_registros[REGISTRO],DADOS!$N$3,tabela_registros[TIPO],DADOS!$V$4,tabela_registros[CATEGORIA],receitasvariáveisconsolidadojun[[#This Row],[ATUAL]])</f>
        <v>0</v>
      </c>
      <c r="J97" s="119" t="n">
        <f aca="false">SUMIFS(tabela_registros[VALOR],tabela_registros[MÊS],$AE$1,tabela_registros[DIA],receitasvariáveisconsolidadojun[[#Headers],[6]],tabela_registros[REGISTRO],DADOS!$N$3,tabela_registros[TIPO],DADOS!$V$4,tabela_registros[CATEGORIA],receitasvariáveisconsolidadojun[[#This Row],[ATUAL]])</f>
        <v>0</v>
      </c>
      <c r="K97" s="119" t="n">
        <f aca="false">SUMIFS(tabela_registros[VALOR],tabela_registros[MÊS],$AE$1,tabela_registros[DIA],receitasvariáveisconsolidadojun[[#Headers],[7]],tabela_registros[REGISTRO],DADOS!$N$3,tabela_registros[TIPO],DADOS!$V$4,tabela_registros[CATEGORIA],receitasvariáveisconsolidadojun[[#This Row],[ATUAL]])</f>
        <v>0</v>
      </c>
      <c r="L97" s="119" t="n">
        <f aca="false">SUMIFS(tabela_registros[VALOR],tabela_registros[MÊS],$AE$1,tabela_registros[DIA],receitasvariáveisconsolidadojun[[#Headers],[8]],tabela_registros[REGISTRO],DADOS!$N$3,tabela_registros[TIPO],DADOS!$V$4,tabela_registros[CATEGORIA],receitasvariáveisconsolidadojun[[#This Row],[ATUAL]])</f>
        <v>0</v>
      </c>
      <c r="M97" s="119" t="n">
        <f aca="false">SUMIFS(tabela_registros[VALOR],tabela_registros[MÊS],$AE$1,tabela_registros[DIA],receitasvariáveisconsolidadojun[[#Headers],[9]],tabela_registros[REGISTRO],DADOS!$N$3,tabela_registros[TIPO],DADOS!$V$4,tabela_registros[CATEGORIA],receitasvariáveisconsolidadojun[[#This Row],[ATUAL]])</f>
        <v>0</v>
      </c>
      <c r="N97" s="119" t="n">
        <f aca="false">SUMIFS(tabela_registros[VALOR],tabela_registros[MÊS],$AE$1,tabela_registros[DIA],receitasvariáveisconsolidadojun[[#Headers],[10]],tabela_registros[REGISTRO],DADOS!$N$3,tabela_registros[TIPO],DADOS!$V$4,tabela_registros[CATEGORIA],receitasvariáveisconsolidadojun[[#This Row],[ATUAL]])</f>
        <v>0</v>
      </c>
      <c r="O97" s="119" t="n">
        <f aca="false">SUMIFS(tabela_registros[VALOR],tabela_registros[MÊS],$AE$1,tabela_registros[DIA],receitasvariáveisconsolidadojun[[#Headers],[11]],tabela_registros[REGISTRO],DADOS!$N$3,tabela_registros[TIPO],DADOS!$V$4,tabela_registros[CATEGORIA],receitasvariáveisconsolidadojun[[#This Row],[ATUAL]])</f>
        <v>0</v>
      </c>
      <c r="P97" s="119" t="n">
        <f aca="false">SUMIFS(tabela_registros[VALOR],tabela_registros[MÊS],$AE$1,tabela_registros[DIA],receitasvariáveisconsolidadojun[[#Headers],[12]],tabela_registros[REGISTRO],DADOS!$N$3,tabela_registros[TIPO],DADOS!$V$4,tabela_registros[CATEGORIA],receitasvariáveisconsolidadojun[[#This Row],[ATUAL]])</f>
        <v>0</v>
      </c>
      <c r="Q97" s="119" t="n">
        <f aca="false">SUMIFS(tabela_registros[VALOR],tabela_registros[MÊS],$AE$1,tabela_registros[DIA],receitasvariáveisconsolidadojun[[#Headers],[13]],tabela_registros[REGISTRO],DADOS!$N$3,tabela_registros[TIPO],DADOS!$V$4,tabela_registros[CATEGORIA],receitasvariáveisconsolidadojun[[#This Row],[ATUAL]])</f>
        <v>0</v>
      </c>
      <c r="R97" s="119" t="n">
        <f aca="false">SUMIFS(tabela_registros[VALOR],tabela_registros[MÊS],$AE$1,tabela_registros[DIA],receitasvariáveisconsolidadojun[[#Headers],[14]],tabela_registros[REGISTRO],DADOS!$N$3,tabela_registros[TIPO],DADOS!$V$4,tabela_registros[CATEGORIA],receitasvariáveisconsolidadojun[[#This Row],[ATUAL]])</f>
        <v>0</v>
      </c>
      <c r="S97" s="119" t="n">
        <f aca="false">SUMIFS(tabela_registros[VALOR],tabela_registros[MÊS],$AE$1,tabela_registros[DIA],receitasvariáveisconsolidadojun[[#Headers],[15]],tabela_registros[REGISTRO],DADOS!$N$3,tabela_registros[TIPO],DADOS!$V$4,tabela_registros[CATEGORIA],receitasvariáveisconsolidadojun[[#This Row],[ATUAL]])</f>
        <v>0</v>
      </c>
      <c r="T97" s="119" t="n">
        <f aca="false">SUMIFS(tabela_registros[VALOR],tabela_registros[MÊS],$AE$1,tabela_registros[DIA],receitasvariáveisconsolidadojun[[#Headers],[16]],tabela_registros[REGISTRO],DADOS!$N$3,tabela_registros[TIPO],DADOS!$V$4,tabela_registros[CATEGORIA],receitasvariáveisconsolidadojun[[#This Row],[ATUAL]])</f>
        <v>0</v>
      </c>
      <c r="U97" s="119" t="n">
        <f aca="false">SUMIFS(tabela_registros[VALOR],tabela_registros[MÊS],$AE$1,tabela_registros[DIA],receitasvariáveisconsolidadojun[[#Headers],[17]],tabela_registros[REGISTRO],DADOS!$N$3,tabela_registros[TIPO],DADOS!$V$4,tabela_registros[CATEGORIA],receitasvariáveisconsolidadojun[[#This Row],[ATUAL]])</f>
        <v>0</v>
      </c>
      <c r="V97" s="119" t="n">
        <f aca="false">SUMIFS(tabela_registros[VALOR],tabela_registros[MÊS],$AE$1,tabela_registros[DIA],receitasvariáveisconsolidadojun[[#Headers],[18]],tabela_registros[REGISTRO],DADOS!$N$3,tabela_registros[TIPO],DADOS!$V$4,tabela_registros[CATEGORIA],receitasvariáveisconsolidadojun[[#This Row],[ATUAL]])</f>
        <v>0</v>
      </c>
      <c r="W97" s="119" t="n">
        <f aca="false">SUMIFS(tabela_registros[VALOR],tabela_registros[MÊS],$AE$1,tabela_registros[DIA],receitasvariáveisconsolidadojun[[#Headers],[19]],tabela_registros[REGISTRO],DADOS!$N$3,tabela_registros[TIPO],DADOS!$V$4,tabela_registros[CATEGORIA],receitasvariáveisconsolidadojun[[#This Row],[ATUAL]])</f>
        <v>0</v>
      </c>
      <c r="X97" s="119" t="n">
        <f aca="false">SUMIFS(tabela_registros[VALOR],tabela_registros[MÊS],$AE$1,tabela_registros[DIA],receitasvariáveisconsolidadojun[[#Headers],[20]],tabela_registros[REGISTRO],DADOS!$N$3,tabela_registros[TIPO],DADOS!$V$4,tabela_registros[CATEGORIA],receitasvariáveisconsolidadojun[[#This Row],[ATUAL]])</f>
        <v>0</v>
      </c>
      <c r="Y97" s="119" t="n">
        <f aca="false">SUMIFS(tabela_registros[VALOR],tabela_registros[MÊS],$AE$1,tabela_registros[DIA],receitasvariáveisconsolidadojun[[#Headers],[21]],tabela_registros[REGISTRO],DADOS!$N$3,tabela_registros[TIPO],DADOS!$V$4,tabela_registros[CATEGORIA],receitasvariáveisconsolidadojun[[#This Row],[ATUAL]])</f>
        <v>0</v>
      </c>
      <c r="Z97" s="119" t="n">
        <f aca="false">SUMIFS(tabela_registros[VALOR],tabela_registros[MÊS],$AE$1,tabela_registros[DIA],receitasvariáveisconsolidadojun[[#Headers],[22]],tabela_registros[REGISTRO],DADOS!$N$3,tabela_registros[TIPO],DADOS!$V$4,tabela_registros[CATEGORIA],receitasvariáveisconsolidadojun[[#This Row],[ATUAL]])</f>
        <v>0</v>
      </c>
      <c r="AA97" s="119" t="n">
        <f aca="false">SUMIFS(tabela_registros[VALOR],tabela_registros[MÊS],$AE$1,tabela_registros[DIA],receitasvariáveisconsolidadojun[[#Headers],[23]],tabela_registros[REGISTRO],DADOS!$N$3,tabela_registros[TIPO],DADOS!$V$4,tabela_registros[CATEGORIA],receitasvariáveisconsolidadojun[[#This Row],[ATUAL]])</f>
        <v>0</v>
      </c>
      <c r="AB97" s="119" t="n">
        <f aca="false">SUMIFS(tabela_registros[VALOR],tabela_registros[MÊS],$AE$1,tabela_registros[DIA],receitasvariáveisconsolidadojun[[#Headers],[24]],tabela_registros[REGISTRO],DADOS!$N$3,tabela_registros[TIPO],DADOS!$V$4,tabela_registros[CATEGORIA],receitasvariáveisconsolidadojun[[#This Row],[ATUAL]])</f>
        <v>0</v>
      </c>
      <c r="AC97" s="119" t="n">
        <f aca="false">SUMIFS(tabela_registros[VALOR],tabela_registros[MÊS],$AE$1,tabela_registros[DIA],receitasvariáveisconsolidadojun[[#Headers],[25]],tabela_registros[REGISTRO],DADOS!$N$3,tabela_registros[TIPO],DADOS!$V$4,tabela_registros[CATEGORIA],receitasvariáveisconsolidadojun[[#This Row],[ATUAL]])</f>
        <v>0</v>
      </c>
      <c r="AD97" s="119" t="n">
        <f aca="false">SUMIFS(tabela_registros[VALOR],tabela_registros[MÊS],$AE$1,tabela_registros[DIA],receitasvariáveisconsolidadojun[[#Headers],[26]],tabela_registros[REGISTRO],DADOS!$N$3,tabela_registros[TIPO],DADOS!$V$4,tabela_registros[CATEGORIA],receitasvariáveisconsolidadojun[[#This Row],[ATUAL]])</f>
        <v>0</v>
      </c>
      <c r="AE97" s="119" t="n">
        <f aca="false">SUMIFS(tabela_registros[VALOR],tabela_registros[MÊS],$AE$1,tabela_registros[DIA],receitasvariáveisconsolidadojun[[#Headers],[27]],tabela_registros[REGISTRO],DADOS!$N$3,tabela_registros[TIPO],DADOS!$V$4,tabela_registros[CATEGORIA],receitasvariáveisconsolidadojun[[#This Row],[ATUAL]])</f>
        <v>0</v>
      </c>
      <c r="AF97" s="119" t="n">
        <f aca="false">SUMIFS(tabela_registros[VALOR],tabela_registros[MÊS],$AE$1,tabela_registros[DIA],receitasvariáveisconsolidadojun[[#Headers],[28]],tabela_registros[REGISTRO],DADOS!$N$3,tabela_registros[TIPO],DADOS!$V$4,tabela_registros[CATEGORIA],receitasvariáveisconsolidadojun[[#This Row],[ATUAL]])</f>
        <v>0</v>
      </c>
      <c r="AG97" s="119" t="n">
        <f aca="false">SUMIFS(tabela_registros[VALOR],tabela_registros[MÊS],$AE$1,tabela_registros[DIA],receitasvariáveisconsolidadojun[[#Headers],[29]],tabela_registros[REGISTRO],DADOS!$N$3,tabela_registros[TIPO],DADOS!$V$4,tabela_registros[CATEGORIA],receitasvariáveisconsolidadojun[[#This Row],[ATUAL]])</f>
        <v>0</v>
      </c>
      <c r="AH97" s="119" t="n">
        <f aca="false">SUMIFS(tabela_registros[VALOR],tabela_registros[MÊS],$AE$1,tabela_registros[DIA],receitasvariáveisconsolidadojun[[#Headers],[30]],tabela_registros[REGISTRO],DADOS!$N$3,tabela_registros[TIPO],DADOS!$V$4,tabela_registros[CATEGORIA],receitasvariáveisconsolidadojun[[#This Row],[ATUAL]])</f>
        <v>0</v>
      </c>
      <c r="AI97" s="217" t="n">
        <f aca="false">SUMIFS(tabela_registros[VALOR],tabela_registros[MÊS],$AE$1,tabela_registros[DIA],receitasvariáveisconsolidadojun[[#Headers],[31]],tabela_registros[REGISTRO],DADOS!$N$3,tabela_registros[TIPO],DADOS!$V$4,tabela_registros[CATEGORIA],receitasvariáveisconsolidadojun[[#This Row],[ATUAL]])</f>
        <v>0</v>
      </c>
      <c r="AJ97" s="149" t="n">
        <f aca="false">SUM(receitasvariáveisconsolidadojun[[#This Row],[1]:[31]])</f>
        <v>0</v>
      </c>
      <c r="AK97" s="165"/>
    </row>
    <row r="98" customFormat="false" ht="19.5" hidden="false" customHeight="true" outlineLevel="0" collapsed="false">
      <c r="B98" s="143"/>
      <c r="C98" s="144" t="str">
        <f aca="false">DADOS!$Z$5</f>
        <v>🎗️ HERANÇA</v>
      </c>
      <c r="D98" s="145" t="str">
        <f aca="false">IF(receitasvariáveisconsolidadojun[[#This Row],[TOTAL (R$)]]=0,"",IF(OR(receitasvariáveisconsolidadojun[[#This Row],[TOTAL (R$)]]=LARGE($AJ$96:$AJ$103,1),receitasvariáveisconsolidadojun[[#This Row],[TOTAL (R$)]]=LARGE($AJ$96:$AJ$103,2)),DADOS!$I$9,""))</f>
        <v/>
      </c>
      <c r="E98" s="148" t="n">
        <f aca="false">SUMIFS(tabela_registros[VALOR],tabela_registros[MÊS],$AE$1,tabela_registros[DIA],receitasvariáveisconsolidadojun[[#Headers],[1]],tabela_registros[REGISTRO],DADOS!$N$3,tabela_registros[TIPO],DADOS!$V$4,tabela_registros[CATEGORIA],receitasvariáveisconsolidadojun[[#This Row],[ATUAL]])</f>
        <v>0</v>
      </c>
      <c r="F98" s="119" t="n">
        <f aca="false">SUMIFS(tabela_registros[VALOR],tabela_registros[MÊS],$AE$1,tabela_registros[DIA],receitasvariáveisconsolidadojun[[#Headers],[2]],tabela_registros[REGISTRO],DADOS!$N$3,tabela_registros[TIPO],DADOS!$V$4,tabela_registros[CATEGORIA],receitasvariáveisconsolidadojun[[#This Row],[ATUAL]])</f>
        <v>0</v>
      </c>
      <c r="G98" s="119" t="n">
        <f aca="false">SUMIFS(tabela_registros[VALOR],tabela_registros[MÊS],$AE$1,tabela_registros[DIA],receitasvariáveisconsolidadojun[[#Headers],[3]],tabela_registros[REGISTRO],DADOS!$N$3,tabela_registros[TIPO],DADOS!$V$4,tabela_registros[CATEGORIA],receitasvariáveisconsolidadojun[[#This Row],[ATUAL]])</f>
        <v>0</v>
      </c>
      <c r="H98" s="119" t="n">
        <f aca="false">SUMIFS(tabela_registros[VALOR],tabela_registros[MÊS],$AE$1,tabela_registros[DIA],receitasvariáveisconsolidadojun[[#Headers],[4]],tabela_registros[REGISTRO],DADOS!$N$3,tabela_registros[TIPO],DADOS!$V$4,tabela_registros[CATEGORIA],receitasvariáveisconsolidadojun[[#This Row],[ATUAL]])</f>
        <v>0</v>
      </c>
      <c r="I98" s="119" t="n">
        <f aca="false">SUMIFS(tabela_registros[VALOR],tabela_registros[MÊS],$AE$1,tabela_registros[DIA],receitasvariáveisconsolidadojun[[#Headers],[5]],tabela_registros[REGISTRO],DADOS!$N$3,tabela_registros[TIPO],DADOS!$V$4,tabela_registros[CATEGORIA],receitasvariáveisconsolidadojun[[#This Row],[ATUAL]])</f>
        <v>0</v>
      </c>
      <c r="J98" s="119" t="n">
        <f aca="false">SUMIFS(tabela_registros[VALOR],tabela_registros[MÊS],$AE$1,tabela_registros[DIA],receitasvariáveisconsolidadojun[[#Headers],[6]],tabela_registros[REGISTRO],DADOS!$N$3,tabela_registros[TIPO],DADOS!$V$4,tabela_registros[CATEGORIA],receitasvariáveisconsolidadojun[[#This Row],[ATUAL]])</f>
        <v>0</v>
      </c>
      <c r="K98" s="119" t="n">
        <f aca="false">SUMIFS(tabela_registros[VALOR],tabela_registros[MÊS],$AE$1,tabela_registros[DIA],receitasvariáveisconsolidadojun[[#Headers],[7]],tabela_registros[REGISTRO],DADOS!$N$3,tabela_registros[TIPO],DADOS!$V$4,tabela_registros[CATEGORIA],receitasvariáveisconsolidadojun[[#This Row],[ATUAL]])</f>
        <v>0</v>
      </c>
      <c r="L98" s="119" t="n">
        <f aca="false">SUMIFS(tabela_registros[VALOR],tabela_registros[MÊS],$AE$1,tabela_registros[DIA],receitasvariáveisconsolidadojun[[#Headers],[8]],tabela_registros[REGISTRO],DADOS!$N$3,tabela_registros[TIPO],DADOS!$V$4,tabela_registros[CATEGORIA],receitasvariáveisconsolidadojun[[#This Row],[ATUAL]])</f>
        <v>0</v>
      </c>
      <c r="M98" s="119" t="n">
        <f aca="false">SUMIFS(tabela_registros[VALOR],tabela_registros[MÊS],$AE$1,tabela_registros[DIA],receitasvariáveisconsolidadojun[[#Headers],[9]],tabela_registros[REGISTRO],DADOS!$N$3,tabela_registros[TIPO],DADOS!$V$4,tabela_registros[CATEGORIA],receitasvariáveisconsolidadojun[[#This Row],[ATUAL]])</f>
        <v>0</v>
      </c>
      <c r="N98" s="119" t="n">
        <f aca="false">SUMIFS(tabela_registros[VALOR],tabela_registros[MÊS],$AE$1,tabela_registros[DIA],receitasvariáveisconsolidadojun[[#Headers],[10]],tabela_registros[REGISTRO],DADOS!$N$3,tabela_registros[TIPO],DADOS!$V$4,tabela_registros[CATEGORIA],receitasvariáveisconsolidadojun[[#This Row],[ATUAL]])</f>
        <v>0</v>
      </c>
      <c r="O98" s="119" t="n">
        <f aca="false">SUMIFS(tabela_registros[VALOR],tabela_registros[MÊS],$AE$1,tabela_registros[DIA],receitasvariáveisconsolidadojun[[#Headers],[11]],tabela_registros[REGISTRO],DADOS!$N$3,tabela_registros[TIPO],DADOS!$V$4,tabela_registros[CATEGORIA],receitasvariáveisconsolidadojun[[#This Row],[ATUAL]])</f>
        <v>0</v>
      </c>
      <c r="P98" s="119" t="n">
        <f aca="false">SUMIFS(tabela_registros[VALOR],tabela_registros[MÊS],$AE$1,tabela_registros[DIA],receitasvariáveisconsolidadojun[[#Headers],[12]],tabela_registros[REGISTRO],DADOS!$N$3,tabela_registros[TIPO],DADOS!$V$4,tabela_registros[CATEGORIA],receitasvariáveisconsolidadojun[[#This Row],[ATUAL]])</f>
        <v>0</v>
      </c>
      <c r="Q98" s="119" t="n">
        <f aca="false">SUMIFS(tabela_registros[VALOR],tabela_registros[MÊS],$AE$1,tabela_registros[DIA],receitasvariáveisconsolidadojun[[#Headers],[13]],tabela_registros[REGISTRO],DADOS!$N$3,tabela_registros[TIPO],DADOS!$V$4,tabela_registros[CATEGORIA],receitasvariáveisconsolidadojun[[#This Row],[ATUAL]])</f>
        <v>0</v>
      </c>
      <c r="R98" s="119" t="n">
        <f aca="false">SUMIFS(tabela_registros[VALOR],tabela_registros[MÊS],$AE$1,tabela_registros[DIA],receitasvariáveisconsolidadojun[[#Headers],[14]],tabela_registros[REGISTRO],DADOS!$N$3,tabela_registros[TIPO],DADOS!$V$4,tabela_registros[CATEGORIA],receitasvariáveisconsolidadojun[[#This Row],[ATUAL]])</f>
        <v>0</v>
      </c>
      <c r="S98" s="119" t="n">
        <f aca="false">SUMIFS(tabela_registros[VALOR],tabela_registros[MÊS],$AE$1,tabela_registros[DIA],receitasvariáveisconsolidadojun[[#Headers],[15]],tabela_registros[REGISTRO],DADOS!$N$3,tabela_registros[TIPO],DADOS!$V$4,tabela_registros[CATEGORIA],receitasvariáveisconsolidadojun[[#This Row],[ATUAL]])</f>
        <v>0</v>
      </c>
      <c r="T98" s="119" t="n">
        <f aca="false">SUMIFS(tabela_registros[VALOR],tabela_registros[MÊS],$AE$1,tabela_registros[DIA],receitasvariáveisconsolidadojun[[#Headers],[16]],tabela_registros[REGISTRO],DADOS!$N$3,tabela_registros[TIPO],DADOS!$V$4,tabela_registros[CATEGORIA],receitasvariáveisconsolidadojun[[#This Row],[ATUAL]])</f>
        <v>0</v>
      </c>
      <c r="U98" s="119" t="n">
        <f aca="false">SUMIFS(tabela_registros[VALOR],tabela_registros[MÊS],$AE$1,tabela_registros[DIA],receitasvariáveisconsolidadojun[[#Headers],[17]],tabela_registros[REGISTRO],DADOS!$N$3,tabela_registros[TIPO],DADOS!$V$4,tabela_registros[CATEGORIA],receitasvariáveisconsolidadojun[[#This Row],[ATUAL]])</f>
        <v>0</v>
      </c>
      <c r="V98" s="119" t="n">
        <f aca="false">SUMIFS(tabela_registros[VALOR],tabela_registros[MÊS],$AE$1,tabela_registros[DIA],receitasvariáveisconsolidadojun[[#Headers],[18]],tabela_registros[REGISTRO],DADOS!$N$3,tabela_registros[TIPO],DADOS!$V$4,tabela_registros[CATEGORIA],receitasvariáveisconsolidadojun[[#This Row],[ATUAL]])</f>
        <v>0</v>
      </c>
      <c r="W98" s="119" t="n">
        <f aca="false">SUMIFS(tabela_registros[VALOR],tabela_registros[MÊS],$AE$1,tabela_registros[DIA],receitasvariáveisconsolidadojun[[#Headers],[19]],tabela_registros[REGISTRO],DADOS!$N$3,tabela_registros[TIPO],DADOS!$V$4,tabela_registros[CATEGORIA],receitasvariáveisconsolidadojun[[#This Row],[ATUAL]])</f>
        <v>0</v>
      </c>
      <c r="X98" s="119" t="n">
        <f aca="false">SUMIFS(tabela_registros[VALOR],tabela_registros[MÊS],$AE$1,tabela_registros[DIA],receitasvariáveisconsolidadojun[[#Headers],[20]],tabela_registros[REGISTRO],DADOS!$N$3,tabela_registros[TIPO],DADOS!$V$4,tabela_registros[CATEGORIA],receitasvariáveisconsolidadojun[[#This Row],[ATUAL]])</f>
        <v>0</v>
      </c>
      <c r="Y98" s="119" t="n">
        <f aca="false">SUMIFS(tabela_registros[VALOR],tabela_registros[MÊS],$AE$1,tabela_registros[DIA],receitasvariáveisconsolidadojun[[#Headers],[21]],tabela_registros[REGISTRO],DADOS!$N$3,tabela_registros[TIPO],DADOS!$V$4,tabela_registros[CATEGORIA],receitasvariáveisconsolidadojun[[#This Row],[ATUAL]])</f>
        <v>0</v>
      </c>
      <c r="Z98" s="119" t="n">
        <f aca="false">SUMIFS(tabela_registros[VALOR],tabela_registros[MÊS],$AE$1,tabela_registros[DIA],receitasvariáveisconsolidadojun[[#Headers],[22]],tabela_registros[REGISTRO],DADOS!$N$3,tabela_registros[TIPO],DADOS!$V$4,tabela_registros[CATEGORIA],receitasvariáveisconsolidadojun[[#This Row],[ATUAL]])</f>
        <v>0</v>
      </c>
      <c r="AA98" s="119" t="n">
        <f aca="false">SUMIFS(tabela_registros[VALOR],tabela_registros[MÊS],$AE$1,tabela_registros[DIA],receitasvariáveisconsolidadojun[[#Headers],[23]],tabela_registros[REGISTRO],DADOS!$N$3,tabela_registros[TIPO],DADOS!$V$4,tabela_registros[CATEGORIA],receitasvariáveisconsolidadojun[[#This Row],[ATUAL]])</f>
        <v>0</v>
      </c>
      <c r="AB98" s="119" t="n">
        <f aca="false">SUMIFS(tabela_registros[VALOR],tabela_registros[MÊS],$AE$1,tabela_registros[DIA],receitasvariáveisconsolidadojun[[#Headers],[24]],tabela_registros[REGISTRO],DADOS!$N$3,tabela_registros[TIPO],DADOS!$V$4,tabela_registros[CATEGORIA],receitasvariáveisconsolidadojun[[#This Row],[ATUAL]])</f>
        <v>0</v>
      </c>
      <c r="AC98" s="119" t="n">
        <f aca="false">SUMIFS(tabela_registros[VALOR],tabela_registros[MÊS],$AE$1,tabela_registros[DIA],receitasvariáveisconsolidadojun[[#Headers],[25]],tabela_registros[REGISTRO],DADOS!$N$3,tabela_registros[TIPO],DADOS!$V$4,tabela_registros[CATEGORIA],receitasvariáveisconsolidadojun[[#This Row],[ATUAL]])</f>
        <v>0</v>
      </c>
      <c r="AD98" s="119" t="n">
        <f aca="false">SUMIFS(tabela_registros[VALOR],tabela_registros[MÊS],$AE$1,tabela_registros[DIA],receitasvariáveisconsolidadojun[[#Headers],[26]],tabela_registros[REGISTRO],DADOS!$N$3,tabela_registros[TIPO],DADOS!$V$4,tabela_registros[CATEGORIA],receitasvariáveisconsolidadojun[[#This Row],[ATUAL]])</f>
        <v>0</v>
      </c>
      <c r="AE98" s="119" t="n">
        <f aca="false">SUMIFS(tabela_registros[VALOR],tabela_registros[MÊS],$AE$1,tabela_registros[DIA],receitasvariáveisconsolidadojun[[#Headers],[27]],tabela_registros[REGISTRO],DADOS!$N$3,tabela_registros[TIPO],DADOS!$V$4,tabela_registros[CATEGORIA],receitasvariáveisconsolidadojun[[#This Row],[ATUAL]])</f>
        <v>0</v>
      </c>
      <c r="AF98" s="119" t="n">
        <f aca="false">SUMIFS(tabela_registros[VALOR],tabela_registros[MÊS],$AE$1,tabela_registros[DIA],receitasvariáveisconsolidadojun[[#Headers],[28]],tabela_registros[REGISTRO],DADOS!$N$3,tabela_registros[TIPO],DADOS!$V$4,tabela_registros[CATEGORIA],receitasvariáveisconsolidadojun[[#This Row],[ATUAL]])</f>
        <v>0</v>
      </c>
      <c r="AG98" s="119" t="n">
        <f aca="false">SUMIFS(tabela_registros[VALOR],tabela_registros[MÊS],$AE$1,tabela_registros[DIA],receitasvariáveisconsolidadojun[[#Headers],[29]],tabela_registros[REGISTRO],DADOS!$N$3,tabela_registros[TIPO],DADOS!$V$4,tabela_registros[CATEGORIA],receitasvariáveisconsolidadojun[[#This Row],[ATUAL]])</f>
        <v>0</v>
      </c>
      <c r="AH98" s="119" t="n">
        <f aca="false">SUMIFS(tabela_registros[VALOR],tabela_registros[MÊS],$AE$1,tabela_registros[DIA],receitasvariáveisconsolidadojun[[#Headers],[30]],tabela_registros[REGISTRO],DADOS!$N$3,tabela_registros[TIPO],DADOS!$V$4,tabela_registros[CATEGORIA],receitasvariáveisconsolidadojun[[#This Row],[ATUAL]])</f>
        <v>0</v>
      </c>
      <c r="AI98" s="217" t="n">
        <f aca="false">SUMIFS(tabela_registros[VALOR],tabela_registros[MÊS],$AE$1,tabela_registros[DIA],receitasvariáveisconsolidadojun[[#Headers],[31]],tabela_registros[REGISTRO],DADOS!$N$3,tabela_registros[TIPO],DADOS!$V$4,tabela_registros[CATEGORIA],receitasvariáveisconsolidadojun[[#This Row],[ATUAL]])</f>
        <v>0</v>
      </c>
      <c r="AJ98" s="149" t="n">
        <f aca="false">SUM(receitasvariáveisconsolidadojun[[#This Row],[1]:[31]])</f>
        <v>0</v>
      </c>
      <c r="AK98" s="165"/>
    </row>
    <row r="99" customFormat="false" ht="19.5" hidden="false" customHeight="true" outlineLevel="0" collapsed="false">
      <c r="B99" s="143"/>
      <c r="C99" s="144" t="str">
        <f aca="false">DADOS!$Z$6</f>
        <v>💲 INVESTIMENTOS</v>
      </c>
      <c r="D99" s="145" t="str">
        <f aca="false">IF(receitasvariáveisconsolidadojun[[#This Row],[TOTAL (R$)]]=0,"",IF(OR(receitasvariáveisconsolidadojun[[#This Row],[TOTAL (R$)]]=LARGE($AJ$96:$AJ$103,1),receitasvariáveisconsolidadojun[[#This Row],[TOTAL (R$)]]=LARGE($AJ$96:$AJ$103,2)),DADOS!$I$9,""))</f>
        <v/>
      </c>
      <c r="E99" s="148" t="n">
        <f aca="false">SUMIFS(tabela_registros[VALOR],tabela_registros[MÊS],$AE$1,tabela_registros[DIA],receitasvariáveisconsolidadojun[[#Headers],[1]],tabela_registros[REGISTRO],DADOS!$N$3,tabela_registros[TIPO],DADOS!$V$4,tabela_registros[CATEGORIA],receitasvariáveisconsolidadojun[[#This Row],[ATUAL]])</f>
        <v>0</v>
      </c>
      <c r="F99" s="119" t="n">
        <f aca="false">SUMIFS(tabela_registros[VALOR],tabela_registros[MÊS],$AE$1,tabela_registros[DIA],receitasvariáveisconsolidadojun[[#Headers],[2]],tabela_registros[REGISTRO],DADOS!$N$3,tabela_registros[TIPO],DADOS!$V$4,tabela_registros[CATEGORIA],receitasvariáveisconsolidadojun[[#This Row],[ATUAL]])</f>
        <v>0</v>
      </c>
      <c r="G99" s="119" t="n">
        <f aca="false">SUMIFS(tabela_registros[VALOR],tabela_registros[MÊS],$AE$1,tabela_registros[DIA],receitasvariáveisconsolidadojun[[#Headers],[3]],tabela_registros[REGISTRO],DADOS!$N$3,tabela_registros[TIPO],DADOS!$V$4,tabela_registros[CATEGORIA],receitasvariáveisconsolidadojun[[#This Row],[ATUAL]])</f>
        <v>0</v>
      </c>
      <c r="H99" s="119" t="n">
        <f aca="false">SUMIFS(tabela_registros[VALOR],tabela_registros[MÊS],$AE$1,tabela_registros[DIA],receitasvariáveisconsolidadojun[[#Headers],[4]],tabela_registros[REGISTRO],DADOS!$N$3,tabela_registros[TIPO],DADOS!$V$4,tabela_registros[CATEGORIA],receitasvariáveisconsolidadojun[[#This Row],[ATUAL]])</f>
        <v>0</v>
      </c>
      <c r="I99" s="119" t="n">
        <f aca="false">SUMIFS(tabela_registros[VALOR],tabela_registros[MÊS],$AE$1,tabela_registros[DIA],receitasvariáveisconsolidadojun[[#Headers],[5]],tabela_registros[REGISTRO],DADOS!$N$3,tabela_registros[TIPO],DADOS!$V$4,tabela_registros[CATEGORIA],receitasvariáveisconsolidadojun[[#This Row],[ATUAL]])</f>
        <v>0</v>
      </c>
      <c r="J99" s="119" t="n">
        <f aca="false">SUMIFS(tabela_registros[VALOR],tabela_registros[MÊS],$AE$1,tabela_registros[DIA],receitasvariáveisconsolidadojun[[#Headers],[6]],tabela_registros[REGISTRO],DADOS!$N$3,tabela_registros[TIPO],DADOS!$V$4,tabela_registros[CATEGORIA],receitasvariáveisconsolidadojun[[#This Row],[ATUAL]])</f>
        <v>0</v>
      </c>
      <c r="K99" s="119" t="n">
        <f aca="false">SUMIFS(tabela_registros[VALOR],tabela_registros[MÊS],$AE$1,tabela_registros[DIA],receitasvariáveisconsolidadojun[[#Headers],[7]],tabela_registros[REGISTRO],DADOS!$N$3,tabela_registros[TIPO],DADOS!$V$4,tabela_registros[CATEGORIA],receitasvariáveisconsolidadojun[[#This Row],[ATUAL]])</f>
        <v>0</v>
      </c>
      <c r="L99" s="119" t="n">
        <f aca="false">SUMIFS(tabela_registros[VALOR],tabela_registros[MÊS],$AE$1,tabela_registros[DIA],receitasvariáveisconsolidadojun[[#Headers],[8]],tabela_registros[REGISTRO],DADOS!$N$3,tabela_registros[TIPO],DADOS!$V$4,tabela_registros[CATEGORIA],receitasvariáveisconsolidadojun[[#This Row],[ATUAL]])</f>
        <v>0</v>
      </c>
      <c r="M99" s="119" t="n">
        <f aca="false">SUMIFS(tabela_registros[VALOR],tabela_registros[MÊS],$AE$1,tabela_registros[DIA],receitasvariáveisconsolidadojun[[#Headers],[9]],tabela_registros[REGISTRO],DADOS!$N$3,tabela_registros[TIPO],DADOS!$V$4,tabela_registros[CATEGORIA],receitasvariáveisconsolidadojun[[#This Row],[ATUAL]])</f>
        <v>0</v>
      </c>
      <c r="N99" s="119" t="n">
        <f aca="false">SUMIFS(tabela_registros[VALOR],tabela_registros[MÊS],$AE$1,tabela_registros[DIA],receitasvariáveisconsolidadojun[[#Headers],[10]],tabela_registros[REGISTRO],DADOS!$N$3,tabela_registros[TIPO],DADOS!$V$4,tabela_registros[CATEGORIA],receitasvariáveisconsolidadojun[[#This Row],[ATUAL]])</f>
        <v>0</v>
      </c>
      <c r="O99" s="119" t="n">
        <f aca="false">SUMIFS(tabela_registros[VALOR],tabela_registros[MÊS],$AE$1,tabela_registros[DIA],receitasvariáveisconsolidadojun[[#Headers],[11]],tabela_registros[REGISTRO],DADOS!$N$3,tabela_registros[TIPO],DADOS!$V$4,tabela_registros[CATEGORIA],receitasvariáveisconsolidadojun[[#This Row],[ATUAL]])</f>
        <v>0</v>
      </c>
      <c r="P99" s="119" t="n">
        <f aca="false">SUMIFS(tabela_registros[VALOR],tabela_registros[MÊS],$AE$1,tabela_registros[DIA],receitasvariáveisconsolidadojun[[#Headers],[12]],tabela_registros[REGISTRO],DADOS!$N$3,tabela_registros[TIPO],DADOS!$V$4,tabela_registros[CATEGORIA],receitasvariáveisconsolidadojun[[#This Row],[ATUAL]])</f>
        <v>0</v>
      </c>
      <c r="Q99" s="119" t="n">
        <f aca="false">SUMIFS(tabela_registros[VALOR],tabela_registros[MÊS],$AE$1,tabela_registros[DIA],receitasvariáveisconsolidadojun[[#Headers],[13]],tabela_registros[REGISTRO],DADOS!$N$3,tabela_registros[TIPO],DADOS!$V$4,tabela_registros[CATEGORIA],receitasvariáveisconsolidadojun[[#This Row],[ATUAL]])</f>
        <v>0</v>
      </c>
      <c r="R99" s="119" t="n">
        <f aca="false">SUMIFS(tabela_registros[VALOR],tabela_registros[MÊS],$AE$1,tabela_registros[DIA],receitasvariáveisconsolidadojun[[#Headers],[14]],tabela_registros[REGISTRO],DADOS!$N$3,tabela_registros[TIPO],DADOS!$V$4,tabela_registros[CATEGORIA],receitasvariáveisconsolidadojun[[#This Row],[ATUAL]])</f>
        <v>0</v>
      </c>
      <c r="S99" s="119" t="n">
        <f aca="false">SUMIFS(tabela_registros[VALOR],tabela_registros[MÊS],$AE$1,tabela_registros[DIA],receitasvariáveisconsolidadojun[[#Headers],[15]],tabela_registros[REGISTRO],DADOS!$N$3,tabela_registros[TIPO],DADOS!$V$4,tabela_registros[CATEGORIA],receitasvariáveisconsolidadojun[[#This Row],[ATUAL]])</f>
        <v>0</v>
      </c>
      <c r="T99" s="119" t="n">
        <f aca="false">SUMIFS(tabela_registros[VALOR],tabela_registros[MÊS],$AE$1,tabela_registros[DIA],receitasvariáveisconsolidadojun[[#Headers],[16]],tabela_registros[REGISTRO],DADOS!$N$3,tabela_registros[TIPO],DADOS!$V$4,tabela_registros[CATEGORIA],receitasvariáveisconsolidadojun[[#This Row],[ATUAL]])</f>
        <v>0</v>
      </c>
      <c r="U99" s="119" t="n">
        <f aca="false">SUMIFS(tabela_registros[VALOR],tabela_registros[MÊS],$AE$1,tabela_registros[DIA],receitasvariáveisconsolidadojun[[#Headers],[17]],tabela_registros[REGISTRO],DADOS!$N$3,tabela_registros[TIPO],DADOS!$V$4,tabela_registros[CATEGORIA],receitasvariáveisconsolidadojun[[#This Row],[ATUAL]])</f>
        <v>0</v>
      </c>
      <c r="V99" s="119" t="n">
        <f aca="false">SUMIFS(tabela_registros[VALOR],tabela_registros[MÊS],$AE$1,tabela_registros[DIA],receitasvariáveisconsolidadojun[[#Headers],[18]],tabela_registros[REGISTRO],DADOS!$N$3,tabela_registros[TIPO],DADOS!$V$4,tabela_registros[CATEGORIA],receitasvariáveisconsolidadojun[[#This Row],[ATUAL]])</f>
        <v>0</v>
      </c>
      <c r="W99" s="119" t="n">
        <f aca="false">SUMIFS(tabela_registros[VALOR],tabela_registros[MÊS],$AE$1,tabela_registros[DIA],receitasvariáveisconsolidadojun[[#Headers],[19]],tabela_registros[REGISTRO],DADOS!$N$3,tabela_registros[TIPO],DADOS!$V$4,tabela_registros[CATEGORIA],receitasvariáveisconsolidadojun[[#This Row],[ATUAL]])</f>
        <v>0</v>
      </c>
      <c r="X99" s="119" t="n">
        <f aca="false">SUMIFS(tabela_registros[VALOR],tabela_registros[MÊS],$AE$1,tabela_registros[DIA],receitasvariáveisconsolidadojun[[#Headers],[20]],tabela_registros[REGISTRO],DADOS!$N$3,tabela_registros[TIPO],DADOS!$V$4,tabela_registros[CATEGORIA],receitasvariáveisconsolidadojun[[#This Row],[ATUAL]])</f>
        <v>0</v>
      </c>
      <c r="Y99" s="119" t="n">
        <f aca="false">SUMIFS(tabela_registros[VALOR],tabela_registros[MÊS],$AE$1,tabela_registros[DIA],receitasvariáveisconsolidadojun[[#Headers],[21]],tabela_registros[REGISTRO],DADOS!$N$3,tabela_registros[TIPO],DADOS!$V$4,tabela_registros[CATEGORIA],receitasvariáveisconsolidadojun[[#This Row],[ATUAL]])</f>
        <v>0</v>
      </c>
      <c r="Z99" s="119" t="n">
        <f aca="false">SUMIFS(tabela_registros[VALOR],tabela_registros[MÊS],$AE$1,tabela_registros[DIA],receitasvariáveisconsolidadojun[[#Headers],[22]],tabela_registros[REGISTRO],DADOS!$N$3,tabela_registros[TIPO],DADOS!$V$4,tabela_registros[CATEGORIA],receitasvariáveisconsolidadojun[[#This Row],[ATUAL]])</f>
        <v>0</v>
      </c>
      <c r="AA99" s="119" t="n">
        <f aca="false">SUMIFS(tabela_registros[VALOR],tabela_registros[MÊS],$AE$1,tabela_registros[DIA],receitasvariáveisconsolidadojun[[#Headers],[23]],tabela_registros[REGISTRO],DADOS!$N$3,tabela_registros[TIPO],DADOS!$V$4,tabela_registros[CATEGORIA],receitasvariáveisconsolidadojun[[#This Row],[ATUAL]])</f>
        <v>0</v>
      </c>
      <c r="AB99" s="119" t="n">
        <f aca="false">SUMIFS(tabela_registros[VALOR],tabela_registros[MÊS],$AE$1,tabela_registros[DIA],receitasvariáveisconsolidadojun[[#Headers],[24]],tabela_registros[REGISTRO],DADOS!$N$3,tabela_registros[TIPO],DADOS!$V$4,tabela_registros[CATEGORIA],receitasvariáveisconsolidadojun[[#This Row],[ATUAL]])</f>
        <v>0</v>
      </c>
      <c r="AC99" s="119" t="n">
        <f aca="false">SUMIFS(tabela_registros[VALOR],tabela_registros[MÊS],$AE$1,tabela_registros[DIA],receitasvariáveisconsolidadojun[[#Headers],[25]],tabela_registros[REGISTRO],DADOS!$N$3,tabela_registros[TIPO],DADOS!$V$4,tabela_registros[CATEGORIA],receitasvariáveisconsolidadojun[[#This Row],[ATUAL]])</f>
        <v>0</v>
      </c>
      <c r="AD99" s="119" t="n">
        <f aca="false">SUMIFS(tabela_registros[VALOR],tabela_registros[MÊS],$AE$1,tabela_registros[DIA],receitasvariáveisconsolidadojun[[#Headers],[26]],tabela_registros[REGISTRO],DADOS!$N$3,tabela_registros[TIPO],DADOS!$V$4,tabela_registros[CATEGORIA],receitasvariáveisconsolidadojun[[#This Row],[ATUAL]])</f>
        <v>0</v>
      </c>
      <c r="AE99" s="119" t="n">
        <f aca="false">SUMIFS(tabela_registros[VALOR],tabela_registros[MÊS],$AE$1,tabela_registros[DIA],receitasvariáveisconsolidadojun[[#Headers],[27]],tabela_registros[REGISTRO],DADOS!$N$3,tabela_registros[TIPO],DADOS!$V$4,tabela_registros[CATEGORIA],receitasvariáveisconsolidadojun[[#This Row],[ATUAL]])</f>
        <v>0</v>
      </c>
      <c r="AF99" s="119" t="n">
        <f aca="false">SUMIFS(tabela_registros[VALOR],tabela_registros[MÊS],$AE$1,tabela_registros[DIA],receitasvariáveisconsolidadojun[[#Headers],[28]],tabela_registros[REGISTRO],DADOS!$N$3,tabela_registros[TIPO],DADOS!$V$4,tabela_registros[CATEGORIA],receitasvariáveisconsolidadojun[[#This Row],[ATUAL]])</f>
        <v>0</v>
      </c>
      <c r="AG99" s="119" t="n">
        <f aca="false">SUMIFS(tabela_registros[VALOR],tabela_registros[MÊS],$AE$1,tabela_registros[DIA],receitasvariáveisconsolidadojun[[#Headers],[29]],tabela_registros[REGISTRO],DADOS!$N$3,tabela_registros[TIPO],DADOS!$V$4,tabela_registros[CATEGORIA],receitasvariáveisconsolidadojun[[#This Row],[ATUAL]])</f>
        <v>0</v>
      </c>
      <c r="AH99" s="119" t="n">
        <f aca="false">SUMIFS(tabela_registros[VALOR],tabela_registros[MÊS],$AE$1,tabela_registros[DIA],receitasvariáveisconsolidadojun[[#Headers],[30]],tabela_registros[REGISTRO],DADOS!$N$3,tabela_registros[TIPO],DADOS!$V$4,tabela_registros[CATEGORIA],receitasvariáveisconsolidadojun[[#This Row],[ATUAL]])</f>
        <v>0</v>
      </c>
      <c r="AI99" s="217" t="n">
        <f aca="false">SUMIFS(tabela_registros[VALOR],tabela_registros[MÊS],$AE$1,tabela_registros[DIA],receitasvariáveisconsolidadojun[[#Headers],[31]],tabela_registros[REGISTRO],DADOS!$N$3,tabela_registros[TIPO],DADOS!$V$4,tabela_registros[CATEGORIA],receitasvariáveisconsolidadojun[[#This Row],[ATUAL]])</f>
        <v>0</v>
      </c>
      <c r="AJ99" s="149" t="n">
        <f aca="false">SUM(receitasvariáveisconsolidadojun[[#This Row],[1]:[31]])</f>
        <v>0</v>
      </c>
      <c r="AK99" s="165"/>
    </row>
    <row r="100" customFormat="false" ht="19.5" hidden="false" customHeight="true" outlineLevel="0" collapsed="false">
      <c r="B100" s="143"/>
      <c r="C100" s="144" t="str">
        <f aca="false">DADOS!$Z$7</f>
        <v>🧾 NOTA DE SERVIÇO</v>
      </c>
      <c r="D100" s="145" t="str">
        <f aca="false">IF(receitasvariáveisconsolidadojun[[#This Row],[TOTAL (R$)]]=0,"",IF(OR(receitasvariáveisconsolidadojun[[#This Row],[TOTAL (R$)]]=LARGE($AJ$96:$AJ$103,1),receitasvariáveisconsolidadojun[[#This Row],[TOTAL (R$)]]=LARGE($AJ$96:$AJ$103,2)),DADOS!$I$9,""))</f>
        <v/>
      </c>
      <c r="E100" s="148" t="n">
        <f aca="false">SUMIFS(tabela_registros[VALOR],tabela_registros[MÊS],$AE$1,tabela_registros[DIA],receitasvariáveisconsolidadojun[[#Headers],[1]],tabela_registros[REGISTRO],DADOS!$N$3,tabela_registros[TIPO],DADOS!$V$4,tabela_registros[CATEGORIA],receitasvariáveisconsolidadojun[[#This Row],[ATUAL]])</f>
        <v>0</v>
      </c>
      <c r="F100" s="119" t="n">
        <f aca="false">SUMIFS(tabela_registros[VALOR],tabela_registros[MÊS],$AE$1,tabela_registros[DIA],receitasvariáveisconsolidadojun[[#Headers],[2]],tabela_registros[REGISTRO],DADOS!$N$3,tabela_registros[TIPO],DADOS!$V$4,tabela_registros[CATEGORIA],receitasvariáveisconsolidadojun[[#This Row],[ATUAL]])</f>
        <v>0</v>
      </c>
      <c r="G100" s="119" t="n">
        <f aca="false">SUMIFS(tabela_registros[VALOR],tabela_registros[MÊS],$AE$1,tabela_registros[DIA],receitasvariáveisconsolidadojun[[#Headers],[3]],tabela_registros[REGISTRO],DADOS!$N$3,tabela_registros[TIPO],DADOS!$V$4,tabela_registros[CATEGORIA],receitasvariáveisconsolidadojun[[#This Row],[ATUAL]])</f>
        <v>0</v>
      </c>
      <c r="H100" s="119" t="n">
        <f aca="false">SUMIFS(tabela_registros[VALOR],tabela_registros[MÊS],$AE$1,tabela_registros[DIA],receitasvariáveisconsolidadojun[[#Headers],[4]],tabela_registros[REGISTRO],DADOS!$N$3,tabela_registros[TIPO],DADOS!$V$4,tabela_registros[CATEGORIA],receitasvariáveisconsolidadojun[[#This Row],[ATUAL]])</f>
        <v>0</v>
      </c>
      <c r="I100" s="119" t="n">
        <f aca="false">SUMIFS(tabela_registros[VALOR],tabela_registros[MÊS],$AE$1,tabela_registros[DIA],receitasvariáveisconsolidadojun[[#Headers],[5]],tabela_registros[REGISTRO],DADOS!$N$3,tabela_registros[TIPO],DADOS!$V$4,tabela_registros[CATEGORIA],receitasvariáveisconsolidadojun[[#This Row],[ATUAL]])</f>
        <v>0</v>
      </c>
      <c r="J100" s="119" t="n">
        <f aca="false">SUMIFS(tabela_registros[VALOR],tabela_registros[MÊS],$AE$1,tabela_registros[DIA],receitasvariáveisconsolidadojun[[#Headers],[6]],tabela_registros[REGISTRO],DADOS!$N$3,tabela_registros[TIPO],DADOS!$V$4,tabela_registros[CATEGORIA],receitasvariáveisconsolidadojun[[#This Row],[ATUAL]])</f>
        <v>0</v>
      </c>
      <c r="K100" s="119" t="n">
        <f aca="false">SUMIFS(tabela_registros[VALOR],tabela_registros[MÊS],$AE$1,tabela_registros[DIA],receitasvariáveisconsolidadojun[[#Headers],[7]],tabela_registros[REGISTRO],DADOS!$N$3,tabela_registros[TIPO],DADOS!$V$4,tabela_registros[CATEGORIA],receitasvariáveisconsolidadojun[[#This Row],[ATUAL]])</f>
        <v>0</v>
      </c>
      <c r="L100" s="119" t="n">
        <f aca="false">SUMIFS(tabela_registros[VALOR],tabela_registros[MÊS],$AE$1,tabela_registros[DIA],receitasvariáveisconsolidadojun[[#Headers],[8]],tabela_registros[REGISTRO],DADOS!$N$3,tabela_registros[TIPO],DADOS!$V$4,tabela_registros[CATEGORIA],receitasvariáveisconsolidadojun[[#This Row],[ATUAL]])</f>
        <v>0</v>
      </c>
      <c r="M100" s="119" t="n">
        <f aca="false">SUMIFS(tabela_registros[VALOR],tabela_registros[MÊS],$AE$1,tabela_registros[DIA],receitasvariáveisconsolidadojun[[#Headers],[9]],tabela_registros[REGISTRO],DADOS!$N$3,tabela_registros[TIPO],DADOS!$V$4,tabela_registros[CATEGORIA],receitasvariáveisconsolidadojun[[#This Row],[ATUAL]])</f>
        <v>0</v>
      </c>
      <c r="N100" s="119" t="n">
        <f aca="false">SUMIFS(tabela_registros[VALOR],tabela_registros[MÊS],$AE$1,tabela_registros[DIA],receitasvariáveisconsolidadojun[[#Headers],[10]],tabela_registros[REGISTRO],DADOS!$N$3,tabela_registros[TIPO],DADOS!$V$4,tabela_registros[CATEGORIA],receitasvariáveisconsolidadojun[[#This Row],[ATUAL]])</f>
        <v>0</v>
      </c>
      <c r="O100" s="119" t="n">
        <f aca="false">SUMIFS(tabela_registros[VALOR],tabela_registros[MÊS],$AE$1,tabela_registros[DIA],receitasvariáveisconsolidadojun[[#Headers],[11]],tabela_registros[REGISTRO],DADOS!$N$3,tabela_registros[TIPO],DADOS!$V$4,tabela_registros[CATEGORIA],receitasvariáveisconsolidadojun[[#This Row],[ATUAL]])</f>
        <v>0</v>
      </c>
      <c r="P100" s="119" t="n">
        <f aca="false">SUMIFS(tabela_registros[VALOR],tabela_registros[MÊS],$AE$1,tabela_registros[DIA],receitasvariáveisconsolidadojun[[#Headers],[12]],tabela_registros[REGISTRO],DADOS!$N$3,tabela_registros[TIPO],DADOS!$V$4,tabela_registros[CATEGORIA],receitasvariáveisconsolidadojun[[#This Row],[ATUAL]])</f>
        <v>0</v>
      </c>
      <c r="Q100" s="119" t="n">
        <f aca="false">SUMIFS(tabela_registros[VALOR],tabela_registros[MÊS],$AE$1,tabela_registros[DIA],receitasvariáveisconsolidadojun[[#Headers],[13]],tabela_registros[REGISTRO],DADOS!$N$3,tabela_registros[TIPO],DADOS!$V$4,tabela_registros[CATEGORIA],receitasvariáveisconsolidadojun[[#This Row],[ATUAL]])</f>
        <v>0</v>
      </c>
      <c r="R100" s="119" t="n">
        <f aca="false">SUMIFS(tabela_registros[VALOR],tabela_registros[MÊS],$AE$1,tabela_registros[DIA],receitasvariáveisconsolidadojun[[#Headers],[14]],tabela_registros[REGISTRO],DADOS!$N$3,tabela_registros[TIPO],DADOS!$V$4,tabela_registros[CATEGORIA],receitasvariáveisconsolidadojun[[#This Row],[ATUAL]])</f>
        <v>0</v>
      </c>
      <c r="S100" s="119" t="n">
        <f aca="false">SUMIFS(tabela_registros[VALOR],tabela_registros[MÊS],$AE$1,tabela_registros[DIA],receitasvariáveisconsolidadojun[[#Headers],[15]],tabela_registros[REGISTRO],DADOS!$N$3,tabela_registros[TIPO],DADOS!$V$4,tabela_registros[CATEGORIA],receitasvariáveisconsolidadojun[[#This Row],[ATUAL]])</f>
        <v>0</v>
      </c>
      <c r="T100" s="119" t="n">
        <f aca="false">SUMIFS(tabela_registros[VALOR],tabela_registros[MÊS],$AE$1,tabela_registros[DIA],receitasvariáveisconsolidadojun[[#Headers],[16]],tabela_registros[REGISTRO],DADOS!$N$3,tabela_registros[TIPO],DADOS!$V$4,tabela_registros[CATEGORIA],receitasvariáveisconsolidadojun[[#This Row],[ATUAL]])</f>
        <v>0</v>
      </c>
      <c r="U100" s="119" t="n">
        <f aca="false">SUMIFS(tabela_registros[VALOR],tabela_registros[MÊS],$AE$1,tabela_registros[DIA],receitasvariáveisconsolidadojun[[#Headers],[17]],tabela_registros[REGISTRO],DADOS!$N$3,tabela_registros[TIPO],DADOS!$V$4,tabela_registros[CATEGORIA],receitasvariáveisconsolidadojun[[#This Row],[ATUAL]])</f>
        <v>0</v>
      </c>
      <c r="V100" s="119" t="n">
        <f aca="false">SUMIFS(tabela_registros[VALOR],tabela_registros[MÊS],$AE$1,tabela_registros[DIA],receitasvariáveisconsolidadojun[[#Headers],[18]],tabela_registros[REGISTRO],DADOS!$N$3,tabela_registros[TIPO],DADOS!$V$4,tabela_registros[CATEGORIA],receitasvariáveisconsolidadojun[[#This Row],[ATUAL]])</f>
        <v>0</v>
      </c>
      <c r="W100" s="119" t="n">
        <f aca="false">SUMIFS(tabela_registros[VALOR],tabela_registros[MÊS],$AE$1,tabela_registros[DIA],receitasvariáveisconsolidadojun[[#Headers],[19]],tabela_registros[REGISTRO],DADOS!$N$3,tabela_registros[TIPO],DADOS!$V$4,tabela_registros[CATEGORIA],receitasvariáveisconsolidadojun[[#This Row],[ATUAL]])</f>
        <v>0</v>
      </c>
      <c r="X100" s="119" t="n">
        <f aca="false">SUMIFS(tabela_registros[VALOR],tabela_registros[MÊS],$AE$1,tabela_registros[DIA],receitasvariáveisconsolidadojun[[#Headers],[20]],tabela_registros[REGISTRO],DADOS!$N$3,tabela_registros[TIPO],DADOS!$V$4,tabela_registros[CATEGORIA],receitasvariáveisconsolidadojun[[#This Row],[ATUAL]])</f>
        <v>0</v>
      </c>
      <c r="Y100" s="119" t="n">
        <f aca="false">SUMIFS(tabela_registros[VALOR],tabela_registros[MÊS],$AE$1,tabela_registros[DIA],receitasvariáveisconsolidadojun[[#Headers],[21]],tabela_registros[REGISTRO],DADOS!$N$3,tabela_registros[TIPO],DADOS!$V$4,tabela_registros[CATEGORIA],receitasvariáveisconsolidadojun[[#This Row],[ATUAL]])</f>
        <v>0</v>
      </c>
      <c r="Z100" s="119" t="n">
        <f aca="false">SUMIFS(tabela_registros[VALOR],tabela_registros[MÊS],$AE$1,tabela_registros[DIA],receitasvariáveisconsolidadojun[[#Headers],[22]],tabela_registros[REGISTRO],DADOS!$N$3,tabela_registros[TIPO],DADOS!$V$4,tabela_registros[CATEGORIA],receitasvariáveisconsolidadojun[[#This Row],[ATUAL]])</f>
        <v>0</v>
      </c>
      <c r="AA100" s="119" t="n">
        <f aca="false">SUMIFS(tabela_registros[VALOR],tabela_registros[MÊS],$AE$1,tabela_registros[DIA],receitasvariáveisconsolidadojun[[#Headers],[23]],tabela_registros[REGISTRO],DADOS!$N$3,tabela_registros[TIPO],DADOS!$V$4,tabela_registros[CATEGORIA],receitasvariáveisconsolidadojun[[#This Row],[ATUAL]])</f>
        <v>0</v>
      </c>
      <c r="AB100" s="119" t="n">
        <f aca="false">SUMIFS(tabela_registros[VALOR],tabela_registros[MÊS],$AE$1,tabela_registros[DIA],receitasvariáveisconsolidadojun[[#Headers],[24]],tabela_registros[REGISTRO],DADOS!$N$3,tabela_registros[TIPO],DADOS!$V$4,tabela_registros[CATEGORIA],receitasvariáveisconsolidadojun[[#This Row],[ATUAL]])</f>
        <v>0</v>
      </c>
      <c r="AC100" s="119" t="n">
        <f aca="false">SUMIFS(tabela_registros[VALOR],tabela_registros[MÊS],$AE$1,tabela_registros[DIA],receitasvariáveisconsolidadojun[[#Headers],[25]],tabela_registros[REGISTRO],DADOS!$N$3,tabela_registros[TIPO],DADOS!$V$4,tabela_registros[CATEGORIA],receitasvariáveisconsolidadojun[[#This Row],[ATUAL]])</f>
        <v>0</v>
      </c>
      <c r="AD100" s="119" t="n">
        <f aca="false">SUMIFS(tabela_registros[VALOR],tabela_registros[MÊS],$AE$1,tabela_registros[DIA],receitasvariáveisconsolidadojun[[#Headers],[26]],tabela_registros[REGISTRO],DADOS!$N$3,tabela_registros[TIPO],DADOS!$V$4,tabela_registros[CATEGORIA],receitasvariáveisconsolidadojun[[#This Row],[ATUAL]])</f>
        <v>0</v>
      </c>
      <c r="AE100" s="119" t="n">
        <f aca="false">SUMIFS(tabela_registros[VALOR],tabela_registros[MÊS],$AE$1,tabela_registros[DIA],receitasvariáveisconsolidadojun[[#Headers],[27]],tabela_registros[REGISTRO],DADOS!$N$3,tabela_registros[TIPO],DADOS!$V$4,tabela_registros[CATEGORIA],receitasvariáveisconsolidadojun[[#This Row],[ATUAL]])</f>
        <v>0</v>
      </c>
      <c r="AF100" s="119" t="n">
        <f aca="false">SUMIFS(tabela_registros[VALOR],tabela_registros[MÊS],$AE$1,tabela_registros[DIA],receitasvariáveisconsolidadojun[[#Headers],[28]],tabela_registros[REGISTRO],DADOS!$N$3,tabela_registros[TIPO],DADOS!$V$4,tabela_registros[CATEGORIA],receitasvariáveisconsolidadojun[[#This Row],[ATUAL]])</f>
        <v>0</v>
      </c>
      <c r="AG100" s="119" t="n">
        <f aca="false">SUMIFS(tabela_registros[VALOR],tabela_registros[MÊS],$AE$1,tabela_registros[DIA],receitasvariáveisconsolidadojun[[#Headers],[29]],tabela_registros[REGISTRO],DADOS!$N$3,tabela_registros[TIPO],DADOS!$V$4,tabela_registros[CATEGORIA],receitasvariáveisconsolidadojun[[#This Row],[ATUAL]])</f>
        <v>0</v>
      </c>
      <c r="AH100" s="119" t="n">
        <f aca="false">SUMIFS(tabela_registros[VALOR],tabela_registros[MÊS],$AE$1,tabela_registros[DIA],receitasvariáveisconsolidadojun[[#Headers],[30]],tabela_registros[REGISTRO],DADOS!$N$3,tabela_registros[TIPO],DADOS!$V$4,tabela_registros[CATEGORIA],receitasvariáveisconsolidadojun[[#This Row],[ATUAL]])</f>
        <v>0</v>
      </c>
      <c r="AI100" s="217" t="n">
        <f aca="false">SUMIFS(tabela_registros[VALOR],tabela_registros[MÊS],$AE$1,tabela_registros[DIA],receitasvariáveisconsolidadojun[[#Headers],[31]],tabela_registros[REGISTRO],DADOS!$N$3,tabela_registros[TIPO],DADOS!$V$4,tabela_registros[CATEGORIA],receitasvariáveisconsolidadojun[[#This Row],[ATUAL]])</f>
        <v>0</v>
      </c>
      <c r="AJ100" s="149" t="n">
        <f aca="false">SUM(receitasvariáveisconsolidadojun[[#This Row],[1]:[31]])</f>
        <v>0</v>
      </c>
      <c r="AK100" s="165"/>
    </row>
    <row r="101" customFormat="false" ht="19.5" hidden="false" customHeight="true" outlineLevel="0" collapsed="false">
      <c r="B101" s="143"/>
      <c r="C101" s="144" t="str">
        <f aca="false">DADOS!$Z$8</f>
        <v>🎁 PRESENTE</v>
      </c>
      <c r="D101" s="145" t="str">
        <f aca="false">IF(receitasvariáveisconsolidadojun[[#This Row],[TOTAL (R$)]]=0,"",IF(OR(receitasvariáveisconsolidadojun[[#This Row],[TOTAL (R$)]]=LARGE($AJ$96:$AJ$103,1),receitasvariáveisconsolidadojun[[#This Row],[TOTAL (R$)]]=LARGE($AJ$96:$AJ$103,2)),DADOS!$I$9,""))</f>
        <v/>
      </c>
      <c r="E101" s="148" t="n">
        <f aca="false">SUMIFS(tabela_registros[VALOR],tabela_registros[MÊS],$AE$1,tabela_registros[DIA],receitasvariáveisconsolidadojun[[#Headers],[1]],tabela_registros[REGISTRO],DADOS!$N$3,tabela_registros[TIPO],DADOS!$V$4,tabela_registros[CATEGORIA],receitasvariáveisconsolidadojun[[#This Row],[ATUAL]])</f>
        <v>0</v>
      </c>
      <c r="F101" s="119" t="n">
        <f aca="false">SUMIFS(tabela_registros[VALOR],tabela_registros[MÊS],$AE$1,tabela_registros[DIA],receitasvariáveisconsolidadojun[[#Headers],[2]],tabela_registros[REGISTRO],DADOS!$N$3,tabela_registros[TIPO],DADOS!$V$4,tabela_registros[CATEGORIA],receitasvariáveisconsolidadojun[[#This Row],[ATUAL]])</f>
        <v>0</v>
      </c>
      <c r="G101" s="119" t="n">
        <f aca="false">SUMIFS(tabela_registros[VALOR],tabela_registros[MÊS],$AE$1,tabela_registros[DIA],receitasvariáveisconsolidadojun[[#Headers],[3]],tabela_registros[REGISTRO],DADOS!$N$3,tabela_registros[TIPO],DADOS!$V$4,tabela_registros[CATEGORIA],receitasvariáveisconsolidadojun[[#This Row],[ATUAL]])</f>
        <v>0</v>
      </c>
      <c r="H101" s="119" t="n">
        <f aca="false">SUMIFS(tabela_registros[VALOR],tabela_registros[MÊS],$AE$1,tabela_registros[DIA],receitasvariáveisconsolidadojun[[#Headers],[4]],tabela_registros[REGISTRO],DADOS!$N$3,tabela_registros[TIPO],DADOS!$V$4,tabela_registros[CATEGORIA],receitasvariáveisconsolidadojun[[#This Row],[ATUAL]])</f>
        <v>0</v>
      </c>
      <c r="I101" s="119" t="n">
        <f aca="false">SUMIFS(tabela_registros[VALOR],tabela_registros[MÊS],$AE$1,tabela_registros[DIA],receitasvariáveisconsolidadojun[[#Headers],[5]],tabela_registros[REGISTRO],DADOS!$N$3,tabela_registros[TIPO],DADOS!$V$4,tabela_registros[CATEGORIA],receitasvariáveisconsolidadojun[[#This Row],[ATUAL]])</f>
        <v>0</v>
      </c>
      <c r="J101" s="119" t="n">
        <f aca="false">SUMIFS(tabela_registros[VALOR],tabela_registros[MÊS],$AE$1,tabela_registros[DIA],receitasvariáveisconsolidadojun[[#Headers],[6]],tabela_registros[REGISTRO],DADOS!$N$3,tabela_registros[TIPO],DADOS!$V$4,tabela_registros[CATEGORIA],receitasvariáveisconsolidadojun[[#This Row],[ATUAL]])</f>
        <v>0</v>
      </c>
      <c r="K101" s="119" t="n">
        <f aca="false">SUMIFS(tabela_registros[VALOR],tabela_registros[MÊS],$AE$1,tabela_registros[DIA],receitasvariáveisconsolidadojun[[#Headers],[7]],tabela_registros[REGISTRO],DADOS!$N$3,tabela_registros[TIPO],DADOS!$V$4,tabela_registros[CATEGORIA],receitasvariáveisconsolidadojun[[#This Row],[ATUAL]])</f>
        <v>0</v>
      </c>
      <c r="L101" s="119" t="n">
        <f aca="false">SUMIFS(tabela_registros[VALOR],tabela_registros[MÊS],$AE$1,tabela_registros[DIA],receitasvariáveisconsolidadojun[[#Headers],[8]],tabela_registros[REGISTRO],DADOS!$N$3,tabela_registros[TIPO],DADOS!$V$4,tabela_registros[CATEGORIA],receitasvariáveisconsolidadojun[[#This Row],[ATUAL]])</f>
        <v>0</v>
      </c>
      <c r="M101" s="119" t="n">
        <f aca="false">SUMIFS(tabela_registros[VALOR],tabela_registros[MÊS],$AE$1,tabela_registros[DIA],receitasvariáveisconsolidadojun[[#Headers],[9]],tabela_registros[REGISTRO],DADOS!$N$3,tabela_registros[TIPO],DADOS!$V$4,tabela_registros[CATEGORIA],receitasvariáveisconsolidadojun[[#This Row],[ATUAL]])</f>
        <v>0</v>
      </c>
      <c r="N101" s="119" t="n">
        <f aca="false">SUMIFS(tabela_registros[VALOR],tabela_registros[MÊS],$AE$1,tabela_registros[DIA],receitasvariáveisconsolidadojun[[#Headers],[10]],tabela_registros[REGISTRO],DADOS!$N$3,tabela_registros[TIPO],DADOS!$V$4,tabela_registros[CATEGORIA],receitasvariáveisconsolidadojun[[#This Row],[ATUAL]])</f>
        <v>0</v>
      </c>
      <c r="O101" s="119" t="n">
        <f aca="false">SUMIFS(tabela_registros[VALOR],tabela_registros[MÊS],$AE$1,tabela_registros[DIA],receitasvariáveisconsolidadojun[[#Headers],[11]],tabela_registros[REGISTRO],DADOS!$N$3,tabela_registros[TIPO],DADOS!$V$4,tabela_registros[CATEGORIA],receitasvariáveisconsolidadojun[[#This Row],[ATUAL]])</f>
        <v>0</v>
      </c>
      <c r="P101" s="119" t="n">
        <f aca="false">SUMIFS(tabela_registros[VALOR],tabela_registros[MÊS],$AE$1,tabela_registros[DIA],receitasvariáveisconsolidadojun[[#Headers],[12]],tabela_registros[REGISTRO],DADOS!$N$3,tabela_registros[TIPO],DADOS!$V$4,tabela_registros[CATEGORIA],receitasvariáveisconsolidadojun[[#This Row],[ATUAL]])</f>
        <v>0</v>
      </c>
      <c r="Q101" s="119" t="n">
        <f aca="false">SUMIFS(tabela_registros[VALOR],tabela_registros[MÊS],$AE$1,tabela_registros[DIA],receitasvariáveisconsolidadojun[[#Headers],[13]],tabela_registros[REGISTRO],DADOS!$N$3,tabela_registros[TIPO],DADOS!$V$4,tabela_registros[CATEGORIA],receitasvariáveisconsolidadojun[[#This Row],[ATUAL]])</f>
        <v>0</v>
      </c>
      <c r="R101" s="119" t="n">
        <f aca="false">SUMIFS(tabela_registros[VALOR],tabela_registros[MÊS],$AE$1,tabela_registros[DIA],receitasvariáveisconsolidadojun[[#Headers],[14]],tabela_registros[REGISTRO],DADOS!$N$3,tabela_registros[TIPO],DADOS!$V$4,tabela_registros[CATEGORIA],receitasvariáveisconsolidadojun[[#This Row],[ATUAL]])</f>
        <v>0</v>
      </c>
      <c r="S101" s="119" t="n">
        <f aca="false">SUMIFS(tabela_registros[VALOR],tabela_registros[MÊS],$AE$1,tabela_registros[DIA],receitasvariáveisconsolidadojun[[#Headers],[15]],tabela_registros[REGISTRO],DADOS!$N$3,tabela_registros[TIPO],DADOS!$V$4,tabela_registros[CATEGORIA],receitasvariáveisconsolidadojun[[#This Row],[ATUAL]])</f>
        <v>0</v>
      </c>
      <c r="T101" s="119" t="n">
        <f aca="false">SUMIFS(tabela_registros[VALOR],tabela_registros[MÊS],$AE$1,tabela_registros[DIA],receitasvariáveisconsolidadojun[[#Headers],[16]],tabela_registros[REGISTRO],DADOS!$N$3,tabela_registros[TIPO],DADOS!$V$4,tabela_registros[CATEGORIA],receitasvariáveisconsolidadojun[[#This Row],[ATUAL]])</f>
        <v>0</v>
      </c>
      <c r="U101" s="119" t="n">
        <f aca="false">SUMIFS(tabela_registros[VALOR],tabela_registros[MÊS],$AE$1,tabela_registros[DIA],receitasvariáveisconsolidadojun[[#Headers],[17]],tabela_registros[REGISTRO],DADOS!$N$3,tabela_registros[TIPO],DADOS!$V$4,tabela_registros[CATEGORIA],receitasvariáveisconsolidadojun[[#This Row],[ATUAL]])</f>
        <v>0</v>
      </c>
      <c r="V101" s="119" t="n">
        <f aca="false">SUMIFS(tabela_registros[VALOR],tabela_registros[MÊS],$AE$1,tabela_registros[DIA],receitasvariáveisconsolidadojun[[#Headers],[18]],tabela_registros[REGISTRO],DADOS!$N$3,tabela_registros[TIPO],DADOS!$V$4,tabela_registros[CATEGORIA],receitasvariáveisconsolidadojun[[#This Row],[ATUAL]])</f>
        <v>0</v>
      </c>
      <c r="W101" s="119" t="n">
        <f aca="false">SUMIFS(tabela_registros[VALOR],tabela_registros[MÊS],$AE$1,tabela_registros[DIA],receitasvariáveisconsolidadojun[[#Headers],[19]],tabela_registros[REGISTRO],DADOS!$N$3,tabela_registros[TIPO],DADOS!$V$4,tabela_registros[CATEGORIA],receitasvariáveisconsolidadojun[[#This Row],[ATUAL]])</f>
        <v>0</v>
      </c>
      <c r="X101" s="119" t="n">
        <f aca="false">SUMIFS(tabela_registros[VALOR],tabela_registros[MÊS],$AE$1,tabela_registros[DIA],receitasvariáveisconsolidadojun[[#Headers],[20]],tabela_registros[REGISTRO],DADOS!$N$3,tabela_registros[TIPO],DADOS!$V$4,tabela_registros[CATEGORIA],receitasvariáveisconsolidadojun[[#This Row],[ATUAL]])</f>
        <v>0</v>
      </c>
      <c r="Y101" s="119" t="n">
        <f aca="false">SUMIFS(tabela_registros[VALOR],tabela_registros[MÊS],$AE$1,tabela_registros[DIA],receitasvariáveisconsolidadojun[[#Headers],[21]],tabela_registros[REGISTRO],DADOS!$N$3,tabela_registros[TIPO],DADOS!$V$4,tabela_registros[CATEGORIA],receitasvariáveisconsolidadojun[[#This Row],[ATUAL]])</f>
        <v>0</v>
      </c>
      <c r="Z101" s="119" t="n">
        <f aca="false">SUMIFS(tabela_registros[VALOR],tabela_registros[MÊS],$AE$1,tabela_registros[DIA],receitasvariáveisconsolidadojun[[#Headers],[22]],tabela_registros[REGISTRO],DADOS!$N$3,tabela_registros[TIPO],DADOS!$V$4,tabela_registros[CATEGORIA],receitasvariáveisconsolidadojun[[#This Row],[ATUAL]])</f>
        <v>0</v>
      </c>
      <c r="AA101" s="119" t="n">
        <f aca="false">SUMIFS(tabela_registros[VALOR],tabela_registros[MÊS],$AE$1,tabela_registros[DIA],receitasvariáveisconsolidadojun[[#Headers],[23]],tabela_registros[REGISTRO],DADOS!$N$3,tabela_registros[TIPO],DADOS!$V$4,tabela_registros[CATEGORIA],receitasvariáveisconsolidadojun[[#This Row],[ATUAL]])</f>
        <v>0</v>
      </c>
      <c r="AB101" s="119" t="n">
        <f aca="false">SUMIFS(tabela_registros[VALOR],tabela_registros[MÊS],$AE$1,tabela_registros[DIA],receitasvariáveisconsolidadojun[[#Headers],[24]],tabela_registros[REGISTRO],DADOS!$N$3,tabela_registros[TIPO],DADOS!$V$4,tabela_registros[CATEGORIA],receitasvariáveisconsolidadojun[[#This Row],[ATUAL]])</f>
        <v>0</v>
      </c>
      <c r="AC101" s="119" t="n">
        <f aca="false">SUMIFS(tabela_registros[VALOR],tabela_registros[MÊS],$AE$1,tabela_registros[DIA],receitasvariáveisconsolidadojun[[#Headers],[25]],tabela_registros[REGISTRO],DADOS!$N$3,tabela_registros[TIPO],DADOS!$V$4,tabela_registros[CATEGORIA],receitasvariáveisconsolidadojun[[#This Row],[ATUAL]])</f>
        <v>0</v>
      </c>
      <c r="AD101" s="119" t="n">
        <f aca="false">SUMIFS(tabela_registros[VALOR],tabela_registros[MÊS],$AE$1,tabela_registros[DIA],receitasvariáveisconsolidadojun[[#Headers],[26]],tabela_registros[REGISTRO],DADOS!$N$3,tabela_registros[TIPO],DADOS!$V$4,tabela_registros[CATEGORIA],receitasvariáveisconsolidadojun[[#This Row],[ATUAL]])</f>
        <v>0</v>
      </c>
      <c r="AE101" s="119" t="n">
        <f aca="false">SUMIFS(tabela_registros[VALOR],tabela_registros[MÊS],$AE$1,tabela_registros[DIA],receitasvariáveisconsolidadojun[[#Headers],[27]],tabela_registros[REGISTRO],DADOS!$N$3,tabela_registros[TIPO],DADOS!$V$4,tabela_registros[CATEGORIA],receitasvariáveisconsolidadojun[[#This Row],[ATUAL]])</f>
        <v>0</v>
      </c>
      <c r="AF101" s="119" t="n">
        <f aca="false">SUMIFS(tabela_registros[VALOR],tabela_registros[MÊS],$AE$1,tabela_registros[DIA],receitasvariáveisconsolidadojun[[#Headers],[28]],tabela_registros[REGISTRO],DADOS!$N$3,tabela_registros[TIPO],DADOS!$V$4,tabela_registros[CATEGORIA],receitasvariáveisconsolidadojun[[#This Row],[ATUAL]])</f>
        <v>0</v>
      </c>
      <c r="AG101" s="119" t="n">
        <f aca="false">SUMIFS(tabela_registros[VALOR],tabela_registros[MÊS],$AE$1,tabela_registros[DIA],receitasvariáveisconsolidadojun[[#Headers],[29]],tabela_registros[REGISTRO],DADOS!$N$3,tabela_registros[TIPO],DADOS!$V$4,tabela_registros[CATEGORIA],receitasvariáveisconsolidadojun[[#This Row],[ATUAL]])</f>
        <v>0</v>
      </c>
      <c r="AH101" s="119" t="n">
        <f aca="false">SUMIFS(tabela_registros[VALOR],tabela_registros[MÊS],$AE$1,tabela_registros[DIA],receitasvariáveisconsolidadojun[[#Headers],[30]],tabela_registros[REGISTRO],DADOS!$N$3,tabela_registros[TIPO],DADOS!$V$4,tabela_registros[CATEGORIA],receitasvariáveisconsolidadojun[[#This Row],[ATUAL]])</f>
        <v>0</v>
      </c>
      <c r="AI101" s="217" t="n">
        <f aca="false">SUMIFS(tabela_registros[VALOR],tabela_registros[MÊS],$AE$1,tabela_registros[DIA],receitasvariáveisconsolidadojun[[#Headers],[31]],tabela_registros[REGISTRO],DADOS!$N$3,tabela_registros[TIPO],DADOS!$V$4,tabela_registros[CATEGORIA],receitasvariáveisconsolidadojun[[#This Row],[ATUAL]])</f>
        <v>0</v>
      </c>
      <c r="AJ101" s="149" t="n">
        <f aca="false">SUM(receitasvariáveisconsolidadojun[[#This Row],[1]:[31]])</f>
        <v>0</v>
      </c>
      <c r="AK101" s="165"/>
    </row>
    <row r="102" customFormat="false" ht="19.5" hidden="false" customHeight="true" outlineLevel="0" collapsed="false">
      <c r="B102" s="143"/>
      <c r="C102" s="144" t="str">
        <f aca="false">DADOS!$Z$9</f>
        <v>👷‍♀️ TRABALHO TEMPORÁRIO</v>
      </c>
      <c r="D102" s="145" t="str">
        <f aca="false">IF(receitasvariáveisconsolidadojun[[#This Row],[TOTAL (R$)]]=0,"",IF(OR(receitasvariáveisconsolidadojun[[#This Row],[TOTAL (R$)]]=LARGE($AJ$96:$AJ$103,1),receitasvariáveisconsolidadojun[[#This Row],[TOTAL (R$)]]=LARGE($AJ$96:$AJ$103,2)),DADOS!$I$9,""))</f>
        <v/>
      </c>
      <c r="E102" s="148" t="n">
        <f aca="false">SUMIFS(tabela_registros[VALOR],tabela_registros[MÊS],$AE$1,tabela_registros[DIA],receitasvariáveisconsolidadojun[[#Headers],[1]],tabela_registros[REGISTRO],DADOS!$N$3,tabela_registros[TIPO],DADOS!$V$4,tabela_registros[CATEGORIA],receitasvariáveisconsolidadojun[[#This Row],[ATUAL]])</f>
        <v>0</v>
      </c>
      <c r="F102" s="119" t="n">
        <f aca="false">SUMIFS(tabela_registros[VALOR],tabela_registros[MÊS],$AE$1,tabela_registros[DIA],receitasvariáveisconsolidadojun[[#Headers],[2]],tabela_registros[REGISTRO],DADOS!$N$3,tabela_registros[TIPO],DADOS!$V$4,tabela_registros[CATEGORIA],receitasvariáveisconsolidadojun[[#This Row],[ATUAL]])</f>
        <v>0</v>
      </c>
      <c r="G102" s="119" t="n">
        <f aca="false">SUMIFS(tabela_registros[VALOR],tabela_registros[MÊS],$AE$1,tabela_registros[DIA],receitasvariáveisconsolidadojun[[#Headers],[3]],tabela_registros[REGISTRO],DADOS!$N$3,tabela_registros[TIPO],DADOS!$V$4,tabela_registros[CATEGORIA],receitasvariáveisconsolidadojun[[#This Row],[ATUAL]])</f>
        <v>0</v>
      </c>
      <c r="H102" s="119" t="n">
        <f aca="false">SUMIFS(tabela_registros[VALOR],tabela_registros[MÊS],$AE$1,tabela_registros[DIA],receitasvariáveisconsolidadojun[[#Headers],[4]],tabela_registros[REGISTRO],DADOS!$N$3,tabela_registros[TIPO],DADOS!$V$4,tabela_registros[CATEGORIA],receitasvariáveisconsolidadojun[[#This Row],[ATUAL]])</f>
        <v>0</v>
      </c>
      <c r="I102" s="119" t="n">
        <f aca="false">SUMIFS(tabela_registros[VALOR],tabela_registros[MÊS],$AE$1,tabela_registros[DIA],receitasvariáveisconsolidadojun[[#Headers],[5]],tabela_registros[REGISTRO],DADOS!$N$3,tabela_registros[TIPO],DADOS!$V$4,tabela_registros[CATEGORIA],receitasvariáveisconsolidadojun[[#This Row],[ATUAL]])</f>
        <v>0</v>
      </c>
      <c r="J102" s="119" t="n">
        <f aca="false">SUMIFS(tabela_registros[VALOR],tabela_registros[MÊS],$AE$1,tabela_registros[DIA],receitasvariáveisconsolidadojun[[#Headers],[6]],tabela_registros[REGISTRO],DADOS!$N$3,tabela_registros[TIPO],DADOS!$V$4,tabela_registros[CATEGORIA],receitasvariáveisconsolidadojun[[#This Row],[ATUAL]])</f>
        <v>0</v>
      </c>
      <c r="K102" s="119" t="n">
        <f aca="false">SUMIFS(tabela_registros[VALOR],tabela_registros[MÊS],$AE$1,tabela_registros[DIA],receitasvariáveisconsolidadojun[[#Headers],[7]],tabela_registros[REGISTRO],DADOS!$N$3,tabela_registros[TIPO],DADOS!$V$4,tabela_registros[CATEGORIA],receitasvariáveisconsolidadojun[[#This Row],[ATUAL]])</f>
        <v>0</v>
      </c>
      <c r="L102" s="119" t="n">
        <f aca="false">SUMIFS(tabela_registros[VALOR],tabela_registros[MÊS],$AE$1,tabela_registros[DIA],receitasvariáveisconsolidadojun[[#Headers],[8]],tabela_registros[REGISTRO],DADOS!$N$3,tabela_registros[TIPO],DADOS!$V$4,tabela_registros[CATEGORIA],receitasvariáveisconsolidadojun[[#This Row],[ATUAL]])</f>
        <v>0</v>
      </c>
      <c r="M102" s="119" t="n">
        <f aca="false">SUMIFS(tabela_registros[VALOR],tabela_registros[MÊS],$AE$1,tabela_registros[DIA],receitasvariáveisconsolidadojun[[#Headers],[9]],tabela_registros[REGISTRO],DADOS!$N$3,tabela_registros[TIPO],DADOS!$V$4,tabela_registros[CATEGORIA],receitasvariáveisconsolidadojun[[#This Row],[ATUAL]])</f>
        <v>0</v>
      </c>
      <c r="N102" s="119" t="n">
        <f aca="false">SUMIFS(tabela_registros[VALOR],tabela_registros[MÊS],$AE$1,tabela_registros[DIA],receitasvariáveisconsolidadojun[[#Headers],[10]],tabela_registros[REGISTRO],DADOS!$N$3,tabela_registros[TIPO],DADOS!$V$4,tabela_registros[CATEGORIA],receitasvariáveisconsolidadojun[[#This Row],[ATUAL]])</f>
        <v>0</v>
      </c>
      <c r="O102" s="119" t="n">
        <f aca="false">SUMIFS(tabela_registros[VALOR],tabela_registros[MÊS],$AE$1,tabela_registros[DIA],receitasvariáveisconsolidadojun[[#Headers],[11]],tabela_registros[REGISTRO],DADOS!$N$3,tabela_registros[TIPO],DADOS!$V$4,tabela_registros[CATEGORIA],receitasvariáveisconsolidadojun[[#This Row],[ATUAL]])</f>
        <v>0</v>
      </c>
      <c r="P102" s="119" t="n">
        <f aca="false">SUMIFS(tabela_registros[VALOR],tabela_registros[MÊS],$AE$1,tabela_registros[DIA],receitasvariáveisconsolidadojun[[#Headers],[12]],tabela_registros[REGISTRO],DADOS!$N$3,tabela_registros[TIPO],DADOS!$V$4,tabela_registros[CATEGORIA],receitasvariáveisconsolidadojun[[#This Row],[ATUAL]])</f>
        <v>0</v>
      </c>
      <c r="Q102" s="119" t="n">
        <f aca="false">SUMIFS(tabela_registros[VALOR],tabela_registros[MÊS],$AE$1,tabela_registros[DIA],receitasvariáveisconsolidadojun[[#Headers],[13]],tabela_registros[REGISTRO],DADOS!$N$3,tabela_registros[TIPO],DADOS!$V$4,tabela_registros[CATEGORIA],receitasvariáveisconsolidadojun[[#This Row],[ATUAL]])</f>
        <v>0</v>
      </c>
      <c r="R102" s="119" t="n">
        <f aca="false">SUMIFS(tabela_registros[VALOR],tabela_registros[MÊS],$AE$1,tabela_registros[DIA],receitasvariáveisconsolidadojun[[#Headers],[14]],tabela_registros[REGISTRO],DADOS!$N$3,tabela_registros[TIPO],DADOS!$V$4,tabela_registros[CATEGORIA],receitasvariáveisconsolidadojun[[#This Row],[ATUAL]])</f>
        <v>0</v>
      </c>
      <c r="S102" s="119" t="n">
        <f aca="false">SUMIFS(tabela_registros[VALOR],tabela_registros[MÊS],$AE$1,tabela_registros[DIA],receitasvariáveisconsolidadojun[[#Headers],[15]],tabela_registros[REGISTRO],DADOS!$N$3,tabela_registros[TIPO],DADOS!$V$4,tabela_registros[CATEGORIA],receitasvariáveisconsolidadojun[[#This Row],[ATUAL]])</f>
        <v>0</v>
      </c>
      <c r="T102" s="119" t="n">
        <f aca="false">SUMIFS(tabela_registros[VALOR],tabela_registros[MÊS],$AE$1,tabela_registros[DIA],receitasvariáveisconsolidadojun[[#Headers],[16]],tabela_registros[REGISTRO],DADOS!$N$3,tabela_registros[TIPO],DADOS!$V$4,tabela_registros[CATEGORIA],receitasvariáveisconsolidadojun[[#This Row],[ATUAL]])</f>
        <v>0</v>
      </c>
      <c r="U102" s="119" t="n">
        <f aca="false">SUMIFS(tabela_registros[VALOR],tabela_registros[MÊS],$AE$1,tabela_registros[DIA],receitasvariáveisconsolidadojun[[#Headers],[17]],tabela_registros[REGISTRO],DADOS!$N$3,tabela_registros[TIPO],DADOS!$V$4,tabela_registros[CATEGORIA],receitasvariáveisconsolidadojun[[#This Row],[ATUAL]])</f>
        <v>0</v>
      </c>
      <c r="V102" s="119" t="n">
        <f aca="false">SUMIFS(tabela_registros[VALOR],tabela_registros[MÊS],$AE$1,tabela_registros[DIA],receitasvariáveisconsolidadojun[[#Headers],[18]],tabela_registros[REGISTRO],DADOS!$N$3,tabela_registros[TIPO],DADOS!$V$4,tabela_registros[CATEGORIA],receitasvariáveisconsolidadojun[[#This Row],[ATUAL]])</f>
        <v>0</v>
      </c>
      <c r="W102" s="119" t="n">
        <f aca="false">SUMIFS(tabela_registros[VALOR],tabela_registros[MÊS],$AE$1,tabela_registros[DIA],receitasvariáveisconsolidadojun[[#Headers],[19]],tabela_registros[REGISTRO],DADOS!$N$3,tabela_registros[TIPO],DADOS!$V$4,tabela_registros[CATEGORIA],receitasvariáveisconsolidadojun[[#This Row],[ATUAL]])</f>
        <v>0</v>
      </c>
      <c r="X102" s="119" t="n">
        <f aca="false">SUMIFS(tabela_registros[VALOR],tabela_registros[MÊS],$AE$1,tabela_registros[DIA],receitasvariáveisconsolidadojun[[#Headers],[20]],tabela_registros[REGISTRO],DADOS!$N$3,tabela_registros[TIPO],DADOS!$V$4,tabela_registros[CATEGORIA],receitasvariáveisconsolidadojun[[#This Row],[ATUAL]])</f>
        <v>0</v>
      </c>
      <c r="Y102" s="119" t="n">
        <f aca="false">SUMIFS(tabela_registros[VALOR],tabela_registros[MÊS],$AE$1,tabela_registros[DIA],receitasvariáveisconsolidadojun[[#Headers],[21]],tabela_registros[REGISTRO],DADOS!$N$3,tabela_registros[TIPO],DADOS!$V$4,tabela_registros[CATEGORIA],receitasvariáveisconsolidadojun[[#This Row],[ATUAL]])</f>
        <v>0</v>
      </c>
      <c r="Z102" s="119" t="n">
        <f aca="false">SUMIFS(tabela_registros[VALOR],tabela_registros[MÊS],$AE$1,tabela_registros[DIA],receitasvariáveisconsolidadojun[[#Headers],[22]],tabela_registros[REGISTRO],DADOS!$N$3,tabela_registros[TIPO],DADOS!$V$4,tabela_registros[CATEGORIA],receitasvariáveisconsolidadojun[[#This Row],[ATUAL]])</f>
        <v>0</v>
      </c>
      <c r="AA102" s="119" t="n">
        <f aca="false">SUMIFS(tabela_registros[VALOR],tabela_registros[MÊS],$AE$1,tabela_registros[DIA],receitasvariáveisconsolidadojun[[#Headers],[23]],tabela_registros[REGISTRO],DADOS!$N$3,tabela_registros[TIPO],DADOS!$V$4,tabela_registros[CATEGORIA],receitasvariáveisconsolidadojun[[#This Row],[ATUAL]])</f>
        <v>0</v>
      </c>
      <c r="AB102" s="119" t="n">
        <f aca="false">SUMIFS(tabela_registros[VALOR],tabela_registros[MÊS],$AE$1,tabela_registros[DIA],receitasvariáveisconsolidadojun[[#Headers],[24]],tabela_registros[REGISTRO],DADOS!$N$3,tabela_registros[TIPO],DADOS!$V$4,tabela_registros[CATEGORIA],receitasvariáveisconsolidadojun[[#This Row],[ATUAL]])</f>
        <v>0</v>
      </c>
      <c r="AC102" s="119" t="n">
        <f aca="false">SUMIFS(tabela_registros[VALOR],tabela_registros[MÊS],$AE$1,tabela_registros[DIA],receitasvariáveisconsolidadojun[[#Headers],[25]],tabela_registros[REGISTRO],DADOS!$N$3,tabela_registros[TIPO],DADOS!$V$4,tabela_registros[CATEGORIA],receitasvariáveisconsolidadojun[[#This Row],[ATUAL]])</f>
        <v>0</v>
      </c>
      <c r="AD102" s="119" t="n">
        <f aca="false">SUMIFS(tabela_registros[VALOR],tabela_registros[MÊS],$AE$1,tabela_registros[DIA],receitasvariáveisconsolidadojun[[#Headers],[26]],tabela_registros[REGISTRO],DADOS!$N$3,tabela_registros[TIPO],DADOS!$V$4,tabela_registros[CATEGORIA],receitasvariáveisconsolidadojun[[#This Row],[ATUAL]])</f>
        <v>0</v>
      </c>
      <c r="AE102" s="119" t="n">
        <f aca="false">SUMIFS(tabela_registros[VALOR],tabela_registros[MÊS],$AE$1,tabela_registros[DIA],receitasvariáveisconsolidadojun[[#Headers],[27]],tabela_registros[REGISTRO],DADOS!$N$3,tabela_registros[TIPO],DADOS!$V$4,tabela_registros[CATEGORIA],receitasvariáveisconsolidadojun[[#This Row],[ATUAL]])</f>
        <v>0</v>
      </c>
      <c r="AF102" s="119" t="n">
        <f aca="false">SUMIFS(tabela_registros[VALOR],tabela_registros[MÊS],$AE$1,tabela_registros[DIA],receitasvariáveisconsolidadojun[[#Headers],[28]],tabela_registros[REGISTRO],DADOS!$N$3,tabela_registros[TIPO],DADOS!$V$4,tabela_registros[CATEGORIA],receitasvariáveisconsolidadojun[[#This Row],[ATUAL]])</f>
        <v>0</v>
      </c>
      <c r="AG102" s="119" t="n">
        <f aca="false">SUMIFS(tabela_registros[VALOR],tabela_registros[MÊS],$AE$1,tabela_registros[DIA],receitasvariáveisconsolidadojun[[#Headers],[29]],tabela_registros[REGISTRO],DADOS!$N$3,tabela_registros[TIPO],DADOS!$V$4,tabela_registros[CATEGORIA],receitasvariáveisconsolidadojun[[#This Row],[ATUAL]])</f>
        <v>0</v>
      </c>
      <c r="AH102" s="119" t="n">
        <f aca="false">SUMIFS(tabela_registros[VALOR],tabela_registros[MÊS],$AE$1,tabela_registros[DIA],receitasvariáveisconsolidadojun[[#Headers],[30]],tabela_registros[REGISTRO],DADOS!$N$3,tabela_registros[TIPO],DADOS!$V$4,tabela_registros[CATEGORIA],receitasvariáveisconsolidadojun[[#This Row],[ATUAL]])</f>
        <v>0</v>
      </c>
      <c r="AI102" s="217" t="n">
        <f aca="false">SUMIFS(tabela_registros[VALOR],tabela_registros[MÊS],$AE$1,tabela_registros[DIA],receitasvariáveisconsolidadojun[[#Headers],[31]],tabela_registros[REGISTRO],DADOS!$N$3,tabela_registros[TIPO],DADOS!$V$4,tabela_registros[CATEGORIA],receitasvariáveisconsolidadojun[[#This Row],[ATUAL]])</f>
        <v>0</v>
      </c>
      <c r="AJ102" s="149" t="n">
        <f aca="false">SUM(receitasvariáveisconsolidadojun[[#This Row],[1]:[31]])</f>
        <v>0</v>
      </c>
      <c r="AK102" s="165"/>
    </row>
    <row r="103" customFormat="false" ht="18" hidden="false" customHeight="true" outlineLevel="0" collapsed="false">
      <c r="B103" s="143"/>
      <c r="C103" s="144" t="str">
        <f aca="false">DADOS!$Z$10</f>
        <v>📎 OUTROS</v>
      </c>
      <c r="D103" s="145" t="str">
        <f aca="false">IF(receitasvariáveisconsolidadojun[[#This Row],[TOTAL (R$)]]=0,"",IF(OR(receitasvariáveisconsolidadojun[[#This Row],[TOTAL (R$)]]=LARGE($AJ$96:$AJ$103,1),receitasvariáveisconsolidadojun[[#This Row],[TOTAL (R$)]]=LARGE($AJ$96:$AJ$103,2)),DADOS!$I$9,""))</f>
        <v/>
      </c>
      <c r="E103" s="148" t="n">
        <f aca="false">SUMIFS(tabela_registros[VALOR],tabela_registros[MÊS],$AE$1,tabela_registros[DIA],receitasvariáveisconsolidadojun[[#Headers],[1]],tabela_registros[REGISTRO],DADOS!$N$3,tabela_registros[TIPO],DADOS!$V$4,tabela_registros[CATEGORIA],receitasvariáveisconsolidadojun[[#This Row],[ATUAL]])</f>
        <v>0</v>
      </c>
      <c r="F103" s="119" t="n">
        <f aca="false">SUMIFS(tabela_registros[VALOR],tabela_registros[MÊS],$AE$1,tabela_registros[DIA],receitasvariáveisconsolidadojun[[#Headers],[2]],tabela_registros[REGISTRO],DADOS!$N$3,tabela_registros[TIPO],DADOS!$V$4,tabela_registros[CATEGORIA],receitasvariáveisconsolidadojun[[#This Row],[ATUAL]])</f>
        <v>0</v>
      </c>
      <c r="G103" s="119" t="n">
        <f aca="false">SUMIFS(tabela_registros[VALOR],tabela_registros[MÊS],$AE$1,tabela_registros[DIA],receitasvariáveisconsolidadojun[[#Headers],[3]],tabela_registros[REGISTRO],DADOS!$N$3,tabela_registros[TIPO],DADOS!$V$4,tabela_registros[CATEGORIA],receitasvariáveisconsolidadojun[[#This Row],[ATUAL]])</f>
        <v>0</v>
      </c>
      <c r="H103" s="119" t="n">
        <f aca="false">SUMIFS(tabela_registros[VALOR],tabela_registros[MÊS],$AE$1,tabela_registros[DIA],receitasvariáveisconsolidadojun[[#Headers],[4]],tabela_registros[REGISTRO],DADOS!$N$3,tabela_registros[TIPO],DADOS!$V$4,tabela_registros[CATEGORIA],receitasvariáveisconsolidadojun[[#This Row],[ATUAL]])</f>
        <v>0</v>
      </c>
      <c r="I103" s="119" t="n">
        <f aca="false">SUMIFS(tabela_registros[VALOR],tabela_registros[MÊS],$AE$1,tabela_registros[DIA],receitasvariáveisconsolidadojun[[#Headers],[5]],tabela_registros[REGISTRO],DADOS!$N$3,tabela_registros[TIPO],DADOS!$V$4,tabela_registros[CATEGORIA],receitasvariáveisconsolidadojun[[#This Row],[ATUAL]])</f>
        <v>0</v>
      </c>
      <c r="J103" s="119" t="n">
        <f aca="false">SUMIFS(tabela_registros[VALOR],tabela_registros[MÊS],$AE$1,tabela_registros[DIA],receitasvariáveisconsolidadojun[[#Headers],[6]],tabela_registros[REGISTRO],DADOS!$N$3,tabela_registros[TIPO],DADOS!$V$4,tabela_registros[CATEGORIA],receitasvariáveisconsolidadojun[[#This Row],[ATUAL]])</f>
        <v>0</v>
      </c>
      <c r="K103" s="119" t="n">
        <f aca="false">SUMIFS(tabela_registros[VALOR],tabela_registros[MÊS],$AE$1,tabela_registros[DIA],receitasvariáveisconsolidadojun[[#Headers],[7]],tabela_registros[REGISTRO],DADOS!$N$3,tabela_registros[TIPO],DADOS!$V$4,tabela_registros[CATEGORIA],receitasvariáveisconsolidadojun[[#This Row],[ATUAL]])</f>
        <v>0</v>
      </c>
      <c r="L103" s="119" t="n">
        <f aca="false">SUMIFS(tabela_registros[VALOR],tabela_registros[MÊS],$AE$1,tabela_registros[DIA],receitasvariáveisconsolidadojun[[#Headers],[8]],tabela_registros[REGISTRO],DADOS!$N$3,tabela_registros[TIPO],DADOS!$V$4,tabela_registros[CATEGORIA],receitasvariáveisconsolidadojun[[#This Row],[ATUAL]])</f>
        <v>0</v>
      </c>
      <c r="M103" s="119" t="n">
        <f aca="false">SUMIFS(tabela_registros[VALOR],tabela_registros[MÊS],$AE$1,tabela_registros[DIA],receitasvariáveisconsolidadojun[[#Headers],[9]],tabela_registros[REGISTRO],DADOS!$N$3,tabela_registros[TIPO],DADOS!$V$4,tabela_registros[CATEGORIA],receitasvariáveisconsolidadojun[[#This Row],[ATUAL]])</f>
        <v>0</v>
      </c>
      <c r="N103" s="119" t="n">
        <f aca="false">SUMIFS(tabela_registros[VALOR],tabela_registros[MÊS],$AE$1,tabela_registros[DIA],receitasvariáveisconsolidadojun[[#Headers],[10]],tabela_registros[REGISTRO],DADOS!$N$3,tabela_registros[TIPO],DADOS!$V$4,tabela_registros[CATEGORIA],receitasvariáveisconsolidadojun[[#This Row],[ATUAL]])</f>
        <v>0</v>
      </c>
      <c r="O103" s="119" t="n">
        <f aca="false">SUMIFS(tabela_registros[VALOR],tabela_registros[MÊS],$AE$1,tabela_registros[DIA],receitasvariáveisconsolidadojun[[#Headers],[11]],tabela_registros[REGISTRO],DADOS!$N$3,tabela_registros[TIPO],DADOS!$V$4,tabela_registros[CATEGORIA],receitasvariáveisconsolidadojun[[#This Row],[ATUAL]])</f>
        <v>0</v>
      </c>
      <c r="P103" s="119" t="n">
        <f aca="false">SUMIFS(tabela_registros[VALOR],tabela_registros[MÊS],$AE$1,tabela_registros[DIA],receitasvariáveisconsolidadojun[[#Headers],[12]],tabela_registros[REGISTRO],DADOS!$N$3,tabela_registros[TIPO],DADOS!$V$4,tabela_registros[CATEGORIA],receitasvariáveisconsolidadojun[[#This Row],[ATUAL]])</f>
        <v>0</v>
      </c>
      <c r="Q103" s="119" t="n">
        <f aca="false">SUMIFS(tabela_registros[VALOR],tabela_registros[MÊS],$AE$1,tabela_registros[DIA],receitasvariáveisconsolidadojun[[#Headers],[13]],tabela_registros[REGISTRO],DADOS!$N$3,tabela_registros[TIPO],DADOS!$V$4,tabela_registros[CATEGORIA],receitasvariáveisconsolidadojun[[#This Row],[ATUAL]])</f>
        <v>0</v>
      </c>
      <c r="R103" s="119" t="n">
        <f aca="false">SUMIFS(tabela_registros[VALOR],tabela_registros[MÊS],$AE$1,tabela_registros[DIA],receitasvariáveisconsolidadojun[[#Headers],[14]],tabela_registros[REGISTRO],DADOS!$N$3,tabela_registros[TIPO],DADOS!$V$4,tabela_registros[CATEGORIA],receitasvariáveisconsolidadojun[[#This Row],[ATUAL]])</f>
        <v>0</v>
      </c>
      <c r="S103" s="119" t="n">
        <f aca="false">SUMIFS(tabela_registros[VALOR],tabela_registros[MÊS],$AE$1,tabela_registros[DIA],receitasvariáveisconsolidadojun[[#Headers],[15]],tabela_registros[REGISTRO],DADOS!$N$3,tabela_registros[TIPO],DADOS!$V$4,tabela_registros[CATEGORIA],receitasvariáveisconsolidadojun[[#This Row],[ATUAL]])</f>
        <v>0</v>
      </c>
      <c r="T103" s="119" t="n">
        <f aca="false">SUMIFS(tabela_registros[VALOR],tabela_registros[MÊS],$AE$1,tabela_registros[DIA],receitasvariáveisconsolidadojun[[#Headers],[16]],tabela_registros[REGISTRO],DADOS!$N$3,tabela_registros[TIPO],DADOS!$V$4,tabela_registros[CATEGORIA],receitasvariáveisconsolidadojun[[#This Row],[ATUAL]])</f>
        <v>0</v>
      </c>
      <c r="U103" s="119" t="n">
        <f aca="false">SUMIFS(tabela_registros[VALOR],tabela_registros[MÊS],$AE$1,tabela_registros[DIA],receitasvariáveisconsolidadojun[[#Headers],[17]],tabela_registros[REGISTRO],DADOS!$N$3,tabela_registros[TIPO],DADOS!$V$4,tabela_registros[CATEGORIA],receitasvariáveisconsolidadojun[[#This Row],[ATUAL]])</f>
        <v>0</v>
      </c>
      <c r="V103" s="119" t="n">
        <f aca="false">SUMIFS(tabela_registros[VALOR],tabela_registros[MÊS],$AE$1,tabela_registros[DIA],receitasvariáveisconsolidadojun[[#Headers],[18]],tabela_registros[REGISTRO],DADOS!$N$3,tabela_registros[TIPO],DADOS!$V$4,tabela_registros[CATEGORIA],receitasvariáveisconsolidadojun[[#This Row],[ATUAL]])</f>
        <v>0</v>
      </c>
      <c r="W103" s="119" t="n">
        <f aca="false">SUMIFS(tabela_registros[VALOR],tabela_registros[MÊS],$AE$1,tabela_registros[DIA],receitasvariáveisconsolidadojun[[#Headers],[19]],tabela_registros[REGISTRO],DADOS!$N$3,tabela_registros[TIPO],DADOS!$V$4,tabela_registros[CATEGORIA],receitasvariáveisconsolidadojun[[#This Row],[ATUAL]])</f>
        <v>0</v>
      </c>
      <c r="X103" s="119" t="n">
        <f aca="false">SUMIFS(tabela_registros[VALOR],tabela_registros[MÊS],$AE$1,tabela_registros[DIA],receitasvariáveisconsolidadojun[[#Headers],[20]],tabela_registros[REGISTRO],DADOS!$N$3,tabela_registros[TIPO],DADOS!$V$4,tabela_registros[CATEGORIA],receitasvariáveisconsolidadojun[[#This Row],[ATUAL]])</f>
        <v>0</v>
      </c>
      <c r="Y103" s="119" t="n">
        <f aca="false">SUMIFS(tabela_registros[VALOR],tabela_registros[MÊS],$AE$1,tabela_registros[DIA],receitasvariáveisconsolidadojun[[#Headers],[21]],tabela_registros[REGISTRO],DADOS!$N$3,tabela_registros[TIPO],DADOS!$V$4,tabela_registros[CATEGORIA],receitasvariáveisconsolidadojun[[#This Row],[ATUAL]])</f>
        <v>0</v>
      </c>
      <c r="Z103" s="119" t="n">
        <f aca="false">SUMIFS(tabela_registros[VALOR],tabela_registros[MÊS],$AE$1,tabela_registros[DIA],receitasvariáveisconsolidadojun[[#Headers],[22]],tabela_registros[REGISTRO],DADOS!$N$3,tabela_registros[TIPO],DADOS!$V$4,tabela_registros[CATEGORIA],receitasvariáveisconsolidadojun[[#This Row],[ATUAL]])</f>
        <v>0</v>
      </c>
      <c r="AA103" s="119" t="n">
        <f aca="false">SUMIFS(tabela_registros[VALOR],tabela_registros[MÊS],$AE$1,tabela_registros[DIA],receitasvariáveisconsolidadojun[[#Headers],[23]],tabela_registros[REGISTRO],DADOS!$N$3,tabela_registros[TIPO],DADOS!$V$4,tabela_registros[CATEGORIA],receitasvariáveisconsolidadojun[[#This Row],[ATUAL]])</f>
        <v>0</v>
      </c>
      <c r="AB103" s="119" t="n">
        <f aca="false">SUMIFS(tabela_registros[VALOR],tabela_registros[MÊS],$AE$1,tabela_registros[DIA],receitasvariáveisconsolidadojun[[#Headers],[24]],tabela_registros[REGISTRO],DADOS!$N$3,tabela_registros[TIPO],DADOS!$V$4,tabela_registros[CATEGORIA],receitasvariáveisconsolidadojun[[#This Row],[ATUAL]])</f>
        <v>0</v>
      </c>
      <c r="AC103" s="119" t="n">
        <f aca="false">SUMIFS(tabela_registros[VALOR],tabela_registros[MÊS],$AE$1,tabela_registros[DIA],receitasvariáveisconsolidadojun[[#Headers],[25]],tabela_registros[REGISTRO],DADOS!$N$3,tabela_registros[TIPO],DADOS!$V$4,tabela_registros[CATEGORIA],receitasvariáveisconsolidadojun[[#This Row],[ATUAL]])</f>
        <v>0</v>
      </c>
      <c r="AD103" s="119" t="n">
        <f aca="false">SUMIFS(tabela_registros[VALOR],tabela_registros[MÊS],$AE$1,tabela_registros[DIA],receitasvariáveisconsolidadojun[[#Headers],[26]],tabela_registros[REGISTRO],DADOS!$N$3,tabela_registros[TIPO],DADOS!$V$4,tabela_registros[CATEGORIA],receitasvariáveisconsolidadojun[[#This Row],[ATUAL]])</f>
        <v>0</v>
      </c>
      <c r="AE103" s="119" t="n">
        <f aca="false">SUMIFS(tabela_registros[VALOR],tabela_registros[MÊS],$AE$1,tabela_registros[DIA],receitasvariáveisconsolidadojun[[#Headers],[27]],tabela_registros[REGISTRO],DADOS!$N$3,tabela_registros[TIPO],DADOS!$V$4,tabela_registros[CATEGORIA],receitasvariáveisconsolidadojun[[#This Row],[ATUAL]])</f>
        <v>0</v>
      </c>
      <c r="AF103" s="119" t="n">
        <f aca="false">SUMIFS(tabela_registros[VALOR],tabela_registros[MÊS],$AE$1,tabela_registros[DIA],receitasvariáveisconsolidadojun[[#Headers],[28]],tabela_registros[REGISTRO],DADOS!$N$3,tabela_registros[TIPO],DADOS!$V$4,tabela_registros[CATEGORIA],receitasvariáveisconsolidadojun[[#This Row],[ATUAL]])</f>
        <v>0</v>
      </c>
      <c r="AG103" s="119" t="n">
        <f aca="false">SUMIFS(tabela_registros[VALOR],tabela_registros[MÊS],$AE$1,tabela_registros[DIA],receitasvariáveisconsolidadojun[[#Headers],[29]],tabela_registros[REGISTRO],DADOS!$N$3,tabela_registros[TIPO],DADOS!$V$4,tabela_registros[CATEGORIA],receitasvariáveisconsolidadojun[[#This Row],[ATUAL]])</f>
        <v>0</v>
      </c>
      <c r="AH103" s="119" t="n">
        <f aca="false">SUMIFS(tabela_registros[VALOR],tabela_registros[MÊS],$AE$1,tabela_registros[DIA],receitasvariáveisconsolidadojun[[#Headers],[30]],tabela_registros[REGISTRO],DADOS!$N$3,tabela_registros[TIPO],DADOS!$V$4,tabela_registros[CATEGORIA],receitasvariáveisconsolidadojun[[#This Row],[ATUAL]])</f>
        <v>0</v>
      </c>
      <c r="AI103" s="218" t="n">
        <f aca="false">SUMIFS(tabela_registros[VALOR],tabela_registros[MÊS],$AE$1,tabela_registros[DIA],receitasvariáveisconsolidadojun[[#Headers],[31]],tabela_registros[REGISTRO],DADOS!$N$3,tabela_registros[TIPO],DADOS!$V$4,tabela_registros[CATEGORIA],receitasvariáveisconsolidadojun[[#This Row],[ATUAL]])</f>
        <v>0</v>
      </c>
      <c r="AJ103" s="149" t="n">
        <f aca="false">SUM(receitasvariáveisconsolidadojun[[#This Row],[1]:[31]])</f>
        <v>0</v>
      </c>
      <c r="AK103" s="165"/>
    </row>
    <row r="104" s="122" customFormat="true" ht="21" hidden="false" customHeight="true" outlineLevel="0" collapsed="false">
      <c r="B104" s="152"/>
      <c r="C104" s="153" t="s">
        <v>2</v>
      </c>
      <c r="D104" s="166"/>
      <c r="E104" s="155" t="n">
        <f aca="false">SUM(E96:E103)</f>
        <v>0</v>
      </c>
      <c r="F104" s="156" t="n">
        <f aca="false">SUM(F96:F103)+receitasvariáveisconsolidadojun[[#This Row],[1]]</f>
        <v>0</v>
      </c>
      <c r="G104" s="156" t="n">
        <f aca="false">SUM(G96:G103)+receitasvariáveisconsolidadojun[[#This Row],[2]]</f>
        <v>0</v>
      </c>
      <c r="H104" s="156" t="n">
        <f aca="false">SUM(H96:H103)+receitasvariáveisconsolidadojun[[#This Row],[3]]</f>
        <v>0</v>
      </c>
      <c r="I104" s="156" t="n">
        <f aca="false">SUM(I96:I103)+receitasvariáveisconsolidadojun[[#This Row],[4]]</f>
        <v>0</v>
      </c>
      <c r="J104" s="156" t="n">
        <f aca="false">SUM(J96:J103)+receitasvariáveisconsolidadojun[[#This Row],[5]]</f>
        <v>0</v>
      </c>
      <c r="K104" s="156" t="n">
        <f aca="false">SUM(K96:K103)+receitasvariáveisconsolidadojun[[#This Row],[6]]</f>
        <v>0</v>
      </c>
      <c r="L104" s="156" t="n">
        <f aca="false">SUM(L96:L103)+receitasvariáveisconsolidadojun[[#This Row],[7]]</f>
        <v>0</v>
      </c>
      <c r="M104" s="156" t="n">
        <f aca="false">SUM(M96:M103)+receitasvariáveisconsolidadojun[[#This Row],[8]]</f>
        <v>0</v>
      </c>
      <c r="N104" s="156" t="n">
        <f aca="false">SUM(N96:N103)+receitasvariáveisconsolidadojun[[#This Row],[9]]</f>
        <v>0</v>
      </c>
      <c r="O104" s="156" t="n">
        <f aca="false">SUM(O96:O103)+receitasvariáveisconsolidadojun[[#This Row],[10]]</f>
        <v>0</v>
      </c>
      <c r="P104" s="156" t="n">
        <f aca="false">SUM(P96:P103)+receitasvariáveisconsolidadojun[[#This Row],[11]]</f>
        <v>0</v>
      </c>
      <c r="Q104" s="156" t="n">
        <f aca="false">SUM(Q96:Q103)+receitasvariáveisconsolidadojun[[#This Row],[12]]</f>
        <v>0</v>
      </c>
      <c r="R104" s="156" t="n">
        <f aca="false">SUM(R96:R103)+receitasvariáveisconsolidadojun[[#This Row],[13]]</f>
        <v>0</v>
      </c>
      <c r="S104" s="156" t="n">
        <f aca="false">SUM(S96:S103)+receitasvariáveisconsolidadojun[[#This Row],[14]]</f>
        <v>0</v>
      </c>
      <c r="T104" s="156" t="n">
        <f aca="false">SUM(T96:T103)+receitasvariáveisconsolidadojun[[#This Row],[15]]</f>
        <v>0</v>
      </c>
      <c r="U104" s="156" t="n">
        <f aca="false">SUM(U96:U103)+receitasvariáveisconsolidadojun[[#This Row],[16]]</f>
        <v>0</v>
      </c>
      <c r="V104" s="156" t="n">
        <f aca="false">SUM(V96:V103)+receitasvariáveisconsolidadojun[[#This Row],[17]]</f>
        <v>0</v>
      </c>
      <c r="W104" s="156" t="n">
        <f aca="false">SUM(W96:W103)+receitasvariáveisconsolidadojun[[#This Row],[18]]</f>
        <v>0</v>
      </c>
      <c r="X104" s="156" t="n">
        <f aca="false">SUM(X96:X103)+receitasvariáveisconsolidadojun[[#This Row],[19]]</f>
        <v>0</v>
      </c>
      <c r="Y104" s="156" t="n">
        <f aca="false">SUM(Y96:Y103)+receitasvariáveisconsolidadojun[[#This Row],[20]]</f>
        <v>0</v>
      </c>
      <c r="Z104" s="156" t="n">
        <f aca="false">SUM(Z96:Z103)+receitasvariáveisconsolidadojun[[#This Row],[21]]</f>
        <v>0</v>
      </c>
      <c r="AA104" s="156" t="n">
        <f aca="false">SUM(AA96:AA103)+receitasvariáveisconsolidadojun[[#This Row],[22]]</f>
        <v>0</v>
      </c>
      <c r="AB104" s="156" t="n">
        <f aca="false">SUM(AB96:AB103)+receitasvariáveisconsolidadojun[[#This Row],[23]]</f>
        <v>0</v>
      </c>
      <c r="AC104" s="156" t="n">
        <f aca="false">SUM(AC96:AC103)+receitasvariáveisconsolidadojun[[#This Row],[24]]</f>
        <v>0</v>
      </c>
      <c r="AD104" s="156" t="n">
        <f aca="false">SUM(AD96:AD103)+receitasvariáveisconsolidadojun[[#This Row],[25]]</f>
        <v>0</v>
      </c>
      <c r="AE104" s="156" t="n">
        <f aca="false">SUM(AE96:AE103)+receitasvariáveisconsolidadojun[[#This Row],[26]]</f>
        <v>0</v>
      </c>
      <c r="AF104" s="156" t="n">
        <f aca="false">SUM(AF96:AF103)+receitasvariáveisconsolidadojun[[#This Row],[27]]</f>
        <v>0</v>
      </c>
      <c r="AG104" s="156" t="n">
        <f aca="false">SUM(AG96:AG103)+receitasvariáveisconsolidadojun[[#This Row],[28]]</f>
        <v>0</v>
      </c>
      <c r="AH104" s="156" t="n">
        <f aca="false">SUM(AH96:AH103)+receitasvariáveisconsolidadojun[[#This Row],[29]]</f>
        <v>0</v>
      </c>
      <c r="AI104" s="223" t="n">
        <f aca="false">SUM(AI96:AI103)+receitasvariáveisconsolidadojun[[#This Row],[30]]</f>
        <v>0</v>
      </c>
      <c r="AJ104" s="157" t="n">
        <f aca="false">receitasvariáveisconsolidadojun[[#This Row],[31]]</f>
        <v>0</v>
      </c>
      <c r="AK104" s="158"/>
    </row>
    <row r="105" customFormat="false" ht="6.75" hidden="false" customHeight="true" outlineLevel="0" collapsed="false">
      <c r="B105" s="97"/>
      <c r="C105" s="162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233"/>
      <c r="AJ105" s="164"/>
      <c r="AK105" s="244"/>
    </row>
    <row r="106" s="78" customFormat="true" ht="12.75" hidden="false" customHeight="false" outlineLevel="0" collapsed="false">
      <c r="E106" s="100"/>
    </row>
    <row r="107" s="78" customFormat="true" ht="12" hidden="false" customHeight="false" outlineLevel="0" collapsed="false"/>
    <row r="108" s="78" customFormat="true" ht="12" hidden="false" customHeight="false" outlineLevel="0" collapsed="false"/>
    <row r="109" customFormat="false" ht="39.75" hidden="false" customHeight="true" outlineLevel="0" collapsed="false">
      <c r="C109" s="101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3" t="s">
        <v>2</v>
      </c>
    </row>
    <row r="110" s="78" customFormat="true" ht="12.75" hidden="false" customHeight="false" outlineLevel="0" collapsed="false">
      <c r="B110" s="161"/>
      <c r="AJ110" s="106" t="s">
        <v>64</v>
      </c>
    </row>
    <row r="111" customFormat="false" ht="6.75" hidden="false" customHeight="true" outlineLevel="0" collapsed="false">
      <c r="B111" s="86"/>
      <c r="C111" s="162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233"/>
      <c r="AK111" s="139"/>
    </row>
    <row r="112" customFormat="false" ht="13.5" hidden="true" customHeight="false" outlineLevel="0" collapsed="false">
      <c r="B112" s="86"/>
      <c r="C112" s="109" t="s">
        <v>68</v>
      </c>
      <c r="D112" s="110" t="s">
        <v>69</v>
      </c>
      <c r="E112" s="110" t="s">
        <v>30</v>
      </c>
      <c r="F112" s="110" t="s">
        <v>31</v>
      </c>
      <c r="G112" s="110" t="s">
        <v>32</v>
      </c>
      <c r="H112" s="110" t="s">
        <v>33</v>
      </c>
      <c r="I112" s="110" t="s">
        <v>34</v>
      </c>
      <c r="J112" s="110" t="s">
        <v>35</v>
      </c>
      <c r="K112" s="110" t="s">
        <v>36</v>
      </c>
      <c r="L112" s="110" t="s">
        <v>37</v>
      </c>
      <c r="M112" s="110" t="s">
        <v>38</v>
      </c>
      <c r="N112" s="110" t="s">
        <v>39</v>
      </c>
      <c r="O112" s="110" t="s">
        <v>40</v>
      </c>
      <c r="P112" s="110" t="s">
        <v>41</v>
      </c>
      <c r="Q112" s="110" t="s">
        <v>81</v>
      </c>
      <c r="R112" s="110" t="s">
        <v>82</v>
      </c>
      <c r="S112" s="110" t="s">
        <v>83</v>
      </c>
      <c r="T112" s="110" t="s">
        <v>84</v>
      </c>
      <c r="U112" s="110" t="s">
        <v>85</v>
      </c>
      <c r="V112" s="110" t="s">
        <v>86</v>
      </c>
      <c r="W112" s="110" t="s">
        <v>87</v>
      </c>
      <c r="X112" s="110" t="s">
        <v>88</v>
      </c>
      <c r="Y112" s="110" t="s">
        <v>89</v>
      </c>
      <c r="Z112" s="110" t="s">
        <v>90</v>
      </c>
      <c r="AA112" s="110" t="s">
        <v>91</v>
      </c>
      <c r="AB112" s="110" t="s">
        <v>92</v>
      </c>
      <c r="AC112" s="110" t="s">
        <v>93</v>
      </c>
      <c r="AD112" s="110" t="s">
        <v>94</v>
      </c>
      <c r="AE112" s="110" t="s">
        <v>95</v>
      </c>
      <c r="AF112" s="110" t="s">
        <v>96</v>
      </c>
      <c r="AG112" s="110" t="s">
        <v>97</v>
      </c>
      <c r="AH112" s="110" t="s">
        <v>98</v>
      </c>
      <c r="AI112" s="110" t="s">
        <v>99</v>
      </c>
      <c r="AJ112" s="111" t="s">
        <v>70</v>
      </c>
      <c r="AK112" s="86"/>
    </row>
    <row r="113" customFormat="false" ht="19.5" hidden="false" customHeight="true" outlineLevel="0" collapsed="false">
      <c r="B113" s="143"/>
      <c r="C113" s="144" t="str">
        <f aca="false">DADOS!$AD$3</f>
        <v>📝 CDB</v>
      </c>
      <c r="D113" s="145" t="str">
        <f aca="false">IF(investirrendafixaconsolidadojun[[#This Row],[TOTAL (R$)]]=0,"",IF(OR(investirrendafixaconsolidadojun[[#This Row],[TOTAL (R$)]]=LARGE($AJ$113:$AJ$122,1),investirrendafixaconsolidadojun[[#This Row],[TOTAL (R$)]]=LARGE($AJ$113:$AJ$122,2)),DADOS!$I$10,""))</f>
        <v/>
      </c>
      <c r="E113" s="148" t="n">
        <f aca="false">SUMIFS(tabela_registros[VALOR],tabela_registros[MÊS],$AE$1,tabela_registros[DIA],investirrendafixaconsolidadojun[[#Headers],[1]],tabela_registros[REGISTRO],DADOS!$N$5,tabela_registros[TIPO],DADOS!$AB$3,tabela_registros[CATEGORIA],investirrendafixaconsolidadojun[[#This Row],[ATUAL]])</f>
        <v>0</v>
      </c>
      <c r="F113" s="119" t="n">
        <f aca="false">SUMIFS(tabela_registros[VALOR],tabela_registros[MÊS],$AE$1,tabela_registros[DIA],investirrendafixaconsolidadojun[[#Headers],[2]],tabela_registros[REGISTRO],DADOS!$N$5,tabela_registros[TIPO],DADOS!$AB$3,tabela_registros[CATEGORIA],investirrendafixaconsolidadojun[[#This Row],[ATUAL]])</f>
        <v>0</v>
      </c>
      <c r="G113" s="119" t="n">
        <f aca="false">SUMIFS(tabela_registros[VALOR],tabela_registros[MÊS],$AE$1,tabela_registros[DIA],investirrendafixaconsolidadojun[[#Headers],[3]],tabela_registros[REGISTRO],DADOS!$N$5,tabela_registros[TIPO],DADOS!$AB$3,tabela_registros[CATEGORIA],investirrendafixaconsolidadojun[[#This Row],[ATUAL]])</f>
        <v>0</v>
      </c>
      <c r="H113" s="119" t="n">
        <f aca="false">SUMIFS(tabela_registros[VALOR],tabela_registros[MÊS],$AE$1,tabela_registros[DIA],investirrendafixaconsolidadojun[[#Headers],[4]],tabela_registros[REGISTRO],DADOS!$N$5,tabela_registros[TIPO],DADOS!$AB$3,tabela_registros[CATEGORIA],investirrendafixaconsolidadojun[[#This Row],[ATUAL]])</f>
        <v>0</v>
      </c>
      <c r="I113" s="119" t="n">
        <f aca="false">SUMIFS(tabela_registros[VALOR],tabela_registros[MÊS],$AE$1,tabela_registros[DIA],investirrendafixaconsolidadojun[[#Headers],[5]],tabela_registros[REGISTRO],DADOS!$N$5,tabela_registros[TIPO],DADOS!$AB$3,tabela_registros[CATEGORIA],investirrendafixaconsolidadojun[[#This Row],[ATUAL]])</f>
        <v>0</v>
      </c>
      <c r="J113" s="119" t="n">
        <f aca="false">SUMIFS(tabela_registros[VALOR],tabela_registros[MÊS],$AE$1,tabela_registros[DIA],investirrendafixaconsolidadojun[[#Headers],[6]],tabela_registros[REGISTRO],DADOS!$N$5,tabela_registros[TIPO],DADOS!$AB$3,tabela_registros[CATEGORIA],investirrendafixaconsolidadojun[[#This Row],[ATUAL]])</f>
        <v>0</v>
      </c>
      <c r="K113" s="119" t="n">
        <f aca="false">SUMIFS(tabela_registros[VALOR],tabela_registros[MÊS],$AE$1,tabela_registros[DIA],investirrendafixaconsolidadojun[[#Headers],[7]],tabela_registros[REGISTRO],DADOS!$N$5,tabela_registros[TIPO],DADOS!$AB$3,tabela_registros[CATEGORIA],investirrendafixaconsolidadojun[[#This Row],[ATUAL]])</f>
        <v>0</v>
      </c>
      <c r="L113" s="119" t="n">
        <f aca="false">SUMIFS(tabela_registros[VALOR],tabela_registros[MÊS],$AE$1,tabela_registros[DIA],investirrendafixaconsolidadojun[[#Headers],[8]],tabela_registros[REGISTRO],DADOS!$N$5,tabela_registros[TIPO],DADOS!$AB$3,tabela_registros[CATEGORIA],investirrendafixaconsolidadojun[[#This Row],[ATUAL]])</f>
        <v>0</v>
      </c>
      <c r="M113" s="119" t="n">
        <f aca="false">SUMIFS(tabela_registros[VALOR],tabela_registros[MÊS],$AE$1,tabela_registros[DIA],investirrendafixaconsolidadojun[[#Headers],[9]],tabela_registros[REGISTRO],DADOS!$N$5,tabela_registros[TIPO],DADOS!$AB$3,tabela_registros[CATEGORIA],investirrendafixaconsolidadojun[[#This Row],[ATUAL]])</f>
        <v>0</v>
      </c>
      <c r="N113" s="119" t="n">
        <f aca="false">SUMIFS(tabela_registros[VALOR],tabela_registros[MÊS],$AE$1,tabela_registros[DIA],investirrendafixaconsolidadojun[[#Headers],[10]],tabela_registros[REGISTRO],DADOS!$N$5,tabela_registros[TIPO],DADOS!$AB$3,tabela_registros[CATEGORIA],investirrendafixaconsolidadojun[[#This Row],[ATUAL]])</f>
        <v>0</v>
      </c>
      <c r="O113" s="119" t="n">
        <f aca="false">SUMIFS(tabela_registros[VALOR],tabela_registros[MÊS],$AE$1,tabela_registros[DIA],investirrendafixaconsolidadojun[[#Headers],[11]],tabela_registros[REGISTRO],DADOS!$N$5,tabela_registros[TIPO],DADOS!$AB$3,tabela_registros[CATEGORIA],investirrendafixaconsolidadojun[[#This Row],[ATUAL]])</f>
        <v>0</v>
      </c>
      <c r="P113" s="119" t="n">
        <f aca="false">SUMIFS(tabela_registros[VALOR],tabela_registros[MÊS],$AE$1,tabela_registros[DIA],investirrendafixaconsolidadojun[[#Headers],[12]],tabela_registros[REGISTRO],DADOS!$N$5,tabela_registros[TIPO],DADOS!$AB$3,tabela_registros[CATEGORIA],investirrendafixaconsolidadojun[[#This Row],[ATUAL]])</f>
        <v>0</v>
      </c>
      <c r="Q113" s="119" t="n">
        <f aca="false">SUMIFS(tabela_registros[VALOR],tabela_registros[MÊS],$AE$1,tabela_registros[DIA],investirrendafixaconsolidadojun[[#Headers],[13]],tabela_registros[REGISTRO],DADOS!$N$5,tabela_registros[TIPO],DADOS!$AB$3,tabela_registros[CATEGORIA],investirrendafixaconsolidadojun[[#This Row],[ATUAL]])</f>
        <v>0</v>
      </c>
      <c r="R113" s="119" t="n">
        <f aca="false">SUMIFS(tabela_registros[VALOR],tabela_registros[MÊS],$AE$1,tabela_registros[DIA],investirrendafixaconsolidadojun[[#Headers],[14]],tabela_registros[REGISTRO],DADOS!$N$5,tabela_registros[TIPO],DADOS!$AB$3,tabela_registros[CATEGORIA],investirrendafixaconsolidadojun[[#This Row],[ATUAL]])</f>
        <v>0</v>
      </c>
      <c r="S113" s="119" t="n">
        <f aca="false">SUMIFS(tabela_registros[VALOR],tabela_registros[MÊS],$AE$1,tabela_registros[DIA],investirrendafixaconsolidadojun[[#Headers],[15]],tabela_registros[REGISTRO],DADOS!$N$5,tabela_registros[TIPO],DADOS!$AB$3,tabela_registros[CATEGORIA],investirrendafixaconsolidadojun[[#This Row],[ATUAL]])</f>
        <v>0</v>
      </c>
      <c r="T113" s="119" t="n">
        <f aca="false">SUMIFS(tabela_registros[VALOR],tabela_registros[MÊS],$AE$1,tabela_registros[DIA],investirrendafixaconsolidadojun[[#Headers],[16]],tabela_registros[REGISTRO],DADOS!$N$5,tabela_registros[TIPO],DADOS!$AB$3,tabela_registros[CATEGORIA],investirrendafixaconsolidadojun[[#This Row],[ATUAL]])</f>
        <v>0</v>
      </c>
      <c r="U113" s="119" t="n">
        <f aca="false">SUMIFS(tabela_registros[VALOR],tabela_registros[MÊS],$AE$1,tabela_registros[DIA],investirrendafixaconsolidadojun[[#Headers],[17]],tabela_registros[REGISTRO],DADOS!$N$5,tabela_registros[TIPO],DADOS!$AB$3,tabela_registros[CATEGORIA],investirrendafixaconsolidadojun[[#This Row],[ATUAL]])</f>
        <v>0</v>
      </c>
      <c r="V113" s="119" t="n">
        <f aca="false">SUMIFS(tabela_registros[VALOR],tabela_registros[MÊS],$AE$1,tabela_registros[DIA],investirrendafixaconsolidadojun[[#Headers],[18]],tabela_registros[REGISTRO],DADOS!$N$5,tabela_registros[TIPO],DADOS!$AB$3,tabela_registros[CATEGORIA],investirrendafixaconsolidadojun[[#This Row],[ATUAL]])</f>
        <v>0</v>
      </c>
      <c r="W113" s="119" t="n">
        <f aca="false">SUMIFS(tabela_registros[VALOR],tabela_registros[MÊS],$AE$1,tabela_registros[DIA],investirrendafixaconsolidadojun[[#Headers],[19]],tabela_registros[REGISTRO],DADOS!$N$5,tabela_registros[TIPO],DADOS!$AB$3,tabela_registros[CATEGORIA],investirrendafixaconsolidadojun[[#This Row],[ATUAL]])</f>
        <v>0</v>
      </c>
      <c r="X113" s="119" t="n">
        <f aca="false">SUMIFS(tabela_registros[VALOR],tabela_registros[MÊS],$AE$1,tabela_registros[DIA],investirrendafixaconsolidadojun[[#Headers],[20]],tabela_registros[REGISTRO],DADOS!$N$5,tabela_registros[TIPO],DADOS!$AB$3,tabela_registros[CATEGORIA],investirrendafixaconsolidadojun[[#This Row],[ATUAL]])</f>
        <v>0</v>
      </c>
      <c r="Y113" s="119" t="n">
        <f aca="false">SUMIFS(tabela_registros[VALOR],tabela_registros[MÊS],$AE$1,tabela_registros[DIA],investirrendafixaconsolidadojun[[#Headers],[21]],tabela_registros[REGISTRO],DADOS!$N$5,tabela_registros[TIPO],DADOS!$AB$3,tabela_registros[CATEGORIA],investirrendafixaconsolidadojun[[#This Row],[ATUAL]])</f>
        <v>0</v>
      </c>
      <c r="Z113" s="119" t="n">
        <f aca="false">SUMIFS(tabela_registros[VALOR],tabela_registros[MÊS],$AE$1,tabela_registros[DIA],investirrendafixaconsolidadojun[[#Headers],[22]],tabela_registros[REGISTRO],DADOS!$N$5,tabela_registros[TIPO],DADOS!$AB$3,tabela_registros[CATEGORIA],investirrendafixaconsolidadojun[[#This Row],[ATUAL]])</f>
        <v>0</v>
      </c>
      <c r="AA113" s="119" t="n">
        <f aca="false">SUMIFS(tabela_registros[VALOR],tabela_registros[MÊS],$AE$1,tabela_registros[DIA],investirrendafixaconsolidadojun[[#Headers],[23]],tabela_registros[REGISTRO],DADOS!$N$5,tabela_registros[TIPO],DADOS!$AB$3,tabela_registros[CATEGORIA],investirrendafixaconsolidadojun[[#This Row],[ATUAL]])</f>
        <v>0</v>
      </c>
      <c r="AB113" s="119" t="n">
        <f aca="false">SUMIFS(tabela_registros[VALOR],tabela_registros[MÊS],$AE$1,tabela_registros[DIA],investirrendafixaconsolidadojun[[#Headers],[24]],tabela_registros[REGISTRO],DADOS!$N$5,tabela_registros[TIPO],DADOS!$AB$3,tabela_registros[CATEGORIA],investirrendafixaconsolidadojun[[#This Row],[ATUAL]])</f>
        <v>0</v>
      </c>
      <c r="AC113" s="119" t="n">
        <f aca="false">SUMIFS(tabela_registros[VALOR],tabela_registros[MÊS],$AE$1,tabela_registros[DIA],investirrendafixaconsolidadojun[[#Headers],[25]],tabela_registros[REGISTRO],DADOS!$N$5,tabela_registros[TIPO],DADOS!$AB$3,tabela_registros[CATEGORIA],investirrendafixaconsolidadojun[[#This Row],[ATUAL]])</f>
        <v>0</v>
      </c>
      <c r="AD113" s="119" t="n">
        <f aca="false">SUMIFS(tabela_registros[VALOR],tabela_registros[MÊS],$AE$1,tabela_registros[DIA],investirrendafixaconsolidadojun[[#Headers],[26]],tabela_registros[REGISTRO],DADOS!$N$5,tabela_registros[TIPO],DADOS!$AB$3,tabela_registros[CATEGORIA],investirrendafixaconsolidadojun[[#This Row],[ATUAL]])</f>
        <v>0</v>
      </c>
      <c r="AE113" s="119" t="n">
        <f aca="false">SUMIFS(tabela_registros[VALOR],tabela_registros[MÊS],$AE$1,tabela_registros[DIA],investirrendafixaconsolidadojun[[#Headers],[27]],tabela_registros[REGISTRO],DADOS!$N$5,tabela_registros[TIPO],DADOS!$AB$3,tabela_registros[CATEGORIA],investirrendafixaconsolidadojun[[#This Row],[ATUAL]])</f>
        <v>0</v>
      </c>
      <c r="AF113" s="119" t="n">
        <f aca="false">SUMIFS(tabela_registros[VALOR],tabela_registros[MÊS],$AE$1,tabela_registros[DIA],investirrendafixaconsolidadojun[[#Headers],[28]],tabela_registros[REGISTRO],DADOS!$N$5,tabela_registros[TIPO],DADOS!$AB$3,tabela_registros[CATEGORIA],investirrendafixaconsolidadojun[[#This Row],[ATUAL]])</f>
        <v>0</v>
      </c>
      <c r="AG113" s="119" t="n">
        <f aca="false">SUMIFS(tabela_registros[VALOR],tabela_registros[MÊS],$AE$1,tabela_registros[DIA],investirrendafixaconsolidadojun[[#Headers],[29]],tabela_registros[REGISTRO],DADOS!$N$5,tabela_registros[TIPO],DADOS!$AB$3,tabela_registros[CATEGORIA],investirrendafixaconsolidadojun[[#This Row],[ATUAL]])</f>
        <v>0</v>
      </c>
      <c r="AH113" s="119" t="n">
        <f aca="false">SUMIFS(tabela_registros[VALOR],tabela_registros[MÊS],$AE$1,tabela_registros[DIA],investirrendafixaconsolidadojun[[#Headers],[30]],tabela_registros[REGISTRO],DADOS!$N$5,tabela_registros[TIPO],DADOS!$AB$3,tabela_registros[CATEGORIA],investirrendafixaconsolidadojun[[#This Row],[ATUAL]])</f>
        <v>0</v>
      </c>
      <c r="AI113" s="217" t="n">
        <f aca="false">SUMIFS(tabela_registros[VALOR],tabela_registros[MÊS],$AE$1,tabela_registros[DIA],investirrendafixaconsolidadojun[[#Headers],[31]],tabela_registros[REGISTRO],DADOS!$N$5,tabela_registros[TIPO],DADOS!$AB$3,tabela_registros[CATEGORIA],investirrendafixaconsolidadojun[[#This Row],[ATUAL]])</f>
        <v>0</v>
      </c>
      <c r="AJ113" s="149" t="n">
        <f aca="false">SUM(investirrendafixaconsolidadojun[[#This Row],[1]:[31]])</f>
        <v>0</v>
      </c>
      <c r="AK113" s="165"/>
    </row>
    <row r="114" customFormat="false" ht="19.5" hidden="false" customHeight="true" outlineLevel="0" collapsed="false">
      <c r="B114" s="143"/>
      <c r="C114" s="144" t="str">
        <f aca="false">DADOS!$AD$4</f>
        <v>📝 CRA</v>
      </c>
      <c r="D114" s="145" t="str">
        <f aca="false">IF(investirrendafixaconsolidadojun[[#This Row],[TOTAL (R$)]]=0,"",IF(OR(investirrendafixaconsolidadojun[[#This Row],[TOTAL (R$)]]=LARGE($AJ$113:$AJ$122,1),investirrendafixaconsolidadojun[[#This Row],[TOTAL (R$)]]=LARGE($AJ$113:$AJ$122,2)),DADOS!$I$10,""))</f>
        <v/>
      </c>
      <c r="E114" s="148" t="n">
        <f aca="false">SUMIFS(tabela_registros[VALOR],tabela_registros[MÊS],$AE$1,tabela_registros[DIA],investirrendafixaconsolidadojun[[#Headers],[1]],tabela_registros[REGISTRO],DADOS!$N$5,tabela_registros[TIPO],DADOS!$AB$3,tabela_registros[CATEGORIA],investirrendafixaconsolidadojun[[#This Row],[ATUAL]])</f>
        <v>0</v>
      </c>
      <c r="F114" s="119" t="n">
        <f aca="false">SUMIFS(tabela_registros[VALOR],tabela_registros[MÊS],$AE$1,tabela_registros[DIA],investirrendafixaconsolidadojun[[#Headers],[2]],tabela_registros[REGISTRO],DADOS!$N$5,tabela_registros[TIPO],DADOS!$AB$3,tabela_registros[CATEGORIA],investirrendafixaconsolidadojun[[#This Row],[ATUAL]])</f>
        <v>0</v>
      </c>
      <c r="G114" s="119" t="n">
        <f aca="false">SUMIFS(tabela_registros[VALOR],tabela_registros[MÊS],$AE$1,tabela_registros[DIA],investirrendafixaconsolidadojun[[#Headers],[3]],tabela_registros[REGISTRO],DADOS!$N$5,tabela_registros[TIPO],DADOS!$AB$3,tabela_registros[CATEGORIA],investirrendafixaconsolidadojun[[#This Row],[ATUAL]])</f>
        <v>0</v>
      </c>
      <c r="H114" s="119" t="n">
        <f aca="false">SUMIFS(tabela_registros[VALOR],tabela_registros[MÊS],$AE$1,tabela_registros[DIA],investirrendafixaconsolidadojun[[#Headers],[4]],tabela_registros[REGISTRO],DADOS!$N$5,tabela_registros[TIPO],DADOS!$AB$3,tabela_registros[CATEGORIA],investirrendafixaconsolidadojun[[#This Row],[ATUAL]])</f>
        <v>0</v>
      </c>
      <c r="I114" s="119" t="n">
        <f aca="false">SUMIFS(tabela_registros[VALOR],tabela_registros[MÊS],$AE$1,tabela_registros[DIA],investirrendafixaconsolidadojun[[#Headers],[5]],tabela_registros[REGISTRO],DADOS!$N$5,tabela_registros[TIPO],DADOS!$AB$3,tabela_registros[CATEGORIA],investirrendafixaconsolidadojun[[#This Row],[ATUAL]])</f>
        <v>0</v>
      </c>
      <c r="J114" s="119" t="n">
        <f aca="false">SUMIFS(tabela_registros[VALOR],tabela_registros[MÊS],$AE$1,tabela_registros[DIA],investirrendafixaconsolidadojun[[#Headers],[6]],tabela_registros[REGISTRO],DADOS!$N$5,tabela_registros[TIPO],DADOS!$AB$3,tabela_registros[CATEGORIA],investirrendafixaconsolidadojun[[#This Row],[ATUAL]])</f>
        <v>0</v>
      </c>
      <c r="K114" s="119" t="n">
        <f aca="false">SUMIFS(tabela_registros[VALOR],tabela_registros[MÊS],$AE$1,tabela_registros[DIA],investirrendafixaconsolidadojun[[#Headers],[7]],tabela_registros[REGISTRO],DADOS!$N$5,tabela_registros[TIPO],DADOS!$AB$3,tabela_registros[CATEGORIA],investirrendafixaconsolidadojun[[#This Row],[ATUAL]])</f>
        <v>0</v>
      </c>
      <c r="L114" s="119" t="n">
        <f aca="false">SUMIFS(tabela_registros[VALOR],tabela_registros[MÊS],$AE$1,tabela_registros[DIA],investirrendafixaconsolidadojun[[#Headers],[8]],tabela_registros[REGISTRO],DADOS!$N$5,tabela_registros[TIPO],DADOS!$AB$3,tabela_registros[CATEGORIA],investirrendafixaconsolidadojun[[#This Row],[ATUAL]])</f>
        <v>0</v>
      </c>
      <c r="M114" s="119" t="n">
        <f aca="false">SUMIFS(tabela_registros[VALOR],tabela_registros[MÊS],$AE$1,tabela_registros[DIA],investirrendafixaconsolidadojun[[#Headers],[9]],tabela_registros[REGISTRO],DADOS!$N$5,tabela_registros[TIPO],DADOS!$AB$3,tabela_registros[CATEGORIA],investirrendafixaconsolidadojun[[#This Row],[ATUAL]])</f>
        <v>0</v>
      </c>
      <c r="N114" s="119" t="n">
        <f aca="false">SUMIFS(tabela_registros[VALOR],tabela_registros[MÊS],$AE$1,tabela_registros[DIA],investirrendafixaconsolidadojun[[#Headers],[10]],tabela_registros[REGISTRO],DADOS!$N$5,tabela_registros[TIPO],DADOS!$AB$3,tabela_registros[CATEGORIA],investirrendafixaconsolidadojun[[#This Row],[ATUAL]])</f>
        <v>0</v>
      </c>
      <c r="O114" s="119" t="n">
        <f aca="false">SUMIFS(tabela_registros[VALOR],tabela_registros[MÊS],$AE$1,tabela_registros[DIA],investirrendafixaconsolidadojun[[#Headers],[11]],tabela_registros[REGISTRO],DADOS!$N$5,tabela_registros[TIPO],DADOS!$AB$3,tabela_registros[CATEGORIA],investirrendafixaconsolidadojun[[#This Row],[ATUAL]])</f>
        <v>0</v>
      </c>
      <c r="P114" s="119" t="n">
        <f aca="false">SUMIFS(tabela_registros[VALOR],tabela_registros[MÊS],$AE$1,tabela_registros[DIA],investirrendafixaconsolidadojun[[#Headers],[12]],tabela_registros[REGISTRO],DADOS!$N$5,tabela_registros[TIPO],DADOS!$AB$3,tabela_registros[CATEGORIA],investirrendafixaconsolidadojun[[#This Row],[ATUAL]])</f>
        <v>0</v>
      </c>
      <c r="Q114" s="119" t="n">
        <f aca="false">SUMIFS(tabela_registros[VALOR],tabela_registros[MÊS],$AE$1,tabela_registros[DIA],investirrendafixaconsolidadojun[[#Headers],[13]],tabela_registros[REGISTRO],DADOS!$N$5,tabela_registros[TIPO],DADOS!$AB$3,tabela_registros[CATEGORIA],investirrendafixaconsolidadojun[[#This Row],[ATUAL]])</f>
        <v>0</v>
      </c>
      <c r="R114" s="119" t="n">
        <f aca="false">SUMIFS(tabela_registros[VALOR],tabela_registros[MÊS],$AE$1,tabela_registros[DIA],investirrendafixaconsolidadojun[[#Headers],[14]],tabela_registros[REGISTRO],DADOS!$N$5,tabela_registros[TIPO],DADOS!$AB$3,tabela_registros[CATEGORIA],investirrendafixaconsolidadojun[[#This Row],[ATUAL]])</f>
        <v>0</v>
      </c>
      <c r="S114" s="119" t="n">
        <f aca="false">SUMIFS(tabela_registros[VALOR],tabela_registros[MÊS],$AE$1,tabela_registros[DIA],investirrendafixaconsolidadojun[[#Headers],[15]],tabela_registros[REGISTRO],DADOS!$N$5,tabela_registros[TIPO],DADOS!$AB$3,tabela_registros[CATEGORIA],investirrendafixaconsolidadojun[[#This Row],[ATUAL]])</f>
        <v>0</v>
      </c>
      <c r="T114" s="119" t="n">
        <f aca="false">SUMIFS(tabela_registros[VALOR],tabela_registros[MÊS],$AE$1,tabela_registros[DIA],investirrendafixaconsolidadojun[[#Headers],[16]],tabela_registros[REGISTRO],DADOS!$N$5,tabela_registros[TIPO],DADOS!$AB$3,tabela_registros[CATEGORIA],investirrendafixaconsolidadojun[[#This Row],[ATUAL]])</f>
        <v>0</v>
      </c>
      <c r="U114" s="119" t="n">
        <f aca="false">SUMIFS(tabela_registros[VALOR],tabela_registros[MÊS],$AE$1,tabela_registros[DIA],investirrendafixaconsolidadojun[[#Headers],[17]],tabela_registros[REGISTRO],DADOS!$N$5,tabela_registros[TIPO],DADOS!$AB$3,tabela_registros[CATEGORIA],investirrendafixaconsolidadojun[[#This Row],[ATUAL]])</f>
        <v>0</v>
      </c>
      <c r="V114" s="119" t="n">
        <f aca="false">SUMIFS(tabela_registros[VALOR],tabela_registros[MÊS],$AE$1,tabela_registros[DIA],investirrendafixaconsolidadojun[[#Headers],[18]],tabela_registros[REGISTRO],DADOS!$N$5,tabela_registros[TIPO],DADOS!$AB$3,tabela_registros[CATEGORIA],investirrendafixaconsolidadojun[[#This Row],[ATUAL]])</f>
        <v>0</v>
      </c>
      <c r="W114" s="119" t="n">
        <f aca="false">SUMIFS(tabela_registros[VALOR],tabela_registros[MÊS],$AE$1,tabela_registros[DIA],investirrendafixaconsolidadojun[[#Headers],[19]],tabela_registros[REGISTRO],DADOS!$N$5,tabela_registros[TIPO],DADOS!$AB$3,tabela_registros[CATEGORIA],investirrendafixaconsolidadojun[[#This Row],[ATUAL]])</f>
        <v>0</v>
      </c>
      <c r="X114" s="119" t="n">
        <f aca="false">SUMIFS(tabela_registros[VALOR],tabela_registros[MÊS],$AE$1,tabela_registros[DIA],investirrendafixaconsolidadojun[[#Headers],[20]],tabela_registros[REGISTRO],DADOS!$N$5,tabela_registros[TIPO],DADOS!$AB$3,tabela_registros[CATEGORIA],investirrendafixaconsolidadojun[[#This Row],[ATUAL]])</f>
        <v>0</v>
      </c>
      <c r="Y114" s="119" t="n">
        <f aca="false">SUMIFS(tabela_registros[VALOR],tabela_registros[MÊS],$AE$1,tabela_registros[DIA],investirrendafixaconsolidadojun[[#Headers],[21]],tabela_registros[REGISTRO],DADOS!$N$5,tabela_registros[TIPO],DADOS!$AB$3,tabela_registros[CATEGORIA],investirrendafixaconsolidadojun[[#This Row],[ATUAL]])</f>
        <v>0</v>
      </c>
      <c r="Z114" s="119" t="n">
        <f aca="false">SUMIFS(tabela_registros[VALOR],tabela_registros[MÊS],$AE$1,tabela_registros[DIA],investirrendafixaconsolidadojun[[#Headers],[22]],tabela_registros[REGISTRO],DADOS!$N$5,tabela_registros[TIPO],DADOS!$AB$3,tabela_registros[CATEGORIA],investirrendafixaconsolidadojun[[#This Row],[ATUAL]])</f>
        <v>0</v>
      </c>
      <c r="AA114" s="119" t="n">
        <f aca="false">SUMIFS(tabela_registros[VALOR],tabela_registros[MÊS],$AE$1,tabela_registros[DIA],investirrendafixaconsolidadojun[[#Headers],[23]],tabela_registros[REGISTRO],DADOS!$N$5,tabela_registros[TIPO],DADOS!$AB$3,tabela_registros[CATEGORIA],investirrendafixaconsolidadojun[[#This Row],[ATUAL]])</f>
        <v>0</v>
      </c>
      <c r="AB114" s="119" t="n">
        <f aca="false">SUMIFS(tabela_registros[VALOR],tabela_registros[MÊS],$AE$1,tabela_registros[DIA],investirrendafixaconsolidadojun[[#Headers],[24]],tabela_registros[REGISTRO],DADOS!$N$5,tabela_registros[TIPO],DADOS!$AB$3,tabela_registros[CATEGORIA],investirrendafixaconsolidadojun[[#This Row],[ATUAL]])</f>
        <v>0</v>
      </c>
      <c r="AC114" s="119" t="n">
        <f aca="false">SUMIFS(tabela_registros[VALOR],tabela_registros[MÊS],$AE$1,tabela_registros[DIA],investirrendafixaconsolidadojun[[#Headers],[25]],tabela_registros[REGISTRO],DADOS!$N$5,tabela_registros[TIPO],DADOS!$AB$3,tabela_registros[CATEGORIA],investirrendafixaconsolidadojun[[#This Row],[ATUAL]])</f>
        <v>0</v>
      </c>
      <c r="AD114" s="119" t="n">
        <f aca="false">SUMIFS(tabela_registros[VALOR],tabela_registros[MÊS],$AE$1,tabela_registros[DIA],investirrendafixaconsolidadojun[[#Headers],[26]],tabela_registros[REGISTRO],DADOS!$N$5,tabela_registros[TIPO],DADOS!$AB$3,tabela_registros[CATEGORIA],investirrendafixaconsolidadojun[[#This Row],[ATUAL]])</f>
        <v>0</v>
      </c>
      <c r="AE114" s="119" t="n">
        <f aca="false">SUMIFS(tabela_registros[VALOR],tabela_registros[MÊS],$AE$1,tabela_registros[DIA],investirrendafixaconsolidadojun[[#Headers],[27]],tabela_registros[REGISTRO],DADOS!$N$5,tabela_registros[TIPO],DADOS!$AB$3,tabela_registros[CATEGORIA],investirrendafixaconsolidadojun[[#This Row],[ATUAL]])</f>
        <v>0</v>
      </c>
      <c r="AF114" s="119" t="n">
        <f aca="false">SUMIFS(tabela_registros[VALOR],tabela_registros[MÊS],$AE$1,tabela_registros[DIA],investirrendafixaconsolidadojun[[#Headers],[28]],tabela_registros[REGISTRO],DADOS!$N$5,tabela_registros[TIPO],DADOS!$AB$3,tabela_registros[CATEGORIA],investirrendafixaconsolidadojun[[#This Row],[ATUAL]])</f>
        <v>0</v>
      </c>
      <c r="AG114" s="119" t="n">
        <f aca="false">SUMIFS(tabela_registros[VALOR],tabela_registros[MÊS],$AE$1,tabela_registros[DIA],investirrendafixaconsolidadojun[[#Headers],[29]],tabela_registros[REGISTRO],DADOS!$N$5,tabela_registros[TIPO],DADOS!$AB$3,tabela_registros[CATEGORIA],investirrendafixaconsolidadojun[[#This Row],[ATUAL]])</f>
        <v>0</v>
      </c>
      <c r="AH114" s="119" t="n">
        <f aca="false">SUMIFS(tabela_registros[VALOR],tabela_registros[MÊS],$AE$1,tabela_registros[DIA],investirrendafixaconsolidadojun[[#Headers],[30]],tabela_registros[REGISTRO],DADOS!$N$5,tabela_registros[TIPO],DADOS!$AB$3,tabela_registros[CATEGORIA],investirrendafixaconsolidadojun[[#This Row],[ATUAL]])</f>
        <v>0</v>
      </c>
      <c r="AI114" s="217" t="n">
        <f aca="false">SUMIFS(tabela_registros[VALOR],tabela_registros[MÊS],$AE$1,tabela_registros[DIA],investirrendafixaconsolidadojun[[#Headers],[31]],tabela_registros[REGISTRO],DADOS!$N$5,tabela_registros[TIPO],DADOS!$AB$3,tabela_registros[CATEGORIA],investirrendafixaconsolidadojun[[#This Row],[ATUAL]])</f>
        <v>0</v>
      </c>
      <c r="AJ114" s="149" t="n">
        <f aca="false">SUM(investirrendafixaconsolidadojun[[#This Row],[1]:[31]])</f>
        <v>0</v>
      </c>
      <c r="AK114" s="165"/>
    </row>
    <row r="115" customFormat="false" ht="19.5" hidden="false" customHeight="true" outlineLevel="0" collapsed="false">
      <c r="B115" s="143"/>
      <c r="C115" s="144" t="str">
        <f aca="false">DADOS!$AD$5</f>
        <v>📝 CRI</v>
      </c>
      <c r="D115" s="145" t="str">
        <f aca="false">IF(investirrendafixaconsolidadojun[[#This Row],[TOTAL (R$)]]=0,"",IF(OR(investirrendafixaconsolidadojun[[#This Row],[TOTAL (R$)]]=LARGE($AJ$113:$AJ$122,1),investirrendafixaconsolidadojun[[#This Row],[TOTAL (R$)]]=LARGE($AJ$113:$AJ$122,2)),DADOS!$I$10,""))</f>
        <v/>
      </c>
      <c r="E115" s="148" t="n">
        <f aca="false">SUMIFS(tabela_registros[VALOR],tabela_registros[MÊS],$AE$1,tabela_registros[DIA],investirrendafixaconsolidadojun[[#Headers],[1]],tabela_registros[REGISTRO],DADOS!$N$5,tabela_registros[TIPO],DADOS!$AB$3,tabela_registros[CATEGORIA],investirrendafixaconsolidadojun[[#This Row],[ATUAL]])</f>
        <v>0</v>
      </c>
      <c r="F115" s="119" t="n">
        <f aca="false">SUMIFS(tabela_registros[VALOR],tabela_registros[MÊS],$AE$1,tabela_registros[DIA],investirrendafixaconsolidadojun[[#Headers],[2]],tabela_registros[REGISTRO],DADOS!$N$5,tabela_registros[TIPO],DADOS!$AB$3,tabela_registros[CATEGORIA],investirrendafixaconsolidadojun[[#This Row],[ATUAL]])</f>
        <v>0</v>
      </c>
      <c r="G115" s="119" t="n">
        <f aca="false">SUMIFS(tabela_registros[VALOR],tabela_registros[MÊS],$AE$1,tabela_registros[DIA],investirrendafixaconsolidadojun[[#Headers],[3]],tabela_registros[REGISTRO],DADOS!$N$5,tabela_registros[TIPO],DADOS!$AB$3,tabela_registros[CATEGORIA],investirrendafixaconsolidadojun[[#This Row],[ATUAL]])</f>
        <v>0</v>
      </c>
      <c r="H115" s="119" t="n">
        <f aca="false">SUMIFS(tabela_registros[VALOR],tabela_registros[MÊS],$AE$1,tabela_registros[DIA],investirrendafixaconsolidadojun[[#Headers],[4]],tabela_registros[REGISTRO],DADOS!$N$5,tabela_registros[TIPO],DADOS!$AB$3,tabela_registros[CATEGORIA],investirrendafixaconsolidadojun[[#This Row],[ATUAL]])</f>
        <v>0</v>
      </c>
      <c r="I115" s="119" t="n">
        <f aca="false">SUMIFS(tabela_registros[VALOR],tabela_registros[MÊS],$AE$1,tabela_registros[DIA],investirrendafixaconsolidadojun[[#Headers],[5]],tabela_registros[REGISTRO],DADOS!$N$5,tabela_registros[TIPO],DADOS!$AB$3,tabela_registros[CATEGORIA],investirrendafixaconsolidadojun[[#This Row],[ATUAL]])</f>
        <v>0</v>
      </c>
      <c r="J115" s="119" t="n">
        <f aca="false">SUMIFS(tabela_registros[VALOR],tabela_registros[MÊS],$AE$1,tabela_registros[DIA],investirrendafixaconsolidadojun[[#Headers],[6]],tabela_registros[REGISTRO],DADOS!$N$5,tabela_registros[TIPO],DADOS!$AB$3,tabela_registros[CATEGORIA],investirrendafixaconsolidadojun[[#This Row],[ATUAL]])</f>
        <v>0</v>
      </c>
      <c r="K115" s="119" t="n">
        <f aca="false">SUMIFS(tabela_registros[VALOR],tabela_registros[MÊS],$AE$1,tabela_registros[DIA],investirrendafixaconsolidadojun[[#Headers],[7]],tabela_registros[REGISTRO],DADOS!$N$5,tabela_registros[TIPO],DADOS!$AB$3,tabela_registros[CATEGORIA],investirrendafixaconsolidadojun[[#This Row],[ATUAL]])</f>
        <v>0</v>
      </c>
      <c r="L115" s="119" t="n">
        <f aca="false">SUMIFS(tabela_registros[VALOR],tabela_registros[MÊS],$AE$1,tabela_registros[DIA],investirrendafixaconsolidadojun[[#Headers],[8]],tabela_registros[REGISTRO],DADOS!$N$5,tabela_registros[TIPO],DADOS!$AB$3,tabela_registros[CATEGORIA],investirrendafixaconsolidadojun[[#This Row],[ATUAL]])</f>
        <v>0</v>
      </c>
      <c r="M115" s="119" t="n">
        <f aca="false">SUMIFS(tabela_registros[VALOR],tabela_registros[MÊS],$AE$1,tabela_registros[DIA],investirrendafixaconsolidadojun[[#Headers],[9]],tabela_registros[REGISTRO],DADOS!$N$5,tabela_registros[TIPO],DADOS!$AB$3,tabela_registros[CATEGORIA],investirrendafixaconsolidadojun[[#This Row],[ATUAL]])</f>
        <v>0</v>
      </c>
      <c r="N115" s="119" t="n">
        <f aca="false">SUMIFS(tabela_registros[VALOR],tabela_registros[MÊS],$AE$1,tabela_registros[DIA],investirrendafixaconsolidadojun[[#Headers],[10]],tabela_registros[REGISTRO],DADOS!$N$5,tabela_registros[TIPO],DADOS!$AB$3,tabela_registros[CATEGORIA],investirrendafixaconsolidadojun[[#This Row],[ATUAL]])</f>
        <v>0</v>
      </c>
      <c r="O115" s="119" t="n">
        <f aca="false">SUMIFS(tabela_registros[VALOR],tabela_registros[MÊS],$AE$1,tabela_registros[DIA],investirrendafixaconsolidadojun[[#Headers],[11]],tabela_registros[REGISTRO],DADOS!$N$5,tabela_registros[TIPO],DADOS!$AB$3,tabela_registros[CATEGORIA],investirrendafixaconsolidadojun[[#This Row],[ATUAL]])</f>
        <v>0</v>
      </c>
      <c r="P115" s="119" t="n">
        <f aca="false">SUMIFS(tabela_registros[VALOR],tabela_registros[MÊS],$AE$1,tabela_registros[DIA],investirrendafixaconsolidadojun[[#Headers],[12]],tabela_registros[REGISTRO],DADOS!$N$5,tabela_registros[TIPO],DADOS!$AB$3,tabela_registros[CATEGORIA],investirrendafixaconsolidadojun[[#This Row],[ATUAL]])</f>
        <v>0</v>
      </c>
      <c r="Q115" s="119" t="n">
        <f aca="false">SUMIFS(tabela_registros[VALOR],tabela_registros[MÊS],$AE$1,tabela_registros[DIA],investirrendafixaconsolidadojun[[#Headers],[13]],tabela_registros[REGISTRO],DADOS!$N$5,tabela_registros[TIPO],DADOS!$AB$3,tabela_registros[CATEGORIA],investirrendafixaconsolidadojun[[#This Row],[ATUAL]])</f>
        <v>0</v>
      </c>
      <c r="R115" s="119" t="n">
        <f aca="false">SUMIFS(tabela_registros[VALOR],tabela_registros[MÊS],$AE$1,tabela_registros[DIA],investirrendafixaconsolidadojun[[#Headers],[14]],tabela_registros[REGISTRO],DADOS!$N$5,tabela_registros[TIPO],DADOS!$AB$3,tabela_registros[CATEGORIA],investirrendafixaconsolidadojun[[#This Row],[ATUAL]])</f>
        <v>0</v>
      </c>
      <c r="S115" s="119" t="n">
        <f aca="false">SUMIFS(tabela_registros[VALOR],tabela_registros[MÊS],$AE$1,tabela_registros[DIA],investirrendafixaconsolidadojun[[#Headers],[15]],tabela_registros[REGISTRO],DADOS!$N$5,tabela_registros[TIPO],DADOS!$AB$3,tabela_registros[CATEGORIA],investirrendafixaconsolidadojun[[#This Row],[ATUAL]])</f>
        <v>0</v>
      </c>
      <c r="T115" s="119" t="n">
        <f aca="false">SUMIFS(tabela_registros[VALOR],tabela_registros[MÊS],$AE$1,tabela_registros[DIA],investirrendafixaconsolidadojun[[#Headers],[16]],tabela_registros[REGISTRO],DADOS!$N$5,tabela_registros[TIPO],DADOS!$AB$3,tabela_registros[CATEGORIA],investirrendafixaconsolidadojun[[#This Row],[ATUAL]])</f>
        <v>0</v>
      </c>
      <c r="U115" s="119" t="n">
        <f aca="false">SUMIFS(tabela_registros[VALOR],tabela_registros[MÊS],$AE$1,tabela_registros[DIA],investirrendafixaconsolidadojun[[#Headers],[17]],tabela_registros[REGISTRO],DADOS!$N$5,tabela_registros[TIPO],DADOS!$AB$3,tabela_registros[CATEGORIA],investirrendafixaconsolidadojun[[#This Row],[ATUAL]])</f>
        <v>0</v>
      </c>
      <c r="V115" s="119" t="n">
        <f aca="false">SUMIFS(tabela_registros[VALOR],tabela_registros[MÊS],$AE$1,tabela_registros[DIA],investirrendafixaconsolidadojun[[#Headers],[18]],tabela_registros[REGISTRO],DADOS!$N$5,tabela_registros[TIPO],DADOS!$AB$3,tabela_registros[CATEGORIA],investirrendafixaconsolidadojun[[#This Row],[ATUAL]])</f>
        <v>0</v>
      </c>
      <c r="W115" s="119" t="n">
        <f aca="false">SUMIFS(tabela_registros[VALOR],tabela_registros[MÊS],$AE$1,tabela_registros[DIA],investirrendafixaconsolidadojun[[#Headers],[19]],tabela_registros[REGISTRO],DADOS!$N$5,tabela_registros[TIPO],DADOS!$AB$3,tabela_registros[CATEGORIA],investirrendafixaconsolidadojun[[#This Row],[ATUAL]])</f>
        <v>0</v>
      </c>
      <c r="X115" s="119" t="n">
        <f aca="false">SUMIFS(tabela_registros[VALOR],tabela_registros[MÊS],$AE$1,tabela_registros[DIA],investirrendafixaconsolidadojun[[#Headers],[20]],tabela_registros[REGISTRO],DADOS!$N$5,tabela_registros[TIPO],DADOS!$AB$3,tabela_registros[CATEGORIA],investirrendafixaconsolidadojun[[#This Row],[ATUAL]])</f>
        <v>0</v>
      </c>
      <c r="Y115" s="119" t="n">
        <f aca="false">SUMIFS(tabela_registros[VALOR],tabela_registros[MÊS],$AE$1,tabela_registros[DIA],investirrendafixaconsolidadojun[[#Headers],[21]],tabela_registros[REGISTRO],DADOS!$N$5,tabela_registros[TIPO],DADOS!$AB$3,tabela_registros[CATEGORIA],investirrendafixaconsolidadojun[[#This Row],[ATUAL]])</f>
        <v>0</v>
      </c>
      <c r="Z115" s="119" t="n">
        <f aca="false">SUMIFS(tabela_registros[VALOR],tabela_registros[MÊS],$AE$1,tabela_registros[DIA],investirrendafixaconsolidadojun[[#Headers],[22]],tabela_registros[REGISTRO],DADOS!$N$5,tabela_registros[TIPO],DADOS!$AB$3,tabela_registros[CATEGORIA],investirrendafixaconsolidadojun[[#This Row],[ATUAL]])</f>
        <v>0</v>
      </c>
      <c r="AA115" s="119" t="n">
        <f aca="false">SUMIFS(tabela_registros[VALOR],tabela_registros[MÊS],$AE$1,tabela_registros[DIA],investirrendafixaconsolidadojun[[#Headers],[23]],tabela_registros[REGISTRO],DADOS!$N$5,tabela_registros[TIPO],DADOS!$AB$3,tabela_registros[CATEGORIA],investirrendafixaconsolidadojun[[#This Row],[ATUAL]])</f>
        <v>0</v>
      </c>
      <c r="AB115" s="119" t="n">
        <f aca="false">SUMIFS(tabela_registros[VALOR],tabela_registros[MÊS],$AE$1,tabela_registros[DIA],investirrendafixaconsolidadojun[[#Headers],[24]],tabela_registros[REGISTRO],DADOS!$N$5,tabela_registros[TIPO],DADOS!$AB$3,tabela_registros[CATEGORIA],investirrendafixaconsolidadojun[[#This Row],[ATUAL]])</f>
        <v>0</v>
      </c>
      <c r="AC115" s="119" t="n">
        <f aca="false">SUMIFS(tabela_registros[VALOR],tabela_registros[MÊS],$AE$1,tabela_registros[DIA],investirrendafixaconsolidadojun[[#Headers],[25]],tabela_registros[REGISTRO],DADOS!$N$5,tabela_registros[TIPO],DADOS!$AB$3,tabela_registros[CATEGORIA],investirrendafixaconsolidadojun[[#This Row],[ATUAL]])</f>
        <v>0</v>
      </c>
      <c r="AD115" s="119" t="n">
        <f aca="false">SUMIFS(tabela_registros[VALOR],tabela_registros[MÊS],$AE$1,tabela_registros[DIA],investirrendafixaconsolidadojun[[#Headers],[26]],tabela_registros[REGISTRO],DADOS!$N$5,tabela_registros[TIPO],DADOS!$AB$3,tabela_registros[CATEGORIA],investirrendafixaconsolidadojun[[#This Row],[ATUAL]])</f>
        <v>0</v>
      </c>
      <c r="AE115" s="119" t="n">
        <f aca="false">SUMIFS(tabela_registros[VALOR],tabela_registros[MÊS],$AE$1,tabela_registros[DIA],investirrendafixaconsolidadojun[[#Headers],[27]],tabela_registros[REGISTRO],DADOS!$N$5,tabela_registros[TIPO],DADOS!$AB$3,tabela_registros[CATEGORIA],investirrendafixaconsolidadojun[[#This Row],[ATUAL]])</f>
        <v>0</v>
      </c>
      <c r="AF115" s="119" t="n">
        <f aca="false">SUMIFS(tabela_registros[VALOR],tabela_registros[MÊS],$AE$1,tabela_registros[DIA],investirrendafixaconsolidadojun[[#Headers],[28]],tabela_registros[REGISTRO],DADOS!$N$5,tabela_registros[TIPO],DADOS!$AB$3,tabela_registros[CATEGORIA],investirrendafixaconsolidadojun[[#This Row],[ATUAL]])</f>
        <v>0</v>
      </c>
      <c r="AG115" s="119" t="n">
        <f aca="false">SUMIFS(tabela_registros[VALOR],tabela_registros[MÊS],$AE$1,tabela_registros[DIA],investirrendafixaconsolidadojun[[#Headers],[29]],tabela_registros[REGISTRO],DADOS!$N$5,tabela_registros[TIPO],DADOS!$AB$3,tabela_registros[CATEGORIA],investirrendafixaconsolidadojun[[#This Row],[ATUAL]])</f>
        <v>0</v>
      </c>
      <c r="AH115" s="119" t="n">
        <f aca="false">SUMIFS(tabela_registros[VALOR],tabela_registros[MÊS],$AE$1,tabela_registros[DIA],investirrendafixaconsolidadojun[[#Headers],[30]],tabela_registros[REGISTRO],DADOS!$N$5,tabela_registros[TIPO],DADOS!$AB$3,tabela_registros[CATEGORIA],investirrendafixaconsolidadojun[[#This Row],[ATUAL]])</f>
        <v>0</v>
      </c>
      <c r="AI115" s="217" t="n">
        <f aca="false">SUMIFS(tabela_registros[VALOR],tabela_registros[MÊS],$AE$1,tabela_registros[DIA],investirrendafixaconsolidadojun[[#Headers],[31]],tabela_registros[REGISTRO],DADOS!$N$5,tabela_registros[TIPO],DADOS!$AB$3,tabela_registros[CATEGORIA],investirrendafixaconsolidadojun[[#This Row],[ATUAL]])</f>
        <v>0</v>
      </c>
      <c r="AJ115" s="149" t="n">
        <f aca="false">SUM(investirrendafixaconsolidadojun[[#This Row],[1]:[31]])</f>
        <v>0</v>
      </c>
      <c r="AK115" s="165"/>
    </row>
    <row r="116" customFormat="false" ht="19.5" hidden="false" customHeight="true" outlineLevel="0" collapsed="false">
      <c r="B116" s="143"/>
      <c r="C116" s="144" t="str">
        <f aca="false">DADOS!$AD$6</f>
        <v>📝 DEBÊNTURE</v>
      </c>
      <c r="D116" s="145" t="str">
        <f aca="false">IF(investirrendafixaconsolidadojun[[#This Row],[TOTAL (R$)]]=0,"",IF(OR(investirrendafixaconsolidadojun[[#This Row],[TOTAL (R$)]]=LARGE($AJ$113:$AJ$122,1),investirrendafixaconsolidadojun[[#This Row],[TOTAL (R$)]]=LARGE($AJ$113:$AJ$122,2)),DADOS!$I$10,""))</f>
        <v/>
      </c>
      <c r="E116" s="148" t="n">
        <f aca="false">SUMIFS(tabela_registros[VALOR],tabela_registros[MÊS],$AE$1,tabela_registros[DIA],investirrendafixaconsolidadojun[[#Headers],[1]],tabela_registros[REGISTRO],DADOS!$N$5,tabela_registros[TIPO],DADOS!$AB$3,tabela_registros[CATEGORIA],investirrendafixaconsolidadojun[[#This Row],[ATUAL]])</f>
        <v>0</v>
      </c>
      <c r="F116" s="119" t="n">
        <f aca="false">SUMIFS(tabela_registros[VALOR],tabela_registros[MÊS],$AE$1,tabela_registros[DIA],investirrendafixaconsolidadojun[[#Headers],[2]],tabela_registros[REGISTRO],DADOS!$N$5,tabela_registros[TIPO],DADOS!$AB$3,tabela_registros[CATEGORIA],investirrendafixaconsolidadojun[[#This Row],[ATUAL]])</f>
        <v>0</v>
      </c>
      <c r="G116" s="119" t="n">
        <f aca="false">SUMIFS(tabela_registros[VALOR],tabela_registros[MÊS],$AE$1,tabela_registros[DIA],investirrendafixaconsolidadojun[[#Headers],[3]],tabela_registros[REGISTRO],DADOS!$N$5,tabela_registros[TIPO],DADOS!$AB$3,tabela_registros[CATEGORIA],investirrendafixaconsolidadojun[[#This Row],[ATUAL]])</f>
        <v>0</v>
      </c>
      <c r="H116" s="119" t="n">
        <f aca="false">SUMIFS(tabela_registros[VALOR],tabela_registros[MÊS],$AE$1,tabela_registros[DIA],investirrendafixaconsolidadojun[[#Headers],[4]],tabela_registros[REGISTRO],DADOS!$N$5,tabela_registros[TIPO],DADOS!$AB$3,tabela_registros[CATEGORIA],investirrendafixaconsolidadojun[[#This Row],[ATUAL]])</f>
        <v>0</v>
      </c>
      <c r="I116" s="119" t="n">
        <f aca="false">SUMIFS(tabela_registros[VALOR],tabela_registros[MÊS],$AE$1,tabela_registros[DIA],investirrendafixaconsolidadojun[[#Headers],[5]],tabela_registros[REGISTRO],DADOS!$N$5,tabela_registros[TIPO],DADOS!$AB$3,tabela_registros[CATEGORIA],investirrendafixaconsolidadojun[[#This Row],[ATUAL]])</f>
        <v>0</v>
      </c>
      <c r="J116" s="119" t="n">
        <f aca="false">SUMIFS(tabela_registros[VALOR],tabela_registros[MÊS],$AE$1,tabela_registros[DIA],investirrendafixaconsolidadojun[[#Headers],[6]],tabela_registros[REGISTRO],DADOS!$N$5,tabela_registros[TIPO],DADOS!$AB$3,tabela_registros[CATEGORIA],investirrendafixaconsolidadojun[[#This Row],[ATUAL]])</f>
        <v>0</v>
      </c>
      <c r="K116" s="119" t="n">
        <f aca="false">SUMIFS(tabela_registros[VALOR],tabela_registros[MÊS],$AE$1,tabela_registros[DIA],investirrendafixaconsolidadojun[[#Headers],[7]],tabela_registros[REGISTRO],DADOS!$N$5,tabela_registros[TIPO],DADOS!$AB$3,tabela_registros[CATEGORIA],investirrendafixaconsolidadojun[[#This Row],[ATUAL]])</f>
        <v>0</v>
      </c>
      <c r="L116" s="119" t="n">
        <f aca="false">SUMIFS(tabela_registros[VALOR],tabela_registros[MÊS],$AE$1,tabela_registros[DIA],investirrendafixaconsolidadojun[[#Headers],[8]],tabela_registros[REGISTRO],DADOS!$N$5,tabela_registros[TIPO],DADOS!$AB$3,tabela_registros[CATEGORIA],investirrendafixaconsolidadojun[[#This Row],[ATUAL]])</f>
        <v>0</v>
      </c>
      <c r="M116" s="119" t="n">
        <f aca="false">SUMIFS(tabela_registros[VALOR],tabela_registros[MÊS],$AE$1,tabela_registros[DIA],investirrendafixaconsolidadojun[[#Headers],[9]],tabela_registros[REGISTRO],DADOS!$N$5,tabela_registros[TIPO],DADOS!$AB$3,tabela_registros[CATEGORIA],investirrendafixaconsolidadojun[[#This Row],[ATUAL]])</f>
        <v>0</v>
      </c>
      <c r="N116" s="119" t="n">
        <f aca="false">SUMIFS(tabela_registros[VALOR],tabela_registros[MÊS],$AE$1,tabela_registros[DIA],investirrendafixaconsolidadojun[[#Headers],[10]],tabela_registros[REGISTRO],DADOS!$N$5,tabela_registros[TIPO],DADOS!$AB$3,tabela_registros[CATEGORIA],investirrendafixaconsolidadojun[[#This Row],[ATUAL]])</f>
        <v>0</v>
      </c>
      <c r="O116" s="119" t="n">
        <f aca="false">SUMIFS(tabela_registros[VALOR],tabela_registros[MÊS],$AE$1,tabela_registros[DIA],investirrendafixaconsolidadojun[[#Headers],[11]],tabela_registros[REGISTRO],DADOS!$N$5,tabela_registros[TIPO],DADOS!$AB$3,tabela_registros[CATEGORIA],investirrendafixaconsolidadojun[[#This Row],[ATUAL]])</f>
        <v>0</v>
      </c>
      <c r="P116" s="119" t="n">
        <f aca="false">SUMIFS(tabela_registros[VALOR],tabela_registros[MÊS],$AE$1,tabela_registros[DIA],investirrendafixaconsolidadojun[[#Headers],[12]],tabela_registros[REGISTRO],DADOS!$N$5,tabela_registros[TIPO],DADOS!$AB$3,tabela_registros[CATEGORIA],investirrendafixaconsolidadojun[[#This Row],[ATUAL]])</f>
        <v>0</v>
      </c>
      <c r="Q116" s="119" t="n">
        <f aca="false">SUMIFS(tabela_registros[VALOR],tabela_registros[MÊS],$AE$1,tabela_registros[DIA],investirrendafixaconsolidadojun[[#Headers],[13]],tabela_registros[REGISTRO],DADOS!$N$5,tabela_registros[TIPO],DADOS!$AB$3,tabela_registros[CATEGORIA],investirrendafixaconsolidadojun[[#This Row],[ATUAL]])</f>
        <v>0</v>
      </c>
      <c r="R116" s="119" t="n">
        <f aca="false">SUMIFS(tabela_registros[VALOR],tabela_registros[MÊS],$AE$1,tabela_registros[DIA],investirrendafixaconsolidadojun[[#Headers],[14]],tabela_registros[REGISTRO],DADOS!$N$5,tabela_registros[TIPO],DADOS!$AB$3,tabela_registros[CATEGORIA],investirrendafixaconsolidadojun[[#This Row],[ATUAL]])</f>
        <v>0</v>
      </c>
      <c r="S116" s="119" t="n">
        <f aca="false">SUMIFS(tabela_registros[VALOR],tabela_registros[MÊS],$AE$1,tabela_registros[DIA],investirrendafixaconsolidadojun[[#Headers],[15]],tabela_registros[REGISTRO],DADOS!$N$5,tabela_registros[TIPO],DADOS!$AB$3,tabela_registros[CATEGORIA],investirrendafixaconsolidadojun[[#This Row],[ATUAL]])</f>
        <v>0</v>
      </c>
      <c r="T116" s="119" t="n">
        <f aca="false">SUMIFS(tabela_registros[VALOR],tabela_registros[MÊS],$AE$1,tabela_registros[DIA],investirrendafixaconsolidadojun[[#Headers],[16]],tabela_registros[REGISTRO],DADOS!$N$5,tabela_registros[TIPO],DADOS!$AB$3,tabela_registros[CATEGORIA],investirrendafixaconsolidadojun[[#This Row],[ATUAL]])</f>
        <v>0</v>
      </c>
      <c r="U116" s="119" t="n">
        <f aca="false">SUMIFS(tabela_registros[VALOR],tabela_registros[MÊS],$AE$1,tabela_registros[DIA],investirrendafixaconsolidadojun[[#Headers],[17]],tabela_registros[REGISTRO],DADOS!$N$5,tabela_registros[TIPO],DADOS!$AB$3,tabela_registros[CATEGORIA],investirrendafixaconsolidadojun[[#This Row],[ATUAL]])</f>
        <v>0</v>
      </c>
      <c r="V116" s="119" t="n">
        <f aca="false">SUMIFS(tabela_registros[VALOR],tabela_registros[MÊS],$AE$1,tabela_registros[DIA],investirrendafixaconsolidadojun[[#Headers],[18]],tabela_registros[REGISTRO],DADOS!$N$5,tabela_registros[TIPO],DADOS!$AB$3,tabela_registros[CATEGORIA],investirrendafixaconsolidadojun[[#This Row],[ATUAL]])</f>
        <v>0</v>
      </c>
      <c r="W116" s="119" t="n">
        <f aca="false">SUMIFS(tabela_registros[VALOR],tabela_registros[MÊS],$AE$1,tabela_registros[DIA],investirrendafixaconsolidadojun[[#Headers],[19]],tabela_registros[REGISTRO],DADOS!$N$5,tabela_registros[TIPO],DADOS!$AB$3,tabela_registros[CATEGORIA],investirrendafixaconsolidadojun[[#This Row],[ATUAL]])</f>
        <v>0</v>
      </c>
      <c r="X116" s="119" t="n">
        <f aca="false">SUMIFS(tabela_registros[VALOR],tabela_registros[MÊS],$AE$1,tabela_registros[DIA],investirrendafixaconsolidadojun[[#Headers],[20]],tabela_registros[REGISTRO],DADOS!$N$5,tabela_registros[TIPO],DADOS!$AB$3,tabela_registros[CATEGORIA],investirrendafixaconsolidadojun[[#This Row],[ATUAL]])</f>
        <v>0</v>
      </c>
      <c r="Y116" s="119" t="n">
        <f aca="false">SUMIFS(tabela_registros[VALOR],tabela_registros[MÊS],$AE$1,tabela_registros[DIA],investirrendafixaconsolidadojun[[#Headers],[21]],tabela_registros[REGISTRO],DADOS!$N$5,tabela_registros[TIPO],DADOS!$AB$3,tabela_registros[CATEGORIA],investirrendafixaconsolidadojun[[#This Row],[ATUAL]])</f>
        <v>0</v>
      </c>
      <c r="Z116" s="119" t="n">
        <f aca="false">SUMIFS(tabela_registros[VALOR],tabela_registros[MÊS],$AE$1,tabela_registros[DIA],investirrendafixaconsolidadojun[[#Headers],[22]],tabela_registros[REGISTRO],DADOS!$N$5,tabela_registros[TIPO],DADOS!$AB$3,tabela_registros[CATEGORIA],investirrendafixaconsolidadojun[[#This Row],[ATUAL]])</f>
        <v>0</v>
      </c>
      <c r="AA116" s="119" t="n">
        <f aca="false">SUMIFS(tabela_registros[VALOR],tabela_registros[MÊS],$AE$1,tabela_registros[DIA],investirrendafixaconsolidadojun[[#Headers],[23]],tabela_registros[REGISTRO],DADOS!$N$5,tabela_registros[TIPO],DADOS!$AB$3,tabela_registros[CATEGORIA],investirrendafixaconsolidadojun[[#This Row],[ATUAL]])</f>
        <v>0</v>
      </c>
      <c r="AB116" s="119" t="n">
        <f aca="false">SUMIFS(tabela_registros[VALOR],tabela_registros[MÊS],$AE$1,tabela_registros[DIA],investirrendafixaconsolidadojun[[#Headers],[24]],tabela_registros[REGISTRO],DADOS!$N$5,tabela_registros[TIPO],DADOS!$AB$3,tabela_registros[CATEGORIA],investirrendafixaconsolidadojun[[#This Row],[ATUAL]])</f>
        <v>0</v>
      </c>
      <c r="AC116" s="119" t="n">
        <f aca="false">SUMIFS(tabela_registros[VALOR],tabela_registros[MÊS],$AE$1,tabela_registros[DIA],investirrendafixaconsolidadojun[[#Headers],[25]],tabela_registros[REGISTRO],DADOS!$N$5,tabela_registros[TIPO],DADOS!$AB$3,tabela_registros[CATEGORIA],investirrendafixaconsolidadojun[[#This Row],[ATUAL]])</f>
        <v>0</v>
      </c>
      <c r="AD116" s="119" t="n">
        <f aca="false">SUMIFS(tabela_registros[VALOR],tabela_registros[MÊS],$AE$1,tabela_registros[DIA],investirrendafixaconsolidadojun[[#Headers],[26]],tabela_registros[REGISTRO],DADOS!$N$5,tabela_registros[TIPO],DADOS!$AB$3,tabela_registros[CATEGORIA],investirrendafixaconsolidadojun[[#This Row],[ATUAL]])</f>
        <v>0</v>
      </c>
      <c r="AE116" s="119" t="n">
        <f aca="false">SUMIFS(tabela_registros[VALOR],tabela_registros[MÊS],$AE$1,tabela_registros[DIA],investirrendafixaconsolidadojun[[#Headers],[27]],tabela_registros[REGISTRO],DADOS!$N$5,tabela_registros[TIPO],DADOS!$AB$3,tabela_registros[CATEGORIA],investirrendafixaconsolidadojun[[#This Row],[ATUAL]])</f>
        <v>0</v>
      </c>
      <c r="AF116" s="119" t="n">
        <f aca="false">SUMIFS(tabela_registros[VALOR],tabela_registros[MÊS],$AE$1,tabela_registros[DIA],investirrendafixaconsolidadojun[[#Headers],[28]],tabela_registros[REGISTRO],DADOS!$N$5,tabela_registros[TIPO],DADOS!$AB$3,tabela_registros[CATEGORIA],investirrendafixaconsolidadojun[[#This Row],[ATUAL]])</f>
        <v>0</v>
      </c>
      <c r="AG116" s="119" t="n">
        <f aca="false">SUMIFS(tabela_registros[VALOR],tabela_registros[MÊS],$AE$1,tabela_registros[DIA],investirrendafixaconsolidadojun[[#Headers],[29]],tabela_registros[REGISTRO],DADOS!$N$5,tabela_registros[TIPO],DADOS!$AB$3,tabela_registros[CATEGORIA],investirrendafixaconsolidadojun[[#This Row],[ATUAL]])</f>
        <v>0</v>
      </c>
      <c r="AH116" s="119" t="n">
        <f aca="false">SUMIFS(tabela_registros[VALOR],tabela_registros[MÊS],$AE$1,tabela_registros[DIA],investirrendafixaconsolidadojun[[#Headers],[30]],tabela_registros[REGISTRO],DADOS!$N$5,tabela_registros[TIPO],DADOS!$AB$3,tabela_registros[CATEGORIA],investirrendafixaconsolidadojun[[#This Row],[ATUAL]])</f>
        <v>0</v>
      </c>
      <c r="AI116" s="217" t="n">
        <f aca="false">SUMIFS(tabela_registros[VALOR],tabela_registros[MÊS],$AE$1,tabela_registros[DIA],investirrendafixaconsolidadojun[[#Headers],[31]],tabela_registros[REGISTRO],DADOS!$N$5,tabela_registros[TIPO],DADOS!$AB$3,tabela_registros[CATEGORIA],investirrendafixaconsolidadojun[[#This Row],[ATUAL]])</f>
        <v>0</v>
      </c>
      <c r="AJ116" s="149" t="n">
        <f aca="false">SUM(investirrendafixaconsolidadojun[[#This Row],[1]:[31]])</f>
        <v>0</v>
      </c>
      <c r="AK116" s="165"/>
    </row>
    <row r="117" customFormat="false" ht="19.5" hidden="false" customHeight="true" outlineLevel="0" collapsed="false">
      <c r="B117" s="143"/>
      <c r="C117" s="144" t="str">
        <f aca="false">DADOS!$AD$7</f>
        <v>📝 EXTERIOR</v>
      </c>
      <c r="D117" s="145" t="str">
        <f aca="false">IF(investirrendafixaconsolidadojun[[#This Row],[TOTAL (R$)]]=0,"",IF(OR(investirrendafixaconsolidadojun[[#This Row],[TOTAL (R$)]]=LARGE($AJ$113:$AJ$122,1),investirrendafixaconsolidadojun[[#This Row],[TOTAL (R$)]]=LARGE($AJ$113:$AJ$122,2)),DADOS!$I$10,""))</f>
        <v/>
      </c>
      <c r="E117" s="148" t="n">
        <f aca="false">SUMIFS(tabela_registros[VALOR],tabela_registros[MÊS],$AE$1,tabela_registros[DIA],investirrendafixaconsolidadojun[[#Headers],[1]],tabela_registros[REGISTRO],DADOS!$N$5,tabela_registros[TIPO],DADOS!$AB$3,tabela_registros[CATEGORIA],investirrendafixaconsolidadojun[[#This Row],[ATUAL]])</f>
        <v>0</v>
      </c>
      <c r="F117" s="119" t="n">
        <f aca="false">SUMIFS(tabela_registros[VALOR],tabela_registros[MÊS],$AE$1,tabela_registros[DIA],investirrendafixaconsolidadojun[[#Headers],[2]],tabela_registros[REGISTRO],DADOS!$N$5,tabela_registros[TIPO],DADOS!$AB$3,tabela_registros[CATEGORIA],investirrendafixaconsolidadojun[[#This Row],[ATUAL]])</f>
        <v>0</v>
      </c>
      <c r="G117" s="119" t="n">
        <f aca="false">SUMIFS(tabela_registros[VALOR],tabela_registros[MÊS],$AE$1,tabela_registros[DIA],investirrendafixaconsolidadojun[[#Headers],[3]],tabela_registros[REGISTRO],DADOS!$N$5,tabela_registros[TIPO],DADOS!$AB$3,tabela_registros[CATEGORIA],investirrendafixaconsolidadojun[[#This Row],[ATUAL]])</f>
        <v>0</v>
      </c>
      <c r="H117" s="119" t="n">
        <f aca="false">SUMIFS(tabela_registros[VALOR],tabela_registros[MÊS],$AE$1,tabela_registros[DIA],investirrendafixaconsolidadojun[[#Headers],[4]],tabela_registros[REGISTRO],DADOS!$N$5,tabela_registros[TIPO],DADOS!$AB$3,tabela_registros[CATEGORIA],investirrendafixaconsolidadojun[[#This Row],[ATUAL]])</f>
        <v>0</v>
      </c>
      <c r="I117" s="119" t="n">
        <f aca="false">SUMIFS(tabela_registros[VALOR],tabela_registros[MÊS],$AE$1,tabela_registros[DIA],investirrendafixaconsolidadojun[[#Headers],[5]],tabela_registros[REGISTRO],DADOS!$N$5,tabela_registros[TIPO],DADOS!$AB$3,tabela_registros[CATEGORIA],investirrendafixaconsolidadojun[[#This Row],[ATUAL]])</f>
        <v>0</v>
      </c>
      <c r="J117" s="119" t="n">
        <f aca="false">SUMIFS(tabela_registros[VALOR],tabela_registros[MÊS],$AE$1,tabela_registros[DIA],investirrendafixaconsolidadojun[[#Headers],[6]],tabela_registros[REGISTRO],DADOS!$N$5,tabela_registros[TIPO],DADOS!$AB$3,tabela_registros[CATEGORIA],investirrendafixaconsolidadojun[[#This Row],[ATUAL]])</f>
        <v>0</v>
      </c>
      <c r="K117" s="119" t="n">
        <f aca="false">SUMIFS(tabela_registros[VALOR],tabela_registros[MÊS],$AE$1,tabela_registros[DIA],investirrendafixaconsolidadojun[[#Headers],[7]],tabela_registros[REGISTRO],DADOS!$N$5,tabela_registros[TIPO],DADOS!$AB$3,tabela_registros[CATEGORIA],investirrendafixaconsolidadojun[[#This Row],[ATUAL]])</f>
        <v>0</v>
      </c>
      <c r="L117" s="119" t="n">
        <f aca="false">SUMIFS(tabela_registros[VALOR],tabela_registros[MÊS],$AE$1,tabela_registros[DIA],investirrendafixaconsolidadojun[[#Headers],[8]],tabela_registros[REGISTRO],DADOS!$N$5,tabela_registros[TIPO],DADOS!$AB$3,tabela_registros[CATEGORIA],investirrendafixaconsolidadojun[[#This Row],[ATUAL]])</f>
        <v>0</v>
      </c>
      <c r="M117" s="119" t="n">
        <f aca="false">SUMIFS(tabela_registros[VALOR],tabela_registros[MÊS],$AE$1,tabela_registros[DIA],investirrendafixaconsolidadojun[[#Headers],[9]],tabela_registros[REGISTRO],DADOS!$N$5,tabela_registros[TIPO],DADOS!$AB$3,tabela_registros[CATEGORIA],investirrendafixaconsolidadojun[[#This Row],[ATUAL]])</f>
        <v>0</v>
      </c>
      <c r="N117" s="119" t="n">
        <f aca="false">SUMIFS(tabela_registros[VALOR],tabela_registros[MÊS],$AE$1,tabela_registros[DIA],investirrendafixaconsolidadojun[[#Headers],[10]],tabela_registros[REGISTRO],DADOS!$N$5,tabela_registros[TIPO],DADOS!$AB$3,tabela_registros[CATEGORIA],investirrendafixaconsolidadojun[[#This Row],[ATUAL]])</f>
        <v>0</v>
      </c>
      <c r="O117" s="119" t="n">
        <f aca="false">SUMIFS(tabela_registros[VALOR],tabela_registros[MÊS],$AE$1,tabela_registros[DIA],investirrendafixaconsolidadojun[[#Headers],[11]],tabela_registros[REGISTRO],DADOS!$N$5,tabela_registros[TIPO],DADOS!$AB$3,tabela_registros[CATEGORIA],investirrendafixaconsolidadojun[[#This Row],[ATUAL]])</f>
        <v>0</v>
      </c>
      <c r="P117" s="119" t="n">
        <f aca="false">SUMIFS(tabela_registros[VALOR],tabela_registros[MÊS],$AE$1,tabela_registros[DIA],investirrendafixaconsolidadojun[[#Headers],[12]],tabela_registros[REGISTRO],DADOS!$N$5,tabela_registros[TIPO],DADOS!$AB$3,tabela_registros[CATEGORIA],investirrendafixaconsolidadojun[[#This Row],[ATUAL]])</f>
        <v>0</v>
      </c>
      <c r="Q117" s="119" t="n">
        <f aca="false">SUMIFS(tabela_registros[VALOR],tabela_registros[MÊS],$AE$1,tabela_registros[DIA],investirrendafixaconsolidadojun[[#Headers],[13]],tabela_registros[REGISTRO],DADOS!$N$5,tabela_registros[TIPO],DADOS!$AB$3,tabela_registros[CATEGORIA],investirrendafixaconsolidadojun[[#This Row],[ATUAL]])</f>
        <v>0</v>
      </c>
      <c r="R117" s="119" t="n">
        <f aca="false">SUMIFS(tabela_registros[VALOR],tabela_registros[MÊS],$AE$1,tabela_registros[DIA],investirrendafixaconsolidadojun[[#Headers],[14]],tabela_registros[REGISTRO],DADOS!$N$5,tabela_registros[TIPO],DADOS!$AB$3,tabela_registros[CATEGORIA],investirrendafixaconsolidadojun[[#This Row],[ATUAL]])</f>
        <v>0</v>
      </c>
      <c r="S117" s="119" t="n">
        <f aca="false">SUMIFS(tabela_registros[VALOR],tabela_registros[MÊS],$AE$1,tabela_registros[DIA],investirrendafixaconsolidadojun[[#Headers],[15]],tabela_registros[REGISTRO],DADOS!$N$5,tabela_registros[TIPO],DADOS!$AB$3,tabela_registros[CATEGORIA],investirrendafixaconsolidadojun[[#This Row],[ATUAL]])</f>
        <v>0</v>
      </c>
      <c r="T117" s="119" t="n">
        <f aca="false">SUMIFS(tabela_registros[VALOR],tabela_registros[MÊS],$AE$1,tabela_registros[DIA],investirrendafixaconsolidadojun[[#Headers],[16]],tabela_registros[REGISTRO],DADOS!$N$5,tabela_registros[TIPO],DADOS!$AB$3,tabela_registros[CATEGORIA],investirrendafixaconsolidadojun[[#This Row],[ATUAL]])</f>
        <v>0</v>
      </c>
      <c r="U117" s="119" t="n">
        <f aca="false">SUMIFS(tabela_registros[VALOR],tabela_registros[MÊS],$AE$1,tabela_registros[DIA],investirrendafixaconsolidadojun[[#Headers],[17]],tabela_registros[REGISTRO],DADOS!$N$5,tabela_registros[TIPO],DADOS!$AB$3,tabela_registros[CATEGORIA],investirrendafixaconsolidadojun[[#This Row],[ATUAL]])</f>
        <v>0</v>
      </c>
      <c r="V117" s="119" t="n">
        <f aca="false">SUMIFS(tabela_registros[VALOR],tabela_registros[MÊS],$AE$1,tabela_registros[DIA],investirrendafixaconsolidadojun[[#Headers],[18]],tabela_registros[REGISTRO],DADOS!$N$5,tabela_registros[TIPO],DADOS!$AB$3,tabela_registros[CATEGORIA],investirrendafixaconsolidadojun[[#This Row],[ATUAL]])</f>
        <v>0</v>
      </c>
      <c r="W117" s="119" t="n">
        <f aca="false">SUMIFS(tabela_registros[VALOR],tabela_registros[MÊS],$AE$1,tabela_registros[DIA],investirrendafixaconsolidadojun[[#Headers],[19]],tabela_registros[REGISTRO],DADOS!$N$5,tabela_registros[TIPO],DADOS!$AB$3,tabela_registros[CATEGORIA],investirrendafixaconsolidadojun[[#This Row],[ATUAL]])</f>
        <v>0</v>
      </c>
      <c r="X117" s="119" t="n">
        <f aca="false">SUMIFS(tabela_registros[VALOR],tabela_registros[MÊS],$AE$1,tabela_registros[DIA],investirrendafixaconsolidadojun[[#Headers],[20]],tabela_registros[REGISTRO],DADOS!$N$5,tabela_registros[TIPO],DADOS!$AB$3,tabela_registros[CATEGORIA],investirrendafixaconsolidadojun[[#This Row],[ATUAL]])</f>
        <v>0</v>
      </c>
      <c r="Y117" s="119" t="n">
        <f aca="false">SUMIFS(tabela_registros[VALOR],tabela_registros[MÊS],$AE$1,tabela_registros[DIA],investirrendafixaconsolidadojun[[#Headers],[21]],tabela_registros[REGISTRO],DADOS!$N$5,tabela_registros[TIPO],DADOS!$AB$3,tabela_registros[CATEGORIA],investirrendafixaconsolidadojun[[#This Row],[ATUAL]])</f>
        <v>0</v>
      </c>
      <c r="Z117" s="119" t="n">
        <f aca="false">SUMIFS(tabela_registros[VALOR],tabela_registros[MÊS],$AE$1,tabela_registros[DIA],investirrendafixaconsolidadojun[[#Headers],[22]],tabela_registros[REGISTRO],DADOS!$N$5,tabela_registros[TIPO],DADOS!$AB$3,tabela_registros[CATEGORIA],investirrendafixaconsolidadojun[[#This Row],[ATUAL]])</f>
        <v>0</v>
      </c>
      <c r="AA117" s="119" t="n">
        <f aca="false">SUMIFS(tabela_registros[VALOR],tabela_registros[MÊS],$AE$1,tabela_registros[DIA],investirrendafixaconsolidadojun[[#Headers],[23]],tabela_registros[REGISTRO],DADOS!$N$5,tabela_registros[TIPO],DADOS!$AB$3,tabela_registros[CATEGORIA],investirrendafixaconsolidadojun[[#This Row],[ATUAL]])</f>
        <v>0</v>
      </c>
      <c r="AB117" s="119" t="n">
        <f aca="false">SUMIFS(tabela_registros[VALOR],tabela_registros[MÊS],$AE$1,tabela_registros[DIA],investirrendafixaconsolidadojun[[#Headers],[24]],tabela_registros[REGISTRO],DADOS!$N$5,tabela_registros[TIPO],DADOS!$AB$3,tabela_registros[CATEGORIA],investirrendafixaconsolidadojun[[#This Row],[ATUAL]])</f>
        <v>0</v>
      </c>
      <c r="AC117" s="119" t="n">
        <f aca="false">SUMIFS(tabela_registros[VALOR],tabela_registros[MÊS],$AE$1,tabela_registros[DIA],investirrendafixaconsolidadojun[[#Headers],[25]],tabela_registros[REGISTRO],DADOS!$N$5,tabela_registros[TIPO],DADOS!$AB$3,tabela_registros[CATEGORIA],investirrendafixaconsolidadojun[[#This Row],[ATUAL]])</f>
        <v>0</v>
      </c>
      <c r="AD117" s="119" t="n">
        <f aca="false">SUMIFS(tabela_registros[VALOR],tabela_registros[MÊS],$AE$1,tabela_registros[DIA],investirrendafixaconsolidadojun[[#Headers],[26]],tabela_registros[REGISTRO],DADOS!$N$5,tabela_registros[TIPO],DADOS!$AB$3,tabela_registros[CATEGORIA],investirrendafixaconsolidadojun[[#This Row],[ATUAL]])</f>
        <v>0</v>
      </c>
      <c r="AE117" s="119" t="n">
        <f aca="false">SUMIFS(tabela_registros[VALOR],tabela_registros[MÊS],$AE$1,tabela_registros[DIA],investirrendafixaconsolidadojun[[#Headers],[27]],tabela_registros[REGISTRO],DADOS!$N$5,tabela_registros[TIPO],DADOS!$AB$3,tabela_registros[CATEGORIA],investirrendafixaconsolidadojun[[#This Row],[ATUAL]])</f>
        <v>0</v>
      </c>
      <c r="AF117" s="119" t="n">
        <f aca="false">SUMIFS(tabela_registros[VALOR],tabela_registros[MÊS],$AE$1,tabela_registros[DIA],investirrendafixaconsolidadojun[[#Headers],[28]],tabela_registros[REGISTRO],DADOS!$N$5,tabela_registros[TIPO],DADOS!$AB$3,tabela_registros[CATEGORIA],investirrendafixaconsolidadojun[[#This Row],[ATUAL]])</f>
        <v>0</v>
      </c>
      <c r="AG117" s="119" t="n">
        <f aca="false">SUMIFS(tabela_registros[VALOR],tabela_registros[MÊS],$AE$1,tabela_registros[DIA],investirrendafixaconsolidadojun[[#Headers],[29]],tabela_registros[REGISTRO],DADOS!$N$5,tabela_registros[TIPO],DADOS!$AB$3,tabela_registros[CATEGORIA],investirrendafixaconsolidadojun[[#This Row],[ATUAL]])</f>
        <v>0</v>
      </c>
      <c r="AH117" s="119" t="n">
        <f aca="false">SUMIFS(tabela_registros[VALOR],tabela_registros[MÊS],$AE$1,tabela_registros[DIA],investirrendafixaconsolidadojun[[#Headers],[30]],tabela_registros[REGISTRO],DADOS!$N$5,tabela_registros[TIPO],DADOS!$AB$3,tabela_registros[CATEGORIA],investirrendafixaconsolidadojun[[#This Row],[ATUAL]])</f>
        <v>0</v>
      </c>
      <c r="AI117" s="217" t="n">
        <f aca="false">SUMIFS(tabela_registros[VALOR],tabela_registros[MÊS],$AE$1,tabela_registros[DIA],investirrendafixaconsolidadojun[[#Headers],[31]],tabela_registros[REGISTRO],DADOS!$N$5,tabela_registros[TIPO],DADOS!$AB$3,tabela_registros[CATEGORIA],investirrendafixaconsolidadojun[[#This Row],[ATUAL]])</f>
        <v>0</v>
      </c>
      <c r="AJ117" s="149" t="n">
        <f aca="false">SUM(investirrendafixaconsolidadojun[[#This Row],[1]:[31]])</f>
        <v>0</v>
      </c>
      <c r="AK117" s="165"/>
    </row>
    <row r="118" customFormat="false" ht="19.5" hidden="false" customHeight="true" outlineLevel="0" collapsed="false">
      <c r="B118" s="143"/>
      <c r="C118" s="144" t="str">
        <f aca="false">DADOS!$AD$8</f>
        <v>📝 LC</v>
      </c>
      <c r="D118" s="145" t="str">
        <f aca="false">IF(investirrendafixaconsolidadojun[[#This Row],[TOTAL (R$)]]=0,"",IF(OR(investirrendafixaconsolidadojun[[#This Row],[TOTAL (R$)]]=LARGE($AJ$113:$AJ$122,1),investirrendafixaconsolidadojun[[#This Row],[TOTAL (R$)]]=LARGE($AJ$113:$AJ$122,2)),DADOS!$I$10,""))</f>
        <v/>
      </c>
      <c r="E118" s="148" t="n">
        <f aca="false">SUMIFS(tabela_registros[VALOR],tabela_registros[MÊS],$AE$1,tabela_registros[DIA],investirrendafixaconsolidadojun[[#Headers],[1]],tabela_registros[REGISTRO],DADOS!$N$5,tabela_registros[TIPO],DADOS!$AB$3,tabela_registros[CATEGORIA],investirrendafixaconsolidadojun[[#This Row],[ATUAL]])</f>
        <v>0</v>
      </c>
      <c r="F118" s="119" t="n">
        <f aca="false">SUMIFS(tabela_registros[VALOR],tabela_registros[MÊS],$AE$1,tabela_registros[DIA],investirrendafixaconsolidadojun[[#Headers],[2]],tabela_registros[REGISTRO],DADOS!$N$5,tabela_registros[TIPO],DADOS!$AB$3,tabela_registros[CATEGORIA],investirrendafixaconsolidadojun[[#This Row],[ATUAL]])</f>
        <v>0</v>
      </c>
      <c r="G118" s="119" t="n">
        <f aca="false">SUMIFS(tabela_registros[VALOR],tabela_registros[MÊS],$AE$1,tabela_registros[DIA],investirrendafixaconsolidadojun[[#Headers],[3]],tabela_registros[REGISTRO],DADOS!$N$5,tabela_registros[TIPO],DADOS!$AB$3,tabela_registros[CATEGORIA],investirrendafixaconsolidadojun[[#This Row],[ATUAL]])</f>
        <v>0</v>
      </c>
      <c r="H118" s="119" t="n">
        <f aca="false">SUMIFS(tabela_registros[VALOR],tabela_registros[MÊS],$AE$1,tabela_registros[DIA],investirrendafixaconsolidadojun[[#Headers],[4]],tabela_registros[REGISTRO],DADOS!$N$5,tabela_registros[TIPO],DADOS!$AB$3,tabela_registros[CATEGORIA],investirrendafixaconsolidadojun[[#This Row],[ATUAL]])</f>
        <v>0</v>
      </c>
      <c r="I118" s="119" t="n">
        <f aca="false">SUMIFS(tabela_registros[VALOR],tabela_registros[MÊS],$AE$1,tabela_registros[DIA],investirrendafixaconsolidadojun[[#Headers],[5]],tabela_registros[REGISTRO],DADOS!$N$5,tabela_registros[TIPO],DADOS!$AB$3,tabela_registros[CATEGORIA],investirrendafixaconsolidadojun[[#This Row],[ATUAL]])</f>
        <v>0</v>
      </c>
      <c r="J118" s="119" t="n">
        <f aca="false">SUMIFS(tabela_registros[VALOR],tabela_registros[MÊS],$AE$1,tabela_registros[DIA],investirrendafixaconsolidadojun[[#Headers],[6]],tabela_registros[REGISTRO],DADOS!$N$5,tabela_registros[TIPO],DADOS!$AB$3,tabela_registros[CATEGORIA],investirrendafixaconsolidadojun[[#This Row],[ATUAL]])</f>
        <v>0</v>
      </c>
      <c r="K118" s="119" t="n">
        <f aca="false">SUMIFS(tabela_registros[VALOR],tabela_registros[MÊS],$AE$1,tabela_registros[DIA],investirrendafixaconsolidadojun[[#Headers],[7]],tabela_registros[REGISTRO],DADOS!$N$5,tabela_registros[TIPO],DADOS!$AB$3,tabela_registros[CATEGORIA],investirrendafixaconsolidadojun[[#This Row],[ATUAL]])</f>
        <v>0</v>
      </c>
      <c r="L118" s="119" t="n">
        <f aca="false">SUMIFS(tabela_registros[VALOR],tabela_registros[MÊS],$AE$1,tabela_registros[DIA],investirrendafixaconsolidadojun[[#Headers],[8]],tabela_registros[REGISTRO],DADOS!$N$5,tabela_registros[TIPO],DADOS!$AB$3,tabela_registros[CATEGORIA],investirrendafixaconsolidadojun[[#This Row],[ATUAL]])</f>
        <v>0</v>
      </c>
      <c r="M118" s="119" t="n">
        <f aca="false">SUMIFS(tabela_registros[VALOR],tabela_registros[MÊS],$AE$1,tabela_registros[DIA],investirrendafixaconsolidadojun[[#Headers],[9]],tabela_registros[REGISTRO],DADOS!$N$5,tabela_registros[TIPO],DADOS!$AB$3,tabela_registros[CATEGORIA],investirrendafixaconsolidadojun[[#This Row],[ATUAL]])</f>
        <v>0</v>
      </c>
      <c r="N118" s="119" t="n">
        <f aca="false">SUMIFS(tabela_registros[VALOR],tabela_registros[MÊS],$AE$1,tabela_registros[DIA],investirrendafixaconsolidadojun[[#Headers],[10]],tabela_registros[REGISTRO],DADOS!$N$5,tabela_registros[TIPO],DADOS!$AB$3,tabela_registros[CATEGORIA],investirrendafixaconsolidadojun[[#This Row],[ATUAL]])</f>
        <v>0</v>
      </c>
      <c r="O118" s="119" t="n">
        <f aca="false">SUMIFS(tabela_registros[VALOR],tabela_registros[MÊS],$AE$1,tabela_registros[DIA],investirrendafixaconsolidadojun[[#Headers],[11]],tabela_registros[REGISTRO],DADOS!$N$5,tabela_registros[TIPO],DADOS!$AB$3,tabela_registros[CATEGORIA],investirrendafixaconsolidadojun[[#This Row],[ATUAL]])</f>
        <v>0</v>
      </c>
      <c r="P118" s="119" t="n">
        <f aca="false">SUMIFS(tabela_registros[VALOR],tabela_registros[MÊS],$AE$1,tabela_registros[DIA],investirrendafixaconsolidadojun[[#Headers],[12]],tabela_registros[REGISTRO],DADOS!$N$5,tabela_registros[TIPO],DADOS!$AB$3,tabela_registros[CATEGORIA],investirrendafixaconsolidadojun[[#This Row],[ATUAL]])</f>
        <v>0</v>
      </c>
      <c r="Q118" s="119" t="n">
        <f aca="false">SUMIFS(tabela_registros[VALOR],tabela_registros[MÊS],$AE$1,tabela_registros[DIA],investirrendafixaconsolidadojun[[#Headers],[13]],tabela_registros[REGISTRO],DADOS!$N$5,tabela_registros[TIPO],DADOS!$AB$3,tabela_registros[CATEGORIA],investirrendafixaconsolidadojun[[#This Row],[ATUAL]])</f>
        <v>0</v>
      </c>
      <c r="R118" s="119" t="n">
        <f aca="false">SUMIFS(tabela_registros[VALOR],tabela_registros[MÊS],$AE$1,tabela_registros[DIA],investirrendafixaconsolidadojun[[#Headers],[14]],tabela_registros[REGISTRO],DADOS!$N$5,tabela_registros[TIPO],DADOS!$AB$3,tabela_registros[CATEGORIA],investirrendafixaconsolidadojun[[#This Row],[ATUAL]])</f>
        <v>0</v>
      </c>
      <c r="S118" s="119" t="n">
        <f aca="false">SUMIFS(tabela_registros[VALOR],tabela_registros[MÊS],$AE$1,tabela_registros[DIA],investirrendafixaconsolidadojun[[#Headers],[15]],tabela_registros[REGISTRO],DADOS!$N$5,tabela_registros[TIPO],DADOS!$AB$3,tabela_registros[CATEGORIA],investirrendafixaconsolidadojun[[#This Row],[ATUAL]])</f>
        <v>0</v>
      </c>
      <c r="T118" s="119" t="n">
        <f aca="false">SUMIFS(tabela_registros[VALOR],tabela_registros[MÊS],$AE$1,tabela_registros[DIA],investirrendafixaconsolidadojun[[#Headers],[16]],tabela_registros[REGISTRO],DADOS!$N$5,tabela_registros[TIPO],DADOS!$AB$3,tabela_registros[CATEGORIA],investirrendafixaconsolidadojun[[#This Row],[ATUAL]])</f>
        <v>0</v>
      </c>
      <c r="U118" s="119" t="n">
        <f aca="false">SUMIFS(tabela_registros[VALOR],tabela_registros[MÊS],$AE$1,tabela_registros[DIA],investirrendafixaconsolidadojun[[#Headers],[17]],tabela_registros[REGISTRO],DADOS!$N$5,tabela_registros[TIPO],DADOS!$AB$3,tabela_registros[CATEGORIA],investirrendafixaconsolidadojun[[#This Row],[ATUAL]])</f>
        <v>0</v>
      </c>
      <c r="V118" s="119" t="n">
        <f aca="false">SUMIFS(tabela_registros[VALOR],tabela_registros[MÊS],$AE$1,tabela_registros[DIA],investirrendafixaconsolidadojun[[#Headers],[18]],tabela_registros[REGISTRO],DADOS!$N$5,tabela_registros[TIPO],DADOS!$AB$3,tabela_registros[CATEGORIA],investirrendafixaconsolidadojun[[#This Row],[ATUAL]])</f>
        <v>0</v>
      </c>
      <c r="W118" s="119" t="n">
        <f aca="false">SUMIFS(tabela_registros[VALOR],tabela_registros[MÊS],$AE$1,tabela_registros[DIA],investirrendafixaconsolidadojun[[#Headers],[19]],tabela_registros[REGISTRO],DADOS!$N$5,tabela_registros[TIPO],DADOS!$AB$3,tabela_registros[CATEGORIA],investirrendafixaconsolidadojun[[#This Row],[ATUAL]])</f>
        <v>0</v>
      </c>
      <c r="X118" s="119" t="n">
        <f aca="false">SUMIFS(tabela_registros[VALOR],tabela_registros[MÊS],$AE$1,tabela_registros[DIA],investirrendafixaconsolidadojun[[#Headers],[20]],tabela_registros[REGISTRO],DADOS!$N$5,tabela_registros[TIPO],DADOS!$AB$3,tabela_registros[CATEGORIA],investirrendafixaconsolidadojun[[#This Row],[ATUAL]])</f>
        <v>0</v>
      </c>
      <c r="Y118" s="119" t="n">
        <f aca="false">SUMIFS(tabela_registros[VALOR],tabela_registros[MÊS],$AE$1,tabela_registros[DIA],investirrendafixaconsolidadojun[[#Headers],[21]],tabela_registros[REGISTRO],DADOS!$N$5,tabela_registros[TIPO],DADOS!$AB$3,tabela_registros[CATEGORIA],investirrendafixaconsolidadojun[[#This Row],[ATUAL]])</f>
        <v>0</v>
      </c>
      <c r="Z118" s="119" t="n">
        <f aca="false">SUMIFS(tabela_registros[VALOR],tabela_registros[MÊS],$AE$1,tabela_registros[DIA],investirrendafixaconsolidadojun[[#Headers],[22]],tabela_registros[REGISTRO],DADOS!$N$5,tabela_registros[TIPO],DADOS!$AB$3,tabela_registros[CATEGORIA],investirrendafixaconsolidadojun[[#This Row],[ATUAL]])</f>
        <v>0</v>
      </c>
      <c r="AA118" s="119" t="n">
        <f aca="false">SUMIFS(tabela_registros[VALOR],tabela_registros[MÊS],$AE$1,tabela_registros[DIA],investirrendafixaconsolidadojun[[#Headers],[23]],tabela_registros[REGISTRO],DADOS!$N$5,tabela_registros[TIPO],DADOS!$AB$3,tabela_registros[CATEGORIA],investirrendafixaconsolidadojun[[#This Row],[ATUAL]])</f>
        <v>0</v>
      </c>
      <c r="AB118" s="119" t="n">
        <f aca="false">SUMIFS(tabela_registros[VALOR],tabela_registros[MÊS],$AE$1,tabela_registros[DIA],investirrendafixaconsolidadojun[[#Headers],[24]],tabela_registros[REGISTRO],DADOS!$N$5,tabela_registros[TIPO],DADOS!$AB$3,tabela_registros[CATEGORIA],investirrendafixaconsolidadojun[[#This Row],[ATUAL]])</f>
        <v>0</v>
      </c>
      <c r="AC118" s="119" t="n">
        <f aca="false">SUMIFS(tabela_registros[VALOR],tabela_registros[MÊS],$AE$1,tabela_registros[DIA],investirrendafixaconsolidadojun[[#Headers],[25]],tabela_registros[REGISTRO],DADOS!$N$5,tabela_registros[TIPO],DADOS!$AB$3,tabela_registros[CATEGORIA],investirrendafixaconsolidadojun[[#This Row],[ATUAL]])</f>
        <v>0</v>
      </c>
      <c r="AD118" s="119" t="n">
        <f aca="false">SUMIFS(tabela_registros[VALOR],tabela_registros[MÊS],$AE$1,tabela_registros[DIA],investirrendafixaconsolidadojun[[#Headers],[26]],tabela_registros[REGISTRO],DADOS!$N$5,tabela_registros[TIPO],DADOS!$AB$3,tabela_registros[CATEGORIA],investirrendafixaconsolidadojun[[#This Row],[ATUAL]])</f>
        <v>0</v>
      </c>
      <c r="AE118" s="119" t="n">
        <f aca="false">SUMIFS(tabela_registros[VALOR],tabela_registros[MÊS],$AE$1,tabela_registros[DIA],investirrendafixaconsolidadojun[[#Headers],[27]],tabela_registros[REGISTRO],DADOS!$N$5,tabela_registros[TIPO],DADOS!$AB$3,tabela_registros[CATEGORIA],investirrendafixaconsolidadojun[[#This Row],[ATUAL]])</f>
        <v>0</v>
      </c>
      <c r="AF118" s="119" t="n">
        <f aca="false">SUMIFS(tabela_registros[VALOR],tabela_registros[MÊS],$AE$1,tabela_registros[DIA],investirrendafixaconsolidadojun[[#Headers],[28]],tabela_registros[REGISTRO],DADOS!$N$5,tabela_registros[TIPO],DADOS!$AB$3,tabela_registros[CATEGORIA],investirrendafixaconsolidadojun[[#This Row],[ATUAL]])</f>
        <v>0</v>
      </c>
      <c r="AG118" s="119" t="n">
        <f aca="false">SUMIFS(tabela_registros[VALOR],tabela_registros[MÊS],$AE$1,tabela_registros[DIA],investirrendafixaconsolidadojun[[#Headers],[29]],tabela_registros[REGISTRO],DADOS!$N$5,tabela_registros[TIPO],DADOS!$AB$3,tabela_registros[CATEGORIA],investirrendafixaconsolidadojun[[#This Row],[ATUAL]])</f>
        <v>0</v>
      </c>
      <c r="AH118" s="119" t="n">
        <f aca="false">SUMIFS(tabela_registros[VALOR],tabela_registros[MÊS],$AE$1,tabela_registros[DIA],investirrendafixaconsolidadojun[[#Headers],[30]],tabela_registros[REGISTRO],DADOS!$N$5,tabela_registros[TIPO],DADOS!$AB$3,tabela_registros[CATEGORIA],investirrendafixaconsolidadojun[[#This Row],[ATUAL]])</f>
        <v>0</v>
      </c>
      <c r="AI118" s="217" t="n">
        <f aca="false">SUMIFS(tabela_registros[VALOR],tabela_registros[MÊS],$AE$1,tabela_registros[DIA],investirrendafixaconsolidadojun[[#Headers],[31]],tabela_registros[REGISTRO],DADOS!$N$5,tabela_registros[TIPO],DADOS!$AB$3,tabela_registros[CATEGORIA],investirrendafixaconsolidadojun[[#This Row],[ATUAL]])</f>
        <v>0</v>
      </c>
      <c r="AJ118" s="149" t="n">
        <f aca="false">SUM(investirrendafixaconsolidadojun[[#This Row],[1]:[31]])</f>
        <v>0</v>
      </c>
      <c r="AK118" s="165"/>
    </row>
    <row r="119" customFormat="false" ht="19.5" hidden="false" customHeight="true" outlineLevel="0" collapsed="false">
      <c r="B119" s="143"/>
      <c r="C119" s="144" t="str">
        <f aca="false">DADOS!$AD$9</f>
        <v>📝 LCA</v>
      </c>
      <c r="D119" s="145" t="str">
        <f aca="false">IF(investirrendafixaconsolidadojun[[#This Row],[TOTAL (R$)]]=0,"",IF(OR(investirrendafixaconsolidadojun[[#This Row],[TOTAL (R$)]]=LARGE($AJ$113:$AJ$122,1),investirrendafixaconsolidadojun[[#This Row],[TOTAL (R$)]]=LARGE($AJ$113:$AJ$122,2)),DADOS!$I$10,""))</f>
        <v/>
      </c>
      <c r="E119" s="148" t="n">
        <f aca="false">SUMIFS(tabela_registros[VALOR],tabela_registros[MÊS],$AE$1,tabela_registros[DIA],investirrendafixaconsolidadojun[[#Headers],[1]],tabela_registros[REGISTRO],DADOS!$N$5,tabela_registros[TIPO],DADOS!$AB$3,tabela_registros[CATEGORIA],investirrendafixaconsolidadojun[[#This Row],[ATUAL]])</f>
        <v>0</v>
      </c>
      <c r="F119" s="119" t="n">
        <f aca="false">SUMIFS(tabela_registros[VALOR],tabela_registros[MÊS],$AE$1,tabela_registros[DIA],investirrendafixaconsolidadojun[[#Headers],[2]],tabela_registros[REGISTRO],DADOS!$N$5,tabela_registros[TIPO],DADOS!$AB$3,tabela_registros[CATEGORIA],investirrendafixaconsolidadojun[[#This Row],[ATUAL]])</f>
        <v>0</v>
      </c>
      <c r="G119" s="119" t="n">
        <f aca="false">SUMIFS(tabela_registros[VALOR],tabela_registros[MÊS],$AE$1,tabela_registros[DIA],investirrendafixaconsolidadojun[[#Headers],[3]],tabela_registros[REGISTRO],DADOS!$N$5,tabela_registros[TIPO],DADOS!$AB$3,tabela_registros[CATEGORIA],investirrendafixaconsolidadojun[[#This Row],[ATUAL]])</f>
        <v>0</v>
      </c>
      <c r="H119" s="119" t="n">
        <f aca="false">SUMIFS(tabela_registros[VALOR],tabela_registros[MÊS],$AE$1,tabela_registros[DIA],investirrendafixaconsolidadojun[[#Headers],[4]],tabela_registros[REGISTRO],DADOS!$N$5,tabela_registros[TIPO],DADOS!$AB$3,tabela_registros[CATEGORIA],investirrendafixaconsolidadojun[[#This Row],[ATUAL]])</f>
        <v>0</v>
      </c>
      <c r="I119" s="119" t="n">
        <f aca="false">SUMIFS(tabela_registros[VALOR],tabela_registros[MÊS],$AE$1,tabela_registros[DIA],investirrendafixaconsolidadojun[[#Headers],[5]],tabela_registros[REGISTRO],DADOS!$N$5,tabela_registros[TIPO],DADOS!$AB$3,tabela_registros[CATEGORIA],investirrendafixaconsolidadojun[[#This Row],[ATUAL]])</f>
        <v>0</v>
      </c>
      <c r="J119" s="119" t="n">
        <f aca="false">SUMIFS(tabela_registros[VALOR],tabela_registros[MÊS],$AE$1,tabela_registros[DIA],investirrendafixaconsolidadojun[[#Headers],[6]],tabela_registros[REGISTRO],DADOS!$N$5,tabela_registros[TIPO],DADOS!$AB$3,tabela_registros[CATEGORIA],investirrendafixaconsolidadojun[[#This Row],[ATUAL]])</f>
        <v>0</v>
      </c>
      <c r="K119" s="119" t="n">
        <f aca="false">SUMIFS(tabela_registros[VALOR],tabela_registros[MÊS],$AE$1,tabela_registros[DIA],investirrendafixaconsolidadojun[[#Headers],[7]],tabela_registros[REGISTRO],DADOS!$N$5,tabela_registros[TIPO],DADOS!$AB$3,tabela_registros[CATEGORIA],investirrendafixaconsolidadojun[[#This Row],[ATUAL]])</f>
        <v>0</v>
      </c>
      <c r="L119" s="119" t="n">
        <f aca="false">SUMIFS(tabela_registros[VALOR],tabela_registros[MÊS],$AE$1,tabela_registros[DIA],investirrendafixaconsolidadojun[[#Headers],[8]],tabela_registros[REGISTRO],DADOS!$N$5,tabela_registros[TIPO],DADOS!$AB$3,tabela_registros[CATEGORIA],investirrendafixaconsolidadojun[[#This Row],[ATUAL]])</f>
        <v>0</v>
      </c>
      <c r="M119" s="119" t="n">
        <f aca="false">SUMIFS(tabela_registros[VALOR],tabela_registros[MÊS],$AE$1,tabela_registros[DIA],investirrendafixaconsolidadojun[[#Headers],[9]],tabela_registros[REGISTRO],DADOS!$N$5,tabela_registros[TIPO],DADOS!$AB$3,tabela_registros[CATEGORIA],investirrendafixaconsolidadojun[[#This Row],[ATUAL]])</f>
        <v>0</v>
      </c>
      <c r="N119" s="119" t="n">
        <f aca="false">SUMIFS(tabela_registros[VALOR],tabela_registros[MÊS],$AE$1,tabela_registros[DIA],investirrendafixaconsolidadojun[[#Headers],[10]],tabela_registros[REGISTRO],DADOS!$N$5,tabela_registros[TIPO],DADOS!$AB$3,tabela_registros[CATEGORIA],investirrendafixaconsolidadojun[[#This Row],[ATUAL]])</f>
        <v>0</v>
      </c>
      <c r="O119" s="119" t="n">
        <f aca="false">SUMIFS(tabela_registros[VALOR],tabela_registros[MÊS],$AE$1,tabela_registros[DIA],investirrendafixaconsolidadojun[[#Headers],[11]],tabela_registros[REGISTRO],DADOS!$N$5,tabela_registros[TIPO],DADOS!$AB$3,tabela_registros[CATEGORIA],investirrendafixaconsolidadojun[[#This Row],[ATUAL]])</f>
        <v>0</v>
      </c>
      <c r="P119" s="119" t="n">
        <f aca="false">SUMIFS(tabela_registros[VALOR],tabela_registros[MÊS],$AE$1,tabela_registros[DIA],investirrendafixaconsolidadojun[[#Headers],[12]],tabela_registros[REGISTRO],DADOS!$N$5,tabela_registros[TIPO],DADOS!$AB$3,tabela_registros[CATEGORIA],investirrendafixaconsolidadojun[[#This Row],[ATUAL]])</f>
        <v>0</v>
      </c>
      <c r="Q119" s="119" t="n">
        <f aca="false">SUMIFS(tabela_registros[VALOR],tabela_registros[MÊS],$AE$1,tabela_registros[DIA],investirrendafixaconsolidadojun[[#Headers],[13]],tabela_registros[REGISTRO],DADOS!$N$5,tabela_registros[TIPO],DADOS!$AB$3,tabela_registros[CATEGORIA],investirrendafixaconsolidadojun[[#This Row],[ATUAL]])</f>
        <v>0</v>
      </c>
      <c r="R119" s="119" t="n">
        <f aca="false">SUMIFS(tabela_registros[VALOR],tabela_registros[MÊS],$AE$1,tabela_registros[DIA],investirrendafixaconsolidadojun[[#Headers],[14]],tabela_registros[REGISTRO],DADOS!$N$5,tabela_registros[TIPO],DADOS!$AB$3,tabela_registros[CATEGORIA],investirrendafixaconsolidadojun[[#This Row],[ATUAL]])</f>
        <v>0</v>
      </c>
      <c r="S119" s="119" t="n">
        <f aca="false">SUMIFS(tabela_registros[VALOR],tabela_registros[MÊS],$AE$1,tabela_registros[DIA],investirrendafixaconsolidadojun[[#Headers],[15]],tabela_registros[REGISTRO],DADOS!$N$5,tabela_registros[TIPO],DADOS!$AB$3,tabela_registros[CATEGORIA],investirrendafixaconsolidadojun[[#This Row],[ATUAL]])</f>
        <v>0</v>
      </c>
      <c r="T119" s="119" t="n">
        <f aca="false">SUMIFS(tabela_registros[VALOR],tabela_registros[MÊS],$AE$1,tabela_registros[DIA],investirrendafixaconsolidadojun[[#Headers],[16]],tabela_registros[REGISTRO],DADOS!$N$5,tabela_registros[TIPO],DADOS!$AB$3,tabela_registros[CATEGORIA],investirrendafixaconsolidadojun[[#This Row],[ATUAL]])</f>
        <v>0</v>
      </c>
      <c r="U119" s="119" t="n">
        <f aca="false">SUMIFS(tabela_registros[VALOR],tabela_registros[MÊS],$AE$1,tabela_registros[DIA],investirrendafixaconsolidadojun[[#Headers],[17]],tabela_registros[REGISTRO],DADOS!$N$5,tabela_registros[TIPO],DADOS!$AB$3,tabela_registros[CATEGORIA],investirrendafixaconsolidadojun[[#This Row],[ATUAL]])</f>
        <v>0</v>
      </c>
      <c r="V119" s="119" t="n">
        <f aca="false">SUMIFS(tabela_registros[VALOR],tabela_registros[MÊS],$AE$1,tabela_registros[DIA],investirrendafixaconsolidadojun[[#Headers],[18]],tabela_registros[REGISTRO],DADOS!$N$5,tabela_registros[TIPO],DADOS!$AB$3,tabela_registros[CATEGORIA],investirrendafixaconsolidadojun[[#This Row],[ATUAL]])</f>
        <v>0</v>
      </c>
      <c r="W119" s="119" t="n">
        <f aca="false">SUMIFS(tabela_registros[VALOR],tabela_registros[MÊS],$AE$1,tabela_registros[DIA],investirrendafixaconsolidadojun[[#Headers],[19]],tabela_registros[REGISTRO],DADOS!$N$5,tabela_registros[TIPO],DADOS!$AB$3,tabela_registros[CATEGORIA],investirrendafixaconsolidadojun[[#This Row],[ATUAL]])</f>
        <v>0</v>
      </c>
      <c r="X119" s="119" t="n">
        <f aca="false">SUMIFS(tabela_registros[VALOR],tabela_registros[MÊS],$AE$1,tabela_registros[DIA],investirrendafixaconsolidadojun[[#Headers],[20]],tabela_registros[REGISTRO],DADOS!$N$5,tabela_registros[TIPO],DADOS!$AB$3,tabela_registros[CATEGORIA],investirrendafixaconsolidadojun[[#This Row],[ATUAL]])</f>
        <v>0</v>
      </c>
      <c r="Y119" s="119" t="n">
        <f aca="false">SUMIFS(tabela_registros[VALOR],tabela_registros[MÊS],$AE$1,tabela_registros[DIA],investirrendafixaconsolidadojun[[#Headers],[21]],tabela_registros[REGISTRO],DADOS!$N$5,tabela_registros[TIPO],DADOS!$AB$3,tabela_registros[CATEGORIA],investirrendafixaconsolidadojun[[#This Row],[ATUAL]])</f>
        <v>0</v>
      </c>
      <c r="Z119" s="119" t="n">
        <f aca="false">SUMIFS(tabela_registros[VALOR],tabela_registros[MÊS],$AE$1,tabela_registros[DIA],investirrendafixaconsolidadojun[[#Headers],[22]],tabela_registros[REGISTRO],DADOS!$N$5,tabela_registros[TIPO],DADOS!$AB$3,tabela_registros[CATEGORIA],investirrendafixaconsolidadojun[[#This Row],[ATUAL]])</f>
        <v>0</v>
      </c>
      <c r="AA119" s="119" t="n">
        <f aca="false">SUMIFS(tabela_registros[VALOR],tabela_registros[MÊS],$AE$1,tabela_registros[DIA],investirrendafixaconsolidadojun[[#Headers],[23]],tabela_registros[REGISTRO],DADOS!$N$5,tabela_registros[TIPO],DADOS!$AB$3,tabela_registros[CATEGORIA],investirrendafixaconsolidadojun[[#This Row],[ATUAL]])</f>
        <v>0</v>
      </c>
      <c r="AB119" s="119" t="n">
        <f aca="false">SUMIFS(tabela_registros[VALOR],tabela_registros[MÊS],$AE$1,tabela_registros[DIA],investirrendafixaconsolidadojun[[#Headers],[24]],tabela_registros[REGISTRO],DADOS!$N$5,tabela_registros[TIPO],DADOS!$AB$3,tabela_registros[CATEGORIA],investirrendafixaconsolidadojun[[#This Row],[ATUAL]])</f>
        <v>0</v>
      </c>
      <c r="AC119" s="119" t="n">
        <f aca="false">SUMIFS(tabela_registros[VALOR],tabela_registros[MÊS],$AE$1,tabela_registros[DIA],investirrendafixaconsolidadojun[[#Headers],[25]],tabela_registros[REGISTRO],DADOS!$N$5,tabela_registros[TIPO],DADOS!$AB$3,tabela_registros[CATEGORIA],investirrendafixaconsolidadojun[[#This Row],[ATUAL]])</f>
        <v>0</v>
      </c>
      <c r="AD119" s="119" t="n">
        <f aca="false">SUMIFS(tabela_registros[VALOR],tabela_registros[MÊS],$AE$1,tabela_registros[DIA],investirrendafixaconsolidadojun[[#Headers],[26]],tabela_registros[REGISTRO],DADOS!$N$5,tabela_registros[TIPO],DADOS!$AB$3,tabela_registros[CATEGORIA],investirrendafixaconsolidadojun[[#This Row],[ATUAL]])</f>
        <v>0</v>
      </c>
      <c r="AE119" s="119" t="n">
        <f aca="false">SUMIFS(tabela_registros[VALOR],tabela_registros[MÊS],$AE$1,tabela_registros[DIA],investirrendafixaconsolidadojun[[#Headers],[27]],tabela_registros[REGISTRO],DADOS!$N$5,tabela_registros[TIPO],DADOS!$AB$3,tabela_registros[CATEGORIA],investirrendafixaconsolidadojun[[#This Row],[ATUAL]])</f>
        <v>0</v>
      </c>
      <c r="AF119" s="119" t="n">
        <f aca="false">SUMIFS(tabela_registros[VALOR],tabela_registros[MÊS],$AE$1,tabela_registros[DIA],investirrendafixaconsolidadojun[[#Headers],[28]],tabela_registros[REGISTRO],DADOS!$N$5,tabela_registros[TIPO],DADOS!$AB$3,tabela_registros[CATEGORIA],investirrendafixaconsolidadojun[[#This Row],[ATUAL]])</f>
        <v>0</v>
      </c>
      <c r="AG119" s="119" t="n">
        <f aca="false">SUMIFS(tabela_registros[VALOR],tabela_registros[MÊS],$AE$1,tabela_registros[DIA],investirrendafixaconsolidadojun[[#Headers],[29]],tabela_registros[REGISTRO],DADOS!$N$5,tabela_registros[TIPO],DADOS!$AB$3,tabela_registros[CATEGORIA],investirrendafixaconsolidadojun[[#This Row],[ATUAL]])</f>
        <v>0</v>
      </c>
      <c r="AH119" s="119" t="n">
        <f aca="false">SUMIFS(tabela_registros[VALOR],tabela_registros[MÊS],$AE$1,tabela_registros[DIA],investirrendafixaconsolidadojun[[#Headers],[30]],tabela_registros[REGISTRO],DADOS!$N$5,tabela_registros[TIPO],DADOS!$AB$3,tabela_registros[CATEGORIA],investirrendafixaconsolidadojun[[#This Row],[ATUAL]])</f>
        <v>0</v>
      </c>
      <c r="AI119" s="217" t="n">
        <f aca="false">SUMIFS(tabela_registros[VALOR],tabela_registros[MÊS],$AE$1,tabela_registros[DIA],investirrendafixaconsolidadojun[[#Headers],[31]],tabela_registros[REGISTRO],DADOS!$N$5,tabela_registros[TIPO],DADOS!$AB$3,tabela_registros[CATEGORIA],investirrendafixaconsolidadojun[[#This Row],[ATUAL]])</f>
        <v>0</v>
      </c>
      <c r="AJ119" s="149" t="n">
        <f aca="false">SUM(investirrendafixaconsolidadojun[[#This Row],[1]:[31]])</f>
        <v>0</v>
      </c>
      <c r="AK119" s="165"/>
    </row>
    <row r="120" customFormat="false" ht="19.5" hidden="false" customHeight="true" outlineLevel="0" collapsed="false">
      <c r="B120" s="143"/>
      <c r="C120" s="144" t="str">
        <f aca="false">DADOS!$AD$10</f>
        <v>📝 LCI</v>
      </c>
      <c r="D120" s="145" t="str">
        <f aca="false">IF(investirrendafixaconsolidadojun[[#This Row],[TOTAL (R$)]]=0,"",IF(OR(investirrendafixaconsolidadojun[[#This Row],[TOTAL (R$)]]=LARGE($AJ$113:$AJ$122,1),investirrendafixaconsolidadojun[[#This Row],[TOTAL (R$)]]=LARGE($AJ$113:$AJ$122,2)),DADOS!$I$10,""))</f>
        <v/>
      </c>
      <c r="E120" s="148" t="n">
        <f aca="false">SUMIFS(tabela_registros[VALOR],tabela_registros[MÊS],$AE$1,tabela_registros[DIA],investirrendafixaconsolidadojun[[#Headers],[1]],tabela_registros[REGISTRO],DADOS!$N$5,tabela_registros[TIPO],DADOS!$AB$3,tabela_registros[CATEGORIA],investirrendafixaconsolidadojun[[#This Row],[ATUAL]])</f>
        <v>0</v>
      </c>
      <c r="F120" s="119" t="n">
        <f aca="false">SUMIFS(tabela_registros[VALOR],tabela_registros[MÊS],$AE$1,tabela_registros[DIA],investirrendafixaconsolidadojun[[#Headers],[2]],tabela_registros[REGISTRO],DADOS!$N$5,tabela_registros[TIPO],DADOS!$AB$3,tabela_registros[CATEGORIA],investirrendafixaconsolidadojun[[#This Row],[ATUAL]])</f>
        <v>0</v>
      </c>
      <c r="G120" s="119" t="n">
        <f aca="false">SUMIFS(tabela_registros[VALOR],tabela_registros[MÊS],$AE$1,tabela_registros[DIA],investirrendafixaconsolidadojun[[#Headers],[3]],tabela_registros[REGISTRO],DADOS!$N$5,tabela_registros[TIPO],DADOS!$AB$3,tabela_registros[CATEGORIA],investirrendafixaconsolidadojun[[#This Row],[ATUAL]])</f>
        <v>0</v>
      </c>
      <c r="H120" s="119" t="n">
        <f aca="false">SUMIFS(tabela_registros[VALOR],tabela_registros[MÊS],$AE$1,tabela_registros[DIA],investirrendafixaconsolidadojun[[#Headers],[4]],tabela_registros[REGISTRO],DADOS!$N$5,tabela_registros[TIPO],DADOS!$AB$3,tabela_registros[CATEGORIA],investirrendafixaconsolidadojun[[#This Row],[ATUAL]])</f>
        <v>0</v>
      </c>
      <c r="I120" s="119" t="n">
        <f aca="false">SUMIFS(tabela_registros[VALOR],tabela_registros[MÊS],$AE$1,tabela_registros[DIA],investirrendafixaconsolidadojun[[#Headers],[5]],tabela_registros[REGISTRO],DADOS!$N$5,tabela_registros[TIPO],DADOS!$AB$3,tabela_registros[CATEGORIA],investirrendafixaconsolidadojun[[#This Row],[ATUAL]])</f>
        <v>0</v>
      </c>
      <c r="J120" s="119" t="n">
        <f aca="false">SUMIFS(tabela_registros[VALOR],tabela_registros[MÊS],$AE$1,tabela_registros[DIA],investirrendafixaconsolidadojun[[#Headers],[6]],tabela_registros[REGISTRO],DADOS!$N$5,tabela_registros[TIPO],DADOS!$AB$3,tabela_registros[CATEGORIA],investirrendafixaconsolidadojun[[#This Row],[ATUAL]])</f>
        <v>0</v>
      </c>
      <c r="K120" s="119" t="n">
        <f aca="false">SUMIFS(tabela_registros[VALOR],tabela_registros[MÊS],$AE$1,tabela_registros[DIA],investirrendafixaconsolidadojun[[#Headers],[7]],tabela_registros[REGISTRO],DADOS!$N$5,tabela_registros[TIPO],DADOS!$AB$3,tabela_registros[CATEGORIA],investirrendafixaconsolidadojun[[#This Row],[ATUAL]])</f>
        <v>0</v>
      </c>
      <c r="L120" s="119" t="n">
        <f aca="false">SUMIFS(tabela_registros[VALOR],tabela_registros[MÊS],$AE$1,tabela_registros[DIA],investirrendafixaconsolidadojun[[#Headers],[8]],tabela_registros[REGISTRO],DADOS!$N$5,tabela_registros[TIPO],DADOS!$AB$3,tabela_registros[CATEGORIA],investirrendafixaconsolidadojun[[#This Row],[ATUAL]])</f>
        <v>0</v>
      </c>
      <c r="M120" s="119" t="n">
        <f aca="false">SUMIFS(tabela_registros[VALOR],tabela_registros[MÊS],$AE$1,tabela_registros[DIA],investirrendafixaconsolidadojun[[#Headers],[9]],tabela_registros[REGISTRO],DADOS!$N$5,tabela_registros[TIPO],DADOS!$AB$3,tabela_registros[CATEGORIA],investirrendafixaconsolidadojun[[#This Row],[ATUAL]])</f>
        <v>0</v>
      </c>
      <c r="N120" s="119" t="n">
        <f aca="false">SUMIFS(tabela_registros[VALOR],tabela_registros[MÊS],$AE$1,tabela_registros[DIA],investirrendafixaconsolidadojun[[#Headers],[10]],tabela_registros[REGISTRO],DADOS!$N$5,tabela_registros[TIPO],DADOS!$AB$3,tabela_registros[CATEGORIA],investirrendafixaconsolidadojun[[#This Row],[ATUAL]])</f>
        <v>0</v>
      </c>
      <c r="O120" s="119" t="n">
        <f aca="false">SUMIFS(tabela_registros[VALOR],tabela_registros[MÊS],$AE$1,tabela_registros[DIA],investirrendafixaconsolidadojun[[#Headers],[11]],tabela_registros[REGISTRO],DADOS!$N$5,tabela_registros[TIPO],DADOS!$AB$3,tabela_registros[CATEGORIA],investirrendafixaconsolidadojun[[#This Row],[ATUAL]])</f>
        <v>0</v>
      </c>
      <c r="P120" s="119" t="n">
        <f aca="false">SUMIFS(tabela_registros[VALOR],tabela_registros[MÊS],$AE$1,tabela_registros[DIA],investirrendafixaconsolidadojun[[#Headers],[12]],tabela_registros[REGISTRO],DADOS!$N$5,tabela_registros[TIPO],DADOS!$AB$3,tabela_registros[CATEGORIA],investirrendafixaconsolidadojun[[#This Row],[ATUAL]])</f>
        <v>0</v>
      </c>
      <c r="Q120" s="119" t="n">
        <f aca="false">SUMIFS(tabela_registros[VALOR],tabela_registros[MÊS],$AE$1,tabela_registros[DIA],investirrendafixaconsolidadojun[[#Headers],[13]],tabela_registros[REGISTRO],DADOS!$N$5,tabela_registros[TIPO],DADOS!$AB$3,tabela_registros[CATEGORIA],investirrendafixaconsolidadojun[[#This Row],[ATUAL]])</f>
        <v>0</v>
      </c>
      <c r="R120" s="119" t="n">
        <f aca="false">SUMIFS(tabela_registros[VALOR],tabela_registros[MÊS],$AE$1,tabela_registros[DIA],investirrendafixaconsolidadojun[[#Headers],[14]],tabela_registros[REGISTRO],DADOS!$N$5,tabela_registros[TIPO],DADOS!$AB$3,tabela_registros[CATEGORIA],investirrendafixaconsolidadojun[[#This Row],[ATUAL]])</f>
        <v>0</v>
      </c>
      <c r="S120" s="119" t="n">
        <f aca="false">SUMIFS(tabela_registros[VALOR],tabela_registros[MÊS],$AE$1,tabela_registros[DIA],investirrendafixaconsolidadojun[[#Headers],[15]],tabela_registros[REGISTRO],DADOS!$N$5,tabela_registros[TIPO],DADOS!$AB$3,tabela_registros[CATEGORIA],investirrendafixaconsolidadojun[[#This Row],[ATUAL]])</f>
        <v>0</v>
      </c>
      <c r="T120" s="119" t="n">
        <f aca="false">SUMIFS(tabela_registros[VALOR],tabela_registros[MÊS],$AE$1,tabela_registros[DIA],investirrendafixaconsolidadojun[[#Headers],[16]],tabela_registros[REGISTRO],DADOS!$N$5,tabela_registros[TIPO],DADOS!$AB$3,tabela_registros[CATEGORIA],investirrendafixaconsolidadojun[[#This Row],[ATUAL]])</f>
        <v>0</v>
      </c>
      <c r="U120" s="119" t="n">
        <f aca="false">SUMIFS(tabela_registros[VALOR],tabela_registros[MÊS],$AE$1,tabela_registros[DIA],investirrendafixaconsolidadojun[[#Headers],[17]],tabela_registros[REGISTRO],DADOS!$N$5,tabela_registros[TIPO],DADOS!$AB$3,tabela_registros[CATEGORIA],investirrendafixaconsolidadojun[[#This Row],[ATUAL]])</f>
        <v>0</v>
      </c>
      <c r="V120" s="119" t="n">
        <f aca="false">SUMIFS(tabela_registros[VALOR],tabela_registros[MÊS],$AE$1,tabela_registros[DIA],investirrendafixaconsolidadojun[[#Headers],[18]],tabela_registros[REGISTRO],DADOS!$N$5,tabela_registros[TIPO],DADOS!$AB$3,tabela_registros[CATEGORIA],investirrendafixaconsolidadojun[[#This Row],[ATUAL]])</f>
        <v>0</v>
      </c>
      <c r="W120" s="119" t="n">
        <f aca="false">SUMIFS(tabela_registros[VALOR],tabela_registros[MÊS],$AE$1,tabela_registros[DIA],investirrendafixaconsolidadojun[[#Headers],[19]],tabela_registros[REGISTRO],DADOS!$N$5,tabela_registros[TIPO],DADOS!$AB$3,tabela_registros[CATEGORIA],investirrendafixaconsolidadojun[[#This Row],[ATUAL]])</f>
        <v>0</v>
      </c>
      <c r="X120" s="119" t="n">
        <f aca="false">SUMIFS(tabela_registros[VALOR],tabela_registros[MÊS],$AE$1,tabela_registros[DIA],investirrendafixaconsolidadojun[[#Headers],[20]],tabela_registros[REGISTRO],DADOS!$N$5,tabela_registros[TIPO],DADOS!$AB$3,tabela_registros[CATEGORIA],investirrendafixaconsolidadojun[[#This Row],[ATUAL]])</f>
        <v>0</v>
      </c>
      <c r="Y120" s="119" t="n">
        <f aca="false">SUMIFS(tabela_registros[VALOR],tabela_registros[MÊS],$AE$1,tabela_registros[DIA],investirrendafixaconsolidadojun[[#Headers],[21]],tabela_registros[REGISTRO],DADOS!$N$5,tabela_registros[TIPO],DADOS!$AB$3,tabela_registros[CATEGORIA],investirrendafixaconsolidadojun[[#This Row],[ATUAL]])</f>
        <v>0</v>
      </c>
      <c r="Z120" s="119" t="n">
        <f aca="false">SUMIFS(tabela_registros[VALOR],tabela_registros[MÊS],$AE$1,tabela_registros[DIA],investirrendafixaconsolidadojun[[#Headers],[22]],tabela_registros[REGISTRO],DADOS!$N$5,tabela_registros[TIPO],DADOS!$AB$3,tabela_registros[CATEGORIA],investirrendafixaconsolidadojun[[#This Row],[ATUAL]])</f>
        <v>0</v>
      </c>
      <c r="AA120" s="119" t="n">
        <f aca="false">SUMIFS(tabela_registros[VALOR],tabela_registros[MÊS],$AE$1,tabela_registros[DIA],investirrendafixaconsolidadojun[[#Headers],[23]],tabela_registros[REGISTRO],DADOS!$N$5,tabela_registros[TIPO],DADOS!$AB$3,tabela_registros[CATEGORIA],investirrendafixaconsolidadojun[[#This Row],[ATUAL]])</f>
        <v>0</v>
      </c>
      <c r="AB120" s="119" t="n">
        <f aca="false">SUMIFS(tabela_registros[VALOR],tabela_registros[MÊS],$AE$1,tabela_registros[DIA],investirrendafixaconsolidadojun[[#Headers],[24]],tabela_registros[REGISTRO],DADOS!$N$5,tabela_registros[TIPO],DADOS!$AB$3,tabela_registros[CATEGORIA],investirrendafixaconsolidadojun[[#This Row],[ATUAL]])</f>
        <v>0</v>
      </c>
      <c r="AC120" s="119" t="n">
        <f aca="false">SUMIFS(tabela_registros[VALOR],tabela_registros[MÊS],$AE$1,tabela_registros[DIA],investirrendafixaconsolidadojun[[#Headers],[25]],tabela_registros[REGISTRO],DADOS!$N$5,tabela_registros[TIPO],DADOS!$AB$3,tabela_registros[CATEGORIA],investirrendafixaconsolidadojun[[#This Row],[ATUAL]])</f>
        <v>0</v>
      </c>
      <c r="AD120" s="119" t="n">
        <f aca="false">SUMIFS(tabela_registros[VALOR],tabela_registros[MÊS],$AE$1,tabela_registros[DIA],investirrendafixaconsolidadojun[[#Headers],[26]],tabela_registros[REGISTRO],DADOS!$N$5,tabela_registros[TIPO],DADOS!$AB$3,tabela_registros[CATEGORIA],investirrendafixaconsolidadojun[[#This Row],[ATUAL]])</f>
        <v>0</v>
      </c>
      <c r="AE120" s="119" t="n">
        <f aca="false">SUMIFS(tabela_registros[VALOR],tabela_registros[MÊS],$AE$1,tabela_registros[DIA],investirrendafixaconsolidadojun[[#Headers],[27]],tabela_registros[REGISTRO],DADOS!$N$5,tabela_registros[TIPO],DADOS!$AB$3,tabela_registros[CATEGORIA],investirrendafixaconsolidadojun[[#This Row],[ATUAL]])</f>
        <v>0</v>
      </c>
      <c r="AF120" s="119" t="n">
        <f aca="false">SUMIFS(tabela_registros[VALOR],tabela_registros[MÊS],$AE$1,tabela_registros[DIA],investirrendafixaconsolidadojun[[#Headers],[28]],tabela_registros[REGISTRO],DADOS!$N$5,tabela_registros[TIPO],DADOS!$AB$3,tabela_registros[CATEGORIA],investirrendafixaconsolidadojun[[#This Row],[ATUAL]])</f>
        <v>0</v>
      </c>
      <c r="AG120" s="119" t="n">
        <f aca="false">SUMIFS(tabela_registros[VALOR],tabela_registros[MÊS],$AE$1,tabela_registros[DIA],investirrendafixaconsolidadojun[[#Headers],[29]],tabela_registros[REGISTRO],DADOS!$N$5,tabela_registros[TIPO],DADOS!$AB$3,tabela_registros[CATEGORIA],investirrendafixaconsolidadojun[[#This Row],[ATUAL]])</f>
        <v>0</v>
      </c>
      <c r="AH120" s="119" t="n">
        <f aca="false">SUMIFS(tabela_registros[VALOR],tabela_registros[MÊS],$AE$1,tabela_registros[DIA],investirrendafixaconsolidadojun[[#Headers],[30]],tabela_registros[REGISTRO],DADOS!$N$5,tabela_registros[TIPO],DADOS!$AB$3,tabela_registros[CATEGORIA],investirrendafixaconsolidadojun[[#This Row],[ATUAL]])</f>
        <v>0</v>
      </c>
      <c r="AI120" s="217" t="n">
        <f aca="false">SUMIFS(tabela_registros[VALOR],tabela_registros[MÊS],$AE$1,tabela_registros[DIA],investirrendafixaconsolidadojun[[#Headers],[31]],tabela_registros[REGISTRO],DADOS!$N$5,tabela_registros[TIPO],DADOS!$AB$3,tabela_registros[CATEGORIA],investirrendafixaconsolidadojun[[#This Row],[ATUAL]])</f>
        <v>0</v>
      </c>
      <c r="AJ120" s="149" t="n">
        <f aca="false">SUM(investirrendafixaconsolidadojun[[#This Row],[1]:[31]])</f>
        <v>0</v>
      </c>
      <c r="AK120" s="165"/>
    </row>
    <row r="121" customFormat="false" ht="19.5" hidden="false" customHeight="true" outlineLevel="0" collapsed="false">
      <c r="B121" s="143"/>
      <c r="C121" s="144" t="str">
        <f aca="false">DADOS!$AD$11</f>
        <v>📝 TESOURO DIRETO</v>
      </c>
      <c r="D121" s="145" t="str">
        <f aca="false">IF(investirrendafixaconsolidadojun[[#This Row],[TOTAL (R$)]]=0,"",IF(OR(investirrendafixaconsolidadojun[[#This Row],[TOTAL (R$)]]=LARGE($AJ$113:$AJ$122,1),investirrendafixaconsolidadojun[[#This Row],[TOTAL (R$)]]=LARGE($AJ$113:$AJ$122,2)),DADOS!$I$10,""))</f>
        <v/>
      </c>
      <c r="E121" s="148" t="n">
        <f aca="false">SUMIFS(tabela_registros[VALOR],tabela_registros[MÊS],$AE$1,tabela_registros[DIA],investirrendafixaconsolidadojun[[#Headers],[1]],tabela_registros[REGISTRO],DADOS!$N$5,tabela_registros[TIPO],DADOS!$AB$3,tabela_registros[CATEGORIA],investirrendafixaconsolidadojun[[#This Row],[ATUAL]])</f>
        <v>0</v>
      </c>
      <c r="F121" s="119" t="n">
        <f aca="false">SUMIFS(tabela_registros[VALOR],tabela_registros[MÊS],$AE$1,tabela_registros[DIA],investirrendafixaconsolidadojun[[#Headers],[2]],tabela_registros[REGISTRO],DADOS!$N$5,tabela_registros[TIPO],DADOS!$AB$3,tabela_registros[CATEGORIA],investirrendafixaconsolidadojun[[#This Row],[ATUAL]])</f>
        <v>0</v>
      </c>
      <c r="G121" s="119" t="n">
        <f aca="false">SUMIFS(tabela_registros[VALOR],tabela_registros[MÊS],$AE$1,tabela_registros[DIA],investirrendafixaconsolidadojun[[#Headers],[3]],tabela_registros[REGISTRO],DADOS!$N$5,tabela_registros[TIPO],DADOS!$AB$3,tabela_registros[CATEGORIA],investirrendafixaconsolidadojun[[#This Row],[ATUAL]])</f>
        <v>0</v>
      </c>
      <c r="H121" s="119" t="n">
        <f aca="false">SUMIFS(tabela_registros[VALOR],tabela_registros[MÊS],$AE$1,tabela_registros[DIA],investirrendafixaconsolidadojun[[#Headers],[4]],tabela_registros[REGISTRO],DADOS!$N$5,tabela_registros[TIPO],DADOS!$AB$3,tabela_registros[CATEGORIA],investirrendafixaconsolidadojun[[#This Row],[ATUAL]])</f>
        <v>0</v>
      </c>
      <c r="I121" s="119" t="n">
        <f aca="false">SUMIFS(tabela_registros[VALOR],tabela_registros[MÊS],$AE$1,tabela_registros[DIA],investirrendafixaconsolidadojun[[#Headers],[5]],tabela_registros[REGISTRO],DADOS!$N$5,tabela_registros[TIPO],DADOS!$AB$3,tabela_registros[CATEGORIA],investirrendafixaconsolidadojun[[#This Row],[ATUAL]])</f>
        <v>0</v>
      </c>
      <c r="J121" s="119" t="n">
        <f aca="false">SUMIFS(tabela_registros[VALOR],tabela_registros[MÊS],$AE$1,tabela_registros[DIA],investirrendafixaconsolidadojun[[#Headers],[6]],tabela_registros[REGISTRO],DADOS!$N$5,tabela_registros[TIPO],DADOS!$AB$3,tabela_registros[CATEGORIA],investirrendafixaconsolidadojun[[#This Row],[ATUAL]])</f>
        <v>0</v>
      </c>
      <c r="K121" s="119" t="n">
        <f aca="false">SUMIFS(tabela_registros[VALOR],tabela_registros[MÊS],$AE$1,tabela_registros[DIA],investirrendafixaconsolidadojun[[#Headers],[7]],tabela_registros[REGISTRO],DADOS!$N$5,tabela_registros[TIPO],DADOS!$AB$3,tabela_registros[CATEGORIA],investirrendafixaconsolidadojun[[#This Row],[ATUAL]])</f>
        <v>0</v>
      </c>
      <c r="L121" s="119" t="n">
        <f aca="false">SUMIFS(tabela_registros[VALOR],tabela_registros[MÊS],$AE$1,tabela_registros[DIA],investirrendafixaconsolidadojun[[#Headers],[8]],tabela_registros[REGISTRO],DADOS!$N$5,tabela_registros[TIPO],DADOS!$AB$3,tabela_registros[CATEGORIA],investirrendafixaconsolidadojun[[#This Row],[ATUAL]])</f>
        <v>0</v>
      </c>
      <c r="M121" s="119" t="n">
        <f aca="false">SUMIFS(tabela_registros[VALOR],tabela_registros[MÊS],$AE$1,tabela_registros[DIA],investirrendafixaconsolidadojun[[#Headers],[9]],tabela_registros[REGISTRO],DADOS!$N$5,tabela_registros[TIPO],DADOS!$AB$3,tabela_registros[CATEGORIA],investirrendafixaconsolidadojun[[#This Row],[ATUAL]])</f>
        <v>0</v>
      </c>
      <c r="N121" s="119" t="n">
        <f aca="false">SUMIFS(tabela_registros[VALOR],tabela_registros[MÊS],$AE$1,tabela_registros[DIA],investirrendafixaconsolidadojun[[#Headers],[10]],tabela_registros[REGISTRO],DADOS!$N$5,tabela_registros[TIPO],DADOS!$AB$3,tabela_registros[CATEGORIA],investirrendafixaconsolidadojun[[#This Row],[ATUAL]])</f>
        <v>0</v>
      </c>
      <c r="O121" s="119" t="n">
        <f aca="false">SUMIFS(tabela_registros[VALOR],tabela_registros[MÊS],$AE$1,tabela_registros[DIA],investirrendafixaconsolidadojun[[#Headers],[11]],tabela_registros[REGISTRO],DADOS!$N$5,tabela_registros[TIPO],DADOS!$AB$3,tabela_registros[CATEGORIA],investirrendafixaconsolidadojun[[#This Row],[ATUAL]])</f>
        <v>0</v>
      </c>
      <c r="P121" s="119" t="n">
        <f aca="false">SUMIFS(tabela_registros[VALOR],tabela_registros[MÊS],$AE$1,tabela_registros[DIA],investirrendafixaconsolidadojun[[#Headers],[12]],tabela_registros[REGISTRO],DADOS!$N$5,tabela_registros[TIPO],DADOS!$AB$3,tabela_registros[CATEGORIA],investirrendafixaconsolidadojun[[#This Row],[ATUAL]])</f>
        <v>0</v>
      </c>
      <c r="Q121" s="119" t="n">
        <f aca="false">SUMIFS(tabela_registros[VALOR],tabela_registros[MÊS],$AE$1,tabela_registros[DIA],investirrendafixaconsolidadojun[[#Headers],[13]],tabela_registros[REGISTRO],DADOS!$N$5,tabela_registros[TIPO],DADOS!$AB$3,tabela_registros[CATEGORIA],investirrendafixaconsolidadojun[[#This Row],[ATUAL]])</f>
        <v>0</v>
      </c>
      <c r="R121" s="119" t="n">
        <f aca="false">SUMIFS(tabela_registros[VALOR],tabela_registros[MÊS],$AE$1,tabela_registros[DIA],investirrendafixaconsolidadojun[[#Headers],[14]],tabela_registros[REGISTRO],DADOS!$N$5,tabela_registros[TIPO],DADOS!$AB$3,tabela_registros[CATEGORIA],investirrendafixaconsolidadojun[[#This Row],[ATUAL]])</f>
        <v>0</v>
      </c>
      <c r="S121" s="119" t="n">
        <f aca="false">SUMIFS(tabela_registros[VALOR],tabela_registros[MÊS],$AE$1,tabela_registros[DIA],investirrendafixaconsolidadojun[[#Headers],[15]],tabela_registros[REGISTRO],DADOS!$N$5,tabela_registros[TIPO],DADOS!$AB$3,tabela_registros[CATEGORIA],investirrendafixaconsolidadojun[[#This Row],[ATUAL]])</f>
        <v>0</v>
      </c>
      <c r="T121" s="119" t="n">
        <f aca="false">SUMIFS(tabela_registros[VALOR],tabela_registros[MÊS],$AE$1,tabela_registros[DIA],investirrendafixaconsolidadojun[[#Headers],[16]],tabela_registros[REGISTRO],DADOS!$N$5,tabela_registros[TIPO],DADOS!$AB$3,tabela_registros[CATEGORIA],investirrendafixaconsolidadojun[[#This Row],[ATUAL]])</f>
        <v>0</v>
      </c>
      <c r="U121" s="119" t="n">
        <f aca="false">SUMIFS(tabela_registros[VALOR],tabela_registros[MÊS],$AE$1,tabela_registros[DIA],investirrendafixaconsolidadojun[[#Headers],[17]],tabela_registros[REGISTRO],DADOS!$N$5,tabela_registros[TIPO],DADOS!$AB$3,tabela_registros[CATEGORIA],investirrendafixaconsolidadojun[[#This Row],[ATUAL]])</f>
        <v>0</v>
      </c>
      <c r="V121" s="119" t="n">
        <f aca="false">SUMIFS(tabela_registros[VALOR],tabela_registros[MÊS],$AE$1,tabela_registros[DIA],investirrendafixaconsolidadojun[[#Headers],[18]],tabela_registros[REGISTRO],DADOS!$N$5,tabela_registros[TIPO],DADOS!$AB$3,tabela_registros[CATEGORIA],investirrendafixaconsolidadojun[[#This Row],[ATUAL]])</f>
        <v>0</v>
      </c>
      <c r="W121" s="119" t="n">
        <f aca="false">SUMIFS(tabela_registros[VALOR],tabela_registros[MÊS],$AE$1,tabela_registros[DIA],investirrendafixaconsolidadojun[[#Headers],[19]],tabela_registros[REGISTRO],DADOS!$N$5,tabela_registros[TIPO],DADOS!$AB$3,tabela_registros[CATEGORIA],investirrendafixaconsolidadojun[[#This Row],[ATUAL]])</f>
        <v>0</v>
      </c>
      <c r="X121" s="119" t="n">
        <f aca="false">SUMIFS(tabela_registros[VALOR],tabela_registros[MÊS],$AE$1,tabela_registros[DIA],investirrendafixaconsolidadojun[[#Headers],[20]],tabela_registros[REGISTRO],DADOS!$N$5,tabela_registros[TIPO],DADOS!$AB$3,tabela_registros[CATEGORIA],investirrendafixaconsolidadojun[[#This Row],[ATUAL]])</f>
        <v>0</v>
      </c>
      <c r="Y121" s="119" t="n">
        <f aca="false">SUMIFS(tabela_registros[VALOR],tabela_registros[MÊS],$AE$1,tabela_registros[DIA],investirrendafixaconsolidadojun[[#Headers],[21]],tabela_registros[REGISTRO],DADOS!$N$5,tabela_registros[TIPO],DADOS!$AB$3,tabela_registros[CATEGORIA],investirrendafixaconsolidadojun[[#This Row],[ATUAL]])</f>
        <v>0</v>
      </c>
      <c r="Z121" s="119" t="n">
        <f aca="false">SUMIFS(tabela_registros[VALOR],tabela_registros[MÊS],$AE$1,tabela_registros[DIA],investirrendafixaconsolidadojun[[#Headers],[22]],tabela_registros[REGISTRO],DADOS!$N$5,tabela_registros[TIPO],DADOS!$AB$3,tabela_registros[CATEGORIA],investirrendafixaconsolidadojun[[#This Row],[ATUAL]])</f>
        <v>0</v>
      </c>
      <c r="AA121" s="119" t="n">
        <f aca="false">SUMIFS(tabela_registros[VALOR],tabela_registros[MÊS],$AE$1,tabela_registros[DIA],investirrendafixaconsolidadojun[[#Headers],[23]],tabela_registros[REGISTRO],DADOS!$N$5,tabela_registros[TIPO],DADOS!$AB$3,tabela_registros[CATEGORIA],investirrendafixaconsolidadojun[[#This Row],[ATUAL]])</f>
        <v>0</v>
      </c>
      <c r="AB121" s="119" t="n">
        <f aca="false">SUMIFS(tabela_registros[VALOR],tabela_registros[MÊS],$AE$1,tabela_registros[DIA],investirrendafixaconsolidadojun[[#Headers],[24]],tabela_registros[REGISTRO],DADOS!$N$5,tabela_registros[TIPO],DADOS!$AB$3,tabela_registros[CATEGORIA],investirrendafixaconsolidadojun[[#This Row],[ATUAL]])</f>
        <v>0</v>
      </c>
      <c r="AC121" s="119" t="n">
        <f aca="false">SUMIFS(tabela_registros[VALOR],tabela_registros[MÊS],$AE$1,tabela_registros[DIA],investirrendafixaconsolidadojun[[#Headers],[25]],tabela_registros[REGISTRO],DADOS!$N$5,tabela_registros[TIPO],DADOS!$AB$3,tabela_registros[CATEGORIA],investirrendafixaconsolidadojun[[#This Row],[ATUAL]])</f>
        <v>0</v>
      </c>
      <c r="AD121" s="119" t="n">
        <f aca="false">SUMIFS(tabela_registros[VALOR],tabela_registros[MÊS],$AE$1,tabela_registros[DIA],investirrendafixaconsolidadojun[[#Headers],[26]],tabela_registros[REGISTRO],DADOS!$N$5,tabela_registros[TIPO],DADOS!$AB$3,tabela_registros[CATEGORIA],investirrendafixaconsolidadojun[[#This Row],[ATUAL]])</f>
        <v>0</v>
      </c>
      <c r="AE121" s="119" t="n">
        <f aca="false">SUMIFS(tabela_registros[VALOR],tabela_registros[MÊS],$AE$1,tabela_registros[DIA],investirrendafixaconsolidadojun[[#Headers],[27]],tabela_registros[REGISTRO],DADOS!$N$5,tabela_registros[TIPO],DADOS!$AB$3,tabela_registros[CATEGORIA],investirrendafixaconsolidadojun[[#This Row],[ATUAL]])</f>
        <v>0</v>
      </c>
      <c r="AF121" s="119" t="n">
        <f aca="false">SUMIFS(tabela_registros[VALOR],tabela_registros[MÊS],$AE$1,tabela_registros[DIA],investirrendafixaconsolidadojun[[#Headers],[28]],tabela_registros[REGISTRO],DADOS!$N$5,tabela_registros[TIPO],DADOS!$AB$3,tabela_registros[CATEGORIA],investirrendafixaconsolidadojun[[#This Row],[ATUAL]])</f>
        <v>0</v>
      </c>
      <c r="AG121" s="119" t="n">
        <f aca="false">SUMIFS(tabela_registros[VALOR],tabela_registros[MÊS],$AE$1,tabela_registros[DIA],investirrendafixaconsolidadojun[[#Headers],[29]],tabela_registros[REGISTRO],DADOS!$N$5,tabela_registros[TIPO],DADOS!$AB$3,tabela_registros[CATEGORIA],investirrendafixaconsolidadojun[[#This Row],[ATUAL]])</f>
        <v>0</v>
      </c>
      <c r="AH121" s="119" t="n">
        <f aca="false">SUMIFS(tabela_registros[VALOR],tabela_registros[MÊS],$AE$1,tabela_registros[DIA],investirrendafixaconsolidadojun[[#Headers],[30]],tabela_registros[REGISTRO],DADOS!$N$5,tabela_registros[TIPO],DADOS!$AB$3,tabela_registros[CATEGORIA],investirrendafixaconsolidadojun[[#This Row],[ATUAL]])</f>
        <v>0</v>
      </c>
      <c r="AI121" s="217" t="n">
        <f aca="false">SUMIFS(tabela_registros[VALOR],tabela_registros[MÊS],$AE$1,tabela_registros[DIA],investirrendafixaconsolidadojun[[#Headers],[31]],tabela_registros[REGISTRO],DADOS!$N$5,tabela_registros[TIPO],DADOS!$AB$3,tabela_registros[CATEGORIA],investirrendafixaconsolidadojun[[#This Row],[ATUAL]])</f>
        <v>0</v>
      </c>
      <c r="AJ121" s="149" t="n">
        <f aca="false">SUM(investirrendafixaconsolidadojun[[#This Row],[1]:[31]])</f>
        <v>0</v>
      </c>
      <c r="AK121" s="165"/>
    </row>
    <row r="122" customFormat="false" ht="19.5" hidden="false" customHeight="true" outlineLevel="0" collapsed="false">
      <c r="B122" s="143"/>
      <c r="C122" s="144" t="str">
        <f aca="false">DADOS!$AD$12</f>
        <v>📎 OUTROS</v>
      </c>
      <c r="D122" s="145" t="str">
        <f aca="false">IF(investirrendafixaconsolidadojun[[#This Row],[TOTAL (R$)]]=0,"",IF(OR(investirrendafixaconsolidadojun[[#This Row],[TOTAL (R$)]]=LARGE($AJ$113:$AJ$122,1),investirrendafixaconsolidadojun[[#This Row],[TOTAL (R$)]]=LARGE($AJ$113:$AJ$122,2)),DADOS!$I$10,""))</f>
        <v/>
      </c>
      <c r="E122" s="148" t="n">
        <f aca="false">SUMIFS(tabela_registros[VALOR],tabela_registros[MÊS],$AE$1,tabela_registros[DIA],investirrendafixaconsolidadojun[[#Headers],[1]],tabela_registros[REGISTRO],DADOS!$N$5,tabela_registros[TIPO],DADOS!$AB$3,tabela_registros[CATEGORIA],investirrendafixaconsolidadojun[[#This Row],[ATUAL]])</f>
        <v>0</v>
      </c>
      <c r="F122" s="119" t="n">
        <f aca="false">SUMIFS(tabela_registros[VALOR],tabela_registros[MÊS],$AE$1,tabela_registros[DIA],investirrendafixaconsolidadojun[[#Headers],[2]],tabela_registros[REGISTRO],DADOS!$N$5,tabela_registros[TIPO],DADOS!$AB$3,tabela_registros[CATEGORIA],investirrendafixaconsolidadojun[[#This Row],[ATUAL]])</f>
        <v>0</v>
      </c>
      <c r="G122" s="119" t="n">
        <f aca="false">SUMIFS(tabela_registros[VALOR],tabela_registros[MÊS],$AE$1,tabela_registros[DIA],investirrendafixaconsolidadojun[[#Headers],[3]],tabela_registros[REGISTRO],DADOS!$N$5,tabela_registros[TIPO],DADOS!$AB$3,tabela_registros[CATEGORIA],investirrendafixaconsolidadojun[[#This Row],[ATUAL]])</f>
        <v>0</v>
      </c>
      <c r="H122" s="119" t="n">
        <f aca="false">SUMIFS(tabela_registros[VALOR],tabela_registros[MÊS],$AE$1,tabela_registros[DIA],investirrendafixaconsolidadojun[[#Headers],[4]],tabela_registros[REGISTRO],DADOS!$N$5,tabela_registros[TIPO],DADOS!$AB$3,tabela_registros[CATEGORIA],investirrendafixaconsolidadojun[[#This Row],[ATUAL]])</f>
        <v>0</v>
      </c>
      <c r="I122" s="119" t="n">
        <f aca="false">SUMIFS(tabela_registros[VALOR],tabela_registros[MÊS],$AE$1,tabela_registros[DIA],investirrendafixaconsolidadojun[[#Headers],[5]],tabela_registros[REGISTRO],DADOS!$N$5,tabela_registros[TIPO],DADOS!$AB$3,tabela_registros[CATEGORIA],investirrendafixaconsolidadojun[[#This Row],[ATUAL]])</f>
        <v>0</v>
      </c>
      <c r="J122" s="119" t="n">
        <f aca="false">SUMIFS(tabela_registros[VALOR],tabela_registros[MÊS],$AE$1,tabela_registros[DIA],investirrendafixaconsolidadojun[[#Headers],[6]],tabela_registros[REGISTRO],DADOS!$N$5,tabela_registros[TIPO],DADOS!$AB$3,tabela_registros[CATEGORIA],investirrendafixaconsolidadojun[[#This Row],[ATUAL]])</f>
        <v>0</v>
      </c>
      <c r="K122" s="119" t="n">
        <f aca="false">SUMIFS(tabela_registros[VALOR],tabela_registros[MÊS],$AE$1,tabela_registros[DIA],investirrendafixaconsolidadojun[[#Headers],[7]],tabela_registros[REGISTRO],DADOS!$N$5,tabela_registros[TIPO],DADOS!$AB$3,tabela_registros[CATEGORIA],investirrendafixaconsolidadojun[[#This Row],[ATUAL]])</f>
        <v>0</v>
      </c>
      <c r="L122" s="119" t="n">
        <f aca="false">SUMIFS(tabela_registros[VALOR],tabela_registros[MÊS],$AE$1,tabela_registros[DIA],investirrendafixaconsolidadojun[[#Headers],[8]],tabela_registros[REGISTRO],DADOS!$N$5,tabela_registros[TIPO],DADOS!$AB$3,tabela_registros[CATEGORIA],investirrendafixaconsolidadojun[[#This Row],[ATUAL]])</f>
        <v>0</v>
      </c>
      <c r="M122" s="119" t="n">
        <f aca="false">SUMIFS(tabela_registros[VALOR],tabela_registros[MÊS],$AE$1,tabela_registros[DIA],investirrendafixaconsolidadojun[[#Headers],[9]],tabela_registros[REGISTRO],DADOS!$N$5,tabela_registros[TIPO],DADOS!$AB$3,tabela_registros[CATEGORIA],investirrendafixaconsolidadojun[[#This Row],[ATUAL]])</f>
        <v>0</v>
      </c>
      <c r="N122" s="119" t="n">
        <f aca="false">SUMIFS(tabela_registros[VALOR],tabela_registros[MÊS],$AE$1,tabela_registros[DIA],investirrendafixaconsolidadojun[[#Headers],[10]],tabela_registros[REGISTRO],DADOS!$N$5,tabela_registros[TIPO],DADOS!$AB$3,tabela_registros[CATEGORIA],investirrendafixaconsolidadojun[[#This Row],[ATUAL]])</f>
        <v>0</v>
      </c>
      <c r="O122" s="119" t="n">
        <f aca="false">SUMIFS(tabela_registros[VALOR],tabela_registros[MÊS],$AE$1,tabela_registros[DIA],investirrendafixaconsolidadojun[[#Headers],[11]],tabela_registros[REGISTRO],DADOS!$N$5,tabela_registros[TIPO],DADOS!$AB$3,tabela_registros[CATEGORIA],investirrendafixaconsolidadojun[[#This Row],[ATUAL]])</f>
        <v>0</v>
      </c>
      <c r="P122" s="119" t="n">
        <f aca="false">SUMIFS(tabela_registros[VALOR],tabela_registros[MÊS],$AE$1,tabela_registros[DIA],investirrendafixaconsolidadojun[[#Headers],[12]],tabela_registros[REGISTRO],DADOS!$N$5,tabela_registros[TIPO],DADOS!$AB$3,tabela_registros[CATEGORIA],investirrendafixaconsolidadojun[[#This Row],[ATUAL]])</f>
        <v>0</v>
      </c>
      <c r="Q122" s="119" t="n">
        <f aca="false">SUMIFS(tabela_registros[VALOR],tabela_registros[MÊS],$AE$1,tabela_registros[DIA],investirrendafixaconsolidadojun[[#Headers],[13]],tabela_registros[REGISTRO],DADOS!$N$5,tabela_registros[TIPO],DADOS!$AB$3,tabela_registros[CATEGORIA],investirrendafixaconsolidadojun[[#This Row],[ATUAL]])</f>
        <v>0</v>
      </c>
      <c r="R122" s="119" t="n">
        <f aca="false">SUMIFS(tabela_registros[VALOR],tabela_registros[MÊS],$AE$1,tabela_registros[DIA],investirrendafixaconsolidadojun[[#Headers],[14]],tabela_registros[REGISTRO],DADOS!$N$5,tabela_registros[TIPO],DADOS!$AB$3,tabela_registros[CATEGORIA],investirrendafixaconsolidadojun[[#This Row],[ATUAL]])</f>
        <v>0</v>
      </c>
      <c r="S122" s="119" t="n">
        <f aca="false">SUMIFS(tabela_registros[VALOR],tabela_registros[MÊS],$AE$1,tabela_registros[DIA],investirrendafixaconsolidadojun[[#Headers],[15]],tabela_registros[REGISTRO],DADOS!$N$5,tabela_registros[TIPO],DADOS!$AB$3,tabela_registros[CATEGORIA],investirrendafixaconsolidadojun[[#This Row],[ATUAL]])</f>
        <v>0</v>
      </c>
      <c r="T122" s="119" t="n">
        <f aca="false">SUMIFS(tabela_registros[VALOR],tabela_registros[MÊS],$AE$1,tabela_registros[DIA],investirrendafixaconsolidadojun[[#Headers],[16]],tabela_registros[REGISTRO],DADOS!$N$5,tabela_registros[TIPO],DADOS!$AB$3,tabela_registros[CATEGORIA],investirrendafixaconsolidadojun[[#This Row],[ATUAL]])</f>
        <v>0</v>
      </c>
      <c r="U122" s="119" t="n">
        <f aca="false">SUMIFS(tabela_registros[VALOR],tabela_registros[MÊS],$AE$1,tabela_registros[DIA],investirrendafixaconsolidadojun[[#Headers],[17]],tabela_registros[REGISTRO],DADOS!$N$5,tabela_registros[TIPO],DADOS!$AB$3,tabela_registros[CATEGORIA],investirrendafixaconsolidadojun[[#This Row],[ATUAL]])</f>
        <v>0</v>
      </c>
      <c r="V122" s="119" t="n">
        <f aca="false">SUMIFS(tabela_registros[VALOR],tabela_registros[MÊS],$AE$1,tabela_registros[DIA],investirrendafixaconsolidadojun[[#Headers],[18]],tabela_registros[REGISTRO],DADOS!$N$5,tabela_registros[TIPO],DADOS!$AB$3,tabela_registros[CATEGORIA],investirrendafixaconsolidadojun[[#This Row],[ATUAL]])</f>
        <v>0</v>
      </c>
      <c r="W122" s="119" t="n">
        <f aca="false">SUMIFS(tabela_registros[VALOR],tabela_registros[MÊS],$AE$1,tabela_registros[DIA],investirrendafixaconsolidadojun[[#Headers],[19]],tabela_registros[REGISTRO],DADOS!$N$5,tabela_registros[TIPO],DADOS!$AB$3,tabela_registros[CATEGORIA],investirrendafixaconsolidadojun[[#This Row],[ATUAL]])</f>
        <v>0</v>
      </c>
      <c r="X122" s="119" t="n">
        <f aca="false">SUMIFS(tabela_registros[VALOR],tabela_registros[MÊS],$AE$1,tabela_registros[DIA],investirrendafixaconsolidadojun[[#Headers],[20]],tabela_registros[REGISTRO],DADOS!$N$5,tabela_registros[TIPO],DADOS!$AB$3,tabela_registros[CATEGORIA],investirrendafixaconsolidadojun[[#This Row],[ATUAL]])</f>
        <v>0</v>
      </c>
      <c r="Y122" s="119" t="n">
        <f aca="false">SUMIFS(tabela_registros[VALOR],tabela_registros[MÊS],$AE$1,tabela_registros[DIA],investirrendafixaconsolidadojun[[#Headers],[21]],tabela_registros[REGISTRO],DADOS!$N$5,tabela_registros[TIPO],DADOS!$AB$3,tabela_registros[CATEGORIA],investirrendafixaconsolidadojun[[#This Row],[ATUAL]])</f>
        <v>0</v>
      </c>
      <c r="Z122" s="119" t="n">
        <f aca="false">SUMIFS(tabela_registros[VALOR],tabela_registros[MÊS],$AE$1,tabela_registros[DIA],investirrendafixaconsolidadojun[[#Headers],[22]],tabela_registros[REGISTRO],DADOS!$N$5,tabela_registros[TIPO],DADOS!$AB$3,tabela_registros[CATEGORIA],investirrendafixaconsolidadojun[[#This Row],[ATUAL]])</f>
        <v>0</v>
      </c>
      <c r="AA122" s="119" t="n">
        <f aca="false">SUMIFS(tabela_registros[VALOR],tabela_registros[MÊS],$AE$1,tabela_registros[DIA],investirrendafixaconsolidadojun[[#Headers],[23]],tabela_registros[REGISTRO],DADOS!$N$5,tabela_registros[TIPO],DADOS!$AB$3,tabela_registros[CATEGORIA],investirrendafixaconsolidadojun[[#This Row],[ATUAL]])</f>
        <v>0</v>
      </c>
      <c r="AB122" s="119" t="n">
        <f aca="false">SUMIFS(tabela_registros[VALOR],tabela_registros[MÊS],$AE$1,tabela_registros[DIA],investirrendafixaconsolidadojun[[#Headers],[24]],tabela_registros[REGISTRO],DADOS!$N$5,tabela_registros[TIPO],DADOS!$AB$3,tabela_registros[CATEGORIA],investirrendafixaconsolidadojun[[#This Row],[ATUAL]])</f>
        <v>0</v>
      </c>
      <c r="AC122" s="119" t="n">
        <f aca="false">SUMIFS(tabela_registros[VALOR],tabela_registros[MÊS],$AE$1,tabela_registros[DIA],investirrendafixaconsolidadojun[[#Headers],[25]],tabela_registros[REGISTRO],DADOS!$N$5,tabela_registros[TIPO],DADOS!$AB$3,tabela_registros[CATEGORIA],investirrendafixaconsolidadojun[[#This Row],[ATUAL]])</f>
        <v>0</v>
      </c>
      <c r="AD122" s="119" t="n">
        <f aca="false">SUMIFS(tabela_registros[VALOR],tabela_registros[MÊS],$AE$1,tabela_registros[DIA],investirrendafixaconsolidadojun[[#Headers],[26]],tabela_registros[REGISTRO],DADOS!$N$5,tabela_registros[TIPO],DADOS!$AB$3,tabela_registros[CATEGORIA],investirrendafixaconsolidadojun[[#This Row],[ATUAL]])</f>
        <v>0</v>
      </c>
      <c r="AE122" s="119" t="n">
        <f aca="false">SUMIFS(tabela_registros[VALOR],tabela_registros[MÊS],$AE$1,tabela_registros[DIA],investirrendafixaconsolidadojun[[#Headers],[27]],tabela_registros[REGISTRO],DADOS!$N$5,tabela_registros[TIPO],DADOS!$AB$3,tabela_registros[CATEGORIA],investirrendafixaconsolidadojun[[#This Row],[ATUAL]])</f>
        <v>0</v>
      </c>
      <c r="AF122" s="119" t="n">
        <f aca="false">SUMIFS(tabela_registros[VALOR],tabela_registros[MÊS],$AE$1,tabela_registros[DIA],investirrendafixaconsolidadojun[[#Headers],[28]],tabela_registros[REGISTRO],DADOS!$N$5,tabela_registros[TIPO],DADOS!$AB$3,tabela_registros[CATEGORIA],investirrendafixaconsolidadojun[[#This Row],[ATUAL]])</f>
        <v>0</v>
      </c>
      <c r="AG122" s="119" t="n">
        <f aca="false">SUMIFS(tabela_registros[VALOR],tabela_registros[MÊS],$AE$1,tabela_registros[DIA],investirrendafixaconsolidadojun[[#Headers],[29]],tabela_registros[REGISTRO],DADOS!$N$5,tabela_registros[TIPO],DADOS!$AB$3,tabela_registros[CATEGORIA],investirrendafixaconsolidadojun[[#This Row],[ATUAL]])</f>
        <v>0</v>
      </c>
      <c r="AH122" s="119" t="n">
        <f aca="false">SUMIFS(tabela_registros[VALOR],tabela_registros[MÊS],$AE$1,tabela_registros[DIA],investirrendafixaconsolidadojun[[#Headers],[30]],tabela_registros[REGISTRO],DADOS!$N$5,tabela_registros[TIPO],DADOS!$AB$3,tabela_registros[CATEGORIA],investirrendafixaconsolidadojun[[#This Row],[ATUAL]])</f>
        <v>0</v>
      </c>
      <c r="AI122" s="218" t="n">
        <f aca="false">SUMIFS(tabela_registros[VALOR],tabela_registros[MÊS],$AE$1,tabela_registros[DIA],investirrendafixaconsolidadojun[[#Headers],[31]],tabela_registros[REGISTRO],DADOS!$N$5,tabela_registros[TIPO],DADOS!$AB$3,tabela_registros[CATEGORIA],investirrendafixaconsolidadojun[[#This Row],[ATUAL]])</f>
        <v>0</v>
      </c>
      <c r="AJ122" s="149" t="n">
        <f aca="false">SUM(investirrendafixaconsolidadojun[[#This Row],[1]:[31]])</f>
        <v>0</v>
      </c>
      <c r="AK122" s="165"/>
    </row>
    <row r="123" s="122" customFormat="true" ht="21" hidden="false" customHeight="true" outlineLevel="0" collapsed="false">
      <c r="B123" s="152"/>
      <c r="C123" s="153" t="s">
        <v>2</v>
      </c>
      <c r="D123" s="166"/>
      <c r="E123" s="155" t="n">
        <f aca="false">SUM(E113:E122)</f>
        <v>0</v>
      </c>
      <c r="F123" s="156" t="n">
        <f aca="false">SUM(F113:F122)+investirrendafixaconsolidadojun[[#This Row],[1]]</f>
        <v>0</v>
      </c>
      <c r="G123" s="156" t="n">
        <f aca="false">SUM(G113:G122)+investirrendafixaconsolidadojun[[#This Row],[2]]</f>
        <v>0</v>
      </c>
      <c r="H123" s="156" t="n">
        <f aca="false">SUM(H113:H122)+investirrendafixaconsolidadojun[[#This Row],[3]]</f>
        <v>0</v>
      </c>
      <c r="I123" s="156" t="n">
        <f aca="false">SUM(I113:I122)+investirrendafixaconsolidadojun[[#This Row],[4]]</f>
        <v>0</v>
      </c>
      <c r="J123" s="156" t="n">
        <f aca="false">SUM(J113:J122)+investirrendafixaconsolidadojun[[#This Row],[5]]</f>
        <v>0</v>
      </c>
      <c r="K123" s="156" t="n">
        <f aca="false">SUM(K113:K122)+investirrendafixaconsolidadojun[[#This Row],[6]]</f>
        <v>0</v>
      </c>
      <c r="L123" s="156" t="n">
        <f aca="false">SUM(L113:L122)+investirrendafixaconsolidadojun[[#This Row],[7]]</f>
        <v>0</v>
      </c>
      <c r="M123" s="156" t="n">
        <f aca="false">SUM(M113:M122)+investirrendafixaconsolidadojun[[#This Row],[8]]</f>
        <v>0</v>
      </c>
      <c r="N123" s="156" t="n">
        <f aca="false">SUM(N113:N122)+investirrendafixaconsolidadojun[[#This Row],[9]]</f>
        <v>0</v>
      </c>
      <c r="O123" s="156" t="n">
        <f aca="false">SUM(O113:O122)+investirrendafixaconsolidadojun[[#This Row],[10]]</f>
        <v>0</v>
      </c>
      <c r="P123" s="156" t="n">
        <f aca="false">SUM(P113:P122)+investirrendafixaconsolidadojun[[#This Row],[11]]</f>
        <v>0</v>
      </c>
      <c r="Q123" s="156" t="n">
        <f aca="false">SUM(Q113:Q122)+investirrendafixaconsolidadojun[[#This Row],[12]]</f>
        <v>0</v>
      </c>
      <c r="R123" s="156" t="n">
        <f aca="false">SUM(R113:R122)+investirrendafixaconsolidadojun[[#This Row],[13]]</f>
        <v>0</v>
      </c>
      <c r="S123" s="156" t="n">
        <f aca="false">SUM(S113:S122)+investirrendafixaconsolidadojun[[#This Row],[14]]</f>
        <v>0</v>
      </c>
      <c r="T123" s="156" t="n">
        <f aca="false">SUM(T113:T122)+investirrendafixaconsolidadojun[[#This Row],[15]]</f>
        <v>0</v>
      </c>
      <c r="U123" s="156" t="n">
        <f aca="false">SUM(U113:U122)+investirrendafixaconsolidadojun[[#This Row],[16]]</f>
        <v>0</v>
      </c>
      <c r="V123" s="156" t="n">
        <f aca="false">SUM(V113:V122)+investirrendafixaconsolidadojun[[#This Row],[17]]</f>
        <v>0</v>
      </c>
      <c r="W123" s="156" t="n">
        <f aca="false">SUM(W113:W122)+investirrendafixaconsolidadojun[[#This Row],[18]]</f>
        <v>0</v>
      </c>
      <c r="X123" s="156" t="n">
        <f aca="false">SUM(X113:X122)+investirrendafixaconsolidadojun[[#This Row],[19]]</f>
        <v>0</v>
      </c>
      <c r="Y123" s="156" t="n">
        <f aca="false">SUM(Y113:Y122)+investirrendafixaconsolidadojun[[#This Row],[20]]</f>
        <v>0</v>
      </c>
      <c r="Z123" s="156" t="n">
        <f aca="false">SUM(Z113:Z122)+investirrendafixaconsolidadojun[[#This Row],[21]]</f>
        <v>0</v>
      </c>
      <c r="AA123" s="156" t="n">
        <f aca="false">SUM(AA113:AA122)+investirrendafixaconsolidadojun[[#This Row],[22]]</f>
        <v>0</v>
      </c>
      <c r="AB123" s="156" t="n">
        <f aca="false">SUM(AB113:AB122)+investirrendafixaconsolidadojun[[#This Row],[23]]</f>
        <v>0</v>
      </c>
      <c r="AC123" s="156" t="n">
        <f aca="false">SUM(AC113:AC122)+investirrendafixaconsolidadojun[[#This Row],[24]]</f>
        <v>0</v>
      </c>
      <c r="AD123" s="156" t="n">
        <f aca="false">SUM(AD113:AD122)+investirrendafixaconsolidadojun[[#This Row],[25]]</f>
        <v>0</v>
      </c>
      <c r="AE123" s="156" t="n">
        <f aca="false">SUM(AE113:AE122)+investirrendafixaconsolidadojun[[#This Row],[26]]</f>
        <v>0</v>
      </c>
      <c r="AF123" s="156" t="n">
        <f aca="false">SUM(AF113:AF122)+investirrendafixaconsolidadojun[[#This Row],[27]]</f>
        <v>0</v>
      </c>
      <c r="AG123" s="156" t="n">
        <f aca="false">SUM(AG113:AG122)+investirrendafixaconsolidadojun[[#This Row],[28]]</f>
        <v>0</v>
      </c>
      <c r="AH123" s="156" t="n">
        <f aca="false">SUM(AH113:AH122)+investirrendafixaconsolidadojun[[#This Row],[29]]</f>
        <v>0</v>
      </c>
      <c r="AI123" s="223" t="n">
        <f aca="false">SUM(AI113:AI122)+investirrendafixaconsolidadojun[[#This Row],[30]]</f>
        <v>0</v>
      </c>
      <c r="AJ123" s="157" t="n">
        <f aca="false">investirrendafixaconsolidadojun[[#This Row],[31]]</f>
        <v>0</v>
      </c>
      <c r="AK123" s="158"/>
    </row>
    <row r="124" customFormat="false" ht="6.75" hidden="false" customHeight="true" outlineLevel="0" collapsed="false">
      <c r="B124" s="97"/>
      <c r="C124" s="162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233"/>
      <c r="AJ124" s="164"/>
      <c r="AK124" s="244"/>
    </row>
    <row r="125" s="78" customFormat="true" ht="12.75" hidden="false" customHeight="false" outlineLevel="0" collapsed="false">
      <c r="E125" s="100"/>
    </row>
    <row r="126" s="78" customFormat="true" ht="12" hidden="false" customHeight="false" outlineLevel="0" collapsed="false"/>
    <row r="127" s="78" customFormat="true" ht="12" hidden="false" customHeight="false" outlineLevel="0" collapsed="false"/>
    <row r="128" customFormat="false" ht="39.75" hidden="false" customHeight="true" outlineLevel="0" collapsed="false">
      <c r="C128" s="101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3" t="s">
        <v>2</v>
      </c>
    </row>
    <row r="129" s="78" customFormat="true" ht="12.75" hidden="false" customHeight="false" outlineLevel="0" collapsed="false">
      <c r="B129" s="161"/>
      <c r="AJ129" s="106" t="s">
        <v>64</v>
      </c>
    </row>
    <row r="130" customFormat="false" ht="6.75" hidden="false" customHeight="true" outlineLevel="0" collapsed="false">
      <c r="B130" s="86"/>
      <c r="C130" s="162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233"/>
      <c r="AK130" s="139"/>
    </row>
    <row r="131" customFormat="false" ht="13.5" hidden="true" customHeight="false" outlineLevel="0" collapsed="false">
      <c r="B131" s="86"/>
      <c r="C131" s="109" t="s">
        <v>68</v>
      </c>
      <c r="D131" s="110" t="s">
        <v>69</v>
      </c>
      <c r="E131" s="110" t="s">
        <v>30</v>
      </c>
      <c r="F131" s="110" t="s">
        <v>31</v>
      </c>
      <c r="G131" s="110" t="s">
        <v>32</v>
      </c>
      <c r="H131" s="110" t="s">
        <v>33</v>
      </c>
      <c r="I131" s="110" t="s">
        <v>34</v>
      </c>
      <c r="J131" s="110" t="s">
        <v>35</v>
      </c>
      <c r="K131" s="110" t="s">
        <v>36</v>
      </c>
      <c r="L131" s="110" t="s">
        <v>37</v>
      </c>
      <c r="M131" s="110" t="s">
        <v>38</v>
      </c>
      <c r="N131" s="110" t="s">
        <v>39</v>
      </c>
      <c r="O131" s="110" t="s">
        <v>40</v>
      </c>
      <c r="P131" s="110" t="s">
        <v>41</v>
      </c>
      <c r="Q131" s="110" t="s">
        <v>81</v>
      </c>
      <c r="R131" s="110" t="s">
        <v>82</v>
      </c>
      <c r="S131" s="110" t="s">
        <v>83</v>
      </c>
      <c r="T131" s="110" t="s">
        <v>84</v>
      </c>
      <c r="U131" s="110" t="s">
        <v>85</v>
      </c>
      <c r="V131" s="110" t="s">
        <v>86</v>
      </c>
      <c r="W131" s="110" t="s">
        <v>87</v>
      </c>
      <c r="X131" s="110" t="s">
        <v>88</v>
      </c>
      <c r="Y131" s="110" t="s">
        <v>89</v>
      </c>
      <c r="Z131" s="110" t="s">
        <v>90</v>
      </c>
      <c r="AA131" s="110" t="s">
        <v>91</v>
      </c>
      <c r="AB131" s="110" t="s">
        <v>92</v>
      </c>
      <c r="AC131" s="110" t="s">
        <v>93</v>
      </c>
      <c r="AD131" s="110" t="s">
        <v>94</v>
      </c>
      <c r="AE131" s="110" t="s">
        <v>95</v>
      </c>
      <c r="AF131" s="110" t="s">
        <v>96</v>
      </c>
      <c r="AG131" s="110" t="s">
        <v>97</v>
      </c>
      <c r="AH131" s="110" t="s">
        <v>98</v>
      </c>
      <c r="AI131" s="110" t="s">
        <v>99</v>
      </c>
      <c r="AJ131" s="111" t="s">
        <v>70</v>
      </c>
      <c r="AK131" s="86"/>
    </row>
    <row r="132" customFormat="false" ht="19.5" hidden="false" customHeight="true" outlineLevel="0" collapsed="false">
      <c r="B132" s="143"/>
      <c r="C132" s="144" t="str">
        <f aca="false">DADOS!$AF$3</f>
        <v>📝 AÇÃO</v>
      </c>
      <c r="D132" s="145" t="str">
        <f aca="false">IF(investirrendavariávelconsolidadojun[[#This Row],[TOTAL (R$)]]=0,"",IF(OR(investirrendavariávelconsolidadojun[[#This Row],[TOTAL (R$)]]=LARGE($AJ$132:$AJ$141,1),investirrendavariávelconsolidadojun[[#This Row],[TOTAL (R$)]]=LARGE($AJ$132:$AJ$141,2)),DADOS!$I$10,""))</f>
        <v/>
      </c>
      <c r="E132" s="148" t="n">
        <f aca="false">SUMIFS(tabela_registros[VALOR],tabela_registros[MÊS],$AE$1,tabela_registros[DIA],investirrendavariávelconsolidadojun[[#Headers],[1]],tabela_registros[REGISTRO],DADOS!$N$5,tabela_registros[TIPO],DADOS!$AB$4,tabela_registros[CATEGORIA],investirrendavariávelconsolidadojun[[#This Row],[ATUAL]])</f>
        <v>0</v>
      </c>
      <c r="F132" s="119" t="n">
        <f aca="false">SUMIFS(tabela_registros[VALOR],tabela_registros[MÊS],$AE$1,tabela_registros[DIA],investirrendavariávelconsolidadojun[[#Headers],[2]],tabela_registros[REGISTRO],DADOS!$N$5,tabela_registros[TIPO],DADOS!$AB$4,tabela_registros[CATEGORIA],investirrendavariávelconsolidadojun[[#This Row],[ATUAL]])</f>
        <v>0</v>
      </c>
      <c r="G132" s="119" t="n">
        <f aca="false">SUMIFS(tabela_registros[VALOR],tabela_registros[MÊS],$AE$1,tabela_registros[DIA],investirrendavariávelconsolidadojun[[#Headers],[3]],tabela_registros[REGISTRO],DADOS!$N$5,tabela_registros[TIPO],DADOS!$AB$4,tabela_registros[CATEGORIA],investirrendavariávelconsolidadojun[[#This Row],[ATUAL]])</f>
        <v>0</v>
      </c>
      <c r="H132" s="119" t="n">
        <f aca="false">SUMIFS(tabela_registros[VALOR],tabela_registros[MÊS],$AE$1,tabela_registros[DIA],investirrendavariávelconsolidadojun[[#Headers],[4]],tabela_registros[REGISTRO],DADOS!$N$5,tabela_registros[TIPO],DADOS!$AB$4,tabela_registros[CATEGORIA],investirrendavariávelconsolidadojun[[#This Row],[ATUAL]])</f>
        <v>0</v>
      </c>
      <c r="I132" s="119" t="n">
        <f aca="false">SUMIFS(tabela_registros[VALOR],tabela_registros[MÊS],$AE$1,tabela_registros[DIA],investirrendavariávelconsolidadojun[[#Headers],[5]],tabela_registros[REGISTRO],DADOS!$N$5,tabela_registros[TIPO],DADOS!$AB$4,tabela_registros[CATEGORIA],investirrendavariávelconsolidadojun[[#This Row],[ATUAL]])</f>
        <v>0</v>
      </c>
      <c r="J132" s="119" t="n">
        <f aca="false">SUMIFS(tabela_registros[VALOR],tabela_registros[MÊS],$AE$1,tabela_registros[DIA],investirrendavariávelconsolidadojun[[#Headers],[6]],tabela_registros[REGISTRO],DADOS!$N$5,tabela_registros[TIPO],DADOS!$AB$4,tabela_registros[CATEGORIA],investirrendavariávelconsolidadojun[[#This Row],[ATUAL]])</f>
        <v>0</v>
      </c>
      <c r="K132" s="119" t="n">
        <f aca="false">SUMIFS(tabela_registros[VALOR],tabela_registros[MÊS],$AE$1,tabela_registros[DIA],investirrendavariávelconsolidadojun[[#Headers],[7]],tabela_registros[REGISTRO],DADOS!$N$5,tabela_registros[TIPO],DADOS!$AB$4,tabela_registros[CATEGORIA],investirrendavariávelconsolidadojun[[#This Row],[ATUAL]])</f>
        <v>0</v>
      </c>
      <c r="L132" s="119" t="n">
        <f aca="false">SUMIFS(tabela_registros[VALOR],tabela_registros[MÊS],$AE$1,tabela_registros[DIA],investirrendavariávelconsolidadojun[[#Headers],[8]],tabela_registros[REGISTRO],DADOS!$N$5,tabela_registros[TIPO],DADOS!$AB$4,tabela_registros[CATEGORIA],investirrendavariávelconsolidadojun[[#This Row],[ATUAL]])</f>
        <v>0</v>
      </c>
      <c r="M132" s="119" t="n">
        <f aca="false">SUMIFS(tabela_registros[VALOR],tabela_registros[MÊS],$AE$1,tabela_registros[DIA],investirrendavariávelconsolidadojun[[#Headers],[9]],tabela_registros[REGISTRO],DADOS!$N$5,tabela_registros[TIPO],DADOS!$AB$4,tabela_registros[CATEGORIA],investirrendavariávelconsolidadojun[[#This Row],[ATUAL]])</f>
        <v>0</v>
      </c>
      <c r="N132" s="119" t="n">
        <f aca="false">SUMIFS(tabela_registros[VALOR],tabela_registros[MÊS],$AE$1,tabela_registros[DIA],investirrendavariávelconsolidadojun[[#Headers],[10]],tabela_registros[REGISTRO],DADOS!$N$5,tabela_registros[TIPO],DADOS!$AB$4,tabela_registros[CATEGORIA],investirrendavariávelconsolidadojun[[#This Row],[ATUAL]])</f>
        <v>0</v>
      </c>
      <c r="O132" s="119" t="n">
        <f aca="false">SUMIFS(tabela_registros[VALOR],tabela_registros[MÊS],$AE$1,tabela_registros[DIA],investirrendavariávelconsolidadojun[[#Headers],[11]],tabela_registros[REGISTRO],DADOS!$N$5,tabela_registros[TIPO],DADOS!$AB$4,tabela_registros[CATEGORIA],investirrendavariávelconsolidadojun[[#This Row],[ATUAL]])</f>
        <v>0</v>
      </c>
      <c r="P132" s="119" t="n">
        <f aca="false">SUMIFS(tabela_registros[VALOR],tabela_registros[MÊS],$AE$1,tabela_registros[DIA],investirrendavariávelconsolidadojun[[#Headers],[12]],tabela_registros[REGISTRO],DADOS!$N$5,tabela_registros[TIPO],DADOS!$AB$4,tabela_registros[CATEGORIA],investirrendavariávelconsolidadojun[[#This Row],[ATUAL]])</f>
        <v>0</v>
      </c>
      <c r="Q132" s="119" t="n">
        <f aca="false">SUMIFS(tabela_registros[VALOR],tabela_registros[MÊS],$AE$1,tabela_registros[DIA],investirrendavariávelconsolidadojun[[#Headers],[13]],tabela_registros[REGISTRO],DADOS!$N$5,tabela_registros[TIPO],DADOS!$AB$4,tabela_registros[CATEGORIA],investirrendavariávelconsolidadojun[[#This Row],[ATUAL]])</f>
        <v>0</v>
      </c>
      <c r="R132" s="119" t="n">
        <f aca="false">SUMIFS(tabela_registros[VALOR],tabela_registros[MÊS],$AE$1,tabela_registros[DIA],investirrendavariávelconsolidadojun[[#Headers],[14]],tabela_registros[REGISTRO],DADOS!$N$5,tabela_registros[TIPO],DADOS!$AB$4,tabela_registros[CATEGORIA],investirrendavariávelconsolidadojun[[#This Row],[ATUAL]])</f>
        <v>0</v>
      </c>
      <c r="S132" s="119" t="n">
        <f aca="false">SUMIFS(tabela_registros[VALOR],tabela_registros[MÊS],$AE$1,tabela_registros[DIA],investirrendavariávelconsolidadojun[[#Headers],[15]],tabela_registros[REGISTRO],DADOS!$N$5,tabela_registros[TIPO],DADOS!$AB$4,tabela_registros[CATEGORIA],investirrendavariávelconsolidadojun[[#This Row],[ATUAL]])</f>
        <v>0</v>
      </c>
      <c r="T132" s="119" t="n">
        <f aca="false">SUMIFS(tabela_registros[VALOR],tabela_registros[MÊS],$AE$1,tabela_registros[DIA],investirrendavariávelconsolidadojun[[#Headers],[16]],tabela_registros[REGISTRO],DADOS!$N$5,tabela_registros[TIPO],DADOS!$AB$4,tabela_registros[CATEGORIA],investirrendavariávelconsolidadojun[[#This Row],[ATUAL]])</f>
        <v>0</v>
      </c>
      <c r="U132" s="119" t="n">
        <f aca="false">SUMIFS(tabela_registros[VALOR],tabela_registros[MÊS],$AE$1,tabela_registros[DIA],investirrendavariávelconsolidadojun[[#Headers],[17]],tabela_registros[REGISTRO],DADOS!$N$5,tabela_registros[TIPO],DADOS!$AB$4,tabela_registros[CATEGORIA],investirrendavariávelconsolidadojun[[#This Row],[ATUAL]])</f>
        <v>0</v>
      </c>
      <c r="V132" s="119" t="n">
        <f aca="false">SUMIFS(tabela_registros[VALOR],tabela_registros[MÊS],$AE$1,tabela_registros[DIA],investirrendavariávelconsolidadojun[[#Headers],[18]],tabela_registros[REGISTRO],DADOS!$N$5,tabela_registros[TIPO],DADOS!$AB$4,tabela_registros[CATEGORIA],investirrendavariávelconsolidadojun[[#This Row],[ATUAL]])</f>
        <v>0</v>
      </c>
      <c r="W132" s="119" t="n">
        <f aca="false">SUMIFS(tabela_registros[VALOR],tabela_registros[MÊS],$AE$1,tabela_registros[DIA],investirrendavariávelconsolidadojun[[#Headers],[19]],tabela_registros[REGISTRO],DADOS!$N$5,tabela_registros[TIPO],DADOS!$AB$4,tabela_registros[CATEGORIA],investirrendavariávelconsolidadojun[[#This Row],[ATUAL]])</f>
        <v>0</v>
      </c>
      <c r="X132" s="119" t="n">
        <f aca="false">SUMIFS(tabela_registros[VALOR],tabela_registros[MÊS],$AE$1,tabela_registros[DIA],investirrendavariávelconsolidadojun[[#Headers],[20]],tabela_registros[REGISTRO],DADOS!$N$5,tabela_registros[TIPO],DADOS!$AB$4,tabela_registros[CATEGORIA],investirrendavariávelconsolidadojun[[#This Row],[ATUAL]])</f>
        <v>0</v>
      </c>
      <c r="Y132" s="119" t="n">
        <f aca="false">SUMIFS(tabela_registros[VALOR],tabela_registros[MÊS],$AE$1,tabela_registros[DIA],investirrendavariávelconsolidadojun[[#Headers],[21]],tabela_registros[REGISTRO],DADOS!$N$5,tabela_registros[TIPO],DADOS!$AB$4,tabela_registros[CATEGORIA],investirrendavariávelconsolidadojun[[#This Row],[ATUAL]])</f>
        <v>0</v>
      </c>
      <c r="Z132" s="119" t="n">
        <f aca="false">SUMIFS(tabela_registros[VALOR],tabela_registros[MÊS],$AE$1,tabela_registros[DIA],investirrendavariávelconsolidadojun[[#Headers],[22]],tabela_registros[REGISTRO],DADOS!$N$5,tabela_registros[TIPO],DADOS!$AB$4,tabela_registros[CATEGORIA],investirrendavariávelconsolidadojun[[#This Row],[ATUAL]])</f>
        <v>0</v>
      </c>
      <c r="AA132" s="119" t="n">
        <f aca="false">SUMIFS(tabela_registros[VALOR],tabela_registros[MÊS],$AE$1,tabela_registros[DIA],investirrendavariávelconsolidadojun[[#Headers],[23]],tabela_registros[REGISTRO],DADOS!$N$5,tabela_registros[TIPO],DADOS!$AB$4,tabela_registros[CATEGORIA],investirrendavariávelconsolidadojun[[#This Row],[ATUAL]])</f>
        <v>0</v>
      </c>
      <c r="AB132" s="119" t="n">
        <f aca="false">SUMIFS(tabela_registros[VALOR],tabela_registros[MÊS],$AE$1,tabela_registros[DIA],investirrendavariávelconsolidadojun[[#Headers],[24]],tabela_registros[REGISTRO],DADOS!$N$5,tabela_registros[TIPO],DADOS!$AB$4,tabela_registros[CATEGORIA],investirrendavariávelconsolidadojun[[#This Row],[ATUAL]])</f>
        <v>0</v>
      </c>
      <c r="AC132" s="119" t="n">
        <f aca="false">SUMIFS(tabela_registros[VALOR],tabela_registros[MÊS],$AE$1,tabela_registros[DIA],investirrendavariávelconsolidadojun[[#Headers],[25]],tabela_registros[REGISTRO],DADOS!$N$5,tabela_registros[TIPO],DADOS!$AB$4,tabela_registros[CATEGORIA],investirrendavariávelconsolidadojun[[#This Row],[ATUAL]])</f>
        <v>0</v>
      </c>
      <c r="AD132" s="119" t="n">
        <f aca="false">SUMIFS(tabela_registros[VALOR],tabela_registros[MÊS],$AE$1,tabela_registros[DIA],investirrendavariávelconsolidadojun[[#Headers],[26]],tabela_registros[REGISTRO],DADOS!$N$5,tabela_registros[TIPO],DADOS!$AB$4,tabela_registros[CATEGORIA],investirrendavariávelconsolidadojun[[#This Row],[ATUAL]])</f>
        <v>0</v>
      </c>
      <c r="AE132" s="119" t="n">
        <f aca="false">SUMIFS(tabela_registros[VALOR],tabela_registros[MÊS],$AE$1,tabela_registros[DIA],investirrendavariávelconsolidadojun[[#Headers],[27]],tabela_registros[REGISTRO],DADOS!$N$5,tabela_registros[TIPO],DADOS!$AB$4,tabela_registros[CATEGORIA],investirrendavariávelconsolidadojun[[#This Row],[ATUAL]])</f>
        <v>0</v>
      </c>
      <c r="AF132" s="119" t="n">
        <f aca="false">SUMIFS(tabela_registros[VALOR],tabela_registros[MÊS],$AE$1,tabela_registros[DIA],investirrendavariávelconsolidadojun[[#Headers],[28]],tabela_registros[REGISTRO],DADOS!$N$5,tabela_registros[TIPO],DADOS!$AB$4,tabela_registros[CATEGORIA],investirrendavariávelconsolidadojun[[#This Row],[ATUAL]])</f>
        <v>0</v>
      </c>
      <c r="AG132" s="119" t="n">
        <f aca="false">SUMIFS(tabela_registros[VALOR],tabela_registros[MÊS],$AE$1,tabela_registros[DIA],investirrendavariávelconsolidadojun[[#Headers],[29]],tabela_registros[REGISTRO],DADOS!$N$5,tabela_registros[TIPO],DADOS!$AB$4,tabela_registros[CATEGORIA],investirrendavariávelconsolidadojun[[#This Row],[ATUAL]])</f>
        <v>0</v>
      </c>
      <c r="AH132" s="119" t="n">
        <f aca="false">SUMIFS(tabela_registros[VALOR],tabela_registros[MÊS],$AE$1,tabela_registros[DIA],investirrendavariávelconsolidadojun[[#Headers],[30]],tabela_registros[REGISTRO],DADOS!$N$5,tabela_registros[TIPO],DADOS!$AB$4,tabela_registros[CATEGORIA],investirrendavariávelconsolidadojun[[#This Row],[ATUAL]])</f>
        <v>0</v>
      </c>
      <c r="AI132" s="217" t="n">
        <f aca="false">SUMIFS(tabela_registros[VALOR],tabela_registros[MÊS],$AE$1,tabela_registros[DIA],investirrendavariávelconsolidadojun[[#Headers],[31]],tabela_registros[REGISTRO],DADOS!$N$5,tabela_registros[TIPO],DADOS!$AB$4,tabela_registros[CATEGORIA],investirrendavariávelconsolidadojun[[#This Row],[ATUAL]])</f>
        <v>0</v>
      </c>
      <c r="AJ132" s="149" t="n">
        <f aca="false">SUM(investirrendavariávelconsolidadojun[[#This Row],[1]:[31]])</f>
        <v>0</v>
      </c>
      <c r="AK132" s="165"/>
    </row>
    <row r="133" customFormat="false" ht="19.5" hidden="false" customHeight="true" outlineLevel="0" collapsed="false">
      <c r="B133" s="143"/>
      <c r="C133" s="144" t="str">
        <f aca="false">DADOS!$AF$4</f>
        <v>📝 COMÓDITE</v>
      </c>
      <c r="D133" s="145" t="str">
        <f aca="false">IF(investirrendavariávelconsolidadojun[[#This Row],[TOTAL (R$)]]=0,"",IF(OR(investirrendavariávelconsolidadojun[[#This Row],[TOTAL (R$)]]=LARGE($AJ$132:$AJ$141,1),investirrendavariávelconsolidadojun[[#This Row],[TOTAL (R$)]]=LARGE($AJ$132:$AJ$141,2)),DADOS!$I$10,""))</f>
        <v/>
      </c>
      <c r="E133" s="148" t="n">
        <f aca="false">SUMIFS(tabela_registros[VALOR],tabela_registros[MÊS],$AE$1,tabela_registros[DIA],investirrendavariávelconsolidadojun[[#Headers],[1]],tabela_registros[REGISTRO],DADOS!$N$5,tabela_registros[TIPO],DADOS!$AB$4,tabela_registros[CATEGORIA],investirrendavariávelconsolidadojun[[#This Row],[ATUAL]])</f>
        <v>0</v>
      </c>
      <c r="F133" s="119" t="n">
        <f aca="false">SUMIFS(tabela_registros[VALOR],tabela_registros[MÊS],$AE$1,tabela_registros[DIA],investirrendavariávelconsolidadojun[[#Headers],[2]],tabela_registros[REGISTRO],DADOS!$N$5,tabela_registros[TIPO],DADOS!$AB$4,tabela_registros[CATEGORIA],investirrendavariávelconsolidadojun[[#This Row],[ATUAL]])</f>
        <v>0</v>
      </c>
      <c r="G133" s="119" t="n">
        <f aca="false">SUMIFS(tabela_registros[VALOR],tabela_registros[MÊS],$AE$1,tabela_registros[DIA],investirrendavariávelconsolidadojun[[#Headers],[3]],tabela_registros[REGISTRO],DADOS!$N$5,tabela_registros[TIPO],DADOS!$AB$4,tabela_registros[CATEGORIA],investirrendavariávelconsolidadojun[[#This Row],[ATUAL]])</f>
        <v>0</v>
      </c>
      <c r="H133" s="119" t="n">
        <f aca="false">SUMIFS(tabela_registros[VALOR],tabela_registros[MÊS],$AE$1,tabela_registros[DIA],investirrendavariávelconsolidadojun[[#Headers],[4]],tabela_registros[REGISTRO],DADOS!$N$5,tabela_registros[TIPO],DADOS!$AB$4,tabela_registros[CATEGORIA],investirrendavariávelconsolidadojun[[#This Row],[ATUAL]])</f>
        <v>0</v>
      </c>
      <c r="I133" s="119" t="n">
        <f aca="false">SUMIFS(tabela_registros[VALOR],tabela_registros[MÊS],$AE$1,tabela_registros[DIA],investirrendavariávelconsolidadojun[[#Headers],[5]],tabela_registros[REGISTRO],DADOS!$N$5,tabela_registros[TIPO],DADOS!$AB$4,tabela_registros[CATEGORIA],investirrendavariávelconsolidadojun[[#This Row],[ATUAL]])</f>
        <v>0</v>
      </c>
      <c r="J133" s="119" t="n">
        <f aca="false">SUMIFS(tabela_registros[VALOR],tabela_registros[MÊS],$AE$1,tabela_registros[DIA],investirrendavariávelconsolidadojun[[#Headers],[6]],tabela_registros[REGISTRO],DADOS!$N$5,tabela_registros[TIPO],DADOS!$AB$4,tabela_registros[CATEGORIA],investirrendavariávelconsolidadojun[[#This Row],[ATUAL]])</f>
        <v>0</v>
      </c>
      <c r="K133" s="119" t="n">
        <f aca="false">SUMIFS(tabela_registros[VALOR],tabela_registros[MÊS],$AE$1,tabela_registros[DIA],investirrendavariávelconsolidadojun[[#Headers],[7]],tabela_registros[REGISTRO],DADOS!$N$5,tabela_registros[TIPO],DADOS!$AB$4,tabela_registros[CATEGORIA],investirrendavariávelconsolidadojun[[#This Row],[ATUAL]])</f>
        <v>0</v>
      </c>
      <c r="L133" s="119" t="n">
        <f aca="false">SUMIFS(tabela_registros[VALOR],tabela_registros[MÊS],$AE$1,tabela_registros[DIA],investirrendavariávelconsolidadojun[[#Headers],[8]],tabela_registros[REGISTRO],DADOS!$N$5,tabela_registros[TIPO],DADOS!$AB$4,tabela_registros[CATEGORIA],investirrendavariávelconsolidadojun[[#This Row],[ATUAL]])</f>
        <v>0</v>
      </c>
      <c r="M133" s="119" t="n">
        <f aca="false">SUMIFS(tabela_registros[VALOR],tabela_registros[MÊS],$AE$1,tabela_registros[DIA],investirrendavariávelconsolidadojun[[#Headers],[9]],tabela_registros[REGISTRO],DADOS!$N$5,tabela_registros[TIPO],DADOS!$AB$4,tabela_registros[CATEGORIA],investirrendavariávelconsolidadojun[[#This Row],[ATUAL]])</f>
        <v>0</v>
      </c>
      <c r="N133" s="119" t="n">
        <f aca="false">SUMIFS(tabela_registros[VALOR],tabela_registros[MÊS],$AE$1,tabela_registros[DIA],investirrendavariávelconsolidadojun[[#Headers],[10]],tabela_registros[REGISTRO],DADOS!$N$5,tabela_registros[TIPO],DADOS!$AB$4,tabela_registros[CATEGORIA],investirrendavariávelconsolidadojun[[#This Row],[ATUAL]])</f>
        <v>0</v>
      </c>
      <c r="O133" s="119" t="n">
        <f aca="false">SUMIFS(tabela_registros[VALOR],tabela_registros[MÊS],$AE$1,tabela_registros[DIA],investirrendavariávelconsolidadojun[[#Headers],[11]],tabela_registros[REGISTRO],DADOS!$N$5,tabela_registros[TIPO],DADOS!$AB$4,tabela_registros[CATEGORIA],investirrendavariávelconsolidadojun[[#This Row],[ATUAL]])</f>
        <v>0</v>
      </c>
      <c r="P133" s="119" t="n">
        <f aca="false">SUMIFS(tabela_registros[VALOR],tabela_registros[MÊS],$AE$1,tabela_registros[DIA],investirrendavariávelconsolidadojun[[#Headers],[12]],tabela_registros[REGISTRO],DADOS!$N$5,tabela_registros[TIPO],DADOS!$AB$4,tabela_registros[CATEGORIA],investirrendavariávelconsolidadojun[[#This Row],[ATUAL]])</f>
        <v>0</v>
      </c>
      <c r="Q133" s="119" t="n">
        <f aca="false">SUMIFS(tabela_registros[VALOR],tabela_registros[MÊS],$AE$1,tabela_registros[DIA],investirrendavariávelconsolidadojun[[#Headers],[13]],tabela_registros[REGISTRO],DADOS!$N$5,tabela_registros[TIPO],DADOS!$AB$4,tabela_registros[CATEGORIA],investirrendavariávelconsolidadojun[[#This Row],[ATUAL]])</f>
        <v>0</v>
      </c>
      <c r="R133" s="119" t="n">
        <f aca="false">SUMIFS(tabela_registros[VALOR],tabela_registros[MÊS],$AE$1,tabela_registros[DIA],investirrendavariávelconsolidadojun[[#Headers],[14]],tabela_registros[REGISTRO],DADOS!$N$5,tabela_registros[TIPO],DADOS!$AB$4,tabela_registros[CATEGORIA],investirrendavariávelconsolidadojun[[#This Row],[ATUAL]])</f>
        <v>0</v>
      </c>
      <c r="S133" s="119" t="n">
        <f aca="false">SUMIFS(tabela_registros[VALOR],tabela_registros[MÊS],$AE$1,tabela_registros[DIA],investirrendavariávelconsolidadojun[[#Headers],[15]],tabela_registros[REGISTRO],DADOS!$N$5,tabela_registros[TIPO],DADOS!$AB$4,tabela_registros[CATEGORIA],investirrendavariávelconsolidadojun[[#This Row],[ATUAL]])</f>
        <v>0</v>
      </c>
      <c r="T133" s="119" t="n">
        <f aca="false">SUMIFS(tabela_registros[VALOR],tabela_registros[MÊS],$AE$1,tabela_registros[DIA],investirrendavariávelconsolidadojun[[#Headers],[16]],tabela_registros[REGISTRO],DADOS!$N$5,tabela_registros[TIPO],DADOS!$AB$4,tabela_registros[CATEGORIA],investirrendavariávelconsolidadojun[[#This Row],[ATUAL]])</f>
        <v>0</v>
      </c>
      <c r="U133" s="119" t="n">
        <f aca="false">SUMIFS(tabela_registros[VALOR],tabela_registros[MÊS],$AE$1,tabela_registros[DIA],investirrendavariávelconsolidadojun[[#Headers],[17]],tabela_registros[REGISTRO],DADOS!$N$5,tabela_registros[TIPO],DADOS!$AB$4,tabela_registros[CATEGORIA],investirrendavariávelconsolidadojun[[#This Row],[ATUAL]])</f>
        <v>0</v>
      </c>
      <c r="V133" s="119" t="n">
        <f aca="false">SUMIFS(tabela_registros[VALOR],tabela_registros[MÊS],$AE$1,tabela_registros[DIA],investirrendavariávelconsolidadojun[[#Headers],[18]],tabela_registros[REGISTRO],DADOS!$N$5,tabela_registros[TIPO],DADOS!$AB$4,tabela_registros[CATEGORIA],investirrendavariávelconsolidadojun[[#This Row],[ATUAL]])</f>
        <v>0</v>
      </c>
      <c r="W133" s="119" t="n">
        <f aca="false">SUMIFS(tabela_registros[VALOR],tabela_registros[MÊS],$AE$1,tabela_registros[DIA],investirrendavariávelconsolidadojun[[#Headers],[19]],tabela_registros[REGISTRO],DADOS!$N$5,tabela_registros[TIPO],DADOS!$AB$4,tabela_registros[CATEGORIA],investirrendavariávelconsolidadojun[[#This Row],[ATUAL]])</f>
        <v>0</v>
      </c>
      <c r="X133" s="119" t="n">
        <f aca="false">SUMIFS(tabela_registros[VALOR],tabela_registros[MÊS],$AE$1,tabela_registros[DIA],investirrendavariávelconsolidadojun[[#Headers],[20]],tabela_registros[REGISTRO],DADOS!$N$5,tabela_registros[TIPO],DADOS!$AB$4,tabela_registros[CATEGORIA],investirrendavariávelconsolidadojun[[#This Row],[ATUAL]])</f>
        <v>0</v>
      </c>
      <c r="Y133" s="119" t="n">
        <f aca="false">SUMIFS(tabela_registros[VALOR],tabela_registros[MÊS],$AE$1,tabela_registros[DIA],investirrendavariávelconsolidadojun[[#Headers],[21]],tabela_registros[REGISTRO],DADOS!$N$5,tabela_registros[TIPO],DADOS!$AB$4,tabela_registros[CATEGORIA],investirrendavariávelconsolidadojun[[#This Row],[ATUAL]])</f>
        <v>0</v>
      </c>
      <c r="Z133" s="119" t="n">
        <f aca="false">SUMIFS(tabela_registros[VALOR],tabela_registros[MÊS],$AE$1,tabela_registros[DIA],investirrendavariávelconsolidadojun[[#Headers],[22]],tabela_registros[REGISTRO],DADOS!$N$5,tabela_registros[TIPO],DADOS!$AB$4,tabela_registros[CATEGORIA],investirrendavariávelconsolidadojun[[#This Row],[ATUAL]])</f>
        <v>0</v>
      </c>
      <c r="AA133" s="119" t="n">
        <f aca="false">SUMIFS(tabela_registros[VALOR],tabela_registros[MÊS],$AE$1,tabela_registros[DIA],investirrendavariávelconsolidadojun[[#Headers],[23]],tabela_registros[REGISTRO],DADOS!$N$5,tabela_registros[TIPO],DADOS!$AB$4,tabela_registros[CATEGORIA],investirrendavariávelconsolidadojun[[#This Row],[ATUAL]])</f>
        <v>0</v>
      </c>
      <c r="AB133" s="119" t="n">
        <f aca="false">SUMIFS(tabela_registros[VALOR],tabela_registros[MÊS],$AE$1,tabela_registros[DIA],investirrendavariávelconsolidadojun[[#Headers],[24]],tabela_registros[REGISTRO],DADOS!$N$5,tabela_registros[TIPO],DADOS!$AB$4,tabela_registros[CATEGORIA],investirrendavariávelconsolidadojun[[#This Row],[ATUAL]])</f>
        <v>0</v>
      </c>
      <c r="AC133" s="119" t="n">
        <f aca="false">SUMIFS(tabela_registros[VALOR],tabela_registros[MÊS],$AE$1,tabela_registros[DIA],investirrendavariávelconsolidadojun[[#Headers],[25]],tabela_registros[REGISTRO],DADOS!$N$5,tabela_registros[TIPO],DADOS!$AB$4,tabela_registros[CATEGORIA],investirrendavariávelconsolidadojun[[#This Row],[ATUAL]])</f>
        <v>0</v>
      </c>
      <c r="AD133" s="119" t="n">
        <f aca="false">SUMIFS(tabela_registros[VALOR],tabela_registros[MÊS],$AE$1,tabela_registros[DIA],investirrendavariávelconsolidadojun[[#Headers],[26]],tabela_registros[REGISTRO],DADOS!$N$5,tabela_registros[TIPO],DADOS!$AB$4,tabela_registros[CATEGORIA],investirrendavariávelconsolidadojun[[#This Row],[ATUAL]])</f>
        <v>0</v>
      </c>
      <c r="AE133" s="119" t="n">
        <f aca="false">SUMIFS(tabela_registros[VALOR],tabela_registros[MÊS],$AE$1,tabela_registros[DIA],investirrendavariávelconsolidadojun[[#Headers],[27]],tabela_registros[REGISTRO],DADOS!$N$5,tabela_registros[TIPO],DADOS!$AB$4,tabela_registros[CATEGORIA],investirrendavariávelconsolidadojun[[#This Row],[ATUAL]])</f>
        <v>0</v>
      </c>
      <c r="AF133" s="119" t="n">
        <f aca="false">SUMIFS(tabela_registros[VALOR],tabela_registros[MÊS],$AE$1,tabela_registros[DIA],investirrendavariávelconsolidadojun[[#Headers],[28]],tabela_registros[REGISTRO],DADOS!$N$5,tabela_registros[TIPO],DADOS!$AB$4,tabela_registros[CATEGORIA],investirrendavariávelconsolidadojun[[#This Row],[ATUAL]])</f>
        <v>0</v>
      </c>
      <c r="AG133" s="119" t="n">
        <f aca="false">SUMIFS(tabela_registros[VALOR],tabela_registros[MÊS],$AE$1,tabela_registros[DIA],investirrendavariávelconsolidadojun[[#Headers],[29]],tabela_registros[REGISTRO],DADOS!$N$5,tabela_registros[TIPO],DADOS!$AB$4,tabela_registros[CATEGORIA],investirrendavariávelconsolidadojun[[#This Row],[ATUAL]])</f>
        <v>0</v>
      </c>
      <c r="AH133" s="119" t="n">
        <f aca="false">SUMIFS(tabela_registros[VALOR],tabela_registros[MÊS],$AE$1,tabela_registros[DIA],investirrendavariávelconsolidadojun[[#Headers],[30]],tabela_registros[REGISTRO],DADOS!$N$5,tabela_registros[TIPO],DADOS!$AB$4,tabela_registros[CATEGORIA],investirrendavariávelconsolidadojun[[#This Row],[ATUAL]])</f>
        <v>0</v>
      </c>
      <c r="AI133" s="217" t="n">
        <f aca="false">SUMIFS(tabela_registros[VALOR],tabela_registros[MÊS],$AE$1,tabela_registros[DIA],investirrendavariávelconsolidadojun[[#Headers],[31]],tabela_registros[REGISTRO],DADOS!$N$5,tabela_registros[TIPO],DADOS!$AB$4,tabela_registros[CATEGORIA],investirrendavariávelconsolidadojun[[#This Row],[ATUAL]])</f>
        <v>0</v>
      </c>
      <c r="AJ133" s="149" t="n">
        <f aca="false">SUM(investirrendavariávelconsolidadojun[[#This Row],[1]:[31]])</f>
        <v>0</v>
      </c>
      <c r="AK133" s="165"/>
    </row>
    <row r="134" customFormat="false" ht="19.5" hidden="false" customHeight="true" outlineLevel="0" collapsed="false">
      <c r="B134" s="143"/>
      <c r="C134" s="144" t="str">
        <f aca="false">DADOS!$AF$5</f>
        <v>📝 CONTRATO DE FUTUROS</v>
      </c>
      <c r="D134" s="145" t="str">
        <f aca="false">IF(investirrendavariávelconsolidadojun[[#This Row],[TOTAL (R$)]]=0,"",IF(OR(investirrendavariávelconsolidadojun[[#This Row],[TOTAL (R$)]]=LARGE($AJ$132:$AJ$141,1),investirrendavariávelconsolidadojun[[#This Row],[TOTAL (R$)]]=LARGE($AJ$132:$AJ$141,2)),DADOS!$I$10,""))</f>
        <v/>
      </c>
      <c r="E134" s="148" t="n">
        <f aca="false">SUMIFS(tabela_registros[VALOR],tabela_registros[MÊS],$AE$1,tabela_registros[DIA],investirrendavariávelconsolidadojun[[#Headers],[1]],tabela_registros[REGISTRO],DADOS!$N$5,tabela_registros[TIPO],DADOS!$AB$4,tabela_registros[CATEGORIA],investirrendavariávelconsolidadojun[[#This Row],[ATUAL]])</f>
        <v>0</v>
      </c>
      <c r="F134" s="119" t="n">
        <f aca="false">SUMIFS(tabela_registros[VALOR],tabela_registros[MÊS],$AE$1,tabela_registros[DIA],investirrendavariávelconsolidadojun[[#Headers],[2]],tabela_registros[REGISTRO],DADOS!$N$5,tabela_registros[TIPO],DADOS!$AB$4,tabela_registros[CATEGORIA],investirrendavariávelconsolidadojun[[#This Row],[ATUAL]])</f>
        <v>0</v>
      </c>
      <c r="G134" s="119" t="n">
        <f aca="false">SUMIFS(tabela_registros[VALOR],tabela_registros[MÊS],$AE$1,tabela_registros[DIA],investirrendavariávelconsolidadojun[[#Headers],[3]],tabela_registros[REGISTRO],DADOS!$N$5,tabela_registros[TIPO],DADOS!$AB$4,tabela_registros[CATEGORIA],investirrendavariávelconsolidadojun[[#This Row],[ATUAL]])</f>
        <v>0</v>
      </c>
      <c r="H134" s="119" t="n">
        <f aca="false">SUMIFS(tabela_registros[VALOR],tabela_registros[MÊS],$AE$1,tabela_registros[DIA],investirrendavariávelconsolidadojun[[#Headers],[4]],tabela_registros[REGISTRO],DADOS!$N$5,tabela_registros[TIPO],DADOS!$AB$4,tabela_registros[CATEGORIA],investirrendavariávelconsolidadojun[[#This Row],[ATUAL]])</f>
        <v>0</v>
      </c>
      <c r="I134" s="119" t="n">
        <f aca="false">SUMIFS(tabela_registros[VALOR],tabela_registros[MÊS],$AE$1,tabela_registros[DIA],investirrendavariávelconsolidadojun[[#Headers],[5]],tabela_registros[REGISTRO],DADOS!$N$5,tabela_registros[TIPO],DADOS!$AB$4,tabela_registros[CATEGORIA],investirrendavariávelconsolidadojun[[#This Row],[ATUAL]])</f>
        <v>0</v>
      </c>
      <c r="J134" s="119" t="n">
        <f aca="false">SUMIFS(tabela_registros[VALOR],tabela_registros[MÊS],$AE$1,tabela_registros[DIA],investirrendavariávelconsolidadojun[[#Headers],[6]],tabela_registros[REGISTRO],DADOS!$N$5,tabela_registros[TIPO],DADOS!$AB$4,tabela_registros[CATEGORIA],investirrendavariávelconsolidadojun[[#This Row],[ATUAL]])</f>
        <v>0</v>
      </c>
      <c r="K134" s="119" t="n">
        <f aca="false">SUMIFS(tabela_registros[VALOR],tabela_registros[MÊS],$AE$1,tabela_registros[DIA],investirrendavariávelconsolidadojun[[#Headers],[7]],tabela_registros[REGISTRO],DADOS!$N$5,tabela_registros[TIPO],DADOS!$AB$4,tabela_registros[CATEGORIA],investirrendavariávelconsolidadojun[[#This Row],[ATUAL]])</f>
        <v>0</v>
      </c>
      <c r="L134" s="119" t="n">
        <f aca="false">SUMIFS(tabela_registros[VALOR],tabela_registros[MÊS],$AE$1,tabela_registros[DIA],investirrendavariávelconsolidadojun[[#Headers],[8]],tabela_registros[REGISTRO],DADOS!$N$5,tabela_registros[TIPO],DADOS!$AB$4,tabela_registros[CATEGORIA],investirrendavariávelconsolidadojun[[#This Row],[ATUAL]])</f>
        <v>0</v>
      </c>
      <c r="M134" s="119" t="n">
        <f aca="false">SUMIFS(tabela_registros[VALOR],tabela_registros[MÊS],$AE$1,tabela_registros[DIA],investirrendavariávelconsolidadojun[[#Headers],[9]],tabela_registros[REGISTRO],DADOS!$N$5,tabela_registros[TIPO],DADOS!$AB$4,tabela_registros[CATEGORIA],investirrendavariávelconsolidadojun[[#This Row],[ATUAL]])</f>
        <v>0</v>
      </c>
      <c r="N134" s="119" t="n">
        <f aca="false">SUMIFS(tabela_registros[VALOR],tabela_registros[MÊS],$AE$1,tabela_registros[DIA],investirrendavariávelconsolidadojun[[#Headers],[10]],tabela_registros[REGISTRO],DADOS!$N$5,tabela_registros[TIPO],DADOS!$AB$4,tabela_registros[CATEGORIA],investirrendavariávelconsolidadojun[[#This Row],[ATUAL]])</f>
        <v>0</v>
      </c>
      <c r="O134" s="119" t="n">
        <f aca="false">SUMIFS(tabela_registros[VALOR],tabela_registros[MÊS],$AE$1,tabela_registros[DIA],investirrendavariávelconsolidadojun[[#Headers],[11]],tabela_registros[REGISTRO],DADOS!$N$5,tabela_registros[TIPO],DADOS!$AB$4,tabela_registros[CATEGORIA],investirrendavariávelconsolidadojun[[#This Row],[ATUAL]])</f>
        <v>0</v>
      </c>
      <c r="P134" s="119" t="n">
        <f aca="false">SUMIFS(tabela_registros[VALOR],tabela_registros[MÊS],$AE$1,tabela_registros[DIA],investirrendavariávelconsolidadojun[[#Headers],[12]],tabela_registros[REGISTRO],DADOS!$N$5,tabela_registros[TIPO],DADOS!$AB$4,tabela_registros[CATEGORIA],investirrendavariávelconsolidadojun[[#This Row],[ATUAL]])</f>
        <v>0</v>
      </c>
      <c r="Q134" s="119" t="n">
        <f aca="false">SUMIFS(tabela_registros[VALOR],tabela_registros[MÊS],$AE$1,tabela_registros[DIA],investirrendavariávelconsolidadojun[[#Headers],[13]],tabela_registros[REGISTRO],DADOS!$N$5,tabela_registros[TIPO],DADOS!$AB$4,tabela_registros[CATEGORIA],investirrendavariávelconsolidadojun[[#This Row],[ATUAL]])</f>
        <v>0</v>
      </c>
      <c r="R134" s="119" t="n">
        <f aca="false">SUMIFS(tabela_registros[VALOR],tabela_registros[MÊS],$AE$1,tabela_registros[DIA],investirrendavariávelconsolidadojun[[#Headers],[14]],tabela_registros[REGISTRO],DADOS!$N$5,tabela_registros[TIPO],DADOS!$AB$4,tabela_registros[CATEGORIA],investirrendavariávelconsolidadojun[[#This Row],[ATUAL]])</f>
        <v>0</v>
      </c>
      <c r="S134" s="119" t="n">
        <f aca="false">SUMIFS(tabela_registros[VALOR],tabela_registros[MÊS],$AE$1,tabela_registros[DIA],investirrendavariávelconsolidadojun[[#Headers],[15]],tabela_registros[REGISTRO],DADOS!$N$5,tabela_registros[TIPO],DADOS!$AB$4,tabela_registros[CATEGORIA],investirrendavariávelconsolidadojun[[#This Row],[ATUAL]])</f>
        <v>0</v>
      </c>
      <c r="T134" s="119" t="n">
        <f aca="false">SUMIFS(tabela_registros[VALOR],tabela_registros[MÊS],$AE$1,tabela_registros[DIA],investirrendavariávelconsolidadojun[[#Headers],[16]],tabela_registros[REGISTRO],DADOS!$N$5,tabela_registros[TIPO],DADOS!$AB$4,tabela_registros[CATEGORIA],investirrendavariávelconsolidadojun[[#This Row],[ATUAL]])</f>
        <v>0</v>
      </c>
      <c r="U134" s="119" t="n">
        <f aca="false">SUMIFS(tabela_registros[VALOR],tabela_registros[MÊS],$AE$1,tabela_registros[DIA],investirrendavariávelconsolidadojun[[#Headers],[17]],tabela_registros[REGISTRO],DADOS!$N$5,tabela_registros[TIPO],DADOS!$AB$4,tabela_registros[CATEGORIA],investirrendavariávelconsolidadojun[[#This Row],[ATUAL]])</f>
        <v>0</v>
      </c>
      <c r="V134" s="119" t="n">
        <f aca="false">SUMIFS(tabela_registros[VALOR],tabela_registros[MÊS],$AE$1,tabela_registros[DIA],investirrendavariávelconsolidadojun[[#Headers],[18]],tabela_registros[REGISTRO],DADOS!$N$5,tabela_registros[TIPO],DADOS!$AB$4,tabela_registros[CATEGORIA],investirrendavariávelconsolidadojun[[#This Row],[ATUAL]])</f>
        <v>0</v>
      </c>
      <c r="W134" s="119" t="n">
        <f aca="false">SUMIFS(tabela_registros[VALOR],tabela_registros[MÊS],$AE$1,tabela_registros[DIA],investirrendavariávelconsolidadojun[[#Headers],[19]],tabela_registros[REGISTRO],DADOS!$N$5,tabela_registros[TIPO],DADOS!$AB$4,tabela_registros[CATEGORIA],investirrendavariávelconsolidadojun[[#This Row],[ATUAL]])</f>
        <v>0</v>
      </c>
      <c r="X134" s="119" t="n">
        <f aca="false">SUMIFS(tabela_registros[VALOR],tabela_registros[MÊS],$AE$1,tabela_registros[DIA],investirrendavariávelconsolidadojun[[#Headers],[20]],tabela_registros[REGISTRO],DADOS!$N$5,tabela_registros[TIPO],DADOS!$AB$4,tabela_registros[CATEGORIA],investirrendavariávelconsolidadojun[[#This Row],[ATUAL]])</f>
        <v>0</v>
      </c>
      <c r="Y134" s="119" t="n">
        <f aca="false">SUMIFS(tabela_registros[VALOR],tabela_registros[MÊS],$AE$1,tabela_registros[DIA],investirrendavariávelconsolidadojun[[#Headers],[21]],tabela_registros[REGISTRO],DADOS!$N$5,tabela_registros[TIPO],DADOS!$AB$4,tabela_registros[CATEGORIA],investirrendavariávelconsolidadojun[[#This Row],[ATUAL]])</f>
        <v>0</v>
      </c>
      <c r="Z134" s="119" t="n">
        <f aca="false">SUMIFS(tabela_registros[VALOR],tabela_registros[MÊS],$AE$1,tabela_registros[DIA],investirrendavariávelconsolidadojun[[#Headers],[22]],tabela_registros[REGISTRO],DADOS!$N$5,tabela_registros[TIPO],DADOS!$AB$4,tabela_registros[CATEGORIA],investirrendavariávelconsolidadojun[[#This Row],[ATUAL]])</f>
        <v>0</v>
      </c>
      <c r="AA134" s="119" t="n">
        <f aca="false">SUMIFS(tabela_registros[VALOR],tabela_registros[MÊS],$AE$1,tabela_registros[DIA],investirrendavariávelconsolidadojun[[#Headers],[23]],tabela_registros[REGISTRO],DADOS!$N$5,tabela_registros[TIPO],DADOS!$AB$4,tabela_registros[CATEGORIA],investirrendavariávelconsolidadojun[[#This Row],[ATUAL]])</f>
        <v>0</v>
      </c>
      <c r="AB134" s="119" t="n">
        <f aca="false">SUMIFS(tabela_registros[VALOR],tabela_registros[MÊS],$AE$1,tabela_registros[DIA],investirrendavariávelconsolidadojun[[#Headers],[24]],tabela_registros[REGISTRO],DADOS!$N$5,tabela_registros[TIPO],DADOS!$AB$4,tabela_registros[CATEGORIA],investirrendavariávelconsolidadojun[[#This Row],[ATUAL]])</f>
        <v>0</v>
      </c>
      <c r="AC134" s="119" t="n">
        <f aca="false">SUMIFS(tabela_registros[VALOR],tabela_registros[MÊS],$AE$1,tabela_registros[DIA],investirrendavariávelconsolidadojun[[#Headers],[25]],tabela_registros[REGISTRO],DADOS!$N$5,tabela_registros[TIPO],DADOS!$AB$4,tabela_registros[CATEGORIA],investirrendavariávelconsolidadojun[[#This Row],[ATUAL]])</f>
        <v>0</v>
      </c>
      <c r="AD134" s="119" t="n">
        <f aca="false">SUMIFS(tabela_registros[VALOR],tabela_registros[MÊS],$AE$1,tabela_registros[DIA],investirrendavariávelconsolidadojun[[#Headers],[26]],tabela_registros[REGISTRO],DADOS!$N$5,tabela_registros[TIPO],DADOS!$AB$4,tabela_registros[CATEGORIA],investirrendavariávelconsolidadojun[[#This Row],[ATUAL]])</f>
        <v>0</v>
      </c>
      <c r="AE134" s="119" t="n">
        <f aca="false">SUMIFS(tabela_registros[VALOR],tabela_registros[MÊS],$AE$1,tabela_registros[DIA],investirrendavariávelconsolidadojun[[#Headers],[27]],tabela_registros[REGISTRO],DADOS!$N$5,tabela_registros[TIPO],DADOS!$AB$4,tabela_registros[CATEGORIA],investirrendavariávelconsolidadojun[[#This Row],[ATUAL]])</f>
        <v>0</v>
      </c>
      <c r="AF134" s="119" t="n">
        <f aca="false">SUMIFS(tabela_registros[VALOR],tabela_registros[MÊS],$AE$1,tabela_registros[DIA],investirrendavariávelconsolidadojun[[#Headers],[28]],tabela_registros[REGISTRO],DADOS!$N$5,tabela_registros[TIPO],DADOS!$AB$4,tabela_registros[CATEGORIA],investirrendavariávelconsolidadojun[[#This Row],[ATUAL]])</f>
        <v>0</v>
      </c>
      <c r="AG134" s="119" t="n">
        <f aca="false">SUMIFS(tabela_registros[VALOR],tabela_registros[MÊS],$AE$1,tabela_registros[DIA],investirrendavariávelconsolidadojun[[#Headers],[29]],tabela_registros[REGISTRO],DADOS!$N$5,tabela_registros[TIPO],DADOS!$AB$4,tabela_registros[CATEGORIA],investirrendavariávelconsolidadojun[[#This Row],[ATUAL]])</f>
        <v>0</v>
      </c>
      <c r="AH134" s="119" t="n">
        <f aca="false">SUMIFS(tabela_registros[VALOR],tabela_registros[MÊS],$AE$1,tabela_registros[DIA],investirrendavariávelconsolidadojun[[#Headers],[30]],tabela_registros[REGISTRO],DADOS!$N$5,tabela_registros[TIPO],DADOS!$AB$4,tabela_registros[CATEGORIA],investirrendavariávelconsolidadojun[[#This Row],[ATUAL]])</f>
        <v>0</v>
      </c>
      <c r="AI134" s="217" t="n">
        <f aca="false">SUMIFS(tabela_registros[VALOR],tabela_registros[MÊS],$AE$1,tabela_registros[DIA],investirrendavariávelconsolidadojun[[#Headers],[31]],tabela_registros[REGISTRO],DADOS!$N$5,tabela_registros[TIPO],DADOS!$AB$4,tabela_registros[CATEGORIA],investirrendavariávelconsolidadojun[[#This Row],[ATUAL]])</f>
        <v>0</v>
      </c>
      <c r="AJ134" s="149" t="n">
        <f aca="false">SUM(investirrendavariávelconsolidadojun[[#This Row],[1]:[31]])</f>
        <v>0</v>
      </c>
      <c r="AK134" s="165"/>
    </row>
    <row r="135" customFormat="false" ht="19.5" hidden="false" customHeight="true" outlineLevel="0" collapsed="false">
      <c r="B135" s="143"/>
      <c r="C135" s="144" t="str">
        <f aca="false">DADOS!$AF$6</f>
        <v>📝 CONTRATO DE OPÇÕES</v>
      </c>
      <c r="D135" s="145" t="str">
        <f aca="false">IF(investirrendavariávelconsolidadojun[[#This Row],[TOTAL (R$)]]=0,"",IF(OR(investirrendavariávelconsolidadojun[[#This Row],[TOTAL (R$)]]=LARGE($AJ$132:$AJ$141,1),investirrendavariávelconsolidadojun[[#This Row],[TOTAL (R$)]]=LARGE($AJ$132:$AJ$141,2)),DADOS!$I$10,""))</f>
        <v/>
      </c>
      <c r="E135" s="148" t="n">
        <f aca="false">SUMIFS(tabela_registros[VALOR],tabela_registros[MÊS],$AE$1,tabela_registros[DIA],investirrendavariávelconsolidadojun[[#Headers],[1]],tabela_registros[REGISTRO],DADOS!$N$5,tabela_registros[TIPO],DADOS!$AB$4,tabela_registros[CATEGORIA],investirrendavariávelconsolidadojun[[#This Row],[ATUAL]])</f>
        <v>0</v>
      </c>
      <c r="F135" s="119" t="n">
        <f aca="false">SUMIFS(tabela_registros[VALOR],tabela_registros[MÊS],$AE$1,tabela_registros[DIA],investirrendavariávelconsolidadojun[[#Headers],[2]],tabela_registros[REGISTRO],DADOS!$N$5,tabela_registros[TIPO],DADOS!$AB$4,tabela_registros[CATEGORIA],investirrendavariávelconsolidadojun[[#This Row],[ATUAL]])</f>
        <v>0</v>
      </c>
      <c r="G135" s="119" t="n">
        <f aca="false">SUMIFS(tabela_registros[VALOR],tabela_registros[MÊS],$AE$1,tabela_registros[DIA],investirrendavariávelconsolidadojun[[#Headers],[3]],tabela_registros[REGISTRO],DADOS!$N$5,tabela_registros[TIPO],DADOS!$AB$4,tabela_registros[CATEGORIA],investirrendavariávelconsolidadojun[[#This Row],[ATUAL]])</f>
        <v>0</v>
      </c>
      <c r="H135" s="119" t="n">
        <f aca="false">SUMIFS(tabela_registros[VALOR],tabela_registros[MÊS],$AE$1,tabela_registros[DIA],investirrendavariávelconsolidadojun[[#Headers],[4]],tabela_registros[REGISTRO],DADOS!$N$5,tabela_registros[TIPO],DADOS!$AB$4,tabela_registros[CATEGORIA],investirrendavariávelconsolidadojun[[#This Row],[ATUAL]])</f>
        <v>0</v>
      </c>
      <c r="I135" s="119" t="n">
        <f aca="false">SUMIFS(tabela_registros[VALOR],tabela_registros[MÊS],$AE$1,tabela_registros[DIA],investirrendavariávelconsolidadojun[[#Headers],[5]],tabela_registros[REGISTRO],DADOS!$N$5,tabela_registros[TIPO],DADOS!$AB$4,tabela_registros[CATEGORIA],investirrendavariávelconsolidadojun[[#This Row],[ATUAL]])</f>
        <v>0</v>
      </c>
      <c r="J135" s="119" t="n">
        <f aca="false">SUMIFS(tabela_registros[VALOR],tabela_registros[MÊS],$AE$1,tabela_registros[DIA],investirrendavariávelconsolidadojun[[#Headers],[6]],tabela_registros[REGISTRO],DADOS!$N$5,tabela_registros[TIPO],DADOS!$AB$4,tabela_registros[CATEGORIA],investirrendavariávelconsolidadojun[[#This Row],[ATUAL]])</f>
        <v>0</v>
      </c>
      <c r="K135" s="119" t="n">
        <f aca="false">SUMIFS(tabela_registros[VALOR],tabela_registros[MÊS],$AE$1,tabela_registros[DIA],investirrendavariávelconsolidadojun[[#Headers],[7]],tabela_registros[REGISTRO],DADOS!$N$5,tabela_registros[TIPO],DADOS!$AB$4,tabela_registros[CATEGORIA],investirrendavariávelconsolidadojun[[#This Row],[ATUAL]])</f>
        <v>0</v>
      </c>
      <c r="L135" s="119" t="n">
        <f aca="false">SUMIFS(tabela_registros[VALOR],tabela_registros[MÊS],$AE$1,tabela_registros[DIA],investirrendavariávelconsolidadojun[[#Headers],[8]],tabela_registros[REGISTRO],DADOS!$N$5,tabela_registros[TIPO],DADOS!$AB$4,tabela_registros[CATEGORIA],investirrendavariávelconsolidadojun[[#This Row],[ATUAL]])</f>
        <v>0</v>
      </c>
      <c r="M135" s="119" t="n">
        <f aca="false">SUMIFS(tabela_registros[VALOR],tabela_registros[MÊS],$AE$1,tabela_registros[DIA],investirrendavariávelconsolidadojun[[#Headers],[9]],tabela_registros[REGISTRO],DADOS!$N$5,tabela_registros[TIPO],DADOS!$AB$4,tabela_registros[CATEGORIA],investirrendavariávelconsolidadojun[[#This Row],[ATUAL]])</f>
        <v>0</v>
      </c>
      <c r="N135" s="119" t="n">
        <f aca="false">SUMIFS(tabela_registros[VALOR],tabela_registros[MÊS],$AE$1,tabela_registros[DIA],investirrendavariávelconsolidadojun[[#Headers],[10]],tabela_registros[REGISTRO],DADOS!$N$5,tabela_registros[TIPO],DADOS!$AB$4,tabela_registros[CATEGORIA],investirrendavariávelconsolidadojun[[#This Row],[ATUAL]])</f>
        <v>0</v>
      </c>
      <c r="O135" s="119" t="n">
        <f aca="false">SUMIFS(tabela_registros[VALOR],tabela_registros[MÊS],$AE$1,tabela_registros[DIA],investirrendavariávelconsolidadojun[[#Headers],[11]],tabela_registros[REGISTRO],DADOS!$N$5,tabela_registros[TIPO],DADOS!$AB$4,tabela_registros[CATEGORIA],investirrendavariávelconsolidadojun[[#This Row],[ATUAL]])</f>
        <v>0</v>
      </c>
      <c r="P135" s="119" t="n">
        <f aca="false">SUMIFS(tabela_registros[VALOR],tabela_registros[MÊS],$AE$1,tabela_registros[DIA],investirrendavariávelconsolidadojun[[#Headers],[12]],tabela_registros[REGISTRO],DADOS!$N$5,tabela_registros[TIPO],DADOS!$AB$4,tabela_registros[CATEGORIA],investirrendavariávelconsolidadojun[[#This Row],[ATUAL]])</f>
        <v>0</v>
      </c>
      <c r="Q135" s="119" t="n">
        <f aca="false">SUMIFS(tabela_registros[VALOR],tabela_registros[MÊS],$AE$1,tabela_registros[DIA],investirrendavariávelconsolidadojun[[#Headers],[13]],tabela_registros[REGISTRO],DADOS!$N$5,tabela_registros[TIPO],DADOS!$AB$4,tabela_registros[CATEGORIA],investirrendavariávelconsolidadojun[[#This Row],[ATUAL]])</f>
        <v>0</v>
      </c>
      <c r="R135" s="119" t="n">
        <f aca="false">SUMIFS(tabela_registros[VALOR],tabela_registros[MÊS],$AE$1,tabela_registros[DIA],investirrendavariávelconsolidadojun[[#Headers],[14]],tabela_registros[REGISTRO],DADOS!$N$5,tabela_registros[TIPO],DADOS!$AB$4,tabela_registros[CATEGORIA],investirrendavariávelconsolidadojun[[#This Row],[ATUAL]])</f>
        <v>0</v>
      </c>
      <c r="S135" s="119" t="n">
        <f aca="false">SUMIFS(tabela_registros[VALOR],tabela_registros[MÊS],$AE$1,tabela_registros[DIA],investirrendavariávelconsolidadojun[[#Headers],[15]],tabela_registros[REGISTRO],DADOS!$N$5,tabela_registros[TIPO],DADOS!$AB$4,tabela_registros[CATEGORIA],investirrendavariávelconsolidadojun[[#This Row],[ATUAL]])</f>
        <v>0</v>
      </c>
      <c r="T135" s="119" t="n">
        <f aca="false">SUMIFS(tabela_registros[VALOR],tabela_registros[MÊS],$AE$1,tabela_registros[DIA],investirrendavariávelconsolidadojun[[#Headers],[16]],tabela_registros[REGISTRO],DADOS!$N$5,tabela_registros[TIPO],DADOS!$AB$4,tabela_registros[CATEGORIA],investirrendavariávelconsolidadojun[[#This Row],[ATUAL]])</f>
        <v>0</v>
      </c>
      <c r="U135" s="119" t="n">
        <f aca="false">SUMIFS(tabela_registros[VALOR],tabela_registros[MÊS],$AE$1,tabela_registros[DIA],investirrendavariávelconsolidadojun[[#Headers],[17]],tabela_registros[REGISTRO],DADOS!$N$5,tabela_registros[TIPO],DADOS!$AB$4,tabela_registros[CATEGORIA],investirrendavariávelconsolidadojun[[#This Row],[ATUAL]])</f>
        <v>0</v>
      </c>
      <c r="V135" s="119" t="n">
        <f aca="false">SUMIFS(tabela_registros[VALOR],tabela_registros[MÊS],$AE$1,tabela_registros[DIA],investirrendavariávelconsolidadojun[[#Headers],[18]],tabela_registros[REGISTRO],DADOS!$N$5,tabela_registros[TIPO],DADOS!$AB$4,tabela_registros[CATEGORIA],investirrendavariávelconsolidadojun[[#This Row],[ATUAL]])</f>
        <v>0</v>
      </c>
      <c r="W135" s="119" t="n">
        <f aca="false">SUMIFS(tabela_registros[VALOR],tabela_registros[MÊS],$AE$1,tabela_registros[DIA],investirrendavariávelconsolidadojun[[#Headers],[19]],tabela_registros[REGISTRO],DADOS!$N$5,tabela_registros[TIPO],DADOS!$AB$4,tabela_registros[CATEGORIA],investirrendavariávelconsolidadojun[[#This Row],[ATUAL]])</f>
        <v>0</v>
      </c>
      <c r="X135" s="119" t="n">
        <f aca="false">SUMIFS(tabela_registros[VALOR],tabela_registros[MÊS],$AE$1,tabela_registros[DIA],investirrendavariávelconsolidadojun[[#Headers],[20]],tabela_registros[REGISTRO],DADOS!$N$5,tabela_registros[TIPO],DADOS!$AB$4,tabela_registros[CATEGORIA],investirrendavariávelconsolidadojun[[#This Row],[ATUAL]])</f>
        <v>0</v>
      </c>
      <c r="Y135" s="119" t="n">
        <f aca="false">SUMIFS(tabela_registros[VALOR],tabela_registros[MÊS],$AE$1,tabela_registros[DIA],investirrendavariávelconsolidadojun[[#Headers],[21]],tabela_registros[REGISTRO],DADOS!$N$5,tabela_registros[TIPO],DADOS!$AB$4,tabela_registros[CATEGORIA],investirrendavariávelconsolidadojun[[#This Row],[ATUAL]])</f>
        <v>0</v>
      </c>
      <c r="Z135" s="119" t="n">
        <f aca="false">SUMIFS(tabela_registros[VALOR],tabela_registros[MÊS],$AE$1,tabela_registros[DIA],investirrendavariávelconsolidadojun[[#Headers],[22]],tabela_registros[REGISTRO],DADOS!$N$5,tabela_registros[TIPO],DADOS!$AB$4,tabela_registros[CATEGORIA],investirrendavariávelconsolidadojun[[#This Row],[ATUAL]])</f>
        <v>0</v>
      </c>
      <c r="AA135" s="119" t="n">
        <f aca="false">SUMIFS(tabela_registros[VALOR],tabela_registros[MÊS],$AE$1,tabela_registros[DIA],investirrendavariávelconsolidadojun[[#Headers],[23]],tabela_registros[REGISTRO],DADOS!$N$5,tabela_registros[TIPO],DADOS!$AB$4,tabela_registros[CATEGORIA],investirrendavariávelconsolidadojun[[#This Row],[ATUAL]])</f>
        <v>0</v>
      </c>
      <c r="AB135" s="119" t="n">
        <f aca="false">SUMIFS(tabela_registros[VALOR],tabela_registros[MÊS],$AE$1,tabela_registros[DIA],investirrendavariávelconsolidadojun[[#Headers],[24]],tabela_registros[REGISTRO],DADOS!$N$5,tabela_registros[TIPO],DADOS!$AB$4,tabela_registros[CATEGORIA],investirrendavariávelconsolidadojun[[#This Row],[ATUAL]])</f>
        <v>0</v>
      </c>
      <c r="AC135" s="119" t="n">
        <f aca="false">SUMIFS(tabela_registros[VALOR],tabela_registros[MÊS],$AE$1,tabela_registros[DIA],investirrendavariávelconsolidadojun[[#Headers],[25]],tabela_registros[REGISTRO],DADOS!$N$5,tabela_registros[TIPO],DADOS!$AB$4,tabela_registros[CATEGORIA],investirrendavariávelconsolidadojun[[#This Row],[ATUAL]])</f>
        <v>0</v>
      </c>
      <c r="AD135" s="119" t="n">
        <f aca="false">SUMIFS(tabela_registros[VALOR],tabela_registros[MÊS],$AE$1,tabela_registros[DIA],investirrendavariávelconsolidadojun[[#Headers],[26]],tabela_registros[REGISTRO],DADOS!$N$5,tabela_registros[TIPO],DADOS!$AB$4,tabela_registros[CATEGORIA],investirrendavariávelconsolidadojun[[#This Row],[ATUAL]])</f>
        <v>0</v>
      </c>
      <c r="AE135" s="119" t="n">
        <f aca="false">SUMIFS(tabela_registros[VALOR],tabela_registros[MÊS],$AE$1,tabela_registros[DIA],investirrendavariávelconsolidadojun[[#Headers],[27]],tabela_registros[REGISTRO],DADOS!$N$5,tabela_registros[TIPO],DADOS!$AB$4,tabela_registros[CATEGORIA],investirrendavariávelconsolidadojun[[#This Row],[ATUAL]])</f>
        <v>0</v>
      </c>
      <c r="AF135" s="119" t="n">
        <f aca="false">SUMIFS(tabela_registros[VALOR],tabela_registros[MÊS],$AE$1,tabela_registros[DIA],investirrendavariávelconsolidadojun[[#Headers],[28]],tabela_registros[REGISTRO],DADOS!$N$5,tabela_registros[TIPO],DADOS!$AB$4,tabela_registros[CATEGORIA],investirrendavariávelconsolidadojun[[#This Row],[ATUAL]])</f>
        <v>0</v>
      </c>
      <c r="AG135" s="119" t="n">
        <f aca="false">SUMIFS(tabela_registros[VALOR],tabela_registros[MÊS],$AE$1,tabela_registros[DIA],investirrendavariávelconsolidadojun[[#Headers],[29]],tabela_registros[REGISTRO],DADOS!$N$5,tabela_registros[TIPO],DADOS!$AB$4,tabela_registros[CATEGORIA],investirrendavariávelconsolidadojun[[#This Row],[ATUAL]])</f>
        <v>0</v>
      </c>
      <c r="AH135" s="119" t="n">
        <f aca="false">SUMIFS(tabela_registros[VALOR],tabela_registros[MÊS],$AE$1,tabela_registros[DIA],investirrendavariávelconsolidadojun[[#Headers],[30]],tabela_registros[REGISTRO],DADOS!$N$5,tabela_registros[TIPO],DADOS!$AB$4,tabela_registros[CATEGORIA],investirrendavariávelconsolidadojun[[#This Row],[ATUAL]])</f>
        <v>0</v>
      </c>
      <c r="AI135" s="217" t="n">
        <f aca="false">SUMIFS(tabela_registros[VALOR],tabela_registros[MÊS],$AE$1,tabela_registros[DIA],investirrendavariávelconsolidadojun[[#Headers],[31]],tabela_registros[REGISTRO],DADOS!$N$5,tabela_registros[TIPO],DADOS!$AB$4,tabela_registros[CATEGORIA],investirrendavariávelconsolidadojun[[#This Row],[ATUAL]])</f>
        <v>0</v>
      </c>
      <c r="AJ135" s="149" t="n">
        <f aca="false">SUM(investirrendavariávelconsolidadojun[[#This Row],[1]:[31]])</f>
        <v>0</v>
      </c>
      <c r="AK135" s="165"/>
    </row>
    <row r="136" customFormat="false" ht="19.5" hidden="false" customHeight="true" outlineLevel="0" collapsed="false">
      <c r="B136" s="143"/>
      <c r="C136" s="144" t="str">
        <f aca="false">DADOS!$AF$7</f>
        <v>📝 CRIPTOMOEDA</v>
      </c>
      <c r="D136" s="145" t="str">
        <f aca="false">IF(investirrendavariávelconsolidadojun[[#This Row],[TOTAL (R$)]]=0,"",IF(OR(investirrendavariávelconsolidadojun[[#This Row],[TOTAL (R$)]]=LARGE($AJ$132:$AJ$141,1),investirrendavariávelconsolidadojun[[#This Row],[TOTAL (R$)]]=LARGE($AJ$132:$AJ$141,2)),DADOS!$I$10,""))</f>
        <v/>
      </c>
      <c r="E136" s="148" t="n">
        <f aca="false">SUMIFS(tabela_registros[VALOR],tabela_registros[MÊS],$AE$1,tabela_registros[DIA],investirrendavariávelconsolidadojun[[#Headers],[1]],tabela_registros[REGISTRO],DADOS!$N$5,tabela_registros[TIPO],DADOS!$AB$4,tabela_registros[CATEGORIA],investirrendavariávelconsolidadojun[[#This Row],[ATUAL]])</f>
        <v>0</v>
      </c>
      <c r="F136" s="119" t="n">
        <f aca="false">SUMIFS(tabela_registros[VALOR],tabela_registros[MÊS],$AE$1,tabela_registros[DIA],investirrendavariávelconsolidadojun[[#Headers],[2]],tabela_registros[REGISTRO],DADOS!$N$5,tabela_registros[TIPO],DADOS!$AB$4,tabela_registros[CATEGORIA],investirrendavariávelconsolidadojun[[#This Row],[ATUAL]])</f>
        <v>0</v>
      </c>
      <c r="G136" s="119" t="n">
        <f aca="false">SUMIFS(tabela_registros[VALOR],tabela_registros[MÊS],$AE$1,tabela_registros[DIA],investirrendavariávelconsolidadojun[[#Headers],[3]],tabela_registros[REGISTRO],DADOS!$N$5,tabela_registros[TIPO],DADOS!$AB$4,tabela_registros[CATEGORIA],investirrendavariávelconsolidadojun[[#This Row],[ATUAL]])</f>
        <v>0</v>
      </c>
      <c r="H136" s="119" t="n">
        <f aca="false">SUMIFS(tabela_registros[VALOR],tabela_registros[MÊS],$AE$1,tabela_registros[DIA],investirrendavariávelconsolidadojun[[#Headers],[4]],tabela_registros[REGISTRO],DADOS!$N$5,tabela_registros[TIPO],DADOS!$AB$4,tabela_registros[CATEGORIA],investirrendavariávelconsolidadojun[[#This Row],[ATUAL]])</f>
        <v>0</v>
      </c>
      <c r="I136" s="119" t="n">
        <f aca="false">SUMIFS(tabela_registros[VALOR],tabela_registros[MÊS],$AE$1,tabela_registros[DIA],investirrendavariávelconsolidadojun[[#Headers],[5]],tabela_registros[REGISTRO],DADOS!$N$5,tabela_registros[TIPO],DADOS!$AB$4,tabela_registros[CATEGORIA],investirrendavariávelconsolidadojun[[#This Row],[ATUAL]])</f>
        <v>0</v>
      </c>
      <c r="J136" s="119" t="n">
        <f aca="false">SUMIFS(tabela_registros[VALOR],tabela_registros[MÊS],$AE$1,tabela_registros[DIA],investirrendavariávelconsolidadojun[[#Headers],[6]],tabela_registros[REGISTRO],DADOS!$N$5,tabela_registros[TIPO],DADOS!$AB$4,tabela_registros[CATEGORIA],investirrendavariávelconsolidadojun[[#This Row],[ATUAL]])</f>
        <v>0</v>
      </c>
      <c r="K136" s="119" t="n">
        <f aca="false">SUMIFS(tabela_registros[VALOR],tabela_registros[MÊS],$AE$1,tabela_registros[DIA],investirrendavariávelconsolidadojun[[#Headers],[7]],tabela_registros[REGISTRO],DADOS!$N$5,tabela_registros[TIPO],DADOS!$AB$4,tabela_registros[CATEGORIA],investirrendavariávelconsolidadojun[[#This Row],[ATUAL]])</f>
        <v>0</v>
      </c>
      <c r="L136" s="119" t="n">
        <f aca="false">SUMIFS(tabela_registros[VALOR],tabela_registros[MÊS],$AE$1,tabela_registros[DIA],investirrendavariávelconsolidadojun[[#Headers],[8]],tabela_registros[REGISTRO],DADOS!$N$5,tabela_registros[TIPO],DADOS!$AB$4,tabela_registros[CATEGORIA],investirrendavariávelconsolidadojun[[#This Row],[ATUAL]])</f>
        <v>0</v>
      </c>
      <c r="M136" s="119" t="n">
        <f aca="false">SUMIFS(tabela_registros[VALOR],tabela_registros[MÊS],$AE$1,tabela_registros[DIA],investirrendavariávelconsolidadojun[[#Headers],[9]],tabela_registros[REGISTRO],DADOS!$N$5,tabela_registros[TIPO],DADOS!$AB$4,tabela_registros[CATEGORIA],investirrendavariávelconsolidadojun[[#This Row],[ATUAL]])</f>
        <v>0</v>
      </c>
      <c r="N136" s="119" t="n">
        <f aca="false">SUMIFS(tabela_registros[VALOR],tabela_registros[MÊS],$AE$1,tabela_registros[DIA],investirrendavariávelconsolidadojun[[#Headers],[10]],tabela_registros[REGISTRO],DADOS!$N$5,tabela_registros[TIPO],DADOS!$AB$4,tabela_registros[CATEGORIA],investirrendavariávelconsolidadojun[[#This Row],[ATUAL]])</f>
        <v>0</v>
      </c>
      <c r="O136" s="119" t="n">
        <f aca="false">SUMIFS(tabela_registros[VALOR],tabela_registros[MÊS],$AE$1,tabela_registros[DIA],investirrendavariávelconsolidadojun[[#Headers],[11]],tabela_registros[REGISTRO],DADOS!$N$5,tabela_registros[TIPO],DADOS!$AB$4,tabela_registros[CATEGORIA],investirrendavariávelconsolidadojun[[#This Row],[ATUAL]])</f>
        <v>0</v>
      </c>
      <c r="P136" s="119" t="n">
        <f aca="false">SUMIFS(tabela_registros[VALOR],tabela_registros[MÊS],$AE$1,tabela_registros[DIA],investirrendavariávelconsolidadojun[[#Headers],[12]],tabela_registros[REGISTRO],DADOS!$N$5,tabela_registros[TIPO],DADOS!$AB$4,tabela_registros[CATEGORIA],investirrendavariávelconsolidadojun[[#This Row],[ATUAL]])</f>
        <v>0</v>
      </c>
      <c r="Q136" s="119" t="n">
        <f aca="false">SUMIFS(tabela_registros[VALOR],tabela_registros[MÊS],$AE$1,tabela_registros[DIA],investirrendavariávelconsolidadojun[[#Headers],[13]],tabela_registros[REGISTRO],DADOS!$N$5,tabela_registros[TIPO],DADOS!$AB$4,tabela_registros[CATEGORIA],investirrendavariávelconsolidadojun[[#This Row],[ATUAL]])</f>
        <v>0</v>
      </c>
      <c r="R136" s="119" t="n">
        <f aca="false">SUMIFS(tabela_registros[VALOR],tabela_registros[MÊS],$AE$1,tabela_registros[DIA],investirrendavariávelconsolidadojun[[#Headers],[14]],tabela_registros[REGISTRO],DADOS!$N$5,tabela_registros[TIPO],DADOS!$AB$4,tabela_registros[CATEGORIA],investirrendavariávelconsolidadojun[[#This Row],[ATUAL]])</f>
        <v>0</v>
      </c>
      <c r="S136" s="119" t="n">
        <f aca="false">SUMIFS(tabela_registros[VALOR],tabela_registros[MÊS],$AE$1,tabela_registros[DIA],investirrendavariávelconsolidadojun[[#Headers],[15]],tabela_registros[REGISTRO],DADOS!$N$5,tabela_registros[TIPO],DADOS!$AB$4,tabela_registros[CATEGORIA],investirrendavariávelconsolidadojun[[#This Row],[ATUAL]])</f>
        <v>0</v>
      </c>
      <c r="T136" s="119" t="n">
        <f aca="false">SUMIFS(tabela_registros[VALOR],tabela_registros[MÊS],$AE$1,tabela_registros[DIA],investirrendavariávelconsolidadojun[[#Headers],[16]],tabela_registros[REGISTRO],DADOS!$N$5,tabela_registros[TIPO],DADOS!$AB$4,tabela_registros[CATEGORIA],investirrendavariávelconsolidadojun[[#This Row],[ATUAL]])</f>
        <v>0</v>
      </c>
      <c r="U136" s="119" t="n">
        <f aca="false">SUMIFS(tabela_registros[VALOR],tabela_registros[MÊS],$AE$1,tabela_registros[DIA],investirrendavariávelconsolidadojun[[#Headers],[17]],tabela_registros[REGISTRO],DADOS!$N$5,tabela_registros[TIPO],DADOS!$AB$4,tabela_registros[CATEGORIA],investirrendavariávelconsolidadojun[[#This Row],[ATUAL]])</f>
        <v>0</v>
      </c>
      <c r="V136" s="119" t="n">
        <f aca="false">SUMIFS(tabela_registros[VALOR],tabela_registros[MÊS],$AE$1,tabela_registros[DIA],investirrendavariávelconsolidadojun[[#Headers],[18]],tabela_registros[REGISTRO],DADOS!$N$5,tabela_registros[TIPO],DADOS!$AB$4,tabela_registros[CATEGORIA],investirrendavariávelconsolidadojun[[#This Row],[ATUAL]])</f>
        <v>0</v>
      </c>
      <c r="W136" s="119" t="n">
        <f aca="false">SUMIFS(tabela_registros[VALOR],tabela_registros[MÊS],$AE$1,tabela_registros[DIA],investirrendavariávelconsolidadojun[[#Headers],[19]],tabela_registros[REGISTRO],DADOS!$N$5,tabela_registros[TIPO],DADOS!$AB$4,tabela_registros[CATEGORIA],investirrendavariávelconsolidadojun[[#This Row],[ATUAL]])</f>
        <v>0</v>
      </c>
      <c r="X136" s="119" t="n">
        <f aca="false">SUMIFS(tabela_registros[VALOR],tabela_registros[MÊS],$AE$1,tabela_registros[DIA],investirrendavariávelconsolidadojun[[#Headers],[20]],tabela_registros[REGISTRO],DADOS!$N$5,tabela_registros[TIPO],DADOS!$AB$4,tabela_registros[CATEGORIA],investirrendavariávelconsolidadojun[[#This Row],[ATUAL]])</f>
        <v>0</v>
      </c>
      <c r="Y136" s="119" t="n">
        <f aca="false">SUMIFS(tabela_registros[VALOR],tabela_registros[MÊS],$AE$1,tabela_registros[DIA],investirrendavariávelconsolidadojun[[#Headers],[21]],tabela_registros[REGISTRO],DADOS!$N$5,tabela_registros[TIPO],DADOS!$AB$4,tabela_registros[CATEGORIA],investirrendavariávelconsolidadojun[[#This Row],[ATUAL]])</f>
        <v>0</v>
      </c>
      <c r="Z136" s="119" t="n">
        <f aca="false">SUMIFS(tabela_registros[VALOR],tabela_registros[MÊS],$AE$1,tabela_registros[DIA],investirrendavariávelconsolidadojun[[#Headers],[22]],tabela_registros[REGISTRO],DADOS!$N$5,tabela_registros[TIPO],DADOS!$AB$4,tabela_registros[CATEGORIA],investirrendavariávelconsolidadojun[[#This Row],[ATUAL]])</f>
        <v>0</v>
      </c>
      <c r="AA136" s="119" t="n">
        <f aca="false">SUMIFS(tabela_registros[VALOR],tabela_registros[MÊS],$AE$1,tabela_registros[DIA],investirrendavariávelconsolidadojun[[#Headers],[23]],tabela_registros[REGISTRO],DADOS!$N$5,tabela_registros[TIPO],DADOS!$AB$4,tabela_registros[CATEGORIA],investirrendavariávelconsolidadojun[[#This Row],[ATUAL]])</f>
        <v>0</v>
      </c>
      <c r="AB136" s="119" t="n">
        <f aca="false">SUMIFS(tabela_registros[VALOR],tabela_registros[MÊS],$AE$1,tabela_registros[DIA],investirrendavariávelconsolidadojun[[#Headers],[24]],tabela_registros[REGISTRO],DADOS!$N$5,tabela_registros[TIPO],DADOS!$AB$4,tabela_registros[CATEGORIA],investirrendavariávelconsolidadojun[[#This Row],[ATUAL]])</f>
        <v>0</v>
      </c>
      <c r="AC136" s="119" t="n">
        <f aca="false">SUMIFS(tabela_registros[VALOR],tabela_registros[MÊS],$AE$1,tabela_registros[DIA],investirrendavariávelconsolidadojun[[#Headers],[25]],tabela_registros[REGISTRO],DADOS!$N$5,tabela_registros[TIPO],DADOS!$AB$4,tabela_registros[CATEGORIA],investirrendavariávelconsolidadojun[[#This Row],[ATUAL]])</f>
        <v>0</v>
      </c>
      <c r="AD136" s="119" t="n">
        <f aca="false">SUMIFS(tabela_registros[VALOR],tabela_registros[MÊS],$AE$1,tabela_registros[DIA],investirrendavariávelconsolidadojun[[#Headers],[26]],tabela_registros[REGISTRO],DADOS!$N$5,tabela_registros[TIPO],DADOS!$AB$4,tabela_registros[CATEGORIA],investirrendavariávelconsolidadojun[[#This Row],[ATUAL]])</f>
        <v>0</v>
      </c>
      <c r="AE136" s="119" t="n">
        <f aca="false">SUMIFS(tabela_registros[VALOR],tabela_registros[MÊS],$AE$1,tabela_registros[DIA],investirrendavariávelconsolidadojun[[#Headers],[27]],tabela_registros[REGISTRO],DADOS!$N$5,tabela_registros[TIPO],DADOS!$AB$4,tabela_registros[CATEGORIA],investirrendavariávelconsolidadojun[[#This Row],[ATUAL]])</f>
        <v>0</v>
      </c>
      <c r="AF136" s="119" t="n">
        <f aca="false">SUMIFS(tabela_registros[VALOR],tabela_registros[MÊS],$AE$1,tabela_registros[DIA],investirrendavariávelconsolidadojun[[#Headers],[28]],tabela_registros[REGISTRO],DADOS!$N$5,tabela_registros[TIPO],DADOS!$AB$4,tabela_registros[CATEGORIA],investirrendavariávelconsolidadojun[[#This Row],[ATUAL]])</f>
        <v>0</v>
      </c>
      <c r="AG136" s="119" t="n">
        <f aca="false">SUMIFS(tabela_registros[VALOR],tabela_registros[MÊS],$AE$1,tabela_registros[DIA],investirrendavariávelconsolidadojun[[#Headers],[29]],tabela_registros[REGISTRO],DADOS!$N$5,tabela_registros[TIPO],DADOS!$AB$4,tabela_registros[CATEGORIA],investirrendavariávelconsolidadojun[[#This Row],[ATUAL]])</f>
        <v>0</v>
      </c>
      <c r="AH136" s="119" t="n">
        <f aca="false">SUMIFS(tabela_registros[VALOR],tabela_registros[MÊS],$AE$1,tabela_registros[DIA],investirrendavariávelconsolidadojun[[#Headers],[30]],tabela_registros[REGISTRO],DADOS!$N$5,tabela_registros[TIPO],DADOS!$AB$4,tabela_registros[CATEGORIA],investirrendavariávelconsolidadojun[[#This Row],[ATUAL]])</f>
        <v>0</v>
      </c>
      <c r="AI136" s="217" t="n">
        <f aca="false">SUMIFS(tabela_registros[VALOR],tabela_registros[MÊS],$AE$1,tabela_registros[DIA],investirrendavariávelconsolidadojun[[#Headers],[31]],tabela_registros[REGISTRO],DADOS!$N$5,tabela_registros[TIPO],DADOS!$AB$4,tabela_registros[CATEGORIA],investirrendavariávelconsolidadojun[[#This Row],[ATUAL]])</f>
        <v>0</v>
      </c>
      <c r="AJ136" s="149" t="n">
        <f aca="false">SUM(investirrendavariávelconsolidadojun[[#This Row],[1]:[31]])</f>
        <v>0</v>
      </c>
      <c r="AK136" s="165"/>
    </row>
    <row r="137" customFormat="false" ht="19.5" hidden="false" customHeight="true" outlineLevel="0" collapsed="false">
      <c r="B137" s="143"/>
      <c r="C137" s="144" t="str">
        <f aca="false">DADOS!$AF$8</f>
        <v>📝 ETF</v>
      </c>
      <c r="D137" s="145" t="str">
        <f aca="false">IF(investirrendavariávelconsolidadojun[[#This Row],[TOTAL (R$)]]=0,"",IF(OR(investirrendavariávelconsolidadojun[[#This Row],[TOTAL (R$)]]=LARGE($AJ$132:$AJ$141,1),investirrendavariávelconsolidadojun[[#This Row],[TOTAL (R$)]]=LARGE($AJ$132:$AJ$141,2)),DADOS!$I$10,""))</f>
        <v/>
      </c>
      <c r="E137" s="148" t="n">
        <f aca="false">SUMIFS(tabela_registros[VALOR],tabela_registros[MÊS],$AE$1,tabela_registros[DIA],investirrendavariávelconsolidadojun[[#Headers],[1]],tabela_registros[REGISTRO],DADOS!$N$5,tabela_registros[TIPO],DADOS!$AB$4,tabela_registros[CATEGORIA],investirrendavariávelconsolidadojun[[#This Row],[ATUAL]])</f>
        <v>0</v>
      </c>
      <c r="F137" s="119" t="n">
        <f aca="false">SUMIFS(tabela_registros[VALOR],tabela_registros[MÊS],$AE$1,tabela_registros[DIA],investirrendavariávelconsolidadojun[[#Headers],[2]],tabela_registros[REGISTRO],DADOS!$N$5,tabela_registros[TIPO],DADOS!$AB$4,tabela_registros[CATEGORIA],investirrendavariávelconsolidadojun[[#This Row],[ATUAL]])</f>
        <v>0</v>
      </c>
      <c r="G137" s="119" t="n">
        <f aca="false">SUMIFS(tabela_registros[VALOR],tabela_registros[MÊS],$AE$1,tabela_registros[DIA],investirrendavariávelconsolidadojun[[#Headers],[3]],tabela_registros[REGISTRO],DADOS!$N$5,tabela_registros[TIPO],DADOS!$AB$4,tabela_registros[CATEGORIA],investirrendavariávelconsolidadojun[[#This Row],[ATUAL]])</f>
        <v>0</v>
      </c>
      <c r="H137" s="119" t="n">
        <f aca="false">SUMIFS(tabela_registros[VALOR],tabela_registros[MÊS],$AE$1,tabela_registros[DIA],investirrendavariávelconsolidadojun[[#Headers],[4]],tabela_registros[REGISTRO],DADOS!$N$5,tabela_registros[TIPO],DADOS!$AB$4,tabela_registros[CATEGORIA],investirrendavariávelconsolidadojun[[#This Row],[ATUAL]])</f>
        <v>0</v>
      </c>
      <c r="I137" s="119" t="n">
        <f aca="false">SUMIFS(tabela_registros[VALOR],tabela_registros[MÊS],$AE$1,tabela_registros[DIA],investirrendavariávelconsolidadojun[[#Headers],[5]],tabela_registros[REGISTRO],DADOS!$N$5,tabela_registros[TIPO],DADOS!$AB$4,tabela_registros[CATEGORIA],investirrendavariávelconsolidadojun[[#This Row],[ATUAL]])</f>
        <v>0</v>
      </c>
      <c r="J137" s="119" t="n">
        <f aca="false">SUMIFS(tabela_registros[VALOR],tabela_registros[MÊS],$AE$1,tabela_registros[DIA],investirrendavariávelconsolidadojun[[#Headers],[6]],tabela_registros[REGISTRO],DADOS!$N$5,tabela_registros[TIPO],DADOS!$AB$4,tabela_registros[CATEGORIA],investirrendavariávelconsolidadojun[[#This Row],[ATUAL]])</f>
        <v>0</v>
      </c>
      <c r="K137" s="119" t="n">
        <f aca="false">SUMIFS(tabela_registros[VALOR],tabela_registros[MÊS],$AE$1,tabela_registros[DIA],investirrendavariávelconsolidadojun[[#Headers],[7]],tabela_registros[REGISTRO],DADOS!$N$5,tabela_registros[TIPO],DADOS!$AB$4,tabela_registros[CATEGORIA],investirrendavariávelconsolidadojun[[#This Row],[ATUAL]])</f>
        <v>0</v>
      </c>
      <c r="L137" s="119" t="n">
        <f aca="false">SUMIFS(tabela_registros[VALOR],tabela_registros[MÊS],$AE$1,tabela_registros[DIA],investirrendavariávelconsolidadojun[[#Headers],[8]],tabela_registros[REGISTRO],DADOS!$N$5,tabela_registros[TIPO],DADOS!$AB$4,tabela_registros[CATEGORIA],investirrendavariávelconsolidadojun[[#This Row],[ATUAL]])</f>
        <v>0</v>
      </c>
      <c r="M137" s="119" t="n">
        <f aca="false">SUMIFS(tabela_registros[VALOR],tabela_registros[MÊS],$AE$1,tabela_registros[DIA],investirrendavariávelconsolidadojun[[#Headers],[9]],tabela_registros[REGISTRO],DADOS!$N$5,tabela_registros[TIPO],DADOS!$AB$4,tabela_registros[CATEGORIA],investirrendavariávelconsolidadojun[[#This Row],[ATUAL]])</f>
        <v>0</v>
      </c>
      <c r="N137" s="119" t="n">
        <f aca="false">SUMIFS(tabela_registros[VALOR],tabela_registros[MÊS],$AE$1,tabela_registros[DIA],investirrendavariávelconsolidadojun[[#Headers],[10]],tabela_registros[REGISTRO],DADOS!$N$5,tabela_registros[TIPO],DADOS!$AB$4,tabela_registros[CATEGORIA],investirrendavariávelconsolidadojun[[#This Row],[ATUAL]])</f>
        <v>0</v>
      </c>
      <c r="O137" s="119" t="n">
        <f aca="false">SUMIFS(tabela_registros[VALOR],tabela_registros[MÊS],$AE$1,tabela_registros[DIA],investirrendavariávelconsolidadojun[[#Headers],[11]],tabela_registros[REGISTRO],DADOS!$N$5,tabela_registros[TIPO],DADOS!$AB$4,tabela_registros[CATEGORIA],investirrendavariávelconsolidadojun[[#This Row],[ATUAL]])</f>
        <v>0</v>
      </c>
      <c r="P137" s="119" t="n">
        <f aca="false">SUMIFS(tabela_registros[VALOR],tabela_registros[MÊS],$AE$1,tabela_registros[DIA],investirrendavariávelconsolidadojun[[#Headers],[12]],tabela_registros[REGISTRO],DADOS!$N$5,tabela_registros[TIPO],DADOS!$AB$4,tabela_registros[CATEGORIA],investirrendavariávelconsolidadojun[[#This Row],[ATUAL]])</f>
        <v>0</v>
      </c>
      <c r="Q137" s="119" t="n">
        <f aca="false">SUMIFS(tabela_registros[VALOR],tabela_registros[MÊS],$AE$1,tabela_registros[DIA],investirrendavariávelconsolidadojun[[#Headers],[13]],tabela_registros[REGISTRO],DADOS!$N$5,tabela_registros[TIPO],DADOS!$AB$4,tabela_registros[CATEGORIA],investirrendavariávelconsolidadojun[[#This Row],[ATUAL]])</f>
        <v>0</v>
      </c>
      <c r="R137" s="119" t="n">
        <f aca="false">SUMIFS(tabela_registros[VALOR],tabela_registros[MÊS],$AE$1,tabela_registros[DIA],investirrendavariávelconsolidadojun[[#Headers],[14]],tabela_registros[REGISTRO],DADOS!$N$5,tabela_registros[TIPO],DADOS!$AB$4,tabela_registros[CATEGORIA],investirrendavariávelconsolidadojun[[#This Row],[ATUAL]])</f>
        <v>0</v>
      </c>
      <c r="S137" s="119" t="n">
        <f aca="false">SUMIFS(tabela_registros[VALOR],tabela_registros[MÊS],$AE$1,tabela_registros[DIA],investirrendavariávelconsolidadojun[[#Headers],[15]],tabela_registros[REGISTRO],DADOS!$N$5,tabela_registros[TIPO],DADOS!$AB$4,tabela_registros[CATEGORIA],investirrendavariávelconsolidadojun[[#This Row],[ATUAL]])</f>
        <v>0</v>
      </c>
      <c r="T137" s="119" t="n">
        <f aca="false">SUMIFS(tabela_registros[VALOR],tabela_registros[MÊS],$AE$1,tabela_registros[DIA],investirrendavariávelconsolidadojun[[#Headers],[16]],tabela_registros[REGISTRO],DADOS!$N$5,tabela_registros[TIPO],DADOS!$AB$4,tabela_registros[CATEGORIA],investirrendavariávelconsolidadojun[[#This Row],[ATUAL]])</f>
        <v>0</v>
      </c>
      <c r="U137" s="119" t="n">
        <f aca="false">SUMIFS(tabela_registros[VALOR],tabela_registros[MÊS],$AE$1,tabela_registros[DIA],investirrendavariávelconsolidadojun[[#Headers],[17]],tabela_registros[REGISTRO],DADOS!$N$5,tabela_registros[TIPO],DADOS!$AB$4,tabela_registros[CATEGORIA],investirrendavariávelconsolidadojun[[#This Row],[ATUAL]])</f>
        <v>0</v>
      </c>
      <c r="V137" s="119" t="n">
        <f aca="false">SUMIFS(tabela_registros[VALOR],tabela_registros[MÊS],$AE$1,tabela_registros[DIA],investirrendavariávelconsolidadojun[[#Headers],[18]],tabela_registros[REGISTRO],DADOS!$N$5,tabela_registros[TIPO],DADOS!$AB$4,tabela_registros[CATEGORIA],investirrendavariávelconsolidadojun[[#This Row],[ATUAL]])</f>
        <v>0</v>
      </c>
      <c r="W137" s="119" t="n">
        <f aca="false">SUMIFS(tabela_registros[VALOR],tabela_registros[MÊS],$AE$1,tabela_registros[DIA],investirrendavariávelconsolidadojun[[#Headers],[19]],tabela_registros[REGISTRO],DADOS!$N$5,tabela_registros[TIPO],DADOS!$AB$4,tabela_registros[CATEGORIA],investirrendavariávelconsolidadojun[[#This Row],[ATUAL]])</f>
        <v>0</v>
      </c>
      <c r="X137" s="119" t="n">
        <f aca="false">SUMIFS(tabela_registros[VALOR],tabela_registros[MÊS],$AE$1,tabela_registros[DIA],investirrendavariávelconsolidadojun[[#Headers],[20]],tabela_registros[REGISTRO],DADOS!$N$5,tabela_registros[TIPO],DADOS!$AB$4,tabela_registros[CATEGORIA],investirrendavariávelconsolidadojun[[#This Row],[ATUAL]])</f>
        <v>0</v>
      </c>
      <c r="Y137" s="119" t="n">
        <f aca="false">SUMIFS(tabela_registros[VALOR],tabela_registros[MÊS],$AE$1,tabela_registros[DIA],investirrendavariávelconsolidadojun[[#Headers],[21]],tabela_registros[REGISTRO],DADOS!$N$5,tabela_registros[TIPO],DADOS!$AB$4,tabela_registros[CATEGORIA],investirrendavariávelconsolidadojun[[#This Row],[ATUAL]])</f>
        <v>0</v>
      </c>
      <c r="Z137" s="119" t="n">
        <f aca="false">SUMIFS(tabela_registros[VALOR],tabela_registros[MÊS],$AE$1,tabela_registros[DIA],investirrendavariávelconsolidadojun[[#Headers],[22]],tabela_registros[REGISTRO],DADOS!$N$5,tabela_registros[TIPO],DADOS!$AB$4,tabela_registros[CATEGORIA],investirrendavariávelconsolidadojun[[#This Row],[ATUAL]])</f>
        <v>0</v>
      </c>
      <c r="AA137" s="119" t="n">
        <f aca="false">SUMIFS(tabela_registros[VALOR],tabela_registros[MÊS],$AE$1,tabela_registros[DIA],investirrendavariávelconsolidadojun[[#Headers],[23]],tabela_registros[REGISTRO],DADOS!$N$5,tabela_registros[TIPO],DADOS!$AB$4,tabela_registros[CATEGORIA],investirrendavariávelconsolidadojun[[#This Row],[ATUAL]])</f>
        <v>0</v>
      </c>
      <c r="AB137" s="119" t="n">
        <f aca="false">SUMIFS(tabela_registros[VALOR],tabela_registros[MÊS],$AE$1,tabela_registros[DIA],investirrendavariávelconsolidadojun[[#Headers],[24]],tabela_registros[REGISTRO],DADOS!$N$5,tabela_registros[TIPO],DADOS!$AB$4,tabela_registros[CATEGORIA],investirrendavariávelconsolidadojun[[#This Row],[ATUAL]])</f>
        <v>0</v>
      </c>
      <c r="AC137" s="119" t="n">
        <f aca="false">SUMIFS(tabela_registros[VALOR],tabela_registros[MÊS],$AE$1,tabela_registros[DIA],investirrendavariávelconsolidadojun[[#Headers],[25]],tabela_registros[REGISTRO],DADOS!$N$5,tabela_registros[TIPO],DADOS!$AB$4,tabela_registros[CATEGORIA],investirrendavariávelconsolidadojun[[#This Row],[ATUAL]])</f>
        <v>0</v>
      </c>
      <c r="AD137" s="119" t="n">
        <f aca="false">SUMIFS(tabela_registros[VALOR],tabela_registros[MÊS],$AE$1,tabela_registros[DIA],investirrendavariávelconsolidadojun[[#Headers],[26]],tabela_registros[REGISTRO],DADOS!$N$5,tabela_registros[TIPO],DADOS!$AB$4,tabela_registros[CATEGORIA],investirrendavariávelconsolidadojun[[#This Row],[ATUAL]])</f>
        <v>0</v>
      </c>
      <c r="AE137" s="119" t="n">
        <f aca="false">SUMIFS(tabela_registros[VALOR],tabela_registros[MÊS],$AE$1,tabela_registros[DIA],investirrendavariávelconsolidadojun[[#Headers],[27]],tabela_registros[REGISTRO],DADOS!$N$5,tabela_registros[TIPO],DADOS!$AB$4,tabela_registros[CATEGORIA],investirrendavariávelconsolidadojun[[#This Row],[ATUAL]])</f>
        <v>0</v>
      </c>
      <c r="AF137" s="119" t="n">
        <f aca="false">SUMIFS(tabela_registros[VALOR],tabela_registros[MÊS],$AE$1,tabela_registros[DIA],investirrendavariávelconsolidadojun[[#Headers],[28]],tabela_registros[REGISTRO],DADOS!$N$5,tabela_registros[TIPO],DADOS!$AB$4,tabela_registros[CATEGORIA],investirrendavariávelconsolidadojun[[#This Row],[ATUAL]])</f>
        <v>0</v>
      </c>
      <c r="AG137" s="119" t="n">
        <f aca="false">SUMIFS(tabela_registros[VALOR],tabela_registros[MÊS],$AE$1,tabela_registros[DIA],investirrendavariávelconsolidadojun[[#Headers],[29]],tabela_registros[REGISTRO],DADOS!$N$5,tabela_registros[TIPO],DADOS!$AB$4,tabela_registros[CATEGORIA],investirrendavariávelconsolidadojun[[#This Row],[ATUAL]])</f>
        <v>0</v>
      </c>
      <c r="AH137" s="119" t="n">
        <f aca="false">SUMIFS(tabela_registros[VALOR],tabela_registros[MÊS],$AE$1,tabela_registros[DIA],investirrendavariávelconsolidadojun[[#Headers],[30]],tabela_registros[REGISTRO],DADOS!$N$5,tabela_registros[TIPO],DADOS!$AB$4,tabela_registros[CATEGORIA],investirrendavariávelconsolidadojun[[#This Row],[ATUAL]])</f>
        <v>0</v>
      </c>
      <c r="AI137" s="217" t="n">
        <f aca="false">SUMIFS(tabela_registros[VALOR],tabela_registros[MÊS],$AE$1,tabela_registros[DIA],investirrendavariávelconsolidadojun[[#Headers],[31]],tabela_registros[REGISTRO],DADOS!$N$5,tabela_registros[TIPO],DADOS!$AB$4,tabela_registros[CATEGORIA],investirrendavariávelconsolidadojun[[#This Row],[ATUAL]])</f>
        <v>0</v>
      </c>
      <c r="AJ137" s="149" t="n">
        <f aca="false">SUM(investirrendavariávelconsolidadojun[[#This Row],[1]:[31]])</f>
        <v>0</v>
      </c>
      <c r="AK137" s="165"/>
    </row>
    <row r="138" customFormat="false" ht="19.5" hidden="false" customHeight="true" outlineLevel="0" collapsed="false">
      <c r="B138" s="143"/>
      <c r="C138" s="144" t="str">
        <f aca="false">DADOS!$AF$9</f>
        <v>📝 EXTERIOR</v>
      </c>
      <c r="D138" s="145" t="str">
        <f aca="false">IF(investirrendavariávelconsolidadojun[[#This Row],[TOTAL (R$)]]=0,"",IF(OR(investirrendavariávelconsolidadojun[[#This Row],[TOTAL (R$)]]=LARGE($AJ$132:$AJ$141,1),investirrendavariávelconsolidadojun[[#This Row],[TOTAL (R$)]]=LARGE($AJ$132:$AJ$141,2)),DADOS!$I$10,""))</f>
        <v/>
      </c>
      <c r="E138" s="148" t="n">
        <f aca="false">SUMIFS(tabela_registros[VALOR],tabela_registros[MÊS],$AE$1,tabela_registros[DIA],investirrendavariávelconsolidadojun[[#Headers],[1]],tabela_registros[REGISTRO],DADOS!$N$5,tabela_registros[TIPO],DADOS!$AB$4,tabela_registros[CATEGORIA],investirrendavariávelconsolidadojun[[#This Row],[ATUAL]])</f>
        <v>0</v>
      </c>
      <c r="F138" s="119" t="n">
        <f aca="false">SUMIFS(tabela_registros[VALOR],tabela_registros[MÊS],$AE$1,tabela_registros[DIA],investirrendavariávelconsolidadojun[[#Headers],[2]],tabela_registros[REGISTRO],DADOS!$N$5,tabela_registros[TIPO],DADOS!$AB$4,tabela_registros[CATEGORIA],investirrendavariávelconsolidadojun[[#This Row],[ATUAL]])</f>
        <v>0</v>
      </c>
      <c r="G138" s="119" t="n">
        <f aca="false">SUMIFS(tabela_registros[VALOR],tabela_registros[MÊS],$AE$1,tabela_registros[DIA],investirrendavariávelconsolidadojun[[#Headers],[3]],tabela_registros[REGISTRO],DADOS!$N$5,tabela_registros[TIPO],DADOS!$AB$4,tabela_registros[CATEGORIA],investirrendavariávelconsolidadojun[[#This Row],[ATUAL]])</f>
        <v>0</v>
      </c>
      <c r="H138" s="119" t="n">
        <f aca="false">SUMIFS(tabela_registros[VALOR],tabela_registros[MÊS],$AE$1,tabela_registros[DIA],investirrendavariávelconsolidadojun[[#Headers],[4]],tabela_registros[REGISTRO],DADOS!$N$5,tabela_registros[TIPO],DADOS!$AB$4,tabela_registros[CATEGORIA],investirrendavariávelconsolidadojun[[#This Row],[ATUAL]])</f>
        <v>0</v>
      </c>
      <c r="I138" s="119" t="n">
        <f aca="false">SUMIFS(tabela_registros[VALOR],tabela_registros[MÊS],$AE$1,tabela_registros[DIA],investirrendavariávelconsolidadojun[[#Headers],[5]],tabela_registros[REGISTRO],DADOS!$N$5,tabela_registros[TIPO],DADOS!$AB$4,tabela_registros[CATEGORIA],investirrendavariávelconsolidadojun[[#This Row],[ATUAL]])</f>
        <v>0</v>
      </c>
      <c r="J138" s="119" t="n">
        <f aca="false">SUMIFS(tabela_registros[VALOR],tabela_registros[MÊS],$AE$1,tabela_registros[DIA],investirrendavariávelconsolidadojun[[#Headers],[6]],tabela_registros[REGISTRO],DADOS!$N$5,tabela_registros[TIPO],DADOS!$AB$4,tabela_registros[CATEGORIA],investirrendavariávelconsolidadojun[[#This Row],[ATUAL]])</f>
        <v>0</v>
      </c>
      <c r="K138" s="119" t="n">
        <f aca="false">SUMIFS(tabela_registros[VALOR],tabela_registros[MÊS],$AE$1,tabela_registros[DIA],investirrendavariávelconsolidadojun[[#Headers],[7]],tabela_registros[REGISTRO],DADOS!$N$5,tabela_registros[TIPO],DADOS!$AB$4,tabela_registros[CATEGORIA],investirrendavariávelconsolidadojun[[#This Row],[ATUAL]])</f>
        <v>0</v>
      </c>
      <c r="L138" s="119" t="n">
        <f aca="false">SUMIFS(tabela_registros[VALOR],tabela_registros[MÊS],$AE$1,tabela_registros[DIA],investirrendavariávelconsolidadojun[[#Headers],[8]],tabela_registros[REGISTRO],DADOS!$N$5,tabela_registros[TIPO],DADOS!$AB$4,tabela_registros[CATEGORIA],investirrendavariávelconsolidadojun[[#This Row],[ATUAL]])</f>
        <v>0</v>
      </c>
      <c r="M138" s="119" t="n">
        <f aca="false">SUMIFS(tabela_registros[VALOR],tabela_registros[MÊS],$AE$1,tabela_registros[DIA],investirrendavariávelconsolidadojun[[#Headers],[9]],tabela_registros[REGISTRO],DADOS!$N$5,tabela_registros[TIPO],DADOS!$AB$4,tabela_registros[CATEGORIA],investirrendavariávelconsolidadojun[[#This Row],[ATUAL]])</f>
        <v>0</v>
      </c>
      <c r="N138" s="119" t="n">
        <f aca="false">SUMIFS(tabela_registros[VALOR],tabela_registros[MÊS],$AE$1,tabela_registros[DIA],investirrendavariávelconsolidadojun[[#Headers],[10]],tabela_registros[REGISTRO],DADOS!$N$5,tabela_registros[TIPO],DADOS!$AB$4,tabela_registros[CATEGORIA],investirrendavariávelconsolidadojun[[#This Row],[ATUAL]])</f>
        <v>0</v>
      </c>
      <c r="O138" s="119" t="n">
        <f aca="false">SUMIFS(tabela_registros[VALOR],tabela_registros[MÊS],$AE$1,tabela_registros[DIA],investirrendavariávelconsolidadojun[[#Headers],[11]],tabela_registros[REGISTRO],DADOS!$N$5,tabela_registros[TIPO],DADOS!$AB$4,tabela_registros[CATEGORIA],investirrendavariávelconsolidadojun[[#This Row],[ATUAL]])</f>
        <v>0</v>
      </c>
      <c r="P138" s="119" t="n">
        <f aca="false">SUMIFS(tabela_registros[VALOR],tabela_registros[MÊS],$AE$1,tabela_registros[DIA],investirrendavariávelconsolidadojun[[#Headers],[12]],tabela_registros[REGISTRO],DADOS!$N$5,tabela_registros[TIPO],DADOS!$AB$4,tabela_registros[CATEGORIA],investirrendavariávelconsolidadojun[[#This Row],[ATUAL]])</f>
        <v>0</v>
      </c>
      <c r="Q138" s="119" t="n">
        <f aca="false">SUMIFS(tabela_registros[VALOR],tabela_registros[MÊS],$AE$1,tabela_registros[DIA],investirrendavariávelconsolidadojun[[#Headers],[13]],tabela_registros[REGISTRO],DADOS!$N$5,tabela_registros[TIPO],DADOS!$AB$4,tabela_registros[CATEGORIA],investirrendavariávelconsolidadojun[[#This Row],[ATUAL]])</f>
        <v>0</v>
      </c>
      <c r="R138" s="119" t="n">
        <f aca="false">SUMIFS(tabela_registros[VALOR],tabela_registros[MÊS],$AE$1,tabela_registros[DIA],investirrendavariávelconsolidadojun[[#Headers],[14]],tabela_registros[REGISTRO],DADOS!$N$5,tabela_registros[TIPO],DADOS!$AB$4,tabela_registros[CATEGORIA],investirrendavariávelconsolidadojun[[#This Row],[ATUAL]])</f>
        <v>0</v>
      </c>
      <c r="S138" s="119" t="n">
        <f aca="false">SUMIFS(tabela_registros[VALOR],tabela_registros[MÊS],$AE$1,tabela_registros[DIA],investirrendavariávelconsolidadojun[[#Headers],[15]],tabela_registros[REGISTRO],DADOS!$N$5,tabela_registros[TIPO],DADOS!$AB$4,tabela_registros[CATEGORIA],investirrendavariávelconsolidadojun[[#This Row],[ATUAL]])</f>
        <v>0</v>
      </c>
      <c r="T138" s="119" t="n">
        <f aca="false">SUMIFS(tabela_registros[VALOR],tabela_registros[MÊS],$AE$1,tabela_registros[DIA],investirrendavariávelconsolidadojun[[#Headers],[16]],tabela_registros[REGISTRO],DADOS!$N$5,tabela_registros[TIPO],DADOS!$AB$4,tabela_registros[CATEGORIA],investirrendavariávelconsolidadojun[[#This Row],[ATUAL]])</f>
        <v>0</v>
      </c>
      <c r="U138" s="119" t="n">
        <f aca="false">SUMIFS(tabela_registros[VALOR],tabela_registros[MÊS],$AE$1,tabela_registros[DIA],investirrendavariávelconsolidadojun[[#Headers],[17]],tabela_registros[REGISTRO],DADOS!$N$5,tabela_registros[TIPO],DADOS!$AB$4,tabela_registros[CATEGORIA],investirrendavariávelconsolidadojun[[#This Row],[ATUAL]])</f>
        <v>0</v>
      </c>
      <c r="V138" s="119" t="n">
        <f aca="false">SUMIFS(tabela_registros[VALOR],tabela_registros[MÊS],$AE$1,tabela_registros[DIA],investirrendavariávelconsolidadojun[[#Headers],[18]],tabela_registros[REGISTRO],DADOS!$N$5,tabela_registros[TIPO],DADOS!$AB$4,tabela_registros[CATEGORIA],investirrendavariávelconsolidadojun[[#This Row],[ATUAL]])</f>
        <v>0</v>
      </c>
      <c r="W138" s="119" t="n">
        <f aca="false">SUMIFS(tabela_registros[VALOR],tabela_registros[MÊS],$AE$1,tabela_registros[DIA],investirrendavariávelconsolidadojun[[#Headers],[19]],tabela_registros[REGISTRO],DADOS!$N$5,tabela_registros[TIPO],DADOS!$AB$4,tabela_registros[CATEGORIA],investirrendavariávelconsolidadojun[[#This Row],[ATUAL]])</f>
        <v>0</v>
      </c>
      <c r="X138" s="119" t="n">
        <f aca="false">SUMIFS(tabela_registros[VALOR],tabela_registros[MÊS],$AE$1,tabela_registros[DIA],investirrendavariávelconsolidadojun[[#Headers],[20]],tabela_registros[REGISTRO],DADOS!$N$5,tabela_registros[TIPO],DADOS!$AB$4,tabela_registros[CATEGORIA],investirrendavariávelconsolidadojun[[#This Row],[ATUAL]])</f>
        <v>0</v>
      </c>
      <c r="Y138" s="119" t="n">
        <f aca="false">SUMIFS(tabela_registros[VALOR],tabela_registros[MÊS],$AE$1,tabela_registros[DIA],investirrendavariávelconsolidadojun[[#Headers],[21]],tabela_registros[REGISTRO],DADOS!$N$5,tabela_registros[TIPO],DADOS!$AB$4,tabela_registros[CATEGORIA],investirrendavariávelconsolidadojun[[#This Row],[ATUAL]])</f>
        <v>0</v>
      </c>
      <c r="Z138" s="119" t="n">
        <f aca="false">SUMIFS(tabela_registros[VALOR],tabela_registros[MÊS],$AE$1,tabela_registros[DIA],investirrendavariávelconsolidadojun[[#Headers],[22]],tabela_registros[REGISTRO],DADOS!$N$5,tabela_registros[TIPO],DADOS!$AB$4,tabela_registros[CATEGORIA],investirrendavariávelconsolidadojun[[#This Row],[ATUAL]])</f>
        <v>0</v>
      </c>
      <c r="AA138" s="119" t="n">
        <f aca="false">SUMIFS(tabela_registros[VALOR],tabela_registros[MÊS],$AE$1,tabela_registros[DIA],investirrendavariávelconsolidadojun[[#Headers],[23]],tabela_registros[REGISTRO],DADOS!$N$5,tabela_registros[TIPO],DADOS!$AB$4,tabela_registros[CATEGORIA],investirrendavariávelconsolidadojun[[#This Row],[ATUAL]])</f>
        <v>0</v>
      </c>
      <c r="AB138" s="119" t="n">
        <f aca="false">SUMIFS(tabela_registros[VALOR],tabela_registros[MÊS],$AE$1,tabela_registros[DIA],investirrendavariávelconsolidadojun[[#Headers],[24]],tabela_registros[REGISTRO],DADOS!$N$5,tabela_registros[TIPO],DADOS!$AB$4,tabela_registros[CATEGORIA],investirrendavariávelconsolidadojun[[#This Row],[ATUAL]])</f>
        <v>0</v>
      </c>
      <c r="AC138" s="119" t="n">
        <f aca="false">SUMIFS(tabela_registros[VALOR],tabela_registros[MÊS],$AE$1,tabela_registros[DIA],investirrendavariávelconsolidadojun[[#Headers],[25]],tabela_registros[REGISTRO],DADOS!$N$5,tabela_registros[TIPO],DADOS!$AB$4,tabela_registros[CATEGORIA],investirrendavariávelconsolidadojun[[#This Row],[ATUAL]])</f>
        <v>0</v>
      </c>
      <c r="AD138" s="119" t="n">
        <f aca="false">SUMIFS(tabela_registros[VALOR],tabela_registros[MÊS],$AE$1,tabela_registros[DIA],investirrendavariávelconsolidadojun[[#Headers],[26]],tabela_registros[REGISTRO],DADOS!$N$5,tabela_registros[TIPO],DADOS!$AB$4,tabela_registros[CATEGORIA],investirrendavariávelconsolidadojun[[#This Row],[ATUAL]])</f>
        <v>0</v>
      </c>
      <c r="AE138" s="119" t="n">
        <f aca="false">SUMIFS(tabela_registros[VALOR],tabela_registros[MÊS],$AE$1,tabela_registros[DIA],investirrendavariávelconsolidadojun[[#Headers],[27]],tabela_registros[REGISTRO],DADOS!$N$5,tabela_registros[TIPO],DADOS!$AB$4,tabela_registros[CATEGORIA],investirrendavariávelconsolidadojun[[#This Row],[ATUAL]])</f>
        <v>0</v>
      </c>
      <c r="AF138" s="119" t="n">
        <f aca="false">SUMIFS(tabela_registros[VALOR],tabela_registros[MÊS],$AE$1,tabela_registros[DIA],investirrendavariávelconsolidadojun[[#Headers],[28]],tabela_registros[REGISTRO],DADOS!$N$5,tabela_registros[TIPO],DADOS!$AB$4,tabela_registros[CATEGORIA],investirrendavariávelconsolidadojun[[#This Row],[ATUAL]])</f>
        <v>0</v>
      </c>
      <c r="AG138" s="119" t="n">
        <f aca="false">SUMIFS(tabela_registros[VALOR],tabela_registros[MÊS],$AE$1,tabela_registros[DIA],investirrendavariávelconsolidadojun[[#Headers],[29]],tabela_registros[REGISTRO],DADOS!$N$5,tabela_registros[TIPO],DADOS!$AB$4,tabela_registros[CATEGORIA],investirrendavariávelconsolidadojun[[#This Row],[ATUAL]])</f>
        <v>0</v>
      </c>
      <c r="AH138" s="119" t="n">
        <f aca="false">SUMIFS(tabela_registros[VALOR],tabela_registros[MÊS],$AE$1,tabela_registros[DIA],investirrendavariávelconsolidadojun[[#Headers],[30]],tabela_registros[REGISTRO],DADOS!$N$5,tabela_registros[TIPO],DADOS!$AB$4,tabela_registros[CATEGORIA],investirrendavariávelconsolidadojun[[#This Row],[ATUAL]])</f>
        <v>0</v>
      </c>
      <c r="AI138" s="217" t="n">
        <f aca="false">SUMIFS(tabela_registros[VALOR],tabela_registros[MÊS],$AE$1,tabela_registros[DIA],investirrendavariávelconsolidadojun[[#Headers],[31]],tabela_registros[REGISTRO],DADOS!$N$5,tabela_registros[TIPO],DADOS!$AB$4,tabela_registros[CATEGORIA],investirrendavariávelconsolidadojun[[#This Row],[ATUAL]])</f>
        <v>0</v>
      </c>
      <c r="AJ138" s="149" t="n">
        <f aca="false">SUM(investirrendavariávelconsolidadojun[[#This Row],[1]:[31]])</f>
        <v>0</v>
      </c>
      <c r="AK138" s="165"/>
    </row>
    <row r="139" customFormat="false" ht="19.5" hidden="false" customHeight="true" outlineLevel="0" collapsed="false">
      <c r="B139" s="143"/>
      <c r="C139" s="144" t="str">
        <f aca="false">DADOS!$AF$10</f>
        <v>📝 FII</v>
      </c>
      <c r="D139" s="145" t="str">
        <f aca="false">IF(investirrendavariávelconsolidadojun[[#This Row],[TOTAL (R$)]]=0,"",IF(OR(investirrendavariávelconsolidadojun[[#This Row],[TOTAL (R$)]]=LARGE($AJ$132:$AJ$141,1),investirrendavariávelconsolidadojun[[#This Row],[TOTAL (R$)]]=LARGE($AJ$132:$AJ$141,2)),DADOS!$I$10,""))</f>
        <v/>
      </c>
      <c r="E139" s="148" t="n">
        <f aca="false">SUMIFS(tabela_registros[VALOR],tabela_registros[MÊS],$AE$1,tabela_registros[DIA],investirrendavariávelconsolidadojun[[#Headers],[1]],tabela_registros[REGISTRO],DADOS!$N$5,tabela_registros[TIPO],DADOS!$AB$4,tabela_registros[CATEGORIA],investirrendavariávelconsolidadojun[[#This Row],[ATUAL]])</f>
        <v>0</v>
      </c>
      <c r="F139" s="119" t="n">
        <f aca="false">SUMIFS(tabela_registros[VALOR],tabela_registros[MÊS],$AE$1,tabela_registros[DIA],investirrendavariávelconsolidadojun[[#Headers],[2]],tabela_registros[REGISTRO],DADOS!$N$5,tabela_registros[TIPO],DADOS!$AB$4,tabela_registros[CATEGORIA],investirrendavariávelconsolidadojun[[#This Row],[ATUAL]])</f>
        <v>0</v>
      </c>
      <c r="G139" s="119" t="n">
        <f aca="false">SUMIFS(tabela_registros[VALOR],tabela_registros[MÊS],$AE$1,tabela_registros[DIA],investirrendavariávelconsolidadojun[[#Headers],[3]],tabela_registros[REGISTRO],DADOS!$N$5,tabela_registros[TIPO],DADOS!$AB$4,tabela_registros[CATEGORIA],investirrendavariávelconsolidadojun[[#This Row],[ATUAL]])</f>
        <v>0</v>
      </c>
      <c r="H139" s="119" t="n">
        <f aca="false">SUMIFS(tabela_registros[VALOR],tabela_registros[MÊS],$AE$1,tabela_registros[DIA],investirrendavariávelconsolidadojun[[#Headers],[4]],tabela_registros[REGISTRO],DADOS!$N$5,tabela_registros[TIPO],DADOS!$AB$4,tabela_registros[CATEGORIA],investirrendavariávelconsolidadojun[[#This Row],[ATUAL]])</f>
        <v>0</v>
      </c>
      <c r="I139" s="119" t="n">
        <f aca="false">SUMIFS(tabela_registros[VALOR],tabela_registros[MÊS],$AE$1,tabela_registros[DIA],investirrendavariávelconsolidadojun[[#Headers],[5]],tabela_registros[REGISTRO],DADOS!$N$5,tabela_registros[TIPO],DADOS!$AB$4,tabela_registros[CATEGORIA],investirrendavariávelconsolidadojun[[#This Row],[ATUAL]])</f>
        <v>0</v>
      </c>
      <c r="J139" s="119" t="n">
        <f aca="false">SUMIFS(tabela_registros[VALOR],tabela_registros[MÊS],$AE$1,tabela_registros[DIA],investirrendavariávelconsolidadojun[[#Headers],[6]],tabela_registros[REGISTRO],DADOS!$N$5,tabela_registros[TIPO],DADOS!$AB$4,tabela_registros[CATEGORIA],investirrendavariávelconsolidadojun[[#This Row],[ATUAL]])</f>
        <v>0</v>
      </c>
      <c r="K139" s="119" t="n">
        <f aca="false">SUMIFS(tabela_registros[VALOR],tabela_registros[MÊS],$AE$1,tabela_registros[DIA],investirrendavariávelconsolidadojun[[#Headers],[7]],tabela_registros[REGISTRO],DADOS!$N$5,tabela_registros[TIPO],DADOS!$AB$4,tabela_registros[CATEGORIA],investirrendavariávelconsolidadojun[[#This Row],[ATUAL]])</f>
        <v>0</v>
      </c>
      <c r="L139" s="119" t="n">
        <f aca="false">SUMIFS(tabela_registros[VALOR],tabela_registros[MÊS],$AE$1,tabela_registros[DIA],investirrendavariávelconsolidadojun[[#Headers],[8]],tabela_registros[REGISTRO],DADOS!$N$5,tabela_registros[TIPO],DADOS!$AB$4,tabela_registros[CATEGORIA],investirrendavariávelconsolidadojun[[#This Row],[ATUAL]])</f>
        <v>0</v>
      </c>
      <c r="M139" s="119" t="n">
        <f aca="false">SUMIFS(tabela_registros[VALOR],tabela_registros[MÊS],$AE$1,tabela_registros[DIA],investirrendavariávelconsolidadojun[[#Headers],[9]],tabela_registros[REGISTRO],DADOS!$N$5,tabela_registros[TIPO],DADOS!$AB$4,tabela_registros[CATEGORIA],investirrendavariávelconsolidadojun[[#This Row],[ATUAL]])</f>
        <v>0</v>
      </c>
      <c r="N139" s="119" t="n">
        <f aca="false">SUMIFS(tabela_registros[VALOR],tabela_registros[MÊS],$AE$1,tabela_registros[DIA],investirrendavariávelconsolidadojun[[#Headers],[10]],tabela_registros[REGISTRO],DADOS!$N$5,tabela_registros[TIPO],DADOS!$AB$4,tabela_registros[CATEGORIA],investirrendavariávelconsolidadojun[[#This Row],[ATUAL]])</f>
        <v>0</v>
      </c>
      <c r="O139" s="119" t="n">
        <f aca="false">SUMIFS(tabela_registros[VALOR],tabela_registros[MÊS],$AE$1,tabela_registros[DIA],investirrendavariávelconsolidadojun[[#Headers],[11]],tabela_registros[REGISTRO],DADOS!$N$5,tabela_registros[TIPO],DADOS!$AB$4,tabela_registros[CATEGORIA],investirrendavariávelconsolidadojun[[#This Row],[ATUAL]])</f>
        <v>0</v>
      </c>
      <c r="P139" s="119" t="n">
        <f aca="false">SUMIFS(tabela_registros[VALOR],tabela_registros[MÊS],$AE$1,tabela_registros[DIA],investirrendavariávelconsolidadojun[[#Headers],[12]],tabela_registros[REGISTRO],DADOS!$N$5,tabela_registros[TIPO],DADOS!$AB$4,tabela_registros[CATEGORIA],investirrendavariávelconsolidadojun[[#This Row],[ATUAL]])</f>
        <v>0</v>
      </c>
      <c r="Q139" s="119" t="n">
        <f aca="false">SUMIFS(tabela_registros[VALOR],tabela_registros[MÊS],$AE$1,tabela_registros[DIA],investirrendavariávelconsolidadojun[[#Headers],[13]],tabela_registros[REGISTRO],DADOS!$N$5,tabela_registros[TIPO],DADOS!$AB$4,tabela_registros[CATEGORIA],investirrendavariávelconsolidadojun[[#This Row],[ATUAL]])</f>
        <v>0</v>
      </c>
      <c r="R139" s="119" t="n">
        <f aca="false">SUMIFS(tabela_registros[VALOR],tabela_registros[MÊS],$AE$1,tabela_registros[DIA],investirrendavariávelconsolidadojun[[#Headers],[14]],tabela_registros[REGISTRO],DADOS!$N$5,tabela_registros[TIPO],DADOS!$AB$4,tabela_registros[CATEGORIA],investirrendavariávelconsolidadojun[[#This Row],[ATUAL]])</f>
        <v>0</v>
      </c>
      <c r="S139" s="119" t="n">
        <f aca="false">SUMIFS(tabela_registros[VALOR],tabela_registros[MÊS],$AE$1,tabela_registros[DIA],investirrendavariávelconsolidadojun[[#Headers],[15]],tabela_registros[REGISTRO],DADOS!$N$5,tabela_registros[TIPO],DADOS!$AB$4,tabela_registros[CATEGORIA],investirrendavariávelconsolidadojun[[#This Row],[ATUAL]])</f>
        <v>0</v>
      </c>
      <c r="T139" s="119" t="n">
        <f aca="false">SUMIFS(tabela_registros[VALOR],tabela_registros[MÊS],$AE$1,tabela_registros[DIA],investirrendavariávelconsolidadojun[[#Headers],[16]],tabela_registros[REGISTRO],DADOS!$N$5,tabela_registros[TIPO],DADOS!$AB$4,tabela_registros[CATEGORIA],investirrendavariávelconsolidadojun[[#This Row],[ATUAL]])</f>
        <v>0</v>
      </c>
      <c r="U139" s="119" t="n">
        <f aca="false">SUMIFS(tabela_registros[VALOR],tabela_registros[MÊS],$AE$1,tabela_registros[DIA],investirrendavariávelconsolidadojun[[#Headers],[17]],tabela_registros[REGISTRO],DADOS!$N$5,tabela_registros[TIPO],DADOS!$AB$4,tabela_registros[CATEGORIA],investirrendavariávelconsolidadojun[[#This Row],[ATUAL]])</f>
        <v>0</v>
      </c>
      <c r="V139" s="119" t="n">
        <f aca="false">SUMIFS(tabela_registros[VALOR],tabela_registros[MÊS],$AE$1,tabela_registros[DIA],investirrendavariávelconsolidadojun[[#Headers],[18]],tabela_registros[REGISTRO],DADOS!$N$5,tabela_registros[TIPO],DADOS!$AB$4,tabela_registros[CATEGORIA],investirrendavariávelconsolidadojun[[#This Row],[ATUAL]])</f>
        <v>0</v>
      </c>
      <c r="W139" s="119" t="n">
        <f aca="false">SUMIFS(tabela_registros[VALOR],tabela_registros[MÊS],$AE$1,tabela_registros[DIA],investirrendavariávelconsolidadojun[[#Headers],[19]],tabela_registros[REGISTRO],DADOS!$N$5,tabela_registros[TIPO],DADOS!$AB$4,tabela_registros[CATEGORIA],investirrendavariávelconsolidadojun[[#This Row],[ATUAL]])</f>
        <v>0</v>
      </c>
      <c r="X139" s="119" t="n">
        <f aca="false">SUMIFS(tabela_registros[VALOR],tabela_registros[MÊS],$AE$1,tabela_registros[DIA],investirrendavariávelconsolidadojun[[#Headers],[20]],tabela_registros[REGISTRO],DADOS!$N$5,tabela_registros[TIPO],DADOS!$AB$4,tabela_registros[CATEGORIA],investirrendavariávelconsolidadojun[[#This Row],[ATUAL]])</f>
        <v>0</v>
      </c>
      <c r="Y139" s="119" t="n">
        <f aca="false">SUMIFS(tabela_registros[VALOR],tabela_registros[MÊS],$AE$1,tabela_registros[DIA],investirrendavariávelconsolidadojun[[#Headers],[21]],tabela_registros[REGISTRO],DADOS!$N$5,tabela_registros[TIPO],DADOS!$AB$4,tabela_registros[CATEGORIA],investirrendavariávelconsolidadojun[[#This Row],[ATUAL]])</f>
        <v>0</v>
      </c>
      <c r="Z139" s="119" t="n">
        <f aca="false">SUMIFS(tabela_registros[VALOR],tabela_registros[MÊS],$AE$1,tabela_registros[DIA],investirrendavariávelconsolidadojun[[#Headers],[22]],tabela_registros[REGISTRO],DADOS!$N$5,tabela_registros[TIPO],DADOS!$AB$4,tabela_registros[CATEGORIA],investirrendavariávelconsolidadojun[[#This Row],[ATUAL]])</f>
        <v>0</v>
      </c>
      <c r="AA139" s="119" t="n">
        <f aca="false">SUMIFS(tabela_registros[VALOR],tabela_registros[MÊS],$AE$1,tabela_registros[DIA],investirrendavariávelconsolidadojun[[#Headers],[23]],tabela_registros[REGISTRO],DADOS!$N$5,tabela_registros[TIPO],DADOS!$AB$4,tabela_registros[CATEGORIA],investirrendavariávelconsolidadojun[[#This Row],[ATUAL]])</f>
        <v>0</v>
      </c>
      <c r="AB139" s="119" t="n">
        <f aca="false">SUMIFS(tabela_registros[VALOR],tabela_registros[MÊS],$AE$1,tabela_registros[DIA],investirrendavariávelconsolidadojun[[#Headers],[24]],tabela_registros[REGISTRO],DADOS!$N$5,tabela_registros[TIPO],DADOS!$AB$4,tabela_registros[CATEGORIA],investirrendavariávelconsolidadojun[[#This Row],[ATUAL]])</f>
        <v>0</v>
      </c>
      <c r="AC139" s="119" t="n">
        <f aca="false">SUMIFS(tabela_registros[VALOR],tabela_registros[MÊS],$AE$1,tabela_registros[DIA],investirrendavariávelconsolidadojun[[#Headers],[25]],tabela_registros[REGISTRO],DADOS!$N$5,tabela_registros[TIPO],DADOS!$AB$4,tabela_registros[CATEGORIA],investirrendavariávelconsolidadojun[[#This Row],[ATUAL]])</f>
        <v>0</v>
      </c>
      <c r="AD139" s="119" t="n">
        <f aca="false">SUMIFS(tabela_registros[VALOR],tabela_registros[MÊS],$AE$1,tabela_registros[DIA],investirrendavariávelconsolidadojun[[#Headers],[26]],tabela_registros[REGISTRO],DADOS!$N$5,tabela_registros[TIPO],DADOS!$AB$4,tabela_registros[CATEGORIA],investirrendavariávelconsolidadojun[[#This Row],[ATUAL]])</f>
        <v>0</v>
      </c>
      <c r="AE139" s="119" t="n">
        <f aca="false">SUMIFS(tabela_registros[VALOR],tabela_registros[MÊS],$AE$1,tabela_registros[DIA],investirrendavariávelconsolidadojun[[#Headers],[27]],tabela_registros[REGISTRO],DADOS!$N$5,tabela_registros[TIPO],DADOS!$AB$4,tabela_registros[CATEGORIA],investirrendavariávelconsolidadojun[[#This Row],[ATUAL]])</f>
        <v>0</v>
      </c>
      <c r="AF139" s="119" t="n">
        <f aca="false">SUMIFS(tabela_registros[VALOR],tabela_registros[MÊS],$AE$1,tabela_registros[DIA],investirrendavariávelconsolidadojun[[#Headers],[28]],tabela_registros[REGISTRO],DADOS!$N$5,tabela_registros[TIPO],DADOS!$AB$4,tabela_registros[CATEGORIA],investirrendavariávelconsolidadojun[[#This Row],[ATUAL]])</f>
        <v>0</v>
      </c>
      <c r="AG139" s="119" t="n">
        <f aca="false">SUMIFS(tabela_registros[VALOR],tabela_registros[MÊS],$AE$1,tabela_registros[DIA],investirrendavariávelconsolidadojun[[#Headers],[29]],tabela_registros[REGISTRO],DADOS!$N$5,tabela_registros[TIPO],DADOS!$AB$4,tabela_registros[CATEGORIA],investirrendavariávelconsolidadojun[[#This Row],[ATUAL]])</f>
        <v>0</v>
      </c>
      <c r="AH139" s="119" t="n">
        <f aca="false">SUMIFS(tabela_registros[VALOR],tabela_registros[MÊS],$AE$1,tabela_registros[DIA],investirrendavariávelconsolidadojun[[#Headers],[30]],tabela_registros[REGISTRO],DADOS!$N$5,tabela_registros[TIPO],DADOS!$AB$4,tabela_registros[CATEGORIA],investirrendavariávelconsolidadojun[[#This Row],[ATUAL]])</f>
        <v>0</v>
      </c>
      <c r="AI139" s="217" t="n">
        <f aca="false">SUMIFS(tabela_registros[VALOR],tabela_registros[MÊS],$AE$1,tabela_registros[DIA],investirrendavariávelconsolidadojun[[#Headers],[31]],tabela_registros[REGISTRO],DADOS!$N$5,tabela_registros[TIPO],DADOS!$AB$4,tabela_registros[CATEGORIA],investirrendavariávelconsolidadojun[[#This Row],[ATUAL]])</f>
        <v>0</v>
      </c>
      <c r="AJ139" s="149" t="n">
        <f aca="false">SUM(investirrendavariávelconsolidadojun[[#This Row],[1]:[31]])</f>
        <v>0</v>
      </c>
      <c r="AK139" s="165"/>
    </row>
    <row r="140" customFormat="false" ht="19.5" hidden="false" customHeight="true" outlineLevel="0" collapsed="false">
      <c r="B140" s="143"/>
      <c r="C140" s="144" t="str">
        <f aca="false">DADOS!$AF$11</f>
        <v>📝 MOEDA</v>
      </c>
      <c r="D140" s="145" t="str">
        <f aca="false">IF(investirrendavariávelconsolidadojun[[#This Row],[TOTAL (R$)]]=0,"",IF(OR(investirrendavariávelconsolidadojun[[#This Row],[TOTAL (R$)]]=LARGE($AJ$132:$AJ$141,1),investirrendavariávelconsolidadojun[[#This Row],[TOTAL (R$)]]=LARGE($AJ$132:$AJ$141,2)),DADOS!$I$10,""))</f>
        <v/>
      </c>
      <c r="E140" s="148" t="n">
        <f aca="false">SUMIFS(tabela_registros[VALOR],tabela_registros[MÊS],$AE$1,tabela_registros[DIA],investirrendavariávelconsolidadojun[[#Headers],[1]],tabela_registros[REGISTRO],DADOS!$N$5,tabela_registros[TIPO],DADOS!$AB$4,tabela_registros[CATEGORIA],investirrendavariávelconsolidadojun[[#This Row],[ATUAL]])</f>
        <v>0</v>
      </c>
      <c r="F140" s="119" t="n">
        <f aca="false">SUMIFS(tabela_registros[VALOR],tabela_registros[MÊS],$AE$1,tabela_registros[DIA],investirrendavariávelconsolidadojun[[#Headers],[2]],tabela_registros[REGISTRO],DADOS!$N$5,tabela_registros[TIPO],DADOS!$AB$4,tabela_registros[CATEGORIA],investirrendavariávelconsolidadojun[[#This Row],[ATUAL]])</f>
        <v>0</v>
      </c>
      <c r="G140" s="119" t="n">
        <f aca="false">SUMIFS(tabela_registros[VALOR],tabela_registros[MÊS],$AE$1,tabela_registros[DIA],investirrendavariávelconsolidadojun[[#Headers],[3]],tabela_registros[REGISTRO],DADOS!$N$5,tabela_registros[TIPO],DADOS!$AB$4,tabela_registros[CATEGORIA],investirrendavariávelconsolidadojun[[#This Row],[ATUAL]])</f>
        <v>0</v>
      </c>
      <c r="H140" s="119" t="n">
        <f aca="false">SUMIFS(tabela_registros[VALOR],tabela_registros[MÊS],$AE$1,tabela_registros[DIA],investirrendavariávelconsolidadojun[[#Headers],[4]],tabela_registros[REGISTRO],DADOS!$N$5,tabela_registros[TIPO],DADOS!$AB$4,tabela_registros[CATEGORIA],investirrendavariávelconsolidadojun[[#This Row],[ATUAL]])</f>
        <v>0</v>
      </c>
      <c r="I140" s="119" t="n">
        <f aca="false">SUMIFS(tabela_registros[VALOR],tabela_registros[MÊS],$AE$1,tabela_registros[DIA],investirrendavariávelconsolidadojun[[#Headers],[5]],tabela_registros[REGISTRO],DADOS!$N$5,tabela_registros[TIPO],DADOS!$AB$4,tabela_registros[CATEGORIA],investirrendavariávelconsolidadojun[[#This Row],[ATUAL]])</f>
        <v>0</v>
      </c>
      <c r="J140" s="119" t="n">
        <f aca="false">SUMIFS(tabela_registros[VALOR],tabela_registros[MÊS],$AE$1,tabela_registros[DIA],investirrendavariávelconsolidadojun[[#Headers],[6]],tabela_registros[REGISTRO],DADOS!$N$5,tabela_registros[TIPO],DADOS!$AB$4,tabela_registros[CATEGORIA],investirrendavariávelconsolidadojun[[#This Row],[ATUAL]])</f>
        <v>0</v>
      </c>
      <c r="K140" s="119" t="n">
        <f aca="false">SUMIFS(tabela_registros[VALOR],tabela_registros[MÊS],$AE$1,tabela_registros[DIA],investirrendavariávelconsolidadojun[[#Headers],[7]],tabela_registros[REGISTRO],DADOS!$N$5,tabela_registros[TIPO],DADOS!$AB$4,tabela_registros[CATEGORIA],investirrendavariávelconsolidadojun[[#This Row],[ATUAL]])</f>
        <v>0</v>
      </c>
      <c r="L140" s="119" t="n">
        <f aca="false">SUMIFS(tabela_registros[VALOR],tabela_registros[MÊS],$AE$1,tabela_registros[DIA],investirrendavariávelconsolidadojun[[#Headers],[8]],tabela_registros[REGISTRO],DADOS!$N$5,tabela_registros[TIPO],DADOS!$AB$4,tabela_registros[CATEGORIA],investirrendavariávelconsolidadojun[[#This Row],[ATUAL]])</f>
        <v>0</v>
      </c>
      <c r="M140" s="119" t="n">
        <f aca="false">SUMIFS(tabela_registros[VALOR],tabela_registros[MÊS],$AE$1,tabela_registros[DIA],investirrendavariávelconsolidadojun[[#Headers],[9]],tabela_registros[REGISTRO],DADOS!$N$5,tabela_registros[TIPO],DADOS!$AB$4,tabela_registros[CATEGORIA],investirrendavariávelconsolidadojun[[#This Row],[ATUAL]])</f>
        <v>0</v>
      </c>
      <c r="N140" s="119" t="n">
        <f aca="false">SUMIFS(tabela_registros[VALOR],tabela_registros[MÊS],$AE$1,tabela_registros[DIA],investirrendavariávelconsolidadojun[[#Headers],[10]],tabela_registros[REGISTRO],DADOS!$N$5,tabela_registros[TIPO],DADOS!$AB$4,tabela_registros[CATEGORIA],investirrendavariávelconsolidadojun[[#This Row],[ATUAL]])</f>
        <v>0</v>
      </c>
      <c r="O140" s="119" t="n">
        <f aca="false">SUMIFS(tabela_registros[VALOR],tabela_registros[MÊS],$AE$1,tabela_registros[DIA],investirrendavariávelconsolidadojun[[#Headers],[11]],tabela_registros[REGISTRO],DADOS!$N$5,tabela_registros[TIPO],DADOS!$AB$4,tabela_registros[CATEGORIA],investirrendavariávelconsolidadojun[[#This Row],[ATUAL]])</f>
        <v>0</v>
      </c>
      <c r="P140" s="119" t="n">
        <f aca="false">SUMIFS(tabela_registros[VALOR],tabela_registros[MÊS],$AE$1,tabela_registros[DIA],investirrendavariávelconsolidadojun[[#Headers],[12]],tabela_registros[REGISTRO],DADOS!$N$5,tabela_registros[TIPO],DADOS!$AB$4,tabela_registros[CATEGORIA],investirrendavariávelconsolidadojun[[#This Row],[ATUAL]])</f>
        <v>0</v>
      </c>
      <c r="Q140" s="119" t="n">
        <f aca="false">SUMIFS(tabela_registros[VALOR],tabela_registros[MÊS],$AE$1,tabela_registros[DIA],investirrendavariávelconsolidadojun[[#Headers],[13]],tabela_registros[REGISTRO],DADOS!$N$5,tabela_registros[TIPO],DADOS!$AB$4,tabela_registros[CATEGORIA],investirrendavariávelconsolidadojun[[#This Row],[ATUAL]])</f>
        <v>0</v>
      </c>
      <c r="R140" s="119" t="n">
        <f aca="false">SUMIFS(tabela_registros[VALOR],tabela_registros[MÊS],$AE$1,tabela_registros[DIA],investirrendavariávelconsolidadojun[[#Headers],[14]],tabela_registros[REGISTRO],DADOS!$N$5,tabela_registros[TIPO],DADOS!$AB$4,tabela_registros[CATEGORIA],investirrendavariávelconsolidadojun[[#This Row],[ATUAL]])</f>
        <v>0</v>
      </c>
      <c r="S140" s="119" t="n">
        <f aca="false">SUMIFS(tabela_registros[VALOR],tabela_registros[MÊS],$AE$1,tabela_registros[DIA],investirrendavariávelconsolidadojun[[#Headers],[15]],tabela_registros[REGISTRO],DADOS!$N$5,tabela_registros[TIPO],DADOS!$AB$4,tabela_registros[CATEGORIA],investirrendavariávelconsolidadojun[[#This Row],[ATUAL]])</f>
        <v>0</v>
      </c>
      <c r="T140" s="119" t="n">
        <f aca="false">SUMIFS(tabela_registros[VALOR],tabela_registros[MÊS],$AE$1,tabela_registros[DIA],investirrendavariávelconsolidadojun[[#Headers],[16]],tabela_registros[REGISTRO],DADOS!$N$5,tabela_registros[TIPO],DADOS!$AB$4,tabela_registros[CATEGORIA],investirrendavariávelconsolidadojun[[#This Row],[ATUAL]])</f>
        <v>0</v>
      </c>
      <c r="U140" s="119" t="n">
        <f aca="false">SUMIFS(tabela_registros[VALOR],tabela_registros[MÊS],$AE$1,tabela_registros[DIA],investirrendavariávelconsolidadojun[[#Headers],[17]],tabela_registros[REGISTRO],DADOS!$N$5,tabela_registros[TIPO],DADOS!$AB$4,tabela_registros[CATEGORIA],investirrendavariávelconsolidadojun[[#This Row],[ATUAL]])</f>
        <v>0</v>
      </c>
      <c r="V140" s="119" t="n">
        <f aca="false">SUMIFS(tabela_registros[VALOR],tabela_registros[MÊS],$AE$1,tabela_registros[DIA],investirrendavariávelconsolidadojun[[#Headers],[18]],tabela_registros[REGISTRO],DADOS!$N$5,tabela_registros[TIPO],DADOS!$AB$4,tabela_registros[CATEGORIA],investirrendavariávelconsolidadojun[[#This Row],[ATUAL]])</f>
        <v>0</v>
      </c>
      <c r="W140" s="119" t="n">
        <f aca="false">SUMIFS(tabela_registros[VALOR],tabela_registros[MÊS],$AE$1,tabela_registros[DIA],investirrendavariávelconsolidadojun[[#Headers],[19]],tabela_registros[REGISTRO],DADOS!$N$5,tabela_registros[TIPO],DADOS!$AB$4,tabela_registros[CATEGORIA],investirrendavariávelconsolidadojun[[#This Row],[ATUAL]])</f>
        <v>0</v>
      </c>
      <c r="X140" s="119" t="n">
        <f aca="false">SUMIFS(tabela_registros[VALOR],tabela_registros[MÊS],$AE$1,tabela_registros[DIA],investirrendavariávelconsolidadojun[[#Headers],[20]],tabela_registros[REGISTRO],DADOS!$N$5,tabela_registros[TIPO],DADOS!$AB$4,tabela_registros[CATEGORIA],investirrendavariávelconsolidadojun[[#This Row],[ATUAL]])</f>
        <v>0</v>
      </c>
      <c r="Y140" s="119" t="n">
        <f aca="false">SUMIFS(tabela_registros[VALOR],tabela_registros[MÊS],$AE$1,tabela_registros[DIA],investirrendavariávelconsolidadojun[[#Headers],[21]],tabela_registros[REGISTRO],DADOS!$N$5,tabela_registros[TIPO],DADOS!$AB$4,tabela_registros[CATEGORIA],investirrendavariávelconsolidadojun[[#This Row],[ATUAL]])</f>
        <v>0</v>
      </c>
      <c r="Z140" s="119" t="n">
        <f aca="false">SUMIFS(tabela_registros[VALOR],tabela_registros[MÊS],$AE$1,tabela_registros[DIA],investirrendavariávelconsolidadojun[[#Headers],[22]],tabela_registros[REGISTRO],DADOS!$N$5,tabela_registros[TIPO],DADOS!$AB$4,tabela_registros[CATEGORIA],investirrendavariávelconsolidadojun[[#This Row],[ATUAL]])</f>
        <v>0</v>
      </c>
      <c r="AA140" s="119" t="n">
        <f aca="false">SUMIFS(tabela_registros[VALOR],tabela_registros[MÊS],$AE$1,tabela_registros[DIA],investirrendavariávelconsolidadojun[[#Headers],[23]],tabela_registros[REGISTRO],DADOS!$N$5,tabela_registros[TIPO],DADOS!$AB$4,tabela_registros[CATEGORIA],investirrendavariávelconsolidadojun[[#This Row],[ATUAL]])</f>
        <v>0</v>
      </c>
      <c r="AB140" s="119" t="n">
        <f aca="false">SUMIFS(tabela_registros[VALOR],tabela_registros[MÊS],$AE$1,tabela_registros[DIA],investirrendavariávelconsolidadojun[[#Headers],[24]],tabela_registros[REGISTRO],DADOS!$N$5,tabela_registros[TIPO],DADOS!$AB$4,tabela_registros[CATEGORIA],investirrendavariávelconsolidadojun[[#This Row],[ATUAL]])</f>
        <v>0</v>
      </c>
      <c r="AC140" s="119" t="n">
        <f aca="false">SUMIFS(tabela_registros[VALOR],tabela_registros[MÊS],$AE$1,tabela_registros[DIA],investirrendavariávelconsolidadojun[[#Headers],[25]],tabela_registros[REGISTRO],DADOS!$N$5,tabela_registros[TIPO],DADOS!$AB$4,tabela_registros[CATEGORIA],investirrendavariávelconsolidadojun[[#This Row],[ATUAL]])</f>
        <v>0</v>
      </c>
      <c r="AD140" s="119" t="n">
        <f aca="false">SUMIFS(tabela_registros[VALOR],tabela_registros[MÊS],$AE$1,tabela_registros[DIA],investirrendavariávelconsolidadojun[[#Headers],[26]],tabela_registros[REGISTRO],DADOS!$N$5,tabela_registros[TIPO],DADOS!$AB$4,tabela_registros[CATEGORIA],investirrendavariávelconsolidadojun[[#This Row],[ATUAL]])</f>
        <v>0</v>
      </c>
      <c r="AE140" s="119" t="n">
        <f aca="false">SUMIFS(tabela_registros[VALOR],tabela_registros[MÊS],$AE$1,tabela_registros[DIA],investirrendavariávelconsolidadojun[[#Headers],[27]],tabela_registros[REGISTRO],DADOS!$N$5,tabela_registros[TIPO],DADOS!$AB$4,tabela_registros[CATEGORIA],investirrendavariávelconsolidadojun[[#This Row],[ATUAL]])</f>
        <v>0</v>
      </c>
      <c r="AF140" s="119" t="n">
        <f aca="false">SUMIFS(tabela_registros[VALOR],tabela_registros[MÊS],$AE$1,tabela_registros[DIA],investirrendavariávelconsolidadojun[[#Headers],[28]],tabela_registros[REGISTRO],DADOS!$N$5,tabela_registros[TIPO],DADOS!$AB$4,tabela_registros[CATEGORIA],investirrendavariávelconsolidadojun[[#This Row],[ATUAL]])</f>
        <v>0</v>
      </c>
      <c r="AG140" s="119" t="n">
        <f aca="false">SUMIFS(tabela_registros[VALOR],tabela_registros[MÊS],$AE$1,tabela_registros[DIA],investirrendavariávelconsolidadojun[[#Headers],[29]],tabela_registros[REGISTRO],DADOS!$N$5,tabela_registros[TIPO],DADOS!$AB$4,tabela_registros[CATEGORIA],investirrendavariávelconsolidadojun[[#This Row],[ATUAL]])</f>
        <v>0</v>
      </c>
      <c r="AH140" s="119" t="n">
        <f aca="false">SUMIFS(tabela_registros[VALOR],tabela_registros[MÊS],$AE$1,tabela_registros[DIA],investirrendavariávelconsolidadojun[[#Headers],[30]],tabela_registros[REGISTRO],DADOS!$N$5,tabela_registros[TIPO],DADOS!$AB$4,tabela_registros[CATEGORIA],investirrendavariávelconsolidadojun[[#This Row],[ATUAL]])</f>
        <v>0</v>
      </c>
      <c r="AI140" s="217" t="n">
        <f aca="false">SUMIFS(tabela_registros[VALOR],tabela_registros[MÊS],$AE$1,tabela_registros[DIA],investirrendavariávelconsolidadojun[[#Headers],[31]],tabela_registros[REGISTRO],DADOS!$N$5,tabela_registros[TIPO],DADOS!$AB$4,tabela_registros[CATEGORIA],investirrendavariávelconsolidadojun[[#This Row],[ATUAL]])</f>
        <v>0</v>
      </c>
      <c r="AJ140" s="149" t="n">
        <f aca="false">SUM(investirrendavariávelconsolidadojun[[#This Row],[1]:[31]])</f>
        <v>0</v>
      </c>
      <c r="AK140" s="165"/>
    </row>
    <row r="141" customFormat="false" ht="19.5" hidden="false" customHeight="true" outlineLevel="0" collapsed="false">
      <c r="B141" s="143"/>
      <c r="C141" s="144" t="str">
        <f aca="false">DADOS!$AF$12</f>
        <v>📎 OUTROS</v>
      </c>
      <c r="D141" s="145" t="str">
        <f aca="false">IF(investirrendavariávelconsolidadojun[[#This Row],[TOTAL (R$)]]=0,"",IF(OR(investirrendavariávelconsolidadojun[[#This Row],[TOTAL (R$)]]=LARGE($AJ$132:$AJ$141,1),investirrendavariávelconsolidadojun[[#This Row],[TOTAL (R$)]]=LARGE($AJ$132:$AJ$141,2)),DADOS!$I$10,""))</f>
        <v/>
      </c>
      <c r="E141" s="148" t="n">
        <f aca="false">SUMIFS(tabela_registros[VALOR],tabela_registros[MÊS],$AE$1,tabela_registros[DIA],investirrendavariávelconsolidadojun[[#Headers],[1]],tabela_registros[REGISTRO],DADOS!$N$5,tabela_registros[TIPO],DADOS!$AB$4,tabela_registros[CATEGORIA],investirrendavariávelconsolidadojun[[#This Row],[ATUAL]])</f>
        <v>0</v>
      </c>
      <c r="F141" s="119" t="n">
        <f aca="false">SUMIFS(tabela_registros[VALOR],tabela_registros[MÊS],$AE$1,tabela_registros[DIA],investirrendavariávelconsolidadojun[[#Headers],[2]],tabela_registros[REGISTRO],DADOS!$N$5,tabela_registros[TIPO],DADOS!$AB$4,tabela_registros[CATEGORIA],investirrendavariávelconsolidadojun[[#This Row],[ATUAL]])</f>
        <v>0</v>
      </c>
      <c r="G141" s="119" t="n">
        <f aca="false">SUMIFS(tabela_registros[VALOR],tabela_registros[MÊS],$AE$1,tabela_registros[DIA],investirrendavariávelconsolidadojun[[#Headers],[3]],tabela_registros[REGISTRO],DADOS!$N$5,tabela_registros[TIPO],DADOS!$AB$4,tabela_registros[CATEGORIA],investirrendavariávelconsolidadojun[[#This Row],[ATUAL]])</f>
        <v>0</v>
      </c>
      <c r="H141" s="119" t="n">
        <f aca="false">SUMIFS(tabela_registros[VALOR],tabela_registros[MÊS],$AE$1,tabela_registros[DIA],investirrendavariávelconsolidadojun[[#Headers],[4]],tabela_registros[REGISTRO],DADOS!$N$5,tabela_registros[TIPO],DADOS!$AB$4,tabela_registros[CATEGORIA],investirrendavariávelconsolidadojun[[#This Row],[ATUAL]])</f>
        <v>0</v>
      </c>
      <c r="I141" s="119" t="n">
        <f aca="false">SUMIFS(tabela_registros[VALOR],tabela_registros[MÊS],$AE$1,tabela_registros[DIA],investirrendavariávelconsolidadojun[[#Headers],[5]],tabela_registros[REGISTRO],DADOS!$N$5,tabela_registros[TIPO],DADOS!$AB$4,tabela_registros[CATEGORIA],investirrendavariávelconsolidadojun[[#This Row],[ATUAL]])</f>
        <v>0</v>
      </c>
      <c r="J141" s="119" t="n">
        <f aca="false">SUMIFS(tabela_registros[VALOR],tabela_registros[MÊS],$AE$1,tabela_registros[DIA],investirrendavariávelconsolidadojun[[#Headers],[6]],tabela_registros[REGISTRO],DADOS!$N$5,tabela_registros[TIPO],DADOS!$AB$4,tabela_registros[CATEGORIA],investirrendavariávelconsolidadojun[[#This Row],[ATUAL]])</f>
        <v>0</v>
      </c>
      <c r="K141" s="119" t="n">
        <f aca="false">SUMIFS(tabela_registros[VALOR],tabela_registros[MÊS],$AE$1,tabela_registros[DIA],investirrendavariávelconsolidadojun[[#Headers],[7]],tabela_registros[REGISTRO],DADOS!$N$5,tabela_registros[TIPO],DADOS!$AB$4,tabela_registros[CATEGORIA],investirrendavariávelconsolidadojun[[#This Row],[ATUAL]])</f>
        <v>0</v>
      </c>
      <c r="L141" s="119" t="n">
        <f aca="false">SUMIFS(tabela_registros[VALOR],tabela_registros[MÊS],$AE$1,tabela_registros[DIA],investirrendavariávelconsolidadojun[[#Headers],[8]],tabela_registros[REGISTRO],DADOS!$N$5,tabela_registros[TIPO],DADOS!$AB$4,tabela_registros[CATEGORIA],investirrendavariávelconsolidadojun[[#This Row],[ATUAL]])</f>
        <v>0</v>
      </c>
      <c r="M141" s="119" t="n">
        <f aca="false">SUMIFS(tabela_registros[VALOR],tabela_registros[MÊS],$AE$1,tabela_registros[DIA],investirrendavariávelconsolidadojun[[#Headers],[9]],tabela_registros[REGISTRO],DADOS!$N$5,tabela_registros[TIPO],DADOS!$AB$4,tabela_registros[CATEGORIA],investirrendavariávelconsolidadojun[[#This Row],[ATUAL]])</f>
        <v>0</v>
      </c>
      <c r="N141" s="119" t="n">
        <f aca="false">SUMIFS(tabela_registros[VALOR],tabela_registros[MÊS],$AE$1,tabela_registros[DIA],investirrendavariávelconsolidadojun[[#Headers],[10]],tabela_registros[REGISTRO],DADOS!$N$5,tabela_registros[TIPO],DADOS!$AB$4,tabela_registros[CATEGORIA],investirrendavariávelconsolidadojun[[#This Row],[ATUAL]])</f>
        <v>0</v>
      </c>
      <c r="O141" s="119" t="n">
        <f aca="false">SUMIFS(tabela_registros[VALOR],tabela_registros[MÊS],$AE$1,tabela_registros[DIA],investirrendavariávelconsolidadojun[[#Headers],[11]],tabela_registros[REGISTRO],DADOS!$N$5,tabela_registros[TIPO],DADOS!$AB$4,tabela_registros[CATEGORIA],investirrendavariávelconsolidadojun[[#This Row],[ATUAL]])</f>
        <v>0</v>
      </c>
      <c r="P141" s="119" t="n">
        <f aca="false">SUMIFS(tabela_registros[VALOR],tabela_registros[MÊS],$AE$1,tabela_registros[DIA],investirrendavariávelconsolidadojun[[#Headers],[12]],tabela_registros[REGISTRO],DADOS!$N$5,tabela_registros[TIPO],DADOS!$AB$4,tabela_registros[CATEGORIA],investirrendavariávelconsolidadojun[[#This Row],[ATUAL]])</f>
        <v>0</v>
      </c>
      <c r="Q141" s="119" t="n">
        <f aca="false">SUMIFS(tabela_registros[VALOR],tabela_registros[MÊS],$AE$1,tabela_registros[DIA],investirrendavariávelconsolidadojun[[#Headers],[13]],tabela_registros[REGISTRO],DADOS!$N$5,tabela_registros[TIPO],DADOS!$AB$4,tabela_registros[CATEGORIA],investirrendavariávelconsolidadojun[[#This Row],[ATUAL]])</f>
        <v>0</v>
      </c>
      <c r="R141" s="119" t="n">
        <f aca="false">SUMIFS(tabela_registros[VALOR],tabela_registros[MÊS],$AE$1,tabela_registros[DIA],investirrendavariávelconsolidadojun[[#Headers],[14]],tabela_registros[REGISTRO],DADOS!$N$5,tabela_registros[TIPO],DADOS!$AB$4,tabela_registros[CATEGORIA],investirrendavariávelconsolidadojun[[#This Row],[ATUAL]])</f>
        <v>0</v>
      </c>
      <c r="S141" s="119" t="n">
        <f aca="false">SUMIFS(tabela_registros[VALOR],tabela_registros[MÊS],$AE$1,tabela_registros[DIA],investirrendavariávelconsolidadojun[[#Headers],[15]],tabela_registros[REGISTRO],DADOS!$N$5,tabela_registros[TIPO],DADOS!$AB$4,tabela_registros[CATEGORIA],investirrendavariávelconsolidadojun[[#This Row],[ATUAL]])</f>
        <v>0</v>
      </c>
      <c r="T141" s="119" t="n">
        <f aca="false">SUMIFS(tabela_registros[VALOR],tabela_registros[MÊS],$AE$1,tabela_registros[DIA],investirrendavariávelconsolidadojun[[#Headers],[16]],tabela_registros[REGISTRO],DADOS!$N$5,tabela_registros[TIPO],DADOS!$AB$4,tabela_registros[CATEGORIA],investirrendavariávelconsolidadojun[[#This Row],[ATUAL]])</f>
        <v>0</v>
      </c>
      <c r="U141" s="119" t="n">
        <f aca="false">SUMIFS(tabela_registros[VALOR],tabela_registros[MÊS],$AE$1,tabela_registros[DIA],investirrendavariávelconsolidadojun[[#Headers],[17]],tabela_registros[REGISTRO],DADOS!$N$5,tabela_registros[TIPO],DADOS!$AB$4,tabela_registros[CATEGORIA],investirrendavariávelconsolidadojun[[#This Row],[ATUAL]])</f>
        <v>0</v>
      </c>
      <c r="V141" s="119" t="n">
        <f aca="false">SUMIFS(tabela_registros[VALOR],tabela_registros[MÊS],$AE$1,tabela_registros[DIA],investirrendavariávelconsolidadojun[[#Headers],[18]],tabela_registros[REGISTRO],DADOS!$N$5,tabela_registros[TIPO],DADOS!$AB$4,tabela_registros[CATEGORIA],investirrendavariávelconsolidadojun[[#This Row],[ATUAL]])</f>
        <v>0</v>
      </c>
      <c r="W141" s="119" t="n">
        <f aca="false">SUMIFS(tabela_registros[VALOR],tabela_registros[MÊS],$AE$1,tabela_registros[DIA],investirrendavariávelconsolidadojun[[#Headers],[19]],tabela_registros[REGISTRO],DADOS!$N$5,tabela_registros[TIPO],DADOS!$AB$4,tabela_registros[CATEGORIA],investirrendavariávelconsolidadojun[[#This Row],[ATUAL]])</f>
        <v>0</v>
      </c>
      <c r="X141" s="119" t="n">
        <f aca="false">SUMIFS(tabela_registros[VALOR],tabela_registros[MÊS],$AE$1,tabela_registros[DIA],investirrendavariávelconsolidadojun[[#Headers],[20]],tabela_registros[REGISTRO],DADOS!$N$5,tabela_registros[TIPO],DADOS!$AB$4,tabela_registros[CATEGORIA],investirrendavariávelconsolidadojun[[#This Row],[ATUAL]])</f>
        <v>0</v>
      </c>
      <c r="Y141" s="119" t="n">
        <f aca="false">SUMIFS(tabela_registros[VALOR],tabela_registros[MÊS],$AE$1,tabela_registros[DIA],investirrendavariávelconsolidadojun[[#Headers],[21]],tabela_registros[REGISTRO],DADOS!$N$5,tabela_registros[TIPO],DADOS!$AB$4,tabela_registros[CATEGORIA],investirrendavariávelconsolidadojun[[#This Row],[ATUAL]])</f>
        <v>0</v>
      </c>
      <c r="Z141" s="119" t="n">
        <f aca="false">SUMIFS(tabela_registros[VALOR],tabela_registros[MÊS],$AE$1,tabela_registros[DIA],investirrendavariávelconsolidadojun[[#Headers],[22]],tabela_registros[REGISTRO],DADOS!$N$5,tabela_registros[TIPO],DADOS!$AB$4,tabela_registros[CATEGORIA],investirrendavariávelconsolidadojun[[#This Row],[ATUAL]])</f>
        <v>0</v>
      </c>
      <c r="AA141" s="119" t="n">
        <f aca="false">SUMIFS(tabela_registros[VALOR],tabela_registros[MÊS],$AE$1,tabela_registros[DIA],investirrendavariávelconsolidadojun[[#Headers],[23]],tabela_registros[REGISTRO],DADOS!$N$5,tabela_registros[TIPO],DADOS!$AB$4,tabela_registros[CATEGORIA],investirrendavariávelconsolidadojun[[#This Row],[ATUAL]])</f>
        <v>0</v>
      </c>
      <c r="AB141" s="119" t="n">
        <f aca="false">SUMIFS(tabela_registros[VALOR],tabela_registros[MÊS],$AE$1,tabela_registros[DIA],investirrendavariávelconsolidadojun[[#Headers],[24]],tabela_registros[REGISTRO],DADOS!$N$5,tabela_registros[TIPO],DADOS!$AB$4,tabela_registros[CATEGORIA],investirrendavariávelconsolidadojun[[#This Row],[ATUAL]])</f>
        <v>0</v>
      </c>
      <c r="AC141" s="119" t="n">
        <f aca="false">SUMIFS(tabela_registros[VALOR],tabela_registros[MÊS],$AE$1,tabela_registros[DIA],investirrendavariávelconsolidadojun[[#Headers],[25]],tabela_registros[REGISTRO],DADOS!$N$5,tabela_registros[TIPO],DADOS!$AB$4,tabela_registros[CATEGORIA],investirrendavariávelconsolidadojun[[#This Row],[ATUAL]])</f>
        <v>0</v>
      </c>
      <c r="AD141" s="119" t="n">
        <f aca="false">SUMIFS(tabela_registros[VALOR],tabela_registros[MÊS],$AE$1,tabela_registros[DIA],investirrendavariávelconsolidadojun[[#Headers],[26]],tabela_registros[REGISTRO],DADOS!$N$5,tabela_registros[TIPO],DADOS!$AB$4,tabela_registros[CATEGORIA],investirrendavariávelconsolidadojun[[#This Row],[ATUAL]])</f>
        <v>0</v>
      </c>
      <c r="AE141" s="119" t="n">
        <f aca="false">SUMIFS(tabela_registros[VALOR],tabela_registros[MÊS],$AE$1,tabela_registros[DIA],investirrendavariávelconsolidadojun[[#Headers],[27]],tabela_registros[REGISTRO],DADOS!$N$5,tabela_registros[TIPO],DADOS!$AB$4,tabela_registros[CATEGORIA],investirrendavariávelconsolidadojun[[#This Row],[ATUAL]])</f>
        <v>0</v>
      </c>
      <c r="AF141" s="119" t="n">
        <f aca="false">SUMIFS(tabela_registros[VALOR],tabela_registros[MÊS],$AE$1,tabela_registros[DIA],investirrendavariávelconsolidadojun[[#Headers],[28]],tabela_registros[REGISTRO],DADOS!$N$5,tabela_registros[TIPO],DADOS!$AB$4,tabela_registros[CATEGORIA],investirrendavariávelconsolidadojun[[#This Row],[ATUAL]])</f>
        <v>0</v>
      </c>
      <c r="AG141" s="119" t="n">
        <f aca="false">SUMIFS(tabela_registros[VALOR],tabela_registros[MÊS],$AE$1,tabela_registros[DIA],investirrendavariávelconsolidadojun[[#Headers],[29]],tabela_registros[REGISTRO],DADOS!$N$5,tabela_registros[TIPO],DADOS!$AB$4,tabela_registros[CATEGORIA],investirrendavariávelconsolidadojun[[#This Row],[ATUAL]])</f>
        <v>0</v>
      </c>
      <c r="AH141" s="119" t="n">
        <f aca="false">SUMIFS(tabela_registros[VALOR],tabela_registros[MÊS],$AE$1,tabela_registros[DIA],investirrendavariávelconsolidadojun[[#Headers],[30]],tabela_registros[REGISTRO],DADOS!$N$5,tabela_registros[TIPO],DADOS!$AB$4,tabela_registros[CATEGORIA],investirrendavariávelconsolidadojun[[#This Row],[ATUAL]])</f>
        <v>0</v>
      </c>
      <c r="AI141" s="218" t="n">
        <f aca="false">SUMIFS(tabela_registros[VALOR],tabela_registros[MÊS],$AE$1,tabela_registros[DIA],investirrendavariávelconsolidadojun[[#Headers],[31]],tabela_registros[REGISTRO],DADOS!$N$5,tabela_registros[TIPO],DADOS!$AB$4,tabela_registros[CATEGORIA],investirrendavariávelconsolidadojun[[#This Row],[ATUAL]])</f>
        <v>0</v>
      </c>
      <c r="AJ141" s="149" t="n">
        <f aca="false">SUM(investirrendavariávelconsolidadojun[[#This Row],[1]:[31]])</f>
        <v>0</v>
      </c>
      <c r="AK141" s="165"/>
    </row>
    <row r="142" s="122" customFormat="true" ht="21" hidden="false" customHeight="true" outlineLevel="0" collapsed="false">
      <c r="B142" s="152"/>
      <c r="C142" s="153" t="s">
        <v>2</v>
      </c>
      <c r="D142" s="166"/>
      <c r="E142" s="155" t="n">
        <f aca="false">SUM(E132:E141)</f>
        <v>0</v>
      </c>
      <c r="F142" s="156" t="n">
        <f aca="false">SUM(F132:F141)+investirrendavariávelconsolidadojun[[#This Row],[1]]</f>
        <v>0</v>
      </c>
      <c r="G142" s="156" t="n">
        <f aca="false">SUM(G132:G141)+investirrendavariávelconsolidadojun[[#This Row],[2]]</f>
        <v>0</v>
      </c>
      <c r="H142" s="156" t="n">
        <f aca="false">SUM(H132:H141)+investirrendavariávelconsolidadojun[[#This Row],[3]]</f>
        <v>0</v>
      </c>
      <c r="I142" s="156" t="n">
        <f aca="false">SUM(I132:I141)+investirrendavariávelconsolidadojun[[#This Row],[4]]</f>
        <v>0</v>
      </c>
      <c r="J142" s="156" t="n">
        <f aca="false">SUM(J132:J141)+investirrendavariávelconsolidadojun[[#This Row],[5]]</f>
        <v>0</v>
      </c>
      <c r="K142" s="156" t="n">
        <f aca="false">SUM(K132:K141)+investirrendavariávelconsolidadojun[[#This Row],[6]]</f>
        <v>0</v>
      </c>
      <c r="L142" s="156" t="n">
        <f aca="false">SUM(L132:L141)+investirrendavariávelconsolidadojun[[#This Row],[7]]</f>
        <v>0</v>
      </c>
      <c r="M142" s="156" t="n">
        <f aca="false">SUM(M132:M141)+investirrendavariávelconsolidadojun[[#This Row],[8]]</f>
        <v>0</v>
      </c>
      <c r="N142" s="156" t="n">
        <f aca="false">SUM(N132:N141)+investirrendavariávelconsolidadojun[[#This Row],[9]]</f>
        <v>0</v>
      </c>
      <c r="O142" s="156" t="n">
        <f aca="false">SUM(O132:O141)+investirrendavariávelconsolidadojun[[#This Row],[10]]</f>
        <v>0</v>
      </c>
      <c r="P142" s="156" t="n">
        <f aca="false">SUM(P132:P141)+investirrendavariávelconsolidadojun[[#This Row],[11]]</f>
        <v>0</v>
      </c>
      <c r="Q142" s="156" t="n">
        <f aca="false">SUM(Q132:Q141)+investirrendavariávelconsolidadojun[[#This Row],[12]]</f>
        <v>0</v>
      </c>
      <c r="R142" s="156" t="n">
        <f aca="false">SUM(R132:R141)+investirrendavariávelconsolidadojun[[#This Row],[13]]</f>
        <v>0</v>
      </c>
      <c r="S142" s="156" t="n">
        <f aca="false">SUM(S132:S141)+investirrendavariávelconsolidadojun[[#This Row],[14]]</f>
        <v>0</v>
      </c>
      <c r="T142" s="156" t="n">
        <f aca="false">SUM(T132:T141)+investirrendavariávelconsolidadojun[[#This Row],[15]]</f>
        <v>0</v>
      </c>
      <c r="U142" s="156" t="n">
        <f aca="false">SUM(U132:U141)+investirrendavariávelconsolidadojun[[#This Row],[16]]</f>
        <v>0</v>
      </c>
      <c r="V142" s="156" t="n">
        <f aca="false">SUM(V132:V141)+investirrendavariávelconsolidadojun[[#This Row],[17]]</f>
        <v>0</v>
      </c>
      <c r="W142" s="156" t="n">
        <f aca="false">SUM(W132:W141)+investirrendavariávelconsolidadojun[[#This Row],[18]]</f>
        <v>0</v>
      </c>
      <c r="X142" s="156" t="n">
        <f aca="false">SUM(X132:X141)+investirrendavariávelconsolidadojun[[#This Row],[19]]</f>
        <v>0</v>
      </c>
      <c r="Y142" s="156" t="n">
        <f aca="false">SUM(Y132:Y141)+investirrendavariávelconsolidadojun[[#This Row],[20]]</f>
        <v>0</v>
      </c>
      <c r="Z142" s="156" t="n">
        <f aca="false">SUM(Z132:Z141)+investirrendavariávelconsolidadojun[[#This Row],[21]]</f>
        <v>0</v>
      </c>
      <c r="AA142" s="156" t="n">
        <f aca="false">SUM(AA132:AA141)+investirrendavariávelconsolidadojun[[#This Row],[22]]</f>
        <v>0</v>
      </c>
      <c r="AB142" s="156" t="n">
        <f aca="false">SUM(AB132:AB141)+investirrendavariávelconsolidadojun[[#This Row],[23]]</f>
        <v>0</v>
      </c>
      <c r="AC142" s="156" t="n">
        <f aca="false">SUM(AC132:AC141)+investirrendavariávelconsolidadojun[[#This Row],[24]]</f>
        <v>0</v>
      </c>
      <c r="AD142" s="156" t="n">
        <f aca="false">SUM(AD132:AD141)+investirrendavariávelconsolidadojun[[#This Row],[25]]</f>
        <v>0</v>
      </c>
      <c r="AE142" s="156" t="n">
        <f aca="false">SUM(AE132:AE141)+investirrendavariávelconsolidadojun[[#This Row],[26]]</f>
        <v>0</v>
      </c>
      <c r="AF142" s="156" t="n">
        <f aca="false">SUM(AF132:AF141)+investirrendavariávelconsolidadojun[[#This Row],[27]]</f>
        <v>0</v>
      </c>
      <c r="AG142" s="156" t="n">
        <f aca="false">SUM(AG132:AG141)+investirrendavariávelconsolidadojun[[#This Row],[28]]</f>
        <v>0</v>
      </c>
      <c r="AH142" s="156" t="n">
        <f aca="false">SUM(AH132:AH141)+investirrendavariávelconsolidadojun[[#This Row],[29]]</f>
        <v>0</v>
      </c>
      <c r="AI142" s="223" t="n">
        <f aca="false">SUM(AI132:AI141)+investirrendavariávelconsolidadojun[[#This Row],[30]]</f>
        <v>0</v>
      </c>
      <c r="AJ142" s="157" t="n">
        <f aca="false">investirrendavariávelconsolidadojun[[#This Row],[31]]</f>
        <v>0</v>
      </c>
      <c r="AK142" s="158"/>
    </row>
    <row r="143" customFormat="false" ht="6.75" hidden="false" customHeight="true" outlineLevel="0" collapsed="false">
      <c r="B143" s="97"/>
      <c r="C143" s="162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233"/>
      <c r="AJ143" s="164"/>
      <c r="AK143" s="244"/>
    </row>
    <row r="144" s="78" customFormat="true" ht="12.75" hidden="false" customHeight="false" outlineLevel="0" collapsed="false">
      <c r="E144" s="100"/>
    </row>
    <row r="145" s="78" customFormat="true" ht="12" hidden="false" customHeight="false" outlineLevel="0" collapsed="false"/>
    <row r="146" s="78" customFormat="true" ht="12" hidden="false" customHeight="false" outlineLevel="0" collapsed="false"/>
    <row r="147" customFormat="false" ht="39.75" hidden="false" customHeight="true" outlineLevel="0" collapsed="false">
      <c r="C147" s="101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3" t="s">
        <v>2</v>
      </c>
    </row>
    <row r="148" s="78" customFormat="true" ht="12.75" hidden="false" customHeight="false" outlineLevel="0" collapsed="false">
      <c r="B148" s="161"/>
      <c r="AJ148" s="106" t="s">
        <v>64</v>
      </c>
    </row>
    <row r="149" customFormat="false" ht="6.75" hidden="false" customHeight="true" outlineLevel="0" collapsed="false">
      <c r="B149" s="86"/>
      <c r="C149" s="162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233"/>
      <c r="AK149" s="139"/>
    </row>
    <row r="150" customFormat="false" ht="13.5" hidden="true" customHeight="false" outlineLevel="0" collapsed="false">
      <c r="B150" s="86"/>
      <c r="C150" s="109" t="s">
        <v>68</v>
      </c>
      <c r="D150" s="110" t="s">
        <v>69</v>
      </c>
      <c r="E150" s="110" t="s">
        <v>30</v>
      </c>
      <c r="F150" s="110" t="s">
        <v>31</v>
      </c>
      <c r="G150" s="110" t="s">
        <v>32</v>
      </c>
      <c r="H150" s="110" t="s">
        <v>33</v>
      </c>
      <c r="I150" s="110" t="s">
        <v>34</v>
      </c>
      <c r="J150" s="110" t="s">
        <v>35</v>
      </c>
      <c r="K150" s="110" t="s">
        <v>36</v>
      </c>
      <c r="L150" s="110" t="s">
        <v>37</v>
      </c>
      <c r="M150" s="110" t="s">
        <v>38</v>
      </c>
      <c r="N150" s="110" t="s">
        <v>39</v>
      </c>
      <c r="O150" s="110" t="s">
        <v>40</v>
      </c>
      <c r="P150" s="110" t="s">
        <v>41</v>
      </c>
      <c r="Q150" s="110" t="s">
        <v>81</v>
      </c>
      <c r="R150" s="110" t="s">
        <v>82</v>
      </c>
      <c r="S150" s="110" t="s">
        <v>83</v>
      </c>
      <c r="T150" s="110" t="s">
        <v>84</v>
      </c>
      <c r="U150" s="110" t="s">
        <v>85</v>
      </c>
      <c r="V150" s="110" t="s">
        <v>86</v>
      </c>
      <c r="W150" s="110" t="s">
        <v>87</v>
      </c>
      <c r="X150" s="110" t="s">
        <v>88</v>
      </c>
      <c r="Y150" s="110" t="s">
        <v>89</v>
      </c>
      <c r="Z150" s="110" t="s">
        <v>90</v>
      </c>
      <c r="AA150" s="110" t="s">
        <v>91</v>
      </c>
      <c r="AB150" s="110" t="s">
        <v>92</v>
      </c>
      <c r="AC150" s="110" t="s">
        <v>93</v>
      </c>
      <c r="AD150" s="110" t="s">
        <v>94</v>
      </c>
      <c r="AE150" s="110" t="s">
        <v>95</v>
      </c>
      <c r="AF150" s="110" t="s">
        <v>96</v>
      </c>
      <c r="AG150" s="110" t="s">
        <v>97</v>
      </c>
      <c r="AH150" s="110" t="s">
        <v>98</v>
      </c>
      <c r="AI150" s="110" t="s">
        <v>99</v>
      </c>
      <c r="AJ150" s="111" t="s">
        <v>70</v>
      </c>
      <c r="AK150" s="86"/>
    </row>
    <row r="151" customFormat="false" ht="19.5" hidden="false" customHeight="true" outlineLevel="0" collapsed="false">
      <c r="B151" s="143"/>
      <c r="C151" s="144" t="str">
        <f aca="false">DADOS!$AH$3</f>
        <v>📝 COE</v>
      </c>
      <c r="D151" s="145" t="str">
        <f aca="false">IF(investiroutrosconsolidadojun[[#This Row],[TOTAL (R$)]]=0,"",IF(OR(investiroutrosconsolidadojun[[#This Row],[TOTAL (R$)]]=LARGE($AJ$151:$AJ$158,1),investiroutrosconsolidadojun[[#This Row],[TOTAL (R$)]]=LARGE($AJ$151:$AJ$158,2)),DADOS!$I$10,""))</f>
        <v/>
      </c>
      <c r="E151" s="148" t="n">
        <f aca="false">SUMIFS(tabela_registros[VALOR],tabela_registros[MÊS],$AE$1,tabela_registros[DIA],investiroutrosconsolidadojun[[#Headers],[1]],tabela_registros[REGISTRO],DADOS!$N$5,tabela_registros[TIPO],DADOS!$AB$5,tabela_registros[CATEGORIA],investiroutrosconsolidadojun[[#This Row],[ATUAL]])</f>
        <v>0</v>
      </c>
      <c r="F151" s="119" t="n">
        <f aca="false">SUMIFS(tabela_registros[VALOR],tabela_registros[MÊS],$AE$1,tabela_registros[DIA],investiroutrosconsolidadojun[[#Headers],[2]],tabela_registros[REGISTRO],DADOS!$N$5,tabela_registros[TIPO],DADOS!$AB$5,tabela_registros[CATEGORIA],investiroutrosconsolidadojun[[#This Row],[ATUAL]])</f>
        <v>0</v>
      </c>
      <c r="G151" s="119" t="n">
        <f aca="false">SUMIFS(tabela_registros[VALOR],tabela_registros[MÊS],$AE$1,tabela_registros[DIA],investiroutrosconsolidadojun[[#Headers],[3]],tabela_registros[REGISTRO],DADOS!$N$5,tabela_registros[TIPO],DADOS!$AB$5,tabela_registros[CATEGORIA],investiroutrosconsolidadojun[[#This Row],[ATUAL]])</f>
        <v>0</v>
      </c>
      <c r="H151" s="119" t="n">
        <f aca="false">SUMIFS(tabela_registros[VALOR],tabela_registros[MÊS],$AE$1,tabela_registros[DIA],investiroutrosconsolidadojun[[#Headers],[4]],tabela_registros[REGISTRO],DADOS!$N$5,tabela_registros[TIPO],DADOS!$AB$5,tabela_registros[CATEGORIA],investiroutrosconsolidadojun[[#This Row],[ATUAL]])</f>
        <v>0</v>
      </c>
      <c r="I151" s="119" t="n">
        <f aca="false">SUMIFS(tabela_registros[VALOR],tabela_registros[MÊS],$AE$1,tabela_registros[DIA],investiroutrosconsolidadojun[[#Headers],[5]],tabela_registros[REGISTRO],DADOS!$N$5,tabela_registros[TIPO],DADOS!$AB$5,tabela_registros[CATEGORIA],investiroutrosconsolidadojun[[#This Row],[ATUAL]])</f>
        <v>0</v>
      </c>
      <c r="J151" s="119" t="n">
        <f aca="false">SUMIFS(tabela_registros[VALOR],tabela_registros[MÊS],$AE$1,tabela_registros[DIA],investiroutrosconsolidadojun[[#Headers],[6]],tabela_registros[REGISTRO],DADOS!$N$5,tabela_registros[TIPO],DADOS!$AB$5,tabela_registros[CATEGORIA],investiroutrosconsolidadojun[[#This Row],[ATUAL]])</f>
        <v>0</v>
      </c>
      <c r="K151" s="119" t="n">
        <f aca="false">SUMIFS(tabela_registros[VALOR],tabela_registros[MÊS],$AE$1,tabela_registros[DIA],investiroutrosconsolidadojun[[#Headers],[7]],tabela_registros[REGISTRO],DADOS!$N$5,tabela_registros[TIPO],DADOS!$AB$5,tabela_registros[CATEGORIA],investiroutrosconsolidadojun[[#This Row],[ATUAL]])</f>
        <v>0</v>
      </c>
      <c r="L151" s="119" t="n">
        <f aca="false">SUMIFS(tabela_registros[VALOR],tabela_registros[MÊS],$AE$1,tabela_registros[DIA],investiroutrosconsolidadojun[[#Headers],[8]],tabela_registros[REGISTRO],DADOS!$N$5,tabela_registros[TIPO],DADOS!$AB$5,tabela_registros[CATEGORIA],investiroutrosconsolidadojun[[#This Row],[ATUAL]])</f>
        <v>0</v>
      </c>
      <c r="M151" s="119" t="n">
        <f aca="false">SUMIFS(tabela_registros[VALOR],tabela_registros[MÊS],$AE$1,tabela_registros[DIA],investiroutrosconsolidadojun[[#Headers],[9]],tabela_registros[REGISTRO],DADOS!$N$5,tabela_registros[TIPO],DADOS!$AB$5,tabela_registros[CATEGORIA],investiroutrosconsolidadojun[[#This Row],[ATUAL]])</f>
        <v>0</v>
      </c>
      <c r="N151" s="119" t="n">
        <f aca="false">SUMIFS(tabela_registros[VALOR],tabela_registros[MÊS],$AE$1,tabela_registros[DIA],investiroutrosconsolidadojun[[#Headers],[10]],tabela_registros[REGISTRO],DADOS!$N$5,tabela_registros[TIPO],DADOS!$AB$5,tabela_registros[CATEGORIA],investiroutrosconsolidadojun[[#This Row],[ATUAL]])</f>
        <v>0</v>
      </c>
      <c r="O151" s="119" t="n">
        <f aca="false">SUMIFS(tabela_registros[VALOR],tabela_registros[MÊS],$AE$1,tabela_registros[DIA],investiroutrosconsolidadojun[[#Headers],[11]],tabela_registros[REGISTRO],DADOS!$N$5,tabela_registros[TIPO],DADOS!$AB$5,tabela_registros[CATEGORIA],investiroutrosconsolidadojun[[#This Row],[ATUAL]])</f>
        <v>0</v>
      </c>
      <c r="P151" s="119" t="n">
        <f aca="false">SUMIFS(tabela_registros[VALOR],tabela_registros[MÊS],$AE$1,tabela_registros[DIA],investiroutrosconsolidadojun[[#Headers],[12]],tabela_registros[REGISTRO],DADOS!$N$5,tabela_registros[TIPO],DADOS!$AB$5,tabela_registros[CATEGORIA],investiroutrosconsolidadojun[[#This Row],[ATUAL]])</f>
        <v>0</v>
      </c>
      <c r="Q151" s="119" t="n">
        <f aca="false">SUMIFS(tabela_registros[VALOR],tabela_registros[MÊS],$AE$1,tabela_registros[DIA],investiroutrosconsolidadojun[[#Headers],[13]],tabela_registros[REGISTRO],DADOS!$N$5,tabela_registros[TIPO],DADOS!$AB$5,tabela_registros[CATEGORIA],investiroutrosconsolidadojun[[#This Row],[ATUAL]])</f>
        <v>0</v>
      </c>
      <c r="R151" s="119" t="n">
        <f aca="false">SUMIFS(tabela_registros[VALOR],tabela_registros[MÊS],$AE$1,tabela_registros[DIA],investiroutrosconsolidadojun[[#Headers],[14]],tabela_registros[REGISTRO],DADOS!$N$5,tabela_registros[TIPO],DADOS!$AB$5,tabela_registros[CATEGORIA],investiroutrosconsolidadojun[[#This Row],[ATUAL]])</f>
        <v>0</v>
      </c>
      <c r="S151" s="119" t="n">
        <f aca="false">SUMIFS(tabela_registros[VALOR],tabela_registros[MÊS],$AE$1,tabela_registros[DIA],investiroutrosconsolidadojun[[#Headers],[15]],tabela_registros[REGISTRO],DADOS!$N$5,tabela_registros[TIPO],DADOS!$AB$5,tabela_registros[CATEGORIA],investiroutrosconsolidadojun[[#This Row],[ATUAL]])</f>
        <v>0</v>
      </c>
      <c r="T151" s="119" t="n">
        <f aca="false">SUMIFS(tabela_registros[VALOR],tabela_registros[MÊS],$AE$1,tabela_registros[DIA],investiroutrosconsolidadojun[[#Headers],[16]],tabela_registros[REGISTRO],DADOS!$N$5,tabela_registros[TIPO],DADOS!$AB$5,tabela_registros[CATEGORIA],investiroutrosconsolidadojun[[#This Row],[ATUAL]])</f>
        <v>0</v>
      </c>
      <c r="U151" s="119" t="n">
        <f aca="false">SUMIFS(tabela_registros[VALOR],tabela_registros[MÊS],$AE$1,tabela_registros[DIA],investiroutrosconsolidadojun[[#Headers],[17]],tabela_registros[REGISTRO],DADOS!$N$5,tabela_registros[TIPO],DADOS!$AB$5,tabela_registros[CATEGORIA],investiroutrosconsolidadojun[[#This Row],[ATUAL]])</f>
        <v>0</v>
      </c>
      <c r="V151" s="119" t="n">
        <f aca="false">SUMIFS(tabela_registros[VALOR],tabela_registros[MÊS],$AE$1,tabela_registros[DIA],investiroutrosconsolidadojun[[#Headers],[18]],tabela_registros[REGISTRO],DADOS!$N$5,tabela_registros[TIPO],DADOS!$AB$5,tabela_registros[CATEGORIA],investiroutrosconsolidadojun[[#This Row],[ATUAL]])</f>
        <v>0</v>
      </c>
      <c r="W151" s="119" t="n">
        <f aca="false">SUMIFS(tabela_registros[VALOR],tabela_registros[MÊS],$AE$1,tabela_registros[DIA],investiroutrosconsolidadojun[[#Headers],[19]],tabela_registros[REGISTRO],DADOS!$N$5,tabela_registros[TIPO],DADOS!$AB$5,tabela_registros[CATEGORIA],investiroutrosconsolidadojun[[#This Row],[ATUAL]])</f>
        <v>0</v>
      </c>
      <c r="X151" s="119" t="n">
        <f aca="false">SUMIFS(tabela_registros[VALOR],tabela_registros[MÊS],$AE$1,tabela_registros[DIA],investiroutrosconsolidadojun[[#Headers],[20]],tabela_registros[REGISTRO],DADOS!$N$5,tabela_registros[TIPO],DADOS!$AB$5,tabela_registros[CATEGORIA],investiroutrosconsolidadojun[[#This Row],[ATUAL]])</f>
        <v>0</v>
      </c>
      <c r="Y151" s="119" t="n">
        <f aca="false">SUMIFS(tabela_registros[VALOR],tabela_registros[MÊS],$AE$1,tabela_registros[DIA],investiroutrosconsolidadojun[[#Headers],[21]],tabela_registros[REGISTRO],DADOS!$N$5,tabela_registros[TIPO],DADOS!$AB$5,tabela_registros[CATEGORIA],investiroutrosconsolidadojun[[#This Row],[ATUAL]])</f>
        <v>0</v>
      </c>
      <c r="Z151" s="119" t="n">
        <f aca="false">SUMIFS(tabela_registros[VALOR],tabela_registros[MÊS],$AE$1,tabela_registros[DIA],investiroutrosconsolidadojun[[#Headers],[22]],tabela_registros[REGISTRO],DADOS!$N$5,tabela_registros[TIPO],DADOS!$AB$5,tabela_registros[CATEGORIA],investiroutrosconsolidadojun[[#This Row],[ATUAL]])</f>
        <v>0</v>
      </c>
      <c r="AA151" s="119" t="n">
        <f aca="false">SUMIFS(tabela_registros[VALOR],tabela_registros[MÊS],$AE$1,tabela_registros[DIA],investiroutrosconsolidadojun[[#Headers],[23]],tabela_registros[REGISTRO],DADOS!$N$5,tabela_registros[TIPO],DADOS!$AB$5,tabela_registros[CATEGORIA],investiroutrosconsolidadojun[[#This Row],[ATUAL]])</f>
        <v>0</v>
      </c>
      <c r="AB151" s="119" t="n">
        <f aca="false">SUMIFS(tabela_registros[VALOR],tabela_registros[MÊS],$AE$1,tabela_registros[DIA],investiroutrosconsolidadojun[[#Headers],[24]],tabela_registros[REGISTRO],DADOS!$N$5,tabela_registros[TIPO],DADOS!$AB$5,tabela_registros[CATEGORIA],investiroutrosconsolidadojun[[#This Row],[ATUAL]])</f>
        <v>0</v>
      </c>
      <c r="AC151" s="119" t="n">
        <f aca="false">SUMIFS(tabela_registros[VALOR],tabela_registros[MÊS],$AE$1,tabela_registros[DIA],investiroutrosconsolidadojun[[#Headers],[25]],tabela_registros[REGISTRO],DADOS!$N$5,tabela_registros[TIPO],DADOS!$AB$5,tabela_registros[CATEGORIA],investiroutrosconsolidadojun[[#This Row],[ATUAL]])</f>
        <v>0</v>
      </c>
      <c r="AD151" s="119" t="n">
        <f aca="false">SUMIFS(tabela_registros[VALOR],tabela_registros[MÊS],$AE$1,tabela_registros[DIA],investiroutrosconsolidadojun[[#Headers],[26]],tabela_registros[REGISTRO],DADOS!$N$5,tabela_registros[TIPO],DADOS!$AB$5,tabela_registros[CATEGORIA],investiroutrosconsolidadojun[[#This Row],[ATUAL]])</f>
        <v>0</v>
      </c>
      <c r="AE151" s="119" t="n">
        <f aca="false">SUMIFS(tabela_registros[VALOR],tabela_registros[MÊS],$AE$1,tabela_registros[DIA],investiroutrosconsolidadojun[[#Headers],[27]],tabela_registros[REGISTRO],DADOS!$N$5,tabela_registros[TIPO],DADOS!$AB$5,tabela_registros[CATEGORIA],investiroutrosconsolidadojun[[#This Row],[ATUAL]])</f>
        <v>0</v>
      </c>
      <c r="AF151" s="119" t="n">
        <f aca="false">SUMIFS(tabela_registros[VALOR],tabela_registros[MÊS],$AE$1,tabela_registros[DIA],investiroutrosconsolidadojun[[#Headers],[28]],tabela_registros[REGISTRO],DADOS!$N$5,tabela_registros[TIPO],DADOS!$AB$5,tabela_registros[CATEGORIA],investiroutrosconsolidadojun[[#This Row],[ATUAL]])</f>
        <v>0</v>
      </c>
      <c r="AG151" s="119" t="n">
        <f aca="false">SUMIFS(tabela_registros[VALOR],tabela_registros[MÊS],$AE$1,tabela_registros[DIA],investiroutrosconsolidadojun[[#Headers],[29]],tabela_registros[REGISTRO],DADOS!$N$5,tabela_registros[TIPO],DADOS!$AB$5,tabela_registros[CATEGORIA],investiroutrosconsolidadojun[[#This Row],[ATUAL]])</f>
        <v>0</v>
      </c>
      <c r="AH151" s="119" t="n">
        <f aca="false">SUMIFS(tabela_registros[VALOR],tabela_registros[MÊS],$AE$1,tabela_registros[DIA],investiroutrosconsolidadojun[[#Headers],[30]],tabela_registros[REGISTRO],DADOS!$N$5,tabela_registros[TIPO],DADOS!$AB$5,tabela_registros[CATEGORIA],investiroutrosconsolidadojun[[#This Row],[ATUAL]])</f>
        <v>0</v>
      </c>
      <c r="AI151" s="217" t="n">
        <f aca="false">SUMIFS(tabela_registros[VALOR],tabela_registros[MÊS],$AE$1,tabela_registros[DIA],investiroutrosconsolidadojun[[#Headers],[31]],tabela_registros[REGISTRO],DADOS!$N$5,tabela_registros[TIPO],DADOS!$AB$5,tabela_registros[CATEGORIA],investiroutrosconsolidadojun[[#This Row],[ATUAL]])</f>
        <v>0</v>
      </c>
      <c r="AJ151" s="149" t="n">
        <f aca="false">SUM(investiroutrosconsolidadojun[[#This Row],[1]:[31]])</f>
        <v>0</v>
      </c>
      <c r="AK151" s="165"/>
    </row>
    <row r="152" customFormat="false" ht="19.5" hidden="false" customHeight="true" outlineLevel="0" collapsed="false">
      <c r="B152" s="143"/>
      <c r="C152" s="144" t="str">
        <f aca="false">DADOS!$AH$4</f>
        <v>📝 FOREX</v>
      </c>
      <c r="D152" s="145" t="str">
        <f aca="false">IF(investiroutrosconsolidadojun[[#This Row],[TOTAL (R$)]]=0,"",IF(OR(investiroutrosconsolidadojun[[#This Row],[TOTAL (R$)]]=LARGE($AJ$151:$AJ$158,1),investiroutrosconsolidadojun[[#This Row],[TOTAL (R$)]]=LARGE($AJ$151:$AJ$158,2)),DADOS!$I$10,""))</f>
        <v/>
      </c>
      <c r="E152" s="148" t="n">
        <f aca="false">SUMIFS(tabela_registros[VALOR],tabela_registros[MÊS],$AE$1,tabela_registros[DIA],investiroutrosconsolidadojun[[#Headers],[1]],tabela_registros[REGISTRO],DADOS!$N$5,tabela_registros[TIPO],DADOS!$AB$5,tabela_registros[CATEGORIA],investiroutrosconsolidadojun[[#This Row],[ATUAL]])</f>
        <v>0</v>
      </c>
      <c r="F152" s="119" t="n">
        <f aca="false">SUMIFS(tabela_registros[VALOR],tabela_registros[MÊS],$AE$1,tabela_registros[DIA],investiroutrosconsolidadojun[[#Headers],[2]],tabela_registros[REGISTRO],DADOS!$N$5,tabela_registros[TIPO],DADOS!$AB$5,tabela_registros[CATEGORIA],investiroutrosconsolidadojun[[#This Row],[ATUAL]])</f>
        <v>0</v>
      </c>
      <c r="G152" s="119" t="n">
        <f aca="false">SUMIFS(tabela_registros[VALOR],tabela_registros[MÊS],$AE$1,tabela_registros[DIA],investiroutrosconsolidadojun[[#Headers],[3]],tabela_registros[REGISTRO],DADOS!$N$5,tabela_registros[TIPO],DADOS!$AB$5,tabela_registros[CATEGORIA],investiroutrosconsolidadojun[[#This Row],[ATUAL]])</f>
        <v>0</v>
      </c>
      <c r="H152" s="119" t="n">
        <f aca="false">SUMIFS(tabela_registros[VALOR],tabela_registros[MÊS],$AE$1,tabela_registros[DIA],investiroutrosconsolidadojun[[#Headers],[4]],tabela_registros[REGISTRO],DADOS!$N$5,tabela_registros[TIPO],DADOS!$AB$5,tabela_registros[CATEGORIA],investiroutrosconsolidadojun[[#This Row],[ATUAL]])</f>
        <v>0</v>
      </c>
      <c r="I152" s="119" t="n">
        <f aca="false">SUMIFS(tabela_registros[VALOR],tabela_registros[MÊS],$AE$1,tabela_registros[DIA],investiroutrosconsolidadojun[[#Headers],[5]],tabela_registros[REGISTRO],DADOS!$N$5,tabela_registros[TIPO],DADOS!$AB$5,tabela_registros[CATEGORIA],investiroutrosconsolidadojun[[#This Row],[ATUAL]])</f>
        <v>0</v>
      </c>
      <c r="J152" s="119" t="n">
        <f aca="false">SUMIFS(tabela_registros[VALOR],tabela_registros[MÊS],$AE$1,tabela_registros[DIA],investiroutrosconsolidadojun[[#Headers],[6]],tabela_registros[REGISTRO],DADOS!$N$5,tabela_registros[TIPO],DADOS!$AB$5,tabela_registros[CATEGORIA],investiroutrosconsolidadojun[[#This Row],[ATUAL]])</f>
        <v>0</v>
      </c>
      <c r="K152" s="119" t="n">
        <f aca="false">SUMIFS(tabela_registros[VALOR],tabela_registros[MÊS],$AE$1,tabela_registros[DIA],investiroutrosconsolidadojun[[#Headers],[7]],tabela_registros[REGISTRO],DADOS!$N$5,tabela_registros[TIPO],DADOS!$AB$5,tabela_registros[CATEGORIA],investiroutrosconsolidadojun[[#This Row],[ATUAL]])</f>
        <v>0</v>
      </c>
      <c r="L152" s="119" t="n">
        <f aca="false">SUMIFS(tabela_registros[VALOR],tabela_registros[MÊS],$AE$1,tabela_registros[DIA],investiroutrosconsolidadojun[[#Headers],[8]],tabela_registros[REGISTRO],DADOS!$N$5,tabela_registros[TIPO],DADOS!$AB$5,tabela_registros[CATEGORIA],investiroutrosconsolidadojun[[#This Row],[ATUAL]])</f>
        <v>0</v>
      </c>
      <c r="M152" s="119" t="n">
        <f aca="false">SUMIFS(tabela_registros[VALOR],tabela_registros[MÊS],$AE$1,tabela_registros[DIA],investiroutrosconsolidadojun[[#Headers],[9]],tabela_registros[REGISTRO],DADOS!$N$5,tabela_registros[TIPO],DADOS!$AB$5,tabela_registros[CATEGORIA],investiroutrosconsolidadojun[[#This Row],[ATUAL]])</f>
        <v>0</v>
      </c>
      <c r="N152" s="119" t="n">
        <f aca="false">SUMIFS(tabela_registros[VALOR],tabela_registros[MÊS],$AE$1,tabela_registros[DIA],investiroutrosconsolidadojun[[#Headers],[10]],tabela_registros[REGISTRO],DADOS!$N$5,tabela_registros[TIPO],DADOS!$AB$5,tabela_registros[CATEGORIA],investiroutrosconsolidadojun[[#This Row],[ATUAL]])</f>
        <v>0</v>
      </c>
      <c r="O152" s="119" t="n">
        <f aca="false">SUMIFS(tabela_registros[VALOR],tabela_registros[MÊS],$AE$1,tabela_registros[DIA],investiroutrosconsolidadojun[[#Headers],[11]],tabela_registros[REGISTRO],DADOS!$N$5,tabela_registros[TIPO],DADOS!$AB$5,tabela_registros[CATEGORIA],investiroutrosconsolidadojun[[#This Row],[ATUAL]])</f>
        <v>0</v>
      </c>
      <c r="P152" s="119" t="n">
        <f aca="false">SUMIFS(tabela_registros[VALOR],tabela_registros[MÊS],$AE$1,tabela_registros[DIA],investiroutrosconsolidadojun[[#Headers],[12]],tabela_registros[REGISTRO],DADOS!$N$5,tabela_registros[TIPO],DADOS!$AB$5,tabela_registros[CATEGORIA],investiroutrosconsolidadojun[[#This Row],[ATUAL]])</f>
        <v>0</v>
      </c>
      <c r="Q152" s="119" t="n">
        <f aca="false">SUMIFS(tabela_registros[VALOR],tabela_registros[MÊS],$AE$1,tabela_registros[DIA],investiroutrosconsolidadojun[[#Headers],[13]],tabela_registros[REGISTRO],DADOS!$N$5,tabela_registros[TIPO],DADOS!$AB$5,tabela_registros[CATEGORIA],investiroutrosconsolidadojun[[#This Row],[ATUAL]])</f>
        <v>0</v>
      </c>
      <c r="R152" s="119" t="n">
        <f aca="false">SUMIFS(tabela_registros[VALOR],tabela_registros[MÊS],$AE$1,tabela_registros[DIA],investiroutrosconsolidadojun[[#Headers],[14]],tabela_registros[REGISTRO],DADOS!$N$5,tabela_registros[TIPO],DADOS!$AB$5,tabela_registros[CATEGORIA],investiroutrosconsolidadojun[[#This Row],[ATUAL]])</f>
        <v>0</v>
      </c>
      <c r="S152" s="119" t="n">
        <f aca="false">SUMIFS(tabela_registros[VALOR],tabela_registros[MÊS],$AE$1,tabela_registros[DIA],investiroutrosconsolidadojun[[#Headers],[15]],tabela_registros[REGISTRO],DADOS!$N$5,tabela_registros[TIPO],DADOS!$AB$5,tabela_registros[CATEGORIA],investiroutrosconsolidadojun[[#This Row],[ATUAL]])</f>
        <v>0</v>
      </c>
      <c r="T152" s="119" t="n">
        <f aca="false">SUMIFS(tabela_registros[VALOR],tabela_registros[MÊS],$AE$1,tabela_registros[DIA],investiroutrosconsolidadojun[[#Headers],[16]],tabela_registros[REGISTRO],DADOS!$N$5,tabela_registros[TIPO],DADOS!$AB$5,tabela_registros[CATEGORIA],investiroutrosconsolidadojun[[#This Row],[ATUAL]])</f>
        <v>0</v>
      </c>
      <c r="U152" s="119" t="n">
        <f aca="false">SUMIFS(tabela_registros[VALOR],tabela_registros[MÊS],$AE$1,tabela_registros[DIA],investiroutrosconsolidadojun[[#Headers],[17]],tabela_registros[REGISTRO],DADOS!$N$5,tabela_registros[TIPO],DADOS!$AB$5,tabela_registros[CATEGORIA],investiroutrosconsolidadojun[[#This Row],[ATUAL]])</f>
        <v>0</v>
      </c>
      <c r="V152" s="119" t="n">
        <f aca="false">SUMIFS(tabela_registros[VALOR],tabela_registros[MÊS],$AE$1,tabela_registros[DIA],investiroutrosconsolidadojun[[#Headers],[18]],tabela_registros[REGISTRO],DADOS!$N$5,tabela_registros[TIPO],DADOS!$AB$5,tabela_registros[CATEGORIA],investiroutrosconsolidadojun[[#This Row],[ATUAL]])</f>
        <v>0</v>
      </c>
      <c r="W152" s="119" t="n">
        <f aca="false">SUMIFS(tabela_registros[VALOR],tabela_registros[MÊS],$AE$1,tabela_registros[DIA],investiroutrosconsolidadojun[[#Headers],[19]],tabela_registros[REGISTRO],DADOS!$N$5,tabela_registros[TIPO],DADOS!$AB$5,tabela_registros[CATEGORIA],investiroutrosconsolidadojun[[#This Row],[ATUAL]])</f>
        <v>0</v>
      </c>
      <c r="X152" s="119" t="n">
        <f aca="false">SUMIFS(tabela_registros[VALOR],tabela_registros[MÊS],$AE$1,tabela_registros[DIA],investiroutrosconsolidadojun[[#Headers],[20]],tabela_registros[REGISTRO],DADOS!$N$5,tabela_registros[TIPO],DADOS!$AB$5,tabela_registros[CATEGORIA],investiroutrosconsolidadojun[[#This Row],[ATUAL]])</f>
        <v>0</v>
      </c>
      <c r="Y152" s="119" t="n">
        <f aca="false">SUMIFS(tabela_registros[VALOR],tabela_registros[MÊS],$AE$1,tabela_registros[DIA],investiroutrosconsolidadojun[[#Headers],[21]],tabela_registros[REGISTRO],DADOS!$N$5,tabela_registros[TIPO],DADOS!$AB$5,tabela_registros[CATEGORIA],investiroutrosconsolidadojun[[#This Row],[ATUAL]])</f>
        <v>0</v>
      </c>
      <c r="Z152" s="119" t="n">
        <f aca="false">SUMIFS(tabela_registros[VALOR],tabela_registros[MÊS],$AE$1,tabela_registros[DIA],investiroutrosconsolidadojun[[#Headers],[22]],tabela_registros[REGISTRO],DADOS!$N$5,tabela_registros[TIPO],DADOS!$AB$5,tabela_registros[CATEGORIA],investiroutrosconsolidadojun[[#This Row],[ATUAL]])</f>
        <v>0</v>
      </c>
      <c r="AA152" s="119" t="n">
        <f aca="false">SUMIFS(tabela_registros[VALOR],tabela_registros[MÊS],$AE$1,tabela_registros[DIA],investiroutrosconsolidadojun[[#Headers],[23]],tabela_registros[REGISTRO],DADOS!$N$5,tabela_registros[TIPO],DADOS!$AB$5,tabela_registros[CATEGORIA],investiroutrosconsolidadojun[[#This Row],[ATUAL]])</f>
        <v>0</v>
      </c>
      <c r="AB152" s="119" t="n">
        <f aca="false">SUMIFS(tabela_registros[VALOR],tabela_registros[MÊS],$AE$1,tabela_registros[DIA],investiroutrosconsolidadojun[[#Headers],[24]],tabela_registros[REGISTRO],DADOS!$N$5,tabela_registros[TIPO],DADOS!$AB$5,tabela_registros[CATEGORIA],investiroutrosconsolidadojun[[#This Row],[ATUAL]])</f>
        <v>0</v>
      </c>
      <c r="AC152" s="119" t="n">
        <f aca="false">SUMIFS(tabela_registros[VALOR],tabela_registros[MÊS],$AE$1,tabela_registros[DIA],investiroutrosconsolidadojun[[#Headers],[25]],tabela_registros[REGISTRO],DADOS!$N$5,tabela_registros[TIPO],DADOS!$AB$5,tabela_registros[CATEGORIA],investiroutrosconsolidadojun[[#This Row],[ATUAL]])</f>
        <v>0</v>
      </c>
      <c r="AD152" s="119" t="n">
        <f aca="false">SUMIFS(tabela_registros[VALOR],tabela_registros[MÊS],$AE$1,tabela_registros[DIA],investiroutrosconsolidadojun[[#Headers],[26]],tabela_registros[REGISTRO],DADOS!$N$5,tabela_registros[TIPO],DADOS!$AB$5,tabela_registros[CATEGORIA],investiroutrosconsolidadojun[[#This Row],[ATUAL]])</f>
        <v>0</v>
      </c>
      <c r="AE152" s="119" t="n">
        <f aca="false">SUMIFS(tabela_registros[VALOR],tabela_registros[MÊS],$AE$1,tabela_registros[DIA],investiroutrosconsolidadojun[[#Headers],[27]],tabela_registros[REGISTRO],DADOS!$N$5,tabela_registros[TIPO],DADOS!$AB$5,tabela_registros[CATEGORIA],investiroutrosconsolidadojun[[#This Row],[ATUAL]])</f>
        <v>0</v>
      </c>
      <c r="AF152" s="119" t="n">
        <f aca="false">SUMIFS(tabela_registros[VALOR],tabela_registros[MÊS],$AE$1,tabela_registros[DIA],investiroutrosconsolidadojun[[#Headers],[28]],tabela_registros[REGISTRO],DADOS!$N$5,tabela_registros[TIPO],DADOS!$AB$5,tabela_registros[CATEGORIA],investiroutrosconsolidadojun[[#This Row],[ATUAL]])</f>
        <v>0</v>
      </c>
      <c r="AG152" s="119" t="n">
        <f aca="false">SUMIFS(tabela_registros[VALOR],tabela_registros[MÊS],$AE$1,tabela_registros[DIA],investiroutrosconsolidadojun[[#Headers],[29]],tabela_registros[REGISTRO],DADOS!$N$5,tabela_registros[TIPO],DADOS!$AB$5,tabela_registros[CATEGORIA],investiroutrosconsolidadojun[[#This Row],[ATUAL]])</f>
        <v>0</v>
      </c>
      <c r="AH152" s="119" t="n">
        <f aca="false">SUMIFS(tabela_registros[VALOR],tabela_registros[MÊS],$AE$1,tabela_registros[DIA],investiroutrosconsolidadojun[[#Headers],[30]],tabela_registros[REGISTRO],DADOS!$N$5,tabela_registros[TIPO],DADOS!$AB$5,tabela_registros[CATEGORIA],investiroutrosconsolidadojun[[#This Row],[ATUAL]])</f>
        <v>0</v>
      </c>
      <c r="AI152" s="217" t="n">
        <f aca="false">SUMIFS(tabela_registros[VALOR],tabela_registros[MÊS],$AE$1,tabela_registros[DIA],investiroutrosconsolidadojun[[#Headers],[31]],tabela_registros[REGISTRO],DADOS!$N$5,tabela_registros[TIPO],DADOS!$AB$5,tabela_registros[CATEGORIA],investiroutrosconsolidadojun[[#This Row],[ATUAL]])</f>
        <v>0</v>
      </c>
      <c r="AJ152" s="149" t="n">
        <f aca="false">SUM(investiroutrosconsolidadojun[[#This Row],[1]:[31]])</f>
        <v>0</v>
      </c>
      <c r="AK152" s="165"/>
    </row>
    <row r="153" customFormat="false" ht="19.5" hidden="false" customHeight="true" outlineLevel="0" collapsed="false">
      <c r="B153" s="143"/>
      <c r="C153" s="144" t="str">
        <f aca="false">DADOS!$AH$5</f>
        <v>📝 FUNDO DE INVESTIMENTO</v>
      </c>
      <c r="D153" s="145" t="str">
        <f aca="false">IF(investiroutrosconsolidadojun[[#This Row],[TOTAL (R$)]]=0,"",IF(OR(investiroutrosconsolidadojun[[#This Row],[TOTAL (R$)]]=LARGE($AJ$151:$AJ$158,1),investiroutrosconsolidadojun[[#This Row],[TOTAL (R$)]]=LARGE($AJ$151:$AJ$158,2)),DADOS!$I$10,""))</f>
        <v/>
      </c>
      <c r="E153" s="148" t="n">
        <f aca="false">SUMIFS(tabela_registros[VALOR],tabela_registros[MÊS],$AE$1,tabela_registros[DIA],investiroutrosconsolidadojun[[#Headers],[1]],tabela_registros[REGISTRO],DADOS!$N$5,tabela_registros[TIPO],DADOS!$AB$5,tabela_registros[CATEGORIA],investiroutrosconsolidadojun[[#This Row],[ATUAL]])</f>
        <v>0</v>
      </c>
      <c r="F153" s="119" t="n">
        <f aca="false">SUMIFS(tabela_registros[VALOR],tabela_registros[MÊS],$AE$1,tabela_registros[DIA],investiroutrosconsolidadojun[[#Headers],[2]],tabela_registros[REGISTRO],DADOS!$N$5,tabela_registros[TIPO],DADOS!$AB$5,tabela_registros[CATEGORIA],investiroutrosconsolidadojun[[#This Row],[ATUAL]])</f>
        <v>0</v>
      </c>
      <c r="G153" s="119" t="n">
        <f aca="false">SUMIFS(tabela_registros[VALOR],tabela_registros[MÊS],$AE$1,tabela_registros[DIA],investiroutrosconsolidadojun[[#Headers],[3]],tabela_registros[REGISTRO],DADOS!$N$5,tabela_registros[TIPO],DADOS!$AB$5,tabela_registros[CATEGORIA],investiroutrosconsolidadojun[[#This Row],[ATUAL]])</f>
        <v>0</v>
      </c>
      <c r="H153" s="119" t="n">
        <f aca="false">SUMIFS(tabela_registros[VALOR],tabela_registros[MÊS],$AE$1,tabela_registros[DIA],investiroutrosconsolidadojun[[#Headers],[4]],tabela_registros[REGISTRO],DADOS!$N$5,tabela_registros[TIPO],DADOS!$AB$5,tabela_registros[CATEGORIA],investiroutrosconsolidadojun[[#This Row],[ATUAL]])</f>
        <v>0</v>
      </c>
      <c r="I153" s="119" t="n">
        <f aca="false">SUMIFS(tabela_registros[VALOR],tabela_registros[MÊS],$AE$1,tabela_registros[DIA],investiroutrosconsolidadojun[[#Headers],[5]],tabela_registros[REGISTRO],DADOS!$N$5,tabela_registros[TIPO],DADOS!$AB$5,tabela_registros[CATEGORIA],investiroutrosconsolidadojun[[#This Row],[ATUAL]])</f>
        <v>0</v>
      </c>
      <c r="J153" s="119" t="n">
        <f aca="false">SUMIFS(tabela_registros[VALOR],tabela_registros[MÊS],$AE$1,tabela_registros[DIA],investiroutrosconsolidadojun[[#Headers],[6]],tabela_registros[REGISTRO],DADOS!$N$5,tabela_registros[TIPO],DADOS!$AB$5,tabela_registros[CATEGORIA],investiroutrosconsolidadojun[[#This Row],[ATUAL]])</f>
        <v>0</v>
      </c>
      <c r="K153" s="119" t="n">
        <f aca="false">SUMIFS(tabela_registros[VALOR],tabela_registros[MÊS],$AE$1,tabela_registros[DIA],investiroutrosconsolidadojun[[#Headers],[7]],tabela_registros[REGISTRO],DADOS!$N$5,tabela_registros[TIPO],DADOS!$AB$5,tabela_registros[CATEGORIA],investiroutrosconsolidadojun[[#This Row],[ATUAL]])</f>
        <v>0</v>
      </c>
      <c r="L153" s="119" t="n">
        <f aca="false">SUMIFS(tabela_registros[VALOR],tabela_registros[MÊS],$AE$1,tabela_registros[DIA],investiroutrosconsolidadojun[[#Headers],[8]],tabela_registros[REGISTRO],DADOS!$N$5,tabela_registros[TIPO],DADOS!$AB$5,tabela_registros[CATEGORIA],investiroutrosconsolidadojun[[#This Row],[ATUAL]])</f>
        <v>0</v>
      </c>
      <c r="M153" s="119" t="n">
        <f aca="false">SUMIFS(tabela_registros[VALOR],tabela_registros[MÊS],$AE$1,tabela_registros[DIA],investiroutrosconsolidadojun[[#Headers],[9]],tabela_registros[REGISTRO],DADOS!$N$5,tabela_registros[TIPO],DADOS!$AB$5,tabela_registros[CATEGORIA],investiroutrosconsolidadojun[[#This Row],[ATUAL]])</f>
        <v>0</v>
      </c>
      <c r="N153" s="119" t="n">
        <f aca="false">SUMIFS(tabela_registros[VALOR],tabela_registros[MÊS],$AE$1,tabela_registros[DIA],investiroutrosconsolidadojun[[#Headers],[10]],tabela_registros[REGISTRO],DADOS!$N$5,tabela_registros[TIPO],DADOS!$AB$5,tabela_registros[CATEGORIA],investiroutrosconsolidadojun[[#This Row],[ATUAL]])</f>
        <v>0</v>
      </c>
      <c r="O153" s="119" t="n">
        <f aca="false">SUMIFS(tabela_registros[VALOR],tabela_registros[MÊS],$AE$1,tabela_registros[DIA],investiroutrosconsolidadojun[[#Headers],[11]],tabela_registros[REGISTRO],DADOS!$N$5,tabela_registros[TIPO],DADOS!$AB$5,tabela_registros[CATEGORIA],investiroutrosconsolidadojun[[#This Row],[ATUAL]])</f>
        <v>0</v>
      </c>
      <c r="P153" s="119" t="n">
        <f aca="false">SUMIFS(tabela_registros[VALOR],tabela_registros[MÊS],$AE$1,tabela_registros[DIA],investiroutrosconsolidadojun[[#Headers],[12]],tabela_registros[REGISTRO],DADOS!$N$5,tabela_registros[TIPO],DADOS!$AB$5,tabela_registros[CATEGORIA],investiroutrosconsolidadojun[[#This Row],[ATUAL]])</f>
        <v>0</v>
      </c>
      <c r="Q153" s="119" t="n">
        <f aca="false">SUMIFS(tabela_registros[VALOR],tabela_registros[MÊS],$AE$1,tabela_registros[DIA],investiroutrosconsolidadojun[[#Headers],[13]],tabela_registros[REGISTRO],DADOS!$N$5,tabela_registros[TIPO],DADOS!$AB$5,tabela_registros[CATEGORIA],investiroutrosconsolidadojun[[#This Row],[ATUAL]])</f>
        <v>0</v>
      </c>
      <c r="R153" s="119" t="n">
        <f aca="false">SUMIFS(tabela_registros[VALOR],tabela_registros[MÊS],$AE$1,tabela_registros[DIA],investiroutrosconsolidadojun[[#Headers],[14]],tabela_registros[REGISTRO],DADOS!$N$5,tabela_registros[TIPO],DADOS!$AB$5,tabela_registros[CATEGORIA],investiroutrosconsolidadojun[[#This Row],[ATUAL]])</f>
        <v>0</v>
      </c>
      <c r="S153" s="119" t="n">
        <f aca="false">SUMIFS(tabela_registros[VALOR],tabela_registros[MÊS],$AE$1,tabela_registros[DIA],investiroutrosconsolidadojun[[#Headers],[15]],tabela_registros[REGISTRO],DADOS!$N$5,tabela_registros[TIPO],DADOS!$AB$5,tabela_registros[CATEGORIA],investiroutrosconsolidadojun[[#This Row],[ATUAL]])</f>
        <v>0</v>
      </c>
      <c r="T153" s="119" t="n">
        <f aca="false">SUMIFS(tabela_registros[VALOR],tabela_registros[MÊS],$AE$1,tabela_registros[DIA],investiroutrosconsolidadojun[[#Headers],[16]],tabela_registros[REGISTRO],DADOS!$N$5,tabela_registros[TIPO],DADOS!$AB$5,tabela_registros[CATEGORIA],investiroutrosconsolidadojun[[#This Row],[ATUAL]])</f>
        <v>0</v>
      </c>
      <c r="U153" s="119" t="n">
        <f aca="false">SUMIFS(tabela_registros[VALOR],tabela_registros[MÊS],$AE$1,tabela_registros[DIA],investiroutrosconsolidadojun[[#Headers],[17]],tabela_registros[REGISTRO],DADOS!$N$5,tabela_registros[TIPO],DADOS!$AB$5,tabela_registros[CATEGORIA],investiroutrosconsolidadojun[[#This Row],[ATUAL]])</f>
        <v>0</v>
      </c>
      <c r="V153" s="119" t="n">
        <f aca="false">SUMIFS(tabela_registros[VALOR],tabela_registros[MÊS],$AE$1,tabela_registros[DIA],investiroutrosconsolidadojun[[#Headers],[18]],tabela_registros[REGISTRO],DADOS!$N$5,tabela_registros[TIPO],DADOS!$AB$5,tabela_registros[CATEGORIA],investiroutrosconsolidadojun[[#This Row],[ATUAL]])</f>
        <v>0</v>
      </c>
      <c r="W153" s="119" t="n">
        <f aca="false">SUMIFS(tabela_registros[VALOR],tabela_registros[MÊS],$AE$1,tabela_registros[DIA],investiroutrosconsolidadojun[[#Headers],[19]],tabela_registros[REGISTRO],DADOS!$N$5,tabela_registros[TIPO],DADOS!$AB$5,tabela_registros[CATEGORIA],investiroutrosconsolidadojun[[#This Row],[ATUAL]])</f>
        <v>0</v>
      </c>
      <c r="X153" s="119" t="n">
        <f aca="false">SUMIFS(tabela_registros[VALOR],tabela_registros[MÊS],$AE$1,tabela_registros[DIA],investiroutrosconsolidadojun[[#Headers],[20]],tabela_registros[REGISTRO],DADOS!$N$5,tabela_registros[TIPO],DADOS!$AB$5,tabela_registros[CATEGORIA],investiroutrosconsolidadojun[[#This Row],[ATUAL]])</f>
        <v>0</v>
      </c>
      <c r="Y153" s="119" t="n">
        <f aca="false">SUMIFS(tabela_registros[VALOR],tabela_registros[MÊS],$AE$1,tabela_registros[DIA],investiroutrosconsolidadojun[[#Headers],[21]],tabela_registros[REGISTRO],DADOS!$N$5,tabela_registros[TIPO],DADOS!$AB$5,tabela_registros[CATEGORIA],investiroutrosconsolidadojun[[#This Row],[ATUAL]])</f>
        <v>0</v>
      </c>
      <c r="Z153" s="119" t="n">
        <f aca="false">SUMIFS(tabela_registros[VALOR],tabela_registros[MÊS],$AE$1,tabela_registros[DIA],investiroutrosconsolidadojun[[#Headers],[22]],tabela_registros[REGISTRO],DADOS!$N$5,tabela_registros[TIPO],DADOS!$AB$5,tabela_registros[CATEGORIA],investiroutrosconsolidadojun[[#This Row],[ATUAL]])</f>
        <v>0</v>
      </c>
      <c r="AA153" s="119" t="n">
        <f aca="false">SUMIFS(tabela_registros[VALOR],tabela_registros[MÊS],$AE$1,tabela_registros[DIA],investiroutrosconsolidadojun[[#Headers],[23]],tabela_registros[REGISTRO],DADOS!$N$5,tabela_registros[TIPO],DADOS!$AB$5,tabela_registros[CATEGORIA],investiroutrosconsolidadojun[[#This Row],[ATUAL]])</f>
        <v>0</v>
      </c>
      <c r="AB153" s="119" t="n">
        <f aca="false">SUMIFS(tabela_registros[VALOR],tabela_registros[MÊS],$AE$1,tabela_registros[DIA],investiroutrosconsolidadojun[[#Headers],[24]],tabela_registros[REGISTRO],DADOS!$N$5,tabela_registros[TIPO],DADOS!$AB$5,tabela_registros[CATEGORIA],investiroutrosconsolidadojun[[#This Row],[ATUAL]])</f>
        <v>0</v>
      </c>
      <c r="AC153" s="119" t="n">
        <f aca="false">SUMIFS(tabela_registros[VALOR],tabela_registros[MÊS],$AE$1,tabela_registros[DIA],investiroutrosconsolidadojun[[#Headers],[25]],tabela_registros[REGISTRO],DADOS!$N$5,tabela_registros[TIPO],DADOS!$AB$5,tabela_registros[CATEGORIA],investiroutrosconsolidadojun[[#This Row],[ATUAL]])</f>
        <v>0</v>
      </c>
      <c r="AD153" s="119" t="n">
        <f aca="false">SUMIFS(tabela_registros[VALOR],tabela_registros[MÊS],$AE$1,tabela_registros[DIA],investiroutrosconsolidadojun[[#Headers],[26]],tabela_registros[REGISTRO],DADOS!$N$5,tabela_registros[TIPO],DADOS!$AB$5,tabela_registros[CATEGORIA],investiroutrosconsolidadojun[[#This Row],[ATUAL]])</f>
        <v>0</v>
      </c>
      <c r="AE153" s="119" t="n">
        <f aca="false">SUMIFS(tabela_registros[VALOR],tabela_registros[MÊS],$AE$1,tabela_registros[DIA],investiroutrosconsolidadojun[[#Headers],[27]],tabela_registros[REGISTRO],DADOS!$N$5,tabela_registros[TIPO],DADOS!$AB$5,tabela_registros[CATEGORIA],investiroutrosconsolidadojun[[#This Row],[ATUAL]])</f>
        <v>0</v>
      </c>
      <c r="AF153" s="119" t="n">
        <f aca="false">SUMIFS(tabela_registros[VALOR],tabela_registros[MÊS],$AE$1,tabela_registros[DIA],investiroutrosconsolidadojun[[#Headers],[28]],tabela_registros[REGISTRO],DADOS!$N$5,tabela_registros[TIPO],DADOS!$AB$5,tabela_registros[CATEGORIA],investiroutrosconsolidadojun[[#This Row],[ATUAL]])</f>
        <v>0</v>
      </c>
      <c r="AG153" s="119" t="n">
        <f aca="false">SUMIFS(tabela_registros[VALOR],tabela_registros[MÊS],$AE$1,tabela_registros[DIA],investiroutrosconsolidadojun[[#Headers],[29]],tabela_registros[REGISTRO],DADOS!$N$5,tabela_registros[TIPO],DADOS!$AB$5,tabela_registros[CATEGORIA],investiroutrosconsolidadojun[[#This Row],[ATUAL]])</f>
        <v>0</v>
      </c>
      <c r="AH153" s="119" t="n">
        <f aca="false">SUMIFS(tabela_registros[VALOR],tabela_registros[MÊS],$AE$1,tabela_registros[DIA],investiroutrosconsolidadojun[[#Headers],[30]],tabela_registros[REGISTRO],DADOS!$N$5,tabela_registros[TIPO],DADOS!$AB$5,tabela_registros[CATEGORIA],investiroutrosconsolidadojun[[#This Row],[ATUAL]])</f>
        <v>0</v>
      </c>
      <c r="AI153" s="217" t="n">
        <f aca="false">SUMIFS(tabela_registros[VALOR],tabela_registros[MÊS],$AE$1,tabela_registros[DIA],investiroutrosconsolidadojun[[#Headers],[31]],tabela_registros[REGISTRO],DADOS!$N$5,tabela_registros[TIPO],DADOS!$AB$5,tabela_registros[CATEGORIA],investiroutrosconsolidadojun[[#This Row],[ATUAL]])</f>
        <v>0</v>
      </c>
      <c r="AJ153" s="149" t="n">
        <f aca="false">SUM(investiroutrosconsolidadojun[[#This Row],[1]:[31]])</f>
        <v>0</v>
      </c>
      <c r="AK153" s="165"/>
    </row>
    <row r="154" customFormat="false" ht="19.5" hidden="false" customHeight="true" outlineLevel="0" collapsed="false">
      <c r="B154" s="143"/>
      <c r="C154" s="144" t="str">
        <f aca="false">DADOS!$AH$6</f>
        <v>📝 NOVA EMPRESA</v>
      </c>
      <c r="D154" s="145" t="str">
        <f aca="false">IF(investiroutrosconsolidadojun[[#This Row],[TOTAL (R$)]]=0,"",IF(OR(investiroutrosconsolidadojun[[#This Row],[TOTAL (R$)]]=LARGE($AJ$151:$AJ$158,1),investiroutrosconsolidadojun[[#This Row],[TOTAL (R$)]]=LARGE($AJ$151:$AJ$158,2)),DADOS!$I$10,""))</f>
        <v/>
      </c>
      <c r="E154" s="148" t="n">
        <f aca="false">SUMIFS(tabela_registros[VALOR],tabela_registros[MÊS],$AE$1,tabela_registros[DIA],investiroutrosconsolidadojun[[#Headers],[1]],tabela_registros[REGISTRO],DADOS!$N$5,tabela_registros[TIPO],DADOS!$AB$5,tabela_registros[CATEGORIA],investiroutrosconsolidadojun[[#This Row],[ATUAL]])</f>
        <v>0</v>
      </c>
      <c r="F154" s="119" t="n">
        <f aca="false">SUMIFS(tabela_registros[VALOR],tabela_registros[MÊS],$AE$1,tabela_registros[DIA],investiroutrosconsolidadojun[[#Headers],[2]],tabela_registros[REGISTRO],DADOS!$N$5,tabela_registros[TIPO],DADOS!$AB$5,tabela_registros[CATEGORIA],investiroutrosconsolidadojun[[#This Row],[ATUAL]])</f>
        <v>0</v>
      </c>
      <c r="G154" s="119" t="n">
        <f aca="false">SUMIFS(tabela_registros[VALOR],tabela_registros[MÊS],$AE$1,tabela_registros[DIA],investiroutrosconsolidadojun[[#Headers],[3]],tabela_registros[REGISTRO],DADOS!$N$5,tabela_registros[TIPO],DADOS!$AB$5,tabela_registros[CATEGORIA],investiroutrosconsolidadojun[[#This Row],[ATUAL]])</f>
        <v>0</v>
      </c>
      <c r="H154" s="119" t="n">
        <f aca="false">SUMIFS(tabela_registros[VALOR],tabela_registros[MÊS],$AE$1,tabela_registros[DIA],investiroutrosconsolidadojun[[#Headers],[4]],tabela_registros[REGISTRO],DADOS!$N$5,tabela_registros[TIPO],DADOS!$AB$5,tabela_registros[CATEGORIA],investiroutrosconsolidadojun[[#This Row],[ATUAL]])</f>
        <v>0</v>
      </c>
      <c r="I154" s="119" t="n">
        <f aca="false">SUMIFS(tabela_registros[VALOR],tabela_registros[MÊS],$AE$1,tabela_registros[DIA],investiroutrosconsolidadojun[[#Headers],[5]],tabela_registros[REGISTRO],DADOS!$N$5,tabela_registros[TIPO],DADOS!$AB$5,tabela_registros[CATEGORIA],investiroutrosconsolidadojun[[#This Row],[ATUAL]])</f>
        <v>0</v>
      </c>
      <c r="J154" s="119" t="n">
        <f aca="false">SUMIFS(tabela_registros[VALOR],tabela_registros[MÊS],$AE$1,tabela_registros[DIA],investiroutrosconsolidadojun[[#Headers],[6]],tabela_registros[REGISTRO],DADOS!$N$5,tabela_registros[TIPO],DADOS!$AB$5,tabela_registros[CATEGORIA],investiroutrosconsolidadojun[[#This Row],[ATUAL]])</f>
        <v>0</v>
      </c>
      <c r="K154" s="119" t="n">
        <f aca="false">SUMIFS(tabela_registros[VALOR],tabela_registros[MÊS],$AE$1,tabela_registros[DIA],investiroutrosconsolidadojun[[#Headers],[7]],tabela_registros[REGISTRO],DADOS!$N$5,tabela_registros[TIPO],DADOS!$AB$5,tabela_registros[CATEGORIA],investiroutrosconsolidadojun[[#This Row],[ATUAL]])</f>
        <v>0</v>
      </c>
      <c r="L154" s="119" t="n">
        <f aca="false">SUMIFS(tabela_registros[VALOR],tabela_registros[MÊS],$AE$1,tabela_registros[DIA],investiroutrosconsolidadojun[[#Headers],[8]],tabela_registros[REGISTRO],DADOS!$N$5,tabela_registros[TIPO],DADOS!$AB$5,tabela_registros[CATEGORIA],investiroutrosconsolidadojun[[#This Row],[ATUAL]])</f>
        <v>0</v>
      </c>
      <c r="M154" s="119" t="n">
        <f aca="false">SUMIFS(tabela_registros[VALOR],tabela_registros[MÊS],$AE$1,tabela_registros[DIA],investiroutrosconsolidadojun[[#Headers],[9]],tabela_registros[REGISTRO],DADOS!$N$5,tabela_registros[TIPO],DADOS!$AB$5,tabela_registros[CATEGORIA],investiroutrosconsolidadojun[[#This Row],[ATUAL]])</f>
        <v>0</v>
      </c>
      <c r="N154" s="119" t="n">
        <f aca="false">SUMIFS(tabela_registros[VALOR],tabela_registros[MÊS],$AE$1,tabela_registros[DIA],investiroutrosconsolidadojun[[#Headers],[10]],tabela_registros[REGISTRO],DADOS!$N$5,tabela_registros[TIPO],DADOS!$AB$5,tabela_registros[CATEGORIA],investiroutrosconsolidadojun[[#This Row],[ATUAL]])</f>
        <v>0</v>
      </c>
      <c r="O154" s="119" t="n">
        <f aca="false">SUMIFS(tabela_registros[VALOR],tabela_registros[MÊS],$AE$1,tabela_registros[DIA],investiroutrosconsolidadojun[[#Headers],[11]],tabela_registros[REGISTRO],DADOS!$N$5,tabela_registros[TIPO],DADOS!$AB$5,tabela_registros[CATEGORIA],investiroutrosconsolidadojun[[#This Row],[ATUAL]])</f>
        <v>0</v>
      </c>
      <c r="P154" s="119" t="n">
        <f aca="false">SUMIFS(tabela_registros[VALOR],tabela_registros[MÊS],$AE$1,tabela_registros[DIA],investiroutrosconsolidadojun[[#Headers],[12]],tabela_registros[REGISTRO],DADOS!$N$5,tabela_registros[TIPO],DADOS!$AB$5,tabela_registros[CATEGORIA],investiroutrosconsolidadojun[[#This Row],[ATUAL]])</f>
        <v>0</v>
      </c>
      <c r="Q154" s="119" t="n">
        <f aca="false">SUMIFS(tabela_registros[VALOR],tabela_registros[MÊS],$AE$1,tabela_registros[DIA],investiroutrosconsolidadojun[[#Headers],[13]],tabela_registros[REGISTRO],DADOS!$N$5,tabela_registros[TIPO],DADOS!$AB$5,tabela_registros[CATEGORIA],investiroutrosconsolidadojun[[#This Row],[ATUAL]])</f>
        <v>0</v>
      </c>
      <c r="R154" s="119" t="n">
        <f aca="false">SUMIFS(tabela_registros[VALOR],tabela_registros[MÊS],$AE$1,tabela_registros[DIA],investiroutrosconsolidadojun[[#Headers],[14]],tabela_registros[REGISTRO],DADOS!$N$5,tabela_registros[TIPO],DADOS!$AB$5,tabela_registros[CATEGORIA],investiroutrosconsolidadojun[[#This Row],[ATUAL]])</f>
        <v>0</v>
      </c>
      <c r="S154" s="119" t="n">
        <f aca="false">SUMIFS(tabela_registros[VALOR],tabela_registros[MÊS],$AE$1,tabela_registros[DIA],investiroutrosconsolidadojun[[#Headers],[15]],tabela_registros[REGISTRO],DADOS!$N$5,tabela_registros[TIPO],DADOS!$AB$5,tabela_registros[CATEGORIA],investiroutrosconsolidadojun[[#This Row],[ATUAL]])</f>
        <v>0</v>
      </c>
      <c r="T154" s="119" t="n">
        <f aca="false">SUMIFS(tabela_registros[VALOR],tabela_registros[MÊS],$AE$1,tabela_registros[DIA],investiroutrosconsolidadojun[[#Headers],[16]],tabela_registros[REGISTRO],DADOS!$N$5,tabela_registros[TIPO],DADOS!$AB$5,tabela_registros[CATEGORIA],investiroutrosconsolidadojun[[#This Row],[ATUAL]])</f>
        <v>0</v>
      </c>
      <c r="U154" s="119" t="n">
        <f aca="false">SUMIFS(tabela_registros[VALOR],tabela_registros[MÊS],$AE$1,tabela_registros[DIA],investiroutrosconsolidadojun[[#Headers],[17]],tabela_registros[REGISTRO],DADOS!$N$5,tabela_registros[TIPO],DADOS!$AB$5,tabela_registros[CATEGORIA],investiroutrosconsolidadojun[[#This Row],[ATUAL]])</f>
        <v>0</v>
      </c>
      <c r="V154" s="119" t="n">
        <f aca="false">SUMIFS(tabela_registros[VALOR],tabela_registros[MÊS],$AE$1,tabela_registros[DIA],investiroutrosconsolidadojun[[#Headers],[18]],tabela_registros[REGISTRO],DADOS!$N$5,tabela_registros[TIPO],DADOS!$AB$5,tabela_registros[CATEGORIA],investiroutrosconsolidadojun[[#This Row],[ATUAL]])</f>
        <v>0</v>
      </c>
      <c r="W154" s="119" t="n">
        <f aca="false">SUMIFS(tabela_registros[VALOR],tabela_registros[MÊS],$AE$1,tabela_registros[DIA],investiroutrosconsolidadojun[[#Headers],[19]],tabela_registros[REGISTRO],DADOS!$N$5,tabela_registros[TIPO],DADOS!$AB$5,tabela_registros[CATEGORIA],investiroutrosconsolidadojun[[#This Row],[ATUAL]])</f>
        <v>0</v>
      </c>
      <c r="X154" s="119" t="n">
        <f aca="false">SUMIFS(tabela_registros[VALOR],tabela_registros[MÊS],$AE$1,tabela_registros[DIA],investiroutrosconsolidadojun[[#Headers],[20]],tabela_registros[REGISTRO],DADOS!$N$5,tabela_registros[TIPO],DADOS!$AB$5,tabela_registros[CATEGORIA],investiroutrosconsolidadojun[[#This Row],[ATUAL]])</f>
        <v>0</v>
      </c>
      <c r="Y154" s="119" t="n">
        <f aca="false">SUMIFS(tabela_registros[VALOR],tabela_registros[MÊS],$AE$1,tabela_registros[DIA],investiroutrosconsolidadojun[[#Headers],[21]],tabela_registros[REGISTRO],DADOS!$N$5,tabela_registros[TIPO],DADOS!$AB$5,tabela_registros[CATEGORIA],investiroutrosconsolidadojun[[#This Row],[ATUAL]])</f>
        <v>0</v>
      </c>
      <c r="Z154" s="119" t="n">
        <f aca="false">SUMIFS(tabela_registros[VALOR],tabela_registros[MÊS],$AE$1,tabela_registros[DIA],investiroutrosconsolidadojun[[#Headers],[22]],tabela_registros[REGISTRO],DADOS!$N$5,tabela_registros[TIPO],DADOS!$AB$5,tabela_registros[CATEGORIA],investiroutrosconsolidadojun[[#This Row],[ATUAL]])</f>
        <v>0</v>
      </c>
      <c r="AA154" s="119" t="n">
        <f aca="false">SUMIFS(tabela_registros[VALOR],tabela_registros[MÊS],$AE$1,tabela_registros[DIA],investiroutrosconsolidadojun[[#Headers],[23]],tabela_registros[REGISTRO],DADOS!$N$5,tabela_registros[TIPO],DADOS!$AB$5,tabela_registros[CATEGORIA],investiroutrosconsolidadojun[[#This Row],[ATUAL]])</f>
        <v>0</v>
      </c>
      <c r="AB154" s="119" t="n">
        <f aca="false">SUMIFS(tabela_registros[VALOR],tabela_registros[MÊS],$AE$1,tabela_registros[DIA],investiroutrosconsolidadojun[[#Headers],[24]],tabela_registros[REGISTRO],DADOS!$N$5,tabela_registros[TIPO],DADOS!$AB$5,tabela_registros[CATEGORIA],investiroutrosconsolidadojun[[#This Row],[ATUAL]])</f>
        <v>0</v>
      </c>
      <c r="AC154" s="119" t="n">
        <f aca="false">SUMIFS(tabela_registros[VALOR],tabela_registros[MÊS],$AE$1,tabela_registros[DIA],investiroutrosconsolidadojun[[#Headers],[25]],tabela_registros[REGISTRO],DADOS!$N$5,tabela_registros[TIPO],DADOS!$AB$5,tabela_registros[CATEGORIA],investiroutrosconsolidadojun[[#This Row],[ATUAL]])</f>
        <v>0</v>
      </c>
      <c r="AD154" s="119" t="n">
        <f aca="false">SUMIFS(tabela_registros[VALOR],tabela_registros[MÊS],$AE$1,tabela_registros[DIA],investiroutrosconsolidadojun[[#Headers],[26]],tabela_registros[REGISTRO],DADOS!$N$5,tabela_registros[TIPO],DADOS!$AB$5,tabela_registros[CATEGORIA],investiroutrosconsolidadojun[[#This Row],[ATUAL]])</f>
        <v>0</v>
      </c>
      <c r="AE154" s="119" t="n">
        <f aca="false">SUMIFS(tabela_registros[VALOR],tabela_registros[MÊS],$AE$1,tabela_registros[DIA],investiroutrosconsolidadojun[[#Headers],[27]],tabela_registros[REGISTRO],DADOS!$N$5,tabela_registros[TIPO],DADOS!$AB$5,tabela_registros[CATEGORIA],investiroutrosconsolidadojun[[#This Row],[ATUAL]])</f>
        <v>0</v>
      </c>
      <c r="AF154" s="119" t="n">
        <f aca="false">SUMIFS(tabela_registros[VALOR],tabela_registros[MÊS],$AE$1,tabela_registros[DIA],investiroutrosconsolidadojun[[#Headers],[28]],tabela_registros[REGISTRO],DADOS!$N$5,tabela_registros[TIPO],DADOS!$AB$5,tabela_registros[CATEGORIA],investiroutrosconsolidadojun[[#This Row],[ATUAL]])</f>
        <v>0</v>
      </c>
      <c r="AG154" s="119" t="n">
        <f aca="false">SUMIFS(tabela_registros[VALOR],tabela_registros[MÊS],$AE$1,tabela_registros[DIA],investiroutrosconsolidadojun[[#Headers],[29]],tabela_registros[REGISTRO],DADOS!$N$5,tabela_registros[TIPO],DADOS!$AB$5,tabela_registros[CATEGORIA],investiroutrosconsolidadojun[[#This Row],[ATUAL]])</f>
        <v>0</v>
      </c>
      <c r="AH154" s="119" t="n">
        <f aca="false">SUMIFS(tabela_registros[VALOR],tabela_registros[MÊS],$AE$1,tabela_registros[DIA],investiroutrosconsolidadojun[[#Headers],[30]],tabela_registros[REGISTRO],DADOS!$N$5,tabela_registros[TIPO],DADOS!$AB$5,tabela_registros[CATEGORIA],investiroutrosconsolidadojun[[#This Row],[ATUAL]])</f>
        <v>0</v>
      </c>
      <c r="AI154" s="217" t="n">
        <f aca="false">SUMIFS(tabela_registros[VALOR],tabela_registros[MÊS],$AE$1,tabela_registros[DIA],investiroutrosconsolidadojun[[#Headers],[31]],tabela_registros[REGISTRO],DADOS!$N$5,tabela_registros[TIPO],DADOS!$AB$5,tabela_registros[CATEGORIA],investiroutrosconsolidadojun[[#This Row],[ATUAL]])</f>
        <v>0</v>
      </c>
      <c r="AJ154" s="149" t="n">
        <f aca="false">SUM(investiroutrosconsolidadojun[[#This Row],[1]:[31]])</f>
        <v>0</v>
      </c>
      <c r="AK154" s="165"/>
    </row>
    <row r="155" customFormat="false" ht="19.5" hidden="false" customHeight="true" outlineLevel="0" collapsed="false">
      <c r="B155" s="143"/>
      <c r="C155" s="144" t="str">
        <f aca="false">DADOS!$AH$7</f>
        <v>📝 PEER TO COMPANY</v>
      </c>
      <c r="D155" s="145" t="str">
        <f aca="false">IF(investiroutrosconsolidadojun[[#This Row],[TOTAL (R$)]]=0,"",IF(OR(investiroutrosconsolidadojun[[#This Row],[TOTAL (R$)]]=LARGE($AJ$151:$AJ$158,1),investiroutrosconsolidadojun[[#This Row],[TOTAL (R$)]]=LARGE($AJ$151:$AJ$158,2)),DADOS!$I$10,""))</f>
        <v/>
      </c>
      <c r="E155" s="148" t="n">
        <f aca="false">SUMIFS(tabela_registros[VALOR],tabela_registros[MÊS],$AE$1,tabela_registros[DIA],investiroutrosconsolidadojun[[#Headers],[1]],tabela_registros[REGISTRO],DADOS!$N$5,tabela_registros[TIPO],DADOS!$AB$5,tabela_registros[CATEGORIA],investiroutrosconsolidadojun[[#This Row],[ATUAL]])</f>
        <v>0</v>
      </c>
      <c r="F155" s="119" t="n">
        <f aca="false">SUMIFS(tabela_registros[VALOR],tabela_registros[MÊS],$AE$1,tabela_registros[DIA],investiroutrosconsolidadojun[[#Headers],[2]],tabela_registros[REGISTRO],DADOS!$N$5,tabela_registros[TIPO],DADOS!$AB$5,tabela_registros[CATEGORIA],investiroutrosconsolidadojun[[#This Row],[ATUAL]])</f>
        <v>0</v>
      </c>
      <c r="G155" s="119" t="n">
        <f aca="false">SUMIFS(tabela_registros[VALOR],tabela_registros[MÊS],$AE$1,tabela_registros[DIA],investiroutrosconsolidadojun[[#Headers],[3]],tabela_registros[REGISTRO],DADOS!$N$5,tabela_registros[TIPO],DADOS!$AB$5,tabela_registros[CATEGORIA],investiroutrosconsolidadojun[[#This Row],[ATUAL]])</f>
        <v>0</v>
      </c>
      <c r="H155" s="119" t="n">
        <f aca="false">SUMIFS(tabela_registros[VALOR],tabela_registros[MÊS],$AE$1,tabela_registros[DIA],investiroutrosconsolidadojun[[#Headers],[4]],tabela_registros[REGISTRO],DADOS!$N$5,tabela_registros[TIPO],DADOS!$AB$5,tabela_registros[CATEGORIA],investiroutrosconsolidadojun[[#This Row],[ATUAL]])</f>
        <v>0</v>
      </c>
      <c r="I155" s="119" t="n">
        <f aca="false">SUMIFS(tabela_registros[VALOR],tabela_registros[MÊS],$AE$1,tabela_registros[DIA],investiroutrosconsolidadojun[[#Headers],[5]],tabela_registros[REGISTRO],DADOS!$N$5,tabela_registros[TIPO],DADOS!$AB$5,tabela_registros[CATEGORIA],investiroutrosconsolidadojun[[#This Row],[ATUAL]])</f>
        <v>0</v>
      </c>
      <c r="J155" s="119" t="n">
        <f aca="false">SUMIFS(tabela_registros[VALOR],tabela_registros[MÊS],$AE$1,tabela_registros[DIA],investiroutrosconsolidadojun[[#Headers],[6]],tabela_registros[REGISTRO],DADOS!$N$5,tabela_registros[TIPO],DADOS!$AB$5,tabela_registros[CATEGORIA],investiroutrosconsolidadojun[[#This Row],[ATUAL]])</f>
        <v>0</v>
      </c>
      <c r="K155" s="119" t="n">
        <f aca="false">SUMIFS(tabela_registros[VALOR],tabela_registros[MÊS],$AE$1,tabela_registros[DIA],investiroutrosconsolidadojun[[#Headers],[7]],tabela_registros[REGISTRO],DADOS!$N$5,tabela_registros[TIPO],DADOS!$AB$5,tabela_registros[CATEGORIA],investiroutrosconsolidadojun[[#This Row],[ATUAL]])</f>
        <v>0</v>
      </c>
      <c r="L155" s="119" t="n">
        <f aca="false">SUMIFS(tabela_registros[VALOR],tabela_registros[MÊS],$AE$1,tabela_registros[DIA],investiroutrosconsolidadojun[[#Headers],[8]],tabela_registros[REGISTRO],DADOS!$N$5,tabela_registros[TIPO],DADOS!$AB$5,tabela_registros[CATEGORIA],investiroutrosconsolidadojun[[#This Row],[ATUAL]])</f>
        <v>0</v>
      </c>
      <c r="M155" s="119" t="n">
        <f aca="false">SUMIFS(tabela_registros[VALOR],tabela_registros[MÊS],$AE$1,tabela_registros[DIA],investiroutrosconsolidadojun[[#Headers],[9]],tabela_registros[REGISTRO],DADOS!$N$5,tabela_registros[TIPO],DADOS!$AB$5,tabela_registros[CATEGORIA],investiroutrosconsolidadojun[[#This Row],[ATUAL]])</f>
        <v>0</v>
      </c>
      <c r="N155" s="119" t="n">
        <f aca="false">SUMIFS(tabela_registros[VALOR],tabela_registros[MÊS],$AE$1,tabela_registros[DIA],investiroutrosconsolidadojun[[#Headers],[10]],tabela_registros[REGISTRO],DADOS!$N$5,tabela_registros[TIPO],DADOS!$AB$5,tabela_registros[CATEGORIA],investiroutrosconsolidadojun[[#This Row],[ATUAL]])</f>
        <v>0</v>
      </c>
      <c r="O155" s="119" t="n">
        <f aca="false">SUMIFS(tabela_registros[VALOR],tabela_registros[MÊS],$AE$1,tabela_registros[DIA],investiroutrosconsolidadojun[[#Headers],[11]],tabela_registros[REGISTRO],DADOS!$N$5,tabela_registros[TIPO],DADOS!$AB$5,tabela_registros[CATEGORIA],investiroutrosconsolidadojun[[#This Row],[ATUAL]])</f>
        <v>0</v>
      </c>
      <c r="P155" s="119" t="n">
        <f aca="false">SUMIFS(tabela_registros[VALOR],tabela_registros[MÊS],$AE$1,tabela_registros[DIA],investiroutrosconsolidadojun[[#Headers],[12]],tabela_registros[REGISTRO],DADOS!$N$5,tabela_registros[TIPO],DADOS!$AB$5,tabela_registros[CATEGORIA],investiroutrosconsolidadojun[[#This Row],[ATUAL]])</f>
        <v>0</v>
      </c>
      <c r="Q155" s="119" t="n">
        <f aca="false">SUMIFS(tabela_registros[VALOR],tabela_registros[MÊS],$AE$1,tabela_registros[DIA],investiroutrosconsolidadojun[[#Headers],[13]],tabela_registros[REGISTRO],DADOS!$N$5,tabela_registros[TIPO],DADOS!$AB$5,tabela_registros[CATEGORIA],investiroutrosconsolidadojun[[#This Row],[ATUAL]])</f>
        <v>0</v>
      </c>
      <c r="R155" s="119" t="n">
        <f aca="false">SUMIFS(tabela_registros[VALOR],tabela_registros[MÊS],$AE$1,tabela_registros[DIA],investiroutrosconsolidadojun[[#Headers],[14]],tabela_registros[REGISTRO],DADOS!$N$5,tabela_registros[TIPO],DADOS!$AB$5,tabela_registros[CATEGORIA],investiroutrosconsolidadojun[[#This Row],[ATUAL]])</f>
        <v>0</v>
      </c>
      <c r="S155" s="119" t="n">
        <f aca="false">SUMIFS(tabela_registros[VALOR],tabela_registros[MÊS],$AE$1,tabela_registros[DIA],investiroutrosconsolidadojun[[#Headers],[15]],tabela_registros[REGISTRO],DADOS!$N$5,tabela_registros[TIPO],DADOS!$AB$5,tabela_registros[CATEGORIA],investiroutrosconsolidadojun[[#This Row],[ATUAL]])</f>
        <v>0</v>
      </c>
      <c r="T155" s="119" t="n">
        <f aca="false">SUMIFS(tabela_registros[VALOR],tabela_registros[MÊS],$AE$1,tabela_registros[DIA],investiroutrosconsolidadojun[[#Headers],[16]],tabela_registros[REGISTRO],DADOS!$N$5,tabela_registros[TIPO],DADOS!$AB$5,tabela_registros[CATEGORIA],investiroutrosconsolidadojun[[#This Row],[ATUAL]])</f>
        <v>0</v>
      </c>
      <c r="U155" s="119" t="n">
        <f aca="false">SUMIFS(tabela_registros[VALOR],tabela_registros[MÊS],$AE$1,tabela_registros[DIA],investiroutrosconsolidadojun[[#Headers],[17]],tabela_registros[REGISTRO],DADOS!$N$5,tabela_registros[TIPO],DADOS!$AB$5,tabela_registros[CATEGORIA],investiroutrosconsolidadojun[[#This Row],[ATUAL]])</f>
        <v>0</v>
      </c>
      <c r="V155" s="119" t="n">
        <f aca="false">SUMIFS(tabela_registros[VALOR],tabela_registros[MÊS],$AE$1,tabela_registros[DIA],investiroutrosconsolidadojun[[#Headers],[18]],tabela_registros[REGISTRO],DADOS!$N$5,tabela_registros[TIPO],DADOS!$AB$5,tabela_registros[CATEGORIA],investiroutrosconsolidadojun[[#This Row],[ATUAL]])</f>
        <v>0</v>
      </c>
      <c r="W155" s="119" t="n">
        <f aca="false">SUMIFS(tabela_registros[VALOR],tabela_registros[MÊS],$AE$1,tabela_registros[DIA],investiroutrosconsolidadojun[[#Headers],[19]],tabela_registros[REGISTRO],DADOS!$N$5,tabela_registros[TIPO],DADOS!$AB$5,tabela_registros[CATEGORIA],investiroutrosconsolidadojun[[#This Row],[ATUAL]])</f>
        <v>0</v>
      </c>
      <c r="X155" s="119" t="n">
        <f aca="false">SUMIFS(tabela_registros[VALOR],tabela_registros[MÊS],$AE$1,tabela_registros[DIA],investiroutrosconsolidadojun[[#Headers],[20]],tabela_registros[REGISTRO],DADOS!$N$5,tabela_registros[TIPO],DADOS!$AB$5,tabela_registros[CATEGORIA],investiroutrosconsolidadojun[[#This Row],[ATUAL]])</f>
        <v>0</v>
      </c>
      <c r="Y155" s="119" t="n">
        <f aca="false">SUMIFS(tabela_registros[VALOR],tabela_registros[MÊS],$AE$1,tabela_registros[DIA],investiroutrosconsolidadojun[[#Headers],[21]],tabela_registros[REGISTRO],DADOS!$N$5,tabela_registros[TIPO],DADOS!$AB$5,tabela_registros[CATEGORIA],investiroutrosconsolidadojun[[#This Row],[ATUAL]])</f>
        <v>0</v>
      </c>
      <c r="Z155" s="119" t="n">
        <f aca="false">SUMIFS(tabela_registros[VALOR],tabela_registros[MÊS],$AE$1,tabela_registros[DIA],investiroutrosconsolidadojun[[#Headers],[22]],tabela_registros[REGISTRO],DADOS!$N$5,tabela_registros[TIPO],DADOS!$AB$5,tabela_registros[CATEGORIA],investiroutrosconsolidadojun[[#This Row],[ATUAL]])</f>
        <v>0</v>
      </c>
      <c r="AA155" s="119" t="n">
        <f aca="false">SUMIFS(tabela_registros[VALOR],tabela_registros[MÊS],$AE$1,tabela_registros[DIA],investiroutrosconsolidadojun[[#Headers],[23]],tabela_registros[REGISTRO],DADOS!$N$5,tabela_registros[TIPO],DADOS!$AB$5,tabela_registros[CATEGORIA],investiroutrosconsolidadojun[[#This Row],[ATUAL]])</f>
        <v>0</v>
      </c>
      <c r="AB155" s="119" t="n">
        <f aca="false">SUMIFS(tabela_registros[VALOR],tabela_registros[MÊS],$AE$1,tabela_registros[DIA],investiroutrosconsolidadojun[[#Headers],[24]],tabela_registros[REGISTRO],DADOS!$N$5,tabela_registros[TIPO],DADOS!$AB$5,tabela_registros[CATEGORIA],investiroutrosconsolidadojun[[#This Row],[ATUAL]])</f>
        <v>0</v>
      </c>
      <c r="AC155" s="119" t="n">
        <f aca="false">SUMIFS(tabela_registros[VALOR],tabela_registros[MÊS],$AE$1,tabela_registros[DIA],investiroutrosconsolidadojun[[#Headers],[25]],tabela_registros[REGISTRO],DADOS!$N$5,tabela_registros[TIPO],DADOS!$AB$5,tabela_registros[CATEGORIA],investiroutrosconsolidadojun[[#This Row],[ATUAL]])</f>
        <v>0</v>
      </c>
      <c r="AD155" s="119" t="n">
        <f aca="false">SUMIFS(tabela_registros[VALOR],tabela_registros[MÊS],$AE$1,tabela_registros[DIA],investiroutrosconsolidadojun[[#Headers],[26]],tabela_registros[REGISTRO],DADOS!$N$5,tabela_registros[TIPO],DADOS!$AB$5,tabela_registros[CATEGORIA],investiroutrosconsolidadojun[[#This Row],[ATUAL]])</f>
        <v>0</v>
      </c>
      <c r="AE155" s="119" t="n">
        <f aca="false">SUMIFS(tabela_registros[VALOR],tabela_registros[MÊS],$AE$1,tabela_registros[DIA],investiroutrosconsolidadojun[[#Headers],[27]],tabela_registros[REGISTRO],DADOS!$N$5,tabela_registros[TIPO],DADOS!$AB$5,tabela_registros[CATEGORIA],investiroutrosconsolidadojun[[#This Row],[ATUAL]])</f>
        <v>0</v>
      </c>
      <c r="AF155" s="119" t="n">
        <f aca="false">SUMIFS(tabela_registros[VALOR],tabela_registros[MÊS],$AE$1,tabela_registros[DIA],investiroutrosconsolidadojun[[#Headers],[28]],tabela_registros[REGISTRO],DADOS!$N$5,tabela_registros[TIPO],DADOS!$AB$5,tabela_registros[CATEGORIA],investiroutrosconsolidadojun[[#This Row],[ATUAL]])</f>
        <v>0</v>
      </c>
      <c r="AG155" s="119" t="n">
        <f aca="false">SUMIFS(tabela_registros[VALOR],tabela_registros[MÊS],$AE$1,tabela_registros[DIA],investiroutrosconsolidadojun[[#Headers],[29]],tabela_registros[REGISTRO],DADOS!$N$5,tabela_registros[TIPO],DADOS!$AB$5,tabela_registros[CATEGORIA],investiroutrosconsolidadojun[[#This Row],[ATUAL]])</f>
        <v>0</v>
      </c>
      <c r="AH155" s="119" t="n">
        <f aca="false">SUMIFS(tabela_registros[VALOR],tabela_registros[MÊS],$AE$1,tabela_registros[DIA],investiroutrosconsolidadojun[[#Headers],[30]],tabela_registros[REGISTRO],DADOS!$N$5,tabela_registros[TIPO],DADOS!$AB$5,tabela_registros[CATEGORIA],investiroutrosconsolidadojun[[#This Row],[ATUAL]])</f>
        <v>0</v>
      </c>
      <c r="AI155" s="217" t="n">
        <f aca="false">SUMIFS(tabela_registros[VALOR],tabela_registros[MÊS],$AE$1,tabela_registros[DIA],investiroutrosconsolidadojun[[#Headers],[31]],tabela_registros[REGISTRO],DADOS!$N$5,tabela_registros[TIPO],DADOS!$AB$5,tabela_registros[CATEGORIA],investiroutrosconsolidadojun[[#This Row],[ATUAL]])</f>
        <v>0</v>
      </c>
      <c r="AJ155" s="149" t="n">
        <f aca="false">SUM(investiroutrosconsolidadojun[[#This Row],[1]:[31]])</f>
        <v>0</v>
      </c>
      <c r="AK155" s="165"/>
    </row>
    <row r="156" customFormat="false" ht="19.5" hidden="false" customHeight="true" outlineLevel="0" collapsed="false">
      <c r="B156" s="143"/>
      <c r="C156" s="144" t="str">
        <f aca="false">DADOS!$AH$8</f>
        <v>📝 PEER TO PEER</v>
      </c>
      <c r="D156" s="145" t="str">
        <f aca="false">IF(investiroutrosconsolidadojun[[#This Row],[TOTAL (R$)]]=0,"",IF(OR(investiroutrosconsolidadojun[[#This Row],[TOTAL (R$)]]=LARGE($AJ$151:$AJ$158,1),investiroutrosconsolidadojun[[#This Row],[TOTAL (R$)]]=LARGE($AJ$151:$AJ$158,2)),DADOS!$I$10,""))</f>
        <v/>
      </c>
      <c r="E156" s="148" t="n">
        <f aca="false">SUMIFS(tabela_registros[VALOR],tabela_registros[MÊS],$AE$1,tabela_registros[DIA],investiroutrosconsolidadojun[[#Headers],[1]],tabela_registros[REGISTRO],DADOS!$N$5,tabela_registros[TIPO],DADOS!$AB$5,tabela_registros[CATEGORIA],investiroutrosconsolidadojun[[#This Row],[ATUAL]])</f>
        <v>0</v>
      </c>
      <c r="F156" s="119" t="n">
        <f aca="false">SUMIFS(tabela_registros[VALOR],tabela_registros[MÊS],$AE$1,tabela_registros[DIA],investiroutrosconsolidadojun[[#Headers],[2]],tabela_registros[REGISTRO],DADOS!$N$5,tabela_registros[TIPO],DADOS!$AB$5,tabela_registros[CATEGORIA],investiroutrosconsolidadojun[[#This Row],[ATUAL]])</f>
        <v>0</v>
      </c>
      <c r="G156" s="119" t="n">
        <f aca="false">SUMIFS(tabela_registros[VALOR],tabela_registros[MÊS],$AE$1,tabela_registros[DIA],investiroutrosconsolidadojun[[#Headers],[3]],tabela_registros[REGISTRO],DADOS!$N$5,tabela_registros[TIPO],DADOS!$AB$5,tabela_registros[CATEGORIA],investiroutrosconsolidadojun[[#This Row],[ATUAL]])</f>
        <v>0</v>
      </c>
      <c r="H156" s="119" t="n">
        <f aca="false">SUMIFS(tabela_registros[VALOR],tabela_registros[MÊS],$AE$1,tabela_registros[DIA],investiroutrosconsolidadojun[[#Headers],[4]],tabela_registros[REGISTRO],DADOS!$N$5,tabela_registros[TIPO],DADOS!$AB$5,tabela_registros[CATEGORIA],investiroutrosconsolidadojun[[#This Row],[ATUAL]])</f>
        <v>0</v>
      </c>
      <c r="I156" s="119" t="n">
        <f aca="false">SUMIFS(tabela_registros[VALOR],tabela_registros[MÊS],$AE$1,tabela_registros[DIA],investiroutrosconsolidadojun[[#Headers],[5]],tabela_registros[REGISTRO],DADOS!$N$5,tabela_registros[TIPO],DADOS!$AB$5,tabela_registros[CATEGORIA],investiroutrosconsolidadojun[[#This Row],[ATUAL]])</f>
        <v>0</v>
      </c>
      <c r="J156" s="119" t="n">
        <f aca="false">SUMIFS(tabela_registros[VALOR],tabela_registros[MÊS],$AE$1,tabela_registros[DIA],investiroutrosconsolidadojun[[#Headers],[6]],tabela_registros[REGISTRO],DADOS!$N$5,tabela_registros[TIPO],DADOS!$AB$5,tabela_registros[CATEGORIA],investiroutrosconsolidadojun[[#This Row],[ATUAL]])</f>
        <v>0</v>
      </c>
      <c r="K156" s="119" t="n">
        <f aca="false">SUMIFS(tabela_registros[VALOR],tabela_registros[MÊS],$AE$1,tabela_registros[DIA],investiroutrosconsolidadojun[[#Headers],[7]],tabela_registros[REGISTRO],DADOS!$N$5,tabela_registros[TIPO],DADOS!$AB$5,tabela_registros[CATEGORIA],investiroutrosconsolidadojun[[#This Row],[ATUAL]])</f>
        <v>0</v>
      </c>
      <c r="L156" s="119" t="n">
        <f aca="false">SUMIFS(tabela_registros[VALOR],tabela_registros[MÊS],$AE$1,tabela_registros[DIA],investiroutrosconsolidadojun[[#Headers],[8]],tabela_registros[REGISTRO],DADOS!$N$5,tabela_registros[TIPO],DADOS!$AB$5,tabela_registros[CATEGORIA],investiroutrosconsolidadojun[[#This Row],[ATUAL]])</f>
        <v>0</v>
      </c>
      <c r="M156" s="119" t="n">
        <f aca="false">SUMIFS(tabela_registros[VALOR],tabela_registros[MÊS],$AE$1,tabela_registros[DIA],investiroutrosconsolidadojun[[#Headers],[9]],tabela_registros[REGISTRO],DADOS!$N$5,tabela_registros[TIPO],DADOS!$AB$5,tabela_registros[CATEGORIA],investiroutrosconsolidadojun[[#This Row],[ATUAL]])</f>
        <v>0</v>
      </c>
      <c r="N156" s="119" t="n">
        <f aca="false">SUMIFS(tabela_registros[VALOR],tabela_registros[MÊS],$AE$1,tabela_registros[DIA],investiroutrosconsolidadojun[[#Headers],[10]],tabela_registros[REGISTRO],DADOS!$N$5,tabela_registros[TIPO],DADOS!$AB$5,tabela_registros[CATEGORIA],investiroutrosconsolidadojun[[#This Row],[ATUAL]])</f>
        <v>0</v>
      </c>
      <c r="O156" s="119" t="n">
        <f aca="false">SUMIFS(tabela_registros[VALOR],tabela_registros[MÊS],$AE$1,tabela_registros[DIA],investiroutrosconsolidadojun[[#Headers],[11]],tabela_registros[REGISTRO],DADOS!$N$5,tabela_registros[TIPO],DADOS!$AB$5,tabela_registros[CATEGORIA],investiroutrosconsolidadojun[[#This Row],[ATUAL]])</f>
        <v>0</v>
      </c>
      <c r="P156" s="119" t="n">
        <f aca="false">SUMIFS(tabela_registros[VALOR],tabela_registros[MÊS],$AE$1,tabela_registros[DIA],investiroutrosconsolidadojun[[#Headers],[12]],tabela_registros[REGISTRO],DADOS!$N$5,tabela_registros[TIPO],DADOS!$AB$5,tabela_registros[CATEGORIA],investiroutrosconsolidadojun[[#This Row],[ATUAL]])</f>
        <v>0</v>
      </c>
      <c r="Q156" s="119" t="n">
        <f aca="false">SUMIFS(tabela_registros[VALOR],tabela_registros[MÊS],$AE$1,tabela_registros[DIA],investiroutrosconsolidadojun[[#Headers],[13]],tabela_registros[REGISTRO],DADOS!$N$5,tabela_registros[TIPO],DADOS!$AB$5,tabela_registros[CATEGORIA],investiroutrosconsolidadojun[[#This Row],[ATUAL]])</f>
        <v>0</v>
      </c>
      <c r="R156" s="119" t="n">
        <f aca="false">SUMIFS(tabela_registros[VALOR],tabela_registros[MÊS],$AE$1,tabela_registros[DIA],investiroutrosconsolidadojun[[#Headers],[14]],tabela_registros[REGISTRO],DADOS!$N$5,tabela_registros[TIPO],DADOS!$AB$5,tabela_registros[CATEGORIA],investiroutrosconsolidadojun[[#This Row],[ATUAL]])</f>
        <v>0</v>
      </c>
      <c r="S156" s="119" t="n">
        <f aca="false">SUMIFS(tabela_registros[VALOR],tabela_registros[MÊS],$AE$1,tabela_registros[DIA],investiroutrosconsolidadojun[[#Headers],[15]],tabela_registros[REGISTRO],DADOS!$N$5,tabela_registros[TIPO],DADOS!$AB$5,tabela_registros[CATEGORIA],investiroutrosconsolidadojun[[#This Row],[ATUAL]])</f>
        <v>0</v>
      </c>
      <c r="T156" s="119" t="n">
        <f aca="false">SUMIFS(tabela_registros[VALOR],tabela_registros[MÊS],$AE$1,tabela_registros[DIA],investiroutrosconsolidadojun[[#Headers],[16]],tabela_registros[REGISTRO],DADOS!$N$5,tabela_registros[TIPO],DADOS!$AB$5,tabela_registros[CATEGORIA],investiroutrosconsolidadojun[[#This Row],[ATUAL]])</f>
        <v>0</v>
      </c>
      <c r="U156" s="119" t="n">
        <f aca="false">SUMIFS(tabela_registros[VALOR],tabela_registros[MÊS],$AE$1,tabela_registros[DIA],investiroutrosconsolidadojun[[#Headers],[17]],tabela_registros[REGISTRO],DADOS!$N$5,tabela_registros[TIPO],DADOS!$AB$5,tabela_registros[CATEGORIA],investiroutrosconsolidadojun[[#This Row],[ATUAL]])</f>
        <v>0</v>
      </c>
      <c r="V156" s="119" t="n">
        <f aca="false">SUMIFS(tabela_registros[VALOR],tabela_registros[MÊS],$AE$1,tabela_registros[DIA],investiroutrosconsolidadojun[[#Headers],[18]],tabela_registros[REGISTRO],DADOS!$N$5,tabela_registros[TIPO],DADOS!$AB$5,tabela_registros[CATEGORIA],investiroutrosconsolidadojun[[#This Row],[ATUAL]])</f>
        <v>0</v>
      </c>
      <c r="W156" s="119" t="n">
        <f aca="false">SUMIFS(tabela_registros[VALOR],tabela_registros[MÊS],$AE$1,tabela_registros[DIA],investiroutrosconsolidadojun[[#Headers],[19]],tabela_registros[REGISTRO],DADOS!$N$5,tabela_registros[TIPO],DADOS!$AB$5,tabela_registros[CATEGORIA],investiroutrosconsolidadojun[[#This Row],[ATUAL]])</f>
        <v>0</v>
      </c>
      <c r="X156" s="119" t="n">
        <f aca="false">SUMIFS(tabela_registros[VALOR],tabela_registros[MÊS],$AE$1,tabela_registros[DIA],investiroutrosconsolidadojun[[#Headers],[20]],tabela_registros[REGISTRO],DADOS!$N$5,tabela_registros[TIPO],DADOS!$AB$5,tabela_registros[CATEGORIA],investiroutrosconsolidadojun[[#This Row],[ATUAL]])</f>
        <v>0</v>
      </c>
      <c r="Y156" s="119" t="n">
        <f aca="false">SUMIFS(tabela_registros[VALOR],tabela_registros[MÊS],$AE$1,tabela_registros[DIA],investiroutrosconsolidadojun[[#Headers],[21]],tabela_registros[REGISTRO],DADOS!$N$5,tabela_registros[TIPO],DADOS!$AB$5,tabela_registros[CATEGORIA],investiroutrosconsolidadojun[[#This Row],[ATUAL]])</f>
        <v>0</v>
      </c>
      <c r="Z156" s="119" t="n">
        <f aca="false">SUMIFS(tabela_registros[VALOR],tabela_registros[MÊS],$AE$1,tabela_registros[DIA],investiroutrosconsolidadojun[[#Headers],[22]],tabela_registros[REGISTRO],DADOS!$N$5,tabela_registros[TIPO],DADOS!$AB$5,tabela_registros[CATEGORIA],investiroutrosconsolidadojun[[#This Row],[ATUAL]])</f>
        <v>0</v>
      </c>
      <c r="AA156" s="119" t="n">
        <f aca="false">SUMIFS(tabela_registros[VALOR],tabela_registros[MÊS],$AE$1,tabela_registros[DIA],investiroutrosconsolidadojun[[#Headers],[23]],tabela_registros[REGISTRO],DADOS!$N$5,tabela_registros[TIPO],DADOS!$AB$5,tabela_registros[CATEGORIA],investiroutrosconsolidadojun[[#This Row],[ATUAL]])</f>
        <v>0</v>
      </c>
      <c r="AB156" s="119" t="n">
        <f aca="false">SUMIFS(tabela_registros[VALOR],tabela_registros[MÊS],$AE$1,tabela_registros[DIA],investiroutrosconsolidadojun[[#Headers],[24]],tabela_registros[REGISTRO],DADOS!$N$5,tabela_registros[TIPO],DADOS!$AB$5,tabela_registros[CATEGORIA],investiroutrosconsolidadojun[[#This Row],[ATUAL]])</f>
        <v>0</v>
      </c>
      <c r="AC156" s="119" t="n">
        <f aca="false">SUMIFS(tabela_registros[VALOR],tabela_registros[MÊS],$AE$1,tabela_registros[DIA],investiroutrosconsolidadojun[[#Headers],[25]],tabela_registros[REGISTRO],DADOS!$N$5,tabela_registros[TIPO],DADOS!$AB$5,tabela_registros[CATEGORIA],investiroutrosconsolidadojun[[#This Row],[ATUAL]])</f>
        <v>0</v>
      </c>
      <c r="AD156" s="119" t="n">
        <f aca="false">SUMIFS(tabela_registros[VALOR],tabela_registros[MÊS],$AE$1,tabela_registros[DIA],investiroutrosconsolidadojun[[#Headers],[26]],tabela_registros[REGISTRO],DADOS!$N$5,tabela_registros[TIPO],DADOS!$AB$5,tabela_registros[CATEGORIA],investiroutrosconsolidadojun[[#This Row],[ATUAL]])</f>
        <v>0</v>
      </c>
      <c r="AE156" s="119" t="n">
        <f aca="false">SUMIFS(tabela_registros[VALOR],tabela_registros[MÊS],$AE$1,tabela_registros[DIA],investiroutrosconsolidadojun[[#Headers],[27]],tabela_registros[REGISTRO],DADOS!$N$5,tabela_registros[TIPO],DADOS!$AB$5,tabela_registros[CATEGORIA],investiroutrosconsolidadojun[[#This Row],[ATUAL]])</f>
        <v>0</v>
      </c>
      <c r="AF156" s="119" t="n">
        <f aca="false">SUMIFS(tabela_registros[VALOR],tabela_registros[MÊS],$AE$1,tabela_registros[DIA],investiroutrosconsolidadojun[[#Headers],[28]],tabela_registros[REGISTRO],DADOS!$N$5,tabela_registros[TIPO],DADOS!$AB$5,tabela_registros[CATEGORIA],investiroutrosconsolidadojun[[#This Row],[ATUAL]])</f>
        <v>0</v>
      </c>
      <c r="AG156" s="119" t="n">
        <f aca="false">SUMIFS(tabela_registros[VALOR],tabela_registros[MÊS],$AE$1,tabela_registros[DIA],investiroutrosconsolidadojun[[#Headers],[29]],tabela_registros[REGISTRO],DADOS!$N$5,tabela_registros[TIPO],DADOS!$AB$5,tabela_registros[CATEGORIA],investiroutrosconsolidadojun[[#This Row],[ATUAL]])</f>
        <v>0</v>
      </c>
      <c r="AH156" s="119" t="n">
        <f aca="false">SUMIFS(tabela_registros[VALOR],tabela_registros[MÊS],$AE$1,tabela_registros[DIA],investiroutrosconsolidadojun[[#Headers],[30]],tabela_registros[REGISTRO],DADOS!$N$5,tabela_registros[TIPO],DADOS!$AB$5,tabela_registros[CATEGORIA],investiroutrosconsolidadojun[[#This Row],[ATUAL]])</f>
        <v>0</v>
      </c>
      <c r="AI156" s="217" t="n">
        <f aca="false">SUMIFS(tabela_registros[VALOR],tabela_registros[MÊS],$AE$1,tabela_registros[DIA],investiroutrosconsolidadojun[[#Headers],[31]],tabela_registros[REGISTRO],DADOS!$N$5,tabela_registros[TIPO],DADOS!$AB$5,tabela_registros[CATEGORIA],investiroutrosconsolidadojun[[#This Row],[ATUAL]])</f>
        <v>0</v>
      </c>
      <c r="AJ156" s="149" t="n">
        <f aca="false">SUM(investiroutrosconsolidadojun[[#This Row],[1]:[31]])</f>
        <v>0</v>
      </c>
      <c r="AK156" s="165"/>
    </row>
    <row r="157" customFormat="false" ht="19.5" hidden="false" customHeight="true" outlineLevel="0" collapsed="false">
      <c r="B157" s="143"/>
      <c r="C157" s="144" t="str">
        <f aca="false">DADOS!$AH$9</f>
        <v>📝 PREVIDÊNCIA PRIVADA</v>
      </c>
      <c r="D157" s="145" t="str">
        <f aca="false">IF(investiroutrosconsolidadojun[[#This Row],[TOTAL (R$)]]=0,"",IF(OR(investiroutrosconsolidadojun[[#This Row],[TOTAL (R$)]]=LARGE($AJ$151:$AJ$158,1),investiroutrosconsolidadojun[[#This Row],[TOTAL (R$)]]=LARGE($AJ$151:$AJ$158,2)),DADOS!$I$10,""))</f>
        <v/>
      </c>
      <c r="E157" s="148" t="n">
        <f aca="false">SUMIFS(tabela_registros[VALOR],tabela_registros[MÊS],$AE$1,tabela_registros[DIA],investiroutrosconsolidadojun[[#Headers],[1]],tabela_registros[REGISTRO],DADOS!$N$5,tabela_registros[TIPO],DADOS!$AB$5,tabela_registros[CATEGORIA],investiroutrosconsolidadojun[[#This Row],[ATUAL]])</f>
        <v>0</v>
      </c>
      <c r="F157" s="119" t="n">
        <f aca="false">SUMIFS(tabela_registros[VALOR],tabela_registros[MÊS],$AE$1,tabela_registros[DIA],investiroutrosconsolidadojun[[#Headers],[2]],tabela_registros[REGISTRO],DADOS!$N$5,tabela_registros[TIPO],DADOS!$AB$5,tabela_registros[CATEGORIA],investiroutrosconsolidadojun[[#This Row],[ATUAL]])</f>
        <v>0</v>
      </c>
      <c r="G157" s="119" t="n">
        <f aca="false">SUMIFS(tabela_registros[VALOR],tabela_registros[MÊS],$AE$1,tabela_registros[DIA],investiroutrosconsolidadojun[[#Headers],[3]],tabela_registros[REGISTRO],DADOS!$N$5,tabela_registros[TIPO],DADOS!$AB$5,tabela_registros[CATEGORIA],investiroutrosconsolidadojun[[#This Row],[ATUAL]])</f>
        <v>0</v>
      </c>
      <c r="H157" s="119" t="n">
        <f aca="false">SUMIFS(tabela_registros[VALOR],tabela_registros[MÊS],$AE$1,tabela_registros[DIA],investiroutrosconsolidadojun[[#Headers],[4]],tabela_registros[REGISTRO],DADOS!$N$5,tabela_registros[TIPO],DADOS!$AB$5,tabela_registros[CATEGORIA],investiroutrosconsolidadojun[[#This Row],[ATUAL]])</f>
        <v>0</v>
      </c>
      <c r="I157" s="119" t="n">
        <f aca="false">SUMIFS(tabela_registros[VALOR],tabela_registros[MÊS],$AE$1,tabela_registros[DIA],investiroutrosconsolidadojun[[#Headers],[5]],tabela_registros[REGISTRO],DADOS!$N$5,tabela_registros[TIPO],DADOS!$AB$5,tabela_registros[CATEGORIA],investiroutrosconsolidadojun[[#This Row],[ATUAL]])</f>
        <v>0</v>
      </c>
      <c r="J157" s="119" t="n">
        <f aca="false">SUMIFS(tabela_registros[VALOR],tabela_registros[MÊS],$AE$1,tabela_registros[DIA],investiroutrosconsolidadojun[[#Headers],[6]],tabela_registros[REGISTRO],DADOS!$N$5,tabela_registros[TIPO],DADOS!$AB$5,tabela_registros[CATEGORIA],investiroutrosconsolidadojun[[#This Row],[ATUAL]])</f>
        <v>0</v>
      </c>
      <c r="K157" s="119" t="n">
        <f aca="false">SUMIFS(tabela_registros[VALOR],tabela_registros[MÊS],$AE$1,tabela_registros[DIA],investiroutrosconsolidadojun[[#Headers],[7]],tabela_registros[REGISTRO],DADOS!$N$5,tabela_registros[TIPO],DADOS!$AB$5,tabela_registros[CATEGORIA],investiroutrosconsolidadojun[[#This Row],[ATUAL]])</f>
        <v>0</v>
      </c>
      <c r="L157" s="119" t="n">
        <f aca="false">SUMIFS(tabela_registros[VALOR],tabela_registros[MÊS],$AE$1,tabela_registros[DIA],investiroutrosconsolidadojun[[#Headers],[8]],tabela_registros[REGISTRO],DADOS!$N$5,tabela_registros[TIPO],DADOS!$AB$5,tabela_registros[CATEGORIA],investiroutrosconsolidadojun[[#This Row],[ATUAL]])</f>
        <v>0</v>
      </c>
      <c r="M157" s="119" t="n">
        <f aca="false">SUMIFS(tabela_registros[VALOR],tabela_registros[MÊS],$AE$1,tabela_registros[DIA],investiroutrosconsolidadojun[[#Headers],[9]],tabela_registros[REGISTRO],DADOS!$N$5,tabela_registros[TIPO],DADOS!$AB$5,tabela_registros[CATEGORIA],investiroutrosconsolidadojun[[#This Row],[ATUAL]])</f>
        <v>0</v>
      </c>
      <c r="N157" s="119" t="n">
        <f aca="false">SUMIFS(tabela_registros[VALOR],tabela_registros[MÊS],$AE$1,tabela_registros[DIA],investiroutrosconsolidadojun[[#Headers],[10]],tabela_registros[REGISTRO],DADOS!$N$5,tabela_registros[TIPO],DADOS!$AB$5,tabela_registros[CATEGORIA],investiroutrosconsolidadojun[[#This Row],[ATUAL]])</f>
        <v>0</v>
      </c>
      <c r="O157" s="119" t="n">
        <f aca="false">SUMIFS(tabela_registros[VALOR],tabela_registros[MÊS],$AE$1,tabela_registros[DIA],investiroutrosconsolidadojun[[#Headers],[11]],tabela_registros[REGISTRO],DADOS!$N$5,tabela_registros[TIPO],DADOS!$AB$5,tabela_registros[CATEGORIA],investiroutrosconsolidadojun[[#This Row],[ATUAL]])</f>
        <v>0</v>
      </c>
      <c r="P157" s="119" t="n">
        <f aca="false">SUMIFS(tabela_registros[VALOR],tabela_registros[MÊS],$AE$1,tabela_registros[DIA],investiroutrosconsolidadojun[[#Headers],[12]],tabela_registros[REGISTRO],DADOS!$N$5,tabela_registros[TIPO],DADOS!$AB$5,tabela_registros[CATEGORIA],investiroutrosconsolidadojun[[#This Row],[ATUAL]])</f>
        <v>0</v>
      </c>
      <c r="Q157" s="119" t="n">
        <f aca="false">SUMIFS(tabela_registros[VALOR],tabela_registros[MÊS],$AE$1,tabela_registros[DIA],investiroutrosconsolidadojun[[#Headers],[13]],tabela_registros[REGISTRO],DADOS!$N$5,tabela_registros[TIPO],DADOS!$AB$5,tabela_registros[CATEGORIA],investiroutrosconsolidadojun[[#This Row],[ATUAL]])</f>
        <v>0</v>
      </c>
      <c r="R157" s="119" t="n">
        <f aca="false">SUMIFS(tabela_registros[VALOR],tabela_registros[MÊS],$AE$1,tabela_registros[DIA],investiroutrosconsolidadojun[[#Headers],[14]],tabela_registros[REGISTRO],DADOS!$N$5,tabela_registros[TIPO],DADOS!$AB$5,tabela_registros[CATEGORIA],investiroutrosconsolidadojun[[#This Row],[ATUAL]])</f>
        <v>0</v>
      </c>
      <c r="S157" s="119" t="n">
        <f aca="false">SUMIFS(tabela_registros[VALOR],tabela_registros[MÊS],$AE$1,tabela_registros[DIA],investiroutrosconsolidadojun[[#Headers],[15]],tabela_registros[REGISTRO],DADOS!$N$5,tabela_registros[TIPO],DADOS!$AB$5,tabela_registros[CATEGORIA],investiroutrosconsolidadojun[[#This Row],[ATUAL]])</f>
        <v>0</v>
      </c>
      <c r="T157" s="119" t="n">
        <f aca="false">SUMIFS(tabela_registros[VALOR],tabela_registros[MÊS],$AE$1,tabela_registros[DIA],investiroutrosconsolidadojun[[#Headers],[16]],tabela_registros[REGISTRO],DADOS!$N$5,tabela_registros[TIPO],DADOS!$AB$5,tabela_registros[CATEGORIA],investiroutrosconsolidadojun[[#This Row],[ATUAL]])</f>
        <v>0</v>
      </c>
      <c r="U157" s="119" t="n">
        <f aca="false">SUMIFS(tabela_registros[VALOR],tabela_registros[MÊS],$AE$1,tabela_registros[DIA],investiroutrosconsolidadojun[[#Headers],[17]],tabela_registros[REGISTRO],DADOS!$N$5,tabela_registros[TIPO],DADOS!$AB$5,tabela_registros[CATEGORIA],investiroutrosconsolidadojun[[#This Row],[ATUAL]])</f>
        <v>0</v>
      </c>
      <c r="V157" s="119" t="n">
        <f aca="false">SUMIFS(tabela_registros[VALOR],tabela_registros[MÊS],$AE$1,tabela_registros[DIA],investiroutrosconsolidadojun[[#Headers],[18]],tabela_registros[REGISTRO],DADOS!$N$5,tabela_registros[TIPO],DADOS!$AB$5,tabela_registros[CATEGORIA],investiroutrosconsolidadojun[[#This Row],[ATUAL]])</f>
        <v>0</v>
      </c>
      <c r="W157" s="119" t="n">
        <f aca="false">SUMIFS(tabela_registros[VALOR],tabela_registros[MÊS],$AE$1,tabela_registros[DIA],investiroutrosconsolidadojun[[#Headers],[19]],tabela_registros[REGISTRO],DADOS!$N$5,tabela_registros[TIPO],DADOS!$AB$5,tabela_registros[CATEGORIA],investiroutrosconsolidadojun[[#This Row],[ATUAL]])</f>
        <v>0</v>
      </c>
      <c r="X157" s="119" t="n">
        <f aca="false">SUMIFS(tabela_registros[VALOR],tabela_registros[MÊS],$AE$1,tabela_registros[DIA],investiroutrosconsolidadojun[[#Headers],[20]],tabela_registros[REGISTRO],DADOS!$N$5,tabela_registros[TIPO],DADOS!$AB$5,tabela_registros[CATEGORIA],investiroutrosconsolidadojun[[#This Row],[ATUAL]])</f>
        <v>0</v>
      </c>
      <c r="Y157" s="119" t="n">
        <f aca="false">SUMIFS(tabela_registros[VALOR],tabela_registros[MÊS],$AE$1,tabela_registros[DIA],investiroutrosconsolidadojun[[#Headers],[21]],tabela_registros[REGISTRO],DADOS!$N$5,tabela_registros[TIPO],DADOS!$AB$5,tabela_registros[CATEGORIA],investiroutrosconsolidadojun[[#This Row],[ATUAL]])</f>
        <v>0</v>
      </c>
      <c r="Z157" s="119" t="n">
        <f aca="false">SUMIFS(tabela_registros[VALOR],tabela_registros[MÊS],$AE$1,tabela_registros[DIA],investiroutrosconsolidadojun[[#Headers],[22]],tabela_registros[REGISTRO],DADOS!$N$5,tabela_registros[TIPO],DADOS!$AB$5,tabela_registros[CATEGORIA],investiroutrosconsolidadojun[[#This Row],[ATUAL]])</f>
        <v>0</v>
      </c>
      <c r="AA157" s="119" t="n">
        <f aca="false">SUMIFS(tabela_registros[VALOR],tabela_registros[MÊS],$AE$1,tabela_registros[DIA],investiroutrosconsolidadojun[[#Headers],[23]],tabela_registros[REGISTRO],DADOS!$N$5,tabela_registros[TIPO],DADOS!$AB$5,tabela_registros[CATEGORIA],investiroutrosconsolidadojun[[#This Row],[ATUAL]])</f>
        <v>0</v>
      </c>
      <c r="AB157" s="119" t="n">
        <f aca="false">SUMIFS(tabela_registros[VALOR],tabela_registros[MÊS],$AE$1,tabela_registros[DIA],investiroutrosconsolidadojun[[#Headers],[24]],tabela_registros[REGISTRO],DADOS!$N$5,tabela_registros[TIPO],DADOS!$AB$5,tabela_registros[CATEGORIA],investiroutrosconsolidadojun[[#This Row],[ATUAL]])</f>
        <v>0</v>
      </c>
      <c r="AC157" s="119" t="n">
        <f aca="false">SUMIFS(tabela_registros[VALOR],tabela_registros[MÊS],$AE$1,tabela_registros[DIA],investiroutrosconsolidadojun[[#Headers],[25]],tabela_registros[REGISTRO],DADOS!$N$5,tabela_registros[TIPO],DADOS!$AB$5,tabela_registros[CATEGORIA],investiroutrosconsolidadojun[[#This Row],[ATUAL]])</f>
        <v>0</v>
      </c>
      <c r="AD157" s="119" t="n">
        <f aca="false">SUMIFS(tabela_registros[VALOR],tabela_registros[MÊS],$AE$1,tabela_registros[DIA],investiroutrosconsolidadojun[[#Headers],[26]],tabela_registros[REGISTRO],DADOS!$N$5,tabela_registros[TIPO],DADOS!$AB$5,tabela_registros[CATEGORIA],investiroutrosconsolidadojun[[#This Row],[ATUAL]])</f>
        <v>0</v>
      </c>
      <c r="AE157" s="119" t="n">
        <f aca="false">SUMIFS(tabela_registros[VALOR],tabela_registros[MÊS],$AE$1,tabela_registros[DIA],investiroutrosconsolidadojun[[#Headers],[27]],tabela_registros[REGISTRO],DADOS!$N$5,tabela_registros[TIPO],DADOS!$AB$5,tabela_registros[CATEGORIA],investiroutrosconsolidadojun[[#This Row],[ATUAL]])</f>
        <v>0</v>
      </c>
      <c r="AF157" s="119" t="n">
        <f aca="false">SUMIFS(tabela_registros[VALOR],tabela_registros[MÊS],$AE$1,tabela_registros[DIA],investiroutrosconsolidadojun[[#Headers],[28]],tabela_registros[REGISTRO],DADOS!$N$5,tabela_registros[TIPO],DADOS!$AB$5,tabela_registros[CATEGORIA],investiroutrosconsolidadojun[[#This Row],[ATUAL]])</f>
        <v>0</v>
      </c>
      <c r="AG157" s="119" t="n">
        <f aca="false">SUMIFS(tabela_registros[VALOR],tabela_registros[MÊS],$AE$1,tabela_registros[DIA],investiroutrosconsolidadojun[[#Headers],[29]],tabela_registros[REGISTRO],DADOS!$N$5,tabela_registros[TIPO],DADOS!$AB$5,tabela_registros[CATEGORIA],investiroutrosconsolidadojun[[#This Row],[ATUAL]])</f>
        <v>0</v>
      </c>
      <c r="AH157" s="119" t="n">
        <f aca="false">SUMIFS(tabela_registros[VALOR],tabela_registros[MÊS],$AE$1,tabela_registros[DIA],investiroutrosconsolidadojun[[#Headers],[30]],tabela_registros[REGISTRO],DADOS!$N$5,tabela_registros[TIPO],DADOS!$AB$5,tabela_registros[CATEGORIA],investiroutrosconsolidadojun[[#This Row],[ATUAL]])</f>
        <v>0</v>
      </c>
      <c r="AI157" s="217" t="n">
        <f aca="false">SUMIFS(tabela_registros[VALOR],tabela_registros[MÊS],$AE$1,tabela_registros[DIA],investiroutrosconsolidadojun[[#Headers],[31]],tabela_registros[REGISTRO],DADOS!$N$5,tabela_registros[TIPO],DADOS!$AB$5,tabela_registros[CATEGORIA],investiroutrosconsolidadojun[[#This Row],[ATUAL]])</f>
        <v>0</v>
      </c>
      <c r="AJ157" s="149" t="n">
        <f aca="false">SUM(investiroutrosconsolidadojun[[#This Row],[1]:[31]])</f>
        <v>0</v>
      </c>
      <c r="AK157" s="165"/>
    </row>
    <row r="158" customFormat="false" ht="19.5" hidden="false" customHeight="true" outlineLevel="0" collapsed="false">
      <c r="B158" s="143"/>
      <c r="C158" s="144" t="str">
        <f aca="false">DADOS!$AH$10</f>
        <v>📎 OUTROS</v>
      </c>
      <c r="D158" s="145" t="str">
        <f aca="false">IF(investiroutrosconsolidadojun[[#This Row],[TOTAL (R$)]]=0,"",IF(OR(investiroutrosconsolidadojun[[#This Row],[TOTAL (R$)]]=LARGE($AJ$151:$AJ$158,1),investiroutrosconsolidadojun[[#This Row],[TOTAL (R$)]]=LARGE($AJ$151:$AJ$158,2)),DADOS!$I$10,""))</f>
        <v/>
      </c>
      <c r="E158" s="148" t="n">
        <f aca="false">SUMIFS(tabela_registros[VALOR],tabela_registros[MÊS],$AE$1,tabela_registros[DIA],investiroutrosconsolidadojun[[#Headers],[1]],tabela_registros[REGISTRO],DADOS!$N$5,tabela_registros[TIPO],DADOS!$AB$5,tabela_registros[CATEGORIA],investiroutrosconsolidadojun[[#This Row],[ATUAL]])</f>
        <v>0</v>
      </c>
      <c r="F158" s="119" t="n">
        <f aca="false">SUMIFS(tabela_registros[VALOR],tabela_registros[MÊS],$AE$1,tabela_registros[DIA],investiroutrosconsolidadojun[[#Headers],[2]],tabela_registros[REGISTRO],DADOS!$N$5,tabela_registros[TIPO],DADOS!$AB$5,tabela_registros[CATEGORIA],investiroutrosconsolidadojun[[#This Row],[ATUAL]])</f>
        <v>0</v>
      </c>
      <c r="G158" s="119" t="n">
        <f aca="false">SUMIFS(tabela_registros[VALOR],tabela_registros[MÊS],$AE$1,tabela_registros[DIA],investiroutrosconsolidadojun[[#Headers],[3]],tabela_registros[REGISTRO],DADOS!$N$5,tabela_registros[TIPO],DADOS!$AB$5,tabela_registros[CATEGORIA],investiroutrosconsolidadojun[[#This Row],[ATUAL]])</f>
        <v>0</v>
      </c>
      <c r="H158" s="119" t="n">
        <f aca="false">SUMIFS(tabela_registros[VALOR],tabela_registros[MÊS],$AE$1,tabela_registros[DIA],investiroutrosconsolidadojun[[#Headers],[4]],tabela_registros[REGISTRO],DADOS!$N$5,tabela_registros[TIPO],DADOS!$AB$5,tabela_registros[CATEGORIA],investiroutrosconsolidadojun[[#This Row],[ATUAL]])</f>
        <v>0</v>
      </c>
      <c r="I158" s="119" t="n">
        <f aca="false">SUMIFS(tabela_registros[VALOR],tabela_registros[MÊS],$AE$1,tabela_registros[DIA],investiroutrosconsolidadojun[[#Headers],[5]],tabela_registros[REGISTRO],DADOS!$N$5,tabela_registros[TIPO],DADOS!$AB$5,tabela_registros[CATEGORIA],investiroutrosconsolidadojun[[#This Row],[ATUAL]])</f>
        <v>0</v>
      </c>
      <c r="J158" s="119" t="n">
        <f aca="false">SUMIFS(tabela_registros[VALOR],tabela_registros[MÊS],$AE$1,tabela_registros[DIA],investiroutrosconsolidadojun[[#Headers],[6]],tabela_registros[REGISTRO],DADOS!$N$5,tabela_registros[TIPO],DADOS!$AB$5,tabela_registros[CATEGORIA],investiroutrosconsolidadojun[[#This Row],[ATUAL]])</f>
        <v>0</v>
      </c>
      <c r="K158" s="119" t="n">
        <f aca="false">SUMIFS(tabela_registros[VALOR],tabela_registros[MÊS],$AE$1,tabela_registros[DIA],investiroutrosconsolidadojun[[#Headers],[7]],tabela_registros[REGISTRO],DADOS!$N$5,tabela_registros[TIPO],DADOS!$AB$5,tabela_registros[CATEGORIA],investiroutrosconsolidadojun[[#This Row],[ATUAL]])</f>
        <v>0</v>
      </c>
      <c r="L158" s="119" t="n">
        <f aca="false">SUMIFS(tabela_registros[VALOR],tabela_registros[MÊS],$AE$1,tabela_registros[DIA],investiroutrosconsolidadojun[[#Headers],[8]],tabela_registros[REGISTRO],DADOS!$N$5,tabela_registros[TIPO],DADOS!$AB$5,tabela_registros[CATEGORIA],investiroutrosconsolidadojun[[#This Row],[ATUAL]])</f>
        <v>0</v>
      </c>
      <c r="M158" s="119" t="n">
        <f aca="false">SUMIFS(tabela_registros[VALOR],tabela_registros[MÊS],$AE$1,tabela_registros[DIA],investiroutrosconsolidadojun[[#Headers],[9]],tabela_registros[REGISTRO],DADOS!$N$5,tabela_registros[TIPO],DADOS!$AB$5,tabela_registros[CATEGORIA],investiroutrosconsolidadojun[[#This Row],[ATUAL]])</f>
        <v>0</v>
      </c>
      <c r="N158" s="119" t="n">
        <f aca="false">SUMIFS(tabela_registros[VALOR],tabela_registros[MÊS],$AE$1,tabela_registros[DIA],investiroutrosconsolidadojun[[#Headers],[10]],tabela_registros[REGISTRO],DADOS!$N$5,tabela_registros[TIPO],DADOS!$AB$5,tabela_registros[CATEGORIA],investiroutrosconsolidadojun[[#This Row],[ATUAL]])</f>
        <v>0</v>
      </c>
      <c r="O158" s="119" t="n">
        <f aca="false">SUMIFS(tabela_registros[VALOR],tabela_registros[MÊS],$AE$1,tabela_registros[DIA],investiroutrosconsolidadojun[[#Headers],[11]],tabela_registros[REGISTRO],DADOS!$N$5,tabela_registros[TIPO],DADOS!$AB$5,tabela_registros[CATEGORIA],investiroutrosconsolidadojun[[#This Row],[ATUAL]])</f>
        <v>0</v>
      </c>
      <c r="P158" s="119" t="n">
        <f aca="false">SUMIFS(tabela_registros[VALOR],tabela_registros[MÊS],$AE$1,tabela_registros[DIA],investiroutrosconsolidadojun[[#Headers],[12]],tabela_registros[REGISTRO],DADOS!$N$5,tabela_registros[TIPO],DADOS!$AB$5,tabela_registros[CATEGORIA],investiroutrosconsolidadojun[[#This Row],[ATUAL]])</f>
        <v>0</v>
      </c>
      <c r="Q158" s="119" t="n">
        <f aca="false">SUMIFS(tabela_registros[VALOR],tabela_registros[MÊS],$AE$1,tabela_registros[DIA],investiroutrosconsolidadojun[[#Headers],[13]],tabela_registros[REGISTRO],DADOS!$N$5,tabela_registros[TIPO],DADOS!$AB$5,tabela_registros[CATEGORIA],investiroutrosconsolidadojun[[#This Row],[ATUAL]])</f>
        <v>0</v>
      </c>
      <c r="R158" s="119" t="n">
        <f aca="false">SUMIFS(tabela_registros[VALOR],tabela_registros[MÊS],$AE$1,tabela_registros[DIA],investiroutrosconsolidadojun[[#Headers],[14]],tabela_registros[REGISTRO],DADOS!$N$5,tabela_registros[TIPO],DADOS!$AB$5,tabela_registros[CATEGORIA],investiroutrosconsolidadojun[[#This Row],[ATUAL]])</f>
        <v>0</v>
      </c>
      <c r="S158" s="119" t="n">
        <f aca="false">SUMIFS(tabela_registros[VALOR],tabela_registros[MÊS],$AE$1,tabela_registros[DIA],investiroutrosconsolidadojun[[#Headers],[15]],tabela_registros[REGISTRO],DADOS!$N$5,tabela_registros[TIPO],DADOS!$AB$5,tabela_registros[CATEGORIA],investiroutrosconsolidadojun[[#This Row],[ATUAL]])</f>
        <v>0</v>
      </c>
      <c r="T158" s="119" t="n">
        <f aca="false">SUMIFS(tabela_registros[VALOR],tabela_registros[MÊS],$AE$1,tabela_registros[DIA],investiroutrosconsolidadojun[[#Headers],[16]],tabela_registros[REGISTRO],DADOS!$N$5,tabela_registros[TIPO],DADOS!$AB$5,tabela_registros[CATEGORIA],investiroutrosconsolidadojun[[#This Row],[ATUAL]])</f>
        <v>0</v>
      </c>
      <c r="U158" s="119" t="n">
        <f aca="false">SUMIFS(tabela_registros[VALOR],tabela_registros[MÊS],$AE$1,tabela_registros[DIA],investiroutrosconsolidadojun[[#Headers],[17]],tabela_registros[REGISTRO],DADOS!$N$5,tabela_registros[TIPO],DADOS!$AB$5,tabela_registros[CATEGORIA],investiroutrosconsolidadojun[[#This Row],[ATUAL]])</f>
        <v>0</v>
      </c>
      <c r="V158" s="119" t="n">
        <f aca="false">SUMIFS(tabela_registros[VALOR],tabela_registros[MÊS],$AE$1,tabela_registros[DIA],investiroutrosconsolidadojun[[#Headers],[18]],tabela_registros[REGISTRO],DADOS!$N$5,tabela_registros[TIPO],DADOS!$AB$5,tabela_registros[CATEGORIA],investiroutrosconsolidadojun[[#This Row],[ATUAL]])</f>
        <v>0</v>
      </c>
      <c r="W158" s="119" t="n">
        <f aca="false">SUMIFS(tabela_registros[VALOR],tabela_registros[MÊS],$AE$1,tabela_registros[DIA],investiroutrosconsolidadojun[[#Headers],[19]],tabela_registros[REGISTRO],DADOS!$N$5,tabela_registros[TIPO],DADOS!$AB$5,tabela_registros[CATEGORIA],investiroutrosconsolidadojun[[#This Row],[ATUAL]])</f>
        <v>0</v>
      </c>
      <c r="X158" s="119" t="n">
        <f aca="false">SUMIFS(tabela_registros[VALOR],tabela_registros[MÊS],$AE$1,tabela_registros[DIA],investiroutrosconsolidadojun[[#Headers],[20]],tabela_registros[REGISTRO],DADOS!$N$5,tabela_registros[TIPO],DADOS!$AB$5,tabela_registros[CATEGORIA],investiroutrosconsolidadojun[[#This Row],[ATUAL]])</f>
        <v>0</v>
      </c>
      <c r="Y158" s="119" t="n">
        <f aca="false">SUMIFS(tabela_registros[VALOR],tabela_registros[MÊS],$AE$1,tabela_registros[DIA],investiroutrosconsolidadojun[[#Headers],[21]],tabela_registros[REGISTRO],DADOS!$N$5,tabela_registros[TIPO],DADOS!$AB$5,tabela_registros[CATEGORIA],investiroutrosconsolidadojun[[#This Row],[ATUAL]])</f>
        <v>0</v>
      </c>
      <c r="Z158" s="119" t="n">
        <f aca="false">SUMIFS(tabela_registros[VALOR],tabela_registros[MÊS],$AE$1,tabela_registros[DIA],investiroutrosconsolidadojun[[#Headers],[22]],tabela_registros[REGISTRO],DADOS!$N$5,tabela_registros[TIPO],DADOS!$AB$5,tabela_registros[CATEGORIA],investiroutrosconsolidadojun[[#This Row],[ATUAL]])</f>
        <v>0</v>
      </c>
      <c r="AA158" s="119" t="n">
        <f aca="false">SUMIFS(tabela_registros[VALOR],tabela_registros[MÊS],$AE$1,tabela_registros[DIA],investiroutrosconsolidadojun[[#Headers],[23]],tabela_registros[REGISTRO],DADOS!$N$5,tabela_registros[TIPO],DADOS!$AB$5,tabela_registros[CATEGORIA],investiroutrosconsolidadojun[[#This Row],[ATUAL]])</f>
        <v>0</v>
      </c>
      <c r="AB158" s="119" t="n">
        <f aca="false">SUMIFS(tabela_registros[VALOR],tabela_registros[MÊS],$AE$1,tabela_registros[DIA],investiroutrosconsolidadojun[[#Headers],[24]],tabela_registros[REGISTRO],DADOS!$N$5,tabela_registros[TIPO],DADOS!$AB$5,tabela_registros[CATEGORIA],investiroutrosconsolidadojun[[#This Row],[ATUAL]])</f>
        <v>0</v>
      </c>
      <c r="AC158" s="119" t="n">
        <f aca="false">SUMIFS(tabela_registros[VALOR],tabela_registros[MÊS],$AE$1,tabela_registros[DIA],investiroutrosconsolidadojun[[#Headers],[25]],tabela_registros[REGISTRO],DADOS!$N$5,tabela_registros[TIPO],DADOS!$AB$5,tabela_registros[CATEGORIA],investiroutrosconsolidadojun[[#This Row],[ATUAL]])</f>
        <v>0</v>
      </c>
      <c r="AD158" s="119" t="n">
        <f aca="false">SUMIFS(tabela_registros[VALOR],tabela_registros[MÊS],$AE$1,tabela_registros[DIA],investiroutrosconsolidadojun[[#Headers],[26]],tabela_registros[REGISTRO],DADOS!$N$5,tabela_registros[TIPO],DADOS!$AB$5,tabela_registros[CATEGORIA],investiroutrosconsolidadojun[[#This Row],[ATUAL]])</f>
        <v>0</v>
      </c>
      <c r="AE158" s="119" t="n">
        <f aca="false">SUMIFS(tabela_registros[VALOR],tabela_registros[MÊS],$AE$1,tabela_registros[DIA],investiroutrosconsolidadojun[[#Headers],[27]],tabela_registros[REGISTRO],DADOS!$N$5,tabela_registros[TIPO],DADOS!$AB$5,tabela_registros[CATEGORIA],investiroutrosconsolidadojun[[#This Row],[ATUAL]])</f>
        <v>0</v>
      </c>
      <c r="AF158" s="119" t="n">
        <f aca="false">SUMIFS(tabela_registros[VALOR],tabela_registros[MÊS],$AE$1,tabela_registros[DIA],investiroutrosconsolidadojun[[#Headers],[28]],tabela_registros[REGISTRO],DADOS!$N$5,tabela_registros[TIPO],DADOS!$AB$5,tabela_registros[CATEGORIA],investiroutrosconsolidadojun[[#This Row],[ATUAL]])</f>
        <v>0</v>
      </c>
      <c r="AG158" s="119" t="n">
        <f aca="false">SUMIFS(tabela_registros[VALOR],tabela_registros[MÊS],$AE$1,tabela_registros[DIA],investiroutrosconsolidadojun[[#Headers],[29]],tabela_registros[REGISTRO],DADOS!$N$5,tabela_registros[TIPO],DADOS!$AB$5,tabela_registros[CATEGORIA],investiroutrosconsolidadojun[[#This Row],[ATUAL]])</f>
        <v>0</v>
      </c>
      <c r="AH158" s="119" t="n">
        <f aca="false">SUMIFS(tabela_registros[VALOR],tabela_registros[MÊS],$AE$1,tabela_registros[DIA],investiroutrosconsolidadojun[[#Headers],[30]],tabela_registros[REGISTRO],DADOS!$N$5,tabela_registros[TIPO],DADOS!$AB$5,tabela_registros[CATEGORIA],investiroutrosconsolidadojun[[#This Row],[ATUAL]])</f>
        <v>0</v>
      </c>
      <c r="AI158" s="218" t="n">
        <f aca="false">SUMIFS(tabela_registros[VALOR],tabela_registros[MÊS],$AE$1,tabela_registros[DIA],investiroutrosconsolidadojun[[#Headers],[31]],tabela_registros[REGISTRO],DADOS!$N$5,tabela_registros[TIPO],DADOS!$AB$5,tabela_registros[CATEGORIA],investiroutrosconsolidadojun[[#This Row],[ATUAL]])</f>
        <v>0</v>
      </c>
      <c r="AJ158" s="149" t="n">
        <f aca="false">SUM(investiroutrosconsolidadojun[[#This Row],[1]:[31]])</f>
        <v>0</v>
      </c>
      <c r="AK158" s="165"/>
    </row>
    <row r="159" s="122" customFormat="true" ht="21" hidden="false" customHeight="true" outlineLevel="0" collapsed="false">
      <c r="B159" s="152"/>
      <c r="C159" s="153" t="s">
        <v>2</v>
      </c>
      <c r="D159" s="166"/>
      <c r="E159" s="155" t="n">
        <f aca="false">SUM(E151:E158)</f>
        <v>0</v>
      </c>
      <c r="F159" s="156" t="n">
        <f aca="false">SUM(F151:F158)+investiroutrosconsolidadojun[[#This Row],[1]]</f>
        <v>0</v>
      </c>
      <c r="G159" s="156" t="n">
        <f aca="false">SUM(G151:G158)+investiroutrosconsolidadojun[[#This Row],[2]]</f>
        <v>0</v>
      </c>
      <c r="H159" s="156" t="n">
        <f aca="false">SUM(H151:H158)+investiroutrosconsolidadojun[[#This Row],[3]]</f>
        <v>0</v>
      </c>
      <c r="I159" s="156" t="n">
        <f aca="false">SUM(I151:I158)+investiroutrosconsolidadojun[[#This Row],[4]]</f>
        <v>0</v>
      </c>
      <c r="J159" s="156" t="n">
        <f aca="false">SUM(J151:J158)+investiroutrosconsolidadojun[[#This Row],[5]]</f>
        <v>0</v>
      </c>
      <c r="K159" s="156" t="n">
        <f aca="false">SUM(K151:K158)+investiroutrosconsolidadojun[[#This Row],[6]]</f>
        <v>0</v>
      </c>
      <c r="L159" s="156" t="n">
        <f aca="false">SUM(L151:L158)+investiroutrosconsolidadojun[[#This Row],[7]]</f>
        <v>0</v>
      </c>
      <c r="M159" s="156" t="n">
        <f aca="false">SUM(M151:M158)+investiroutrosconsolidadojun[[#This Row],[8]]</f>
        <v>0</v>
      </c>
      <c r="N159" s="156" t="n">
        <f aca="false">SUM(N151:N158)+investiroutrosconsolidadojun[[#This Row],[9]]</f>
        <v>0</v>
      </c>
      <c r="O159" s="156" t="n">
        <f aca="false">SUM(O151:O158)+investiroutrosconsolidadojun[[#This Row],[10]]</f>
        <v>0</v>
      </c>
      <c r="P159" s="156" t="n">
        <f aca="false">SUM(P151:P158)+investiroutrosconsolidadojun[[#This Row],[11]]</f>
        <v>0</v>
      </c>
      <c r="Q159" s="156" t="n">
        <f aca="false">SUM(Q151:Q158)+investiroutrosconsolidadojun[[#This Row],[12]]</f>
        <v>0</v>
      </c>
      <c r="R159" s="156" t="n">
        <f aca="false">SUM(R151:R158)+investiroutrosconsolidadojun[[#This Row],[13]]</f>
        <v>0</v>
      </c>
      <c r="S159" s="156" t="n">
        <f aca="false">SUM(S151:S158)+investiroutrosconsolidadojun[[#This Row],[14]]</f>
        <v>0</v>
      </c>
      <c r="T159" s="156" t="n">
        <f aca="false">SUM(T151:T158)+investiroutrosconsolidadojun[[#This Row],[15]]</f>
        <v>0</v>
      </c>
      <c r="U159" s="156" t="n">
        <f aca="false">SUM(U151:U158)+investiroutrosconsolidadojun[[#This Row],[16]]</f>
        <v>0</v>
      </c>
      <c r="V159" s="156" t="n">
        <f aca="false">SUM(V151:V158)+investiroutrosconsolidadojun[[#This Row],[17]]</f>
        <v>0</v>
      </c>
      <c r="W159" s="156" t="n">
        <f aca="false">SUM(W151:W158)+investiroutrosconsolidadojun[[#This Row],[18]]</f>
        <v>0</v>
      </c>
      <c r="X159" s="156" t="n">
        <f aca="false">SUM(X151:X158)+investiroutrosconsolidadojun[[#This Row],[19]]</f>
        <v>0</v>
      </c>
      <c r="Y159" s="156" t="n">
        <f aca="false">SUM(Y151:Y158)+investiroutrosconsolidadojun[[#This Row],[20]]</f>
        <v>0</v>
      </c>
      <c r="Z159" s="156" t="n">
        <f aca="false">SUM(Z151:Z158)+investiroutrosconsolidadojun[[#This Row],[21]]</f>
        <v>0</v>
      </c>
      <c r="AA159" s="156" t="n">
        <f aca="false">SUM(AA151:AA158)+investiroutrosconsolidadojun[[#This Row],[22]]</f>
        <v>0</v>
      </c>
      <c r="AB159" s="156" t="n">
        <f aca="false">SUM(AB151:AB158)+investiroutrosconsolidadojun[[#This Row],[23]]</f>
        <v>0</v>
      </c>
      <c r="AC159" s="156" t="n">
        <f aca="false">SUM(AC151:AC158)+investiroutrosconsolidadojun[[#This Row],[24]]</f>
        <v>0</v>
      </c>
      <c r="AD159" s="156" t="n">
        <f aca="false">SUM(AD151:AD158)+investiroutrosconsolidadojun[[#This Row],[25]]</f>
        <v>0</v>
      </c>
      <c r="AE159" s="156" t="n">
        <f aca="false">SUM(AE151:AE158)+investiroutrosconsolidadojun[[#This Row],[26]]</f>
        <v>0</v>
      </c>
      <c r="AF159" s="156" t="n">
        <f aca="false">SUM(AF151:AF158)+investiroutrosconsolidadojun[[#This Row],[27]]</f>
        <v>0</v>
      </c>
      <c r="AG159" s="156" t="n">
        <f aca="false">SUM(AG151:AG158)+investiroutrosconsolidadojun[[#This Row],[28]]</f>
        <v>0</v>
      </c>
      <c r="AH159" s="156" t="n">
        <f aca="false">SUM(AH151:AH158)+investiroutrosconsolidadojun[[#This Row],[29]]</f>
        <v>0</v>
      </c>
      <c r="AI159" s="223" t="n">
        <f aca="false">SUM(AI151:AI158)+investiroutrosconsolidadojun[[#This Row],[30]]</f>
        <v>0</v>
      </c>
      <c r="AJ159" s="157" t="n">
        <f aca="false">investiroutrosconsolidadojun[[#This Row],[31]]</f>
        <v>0</v>
      </c>
      <c r="AK159" s="158"/>
    </row>
    <row r="160" customFormat="false" ht="6.75" hidden="false" customHeight="true" outlineLevel="0" collapsed="false">
      <c r="B160" s="97"/>
      <c r="C160" s="162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233"/>
      <c r="AJ160" s="164"/>
      <c r="AK160" s="244"/>
    </row>
    <row r="161" s="78" customFormat="true" ht="12.75" hidden="false" customHeight="false" outlineLevel="0" collapsed="false">
      <c r="E161" s="100"/>
    </row>
    <row r="162" s="78" customFormat="true" ht="12" hidden="false" customHeight="false" outlineLevel="0" collapsed="false"/>
    <row r="163" s="78" customFormat="true" ht="12" hidden="false" customHeight="false" outlineLevel="0" collapsed="false"/>
    <row r="164" customFormat="false" ht="39.75" hidden="false" customHeight="true" outlineLevel="0" collapsed="false">
      <c r="C164" s="101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3" t="s">
        <v>2</v>
      </c>
    </row>
    <row r="165" s="78" customFormat="true" ht="12.75" hidden="false" customHeight="false" outlineLevel="0" collapsed="false">
      <c r="B165" s="161"/>
      <c r="AJ165" s="106" t="s">
        <v>64</v>
      </c>
    </row>
    <row r="166" customFormat="false" ht="6.75" hidden="false" customHeight="true" outlineLevel="0" collapsed="false">
      <c r="B166" s="86"/>
      <c r="C166" s="162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233"/>
      <c r="AK166" s="139"/>
    </row>
    <row r="167" customFormat="false" ht="13.5" hidden="true" customHeight="false" outlineLevel="0" collapsed="false">
      <c r="B167" s="86"/>
      <c r="C167" s="109" t="s">
        <v>68</v>
      </c>
      <c r="D167" s="110" t="s">
        <v>69</v>
      </c>
      <c r="E167" s="110" t="s">
        <v>30</v>
      </c>
      <c r="F167" s="110" t="s">
        <v>31</v>
      </c>
      <c r="G167" s="110" t="s">
        <v>32</v>
      </c>
      <c r="H167" s="110" t="s">
        <v>33</v>
      </c>
      <c r="I167" s="110" t="s">
        <v>34</v>
      </c>
      <c r="J167" s="110" t="s">
        <v>35</v>
      </c>
      <c r="K167" s="110" t="s">
        <v>36</v>
      </c>
      <c r="L167" s="110" t="s">
        <v>37</v>
      </c>
      <c r="M167" s="110" t="s">
        <v>38</v>
      </c>
      <c r="N167" s="110" t="s">
        <v>39</v>
      </c>
      <c r="O167" s="110" t="s">
        <v>40</v>
      </c>
      <c r="P167" s="110" t="s">
        <v>41</v>
      </c>
      <c r="Q167" s="110" t="s">
        <v>81</v>
      </c>
      <c r="R167" s="110" t="s">
        <v>82</v>
      </c>
      <c r="S167" s="110" t="s">
        <v>83</v>
      </c>
      <c r="T167" s="110" t="s">
        <v>84</v>
      </c>
      <c r="U167" s="110" t="s">
        <v>85</v>
      </c>
      <c r="V167" s="110" t="s">
        <v>86</v>
      </c>
      <c r="W167" s="110" t="s">
        <v>87</v>
      </c>
      <c r="X167" s="110" t="s">
        <v>88</v>
      </c>
      <c r="Y167" s="110" t="s">
        <v>89</v>
      </c>
      <c r="Z167" s="110" t="s">
        <v>90</v>
      </c>
      <c r="AA167" s="110" t="s">
        <v>91</v>
      </c>
      <c r="AB167" s="110" t="s">
        <v>92</v>
      </c>
      <c r="AC167" s="110" t="s">
        <v>93</v>
      </c>
      <c r="AD167" s="110" t="s">
        <v>94</v>
      </c>
      <c r="AE167" s="110" t="s">
        <v>95</v>
      </c>
      <c r="AF167" s="110" t="s">
        <v>96</v>
      </c>
      <c r="AG167" s="110" t="s">
        <v>97</v>
      </c>
      <c r="AH167" s="110" t="s">
        <v>98</v>
      </c>
      <c r="AI167" s="110" t="s">
        <v>99</v>
      </c>
      <c r="AJ167" s="111" t="s">
        <v>70</v>
      </c>
      <c r="AK167" s="86"/>
    </row>
    <row r="168" customFormat="false" ht="19.5" hidden="false" customHeight="true" outlineLevel="0" collapsed="false">
      <c r="B168" s="143"/>
      <c r="C168" s="144" t="str">
        <f aca="false">DADOS!$AL$3</f>
        <v>📝 CDB</v>
      </c>
      <c r="D168" s="145" t="str">
        <f aca="false">IF(reservafixaconsolidadojun[[#This Row],[TOTAL (R$)]]=0,"",IF(OR(reservafixaconsolidadojun[[#This Row],[TOTAL (R$)]]=LARGE($AJ$168:$AJ$177,1),reservafixaconsolidadojun[[#This Row],[TOTAL (R$)]]=LARGE($AJ$168:$AJ$177,2)),DADOS!$I$11,""))</f>
        <v/>
      </c>
      <c r="E168" s="148" t="n">
        <f aca="false">SUMIFS(tabela_registros[VALOR],tabela_registros[MÊS],$AE$1,tabela_registros[DIA],reservafixaconsolidadojun[[#Headers],[1]],tabela_registros[REGISTRO],DADOS!$N$6,tabela_registros[TIPO],DADOS!$AJ$3,tabela_registros[CATEGORIA],reservafixaconsolidadojun[[#This Row],[ATUAL]])</f>
        <v>0</v>
      </c>
      <c r="F168" s="119" t="n">
        <f aca="false">SUMIFS(tabela_registros[VALOR],tabela_registros[MÊS],$AE$1,tabela_registros[DIA],reservafixaconsolidadojun[[#Headers],[2]],tabela_registros[REGISTRO],DADOS!$N$6,tabela_registros[TIPO],DADOS!$AJ$3,tabela_registros[CATEGORIA],reservafixaconsolidadojun[[#This Row],[ATUAL]])</f>
        <v>0</v>
      </c>
      <c r="G168" s="119" t="n">
        <f aca="false">SUMIFS(tabela_registros[VALOR],tabela_registros[MÊS],$AE$1,tabela_registros[DIA],reservafixaconsolidadojun[[#Headers],[3]],tabela_registros[REGISTRO],DADOS!$N$6,tabela_registros[TIPO],DADOS!$AJ$3,tabela_registros[CATEGORIA],reservafixaconsolidadojun[[#This Row],[ATUAL]])</f>
        <v>0</v>
      </c>
      <c r="H168" s="119" t="n">
        <f aca="false">SUMIFS(tabela_registros[VALOR],tabela_registros[MÊS],$AE$1,tabela_registros[DIA],reservafixaconsolidadojun[[#Headers],[4]],tabela_registros[REGISTRO],DADOS!$N$6,tabela_registros[TIPO],DADOS!$AJ$3,tabela_registros[CATEGORIA],reservafixaconsolidadojun[[#This Row],[ATUAL]])</f>
        <v>0</v>
      </c>
      <c r="I168" s="119" t="n">
        <f aca="false">SUMIFS(tabela_registros[VALOR],tabela_registros[MÊS],$AE$1,tabela_registros[DIA],reservafixaconsolidadojun[[#Headers],[5]],tabela_registros[REGISTRO],DADOS!$N$6,tabela_registros[TIPO],DADOS!$AJ$3,tabela_registros[CATEGORIA],reservafixaconsolidadojun[[#This Row],[ATUAL]])</f>
        <v>0</v>
      </c>
      <c r="J168" s="119" t="n">
        <f aca="false">SUMIFS(tabela_registros[VALOR],tabela_registros[MÊS],$AE$1,tabela_registros[DIA],reservafixaconsolidadojun[[#Headers],[6]],tabela_registros[REGISTRO],DADOS!$N$6,tabela_registros[TIPO],DADOS!$AJ$3,tabela_registros[CATEGORIA],reservafixaconsolidadojun[[#This Row],[ATUAL]])</f>
        <v>0</v>
      </c>
      <c r="K168" s="119" t="n">
        <f aca="false">SUMIFS(tabela_registros[VALOR],tabela_registros[MÊS],$AE$1,tabela_registros[DIA],reservafixaconsolidadojun[[#Headers],[7]],tabela_registros[REGISTRO],DADOS!$N$6,tabela_registros[TIPO],DADOS!$AJ$3,tabela_registros[CATEGORIA],reservafixaconsolidadojun[[#This Row],[ATUAL]])</f>
        <v>0</v>
      </c>
      <c r="L168" s="119" t="n">
        <f aca="false">SUMIFS(tabela_registros[VALOR],tabela_registros[MÊS],$AE$1,tabela_registros[DIA],reservafixaconsolidadojun[[#Headers],[8]],tabela_registros[REGISTRO],DADOS!$N$6,tabela_registros[TIPO],DADOS!$AJ$3,tabela_registros[CATEGORIA],reservafixaconsolidadojun[[#This Row],[ATUAL]])</f>
        <v>0</v>
      </c>
      <c r="M168" s="119" t="n">
        <f aca="false">SUMIFS(tabela_registros[VALOR],tabela_registros[MÊS],$AE$1,tabela_registros[DIA],reservafixaconsolidadojun[[#Headers],[9]],tabela_registros[REGISTRO],DADOS!$N$6,tabela_registros[TIPO],DADOS!$AJ$3,tabela_registros[CATEGORIA],reservafixaconsolidadojun[[#This Row],[ATUAL]])</f>
        <v>0</v>
      </c>
      <c r="N168" s="119" t="n">
        <f aca="false">SUMIFS(tabela_registros[VALOR],tabela_registros[MÊS],$AE$1,tabela_registros[DIA],reservafixaconsolidadojun[[#Headers],[10]],tabela_registros[REGISTRO],DADOS!$N$6,tabela_registros[TIPO],DADOS!$AJ$3,tabela_registros[CATEGORIA],reservafixaconsolidadojun[[#This Row],[ATUAL]])</f>
        <v>0</v>
      </c>
      <c r="O168" s="119" t="n">
        <f aca="false">SUMIFS(tabela_registros[VALOR],tabela_registros[MÊS],$AE$1,tabela_registros[DIA],reservafixaconsolidadojun[[#Headers],[11]],tabela_registros[REGISTRO],DADOS!$N$6,tabela_registros[TIPO],DADOS!$AJ$3,tabela_registros[CATEGORIA],reservafixaconsolidadojun[[#This Row],[ATUAL]])</f>
        <v>0</v>
      </c>
      <c r="P168" s="119" t="n">
        <f aca="false">SUMIFS(tabela_registros[VALOR],tabela_registros[MÊS],$AE$1,tabela_registros[DIA],reservafixaconsolidadojun[[#Headers],[12]],tabela_registros[REGISTRO],DADOS!$N$6,tabela_registros[TIPO],DADOS!$AJ$3,tabela_registros[CATEGORIA],reservafixaconsolidadojun[[#This Row],[ATUAL]])</f>
        <v>0</v>
      </c>
      <c r="Q168" s="119" t="n">
        <f aca="false">SUMIFS(tabela_registros[VALOR],tabela_registros[MÊS],$AE$1,tabela_registros[DIA],reservafixaconsolidadojun[[#Headers],[13]],tabela_registros[REGISTRO],DADOS!$N$6,tabela_registros[TIPO],DADOS!$AJ$3,tabela_registros[CATEGORIA],reservafixaconsolidadojun[[#This Row],[ATUAL]])</f>
        <v>0</v>
      </c>
      <c r="R168" s="119" t="n">
        <f aca="false">SUMIFS(tabela_registros[VALOR],tabela_registros[MÊS],$AE$1,tabela_registros[DIA],reservafixaconsolidadojun[[#Headers],[14]],tabela_registros[REGISTRO],DADOS!$N$6,tabela_registros[TIPO],DADOS!$AJ$3,tabela_registros[CATEGORIA],reservafixaconsolidadojun[[#This Row],[ATUAL]])</f>
        <v>0</v>
      </c>
      <c r="S168" s="119" t="n">
        <f aca="false">SUMIFS(tabela_registros[VALOR],tabela_registros[MÊS],$AE$1,tabela_registros[DIA],reservafixaconsolidadojun[[#Headers],[15]],tabela_registros[REGISTRO],DADOS!$N$6,tabela_registros[TIPO],DADOS!$AJ$3,tabela_registros[CATEGORIA],reservafixaconsolidadojun[[#This Row],[ATUAL]])</f>
        <v>0</v>
      </c>
      <c r="T168" s="119" t="n">
        <f aca="false">SUMIFS(tabela_registros[VALOR],tabela_registros[MÊS],$AE$1,tabela_registros[DIA],reservafixaconsolidadojun[[#Headers],[16]],tabela_registros[REGISTRO],DADOS!$N$6,tabela_registros[TIPO],DADOS!$AJ$3,tabela_registros[CATEGORIA],reservafixaconsolidadojun[[#This Row],[ATUAL]])</f>
        <v>0</v>
      </c>
      <c r="U168" s="119" t="n">
        <f aca="false">SUMIFS(tabela_registros[VALOR],tabela_registros[MÊS],$AE$1,tabela_registros[DIA],reservafixaconsolidadojun[[#Headers],[17]],tabela_registros[REGISTRO],DADOS!$N$6,tabela_registros[TIPO],DADOS!$AJ$3,tabela_registros[CATEGORIA],reservafixaconsolidadojun[[#This Row],[ATUAL]])</f>
        <v>0</v>
      </c>
      <c r="V168" s="119" t="n">
        <f aca="false">SUMIFS(tabela_registros[VALOR],tabela_registros[MÊS],$AE$1,tabela_registros[DIA],reservafixaconsolidadojun[[#Headers],[18]],tabela_registros[REGISTRO],DADOS!$N$6,tabela_registros[TIPO],DADOS!$AJ$3,tabela_registros[CATEGORIA],reservafixaconsolidadojun[[#This Row],[ATUAL]])</f>
        <v>0</v>
      </c>
      <c r="W168" s="119" t="n">
        <f aca="false">SUMIFS(tabela_registros[VALOR],tabela_registros[MÊS],$AE$1,tabela_registros[DIA],reservafixaconsolidadojun[[#Headers],[19]],tabela_registros[REGISTRO],DADOS!$N$6,tabela_registros[TIPO],DADOS!$AJ$3,tabela_registros[CATEGORIA],reservafixaconsolidadojun[[#This Row],[ATUAL]])</f>
        <v>0</v>
      </c>
      <c r="X168" s="119" t="n">
        <f aca="false">SUMIFS(tabela_registros[VALOR],tabela_registros[MÊS],$AE$1,tabela_registros[DIA],reservafixaconsolidadojun[[#Headers],[20]],tabela_registros[REGISTRO],DADOS!$N$6,tabela_registros[TIPO],DADOS!$AJ$3,tabela_registros[CATEGORIA],reservafixaconsolidadojun[[#This Row],[ATUAL]])</f>
        <v>0</v>
      </c>
      <c r="Y168" s="119" t="n">
        <f aca="false">SUMIFS(tabela_registros[VALOR],tabela_registros[MÊS],$AE$1,tabela_registros[DIA],reservafixaconsolidadojun[[#Headers],[21]],tabela_registros[REGISTRO],DADOS!$N$6,tabela_registros[TIPO],DADOS!$AJ$3,tabela_registros[CATEGORIA],reservafixaconsolidadojun[[#This Row],[ATUAL]])</f>
        <v>0</v>
      </c>
      <c r="Z168" s="119" t="n">
        <f aca="false">SUMIFS(tabela_registros[VALOR],tabela_registros[MÊS],$AE$1,tabela_registros[DIA],reservafixaconsolidadojun[[#Headers],[22]],tabela_registros[REGISTRO],DADOS!$N$6,tabela_registros[TIPO],DADOS!$AJ$3,tabela_registros[CATEGORIA],reservafixaconsolidadojun[[#This Row],[ATUAL]])</f>
        <v>0</v>
      </c>
      <c r="AA168" s="119" t="n">
        <f aca="false">SUMIFS(tabela_registros[VALOR],tabela_registros[MÊS],$AE$1,tabela_registros[DIA],reservafixaconsolidadojun[[#Headers],[23]],tabela_registros[REGISTRO],DADOS!$N$6,tabela_registros[TIPO],DADOS!$AJ$3,tabela_registros[CATEGORIA],reservafixaconsolidadojun[[#This Row],[ATUAL]])</f>
        <v>0</v>
      </c>
      <c r="AB168" s="119" t="n">
        <f aca="false">SUMIFS(tabela_registros[VALOR],tabela_registros[MÊS],$AE$1,tabela_registros[DIA],reservafixaconsolidadojun[[#Headers],[24]],tabela_registros[REGISTRO],DADOS!$N$6,tabela_registros[TIPO],DADOS!$AJ$3,tabela_registros[CATEGORIA],reservafixaconsolidadojun[[#This Row],[ATUAL]])</f>
        <v>0</v>
      </c>
      <c r="AC168" s="119" t="n">
        <f aca="false">SUMIFS(tabela_registros[VALOR],tabela_registros[MÊS],$AE$1,tabela_registros[DIA],reservafixaconsolidadojun[[#Headers],[25]],tabela_registros[REGISTRO],DADOS!$N$6,tabela_registros[TIPO],DADOS!$AJ$3,tabela_registros[CATEGORIA],reservafixaconsolidadojun[[#This Row],[ATUAL]])</f>
        <v>0</v>
      </c>
      <c r="AD168" s="119" t="n">
        <f aca="false">SUMIFS(tabela_registros[VALOR],tabela_registros[MÊS],$AE$1,tabela_registros[DIA],reservafixaconsolidadojun[[#Headers],[26]],tabela_registros[REGISTRO],DADOS!$N$6,tabela_registros[TIPO],DADOS!$AJ$3,tabela_registros[CATEGORIA],reservafixaconsolidadojun[[#This Row],[ATUAL]])</f>
        <v>0</v>
      </c>
      <c r="AE168" s="119" t="n">
        <f aca="false">SUMIFS(tabela_registros[VALOR],tabela_registros[MÊS],$AE$1,tabela_registros[DIA],reservafixaconsolidadojun[[#Headers],[27]],tabela_registros[REGISTRO],DADOS!$N$6,tabela_registros[TIPO],DADOS!$AJ$3,tabela_registros[CATEGORIA],reservafixaconsolidadojun[[#This Row],[ATUAL]])</f>
        <v>0</v>
      </c>
      <c r="AF168" s="119" t="n">
        <f aca="false">SUMIFS(tabela_registros[VALOR],tabela_registros[MÊS],$AE$1,tabela_registros[DIA],reservafixaconsolidadojun[[#Headers],[28]],tabela_registros[REGISTRO],DADOS!$N$6,tabela_registros[TIPO],DADOS!$AJ$3,tabela_registros[CATEGORIA],reservafixaconsolidadojun[[#This Row],[ATUAL]])</f>
        <v>0</v>
      </c>
      <c r="AG168" s="119" t="n">
        <f aca="false">SUMIFS(tabela_registros[VALOR],tabela_registros[MÊS],$AE$1,tabela_registros[DIA],reservafixaconsolidadojun[[#Headers],[29]],tabela_registros[REGISTRO],DADOS!$N$6,tabela_registros[TIPO],DADOS!$AJ$3,tabela_registros[CATEGORIA],reservafixaconsolidadojun[[#This Row],[ATUAL]])</f>
        <v>0</v>
      </c>
      <c r="AH168" s="119" t="n">
        <f aca="false">SUMIFS(tabela_registros[VALOR],tabela_registros[MÊS],$AE$1,tabela_registros[DIA],reservafixaconsolidadojun[[#Headers],[30]],tabela_registros[REGISTRO],DADOS!$N$6,tabela_registros[TIPO],DADOS!$AJ$3,tabela_registros[CATEGORIA],reservafixaconsolidadojun[[#This Row],[ATUAL]])</f>
        <v>0</v>
      </c>
      <c r="AI168" s="217" t="n">
        <f aca="false">SUMIFS(tabela_registros[VALOR],tabela_registros[MÊS],$AE$1,tabela_registros[DIA],reservafixaconsolidadojun[[#Headers],[31]],tabela_registros[REGISTRO],DADOS!$N$6,tabela_registros[TIPO],DADOS!$AJ$3,tabela_registros[CATEGORIA],reservafixaconsolidadojun[[#This Row],[ATUAL]])</f>
        <v>0</v>
      </c>
      <c r="AJ168" s="149" t="n">
        <f aca="false">SUM(reservafixaconsolidadojun[[#This Row],[1]:[31]])</f>
        <v>0</v>
      </c>
      <c r="AK168" s="165"/>
    </row>
    <row r="169" customFormat="false" ht="19.5" hidden="false" customHeight="true" outlineLevel="0" collapsed="false">
      <c r="B169" s="143"/>
      <c r="C169" s="144" t="str">
        <f aca="false">DADOS!$AL$4</f>
        <v>📝 CRA</v>
      </c>
      <c r="D169" s="145" t="str">
        <f aca="false">IF(reservafixaconsolidadojun[[#This Row],[TOTAL (R$)]]=0,"",IF(OR(reservafixaconsolidadojun[[#This Row],[TOTAL (R$)]]=LARGE($AJ$168:$AJ$177,1),reservafixaconsolidadojun[[#This Row],[TOTAL (R$)]]=LARGE($AJ$168:$AJ$177,2)),DADOS!$I$11,""))</f>
        <v/>
      </c>
      <c r="E169" s="148" t="n">
        <f aca="false">SUMIFS(tabela_registros[VALOR],tabela_registros[MÊS],$AE$1,tabela_registros[DIA],reservafixaconsolidadojun[[#Headers],[1]],tabela_registros[REGISTRO],DADOS!$N$6,tabela_registros[TIPO],DADOS!$AJ$3,tabela_registros[CATEGORIA],reservafixaconsolidadojun[[#This Row],[ATUAL]])</f>
        <v>0</v>
      </c>
      <c r="F169" s="119" t="n">
        <f aca="false">SUMIFS(tabela_registros[VALOR],tabela_registros[MÊS],$AE$1,tabela_registros[DIA],reservafixaconsolidadojun[[#Headers],[2]],tabela_registros[REGISTRO],DADOS!$N$6,tabela_registros[TIPO],DADOS!$AJ$3,tabela_registros[CATEGORIA],reservafixaconsolidadojun[[#This Row],[ATUAL]])</f>
        <v>0</v>
      </c>
      <c r="G169" s="119" t="n">
        <f aca="false">SUMIFS(tabela_registros[VALOR],tabela_registros[MÊS],$AE$1,tabela_registros[DIA],reservafixaconsolidadojun[[#Headers],[3]],tabela_registros[REGISTRO],DADOS!$N$6,tabela_registros[TIPO],DADOS!$AJ$3,tabela_registros[CATEGORIA],reservafixaconsolidadojun[[#This Row],[ATUAL]])</f>
        <v>0</v>
      </c>
      <c r="H169" s="119" t="n">
        <f aca="false">SUMIFS(tabela_registros[VALOR],tabela_registros[MÊS],$AE$1,tabela_registros[DIA],reservafixaconsolidadojun[[#Headers],[4]],tabela_registros[REGISTRO],DADOS!$N$6,tabela_registros[TIPO],DADOS!$AJ$3,tabela_registros[CATEGORIA],reservafixaconsolidadojun[[#This Row],[ATUAL]])</f>
        <v>0</v>
      </c>
      <c r="I169" s="119" t="n">
        <f aca="false">SUMIFS(tabela_registros[VALOR],tabela_registros[MÊS],$AE$1,tabela_registros[DIA],reservafixaconsolidadojun[[#Headers],[5]],tabela_registros[REGISTRO],DADOS!$N$6,tabela_registros[TIPO],DADOS!$AJ$3,tabela_registros[CATEGORIA],reservafixaconsolidadojun[[#This Row],[ATUAL]])</f>
        <v>0</v>
      </c>
      <c r="J169" s="119" t="n">
        <f aca="false">SUMIFS(tabela_registros[VALOR],tabela_registros[MÊS],$AE$1,tabela_registros[DIA],reservafixaconsolidadojun[[#Headers],[6]],tabela_registros[REGISTRO],DADOS!$N$6,tabela_registros[TIPO],DADOS!$AJ$3,tabela_registros[CATEGORIA],reservafixaconsolidadojun[[#This Row],[ATUAL]])</f>
        <v>0</v>
      </c>
      <c r="K169" s="119" t="n">
        <f aca="false">SUMIFS(tabela_registros[VALOR],tabela_registros[MÊS],$AE$1,tabela_registros[DIA],reservafixaconsolidadojun[[#Headers],[7]],tabela_registros[REGISTRO],DADOS!$N$6,tabela_registros[TIPO],DADOS!$AJ$3,tabela_registros[CATEGORIA],reservafixaconsolidadojun[[#This Row],[ATUAL]])</f>
        <v>0</v>
      </c>
      <c r="L169" s="119" t="n">
        <f aca="false">SUMIFS(tabela_registros[VALOR],tabela_registros[MÊS],$AE$1,tabela_registros[DIA],reservafixaconsolidadojun[[#Headers],[8]],tabela_registros[REGISTRO],DADOS!$N$6,tabela_registros[TIPO],DADOS!$AJ$3,tabela_registros[CATEGORIA],reservafixaconsolidadojun[[#This Row],[ATUAL]])</f>
        <v>0</v>
      </c>
      <c r="M169" s="119" t="n">
        <f aca="false">SUMIFS(tabela_registros[VALOR],tabela_registros[MÊS],$AE$1,tabela_registros[DIA],reservafixaconsolidadojun[[#Headers],[9]],tabela_registros[REGISTRO],DADOS!$N$6,tabela_registros[TIPO],DADOS!$AJ$3,tabela_registros[CATEGORIA],reservafixaconsolidadojun[[#This Row],[ATUAL]])</f>
        <v>0</v>
      </c>
      <c r="N169" s="119" t="n">
        <f aca="false">SUMIFS(tabela_registros[VALOR],tabela_registros[MÊS],$AE$1,tabela_registros[DIA],reservafixaconsolidadojun[[#Headers],[10]],tabela_registros[REGISTRO],DADOS!$N$6,tabela_registros[TIPO],DADOS!$AJ$3,tabela_registros[CATEGORIA],reservafixaconsolidadojun[[#This Row],[ATUAL]])</f>
        <v>0</v>
      </c>
      <c r="O169" s="119" t="n">
        <f aca="false">SUMIFS(tabela_registros[VALOR],tabela_registros[MÊS],$AE$1,tabela_registros[DIA],reservafixaconsolidadojun[[#Headers],[11]],tabela_registros[REGISTRO],DADOS!$N$6,tabela_registros[TIPO],DADOS!$AJ$3,tabela_registros[CATEGORIA],reservafixaconsolidadojun[[#This Row],[ATUAL]])</f>
        <v>0</v>
      </c>
      <c r="P169" s="119" t="n">
        <f aca="false">SUMIFS(tabela_registros[VALOR],tabela_registros[MÊS],$AE$1,tabela_registros[DIA],reservafixaconsolidadojun[[#Headers],[12]],tabela_registros[REGISTRO],DADOS!$N$6,tabela_registros[TIPO],DADOS!$AJ$3,tabela_registros[CATEGORIA],reservafixaconsolidadojun[[#This Row],[ATUAL]])</f>
        <v>0</v>
      </c>
      <c r="Q169" s="119" t="n">
        <f aca="false">SUMIFS(tabela_registros[VALOR],tabela_registros[MÊS],$AE$1,tabela_registros[DIA],reservafixaconsolidadojun[[#Headers],[13]],tabela_registros[REGISTRO],DADOS!$N$6,tabela_registros[TIPO],DADOS!$AJ$3,tabela_registros[CATEGORIA],reservafixaconsolidadojun[[#This Row],[ATUAL]])</f>
        <v>0</v>
      </c>
      <c r="R169" s="119" t="n">
        <f aca="false">SUMIFS(tabela_registros[VALOR],tabela_registros[MÊS],$AE$1,tabela_registros[DIA],reservafixaconsolidadojun[[#Headers],[14]],tabela_registros[REGISTRO],DADOS!$N$6,tabela_registros[TIPO],DADOS!$AJ$3,tabela_registros[CATEGORIA],reservafixaconsolidadojun[[#This Row],[ATUAL]])</f>
        <v>0</v>
      </c>
      <c r="S169" s="119" t="n">
        <f aca="false">SUMIFS(tabela_registros[VALOR],tabela_registros[MÊS],$AE$1,tabela_registros[DIA],reservafixaconsolidadojun[[#Headers],[15]],tabela_registros[REGISTRO],DADOS!$N$6,tabela_registros[TIPO],DADOS!$AJ$3,tabela_registros[CATEGORIA],reservafixaconsolidadojun[[#This Row],[ATUAL]])</f>
        <v>0</v>
      </c>
      <c r="T169" s="119" t="n">
        <f aca="false">SUMIFS(tabela_registros[VALOR],tabela_registros[MÊS],$AE$1,tabela_registros[DIA],reservafixaconsolidadojun[[#Headers],[16]],tabela_registros[REGISTRO],DADOS!$N$6,tabela_registros[TIPO],DADOS!$AJ$3,tabela_registros[CATEGORIA],reservafixaconsolidadojun[[#This Row],[ATUAL]])</f>
        <v>0</v>
      </c>
      <c r="U169" s="119" t="n">
        <f aca="false">SUMIFS(tabela_registros[VALOR],tabela_registros[MÊS],$AE$1,tabela_registros[DIA],reservafixaconsolidadojun[[#Headers],[17]],tabela_registros[REGISTRO],DADOS!$N$6,tabela_registros[TIPO],DADOS!$AJ$3,tabela_registros[CATEGORIA],reservafixaconsolidadojun[[#This Row],[ATUAL]])</f>
        <v>0</v>
      </c>
      <c r="V169" s="119" t="n">
        <f aca="false">SUMIFS(tabela_registros[VALOR],tabela_registros[MÊS],$AE$1,tabela_registros[DIA],reservafixaconsolidadojun[[#Headers],[18]],tabela_registros[REGISTRO],DADOS!$N$6,tabela_registros[TIPO],DADOS!$AJ$3,tabela_registros[CATEGORIA],reservafixaconsolidadojun[[#This Row],[ATUAL]])</f>
        <v>0</v>
      </c>
      <c r="W169" s="119" t="n">
        <f aca="false">SUMIFS(tabela_registros[VALOR],tabela_registros[MÊS],$AE$1,tabela_registros[DIA],reservafixaconsolidadojun[[#Headers],[19]],tabela_registros[REGISTRO],DADOS!$N$6,tabela_registros[TIPO],DADOS!$AJ$3,tabela_registros[CATEGORIA],reservafixaconsolidadojun[[#This Row],[ATUAL]])</f>
        <v>0</v>
      </c>
      <c r="X169" s="119" t="n">
        <f aca="false">SUMIFS(tabela_registros[VALOR],tabela_registros[MÊS],$AE$1,tabela_registros[DIA],reservafixaconsolidadojun[[#Headers],[20]],tabela_registros[REGISTRO],DADOS!$N$6,tabela_registros[TIPO],DADOS!$AJ$3,tabela_registros[CATEGORIA],reservafixaconsolidadojun[[#This Row],[ATUAL]])</f>
        <v>0</v>
      </c>
      <c r="Y169" s="119" t="n">
        <f aca="false">SUMIFS(tabela_registros[VALOR],tabela_registros[MÊS],$AE$1,tabela_registros[DIA],reservafixaconsolidadojun[[#Headers],[21]],tabela_registros[REGISTRO],DADOS!$N$6,tabela_registros[TIPO],DADOS!$AJ$3,tabela_registros[CATEGORIA],reservafixaconsolidadojun[[#This Row],[ATUAL]])</f>
        <v>0</v>
      </c>
      <c r="Z169" s="119" t="n">
        <f aca="false">SUMIFS(tabela_registros[VALOR],tabela_registros[MÊS],$AE$1,tabela_registros[DIA],reservafixaconsolidadojun[[#Headers],[22]],tabela_registros[REGISTRO],DADOS!$N$6,tabela_registros[TIPO],DADOS!$AJ$3,tabela_registros[CATEGORIA],reservafixaconsolidadojun[[#This Row],[ATUAL]])</f>
        <v>0</v>
      </c>
      <c r="AA169" s="119" t="n">
        <f aca="false">SUMIFS(tabela_registros[VALOR],tabela_registros[MÊS],$AE$1,tabela_registros[DIA],reservafixaconsolidadojun[[#Headers],[23]],tabela_registros[REGISTRO],DADOS!$N$6,tabela_registros[TIPO],DADOS!$AJ$3,tabela_registros[CATEGORIA],reservafixaconsolidadojun[[#This Row],[ATUAL]])</f>
        <v>0</v>
      </c>
      <c r="AB169" s="119" t="n">
        <f aca="false">SUMIFS(tabela_registros[VALOR],tabela_registros[MÊS],$AE$1,tabela_registros[DIA],reservafixaconsolidadojun[[#Headers],[24]],tabela_registros[REGISTRO],DADOS!$N$6,tabela_registros[TIPO],DADOS!$AJ$3,tabela_registros[CATEGORIA],reservafixaconsolidadojun[[#This Row],[ATUAL]])</f>
        <v>0</v>
      </c>
      <c r="AC169" s="119" t="n">
        <f aca="false">SUMIFS(tabela_registros[VALOR],tabela_registros[MÊS],$AE$1,tabela_registros[DIA],reservafixaconsolidadojun[[#Headers],[25]],tabela_registros[REGISTRO],DADOS!$N$6,tabela_registros[TIPO],DADOS!$AJ$3,tabela_registros[CATEGORIA],reservafixaconsolidadojun[[#This Row],[ATUAL]])</f>
        <v>0</v>
      </c>
      <c r="AD169" s="119" t="n">
        <f aca="false">SUMIFS(tabela_registros[VALOR],tabela_registros[MÊS],$AE$1,tabela_registros[DIA],reservafixaconsolidadojun[[#Headers],[26]],tabela_registros[REGISTRO],DADOS!$N$6,tabela_registros[TIPO],DADOS!$AJ$3,tabela_registros[CATEGORIA],reservafixaconsolidadojun[[#This Row],[ATUAL]])</f>
        <v>0</v>
      </c>
      <c r="AE169" s="119" t="n">
        <f aca="false">SUMIFS(tabela_registros[VALOR],tabela_registros[MÊS],$AE$1,tabela_registros[DIA],reservafixaconsolidadojun[[#Headers],[27]],tabela_registros[REGISTRO],DADOS!$N$6,tabela_registros[TIPO],DADOS!$AJ$3,tabela_registros[CATEGORIA],reservafixaconsolidadojun[[#This Row],[ATUAL]])</f>
        <v>0</v>
      </c>
      <c r="AF169" s="119" t="n">
        <f aca="false">SUMIFS(tabela_registros[VALOR],tabela_registros[MÊS],$AE$1,tabela_registros[DIA],reservafixaconsolidadojun[[#Headers],[28]],tabela_registros[REGISTRO],DADOS!$N$6,tabela_registros[TIPO],DADOS!$AJ$3,tabela_registros[CATEGORIA],reservafixaconsolidadojun[[#This Row],[ATUAL]])</f>
        <v>0</v>
      </c>
      <c r="AG169" s="119" t="n">
        <f aca="false">SUMIFS(tabela_registros[VALOR],tabela_registros[MÊS],$AE$1,tabela_registros[DIA],reservafixaconsolidadojun[[#Headers],[29]],tabela_registros[REGISTRO],DADOS!$N$6,tabela_registros[TIPO],DADOS!$AJ$3,tabela_registros[CATEGORIA],reservafixaconsolidadojun[[#This Row],[ATUAL]])</f>
        <v>0</v>
      </c>
      <c r="AH169" s="119" t="n">
        <f aca="false">SUMIFS(tabela_registros[VALOR],tabela_registros[MÊS],$AE$1,tabela_registros[DIA],reservafixaconsolidadojun[[#Headers],[30]],tabela_registros[REGISTRO],DADOS!$N$6,tabela_registros[TIPO],DADOS!$AJ$3,tabela_registros[CATEGORIA],reservafixaconsolidadojun[[#This Row],[ATUAL]])</f>
        <v>0</v>
      </c>
      <c r="AI169" s="217" t="n">
        <f aca="false">SUMIFS(tabela_registros[VALOR],tabela_registros[MÊS],$AE$1,tabela_registros[DIA],reservafixaconsolidadojun[[#Headers],[31]],tabela_registros[REGISTRO],DADOS!$N$6,tabela_registros[TIPO],DADOS!$AJ$3,tabela_registros[CATEGORIA],reservafixaconsolidadojun[[#This Row],[ATUAL]])</f>
        <v>0</v>
      </c>
      <c r="AJ169" s="149" t="n">
        <f aca="false">SUM(reservafixaconsolidadojun[[#This Row],[1]:[31]])</f>
        <v>0</v>
      </c>
      <c r="AK169" s="165"/>
    </row>
    <row r="170" customFormat="false" ht="19.5" hidden="false" customHeight="true" outlineLevel="0" collapsed="false">
      <c r="B170" s="143"/>
      <c r="C170" s="144" t="str">
        <f aca="false">DADOS!$AL$5</f>
        <v>📝 CRI</v>
      </c>
      <c r="D170" s="145" t="str">
        <f aca="false">IF(reservafixaconsolidadojun[[#This Row],[TOTAL (R$)]]=0,"",IF(OR(reservafixaconsolidadojun[[#This Row],[TOTAL (R$)]]=LARGE($AJ$168:$AJ$177,1),reservafixaconsolidadojun[[#This Row],[TOTAL (R$)]]=LARGE($AJ$168:$AJ$177,2)),DADOS!$I$11,""))</f>
        <v/>
      </c>
      <c r="E170" s="148" t="n">
        <f aca="false">SUMIFS(tabela_registros[VALOR],tabela_registros[MÊS],$AE$1,tabela_registros[DIA],reservafixaconsolidadojun[[#Headers],[1]],tabela_registros[REGISTRO],DADOS!$N$6,tabela_registros[TIPO],DADOS!$AJ$3,tabela_registros[CATEGORIA],reservafixaconsolidadojun[[#This Row],[ATUAL]])</f>
        <v>0</v>
      </c>
      <c r="F170" s="119" t="n">
        <f aca="false">SUMIFS(tabela_registros[VALOR],tabela_registros[MÊS],$AE$1,tabela_registros[DIA],reservafixaconsolidadojun[[#Headers],[2]],tabela_registros[REGISTRO],DADOS!$N$6,tabela_registros[TIPO],DADOS!$AJ$3,tabela_registros[CATEGORIA],reservafixaconsolidadojun[[#This Row],[ATUAL]])</f>
        <v>0</v>
      </c>
      <c r="G170" s="119" t="n">
        <f aca="false">SUMIFS(tabela_registros[VALOR],tabela_registros[MÊS],$AE$1,tabela_registros[DIA],reservafixaconsolidadojun[[#Headers],[3]],tabela_registros[REGISTRO],DADOS!$N$6,tabela_registros[TIPO],DADOS!$AJ$3,tabela_registros[CATEGORIA],reservafixaconsolidadojun[[#This Row],[ATUAL]])</f>
        <v>0</v>
      </c>
      <c r="H170" s="119" t="n">
        <f aca="false">SUMIFS(tabela_registros[VALOR],tabela_registros[MÊS],$AE$1,tabela_registros[DIA],reservafixaconsolidadojun[[#Headers],[4]],tabela_registros[REGISTRO],DADOS!$N$6,tabela_registros[TIPO],DADOS!$AJ$3,tabela_registros[CATEGORIA],reservafixaconsolidadojun[[#This Row],[ATUAL]])</f>
        <v>0</v>
      </c>
      <c r="I170" s="119" t="n">
        <f aca="false">SUMIFS(tabela_registros[VALOR],tabela_registros[MÊS],$AE$1,tabela_registros[DIA],reservafixaconsolidadojun[[#Headers],[5]],tabela_registros[REGISTRO],DADOS!$N$6,tabela_registros[TIPO],DADOS!$AJ$3,tabela_registros[CATEGORIA],reservafixaconsolidadojun[[#This Row],[ATUAL]])</f>
        <v>0</v>
      </c>
      <c r="J170" s="119" t="n">
        <f aca="false">SUMIFS(tabela_registros[VALOR],tabela_registros[MÊS],$AE$1,tabela_registros[DIA],reservafixaconsolidadojun[[#Headers],[6]],tabela_registros[REGISTRO],DADOS!$N$6,tabela_registros[TIPO],DADOS!$AJ$3,tabela_registros[CATEGORIA],reservafixaconsolidadojun[[#This Row],[ATUAL]])</f>
        <v>0</v>
      </c>
      <c r="K170" s="119" t="n">
        <f aca="false">SUMIFS(tabela_registros[VALOR],tabela_registros[MÊS],$AE$1,tabela_registros[DIA],reservafixaconsolidadojun[[#Headers],[7]],tabela_registros[REGISTRO],DADOS!$N$6,tabela_registros[TIPO],DADOS!$AJ$3,tabela_registros[CATEGORIA],reservafixaconsolidadojun[[#This Row],[ATUAL]])</f>
        <v>0</v>
      </c>
      <c r="L170" s="119" t="n">
        <f aca="false">SUMIFS(tabela_registros[VALOR],tabela_registros[MÊS],$AE$1,tabela_registros[DIA],reservafixaconsolidadojun[[#Headers],[8]],tabela_registros[REGISTRO],DADOS!$N$6,tabela_registros[TIPO],DADOS!$AJ$3,tabela_registros[CATEGORIA],reservafixaconsolidadojun[[#This Row],[ATUAL]])</f>
        <v>0</v>
      </c>
      <c r="M170" s="119" t="n">
        <f aca="false">SUMIFS(tabela_registros[VALOR],tabela_registros[MÊS],$AE$1,tabela_registros[DIA],reservafixaconsolidadojun[[#Headers],[9]],tabela_registros[REGISTRO],DADOS!$N$6,tabela_registros[TIPO],DADOS!$AJ$3,tabela_registros[CATEGORIA],reservafixaconsolidadojun[[#This Row],[ATUAL]])</f>
        <v>0</v>
      </c>
      <c r="N170" s="119" t="n">
        <f aca="false">SUMIFS(tabela_registros[VALOR],tabela_registros[MÊS],$AE$1,tabela_registros[DIA],reservafixaconsolidadojun[[#Headers],[10]],tabela_registros[REGISTRO],DADOS!$N$6,tabela_registros[TIPO],DADOS!$AJ$3,tabela_registros[CATEGORIA],reservafixaconsolidadojun[[#This Row],[ATUAL]])</f>
        <v>0</v>
      </c>
      <c r="O170" s="119" t="n">
        <f aca="false">SUMIFS(tabela_registros[VALOR],tabela_registros[MÊS],$AE$1,tabela_registros[DIA],reservafixaconsolidadojun[[#Headers],[11]],tabela_registros[REGISTRO],DADOS!$N$6,tabela_registros[TIPO],DADOS!$AJ$3,tabela_registros[CATEGORIA],reservafixaconsolidadojun[[#This Row],[ATUAL]])</f>
        <v>0</v>
      </c>
      <c r="P170" s="119" t="n">
        <f aca="false">SUMIFS(tabela_registros[VALOR],tabela_registros[MÊS],$AE$1,tabela_registros[DIA],reservafixaconsolidadojun[[#Headers],[12]],tabela_registros[REGISTRO],DADOS!$N$6,tabela_registros[TIPO],DADOS!$AJ$3,tabela_registros[CATEGORIA],reservafixaconsolidadojun[[#This Row],[ATUAL]])</f>
        <v>0</v>
      </c>
      <c r="Q170" s="119" t="n">
        <f aca="false">SUMIFS(tabela_registros[VALOR],tabela_registros[MÊS],$AE$1,tabela_registros[DIA],reservafixaconsolidadojun[[#Headers],[13]],tabela_registros[REGISTRO],DADOS!$N$6,tabela_registros[TIPO],DADOS!$AJ$3,tabela_registros[CATEGORIA],reservafixaconsolidadojun[[#This Row],[ATUAL]])</f>
        <v>0</v>
      </c>
      <c r="R170" s="119" t="n">
        <f aca="false">SUMIFS(tabela_registros[VALOR],tabela_registros[MÊS],$AE$1,tabela_registros[DIA],reservafixaconsolidadojun[[#Headers],[14]],tabela_registros[REGISTRO],DADOS!$N$6,tabela_registros[TIPO],DADOS!$AJ$3,tabela_registros[CATEGORIA],reservafixaconsolidadojun[[#This Row],[ATUAL]])</f>
        <v>0</v>
      </c>
      <c r="S170" s="119" t="n">
        <f aca="false">SUMIFS(tabela_registros[VALOR],tabela_registros[MÊS],$AE$1,tabela_registros[DIA],reservafixaconsolidadojun[[#Headers],[15]],tabela_registros[REGISTRO],DADOS!$N$6,tabela_registros[TIPO],DADOS!$AJ$3,tabela_registros[CATEGORIA],reservafixaconsolidadojun[[#This Row],[ATUAL]])</f>
        <v>0</v>
      </c>
      <c r="T170" s="119" t="n">
        <f aca="false">SUMIFS(tabela_registros[VALOR],tabela_registros[MÊS],$AE$1,tabela_registros[DIA],reservafixaconsolidadojun[[#Headers],[16]],tabela_registros[REGISTRO],DADOS!$N$6,tabela_registros[TIPO],DADOS!$AJ$3,tabela_registros[CATEGORIA],reservafixaconsolidadojun[[#This Row],[ATUAL]])</f>
        <v>0</v>
      </c>
      <c r="U170" s="119" t="n">
        <f aca="false">SUMIFS(tabela_registros[VALOR],tabela_registros[MÊS],$AE$1,tabela_registros[DIA],reservafixaconsolidadojun[[#Headers],[17]],tabela_registros[REGISTRO],DADOS!$N$6,tabela_registros[TIPO],DADOS!$AJ$3,tabela_registros[CATEGORIA],reservafixaconsolidadojun[[#This Row],[ATUAL]])</f>
        <v>0</v>
      </c>
      <c r="V170" s="119" t="n">
        <f aca="false">SUMIFS(tabela_registros[VALOR],tabela_registros[MÊS],$AE$1,tabela_registros[DIA],reservafixaconsolidadojun[[#Headers],[18]],tabela_registros[REGISTRO],DADOS!$N$6,tabela_registros[TIPO],DADOS!$AJ$3,tabela_registros[CATEGORIA],reservafixaconsolidadojun[[#This Row],[ATUAL]])</f>
        <v>0</v>
      </c>
      <c r="W170" s="119" t="n">
        <f aca="false">SUMIFS(tabela_registros[VALOR],tabela_registros[MÊS],$AE$1,tabela_registros[DIA],reservafixaconsolidadojun[[#Headers],[19]],tabela_registros[REGISTRO],DADOS!$N$6,tabela_registros[TIPO],DADOS!$AJ$3,tabela_registros[CATEGORIA],reservafixaconsolidadojun[[#This Row],[ATUAL]])</f>
        <v>0</v>
      </c>
      <c r="X170" s="119" t="n">
        <f aca="false">SUMIFS(tabela_registros[VALOR],tabela_registros[MÊS],$AE$1,tabela_registros[DIA],reservafixaconsolidadojun[[#Headers],[20]],tabela_registros[REGISTRO],DADOS!$N$6,tabela_registros[TIPO],DADOS!$AJ$3,tabela_registros[CATEGORIA],reservafixaconsolidadojun[[#This Row],[ATUAL]])</f>
        <v>0</v>
      </c>
      <c r="Y170" s="119" t="n">
        <f aca="false">SUMIFS(tabela_registros[VALOR],tabela_registros[MÊS],$AE$1,tabela_registros[DIA],reservafixaconsolidadojun[[#Headers],[21]],tabela_registros[REGISTRO],DADOS!$N$6,tabela_registros[TIPO],DADOS!$AJ$3,tabela_registros[CATEGORIA],reservafixaconsolidadojun[[#This Row],[ATUAL]])</f>
        <v>0</v>
      </c>
      <c r="Z170" s="119" t="n">
        <f aca="false">SUMIFS(tabela_registros[VALOR],tabela_registros[MÊS],$AE$1,tabela_registros[DIA],reservafixaconsolidadojun[[#Headers],[22]],tabela_registros[REGISTRO],DADOS!$N$6,tabela_registros[TIPO],DADOS!$AJ$3,tabela_registros[CATEGORIA],reservafixaconsolidadojun[[#This Row],[ATUAL]])</f>
        <v>0</v>
      </c>
      <c r="AA170" s="119" t="n">
        <f aca="false">SUMIFS(tabela_registros[VALOR],tabela_registros[MÊS],$AE$1,tabela_registros[DIA],reservafixaconsolidadojun[[#Headers],[23]],tabela_registros[REGISTRO],DADOS!$N$6,tabela_registros[TIPO],DADOS!$AJ$3,tabela_registros[CATEGORIA],reservafixaconsolidadojun[[#This Row],[ATUAL]])</f>
        <v>0</v>
      </c>
      <c r="AB170" s="119" t="n">
        <f aca="false">SUMIFS(tabela_registros[VALOR],tabela_registros[MÊS],$AE$1,tabela_registros[DIA],reservafixaconsolidadojun[[#Headers],[24]],tabela_registros[REGISTRO],DADOS!$N$6,tabela_registros[TIPO],DADOS!$AJ$3,tabela_registros[CATEGORIA],reservafixaconsolidadojun[[#This Row],[ATUAL]])</f>
        <v>0</v>
      </c>
      <c r="AC170" s="119" t="n">
        <f aca="false">SUMIFS(tabela_registros[VALOR],tabela_registros[MÊS],$AE$1,tabela_registros[DIA],reservafixaconsolidadojun[[#Headers],[25]],tabela_registros[REGISTRO],DADOS!$N$6,tabela_registros[TIPO],DADOS!$AJ$3,tabela_registros[CATEGORIA],reservafixaconsolidadojun[[#This Row],[ATUAL]])</f>
        <v>0</v>
      </c>
      <c r="AD170" s="119" t="n">
        <f aca="false">SUMIFS(tabela_registros[VALOR],tabela_registros[MÊS],$AE$1,tabela_registros[DIA],reservafixaconsolidadojun[[#Headers],[26]],tabela_registros[REGISTRO],DADOS!$N$6,tabela_registros[TIPO],DADOS!$AJ$3,tabela_registros[CATEGORIA],reservafixaconsolidadojun[[#This Row],[ATUAL]])</f>
        <v>0</v>
      </c>
      <c r="AE170" s="119" t="n">
        <f aca="false">SUMIFS(tabela_registros[VALOR],tabela_registros[MÊS],$AE$1,tabela_registros[DIA],reservafixaconsolidadojun[[#Headers],[27]],tabela_registros[REGISTRO],DADOS!$N$6,tabela_registros[TIPO],DADOS!$AJ$3,tabela_registros[CATEGORIA],reservafixaconsolidadojun[[#This Row],[ATUAL]])</f>
        <v>0</v>
      </c>
      <c r="AF170" s="119" t="n">
        <f aca="false">SUMIFS(tabela_registros[VALOR],tabela_registros[MÊS],$AE$1,tabela_registros[DIA],reservafixaconsolidadojun[[#Headers],[28]],tabela_registros[REGISTRO],DADOS!$N$6,tabela_registros[TIPO],DADOS!$AJ$3,tabela_registros[CATEGORIA],reservafixaconsolidadojun[[#This Row],[ATUAL]])</f>
        <v>0</v>
      </c>
      <c r="AG170" s="119" t="n">
        <f aca="false">SUMIFS(tabela_registros[VALOR],tabela_registros[MÊS],$AE$1,tabela_registros[DIA],reservafixaconsolidadojun[[#Headers],[29]],tabela_registros[REGISTRO],DADOS!$N$6,tabela_registros[TIPO],DADOS!$AJ$3,tabela_registros[CATEGORIA],reservafixaconsolidadojun[[#This Row],[ATUAL]])</f>
        <v>0</v>
      </c>
      <c r="AH170" s="119" t="n">
        <f aca="false">SUMIFS(tabela_registros[VALOR],tabela_registros[MÊS],$AE$1,tabela_registros[DIA],reservafixaconsolidadojun[[#Headers],[30]],tabela_registros[REGISTRO],DADOS!$N$6,tabela_registros[TIPO],DADOS!$AJ$3,tabela_registros[CATEGORIA],reservafixaconsolidadojun[[#This Row],[ATUAL]])</f>
        <v>0</v>
      </c>
      <c r="AI170" s="217" t="n">
        <f aca="false">SUMIFS(tabela_registros[VALOR],tabela_registros[MÊS],$AE$1,tabela_registros[DIA],reservafixaconsolidadojun[[#Headers],[31]],tabela_registros[REGISTRO],DADOS!$N$6,tabela_registros[TIPO],DADOS!$AJ$3,tabela_registros[CATEGORIA],reservafixaconsolidadojun[[#This Row],[ATUAL]])</f>
        <v>0</v>
      </c>
      <c r="AJ170" s="149" t="n">
        <f aca="false">SUM(reservafixaconsolidadojun[[#This Row],[1]:[31]])</f>
        <v>0</v>
      </c>
      <c r="AK170" s="165"/>
    </row>
    <row r="171" customFormat="false" ht="19.5" hidden="false" customHeight="true" outlineLevel="0" collapsed="false">
      <c r="B171" s="143"/>
      <c r="C171" s="144" t="str">
        <f aca="false">DADOS!$AL$6</f>
        <v>📝 DEBÊNTURE</v>
      </c>
      <c r="D171" s="145" t="str">
        <f aca="false">IF(reservafixaconsolidadojun[[#This Row],[TOTAL (R$)]]=0,"",IF(OR(reservafixaconsolidadojun[[#This Row],[TOTAL (R$)]]=LARGE($AJ$168:$AJ$177,1),reservafixaconsolidadojun[[#This Row],[TOTAL (R$)]]=LARGE($AJ$168:$AJ$177,2)),DADOS!$I$11,""))</f>
        <v/>
      </c>
      <c r="E171" s="148" t="n">
        <f aca="false">SUMIFS(tabela_registros[VALOR],tabela_registros[MÊS],$AE$1,tabela_registros[DIA],reservafixaconsolidadojun[[#Headers],[1]],tabela_registros[REGISTRO],DADOS!$N$6,tabela_registros[TIPO],DADOS!$AJ$3,tabela_registros[CATEGORIA],reservafixaconsolidadojun[[#This Row],[ATUAL]])</f>
        <v>0</v>
      </c>
      <c r="F171" s="119" t="n">
        <f aca="false">SUMIFS(tabela_registros[VALOR],tabela_registros[MÊS],$AE$1,tabela_registros[DIA],reservafixaconsolidadojun[[#Headers],[2]],tabela_registros[REGISTRO],DADOS!$N$6,tabela_registros[TIPO],DADOS!$AJ$3,tabela_registros[CATEGORIA],reservafixaconsolidadojun[[#This Row],[ATUAL]])</f>
        <v>0</v>
      </c>
      <c r="G171" s="119" t="n">
        <f aca="false">SUMIFS(tabela_registros[VALOR],tabela_registros[MÊS],$AE$1,tabela_registros[DIA],reservafixaconsolidadojun[[#Headers],[3]],tabela_registros[REGISTRO],DADOS!$N$6,tabela_registros[TIPO],DADOS!$AJ$3,tabela_registros[CATEGORIA],reservafixaconsolidadojun[[#This Row],[ATUAL]])</f>
        <v>0</v>
      </c>
      <c r="H171" s="119" t="n">
        <f aca="false">SUMIFS(tabela_registros[VALOR],tabela_registros[MÊS],$AE$1,tabela_registros[DIA],reservafixaconsolidadojun[[#Headers],[4]],tabela_registros[REGISTRO],DADOS!$N$6,tabela_registros[TIPO],DADOS!$AJ$3,tabela_registros[CATEGORIA],reservafixaconsolidadojun[[#This Row],[ATUAL]])</f>
        <v>0</v>
      </c>
      <c r="I171" s="119" t="n">
        <f aca="false">SUMIFS(tabela_registros[VALOR],tabela_registros[MÊS],$AE$1,tabela_registros[DIA],reservafixaconsolidadojun[[#Headers],[5]],tabela_registros[REGISTRO],DADOS!$N$6,tabela_registros[TIPO],DADOS!$AJ$3,tabela_registros[CATEGORIA],reservafixaconsolidadojun[[#This Row],[ATUAL]])</f>
        <v>0</v>
      </c>
      <c r="J171" s="119" t="n">
        <f aca="false">SUMIFS(tabela_registros[VALOR],tabela_registros[MÊS],$AE$1,tabela_registros[DIA],reservafixaconsolidadojun[[#Headers],[6]],tabela_registros[REGISTRO],DADOS!$N$6,tabela_registros[TIPO],DADOS!$AJ$3,tabela_registros[CATEGORIA],reservafixaconsolidadojun[[#This Row],[ATUAL]])</f>
        <v>0</v>
      </c>
      <c r="K171" s="119" t="n">
        <f aca="false">SUMIFS(tabela_registros[VALOR],tabela_registros[MÊS],$AE$1,tabela_registros[DIA],reservafixaconsolidadojun[[#Headers],[7]],tabela_registros[REGISTRO],DADOS!$N$6,tabela_registros[TIPO],DADOS!$AJ$3,tabela_registros[CATEGORIA],reservafixaconsolidadojun[[#This Row],[ATUAL]])</f>
        <v>0</v>
      </c>
      <c r="L171" s="119" t="n">
        <f aca="false">SUMIFS(tabela_registros[VALOR],tabela_registros[MÊS],$AE$1,tabela_registros[DIA],reservafixaconsolidadojun[[#Headers],[8]],tabela_registros[REGISTRO],DADOS!$N$6,tabela_registros[TIPO],DADOS!$AJ$3,tabela_registros[CATEGORIA],reservafixaconsolidadojun[[#This Row],[ATUAL]])</f>
        <v>0</v>
      </c>
      <c r="M171" s="119" t="n">
        <f aca="false">SUMIFS(tabela_registros[VALOR],tabela_registros[MÊS],$AE$1,tabela_registros[DIA],reservafixaconsolidadojun[[#Headers],[9]],tabela_registros[REGISTRO],DADOS!$N$6,tabela_registros[TIPO],DADOS!$AJ$3,tabela_registros[CATEGORIA],reservafixaconsolidadojun[[#This Row],[ATUAL]])</f>
        <v>0</v>
      </c>
      <c r="N171" s="119" t="n">
        <f aca="false">SUMIFS(tabela_registros[VALOR],tabela_registros[MÊS],$AE$1,tabela_registros[DIA],reservafixaconsolidadojun[[#Headers],[10]],tabela_registros[REGISTRO],DADOS!$N$6,tabela_registros[TIPO],DADOS!$AJ$3,tabela_registros[CATEGORIA],reservafixaconsolidadojun[[#This Row],[ATUAL]])</f>
        <v>0</v>
      </c>
      <c r="O171" s="119" t="n">
        <f aca="false">SUMIFS(tabela_registros[VALOR],tabela_registros[MÊS],$AE$1,tabela_registros[DIA],reservafixaconsolidadojun[[#Headers],[11]],tabela_registros[REGISTRO],DADOS!$N$6,tabela_registros[TIPO],DADOS!$AJ$3,tabela_registros[CATEGORIA],reservafixaconsolidadojun[[#This Row],[ATUAL]])</f>
        <v>0</v>
      </c>
      <c r="P171" s="119" t="n">
        <f aca="false">SUMIFS(tabela_registros[VALOR],tabela_registros[MÊS],$AE$1,tabela_registros[DIA],reservafixaconsolidadojun[[#Headers],[12]],tabela_registros[REGISTRO],DADOS!$N$6,tabela_registros[TIPO],DADOS!$AJ$3,tabela_registros[CATEGORIA],reservafixaconsolidadojun[[#This Row],[ATUAL]])</f>
        <v>0</v>
      </c>
      <c r="Q171" s="119" t="n">
        <f aca="false">SUMIFS(tabela_registros[VALOR],tabela_registros[MÊS],$AE$1,tabela_registros[DIA],reservafixaconsolidadojun[[#Headers],[13]],tabela_registros[REGISTRO],DADOS!$N$6,tabela_registros[TIPO],DADOS!$AJ$3,tabela_registros[CATEGORIA],reservafixaconsolidadojun[[#This Row],[ATUAL]])</f>
        <v>0</v>
      </c>
      <c r="R171" s="119" t="n">
        <f aca="false">SUMIFS(tabela_registros[VALOR],tabela_registros[MÊS],$AE$1,tabela_registros[DIA],reservafixaconsolidadojun[[#Headers],[14]],tabela_registros[REGISTRO],DADOS!$N$6,tabela_registros[TIPO],DADOS!$AJ$3,tabela_registros[CATEGORIA],reservafixaconsolidadojun[[#This Row],[ATUAL]])</f>
        <v>0</v>
      </c>
      <c r="S171" s="119" t="n">
        <f aca="false">SUMIFS(tabela_registros[VALOR],tabela_registros[MÊS],$AE$1,tabela_registros[DIA],reservafixaconsolidadojun[[#Headers],[15]],tabela_registros[REGISTRO],DADOS!$N$6,tabela_registros[TIPO],DADOS!$AJ$3,tabela_registros[CATEGORIA],reservafixaconsolidadojun[[#This Row],[ATUAL]])</f>
        <v>0</v>
      </c>
      <c r="T171" s="119" t="n">
        <f aca="false">SUMIFS(tabela_registros[VALOR],tabela_registros[MÊS],$AE$1,tabela_registros[DIA],reservafixaconsolidadojun[[#Headers],[16]],tabela_registros[REGISTRO],DADOS!$N$6,tabela_registros[TIPO],DADOS!$AJ$3,tabela_registros[CATEGORIA],reservafixaconsolidadojun[[#This Row],[ATUAL]])</f>
        <v>0</v>
      </c>
      <c r="U171" s="119" t="n">
        <f aca="false">SUMIFS(tabela_registros[VALOR],tabela_registros[MÊS],$AE$1,tabela_registros[DIA],reservafixaconsolidadojun[[#Headers],[17]],tabela_registros[REGISTRO],DADOS!$N$6,tabela_registros[TIPO],DADOS!$AJ$3,tabela_registros[CATEGORIA],reservafixaconsolidadojun[[#This Row],[ATUAL]])</f>
        <v>0</v>
      </c>
      <c r="V171" s="119" t="n">
        <f aca="false">SUMIFS(tabela_registros[VALOR],tabela_registros[MÊS],$AE$1,tabela_registros[DIA],reservafixaconsolidadojun[[#Headers],[18]],tabela_registros[REGISTRO],DADOS!$N$6,tabela_registros[TIPO],DADOS!$AJ$3,tabela_registros[CATEGORIA],reservafixaconsolidadojun[[#This Row],[ATUAL]])</f>
        <v>0</v>
      </c>
      <c r="W171" s="119" t="n">
        <f aca="false">SUMIFS(tabela_registros[VALOR],tabela_registros[MÊS],$AE$1,tabela_registros[DIA],reservafixaconsolidadojun[[#Headers],[19]],tabela_registros[REGISTRO],DADOS!$N$6,tabela_registros[TIPO],DADOS!$AJ$3,tabela_registros[CATEGORIA],reservafixaconsolidadojun[[#This Row],[ATUAL]])</f>
        <v>0</v>
      </c>
      <c r="X171" s="119" t="n">
        <f aca="false">SUMIFS(tabela_registros[VALOR],tabela_registros[MÊS],$AE$1,tabela_registros[DIA],reservafixaconsolidadojun[[#Headers],[20]],tabela_registros[REGISTRO],DADOS!$N$6,tabela_registros[TIPO],DADOS!$AJ$3,tabela_registros[CATEGORIA],reservafixaconsolidadojun[[#This Row],[ATUAL]])</f>
        <v>0</v>
      </c>
      <c r="Y171" s="119" t="n">
        <f aca="false">SUMIFS(tabela_registros[VALOR],tabela_registros[MÊS],$AE$1,tabela_registros[DIA],reservafixaconsolidadojun[[#Headers],[21]],tabela_registros[REGISTRO],DADOS!$N$6,tabela_registros[TIPO],DADOS!$AJ$3,tabela_registros[CATEGORIA],reservafixaconsolidadojun[[#This Row],[ATUAL]])</f>
        <v>0</v>
      </c>
      <c r="Z171" s="119" t="n">
        <f aca="false">SUMIFS(tabela_registros[VALOR],tabela_registros[MÊS],$AE$1,tabela_registros[DIA],reservafixaconsolidadojun[[#Headers],[22]],tabela_registros[REGISTRO],DADOS!$N$6,tabela_registros[TIPO],DADOS!$AJ$3,tabela_registros[CATEGORIA],reservafixaconsolidadojun[[#This Row],[ATUAL]])</f>
        <v>0</v>
      </c>
      <c r="AA171" s="119" t="n">
        <f aca="false">SUMIFS(tabela_registros[VALOR],tabela_registros[MÊS],$AE$1,tabela_registros[DIA],reservafixaconsolidadojun[[#Headers],[23]],tabela_registros[REGISTRO],DADOS!$N$6,tabela_registros[TIPO],DADOS!$AJ$3,tabela_registros[CATEGORIA],reservafixaconsolidadojun[[#This Row],[ATUAL]])</f>
        <v>0</v>
      </c>
      <c r="AB171" s="119" t="n">
        <f aca="false">SUMIFS(tabela_registros[VALOR],tabela_registros[MÊS],$AE$1,tabela_registros[DIA],reservafixaconsolidadojun[[#Headers],[24]],tabela_registros[REGISTRO],DADOS!$N$6,tabela_registros[TIPO],DADOS!$AJ$3,tabela_registros[CATEGORIA],reservafixaconsolidadojun[[#This Row],[ATUAL]])</f>
        <v>0</v>
      </c>
      <c r="AC171" s="119" t="n">
        <f aca="false">SUMIFS(tabela_registros[VALOR],tabela_registros[MÊS],$AE$1,tabela_registros[DIA],reservafixaconsolidadojun[[#Headers],[25]],tabela_registros[REGISTRO],DADOS!$N$6,tabela_registros[TIPO],DADOS!$AJ$3,tabela_registros[CATEGORIA],reservafixaconsolidadojun[[#This Row],[ATUAL]])</f>
        <v>0</v>
      </c>
      <c r="AD171" s="119" t="n">
        <f aca="false">SUMIFS(tabela_registros[VALOR],tabela_registros[MÊS],$AE$1,tabela_registros[DIA],reservafixaconsolidadojun[[#Headers],[26]],tabela_registros[REGISTRO],DADOS!$N$6,tabela_registros[TIPO],DADOS!$AJ$3,tabela_registros[CATEGORIA],reservafixaconsolidadojun[[#This Row],[ATUAL]])</f>
        <v>0</v>
      </c>
      <c r="AE171" s="119" t="n">
        <f aca="false">SUMIFS(tabela_registros[VALOR],tabela_registros[MÊS],$AE$1,tabela_registros[DIA],reservafixaconsolidadojun[[#Headers],[27]],tabela_registros[REGISTRO],DADOS!$N$6,tabela_registros[TIPO],DADOS!$AJ$3,tabela_registros[CATEGORIA],reservafixaconsolidadojun[[#This Row],[ATUAL]])</f>
        <v>0</v>
      </c>
      <c r="AF171" s="119" t="n">
        <f aca="false">SUMIFS(tabela_registros[VALOR],tabela_registros[MÊS],$AE$1,tabela_registros[DIA],reservafixaconsolidadojun[[#Headers],[28]],tabela_registros[REGISTRO],DADOS!$N$6,tabela_registros[TIPO],DADOS!$AJ$3,tabela_registros[CATEGORIA],reservafixaconsolidadojun[[#This Row],[ATUAL]])</f>
        <v>0</v>
      </c>
      <c r="AG171" s="119" t="n">
        <f aca="false">SUMIFS(tabela_registros[VALOR],tabela_registros[MÊS],$AE$1,tabela_registros[DIA],reservafixaconsolidadojun[[#Headers],[29]],tabela_registros[REGISTRO],DADOS!$N$6,tabela_registros[TIPO],DADOS!$AJ$3,tabela_registros[CATEGORIA],reservafixaconsolidadojun[[#This Row],[ATUAL]])</f>
        <v>0</v>
      </c>
      <c r="AH171" s="119" t="n">
        <f aca="false">SUMIFS(tabela_registros[VALOR],tabela_registros[MÊS],$AE$1,tabela_registros[DIA],reservafixaconsolidadojun[[#Headers],[30]],tabela_registros[REGISTRO],DADOS!$N$6,tabela_registros[TIPO],DADOS!$AJ$3,tabela_registros[CATEGORIA],reservafixaconsolidadojun[[#This Row],[ATUAL]])</f>
        <v>0</v>
      </c>
      <c r="AI171" s="217" t="n">
        <f aca="false">SUMIFS(tabela_registros[VALOR],tabela_registros[MÊS],$AE$1,tabela_registros[DIA],reservafixaconsolidadojun[[#Headers],[31]],tabela_registros[REGISTRO],DADOS!$N$6,tabela_registros[TIPO],DADOS!$AJ$3,tabela_registros[CATEGORIA],reservafixaconsolidadojun[[#This Row],[ATUAL]])</f>
        <v>0</v>
      </c>
      <c r="AJ171" s="149" t="n">
        <f aca="false">SUM(reservafixaconsolidadojun[[#This Row],[1]:[31]])</f>
        <v>0</v>
      </c>
      <c r="AK171" s="165"/>
    </row>
    <row r="172" customFormat="false" ht="19.5" hidden="false" customHeight="true" outlineLevel="0" collapsed="false">
      <c r="B172" s="143"/>
      <c r="C172" s="144" t="str">
        <f aca="false">DADOS!$AL$7</f>
        <v>📝 EXTERIOR</v>
      </c>
      <c r="D172" s="145" t="str">
        <f aca="false">IF(reservafixaconsolidadojun[[#This Row],[TOTAL (R$)]]=0,"",IF(OR(reservafixaconsolidadojun[[#This Row],[TOTAL (R$)]]=LARGE($AJ$168:$AJ$177,1),reservafixaconsolidadojun[[#This Row],[TOTAL (R$)]]=LARGE($AJ$168:$AJ$177,2)),DADOS!$I$11,""))</f>
        <v/>
      </c>
      <c r="E172" s="148" t="n">
        <f aca="false">SUMIFS(tabela_registros[VALOR],tabela_registros[MÊS],$AE$1,tabela_registros[DIA],reservafixaconsolidadojun[[#Headers],[1]],tabela_registros[REGISTRO],DADOS!$N$6,tabela_registros[TIPO],DADOS!$AJ$3,tabela_registros[CATEGORIA],reservafixaconsolidadojun[[#This Row],[ATUAL]])</f>
        <v>0</v>
      </c>
      <c r="F172" s="119" t="n">
        <f aca="false">SUMIFS(tabela_registros[VALOR],tabela_registros[MÊS],$AE$1,tabela_registros[DIA],reservafixaconsolidadojun[[#Headers],[2]],tabela_registros[REGISTRO],DADOS!$N$6,tabela_registros[TIPO],DADOS!$AJ$3,tabela_registros[CATEGORIA],reservafixaconsolidadojun[[#This Row],[ATUAL]])</f>
        <v>0</v>
      </c>
      <c r="G172" s="119" t="n">
        <f aca="false">SUMIFS(tabela_registros[VALOR],tabela_registros[MÊS],$AE$1,tabela_registros[DIA],reservafixaconsolidadojun[[#Headers],[3]],tabela_registros[REGISTRO],DADOS!$N$6,tabela_registros[TIPO],DADOS!$AJ$3,tabela_registros[CATEGORIA],reservafixaconsolidadojun[[#This Row],[ATUAL]])</f>
        <v>0</v>
      </c>
      <c r="H172" s="119" t="n">
        <f aca="false">SUMIFS(tabela_registros[VALOR],tabela_registros[MÊS],$AE$1,tabela_registros[DIA],reservafixaconsolidadojun[[#Headers],[4]],tabela_registros[REGISTRO],DADOS!$N$6,tabela_registros[TIPO],DADOS!$AJ$3,tabela_registros[CATEGORIA],reservafixaconsolidadojun[[#This Row],[ATUAL]])</f>
        <v>0</v>
      </c>
      <c r="I172" s="119" t="n">
        <f aca="false">SUMIFS(tabela_registros[VALOR],tabela_registros[MÊS],$AE$1,tabela_registros[DIA],reservafixaconsolidadojun[[#Headers],[5]],tabela_registros[REGISTRO],DADOS!$N$6,tabela_registros[TIPO],DADOS!$AJ$3,tabela_registros[CATEGORIA],reservafixaconsolidadojun[[#This Row],[ATUAL]])</f>
        <v>0</v>
      </c>
      <c r="J172" s="119" t="n">
        <f aca="false">SUMIFS(tabela_registros[VALOR],tabela_registros[MÊS],$AE$1,tabela_registros[DIA],reservafixaconsolidadojun[[#Headers],[6]],tabela_registros[REGISTRO],DADOS!$N$6,tabela_registros[TIPO],DADOS!$AJ$3,tabela_registros[CATEGORIA],reservafixaconsolidadojun[[#This Row],[ATUAL]])</f>
        <v>0</v>
      </c>
      <c r="K172" s="119" t="n">
        <f aca="false">SUMIFS(tabela_registros[VALOR],tabela_registros[MÊS],$AE$1,tabela_registros[DIA],reservafixaconsolidadojun[[#Headers],[7]],tabela_registros[REGISTRO],DADOS!$N$6,tabela_registros[TIPO],DADOS!$AJ$3,tabela_registros[CATEGORIA],reservafixaconsolidadojun[[#This Row],[ATUAL]])</f>
        <v>0</v>
      </c>
      <c r="L172" s="119" t="n">
        <f aca="false">SUMIFS(tabela_registros[VALOR],tabela_registros[MÊS],$AE$1,tabela_registros[DIA],reservafixaconsolidadojun[[#Headers],[8]],tabela_registros[REGISTRO],DADOS!$N$6,tabela_registros[TIPO],DADOS!$AJ$3,tabela_registros[CATEGORIA],reservafixaconsolidadojun[[#This Row],[ATUAL]])</f>
        <v>0</v>
      </c>
      <c r="M172" s="119" t="n">
        <f aca="false">SUMIFS(tabela_registros[VALOR],tabela_registros[MÊS],$AE$1,tabela_registros[DIA],reservafixaconsolidadojun[[#Headers],[9]],tabela_registros[REGISTRO],DADOS!$N$6,tabela_registros[TIPO],DADOS!$AJ$3,tabela_registros[CATEGORIA],reservafixaconsolidadojun[[#This Row],[ATUAL]])</f>
        <v>0</v>
      </c>
      <c r="N172" s="119" t="n">
        <f aca="false">SUMIFS(tabela_registros[VALOR],tabela_registros[MÊS],$AE$1,tabela_registros[DIA],reservafixaconsolidadojun[[#Headers],[10]],tabela_registros[REGISTRO],DADOS!$N$6,tabela_registros[TIPO],DADOS!$AJ$3,tabela_registros[CATEGORIA],reservafixaconsolidadojun[[#This Row],[ATUAL]])</f>
        <v>0</v>
      </c>
      <c r="O172" s="119" t="n">
        <f aca="false">SUMIFS(tabela_registros[VALOR],tabela_registros[MÊS],$AE$1,tabela_registros[DIA],reservafixaconsolidadojun[[#Headers],[11]],tabela_registros[REGISTRO],DADOS!$N$6,tabela_registros[TIPO],DADOS!$AJ$3,tabela_registros[CATEGORIA],reservafixaconsolidadojun[[#This Row],[ATUAL]])</f>
        <v>0</v>
      </c>
      <c r="P172" s="119" t="n">
        <f aca="false">SUMIFS(tabela_registros[VALOR],tabela_registros[MÊS],$AE$1,tabela_registros[DIA],reservafixaconsolidadojun[[#Headers],[12]],tabela_registros[REGISTRO],DADOS!$N$6,tabela_registros[TIPO],DADOS!$AJ$3,tabela_registros[CATEGORIA],reservafixaconsolidadojun[[#This Row],[ATUAL]])</f>
        <v>0</v>
      </c>
      <c r="Q172" s="119" t="n">
        <f aca="false">SUMIFS(tabela_registros[VALOR],tabela_registros[MÊS],$AE$1,tabela_registros[DIA],reservafixaconsolidadojun[[#Headers],[13]],tabela_registros[REGISTRO],DADOS!$N$6,tabela_registros[TIPO],DADOS!$AJ$3,tabela_registros[CATEGORIA],reservafixaconsolidadojun[[#This Row],[ATUAL]])</f>
        <v>0</v>
      </c>
      <c r="R172" s="119" t="n">
        <f aca="false">SUMIFS(tabela_registros[VALOR],tabela_registros[MÊS],$AE$1,tabela_registros[DIA],reservafixaconsolidadojun[[#Headers],[14]],tabela_registros[REGISTRO],DADOS!$N$6,tabela_registros[TIPO],DADOS!$AJ$3,tabela_registros[CATEGORIA],reservafixaconsolidadojun[[#This Row],[ATUAL]])</f>
        <v>0</v>
      </c>
      <c r="S172" s="119" t="n">
        <f aca="false">SUMIFS(tabela_registros[VALOR],tabela_registros[MÊS],$AE$1,tabela_registros[DIA],reservafixaconsolidadojun[[#Headers],[15]],tabela_registros[REGISTRO],DADOS!$N$6,tabela_registros[TIPO],DADOS!$AJ$3,tabela_registros[CATEGORIA],reservafixaconsolidadojun[[#This Row],[ATUAL]])</f>
        <v>0</v>
      </c>
      <c r="T172" s="119" t="n">
        <f aca="false">SUMIFS(tabela_registros[VALOR],tabela_registros[MÊS],$AE$1,tabela_registros[DIA],reservafixaconsolidadojun[[#Headers],[16]],tabela_registros[REGISTRO],DADOS!$N$6,tabela_registros[TIPO],DADOS!$AJ$3,tabela_registros[CATEGORIA],reservafixaconsolidadojun[[#This Row],[ATUAL]])</f>
        <v>0</v>
      </c>
      <c r="U172" s="119" t="n">
        <f aca="false">SUMIFS(tabela_registros[VALOR],tabela_registros[MÊS],$AE$1,tabela_registros[DIA],reservafixaconsolidadojun[[#Headers],[17]],tabela_registros[REGISTRO],DADOS!$N$6,tabela_registros[TIPO],DADOS!$AJ$3,tabela_registros[CATEGORIA],reservafixaconsolidadojun[[#This Row],[ATUAL]])</f>
        <v>0</v>
      </c>
      <c r="V172" s="119" t="n">
        <f aca="false">SUMIFS(tabela_registros[VALOR],tabela_registros[MÊS],$AE$1,tabela_registros[DIA],reservafixaconsolidadojun[[#Headers],[18]],tabela_registros[REGISTRO],DADOS!$N$6,tabela_registros[TIPO],DADOS!$AJ$3,tabela_registros[CATEGORIA],reservafixaconsolidadojun[[#This Row],[ATUAL]])</f>
        <v>0</v>
      </c>
      <c r="W172" s="119" t="n">
        <f aca="false">SUMIFS(tabela_registros[VALOR],tabela_registros[MÊS],$AE$1,tabela_registros[DIA],reservafixaconsolidadojun[[#Headers],[19]],tabela_registros[REGISTRO],DADOS!$N$6,tabela_registros[TIPO],DADOS!$AJ$3,tabela_registros[CATEGORIA],reservafixaconsolidadojun[[#This Row],[ATUAL]])</f>
        <v>0</v>
      </c>
      <c r="X172" s="119" t="n">
        <f aca="false">SUMIFS(tabela_registros[VALOR],tabela_registros[MÊS],$AE$1,tabela_registros[DIA],reservafixaconsolidadojun[[#Headers],[20]],tabela_registros[REGISTRO],DADOS!$N$6,tabela_registros[TIPO],DADOS!$AJ$3,tabela_registros[CATEGORIA],reservafixaconsolidadojun[[#This Row],[ATUAL]])</f>
        <v>0</v>
      </c>
      <c r="Y172" s="119" t="n">
        <f aca="false">SUMIFS(tabela_registros[VALOR],tabela_registros[MÊS],$AE$1,tabela_registros[DIA],reservafixaconsolidadojun[[#Headers],[21]],tabela_registros[REGISTRO],DADOS!$N$6,tabela_registros[TIPO],DADOS!$AJ$3,tabela_registros[CATEGORIA],reservafixaconsolidadojun[[#This Row],[ATUAL]])</f>
        <v>0</v>
      </c>
      <c r="Z172" s="119" t="n">
        <f aca="false">SUMIFS(tabela_registros[VALOR],tabela_registros[MÊS],$AE$1,tabela_registros[DIA],reservafixaconsolidadojun[[#Headers],[22]],tabela_registros[REGISTRO],DADOS!$N$6,tabela_registros[TIPO],DADOS!$AJ$3,tabela_registros[CATEGORIA],reservafixaconsolidadojun[[#This Row],[ATUAL]])</f>
        <v>0</v>
      </c>
      <c r="AA172" s="119" t="n">
        <f aca="false">SUMIFS(tabela_registros[VALOR],tabela_registros[MÊS],$AE$1,tabela_registros[DIA],reservafixaconsolidadojun[[#Headers],[23]],tabela_registros[REGISTRO],DADOS!$N$6,tabela_registros[TIPO],DADOS!$AJ$3,tabela_registros[CATEGORIA],reservafixaconsolidadojun[[#This Row],[ATUAL]])</f>
        <v>0</v>
      </c>
      <c r="AB172" s="119" t="n">
        <f aca="false">SUMIFS(tabela_registros[VALOR],tabela_registros[MÊS],$AE$1,tabela_registros[DIA],reservafixaconsolidadojun[[#Headers],[24]],tabela_registros[REGISTRO],DADOS!$N$6,tabela_registros[TIPO],DADOS!$AJ$3,tabela_registros[CATEGORIA],reservafixaconsolidadojun[[#This Row],[ATUAL]])</f>
        <v>0</v>
      </c>
      <c r="AC172" s="119" t="n">
        <f aca="false">SUMIFS(tabela_registros[VALOR],tabela_registros[MÊS],$AE$1,tabela_registros[DIA],reservafixaconsolidadojun[[#Headers],[25]],tabela_registros[REGISTRO],DADOS!$N$6,tabela_registros[TIPO],DADOS!$AJ$3,tabela_registros[CATEGORIA],reservafixaconsolidadojun[[#This Row],[ATUAL]])</f>
        <v>0</v>
      </c>
      <c r="AD172" s="119" t="n">
        <f aca="false">SUMIFS(tabela_registros[VALOR],tabela_registros[MÊS],$AE$1,tabela_registros[DIA],reservafixaconsolidadojun[[#Headers],[26]],tabela_registros[REGISTRO],DADOS!$N$6,tabela_registros[TIPO],DADOS!$AJ$3,tabela_registros[CATEGORIA],reservafixaconsolidadojun[[#This Row],[ATUAL]])</f>
        <v>0</v>
      </c>
      <c r="AE172" s="119" t="n">
        <f aca="false">SUMIFS(tabela_registros[VALOR],tabela_registros[MÊS],$AE$1,tabela_registros[DIA],reservafixaconsolidadojun[[#Headers],[27]],tabela_registros[REGISTRO],DADOS!$N$6,tabela_registros[TIPO],DADOS!$AJ$3,tabela_registros[CATEGORIA],reservafixaconsolidadojun[[#This Row],[ATUAL]])</f>
        <v>0</v>
      </c>
      <c r="AF172" s="119" t="n">
        <f aca="false">SUMIFS(tabela_registros[VALOR],tabela_registros[MÊS],$AE$1,tabela_registros[DIA],reservafixaconsolidadojun[[#Headers],[28]],tabela_registros[REGISTRO],DADOS!$N$6,tabela_registros[TIPO],DADOS!$AJ$3,tabela_registros[CATEGORIA],reservafixaconsolidadojun[[#This Row],[ATUAL]])</f>
        <v>0</v>
      </c>
      <c r="AG172" s="119" t="n">
        <f aca="false">SUMIFS(tabela_registros[VALOR],tabela_registros[MÊS],$AE$1,tabela_registros[DIA],reservafixaconsolidadojun[[#Headers],[29]],tabela_registros[REGISTRO],DADOS!$N$6,tabela_registros[TIPO],DADOS!$AJ$3,tabela_registros[CATEGORIA],reservafixaconsolidadojun[[#This Row],[ATUAL]])</f>
        <v>0</v>
      </c>
      <c r="AH172" s="119" t="n">
        <f aca="false">SUMIFS(tabela_registros[VALOR],tabela_registros[MÊS],$AE$1,tabela_registros[DIA],reservafixaconsolidadojun[[#Headers],[30]],tabela_registros[REGISTRO],DADOS!$N$6,tabela_registros[TIPO],DADOS!$AJ$3,tabela_registros[CATEGORIA],reservafixaconsolidadojun[[#This Row],[ATUAL]])</f>
        <v>0</v>
      </c>
      <c r="AI172" s="217" t="n">
        <f aca="false">SUMIFS(tabela_registros[VALOR],tabela_registros[MÊS],$AE$1,tabela_registros[DIA],reservafixaconsolidadojun[[#Headers],[31]],tabela_registros[REGISTRO],DADOS!$N$6,tabela_registros[TIPO],DADOS!$AJ$3,tabela_registros[CATEGORIA],reservafixaconsolidadojun[[#This Row],[ATUAL]])</f>
        <v>0</v>
      </c>
      <c r="AJ172" s="149" t="n">
        <f aca="false">SUM(reservafixaconsolidadojun[[#This Row],[1]:[31]])</f>
        <v>0</v>
      </c>
      <c r="AK172" s="165"/>
    </row>
    <row r="173" customFormat="false" ht="19.5" hidden="false" customHeight="true" outlineLevel="0" collapsed="false">
      <c r="B173" s="143"/>
      <c r="C173" s="144" t="str">
        <f aca="false">DADOS!$AL$8</f>
        <v>📝 LC</v>
      </c>
      <c r="D173" s="145" t="str">
        <f aca="false">IF(reservafixaconsolidadojun[[#This Row],[TOTAL (R$)]]=0,"",IF(OR(reservafixaconsolidadojun[[#This Row],[TOTAL (R$)]]=LARGE($AJ$168:$AJ$177,1),reservafixaconsolidadojun[[#This Row],[TOTAL (R$)]]=LARGE($AJ$168:$AJ$177,2)),DADOS!$I$11,""))</f>
        <v/>
      </c>
      <c r="E173" s="148" t="n">
        <f aca="false">SUMIFS(tabela_registros[VALOR],tabela_registros[MÊS],$AE$1,tabela_registros[DIA],reservafixaconsolidadojun[[#Headers],[1]],tabela_registros[REGISTRO],DADOS!$N$6,tabela_registros[TIPO],DADOS!$AJ$3,tabela_registros[CATEGORIA],reservafixaconsolidadojun[[#This Row],[ATUAL]])</f>
        <v>0</v>
      </c>
      <c r="F173" s="119" t="n">
        <f aca="false">SUMIFS(tabela_registros[VALOR],tabela_registros[MÊS],$AE$1,tabela_registros[DIA],reservafixaconsolidadojun[[#Headers],[2]],tabela_registros[REGISTRO],DADOS!$N$6,tabela_registros[TIPO],DADOS!$AJ$3,tabela_registros[CATEGORIA],reservafixaconsolidadojun[[#This Row],[ATUAL]])</f>
        <v>0</v>
      </c>
      <c r="G173" s="119" t="n">
        <f aca="false">SUMIFS(tabela_registros[VALOR],tabela_registros[MÊS],$AE$1,tabela_registros[DIA],reservafixaconsolidadojun[[#Headers],[3]],tabela_registros[REGISTRO],DADOS!$N$6,tabela_registros[TIPO],DADOS!$AJ$3,tabela_registros[CATEGORIA],reservafixaconsolidadojun[[#This Row],[ATUAL]])</f>
        <v>0</v>
      </c>
      <c r="H173" s="119" t="n">
        <f aca="false">SUMIFS(tabela_registros[VALOR],tabela_registros[MÊS],$AE$1,tabela_registros[DIA],reservafixaconsolidadojun[[#Headers],[4]],tabela_registros[REGISTRO],DADOS!$N$6,tabela_registros[TIPO],DADOS!$AJ$3,tabela_registros[CATEGORIA],reservafixaconsolidadojun[[#This Row],[ATUAL]])</f>
        <v>0</v>
      </c>
      <c r="I173" s="119" t="n">
        <f aca="false">SUMIFS(tabela_registros[VALOR],tabela_registros[MÊS],$AE$1,tabela_registros[DIA],reservafixaconsolidadojun[[#Headers],[5]],tabela_registros[REGISTRO],DADOS!$N$6,tabela_registros[TIPO],DADOS!$AJ$3,tabela_registros[CATEGORIA],reservafixaconsolidadojun[[#This Row],[ATUAL]])</f>
        <v>0</v>
      </c>
      <c r="J173" s="119" t="n">
        <f aca="false">SUMIFS(tabela_registros[VALOR],tabela_registros[MÊS],$AE$1,tabela_registros[DIA],reservafixaconsolidadojun[[#Headers],[6]],tabela_registros[REGISTRO],DADOS!$N$6,tabela_registros[TIPO],DADOS!$AJ$3,tabela_registros[CATEGORIA],reservafixaconsolidadojun[[#This Row],[ATUAL]])</f>
        <v>0</v>
      </c>
      <c r="K173" s="119" t="n">
        <f aca="false">SUMIFS(tabela_registros[VALOR],tabela_registros[MÊS],$AE$1,tabela_registros[DIA],reservafixaconsolidadojun[[#Headers],[7]],tabela_registros[REGISTRO],DADOS!$N$6,tabela_registros[TIPO],DADOS!$AJ$3,tabela_registros[CATEGORIA],reservafixaconsolidadojun[[#This Row],[ATUAL]])</f>
        <v>0</v>
      </c>
      <c r="L173" s="119" t="n">
        <f aca="false">SUMIFS(tabela_registros[VALOR],tabela_registros[MÊS],$AE$1,tabela_registros[DIA],reservafixaconsolidadojun[[#Headers],[8]],tabela_registros[REGISTRO],DADOS!$N$6,tabela_registros[TIPO],DADOS!$AJ$3,tabela_registros[CATEGORIA],reservafixaconsolidadojun[[#This Row],[ATUAL]])</f>
        <v>0</v>
      </c>
      <c r="M173" s="119" t="n">
        <f aca="false">SUMIFS(tabela_registros[VALOR],tabela_registros[MÊS],$AE$1,tabela_registros[DIA],reservafixaconsolidadojun[[#Headers],[9]],tabela_registros[REGISTRO],DADOS!$N$6,tabela_registros[TIPO],DADOS!$AJ$3,tabela_registros[CATEGORIA],reservafixaconsolidadojun[[#This Row],[ATUAL]])</f>
        <v>0</v>
      </c>
      <c r="N173" s="119" t="n">
        <f aca="false">SUMIFS(tabela_registros[VALOR],tabela_registros[MÊS],$AE$1,tabela_registros[DIA],reservafixaconsolidadojun[[#Headers],[10]],tabela_registros[REGISTRO],DADOS!$N$6,tabela_registros[TIPO],DADOS!$AJ$3,tabela_registros[CATEGORIA],reservafixaconsolidadojun[[#This Row],[ATUAL]])</f>
        <v>0</v>
      </c>
      <c r="O173" s="119" t="n">
        <f aca="false">SUMIFS(tabela_registros[VALOR],tabela_registros[MÊS],$AE$1,tabela_registros[DIA],reservafixaconsolidadojun[[#Headers],[11]],tabela_registros[REGISTRO],DADOS!$N$6,tabela_registros[TIPO],DADOS!$AJ$3,tabela_registros[CATEGORIA],reservafixaconsolidadojun[[#This Row],[ATUAL]])</f>
        <v>0</v>
      </c>
      <c r="P173" s="119" t="n">
        <f aca="false">SUMIFS(tabela_registros[VALOR],tabela_registros[MÊS],$AE$1,tabela_registros[DIA],reservafixaconsolidadojun[[#Headers],[12]],tabela_registros[REGISTRO],DADOS!$N$6,tabela_registros[TIPO],DADOS!$AJ$3,tabela_registros[CATEGORIA],reservafixaconsolidadojun[[#This Row],[ATUAL]])</f>
        <v>0</v>
      </c>
      <c r="Q173" s="119" t="n">
        <f aca="false">SUMIFS(tabela_registros[VALOR],tabela_registros[MÊS],$AE$1,tabela_registros[DIA],reservafixaconsolidadojun[[#Headers],[13]],tabela_registros[REGISTRO],DADOS!$N$6,tabela_registros[TIPO],DADOS!$AJ$3,tabela_registros[CATEGORIA],reservafixaconsolidadojun[[#This Row],[ATUAL]])</f>
        <v>0</v>
      </c>
      <c r="R173" s="119" t="n">
        <f aca="false">SUMIFS(tabela_registros[VALOR],tabela_registros[MÊS],$AE$1,tabela_registros[DIA],reservafixaconsolidadojun[[#Headers],[14]],tabela_registros[REGISTRO],DADOS!$N$6,tabela_registros[TIPO],DADOS!$AJ$3,tabela_registros[CATEGORIA],reservafixaconsolidadojun[[#This Row],[ATUAL]])</f>
        <v>0</v>
      </c>
      <c r="S173" s="119" t="n">
        <f aca="false">SUMIFS(tabela_registros[VALOR],tabela_registros[MÊS],$AE$1,tabela_registros[DIA],reservafixaconsolidadojun[[#Headers],[15]],tabela_registros[REGISTRO],DADOS!$N$6,tabela_registros[TIPO],DADOS!$AJ$3,tabela_registros[CATEGORIA],reservafixaconsolidadojun[[#This Row],[ATUAL]])</f>
        <v>0</v>
      </c>
      <c r="T173" s="119" t="n">
        <f aca="false">SUMIFS(tabela_registros[VALOR],tabela_registros[MÊS],$AE$1,tabela_registros[DIA],reservafixaconsolidadojun[[#Headers],[16]],tabela_registros[REGISTRO],DADOS!$N$6,tabela_registros[TIPO],DADOS!$AJ$3,tabela_registros[CATEGORIA],reservafixaconsolidadojun[[#This Row],[ATUAL]])</f>
        <v>0</v>
      </c>
      <c r="U173" s="119" t="n">
        <f aca="false">SUMIFS(tabela_registros[VALOR],tabela_registros[MÊS],$AE$1,tabela_registros[DIA],reservafixaconsolidadojun[[#Headers],[17]],tabela_registros[REGISTRO],DADOS!$N$6,tabela_registros[TIPO],DADOS!$AJ$3,tabela_registros[CATEGORIA],reservafixaconsolidadojun[[#This Row],[ATUAL]])</f>
        <v>0</v>
      </c>
      <c r="V173" s="119" t="n">
        <f aca="false">SUMIFS(tabela_registros[VALOR],tabela_registros[MÊS],$AE$1,tabela_registros[DIA],reservafixaconsolidadojun[[#Headers],[18]],tabela_registros[REGISTRO],DADOS!$N$6,tabela_registros[TIPO],DADOS!$AJ$3,tabela_registros[CATEGORIA],reservafixaconsolidadojun[[#This Row],[ATUAL]])</f>
        <v>0</v>
      </c>
      <c r="W173" s="119" t="n">
        <f aca="false">SUMIFS(tabela_registros[VALOR],tabela_registros[MÊS],$AE$1,tabela_registros[DIA],reservafixaconsolidadojun[[#Headers],[19]],tabela_registros[REGISTRO],DADOS!$N$6,tabela_registros[TIPO],DADOS!$AJ$3,tabela_registros[CATEGORIA],reservafixaconsolidadojun[[#This Row],[ATUAL]])</f>
        <v>0</v>
      </c>
      <c r="X173" s="119" t="n">
        <f aca="false">SUMIFS(tabela_registros[VALOR],tabela_registros[MÊS],$AE$1,tabela_registros[DIA],reservafixaconsolidadojun[[#Headers],[20]],tabela_registros[REGISTRO],DADOS!$N$6,tabela_registros[TIPO],DADOS!$AJ$3,tabela_registros[CATEGORIA],reservafixaconsolidadojun[[#This Row],[ATUAL]])</f>
        <v>0</v>
      </c>
      <c r="Y173" s="119" t="n">
        <f aca="false">SUMIFS(tabela_registros[VALOR],tabela_registros[MÊS],$AE$1,tabela_registros[DIA],reservafixaconsolidadojun[[#Headers],[21]],tabela_registros[REGISTRO],DADOS!$N$6,tabela_registros[TIPO],DADOS!$AJ$3,tabela_registros[CATEGORIA],reservafixaconsolidadojun[[#This Row],[ATUAL]])</f>
        <v>0</v>
      </c>
      <c r="Z173" s="119" t="n">
        <f aca="false">SUMIFS(tabela_registros[VALOR],tabela_registros[MÊS],$AE$1,tabela_registros[DIA],reservafixaconsolidadojun[[#Headers],[22]],tabela_registros[REGISTRO],DADOS!$N$6,tabela_registros[TIPO],DADOS!$AJ$3,tabela_registros[CATEGORIA],reservafixaconsolidadojun[[#This Row],[ATUAL]])</f>
        <v>0</v>
      </c>
      <c r="AA173" s="119" t="n">
        <f aca="false">SUMIFS(tabela_registros[VALOR],tabela_registros[MÊS],$AE$1,tabela_registros[DIA],reservafixaconsolidadojun[[#Headers],[23]],tabela_registros[REGISTRO],DADOS!$N$6,tabela_registros[TIPO],DADOS!$AJ$3,tabela_registros[CATEGORIA],reservafixaconsolidadojun[[#This Row],[ATUAL]])</f>
        <v>0</v>
      </c>
      <c r="AB173" s="119" t="n">
        <f aca="false">SUMIFS(tabela_registros[VALOR],tabela_registros[MÊS],$AE$1,tabela_registros[DIA],reservafixaconsolidadojun[[#Headers],[24]],tabela_registros[REGISTRO],DADOS!$N$6,tabela_registros[TIPO],DADOS!$AJ$3,tabela_registros[CATEGORIA],reservafixaconsolidadojun[[#This Row],[ATUAL]])</f>
        <v>0</v>
      </c>
      <c r="AC173" s="119" t="n">
        <f aca="false">SUMIFS(tabela_registros[VALOR],tabela_registros[MÊS],$AE$1,tabela_registros[DIA],reservafixaconsolidadojun[[#Headers],[25]],tabela_registros[REGISTRO],DADOS!$N$6,tabela_registros[TIPO],DADOS!$AJ$3,tabela_registros[CATEGORIA],reservafixaconsolidadojun[[#This Row],[ATUAL]])</f>
        <v>0</v>
      </c>
      <c r="AD173" s="119" t="n">
        <f aca="false">SUMIFS(tabela_registros[VALOR],tabela_registros[MÊS],$AE$1,tabela_registros[DIA],reservafixaconsolidadojun[[#Headers],[26]],tabela_registros[REGISTRO],DADOS!$N$6,tabela_registros[TIPO],DADOS!$AJ$3,tabela_registros[CATEGORIA],reservafixaconsolidadojun[[#This Row],[ATUAL]])</f>
        <v>0</v>
      </c>
      <c r="AE173" s="119" t="n">
        <f aca="false">SUMIFS(tabela_registros[VALOR],tabela_registros[MÊS],$AE$1,tabela_registros[DIA],reservafixaconsolidadojun[[#Headers],[27]],tabela_registros[REGISTRO],DADOS!$N$6,tabela_registros[TIPO],DADOS!$AJ$3,tabela_registros[CATEGORIA],reservafixaconsolidadojun[[#This Row],[ATUAL]])</f>
        <v>0</v>
      </c>
      <c r="AF173" s="119" t="n">
        <f aca="false">SUMIFS(tabela_registros[VALOR],tabela_registros[MÊS],$AE$1,tabela_registros[DIA],reservafixaconsolidadojun[[#Headers],[28]],tabela_registros[REGISTRO],DADOS!$N$6,tabela_registros[TIPO],DADOS!$AJ$3,tabela_registros[CATEGORIA],reservafixaconsolidadojun[[#This Row],[ATUAL]])</f>
        <v>0</v>
      </c>
      <c r="AG173" s="119" t="n">
        <f aca="false">SUMIFS(tabela_registros[VALOR],tabela_registros[MÊS],$AE$1,tabela_registros[DIA],reservafixaconsolidadojun[[#Headers],[29]],tabela_registros[REGISTRO],DADOS!$N$6,tabela_registros[TIPO],DADOS!$AJ$3,tabela_registros[CATEGORIA],reservafixaconsolidadojun[[#This Row],[ATUAL]])</f>
        <v>0</v>
      </c>
      <c r="AH173" s="119" t="n">
        <f aca="false">SUMIFS(tabela_registros[VALOR],tabela_registros[MÊS],$AE$1,tabela_registros[DIA],reservafixaconsolidadojun[[#Headers],[30]],tabela_registros[REGISTRO],DADOS!$N$6,tabela_registros[TIPO],DADOS!$AJ$3,tabela_registros[CATEGORIA],reservafixaconsolidadojun[[#This Row],[ATUAL]])</f>
        <v>0</v>
      </c>
      <c r="AI173" s="217" t="n">
        <f aca="false">SUMIFS(tabela_registros[VALOR],tabela_registros[MÊS],$AE$1,tabela_registros[DIA],reservafixaconsolidadojun[[#Headers],[31]],tabela_registros[REGISTRO],DADOS!$N$6,tabela_registros[TIPO],DADOS!$AJ$3,tabela_registros[CATEGORIA],reservafixaconsolidadojun[[#This Row],[ATUAL]])</f>
        <v>0</v>
      </c>
      <c r="AJ173" s="149" t="n">
        <f aca="false">SUM(reservafixaconsolidadojun[[#This Row],[1]:[31]])</f>
        <v>0</v>
      </c>
      <c r="AK173" s="165"/>
    </row>
    <row r="174" customFormat="false" ht="19.5" hidden="false" customHeight="true" outlineLevel="0" collapsed="false">
      <c r="B174" s="143"/>
      <c r="C174" s="144" t="str">
        <f aca="false">DADOS!$AL$9</f>
        <v>📝 LCA</v>
      </c>
      <c r="D174" s="145" t="str">
        <f aca="false">IF(reservafixaconsolidadojun[[#This Row],[TOTAL (R$)]]=0,"",IF(OR(reservafixaconsolidadojun[[#This Row],[TOTAL (R$)]]=LARGE($AJ$168:$AJ$177,1),reservafixaconsolidadojun[[#This Row],[TOTAL (R$)]]=LARGE($AJ$168:$AJ$177,2)),DADOS!$I$11,""))</f>
        <v/>
      </c>
      <c r="E174" s="148" t="n">
        <f aca="false">SUMIFS(tabela_registros[VALOR],tabela_registros[MÊS],$AE$1,tabela_registros[DIA],reservafixaconsolidadojun[[#Headers],[1]],tabela_registros[REGISTRO],DADOS!$N$6,tabela_registros[TIPO],DADOS!$AJ$3,tabela_registros[CATEGORIA],reservafixaconsolidadojun[[#This Row],[ATUAL]])</f>
        <v>0</v>
      </c>
      <c r="F174" s="119" t="n">
        <f aca="false">SUMIFS(tabela_registros[VALOR],tabela_registros[MÊS],$AE$1,tabela_registros[DIA],reservafixaconsolidadojun[[#Headers],[2]],tabela_registros[REGISTRO],DADOS!$N$6,tabela_registros[TIPO],DADOS!$AJ$3,tabela_registros[CATEGORIA],reservafixaconsolidadojun[[#This Row],[ATUAL]])</f>
        <v>0</v>
      </c>
      <c r="G174" s="119" t="n">
        <f aca="false">SUMIFS(tabela_registros[VALOR],tabela_registros[MÊS],$AE$1,tabela_registros[DIA],reservafixaconsolidadojun[[#Headers],[3]],tabela_registros[REGISTRO],DADOS!$N$6,tabela_registros[TIPO],DADOS!$AJ$3,tabela_registros[CATEGORIA],reservafixaconsolidadojun[[#This Row],[ATUAL]])</f>
        <v>0</v>
      </c>
      <c r="H174" s="119" t="n">
        <f aca="false">SUMIFS(tabela_registros[VALOR],tabela_registros[MÊS],$AE$1,tabela_registros[DIA],reservafixaconsolidadojun[[#Headers],[4]],tabela_registros[REGISTRO],DADOS!$N$6,tabela_registros[TIPO],DADOS!$AJ$3,tabela_registros[CATEGORIA],reservafixaconsolidadojun[[#This Row],[ATUAL]])</f>
        <v>0</v>
      </c>
      <c r="I174" s="119" t="n">
        <f aca="false">SUMIFS(tabela_registros[VALOR],tabela_registros[MÊS],$AE$1,tabela_registros[DIA],reservafixaconsolidadojun[[#Headers],[5]],tabela_registros[REGISTRO],DADOS!$N$6,tabela_registros[TIPO],DADOS!$AJ$3,tabela_registros[CATEGORIA],reservafixaconsolidadojun[[#This Row],[ATUAL]])</f>
        <v>0</v>
      </c>
      <c r="J174" s="119" t="n">
        <f aca="false">SUMIFS(tabela_registros[VALOR],tabela_registros[MÊS],$AE$1,tabela_registros[DIA],reservafixaconsolidadojun[[#Headers],[6]],tabela_registros[REGISTRO],DADOS!$N$6,tabela_registros[TIPO],DADOS!$AJ$3,tabela_registros[CATEGORIA],reservafixaconsolidadojun[[#This Row],[ATUAL]])</f>
        <v>0</v>
      </c>
      <c r="K174" s="119" t="n">
        <f aca="false">SUMIFS(tabela_registros[VALOR],tabela_registros[MÊS],$AE$1,tabela_registros[DIA],reservafixaconsolidadojun[[#Headers],[7]],tabela_registros[REGISTRO],DADOS!$N$6,tabela_registros[TIPO],DADOS!$AJ$3,tabela_registros[CATEGORIA],reservafixaconsolidadojun[[#This Row],[ATUAL]])</f>
        <v>0</v>
      </c>
      <c r="L174" s="119" t="n">
        <f aca="false">SUMIFS(tabela_registros[VALOR],tabela_registros[MÊS],$AE$1,tabela_registros[DIA],reservafixaconsolidadojun[[#Headers],[8]],tabela_registros[REGISTRO],DADOS!$N$6,tabela_registros[TIPO],DADOS!$AJ$3,tabela_registros[CATEGORIA],reservafixaconsolidadojun[[#This Row],[ATUAL]])</f>
        <v>0</v>
      </c>
      <c r="M174" s="119" t="n">
        <f aca="false">SUMIFS(tabela_registros[VALOR],tabela_registros[MÊS],$AE$1,tabela_registros[DIA],reservafixaconsolidadojun[[#Headers],[9]],tabela_registros[REGISTRO],DADOS!$N$6,tabela_registros[TIPO],DADOS!$AJ$3,tabela_registros[CATEGORIA],reservafixaconsolidadojun[[#This Row],[ATUAL]])</f>
        <v>0</v>
      </c>
      <c r="N174" s="119" t="n">
        <f aca="false">SUMIFS(tabela_registros[VALOR],tabela_registros[MÊS],$AE$1,tabela_registros[DIA],reservafixaconsolidadojun[[#Headers],[10]],tabela_registros[REGISTRO],DADOS!$N$6,tabela_registros[TIPO],DADOS!$AJ$3,tabela_registros[CATEGORIA],reservafixaconsolidadojun[[#This Row],[ATUAL]])</f>
        <v>0</v>
      </c>
      <c r="O174" s="119" t="n">
        <f aca="false">SUMIFS(tabela_registros[VALOR],tabela_registros[MÊS],$AE$1,tabela_registros[DIA],reservafixaconsolidadojun[[#Headers],[11]],tabela_registros[REGISTRO],DADOS!$N$6,tabela_registros[TIPO],DADOS!$AJ$3,tabela_registros[CATEGORIA],reservafixaconsolidadojun[[#This Row],[ATUAL]])</f>
        <v>0</v>
      </c>
      <c r="P174" s="119" t="n">
        <f aca="false">SUMIFS(tabela_registros[VALOR],tabela_registros[MÊS],$AE$1,tabela_registros[DIA],reservafixaconsolidadojun[[#Headers],[12]],tabela_registros[REGISTRO],DADOS!$N$6,tabela_registros[TIPO],DADOS!$AJ$3,tabela_registros[CATEGORIA],reservafixaconsolidadojun[[#This Row],[ATUAL]])</f>
        <v>0</v>
      </c>
      <c r="Q174" s="119" t="n">
        <f aca="false">SUMIFS(tabela_registros[VALOR],tabela_registros[MÊS],$AE$1,tabela_registros[DIA],reservafixaconsolidadojun[[#Headers],[13]],tabela_registros[REGISTRO],DADOS!$N$6,tabela_registros[TIPO],DADOS!$AJ$3,tabela_registros[CATEGORIA],reservafixaconsolidadojun[[#This Row],[ATUAL]])</f>
        <v>0</v>
      </c>
      <c r="R174" s="119" t="n">
        <f aca="false">SUMIFS(tabela_registros[VALOR],tabela_registros[MÊS],$AE$1,tabela_registros[DIA],reservafixaconsolidadojun[[#Headers],[14]],tabela_registros[REGISTRO],DADOS!$N$6,tabela_registros[TIPO],DADOS!$AJ$3,tabela_registros[CATEGORIA],reservafixaconsolidadojun[[#This Row],[ATUAL]])</f>
        <v>0</v>
      </c>
      <c r="S174" s="119" t="n">
        <f aca="false">SUMIFS(tabela_registros[VALOR],tabela_registros[MÊS],$AE$1,tabela_registros[DIA],reservafixaconsolidadojun[[#Headers],[15]],tabela_registros[REGISTRO],DADOS!$N$6,tabela_registros[TIPO],DADOS!$AJ$3,tabela_registros[CATEGORIA],reservafixaconsolidadojun[[#This Row],[ATUAL]])</f>
        <v>0</v>
      </c>
      <c r="T174" s="119" t="n">
        <f aca="false">SUMIFS(tabela_registros[VALOR],tabela_registros[MÊS],$AE$1,tabela_registros[DIA],reservafixaconsolidadojun[[#Headers],[16]],tabela_registros[REGISTRO],DADOS!$N$6,tabela_registros[TIPO],DADOS!$AJ$3,tabela_registros[CATEGORIA],reservafixaconsolidadojun[[#This Row],[ATUAL]])</f>
        <v>0</v>
      </c>
      <c r="U174" s="119" t="n">
        <f aca="false">SUMIFS(tabela_registros[VALOR],tabela_registros[MÊS],$AE$1,tabela_registros[DIA],reservafixaconsolidadojun[[#Headers],[17]],tabela_registros[REGISTRO],DADOS!$N$6,tabela_registros[TIPO],DADOS!$AJ$3,tabela_registros[CATEGORIA],reservafixaconsolidadojun[[#This Row],[ATUAL]])</f>
        <v>0</v>
      </c>
      <c r="V174" s="119" t="n">
        <f aca="false">SUMIFS(tabela_registros[VALOR],tabela_registros[MÊS],$AE$1,tabela_registros[DIA],reservafixaconsolidadojun[[#Headers],[18]],tabela_registros[REGISTRO],DADOS!$N$6,tabela_registros[TIPO],DADOS!$AJ$3,tabela_registros[CATEGORIA],reservafixaconsolidadojun[[#This Row],[ATUAL]])</f>
        <v>0</v>
      </c>
      <c r="W174" s="119" t="n">
        <f aca="false">SUMIFS(tabela_registros[VALOR],tabela_registros[MÊS],$AE$1,tabela_registros[DIA],reservafixaconsolidadojun[[#Headers],[19]],tabela_registros[REGISTRO],DADOS!$N$6,tabela_registros[TIPO],DADOS!$AJ$3,tabela_registros[CATEGORIA],reservafixaconsolidadojun[[#This Row],[ATUAL]])</f>
        <v>0</v>
      </c>
      <c r="X174" s="119" t="n">
        <f aca="false">SUMIFS(tabela_registros[VALOR],tabela_registros[MÊS],$AE$1,tabela_registros[DIA],reservafixaconsolidadojun[[#Headers],[20]],tabela_registros[REGISTRO],DADOS!$N$6,tabela_registros[TIPO],DADOS!$AJ$3,tabela_registros[CATEGORIA],reservafixaconsolidadojun[[#This Row],[ATUAL]])</f>
        <v>0</v>
      </c>
      <c r="Y174" s="119" t="n">
        <f aca="false">SUMIFS(tabela_registros[VALOR],tabela_registros[MÊS],$AE$1,tabela_registros[DIA],reservafixaconsolidadojun[[#Headers],[21]],tabela_registros[REGISTRO],DADOS!$N$6,tabela_registros[TIPO],DADOS!$AJ$3,tabela_registros[CATEGORIA],reservafixaconsolidadojun[[#This Row],[ATUAL]])</f>
        <v>0</v>
      </c>
      <c r="Z174" s="119" t="n">
        <f aca="false">SUMIFS(tabela_registros[VALOR],tabela_registros[MÊS],$AE$1,tabela_registros[DIA],reservafixaconsolidadojun[[#Headers],[22]],tabela_registros[REGISTRO],DADOS!$N$6,tabela_registros[TIPO],DADOS!$AJ$3,tabela_registros[CATEGORIA],reservafixaconsolidadojun[[#This Row],[ATUAL]])</f>
        <v>0</v>
      </c>
      <c r="AA174" s="119" t="n">
        <f aca="false">SUMIFS(tabela_registros[VALOR],tabela_registros[MÊS],$AE$1,tabela_registros[DIA],reservafixaconsolidadojun[[#Headers],[23]],tabela_registros[REGISTRO],DADOS!$N$6,tabela_registros[TIPO],DADOS!$AJ$3,tabela_registros[CATEGORIA],reservafixaconsolidadojun[[#This Row],[ATUAL]])</f>
        <v>0</v>
      </c>
      <c r="AB174" s="119" t="n">
        <f aca="false">SUMIFS(tabela_registros[VALOR],tabela_registros[MÊS],$AE$1,tabela_registros[DIA],reservafixaconsolidadojun[[#Headers],[24]],tabela_registros[REGISTRO],DADOS!$N$6,tabela_registros[TIPO],DADOS!$AJ$3,tabela_registros[CATEGORIA],reservafixaconsolidadojun[[#This Row],[ATUAL]])</f>
        <v>0</v>
      </c>
      <c r="AC174" s="119" t="n">
        <f aca="false">SUMIFS(tabela_registros[VALOR],tabela_registros[MÊS],$AE$1,tabela_registros[DIA],reservafixaconsolidadojun[[#Headers],[25]],tabela_registros[REGISTRO],DADOS!$N$6,tabela_registros[TIPO],DADOS!$AJ$3,tabela_registros[CATEGORIA],reservafixaconsolidadojun[[#This Row],[ATUAL]])</f>
        <v>0</v>
      </c>
      <c r="AD174" s="119" t="n">
        <f aca="false">SUMIFS(tabela_registros[VALOR],tabela_registros[MÊS],$AE$1,tabela_registros[DIA],reservafixaconsolidadojun[[#Headers],[26]],tabela_registros[REGISTRO],DADOS!$N$6,tabela_registros[TIPO],DADOS!$AJ$3,tabela_registros[CATEGORIA],reservafixaconsolidadojun[[#This Row],[ATUAL]])</f>
        <v>0</v>
      </c>
      <c r="AE174" s="119" t="n">
        <f aca="false">SUMIFS(tabela_registros[VALOR],tabela_registros[MÊS],$AE$1,tabela_registros[DIA],reservafixaconsolidadojun[[#Headers],[27]],tabela_registros[REGISTRO],DADOS!$N$6,tabela_registros[TIPO],DADOS!$AJ$3,tabela_registros[CATEGORIA],reservafixaconsolidadojun[[#This Row],[ATUAL]])</f>
        <v>0</v>
      </c>
      <c r="AF174" s="119" t="n">
        <f aca="false">SUMIFS(tabela_registros[VALOR],tabela_registros[MÊS],$AE$1,tabela_registros[DIA],reservafixaconsolidadojun[[#Headers],[28]],tabela_registros[REGISTRO],DADOS!$N$6,tabela_registros[TIPO],DADOS!$AJ$3,tabela_registros[CATEGORIA],reservafixaconsolidadojun[[#This Row],[ATUAL]])</f>
        <v>0</v>
      </c>
      <c r="AG174" s="119" t="n">
        <f aca="false">SUMIFS(tabela_registros[VALOR],tabela_registros[MÊS],$AE$1,tabela_registros[DIA],reservafixaconsolidadojun[[#Headers],[29]],tabela_registros[REGISTRO],DADOS!$N$6,tabela_registros[TIPO],DADOS!$AJ$3,tabela_registros[CATEGORIA],reservafixaconsolidadojun[[#This Row],[ATUAL]])</f>
        <v>0</v>
      </c>
      <c r="AH174" s="119" t="n">
        <f aca="false">SUMIFS(tabela_registros[VALOR],tabela_registros[MÊS],$AE$1,tabela_registros[DIA],reservafixaconsolidadojun[[#Headers],[30]],tabela_registros[REGISTRO],DADOS!$N$6,tabela_registros[TIPO],DADOS!$AJ$3,tabela_registros[CATEGORIA],reservafixaconsolidadojun[[#This Row],[ATUAL]])</f>
        <v>0</v>
      </c>
      <c r="AI174" s="217" t="n">
        <f aca="false">SUMIFS(tabela_registros[VALOR],tabela_registros[MÊS],$AE$1,tabela_registros[DIA],reservafixaconsolidadojun[[#Headers],[31]],tabela_registros[REGISTRO],DADOS!$N$6,tabela_registros[TIPO],DADOS!$AJ$3,tabela_registros[CATEGORIA],reservafixaconsolidadojun[[#This Row],[ATUAL]])</f>
        <v>0</v>
      </c>
      <c r="AJ174" s="149" t="n">
        <f aca="false">SUM(reservafixaconsolidadojun[[#This Row],[1]:[31]])</f>
        <v>0</v>
      </c>
      <c r="AK174" s="165"/>
    </row>
    <row r="175" customFormat="false" ht="19.5" hidden="false" customHeight="true" outlineLevel="0" collapsed="false">
      <c r="B175" s="143"/>
      <c r="C175" s="144" t="str">
        <f aca="false">DADOS!$AL$10</f>
        <v>📝 LCI</v>
      </c>
      <c r="D175" s="145" t="str">
        <f aca="false">IF(reservafixaconsolidadojun[[#This Row],[TOTAL (R$)]]=0,"",IF(OR(reservafixaconsolidadojun[[#This Row],[TOTAL (R$)]]=LARGE($AJ$168:$AJ$177,1),reservafixaconsolidadojun[[#This Row],[TOTAL (R$)]]=LARGE($AJ$168:$AJ$177,2)),DADOS!$I$11,""))</f>
        <v/>
      </c>
      <c r="E175" s="148" t="n">
        <f aca="false">SUMIFS(tabela_registros[VALOR],tabela_registros[MÊS],$AE$1,tabela_registros[DIA],reservafixaconsolidadojun[[#Headers],[1]],tabela_registros[REGISTRO],DADOS!$N$6,tabela_registros[TIPO],DADOS!$AJ$3,tabela_registros[CATEGORIA],reservafixaconsolidadojun[[#This Row],[ATUAL]])</f>
        <v>0</v>
      </c>
      <c r="F175" s="119" t="n">
        <f aca="false">SUMIFS(tabela_registros[VALOR],tabela_registros[MÊS],$AE$1,tabela_registros[DIA],reservafixaconsolidadojun[[#Headers],[2]],tabela_registros[REGISTRO],DADOS!$N$6,tabela_registros[TIPO],DADOS!$AJ$3,tabela_registros[CATEGORIA],reservafixaconsolidadojun[[#This Row],[ATUAL]])</f>
        <v>0</v>
      </c>
      <c r="G175" s="119" t="n">
        <f aca="false">SUMIFS(tabela_registros[VALOR],tabela_registros[MÊS],$AE$1,tabela_registros[DIA],reservafixaconsolidadojun[[#Headers],[3]],tabela_registros[REGISTRO],DADOS!$N$6,tabela_registros[TIPO],DADOS!$AJ$3,tabela_registros[CATEGORIA],reservafixaconsolidadojun[[#This Row],[ATUAL]])</f>
        <v>0</v>
      </c>
      <c r="H175" s="119" t="n">
        <f aca="false">SUMIFS(tabela_registros[VALOR],tabela_registros[MÊS],$AE$1,tabela_registros[DIA],reservafixaconsolidadojun[[#Headers],[4]],tabela_registros[REGISTRO],DADOS!$N$6,tabela_registros[TIPO],DADOS!$AJ$3,tabela_registros[CATEGORIA],reservafixaconsolidadojun[[#This Row],[ATUAL]])</f>
        <v>0</v>
      </c>
      <c r="I175" s="119" t="n">
        <f aca="false">SUMIFS(tabela_registros[VALOR],tabela_registros[MÊS],$AE$1,tabela_registros[DIA],reservafixaconsolidadojun[[#Headers],[5]],tabela_registros[REGISTRO],DADOS!$N$6,tabela_registros[TIPO],DADOS!$AJ$3,tabela_registros[CATEGORIA],reservafixaconsolidadojun[[#This Row],[ATUAL]])</f>
        <v>0</v>
      </c>
      <c r="J175" s="119" t="n">
        <f aca="false">SUMIFS(tabela_registros[VALOR],tabela_registros[MÊS],$AE$1,tabela_registros[DIA],reservafixaconsolidadojun[[#Headers],[6]],tabela_registros[REGISTRO],DADOS!$N$6,tabela_registros[TIPO],DADOS!$AJ$3,tabela_registros[CATEGORIA],reservafixaconsolidadojun[[#This Row],[ATUAL]])</f>
        <v>0</v>
      </c>
      <c r="K175" s="119" t="n">
        <f aca="false">SUMIFS(tabela_registros[VALOR],tabela_registros[MÊS],$AE$1,tabela_registros[DIA],reservafixaconsolidadojun[[#Headers],[7]],tabela_registros[REGISTRO],DADOS!$N$6,tabela_registros[TIPO],DADOS!$AJ$3,tabela_registros[CATEGORIA],reservafixaconsolidadojun[[#This Row],[ATUAL]])</f>
        <v>0</v>
      </c>
      <c r="L175" s="119" t="n">
        <f aca="false">SUMIFS(tabela_registros[VALOR],tabela_registros[MÊS],$AE$1,tabela_registros[DIA],reservafixaconsolidadojun[[#Headers],[8]],tabela_registros[REGISTRO],DADOS!$N$6,tabela_registros[TIPO],DADOS!$AJ$3,tabela_registros[CATEGORIA],reservafixaconsolidadojun[[#This Row],[ATUAL]])</f>
        <v>0</v>
      </c>
      <c r="M175" s="119" t="n">
        <f aca="false">SUMIFS(tabela_registros[VALOR],tabela_registros[MÊS],$AE$1,tabela_registros[DIA],reservafixaconsolidadojun[[#Headers],[9]],tabela_registros[REGISTRO],DADOS!$N$6,tabela_registros[TIPO],DADOS!$AJ$3,tabela_registros[CATEGORIA],reservafixaconsolidadojun[[#This Row],[ATUAL]])</f>
        <v>0</v>
      </c>
      <c r="N175" s="119" t="n">
        <f aca="false">SUMIFS(tabela_registros[VALOR],tabela_registros[MÊS],$AE$1,tabela_registros[DIA],reservafixaconsolidadojun[[#Headers],[10]],tabela_registros[REGISTRO],DADOS!$N$6,tabela_registros[TIPO],DADOS!$AJ$3,tabela_registros[CATEGORIA],reservafixaconsolidadojun[[#This Row],[ATUAL]])</f>
        <v>0</v>
      </c>
      <c r="O175" s="119" t="n">
        <f aca="false">SUMIFS(tabela_registros[VALOR],tabela_registros[MÊS],$AE$1,tabela_registros[DIA],reservafixaconsolidadojun[[#Headers],[11]],tabela_registros[REGISTRO],DADOS!$N$6,tabela_registros[TIPO],DADOS!$AJ$3,tabela_registros[CATEGORIA],reservafixaconsolidadojun[[#This Row],[ATUAL]])</f>
        <v>0</v>
      </c>
      <c r="P175" s="119" t="n">
        <f aca="false">SUMIFS(tabela_registros[VALOR],tabela_registros[MÊS],$AE$1,tabela_registros[DIA],reservafixaconsolidadojun[[#Headers],[12]],tabela_registros[REGISTRO],DADOS!$N$6,tabela_registros[TIPO],DADOS!$AJ$3,tabela_registros[CATEGORIA],reservafixaconsolidadojun[[#This Row],[ATUAL]])</f>
        <v>0</v>
      </c>
      <c r="Q175" s="119" t="n">
        <f aca="false">SUMIFS(tabela_registros[VALOR],tabela_registros[MÊS],$AE$1,tabela_registros[DIA],reservafixaconsolidadojun[[#Headers],[13]],tabela_registros[REGISTRO],DADOS!$N$6,tabela_registros[TIPO],DADOS!$AJ$3,tabela_registros[CATEGORIA],reservafixaconsolidadojun[[#This Row],[ATUAL]])</f>
        <v>0</v>
      </c>
      <c r="R175" s="119" t="n">
        <f aca="false">SUMIFS(tabela_registros[VALOR],tabela_registros[MÊS],$AE$1,tabela_registros[DIA],reservafixaconsolidadojun[[#Headers],[14]],tabela_registros[REGISTRO],DADOS!$N$6,tabela_registros[TIPO],DADOS!$AJ$3,tabela_registros[CATEGORIA],reservafixaconsolidadojun[[#This Row],[ATUAL]])</f>
        <v>0</v>
      </c>
      <c r="S175" s="119" t="n">
        <f aca="false">SUMIFS(tabela_registros[VALOR],tabela_registros[MÊS],$AE$1,tabela_registros[DIA],reservafixaconsolidadojun[[#Headers],[15]],tabela_registros[REGISTRO],DADOS!$N$6,tabela_registros[TIPO],DADOS!$AJ$3,tabela_registros[CATEGORIA],reservafixaconsolidadojun[[#This Row],[ATUAL]])</f>
        <v>0</v>
      </c>
      <c r="T175" s="119" t="n">
        <f aca="false">SUMIFS(tabela_registros[VALOR],tabela_registros[MÊS],$AE$1,tabela_registros[DIA],reservafixaconsolidadojun[[#Headers],[16]],tabela_registros[REGISTRO],DADOS!$N$6,tabela_registros[TIPO],DADOS!$AJ$3,tabela_registros[CATEGORIA],reservafixaconsolidadojun[[#This Row],[ATUAL]])</f>
        <v>0</v>
      </c>
      <c r="U175" s="119" t="n">
        <f aca="false">SUMIFS(tabela_registros[VALOR],tabela_registros[MÊS],$AE$1,tabela_registros[DIA],reservafixaconsolidadojun[[#Headers],[17]],tabela_registros[REGISTRO],DADOS!$N$6,tabela_registros[TIPO],DADOS!$AJ$3,tabela_registros[CATEGORIA],reservafixaconsolidadojun[[#This Row],[ATUAL]])</f>
        <v>0</v>
      </c>
      <c r="V175" s="119" t="n">
        <f aca="false">SUMIFS(tabela_registros[VALOR],tabela_registros[MÊS],$AE$1,tabela_registros[DIA],reservafixaconsolidadojun[[#Headers],[18]],tabela_registros[REGISTRO],DADOS!$N$6,tabela_registros[TIPO],DADOS!$AJ$3,tabela_registros[CATEGORIA],reservafixaconsolidadojun[[#This Row],[ATUAL]])</f>
        <v>0</v>
      </c>
      <c r="W175" s="119" t="n">
        <f aca="false">SUMIFS(tabela_registros[VALOR],tabela_registros[MÊS],$AE$1,tabela_registros[DIA],reservafixaconsolidadojun[[#Headers],[19]],tabela_registros[REGISTRO],DADOS!$N$6,tabela_registros[TIPO],DADOS!$AJ$3,tabela_registros[CATEGORIA],reservafixaconsolidadojun[[#This Row],[ATUAL]])</f>
        <v>0</v>
      </c>
      <c r="X175" s="119" t="n">
        <f aca="false">SUMIFS(tabela_registros[VALOR],tabela_registros[MÊS],$AE$1,tabela_registros[DIA],reservafixaconsolidadojun[[#Headers],[20]],tabela_registros[REGISTRO],DADOS!$N$6,tabela_registros[TIPO],DADOS!$AJ$3,tabela_registros[CATEGORIA],reservafixaconsolidadojun[[#This Row],[ATUAL]])</f>
        <v>0</v>
      </c>
      <c r="Y175" s="119" t="n">
        <f aca="false">SUMIFS(tabela_registros[VALOR],tabela_registros[MÊS],$AE$1,tabela_registros[DIA],reservafixaconsolidadojun[[#Headers],[21]],tabela_registros[REGISTRO],DADOS!$N$6,tabela_registros[TIPO],DADOS!$AJ$3,tabela_registros[CATEGORIA],reservafixaconsolidadojun[[#This Row],[ATUAL]])</f>
        <v>0</v>
      </c>
      <c r="Z175" s="119" t="n">
        <f aca="false">SUMIFS(tabela_registros[VALOR],tabela_registros[MÊS],$AE$1,tabela_registros[DIA],reservafixaconsolidadojun[[#Headers],[22]],tabela_registros[REGISTRO],DADOS!$N$6,tabela_registros[TIPO],DADOS!$AJ$3,tabela_registros[CATEGORIA],reservafixaconsolidadojun[[#This Row],[ATUAL]])</f>
        <v>0</v>
      </c>
      <c r="AA175" s="119" t="n">
        <f aca="false">SUMIFS(tabela_registros[VALOR],tabela_registros[MÊS],$AE$1,tabela_registros[DIA],reservafixaconsolidadojun[[#Headers],[23]],tabela_registros[REGISTRO],DADOS!$N$6,tabela_registros[TIPO],DADOS!$AJ$3,tabela_registros[CATEGORIA],reservafixaconsolidadojun[[#This Row],[ATUAL]])</f>
        <v>0</v>
      </c>
      <c r="AB175" s="119" t="n">
        <f aca="false">SUMIFS(tabela_registros[VALOR],tabela_registros[MÊS],$AE$1,tabela_registros[DIA],reservafixaconsolidadojun[[#Headers],[24]],tabela_registros[REGISTRO],DADOS!$N$6,tabela_registros[TIPO],DADOS!$AJ$3,tabela_registros[CATEGORIA],reservafixaconsolidadojun[[#This Row],[ATUAL]])</f>
        <v>0</v>
      </c>
      <c r="AC175" s="119" t="n">
        <f aca="false">SUMIFS(tabela_registros[VALOR],tabela_registros[MÊS],$AE$1,tabela_registros[DIA],reservafixaconsolidadojun[[#Headers],[25]],tabela_registros[REGISTRO],DADOS!$N$6,tabela_registros[TIPO],DADOS!$AJ$3,tabela_registros[CATEGORIA],reservafixaconsolidadojun[[#This Row],[ATUAL]])</f>
        <v>0</v>
      </c>
      <c r="AD175" s="119" t="n">
        <f aca="false">SUMIFS(tabela_registros[VALOR],tabela_registros[MÊS],$AE$1,tabela_registros[DIA],reservafixaconsolidadojun[[#Headers],[26]],tabela_registros[REGISTRO],DADOS!$N$6,tabela_registros[TIPO],DADOS!$AJ$3,tabela_registros[CATEGORIA],reservafixaconsolidadojun[[#This Row],[ATUAL]])</f>
        <v>0</v>
      </c>
      <c r="AE175" s="119" t="n">
        <f aca="false">SUMIFS(tabela_registros[VALOR],tabela_registros[MÊS],$AE$1,tabela_registros[DIA],reservafixaconsolidadojun[[#Headers],[27]],tabela_registros[REGISTRO],DADOS!$N$6,tabela_registros[TIPO],DADOS!$AJ$3,tabela_registros[CATEGORIA],reservafixaconsolidadojun[[#This Row],[ATUAL]])</f>
        <v>0</v>
      </c>
      <c r="AF175" s="119" t="n">
        <f aca="false">SUMIFS(tabela_registros[VALOR],tabela_registros[MÊS],$AE$1,tabela_registros[DIA],reservafixaconsolidadojun[[#Headers],[28]],tabela_registros[REGISTRO],DADOS!$N$6,tabela_registros[TIPO],DADOS!$AJ$3,tabela_registros[CATEGORIA],reservafixaconsolidadojun[[#This Row],[ATUAL]])</f>
        <v>0</v>
      </c>
      <c r="AG175" s="119" t="n">
        <f aca="false">SUMIFS(tabela_registros[VALOR],tabela_registros[MÊS],$AE$1,tabela_registros[DIA],reservafixaconsolidadojun[[#Headers],[29]],tabela_registros[REGISTRO],DADOS!$N$6,tabela_registros[TIPO],DADOS!$AJ$3,tabela_registros[CATEGORIA],reservafixaconsolidadojun[[#This Row],[ATUAL]])</f>
        <v>0</v>
      </c>
      <c r="AH175" s="119" t="n">
        <f aca="false">SUMIFS(tabela_registros[VALOR],tabela_registros[MÊS],$AE$1,tabela_registros[DIA],reservafixaconsolidadojun[[#Headers],[30]],tabela_registros[REGISTRO],DADOS!$N$6,tabela_registros[TIPO],DADOS!$AJ$3,tabela_registros[CATEGORIA],reservafixaconsolidadojun[[#This Row],[ATUAL]])</f>
        <v>0</v>
      </c>
      <c r="AI175" s="217" t="n">
        <f aca="false">SUMIFS(tabela_registros[VALOR],tabela_registros[MÊS],$AE$1,tabela_registros[DIA],reservafixaconsolidadojun[[#Headers],[31]],tabela_registros[REGISTRO],DADOS!$N$6,tabela_registros[TIPO],DADOS!$AJ$3,tabela_registros[CATEGORIA],reservafixaconsolidadojun[[#This Row],[ATUAL]])</f>
        <v>0</v>
      </c>
      <c r="AJ175" s="149" t="n">
        <f aca="false">SUM(reservafixaconsolidadojun[[#This Row],[1]:[31]])</f>
        <v>0</v>
      </c>
      <c r="AK175" s="165"/>
    </row>
    <row r="176" customFormat="false" ht="19.5" hidden="false" customHeight="true" outlineLevel="0" collapsed="false">
      <c r="B176" s="143"/>
      <c r="C176" s="144" t="str">
        <f aca="false">DADOS!$AL$11</f>
        <v>📝 TESOURO DIRETO</v>
      </c>
      <c r="D176" s="145" t="str">
        <f aca="false">IF(reservafixaconsolidadojun[[#This Row],[TOTAL (R$)]]=0,"",IF(OR(reservafixaconsolidadojun[[#This Row],[TOTAL (R$)]]=LARGE($AJ$168:$AJ$177,1),reservafixaconsolidadojun[[#This Row],[TOTAL (R$)]]=LARGE($AJ$168:$AJ$177,2)),DADOS!$I$11,""))</f>
        <v/>
      </c>
      <c r="E176" s="148" t="n">
        <f aca="false">SUMIFS(tabela_registros[VALOR],tabela_registros[MÊS],$AE$1,tabela_registros[DIA],reservafixaconsolidadojun[[#Headers],[1]],tabela_registros[REGISTRO],DADOS!$N$6,tabela_registros[TIPO],DADOS!$AJ$3,tabela_registros[CATEGORIA],reservafixaconsolidadojun[[#This Row],[ATUAL]])</f>
        <v>0</v>
      </c>
      <c r="F176" s="119" t="n">
        <f aca="false">SUMIFS(tabela_registros[VALOR],tabela_registros[MÊS],$AE$1,tabela_registros[DIA],reservafixaconsolidadojun[[#Headers],[2]],tabela_registros[REGISTRO],DADOS!$N$6,tabela_registros[TIPO],DADOS!$AJ$3,tabela_registros[CATEGORIA],reservafixaconsolidadojun[[#This Row],[ATUAL]])</f>
        <v>0</v>
      </c>
      <c r="G176" s="119" t="n">
        <f aca="false">SUMIFS(tabela_registros[VALOR],tabela_registros[MÊS],$AE$1,tabela_registros[DIA],reservafixaconsolidadojun[[#Headers],[3]],tabela_registros[REGISTRO],DADOS!$N$6,tabela_registros[TIPO],DADOS!$AJ$3,tabela_registros[CATEGORIA],reservafixaconsolidadojun[[#This Row],[ATUAL]])</f>
        <v>0</v>
      </c>
      <c r="H176" s="119" t="n">
        <f aca="false">SUMIFS(tabela_registros[VALOR],tabela_registros[MÊS],$AE$1,tabela_registros[DIA],reservafixaconsolidadojun[[#Headers],[4]],tabela_registros[REGISTRO],DADOS!$N$6,tabela_registros[TIPO],DADOS!$AJ$3,tabela_registros[CATEGORIA],reservafixaconsolidadojun[[#This Row],[ATUAL]])</f>
        <v>0</v>
      </c>
      <c r="I176" s="119" t="n">
        <f aca="false">SUMIFS(tabela_registros[VALOR],tabela_registros[MÊS],$AE$1,tabela_registros[DIA],reservafixaconsolidadojun[[#Headers],[5]],tabela_registros[REGISTRO],DADOS!$N$6,tabela_registros[TIPO],DADOS!$AJ$3,tabela_registros[CATEGORIA],reservafixaconsolidadojun[[#This Row],[ATUAL]])</f>
        <v>0</v>
      </c>
      <c r="J176" s="119" t="n">
        <f aca="false">SUMIFS(tabela_registros[VALOR],tabela_registros[MÊS],$AE$1,tabela_registros[DIA],reservafixaconsolidadojun[[#Headers],[6]],tabela_registros[REGISTRO],DADOS!$N$6,tabela_registros[TIPO],DADOS!$AJ$3,tabela_registros[CATEGORIA],reservafixaconsolidadojun[[#This Row],[ATUAL]])</f>
        <v>0</v>
      </c>
      <c r="K176" s="119" t="n">
        <f aca="false">SUMIFS(tabela_registros[VALOR],tabela_registros[MÊS],$AE$1,tabela_registros[DIA],reservafixaconsolidadojun[[#Headers],[7]],tabela_registros[REGISTRO],DADOS!$N$6,tabela_registros[TIPO],DADOS!$AJ$3,tabela_registros[CATEGORIA],reservafixaconsolidadojun[[#This Row],[ATUAL]])</f>
        <v>0</v>
      </c>
      <c r="L176" s="119" t="n">
        <f aca="false">SUMIFS(tabela_registros[VALOR],tabela_registros[MÊS],$AE$1,tabela_registros[DIA],reservafixaconsolidadojun[[#Headers],[8]],tabela_registros[REGISTRO],DADOS!$N$6,tabela_registros[TIPO],DADOS!$AJ$3,tabela_registros[CATEGORIA],reservafixaconsolidadojun[[#This Row],[ATUAL]])</f>
        <v>0</v>
      </c>
      <c r="M176" s="119" t="n">
        <f aca="false">SUMIFS(tabela_registros[VALOR],tabela_registros[MÊS],$AE$1,tabela_registros[DIA],reservafixaconsolidadojun[[#Headers],[9]],tabela_registros[REGISTRO],DADOS!$N$6,tabela_registros[TIPO],DADOS!$AJ$3,tabela_registros[CATEGORIA],reservafixaconsolidadojun[[#This Row],[ATUAL]])</f>
        <v>0</v>
      </c>
      <c r="N176" s="119" t="n">
        <f aca="false">SUMIFS(tabela_registros[VALOR],tabela_registros[MÊS],$AE$1,tabela_registros[DIA],reservafixaconsolidadojun[[#Headers],[10]],tabela_registros[REGISTRO],DADOS!$N$6,tabela_registros[TIPO],DADOS!$AJ$3,tabela_registros[CATEGORIA],reservafixaconsolidadojun[[#This Row],[ATUAL]])</f>
        <v>0</v>
      </c>
      <c r="O176" s="119" t="n">
        <f aca="false">SUMIFS(tabela_registros[VALOR],tabela_registros[MÊS],$AE$1,tabela_registros[DIA],reservafixaconsolidadojun[[#Headers],[11]],tabela_registros[REGISTRO],DADOS!$N$6,tabela_registros[TIPO],DADOS!$AJ$3,tabela_registros[CATEGORIA],reservafixaconsolidadojun[[#This Row],[ATUAL]])</f>
        <v>0</v>
      </c>
      <c r="P176" s="119" t="n">
        <f aca="false">SUMIFS(tabela_registros[VALOR],tabela_registros[MÊS],$AE$1,tabela_registros[DIA],reservafixaconsolidadojun[[#Headers],[12]],tabela_registros[REGISTRO],DADOS!$N$6,tabela_registros[TIPO],DADOS!$AJ$3,tabela_registros[CATEGORIA],reservafixaconsolidadojun[[#This Row],[ATUAL]])</f>
        <v>0</v>
      </c>
      <c r="Q176" s="119" t="n">
        <f aca="false">SUMIFS(tabela_registros[VALOR],tabela_registros[MÊS],$AE$1,tabela_registros[DIA],reservafixaconsolidadojun[[#Headers],[13]],tabela_registros[REGISTRO],DADOS!$N$6,tabela_registros[TIPO],DADOS!$AJ$3,tabela_registros[CATEGORIA],reservafixaconsolidadojun[[#This Row],[ATUAL]])</f>
        <v>0</v>
      </c>
      <c r="R176" s="119" t="n">
        <f aca="false">SUMIFS(tabela_registros[VALOR],tabela_registros[MÊS],$AE$1,tabela_registros[DIA],reservafixaconsolidadojun[[#Headers],[14]],tabela_registros[REGISTRO],DADOS!$N$6,tabela_registros[TIPO],DADOS!$AJ$3,tabela_registros[CATEGORIA],reservafixaconsolidadojun[[#This Row],[ATUAL]])</f>
        <v>0</v>
      </c>
      <c r="S176" s="119" t="n">
        <f aca="false">SUMIFS(tabela_registros[VALOR],tabela_registros[MÊS],$AE$1,tabela_registros[DIA],reservafixaconsolidadojun[[#Headers],[15]],tabela_registros[REGISTRO],DADOS!$N$6,tabela_registros[TIPO],DADOS!$AJ$3,tabela_registros[CATEGORIA],reservafixaconsolidadojun[[#This Row],[ATUAL]])</f>
        <v>0</v>
      </c>
      <c r="T176" s="119" t="n">
        <f aca="false">SUMIFS(tabela_registros[VALOR],tabela_registros[MÊS],$AE$1,tabela_registros[DIA],reservafixaconsolidadojun[[#Headers],[16]],tabela_registros[REGISTRO],DADOS!$N$6,tabela_registros[TIPO],DADOS!$AJ$3,tabela_registros[CATEGORIA],reservafixaconsolidadojun[[#This Row],[ATUAL]])</f>
        <v>0</v>
      </c>
      <c r="U176" s="119" t="n">
        <f aca="false">SUMIFS(tabela_registros[VALOR],tabela_registros[MÊS],$AE$1,tabela_registros[DIA],reservafixaconsolidadojun[[#Headers],[17]],tabela_registros[REGISTRO],DADOS!$N$6,tabela_registros[TIPO],DADOS!$AJ$3,tabela_registros[CATEGORIA],reservafixaconsolidadojun[[#This Row],[ATUAL]])</f>
        <v>0</v>
      </c>
      <c r="V176" s="119" t="n">
        <f aca="false">SUMIFS(tabela_registros[VALOR],tabela_registros[MÊS],$AE$1,tabela_registros[DIA],reservafixaconsolidadojun[[#Headers],[18]],tabela_registros[REGISTRO],DADOS!$N$6,tabela_registros[TIPO],DADOS!$AJ$3,tabela_registros[CATEGORIA],reservafixaconsolidadojun[[#This Row],[ATUAL]])</f>
        <v>0</v>
      </c>
      <c r="W176" s="119" t="n">
        <f aca="false">SUMIFS(tabela_registros[VALOR],tabela_registros[MÊS],$AE$1,tabela_registros[DIA],reservafixaconsolidadojun[[#Headers],[19]],tabela_registros[REGISTRO],DADOS!$N$6,tabela_registros[TIPO],DADOS!$AJ$3,tabela_registros[CATEGORIA],reservafixaconsolidadojun[[#This Row],[ATUAL]])</f>
        <v>0</v>
      </c>
      <c r="X176" s="119" t="n">
        <f aca="false">SUMIFS(tabela_registros[VALOR],tabela_registros[MÊS],$AE$1,tabela_registros[DIA],reservafixaconsolidadojun[[#Headers],[20]],tabela_registros[REGISTRO],DADOS!$N$6,tabela_registros[TIPO],DADOS!$AJ$3,tabela_registros[CATEGORIA],reservafixaconsolidadojun[[#This Row],[ATUAL]])</f>
        <v>0</v>
      </c>
      <c r="Y176" s="119" t="n">
        <f aca="false">SUMIFS(tabela_registros[VALOR],tabela_registros[MÊS],$AE$1,tabela_registros[DIA],reservafixaconsolidadojun[[#Headers],[21]],tabela_registros[REGISTRO],DADOS!$N$6,tabela_registros[TIPO],DADOS!$AJ$3,tabela_registros[CATEGORIA],reservafixaconsolidadojun[[#This Row],[ATUAL]])</f>
        <v>0</v>
      </c>
      <c r="Z176" s="119" t="n">
        <f aca="false">SUMIFS(tabela_registros[VALOR],tabela_registros[MÊS],$AE$1,tabela_registros[DIA],reservafixaconsolidadojun[[#Headers],[22]],tabela_registros[REGISTRO],DADOS!$N$6,tabela_registros[TIPO],DADOS!$AJ$3,tabela_registros[CATEGORIA],reservafixaconsolidadojun[[#This Row],[ATUAL]])</f>
        <v>0</v>
      </c>
      <c r="AA176" s="119" t="n">
        <f aca="false">SUMIFS(tabela_registros[VALOR],tabela_registros[MÊS],$AE$1,tabela_registros[DIA],reservafixaconsolidadojun[[#Headers],[23]],tabela_registros[REGISTRO],DADOS!$N$6,tabela_registros[TIPO],DADOS!$AJ$3,tabela_registros[CATEGORIA],reservafixaconsolidadojun[[#This Row],[ATUAL]])</f>
        <v>0</v>
      </c>
      <c r="AB176" s="119" t="n">
        <f aca="false">SUMIFS(tabela_registros[VALOR],tabela_registros[MÊS],$AE$1,tabela_registros[DIA],reservafixaconsolidadojun[[#Headers],[24]],tabela_registros[REGISTRO],DADOS!$N$6,tabela_registros[TIPO],DADOS!$AJ$3,tabela_registros[CATEGORIA],reservafixaconsolidadojun[[#This Row],[ATUAL]])</f>
        <v>0</v>
      </c>
      <c r="AC176" s="119" t="n">
        <f aca="false">SUMIFS(tabela_registros[VALOR],tabela_registros[MÊS],$AE$1,tabela_registros[DIA],reservafixaconsolidadojun[[#Headers],[25]],tabela_registros[REGISTRO],DADOS!$N$6,tabela_registros[TIPO],DADOS!$AJ$3,tabela_registros[CATEGORIA],reservafixaconsolidadojun[[#This Row],[ATUAL]])</f>
        <v>0</v>
      </c>
      <c r="AD176" s="119" t="n">
        <f aca="false">SUMIFS(tabela_registros[VALOR],tabela_registros[MÊS],$AE$1,tabela_registros[DIA],reservafixaconsolidadojun[[#Headers],[26]],tabela_registros[REGISTRO],DADOS!$N$6,tabela_registros[TIPO],DADOS!$AJ$3,tabela_registros[CATEGORIA],reservafixaconsolidadojun[[#This Row],[ATUAL]])</f>
        <v>0</v>
      </c>
      <c r="AE176" s="119" t="n">
        <f aca="false">SUMIFS(tabela_registros[VALOR],tabela_registros[MÊS],$AE$1,tabela_registros[DIA],reservafixaconsolidadojun[[#Headers],[27]],tabela_registros[REGISTRO],DADOS!$N$6,tabela_registros[TIPO],DADOS!$AJ$3,tabela_registros[CATEGORIA],reservafixaconsolidadojun[[#This Row],[ATUAL]])</f>
        <v>0</v>
      </c>
      <c r="AF176" s="119" t="n">
        <f aca="false">SUMIFS(tabela_registros[VALOR],tabela_registros[MÊS],$AE$1,tabela_registros[DIA],reservafixaconsolidadojun[[#Headers],[28]],tabela_registros[REGISTRO],DADOS!$N$6,tabela_registros[TIPO],DADOS!$AJ$3,tabela_registros[CATEGORIA],reservafixaconsolidadojun[[#This Row],[ATUAL]])</f>
        <v>0</v>
      </c>
      <c r="AG176" s="119" t="n">
        <f aca="false">SUMIFS(tabela_registros[VALOR],tabela_registros[MÊS],$AE$1,tabela_registros[DIA],reservafixaconsolidadojun[[#Headers],[29]],tabela_registros[REGISTRO],DADOS!$N$6,tabela_registros[TIPO],DADOS!$AJ$3,tabela_registros[CATEGORIA],reservafixaconsolidadojun[[#This Row],[ATUAL]])</f>
        <v>0</v>
      </c>
      <c r="AH176" s="119" t="n">
        <f aca="false">SUMIFS(tabela_registros[VALOR],tabela_registros[MÊS],$AE$1,tabela_registros[DIA],reservafixaconsolidadojun[[#Headers],[30]],tabela_registros[REGISTRO],DADOS!$N$6,tabela_registros[TIPO],DADOS!$AJ$3,tabela_registros[CATEGORIA],reservafixaconsolidadojun[[#This Row],[ATUAL]])</f>
        <v>0</v>
      </c>
      <c r="AI176" s="217" t="n">
        <f aca="false">SUMIFS(tabela_registros[VALOR],tabela_registros[MÊS],$AE$1,tabela_registros[DIA],reservafixaconsolidadojun[[#Headers],[31]],tabela_registros[REGISTRO],DADOS!$N$6,tabela_registros[TIPO],DADOS!$AJ$3,tabela_registros[CATEGORIA],reservafixaconsolidadojun[[#This Row],[ATUAL]])</f>
        <v>0</v>
      </c>
      <c r="AJ176" s="149" t="n">
        <f aca="false">SUM(reservafixaconsolidadojun[[#This Row],[1]:[31]])</f>
        <v>0</v>
      </c>
      <c r="AK176" s="165"/>
    </row>
    <row r="177" customFormat="false" ht="19.5" hidden="false" customHeight="true" outlineLevel="0" collapsed="false">
      <c r="B177" s="143"/>
      <c r="C177" s="144" t="str">
        <f aca="false">DADOS!$AL$12</f>
        <v>📎 OUTROS</v>
      </c>
      <c r="D177" s="145" t="str">
        <f aca="false">IF(reservafixaconsolidadojun[[#This Row],[TOTAL (R$)]]=0,"",IF(OR(reservafixaconsolidadojun[[#This Row],[TOTAL (R$)]]=LARGE($AJ$168:$AJ$177,1),reservafixaconsolidadojun[[#This Row],[TOTAL (R$)]]=LARGE($AJ$168:$AJ$177,2)),DADOS!$I$11,""))</f>
        <v/>
      </c>
      <c r="E177" s="148" t="n">
        <f aca="false">SUMIFS(tabela_registros[VALOR],tabela_registros[MÊS],$AE$1,tabela_registros[DIA],reservafixaconsolidadojun[[#Headers],[1]],tabela_registros[REGISTRO],DADOS!$N$6,tabela_registros[TIPO],DADOS!$AJ$3,tabela_registros[CATEGORIA],reservafixaconsolidadojun[[#This Row],[ATUAL]])</f>
        <v>0</v>
      </c>
      <c r="F177" s="119" t="n">
        <f aca="false">SUMIFS(tabela_registros[VALOR],tabela_registros[MÊS],$AE$1,tabela_registros[DIA],reservafixaconsolidadojun[[#Headers],[2]],tabela_registros[REGISTRO],DADOS!$N$6,tabela_registros[TIPO],DADOS!$AJ$3,tabela_registros[CATEGORIA],reservafixaconsolidadojun[[#This Row],[ATUAL]])</f>
        <v>0</v>
      </c>
      <c r="G177" s="119" t="n">
        <f aca="false">SUMIFS(tabela_registros[VALOR],tabela_registros[MÊS],$AE$1,tabela_registros[DIA],reservafixaconsolidadojun[[#Headers],[3]],tabela_registros[REGISTRO],DADOS!$N$6,tabela_registros[TIPO],DADOS!$AJ$3,tabela_registros[CATEGORIA],reservafixaconsolidadojun[[#This Row],[ATUAL]])</f>
        <v>0</v>
      </c>
      <c r="H177" s="119" t="n">
        <f aca="false">SUMIFS(tabela_registros[VALOR],tabela_registros[MÊS],$AE$1,tabela_registros[DIA],reservafixaconsolidadojun[[#Headers],[4]],tabela_registros[REGISTRO],DADOS!$N$6,tabela_registros[TIPO],DADOS!$AJ$3,tabela_registros[CATEGORIA],reservafixaconsolidadojun[[#This Row],[ATUAL]])</f>
        <v>0</v>
      </c>
      <c r="I177" s="119" t="n">
        <f aca="false">SUMIFS(tabela_registros[VALOR],tabela_registros[MÊS],$AE$1,tabela_registros[DIA],reservafixaconsolidadojun[[#Headers],[5]],tabela_registros[REGISTRO],DADOS!$N$6,tabela_registros[TIPO],DADOS!$AJ$3,tabela_registros[CATEGORIA],reservafixaconsolidadojun[[#This Row],[ATUAL]])</f>
        <v>0</v>
      </c>
      <c r="J177" s="119" t="n">
        <f aca="false">SUMIFS(tabela_registros[VALOR],tabela_registros[MÊS],$AE$1,tabela_registros[DIA],reservafixaconsolidadojun[[#Headers],[6]],tabela_registros[REGISTRO],DADOS!$N$6,tabela_registros[TIPO],DADOS!$AJ$3,tabela_registros[CATEGORIA],reservafixaconsolidadojun[[#This Row],[ATUAL]])</f>
        <v>0</v>
      </c>
      <c r="K177" s="119" t="n">
        <f aca="false">SUMIFS(tabela_registros[VALOR],tabela_registros[MÊS],$AE$1,tabela_registros[DIA],reservafixaconsolidadojun[[#Headers],[7]],tabela_registros[REGISTRO],DADOS!$N$6,tabela_registros[TIPO],DADOS!$AJ$3,tabela_registros[CATEGORIA],reservafixaconsolidadojun[[#This Row],[ATUAL]])</f>
        <v>0</v>
      </c>
      <c r="L177" s="119" t="n">
        <f aca="false">SUMIFS(tabela_registros[VALOR],tabela_registros[MÊS],$AE$1,tabela_registros[DIA],reservafixaconsolidadojun[[#Headers],[8]],tabela_registros[REGISTRO],DADOS!$N$6,tabela_registros[TIPO],DADOS!$AJ$3,tabela_registros[CATEGORIA],reservafixaconsolidadojun[[#This Row],[ATUAL]])</f>
        <v>0</v>
      </c>
      <c r="M177" s="119" t="n">
        <f aca="false">SUMIFS(tabela_registros[VALOR],tabela_registros[MÊS],$AE$1,tabela_registros[DIA],reservafixaconsolidadojun[[#Headers],[9]],tabela_registros[REGISTRO],DADOS!$N$6,tabela_registros[TIPO],DADOS!$AJ$3,tabela_registros[CATEGORIA],reservafixaconsolidadojun[[#This Row],[ATUAL]])</f>
        <v>0</v>
      </c>
      <c r="N177" s="119" t="n">
        <f aca="false">SUMIFS(tabela_registros[VALOR],tabela_registros[MÊS],$AE$1,tabela_registros[DIA],reservafixaconsolidadojun[[#Headers],[10]],tabela_registros[REGISTRO],DADOS!$N$6,tabela_registros[TIPO],DADOS!$AJ$3,tabela_registros[CATEGORIA],reservafixaconsolidadojun[[#This Row],[ATUAL]])</f>
        <v>0</v>
      </c>
      <c r="O177" s="119" t="n">
        <f aca="false">SUMIFS(tabela_registros[VALOR],tabela_registros[MÊS],$AE$1,tabela_registros[DIA],reservafixaconsolidadojun[[#Headers],[11]],tabela_registros[REGISTRO],DADOS!$N$6,tabela_registros[TIPO],DADOS!$AJ$3,tabela_registros[CATEGORIA],reservafixaconsolidadojun[[#This Row],[ATUAL]])</f>
        <v>0</v>
      </c>
      <c r="P177" s="119" t="n">
        <f aca="false">SUMIFS(tabela_registros[VALOR],tabela_registros[MÊS],$AE$1,tabela_registros[DIA],reservafixaconsolidadojun[[#Headers],[12]],tabela_registros[REGISTRO],DADOS!$N$6,tabela_registros[TIPO],DADOS!$AJ$3,tabela_registros[CATEGORIA],reservafixaconsolidadojun[[#This Row],[ATUAL]])</f>
        <v>0</v>
      </c>
      <c r="Q177" s="119" t="n">
        <f aca="false">SUMIFS(tabela_registros[VALOR],tabela_registros[MÊS],$AE$1,tabela_registros[DIA],reservafixaconsolidadojun[[#Headers],[13]],tabela_registros[REGISTRO],DADOS!$N$6,tabela_registros[TIPO],DADOS!$AJ$3,tabela_registros[CATEGORIA],reservafixaconsolidadojun[[#This Row],[ATUAL]])</f>
        <v>0</v>
      </c>
      <c r="R177" s="119" t="n">
        <f aca="false">SUMIFS(tabela_registros[VALOR],tabela_registros[MÊS],$AE$1,tabela_registros[DIA],reservafixaconsolidadojun[[#Headers],[14]],tabela_registros[REGISTRO],DADOS!$N$6,tabela_registros[TIPO],DADOS!$AJ$3,tabela_registros[CATEGORIA],reservafixaconsolidadojun[[#This Row],[ATUAL]])</f>
        <v>0</v>
      </c>
      <c r="S177" s="119" t="n">
        <f aca="false">SUMIFS(tabela_registros[VALOR],tabela_registros[MÊS],$AE$1,tabela_registros[DIA],reservafixaconsolidadojun[[#Headers],[15]],tabela_registros[REGISTRO],DADOS!$N$6,tabela_registros[TIPO],DADOS!$AJ$3,tabela_registros[CATEGORIA],reservafixaconsolidadojun[[#This Row],[ATUAL]])</f>
        <v>0</v>
      </c>
      <c r="T177" s="119" t="n">
        <f aca="false">SUMIFS(tabela_registros[VALOR],tabela_registros[MÊS],$AE$1,tabela_registros[DIA],reservafixaconsolidadojun[[#Headers],[16]],tabela_registros[REGISTRO],DADOS!$N$6,tabela_registros[TIPO],DADOS!$AJ$3,tabela_registros[CATEGORIA],reservafixaconsolidadojun[[#This Row],[ATUAL]])</f>
        <v>0</v>
      </c>
      <c r="U177" s="119" t="n">
        <f aca="false">SUMIFS(tabela_registros[VALOR],tabela_registros[MÊS],$AE$1,tabela_registros[DIA],reservafixaconsolidadojun[[#Headers],[17]],tabela_registros[REGISTRO],DADOS!$N$6,tabela_registros[TIPO],DADOS!$AJ$3,tabela_registros[CATEGORIA],reservafixaconsolidadojun[[#This Row],[ATUAL]])</f>
        <v>0</v>
      </c>
      <c r="V177" s="119" t="n">
        <f aca="false">SUMIFS(tabela_registros[VALOR],tabela_registros[MÊS],$AE$1,tabela_registros[DIA],reservafixaconsolidadojun[[#Headers],[18]],tabela_registros[REGISTRO],DADOS!$N$6,tabela_registros[TIPO],DADOS!$AJ$3,tabela_registros[CATEGORIA],reservafixaconsolidadojun[[#This Row],[ATUAL]])</f>
        <v>0</v>
      </c>
      <c r="W177" s="119" t="n">
        <f aca="false">SUMIFS(tabela_registros[VALOR],tabela_registros[MÊS],$AE$1,tabela_registros[DIA],reservafixaconsolidadojun[[#Headers],[19]],tabela_registros[REGISTRO],DADOS!$N$6,tabela_registros[TIPO],DADOS!$AJ$3,tabela_registros[CATEGORIA],reservafixaconsolidadojun[[#This Row],[ATUAL]])</f>
        <v>0</v>
      </c>
      <c r="X177" s="119" t="n">
        <f aca="false">SUMIFS(tabela_registros[VALOR],tabela_registros[MÊS],$AE$1,tabela_registros[DIA],reservafixaconsolidadojun[[#Headers],[20]],tabela_registros[REGISTRO],DADOS!$N$6,tabela_registros[TIPO],DADOS!$AJ$3,tabela_registros[CATEGORIA],reservafixaconsolidadojun[[#This Row],[ATUAL]])</f>
        <v>0</v>
      </c>
      <c r="Y177" s="119" t="n">
        <f aca="false">SUMIFS(tabela_registros[VALOR],tabela_registros[MÊS],$AE$1,tabela_registros[DIA],reservafixaconsolidadojun[[#Headers],[21]],tabela_registros[REGISTRO],DADOS!$N$6,tabela_registros[TIPO],DADOS!$AJ$3,tabela_registros[CATEGORIA],reservafixaconsolidadojun[[#This Row],[ATUAL]])</f>
        <v>0</v>
      </c>
      <c r="Z177" s="119" t="n">
        <f aca="false">SUMIFS(tabela_registros[VALOR],tabela_registros[MÊS],$AE$1,tabela_registros[DIA],reservafixaconsolidadojun[[#Headers],[22]],tabela_registros[REGISTRO],DADOS!$N$6,tabela_registros[TIPO],DADOS!$AJ$3,tabela_registros[CATEGORIA],reservafixaconsolidadojun[[#This Row],[ATUAL]])</f>
        <v>0</v>
      </c>
      <c r="AA177" s="119" t="n">
        <f aca="false">SUMIFS(tabela_registros[VALOR],tabela_registros[MÊS],$AE$1,tabela_registros[DIA],reservafixaconsolidadojun[[#Headers],[23]],tabela_registros[REGISTRO],DADOS!$N$6,tabela_registros[TIPO],DADOS!$AJ$3,tabela_registros[CATEGORIA],reservafixaconsolidadojun[[#This Row],[ATUAL]])</f>
        <v>0</v>
      </c>
      <c r="AB177" s="119" t="n">
        <f aca="false">SUMIFS(tabela_registros[VALOR],tabela_registros[MÊS],$AE$1,tabela_registros[DIA],reservafixaconsolidadojun[[#Headers],[24]],tabela_registros[REGISTRO],DADOS!$N$6,tabela_registros[TIPO],DADOS!$AJ$3,tabela_registros[CATEGORIA],reservafixaconsolidadojun[[#This Row],[ATUAL]])</f>
        <v>0</v>
      </c>
      <c r="AC177" s="119" t="n">
        <f aca="false">SUMIFS(tabela_registros[VALOR],tabela_registros[MÊS],$AE$1,tabela_registros[DIA],reservafixaconsolidadojun[[#Headers],[25]],tabela_registros[REGISTRO],DADOS!$N$6,tabela_registros[TIPO],DADOS!$AJ$3,tabela_registros[CATEGORIA],reservafixaconsolidadojun[[#This Row],[ATUAL]])</f>
        <v>0</v>
      </c>
      <c r="AD177" s="119" t="n">
        <f aca="false">SUMIFS(tabela_registros[VALOR],tabela_registros[MÊS],$AE$1,tabela_registros[DIA],reservafixaconsolidadojun[[#Headers],[26]],tabela_registros[REGISTRO],DADOS!$N$6,tabela_registros[TIPO],DADOS!$AJ$3,tabela_registros[CATEGORIA],reservafixaconsolidadojun[[#This Row],[ATUAL]])</f>
        <v>0</v>
      </c>
      <c r="AE177" s="119" t="n">
        <f aca="false">SUMIFS(tabela_registros[VALOR],tabela_registros[MÊS],$AE$1,tabela_registros[DIA],reservafixaconsolidadojun[[#Headers],[27]],tabela_registros[REGISTRO],DADOS!$N$6,tabela_registros[TIPO],DADOS!$AJ$3,tabela_registros[CATEGORIA],reservafixaconsolidadojun[[#This Row],[ATUAL]])</f>
        <v>0</v>
      </c>
      <c r="AF177" s="119" t="n">
        <f aca="false">SUMIFS(tabela_registros[VALOR],tabela_registros[MÊS],$AE$1,tabela_registros[DIA],reservafixaconsolidadojun[[#Headers],[28]],tabela_registros[REGISTRO],DADOS!$N$6,tabela_registros[TIPO],DADOS!$AJ$3,tabela_registros[CATEGORIA],reservafixaconsolidadojun[[#This Row],[ATUAL]])</f>
        <v>0</v>
      </c>
      <c r="AG177" s="119" t="n">
        <f aca="false">SUMIFS(tabela_registros[VALOR],tabela_registros[MÊS],$AE$1,tabela_registros[DIA],reservafixaconsolidadojun[[#Headers],[29]],tabela_registros[REGISTRO],DADOS!$N$6,tabela_registros[TIPO],DADOS!$AJ$3,tabela_registros[CATEGORIA],reservafixaconsolidadojun[[#This Row],[ATUAL]])</f>
        <v>0</v>
      </c>
      <c r="AH177" s="119" t="n">
        <f aca="false">SUMIFS(tabela_registros[VALOR],tabela_registros[MÊS],$AE$1,tabela_registros[DIA],reservafixaconsolidadojun[[#Headers],[30]],tabela_registros[REGISTRO],DADOS!$N$6,tabela_registros[TIPO],DADOS!$AJ$3,tabela_registros[CATEGORIA],reservafixaconsolidadojun[[#This Row],[ATUAL]])</f>
        <v>0</v>
      </c>
      <c r="AI177" s="218" t="n">
        <f aca="false">SUMIFS(tabela_registros[VALOR],tabela_registros[MÊS],$AE$1,tabela_registros[DIA],reservafixaconsolidadojun[[#Headers],[31]],tabela_registros[REGISTRO],DADOS!$N$6,tabela_registros[TIPO],DADOS!$AJ$3,tabela_registros[CATEGORIA],reservafixaconsolidadojun[[#This Row],[ATUAL]])</f>
        <v>0</v>
      </c>
      <c r="AJ177" s="149" t="n">
        <f aca="false">SUM(reservafixaconsolidadojun[[#This Row],[1]:[31]])</f>
        <v>0</v>
      </c>
      <c r="AK177" s="165"/>
    </row>
    <row r="178" s="122" customFormat="true" ht="21" hidden="false" customHeight="true" outlineLevel="0" collapsed="false">
      <c r="B178" s="152"/>
      <c r="C178" s="153" t="s">
        <v>2</v>
      </c>
      <c r="D178" s="166"/>
      <c r="E178" s="155" t="n">
        <f aca="false">SUM(E168:E177)</f>
        <v>0</v>
      </c>
      <c r="F178" s="156" t="n">
        <f aca="false">SUM(F168:F177)+reservafixaconsolidadojun[[#This Row],[1]]</f>
        <v>0</v>
      </c>
      <c r="G178" s="156" t="n">
        <f aca="false">SUM(G168:G177)+reservafixaconsolidadojun[[#This Row],[2]]</f>
        <v>0</v>
      </c>
      <c r="H178" s="156" t="n">
        <f aca="false">SUM(H168:H177)+reservafixaconsolidadojun[[#This Row],[3]]</f>
        <v>0</v>
      </c>
      <c r="I178" s="156" t="n">
        <f aca="false">SUM(I168:I177)+reservafixaconsolidadojun[[#This Row],[4]]</f>
        <v>0</v>
      </c>
      <c r="J178" s="156" t="n">
        <f aca="false">SUM(J168:J177)+reservafixaconsolidadojun[[#This Row],[5]]</f>
        <v>0</v>
      </c>
      <c r="K178" s="156" t="n">
        <f aca="false">SUM(K168:K177)+reservafixaconsolidadojun[[#This Row],[6]]</f>
        <v>0</v>
      </c>
      <c r="L178" s="156" t="n">
        <f aca="false">SUM(L168:L177)+reservafixaconsolidadojun[[#This Row],[7]]</f>
        <v>0</v>
      </c>
      <c r="M178" s="156" t="n">
        <f aca="false">SUM(M168:M177)+reservafixaconsolidadojun[[#This Row],[8]]</f>
        <v>0</v>
      </c>
      <c r="N178" s="156" t="n">
        <f aca="false">SUM(N168:N177)+reservafixaconsolidadojun[[#This Row],[9]]</f>
        <v>0</v>
      </c>
      <c r="O178" s="156" t="n">
        <f aca="false">SUM(O168:O177)+reservafixaconsolidadojun[[#This Row],[10]]</f>
        <v>0</v>
      </c>
      <c r="P178" s="156" t="n">
        <f aca="false">SUM(P168:P177)+reservafixaconsolidadojun[[#This Row],[11]]</f>
        <v>0</v>
      </c>
      <c r="Q178" s="156" t="n">
        <f aca="false">SUM(Q168:Q177)+reservafixaconsolidadojun[[#This Row],[12]]</f>
        <v>0</v>
      </c>
      <c r="R178" s="156" t="n">
        <f aca="false">SUM(R168:R177)+reservafixaconsolidadojun[[#This Row],[13]]</f>
        <v>0</v>
      </c>
      <c r="S178" s="156" t="n">
        <f aca="false">SUM(S168:S177)+reservafixaconsolidadojun[[#This Row],[14]]</f>
        <v>0</v>
      </c>
      <c r="T178" s="156" t="n">
        <f aca="false">SUM(T168:T177)+reservafixaconsolidadojun[[#This Row],[15]]</f>
        <v>0</v>
      </c>
      <c r="U178" s="156" t="n">
        <f aca="false">SUM(U168:U177)+reservafixaconsolidadojun[[#This Row],[16]]</f>
        <v>0</v>
      </c>
      <c r="V178" s="156" t="n">
        <f aca="false">SUM(V168:V177)+reservafixaconsolidadojun[[#This Row],[17]]</f>
        <v>0</v>
      </c>
      <c r="W178" s="156" t="n">
        <f aca="false">SUM(W168:W177)+reservafixaconsolidadojun[[#This Row],[18]]</f>
        <v>0</v>
      </c>
      <c r="X178" s="156" t="n">
        <f aca="false">SUM(X168:X177)+reservafixaconsolidadojun[[#This Row],[19]]</f>
        <v>0</v>
      </c>
      <c r="Y178" s="156" t="n">
        <f aca="false">SUM(Y168:Y177)+reservafixaconsolidadojun[[#This Row],[20]]</f>
        <v>0</v>
      </c>
      <c r="Z178" s="156" t="n">
        <f aca="false">SUM(Z168:Z177)+reservafixaconsolidadojun[[#This Row],[21]]</f>
        <v>0</v>
      </c>
      <c r="AA178" s="156" t="n">
        <f aca="false">SUM(AA168:AA177)+reservafixaconsolidadojun[[#This Row],[22]]</f>
        <v>0</v>
      </c>
      <c r="AB178" s="156" t="n">
        <f aca="false">SUM(AB168:AB177)+reservafixaconsolidadojun[[#This Row],[23]]</f>
        <v>0</v>
      </c>
      <c r="AC178" s="156" t="n">
        <f aca="false">SUM(AC168:AC177)+reservafixaconsolidadojun[[#This Row],[24]]</f>
        <v>0</v>
      </c>
      <c r="AD178" s="156" t="n">
        <f aca="false">SUM(AD168:AD177)+reservafixaconsolidadojun[[#This Row],[25]]</f>
        <v>0</v>
      </c>
      <c r="AE178" s="156" t="n">
        <f aca="false">SUM(AE168:AE177)+reservafixaconsolidadojun[[#This Row],[26]]</f>
        <v>0</v>
      </c>
      <c r="AF178" s="156" t="n">
        <f aca="false">SUM(AF168:AF177)+reservafixaconsolidadojun[[#This Row],[27]]</f>
        <v>0</v>
      </c>
      <c r="AG178" s="156" t="n">
        <f aca="false">SUM(AG168:AG177)+reservafixaconsolidadojun[[#This Row],[28]]</f>
        <v>0</v>
      </c>
      <c r="AH178" s="156" t="n">
        <f aca="false">SUM(AH168:AH177)+reservafixaconsolidadojun[[#This Row],[29]]</f>
        <v>0</v>
      </c>
      <c r="AI178" s="223" t="n">
        <f aca="false">SUM(AI168:AI177)+reservafixaconsolidadojun[[#This Row],[30]]</f>
        <v>0</v>
      </c>
      <c r="AJ178" s="157" t="n">
        <f aca="false">reservafixaconsolidadojun[[#This Row],[31]]</f>
        <v>0</v>
      </c>
      <c r="AK178" s="158"/>
    </row>
    <row r="179" customFormat="false" ht="6.75" hidden="false" customHeight="true" outlineLevel="0" collapsed="false">
      <c r="B179" s="97"/>
      <c r="C179" s="162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233"/>
      <c r="AJ179" s="164"/>
      <c r="AK179" s="244"/>
    </row>
    <row r="180" s="78" customFormat="true" ht="12.75" hidden="false" customHeight="false" outlineLevel="0" collapsed="false">
      <c r="E180" s="100"/>
    </row>
    <row r="181" s="78" customFormat="true" ht="12" hidden="false" customHeight="false" outlineLevel="0" collapsed="false"/>
    <row r="182" s="78" customFormat="true" ht="12" hidden="false" customHeight="false" outlineLevel="0" collapsed="false"/>
    <row r="183" customFormat="false" ht="39.75" hidden="false" customHeight="true" outlineLevel="0" collapsed="false">
      <c r="C183" s="101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3" t="s">
        <v>2</v>
      </c>
    </row>
    <row r="184" s="78" customFormat="true" ht="12.75" hidden="false" customHeight="false" outlineLevel="0" collapsed="false">
      <c r="B184" s="161"/>
      <c r="AJ184" s="106" t="s">
        <v>64</v>
      </c>
    </row>
    <row r="185" customFormat="false" ht="6.75" hidden="false" customHeight="true" outlineLevel="0" collapsed="false">
      <c r="B185" s="86"/>
      <c r="C185" s="162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233"/>
      <c r="AK185" s="139"/>
    </row>
    <row r="186" customFormat="false" ht="13.5" hidden="true" customHeight="false" outlineLevel="0" collapsed="false">
      <c r="B186" s="86"/>
      <c r="C186" s="109" t="s">
        <v>68</v>
      </c>
      <c r="D186" s="110" t="s">
        <v>69</v>
      </c>
      <c r="E186" s="110" t="s">
        <v>30</v>
      </c>
      <c r="F186" s="110" t="s">
        <v>31</v>
      </c>
      <c r="G186" s="110" t="s">
        <v>32</v>
      </c>
      <c r="H186" s="110" t="s">
        <v>33</v>
      </c>
      <c r="I186" s="110" t="s">
        <v>34</v>
      </c>
      <c r="J186" s="110" t="s">
        <v>35</v>
      </c>
      <c r="K186" s="110" t="s">
        <v>36</v>
      </c>
      <c r="L186" s="110" t="s">
        <v>37</v>
      </c>
      <c r="M186" s="110" t="s">
        <v>38</v>
      </c>
      <c r="N186" s="110" t="s">
        <v>39</v>
      </c>
      <c r="O186" s="110" t="s">
        <v>40</v>
      </c>
      <c r="P186" s="110" t="s">
        <v>41</v>
      </c>
      <c r="Q186" s="110" t="s">
        <v>81</v>
      </c>
      <c r="R186" s="110" t="s">
        <v>82</v>
      </c>
      <c r="S186" s="110" t="s">
        <v>83</v>
      </c>
      <c r="T186" s="110" t="s">
        <v>84</v>
      </c>
      <c r="U186" s="110" t="s">
        <v>85</v>
      </c>
      <c r="V186" s="110" t="s">
        <v>86</v>
      </c>
      <c r="W186" s="110" t="s">
        <v>87</v>
      </c>
      <c r="X186" s="110" t="s">
        <v>88</v>
      </c>
      <c r="Y186" s="110" t="s">
        <v>89</v>
      </c>
      <c r="Z186" s="110" t="s">
        <v>90</v>
      </c>
      <c r="AA186" s="110" t="s">
        <v>91</v>
      </c>
      <c r="AB186" s="110" t="s">
        <v>92</v>
      </c>
      <c r="AC186" s="110" t="s">
        <v>93</v>
      </c>
      <c r="AD186" s="110" t="s">
        <v>94</v>
      </c>
      <c r="AE186" s="110" t="s">
        <v>95</v>
      </c>
      <c r="AF186" s="110" t="s">
        <v>96</v>
      </c>
      <c r="AG186" s="110" t="s">
        <v>97</v>
      </c>
      <c r="AH186" s="110" t="s">
        <v>98</v>
      </c>
      <c r="AI186" s="110" t="s">
        <v>99</v>
      </c>
      <c r="AJ186" s="111" t="s">
        <v>70</v>
      </c>
      <c r="AK186" s="86"/>
    </row>
    <row r="187" customFormat="false" ht="19.5" hidden="false" customHeight="true" outlineLevel="0" collapsed="false">
      <c r="B187" s="143"/>
      <c r="C187" s="144" t="str">
        <f aca="false">DADOS!$AN$3</f>
        <v>📝 AÇÃO</v>
      </c>
      <c r="D187" s="145" t="str">
        <f aca="false">IF(reservavariáveisconsolidadojun[[#This Row],[TOTAL (R$)]]=0,"",IF(OR(reservavariáveisconsolidadojun[[#This Row],[TOTAL (R$)]]=LARGE($AJ$187:$AJ$196,1),reservavariáveisconsolidadojun[[#This Row],[TOTAL (R$)]]=LARGE($AJ$187:$AJ$196,2)),DADOS!$I$11,""))</f>
        <v/>
      </c>
      <c r="E187" s="148" t="n">
        <f aca="false">SUMIFS(tabela_registros[VALOR],tabela_registros[MÊS],$AE$1,tabela_registros[DIA],reservavariáveisconsolidadojun[[#Headers],[1]],tabela_registros[REGISTRO],DADOS!$N$6,tabela_registros[TIPO],DADOS!$AJ$4,tabela_registros[CATEGORIA],reservavariáveisconsolidadojun[[#This Row],[ATUAL]])</f>
        <v>0</v>
      </c>
      <c r="F187" s="119" t="n">
        <f aca="false">SUMIFS(tabela_registros[VALOR],tabela_registros[MÊS],$AE$1,tabela_registros[DIA],reservavariáveisconsolidadojun[[#Headers],[2]],tabela_registros[REGISTRO],DADOS!$N$6,tabela_registros[TIPO],DADOS!$AJ$4,tabela_registros[CATEGORIA],reservavariáveisconsolidadojun[[#This Row],[ATUAL]])</f>
        <v>0</v>
      </c>
      <c r="G187" s="119" t="n">
        <f aca="false">SUMIFS(tabela_registros[VALOR],tabela_registros[MÊS],$AE$1,tabela_registros[DIA],reservavariáveisconsolidadojun[[#Headers],[3]],tabela_registros[REGISTRO],DADOS!$N$6,tabela_registros[TIPO],DADOS!$AJ$4,tabela_registros[CATEGORIA],reservavariáveisconsolidadojun[[#This Row],[ATUAL]])</f>
        <v>0</v>
      </c>
      <c r="H187" s="119" t="n">
        <f aca="false">SUMIFS(tabela_registros[VALOR],tabela_registros[MÊS],$AE$1,tabela_registros[DIA],reservavariáveisconsolidadojun[[#Headers],[4]],tabela_registros[REGISTRO],DADOS!$N$6,tabela_registros[TIPO],DADOS!$AJ$4,tabela_registros[CATEGORIA],reservavariáveisconsolidadojun[[#This Row],[ATUAL]])</f>
        <v>0</v>
      </c>
      <c r="I187" s="119" t="n">
        <f aca="false">SUMIFS(tabela_registros[VALOR],tabela_registros[MÊS],$AE$1,tabela_registros[DIA],reservavariáveisconsolidadojun[[#Headers],[5]],tabela_registros[REGISTRO],DADOS!$N$6,tabela_registros[TIPO],DADOS!$AJ$4,tabela_registros[CATEGORIA],reservavariáveisconsolidadojun[[#This Row],[ATUAL]])</f>
        <v>0</v>
      </c>
      <c r="J187" s="119" t="n">
        <f aca="false">SUMIFS(tabela_registros[VALOR],tabela_registros[MÊS],$AE$1,tabela_registros[DIA],reservavariáveisconsolidadojun[[#Headers],[6]],tabela_registros[REGISTRO],DADOS!$N$6,tabela_registros[TIPO],DADOS!$AJ$4,tabela_registros[CATEGORIA],reservavariáveisconsolidadojun[[#This Row],[ATUAL]])</f>
        <v>0</v>
      </c>
      <c r="K187" s="119" t="n">
        <f aca="false">SUMIFS(tabela_registros[VALOR],tabela_registros[MÊS],$AE$1,tabela_registros[DIA],reservavariáveisconsolidadojun[[#Headers],[7]],tabela_registros[REGISTRO],DADOS!$N$6,tabela_registros[TIPO],DADOS!$AJ$4,tabela_registros[CATEGORIA],reservavariáveisconsolidadojun[[#This Row],[ATUAL]])</f>
        <v>0</v>
      </c>
      <c r="L187" s="119" t="n">
        <f aca="false">SUMIFS(tabela_registros[VALOR],tabela_registros[MÊS],$AE$1,tabela_registros[DIA],reservavariáveisconsolidadojun[[#Headers],[8]],tabela_registros[REGISTRO],DADOS!$N$6,tabela_registros[TIPO],DADOS!$AJ$4,tabela_registros[CATEGORIA],reservavariáveisconsolidadojun[[#This Row],[ATUAL]])</f>
        <v>0</v>
      </c>
      <c r="M187" s="119" t="n">
        <f aca="false">SUMIFS(tabela_registros[VALOR],tabela_registros[MÊS],$AE$1,tabela_registros[DIA],reservavariáveisconsolidadojun[[#Headers],[9]],tabela_registros[REGISTRO],DADOS!$N$6,tabela_registros[TIPO],DADOS!$AJ$4,tabela_registros[CATEGORIA],reservavariáveisconsolidadojun[[#This Row],[ATUAL]])</f>
        <v>0</v>
      </c>
      <c r="N187" s="119" t="n">
        <f aca="false">SUMIFS(tabela_registros[VALOR],tabela_registros[MÊS],$AE$1,tabela_registros[DIA],reservavariáveisconsolidadojun[[#Headers],[10]],tabela_registros[REGISTRO],DADOS!$N$6,tabela_registros[TIPO],DADOS!$AJ$4,tabela_registros[CATEGORIA],reservavariáveisconsolidadojun[[#This Row],[ATUAL]])</f>
        <v>0</v>
      </c>
      <c r="O187" s="119" t="n">
        <f aca="false">SUMIFS(tabela_registros[VALOR],tabela_registros[MÊS],$AE$1,tabela_registros[DIA],reservavariáveisconsolidadojun[[#Headers],[11]],tabela_registros[REGISTRO],DADOS!$N$6,tabela_registros[TIPO],DADOS!$AJ$4,tabela_registros[CATEGORIA],reservavariáveisconsolidadojun[[#This Row],[ATUAL]])</f>
        <v>0</v>
      </c>
      <c r="P187" s="119" t="n">
        <f aca="false">SUMIFS(tabela_registros[VALOR],tabela_registros[MÊS],$AE$1,tabela_registros[DIA],reservavariáveisconsolidadojun[[#Headers],[12]],tabela_registros[REGISTRO],DADOS!$N$6,tabela_registros[TIPO],DADOS!$AJ$4,tabela_registros[CATEGORIA],reservavariáveisconsolidadojun[[#This Row],[ATUAL]])</f>
        <v>0</v>
      </c>
      <c r="Q187" s="119" t="n">
        <f aca="false">SUMIFS(tabela_registros[VALOR],tabela_registros[MÊS],$AE$1,tabela_registros[DIA],reservavariáveisconsolidadojun[[#Headers],[13]],tabela_registros[REGISTRO],DADOS!$N$6,tabela_registros[TIPO],DADOS!$AJ$4,tabela_registros[CATEGORIA],reservavariáveisconsolidadojun[[#This Row],[ATUAL]])</f>
        <v>0</v>
      </c>
      <c r="R187" s="119" t="n">
        <f aca="false">SUMIFS(tabela_registros[VALOR],tabela_registros[MÊS],$AE$1,tabela_registros[DIA],reservavariáveisconsolidadojun[[#Headers],[14]],tabela_registros[REGISTRO],DADOS!$N$6,tabela_registros[TIPO],DADOS!$AJ$4,tabela_registros[CATEGORIA],reservavariáveisconsolidadojun[[#This Row],[ATUAL]])</f>
        <v>0</v>
      </c>
      <c r="S187" s="119" t="n">
        <f aca="false">SUMIFS(tabela_registros[VALOR],tabela_registros[MÊS],$AE$1,tabela_registros[DIA],reservavariáveisconsolidadojun[[#Headers],[15]],tabela_registros[REGISTRO],DADOS!$N$6,tabela_registros[TIPO],DADOS!$AJ$4,tabela_registros[CATEGORIA],reservavariáveisconsolidadojun[[#This Row],[ATUAL]])</f>
        <v>0</v>
      </c>
      <c r="T187" s="119" t="n">
        <f aca="false">SUMIFS(tabela_registros[VALOR],tabela_registros[MÊS],$AE$1,tabela_registros[DIA],reservavariáveisconsolidadojun[[#Headers],[16]],tabela_registros[REGISTRO],DADOS!$N$6,tabela_registros[TIPO],DADOS!$AJ$4,tabela_registros[CATEGORIA],reservavariáveisconsolidadojun[[#This Row],[ATUAL]])</f>
        <v>0</v>
      </c>
      <c r="U187" s="119" t="n">
        <f aca="false">SUMIFS(tabela_registros[VALOR],tabela_registros[MÊS],$AE$1,tabela_registros[DIA],reservavariáveisconsolidadojun[[#Headers],[17]],tabela_registros[REGISTRO],DADOS!$N$6,tabela_registros[TIPO],DADOS!$AJ$4,tabela_registros[CATEGORIA],reservavariáveisconsolidadojun[[#This Row],[ATUAL]])</f>
        <v>0</v>
      </c>
      <c r="V187" s="119" t="n">
        <f aca="false">SUMIFS(tabela_registros[VALOR],tabela_registros[MÊS],$AE$1,tabela_registros[DIA],reservavariáveisconsolidadojun[[#Headers],[18]],tabela_registros[REGISTRO],DADOS!$N$6,tabela_registros[TIPO],DADOS!$AJ$4,tabela_registros[CATEGORIA],reservavariáveisconsolidadojun[[#This Row],[ATUAL]])</f>
        <v>0</v>
      </c>
      <c r="W187" s="119" t="n">
        <f aca="false">SUMIFS(tabela_registros[VALOR],tabela_registros[MÊS],$AE$1,tabela_registros[DIA],reservavariáveisconsolidadojun[[#Headers],[19]],tabela_registros[REGISTRO],DADOS!$N$6,tabela_registros[TIPO],DADOS!$AJ$4,tabela_registros[CATEGORIA],reservavariáveisconsolidadojun[[#This Row],[ATUAL]])</f>
        <v>0</v>
      </c>
      <c r="X187" s="119" t="n">
        <f aca="false">SUMIFS(tabela_registros[VALOR],tabela_registros[MÊS],$AE$1,tabela_registros[DIA],reservavariáveisconsolidadojun[[#Headers],[20]],tabela_registros[REGISTRO],DADOS!$N$6,tabela_registros[TIPO],DADOS!$AJ$4,tabela_registros[CATEGORIA],reservavariáveisconsolidadojun[[#This Row],[ATUAL]])</f>
        <v>0</v>
      </c>
      <c r="Y187" s="119" t="n">
        <f aca="false">SUMIFS(tabela_registros[VALOR],tabela_registros[MÊS],$AE$1,tabela_registros[DIA],reservavariáveisconsolidadojun[[#Headers],[21]],tabela_registros[REGISTRO],DADOS!$N$6,tabela_registros[TIPO],DADOS!$AJ$4,tabela_registros[CATEGORIA],reservavariáveisconsolidadojun[[#This Row],[ATUAL]])</f>
        <v>0</v>
      </c>
      <c r="Z187" s="119" t="n">
        <f aca="false">SUMIFS(tabela_registros[VALOR],tabela_registros[MÊS],$AE$1,tabela_registros[DIA],reservavariáveisconsolidadojun[[#Headers],[22]],tabela_registros[REGISTRO],DADOS!$N$6,tabela_registros[TIPO],DADOS!$AJ$4,tabela_registros[CATEGORIA],reservavariáveisconsolidadojun[[#This Row],[ATUAL]])</f>
        <v>0</v>
      </c>
      <c r="AA187" s="119" t="n">
        <f aca="false">SUMIFS(tabela_registros[VALOR],tabela_registros[MÊS],$AE$1,tabela_registros[DIA],reservavariáveisconsolidadojun[[#Headers],[23]],tabela_registros[REGISTRO],DADOS!$N$6,tabela_registros[TIPO],DADOS!$AJ$4,tabela_registros[CATEGORIA],reservavariáveisconsolidadojun[[#This Row],[ATUAL]])</f>
        <v>0</v>
      </c>
      <c r="AB187" s="119" t="n">
        <f aca="false">SUMIFS(tabela_registros[VALOR],tabela_registros[MÊS],$AE$1,tabela_registros[DIA],reservavariáveisconsolidadojun[[#Headers],[24]],tabela_registros[REGISTRO],DADOS!$N$6,tabela_registros[TIPO],DADOS!$AJ$4,tabela_registros[CATEGORIA],reservavariáveisconsolidadojun[[#This Row],[ATUAL]])</f>
        <v>0</v>
      </c>
      <c r="AC187" s="119" t="n">
        <f aca="false">SUMIFS(tabela_registros[VALOR],tabela_registros[MÊS],$AE$1,tabela_registros[DIA],reservavariáveisconsolidadojun[[#Headers],[25]],tabela_registros[REGISTRO],DADOS!$N$6,tabela_registros[TIPO],DADOS!$AJ$4,tabela_registros[CATEGORIA],reservavariáveisconsolidadojun[[#This Row],[ATUAL]])</f>
        <v>0</v>
      </c>
      <c r="AD187" s="119" t="n">
        <f aca="false">SUMIFS(tabela_registros[VALOR],tabela_registros[MÊS],$AE$1,tabela_registros[DIA],reservavariáveisconsolidadojun[[#Headers],[26]],tabela_registros[REGISTRO],DADOS!$N$6,tabela_registros[TIPO],DADOS!$AJ$4,tabela_registros[CATEGORIA],reservavariáveisconsolidadojun[[#This Row],[ATUAL]])</f>
        <v>0</v>
      </c>
      <c r="AE187" s="119" t="n">
        <f aca="false">SUMIFS(tabela_registros[VALOR],tabela_registros[MÊS],$AE$1,tabela_registros[DIA],reservavariáveisconsolidadojun[[#Headers],[27]],tabela_registros[REGISTRO],DADOS!$N$6,tabela_registros[TIPO],DADOS!$AJ$4,tabela_registros[CATEGORIA],reservavariáveisconsolidadojun[[#This Row],[ATUAL]])</f>
        <v>0</v>
      </c>
      <c r="AF187" s="119" t="n">
        <f aca="false">SUMIFS(tabela_registros[VALOR],tabela_registros[MÊS],$AE$1,tabela_registros[DIA],reservavariáveisconsolidadojun[[#Headers],[28]],tabela_registros[REGISTRO],DADOS!$N$6,tabela_registros[TIPO],DADOS!$AJ$4,tabela_registros[CATEGORIA],reservavariáveisconsolidadojun[[#This Row],[ATUAL]])</f>
        <v>0</v>
      </c>
      <c r="AG187" s="119" t="n">
        <f aca="false">SUMIFS(tabela_registros[VALOR],tabela_registros[MÊS],$AE$1,tabela_registros[DIA],reservavariáveisconsolidadojun[[#Headers],[29]],tabela_registros[REGISTRO],DADOS!$N$6,tabela_registros[TIPO],DADOS!$AJ$4,tabela_registros[CATEGORIA],reservavariáveisconsolidadojun[[#This Row],[ATUAL]])</f>
        <v>0</v>
      </c>
      <c r="AH187" s="119" t="n">
        <f aca="false">SUMIFS(tabela_registros[VALOR],tabela_registros[MÊS],$AE$1,tabela_registros[DIA],reservavariáveisconsolidadojun[[#Headers],[30]],tabela_registros[REGISTRO],DADOS!$N$6,tabela_registros[TIPO],DADOS!$AJ$4,tabela_registros[CATEGORIA],reservavariáveisconsolidadojun[[#This Row],[ATUAL]])</f>
        <v>0</v>
      </c>
      <c r="AI187" s="217" t="n">
        <f aca="false">SUMIFS(tabela_registros[VALOR],tabela_registros[MÊS],$AE$1,tabela_registros[DIA],reservavariáveisconsolidadojun[[#Headers],[31]],tabela_registros[REGISTRO],DADOS!$N$6,tabela_registros[TIPO],DADOS!$AJ$4,tabela_registros[CATEGORIA],reservavariáveisconsolidadojun[[#This Row],[ATUAL]])</f>
        <v>0</v>
      </c>
      <c r="AJ187" s="149" t="n">
        <f aca="false">SUM(reservavariáveisconsolidadojun[[#This Row],[1]:[31]])</f>
        <v>0</v>
      </c>
      <c r="AK187" s="165"/>
    </row>
    <row r="188" customFormat="false" ht="19.5" hidden="false" customHeight="true" outlineLevel="0" collapsed="false">
      <c r="B188" s="143"/>
      <c r="C188" s="144" t="str">
        <f aca="false">DADOS!$AN$4</f>
        <v>📝 COMÓDITE</v>
      </c>
      <c r="D188" s="145" t="str">
        <f aca="false">IF(reservavariáveisconsolidadojun[[#This Row],[TOTAL (R$)]]=0,"",IF(OR(reservavariáveisconsolidadojun[[#This Row],[TOTAL (R$)]]=LARGE($AJ$187:$AJ$196,1),reservavariáveisconsolidadojun[[#This Row],[TOTAL (R$)]]=LARGE($AJ$187:$AJ$196,2)),DADOS!$I$11,""))</f>
        <v/>
      </c>
      <c r="E188" s="148" t="n">
        <f aca="false">SUMIFS(tabela_registros[VALOR],tabela_registros[MÊS],$AE$1,tabela_registros[DIA],reservavariáveisconsolidadojun[[#Headers],[1]],tabela_registros[REGISTRO],DADOS!$N$6,tabela_registros[TIPO],DADOS!$AJ$4,tabela_registros[CATEGORIA],reservavariáveisconsolidadojun[[#This Row],[ATUAL]])</f>
        <v>0</v>
      </c>
      <c r="F188" s="119" t="n">
        <f aca="false">SUMIFS(tabela_registros[VALOR],tabela_registros[MÊS],$AE$1,tabela_registros[DIA],reservavariáveisconsolidadojun[[#Headers],[2]],tabela_registros[REGISTRO],DADOS!$N$6,tabela_registros[TIPO],DADOS!$AJ$4,tabela_registros[CATEGORIA],reservavariáveisconsolidadojun[[#This Row],[ATUAL]])</f>
        <v>0</v>
      </c>
      <c r="G188" s="119" t="n">
        <f aca="false">SUMIFS(tabela_registros[VALOR],tabela_registros[MÊS],$AE$1,tabela_registros[DIA],reservavariáveisconsolidadojun[[#Headers],[3]],tabela_registros[REGISTRO],DADOS!$N$6,tabela_registros[TIPO],DADOS!$AJ$4,tabela_registros[CATEGORIA],reservavariáveisconsolidadojun[[#This Row],[ATUAL]])</f>
        <v>0</v>
      </c>
      <c r="H188" s="119" t="n">
        <f aca="false">SUMIFS(tabela_registros[VALOR],tabela_registros[MÊS],$AE$1,tabela_registros[DIA],reservavariáveisconsolidadojun[[#Headers],[4]],tabela_registros[REGISTRO],DADOS!$N$6,tabela_registros[TIPO],DADOS!$AJ$4,tabela_registros[CATEGORIA],reservavariáveisconsolidadojun[[#This Row],[ATUAL]])</f>
        <v>0</v>
      </c>
      <c r="I188" s="119" t="n">
        <f aca="false">SUMIFS(tabela_registros[VALOR],tabela_registros[MÊS],$AE$1,tabela_registros[DIA],reservavariáveisconsolidadojun[[#Headers],[5]],tabela_registros[REGISTRO],DADOS!$N$6,tabela_registros[TIPO],DADOS!$AJ$4,tabela_registros[CATEGORIA],reservavariáveisconsolidadojun[[#This Row],[ATUAL]])</f>
        <v>0</v>
      </c>
      <c r="J188" s="119" t="n">
        <f aca="false">SUMIFS(tabela_registros[VALOR],tabela_registros[MÊS],$AE$1,tabela_registros[DIA],reservavariáveisconsolidadojun[[#Headers],[6]],tabela_registros[REGISTRO],DADOS!$N$6,tabela_registros[TIPO],DADOS!$AJ$4,tabela_registros[CATEGORIA],reservavariáveisconsolidadojun[[#This Row],[ATUAL]])</f>
        <v>0</v>
      </c>
      <c r="K188" s="119" t="n">
        <f aca="false">SUMIFS(tabela_registros[VALOR],tabela_registros[MÊS],$AE$1,tabela_registros[DIA],reservavariáveisconsolidadojun[[#Headers],[7]],tabela_registros[REGISTRO],DADOS!$N$6,tabela_registros[TIPO],DADOS!$AJ$4,tabela_registros[CATEGORIA],reservavariáveisconsolidadojun[[#This Row],[ATUAL]])</f>
        <v>0</v>
      </c>
      <c r="L188" s="119" t="n">
        <f aca="false">SUMIFS(tabela_registros[VALOR],tabela_registros[MÊS],$AE$1,tabela_registros[DIA],reservavariáveisconsolidadojun[[#Headers],[8]],tabela_registros[REGISTRO],DADOS!$N$6,tabela_registros[TIPO],DADOS!$AJ$4,tabela_registros[CATEGORIA],reservavariáveisconsolidadojun[[#This Row],[ATUAL]])</f>
        <v>0</v>
      </c>
      <c r="M188" s="119" t="n">
        <f aca="false">SUMIFS(tabela_registros[VALOR],tabela_registros[MÊS],$AE$1,tabela_registros[DIA],reservavariáveisconsolidadojun[[#Headers],[9]],tabela_registros[REGISTRO],DADOS!$N$6,tabela_registros[TIPO],DADOS!$AJ$4,tabela_registros[CATEGORIA],reservavariáveisconsolidadojun[[#This Row],[ATUAL]])</f>
        <v>0</v>
      </c>
      <c r="N188" s="119" t="n">
        <f aca="false">SUMIFS(tabela_registros[VALOR],tabela_registros[MÊS],$AE$1,tabela_registros[DIA],reservavariáveisconsolidadojun[[#Headers],[10]],tabela_registros[REGISTRO],DADOS!$N$6,tabela_registros[TIPO],DADOS!$AJ$4,tabela_registros[CATEGORIA],reservavariáveisconsolidadojun[[#This Row],[ATUAL]])</f>
        <v>0</v>
      </c>
      <c r="O188" s="119" t="n">
        <f aca="false">SUMIFS(tabela_registros[VALOR],tabela_registros[MÊS],$AE$1,tabela_registros[DIA],reservavariáveisconsolidadojun[[#Headers],[11]],tabela_registros[REGISTRO],DADOS!$N$6,tabela_registros[TIPO],DADOS!$AJ$4,tabela_registros[CATEGORIA],reservavariáveisconsolidadojun[[#This Row],[ATUAL]])</f>
        <v>0</v>
      </c>
      <c r="P188" s="119" t="n">
        <f aca="false">SUMIFS(tabela_registros[VALOR],tabela_registros[MÊS],$AE$1,tabela_registros[DIA],reservavariáveisconsolidadojun[[#Headers],[12]],tabela_registros[REGISTRO],DADOS!$N$6,tabela_registros[TIPO],DADOS!$AJ$4,tabela_registros[CATEGORIA],reservavariáveisconsolidadojun[[#This Row],[ATUAL]])</f>
        <v>0</v>
      </c>
      <c r="Q188" s="119" t="n">
        <f aca="false">SUMIFS(tabela_registros[VALOR],tabela_registros[MÊS],$AE$1,tabela_registros[DIA],reservavariáveisconsolidadojun[[#Headers],[13]],tabela_registros[REGISTRO],DADOS!$N$6,tabela_registros[TIPO],DADOS!$AJ$4,tabela_registros[CATEGORIA],reservavariáveisconsolidadojun[[#This Row],[ATUAL]])</f>
        <v>0</v>
      </c>
      <c r="R188" s="119" t="n">
        <f aca="false">SUMIFS(tabela_registros[VALOR],tabela_registros[MÊS],$AE$1,tabela_registros[DIA],reservavariáveisconsolidadojun[[#Headers],[14]],tabela_registros[REGISTRO],DADOS!$N$6,tabela_registros[TIPO],DADOS!$AJ$4,tabela_registros[CATEGORIA],reservavariáveisconsolidadojun[[#This Row],[ATUAL]])</f>
        <v>0</v>
      </c>
      <c r="S188" s="119" t="n">
        <f aca="false">SUMIFS(tabela_registros[VALOR],tabela_registros[MÊS],$AE$1,tabela_registros[DIA],reservavariáveisconsolidadojun[[#Headers],[15]],tabela_registros[REGISTRO],DADOS!$N$6,tabela_registros[TIPO],DADOS!$AJ$4,tabela_registros[CATEGORIA],reservavariáveisconsolidadojun[[#This Row],[ATUAL]])</f>
        <v>0</v>
      </c>
      <c r="T188" s="119" t="n">
        <f aca="false">SUMIFS(tabela_registros[VALOR],tabela_registros[MÊS],$AE$1,tabela_registros[DIA],reservavariáveisconsolidadojun[[#Headers],[16]],tabela_registros[REGISTRO],DADOS!$N$6,tabela_registros[TIPO],DADOS!$AJ$4,tabela_registros[CATEGORIA],reservavariáveisconsolidadojun[[#This Row],[ATUAL]])</f>
        <v>0</v>
      </c>
      <c r="U188" s="119" t="n">
        <f aca="false">SUMIFS(tabela_registros[VALOR],tabela_registros[MÊS],$AE$1,tabela_registros[DIA],reservavariáveisconsolidadojun[[#Headers],[17]],tabela_registros[REGISTRO],DADOS!$N$6,tabela_registros[TIPO],DADOS!$AJ$4,tabela_registros[CATEGORIA],reservavariáveisconsolidadojun[[#This Row],[ATUAL]])</f>
        <v>0</v>
      </c>
      <c r="V188" s="119" t="n">
        <f aca="false">SUMIFS(tabela_registros[VALOR],tabela_registros[MÊS],$AE$1,tabela_registros[DIA],reservavariáveisconsolidadojun[[#Headers],[18]],tabela_registros[REGISTRO],DADOS!$N$6,tabela_registros[TIPO],DADOS!$AJ$4,tabela_registros[CATEGORIA],reservavariáveisconsolidadojun[[#This Row],[ATUAL]])</f>
        <v>0</v>
      </c>
      <c r="W188" s="119" t="n">
        <f aca="false">SUMIFS(tabela_registros[VALOR],tabela_registros[MÊS],$AE$1,tabela_registros[DIA],reservavariáveisconsolidadojun[[#Headers],[19]],tabela_registros[REGISTRO],DADOS!$N$6,tabela_registros[TIPO],DADOS!$AJ$4,tabela_registros[CATEGORIA],reservavariáveisconsolidadojun[[#This Row],[ATUAL]])</f>
        <v>0</v>
      </c>
      <c r="X188" s="119" t="n">
        <f aca="false">SUMIFS(tabela_registros[VALOR],tabela_registros[MÊS],$AE$1,tabela_registros[DIA],reservavariáveisconsolidadojun[[#Headers],[20]],tabela_registros[REGISTRO],DADOS!$N$6,tabela_registros[TIPO],DADOS!$AJ$4,tabela_registros[CATEGORIA],reservavariáveisconsolidadojun[[#This Row],[ATUAL]])</f>
        <v>0</v>
      </c>
      <c r="Y188" s="119" t="n">
        <f aca="false">SUMIFS(tabela_registros[VALOR],tabela_registros[MÊS],$AE$1,tabela_registros[DIA],reservavariáveisconsolidadojun[[#Headers],[21]],tabela_registros[REGISTRO],DADOS!$N$6,tabela_registros[TIPO],DADOS!$AJ$4,tabela_registros[CATEGORIA],reservavariáveisconsolidadojun[[#This Row],[ATUAL]])</f>
        <v>0</v>
      </c>
      <c r="Z188" s="119" t="n">
        <f aca="false">SUMIFS(tabela_registros[VALOR],tabela_registros[MÊS],$AE$1,tabela_registros[DIA],reservavariáveisconsolidadojun[[#Headers],[22]],tabela_registros[REGISTRO],DADOS!$N$6,tabela_registros[TIPO],DADOS!$AJ$4,tabela_registros[CATEGORIA],reservavariáveisconsolidadojun[[#This Row],[ATUAL]])</f>
        <v>0</v>
      </c>
      <c r="AA188" s="119" t="n">
        <f aca="false">SUMIFS(tabela_registros[VALOR],tabela_registros[MÊS],$AE$1,tabela_registros[DIA],reservavariáveisconsolidadojun[[#Headers],[23]],tabela_registros[REGISTRO],DADOS!$N$6,tabela_registros[TIPO],DADOS!$AJ$4,tabela_registros[CATEGORIA],reservavariáveisconsolidadojun[[#This Row],[ATUAL]])</f>
        <v>0</v>
      </c>
      <c r="AB188" s="119" t="n">
        <f aca="false">SUMIFS(tabela_registros[VALOR],tabela_registros[MÊS],$AE$1,tabela_registros[DIA],reservavariáveisconsolidadojun[[#Headers],[24]],tabela_registros[REGISTRO],DADOS!$N$6,tabela_registros[TIPO],DADOS!$AJ$4,tabela_registros[CATEGORIA],reservavariáveisconsolidadojun[[#This Row],[ATUAL]])</f>
        <v>0</v>
      </c>
      <c r="AC188" s="119" t="n">
        <f aca="false">SUMIFS(tabela_registros[VALOR],tabela_registros[MÊS],$AE$1,tabela_registros[DIA],reservavariáveisconsolidadojun[[#Headers],[25]],tabela_registros[REGISTRO],DADOS!$N$6,tabela_registros[TIPO],DADOS!$AJ$4,tabela_registros[CATEGORIA],reservavariáveisconsolidadojun[[#This Row],[ATUAL]])</f>
        <v>0</v>
      </c>
      <c r="AD188" s="119" t="n">
        <f aca="false">SUMIFS(tabela_registros[VALOR],tabela_registros[MÊS],$AE$1,tabela_registros[DIA],reservavariáveisconsolidadojun[[#Headers],[26]],tabela_registros[REGISTRO],DADOS!$N$6,tabela_registros[TIPO],DADOS!$AJ$4,tabela_registros[CATEGORIA],reservavariáveisconsolidadojun[[#This Row],[ATUAL]])</f>
        <v>0</v>
      </c>
      <c r="AE188" s="119" t="n">
        <f aca="false">SUMIFS(tabela_registros[VALOR],tabela_registros[MÊS],$AE$1,tabela_registros[DIA],reservavariáveisconsolidadojun[[#Headers],[27]],tabela_registros[REGISTRO],DADOS!$N$6,tabela_registros[TIPO],DADOS!$AJ$4,tabela_registros[CATEGORIA],reservavariáveisconsolidadojun[[#This Row],[ATUAL]])</f>
        <v>0</v>
      </c>
      <c r="AF188" s="119" t="n">
        <f aca="false">SUMIFS(tabela_registros[VALOR],tabela_registros[MÊS],$AE$1,tabela_registros[DIA],reservavariáveisconsolidadojun[[#Headers],[28]],tabela_registros[REGISTRO],DADOS!$N$6,tabela_registros[TIPO],DADOS!$AJ$4,tabela_registros[CATEGORIA],reservavariáveisconsolidadojun[[#This Row],[ATUAL]])</f>
        <v>0</v>
      </c>
      <c r="AG188" s="119" t="n">
        <f aca="false">SUMIFS(tabela_registros[VALOR],tabela_registros[MÊS],$AE$1,tabela_registros[DIA],reservavariáveisconsolidadojun[[#Headers],[29]],tabela_registros[REGISTRO],DADOS!$N$6,tabela_registros[TIPO],DADOS!$AJ$4,tabela_registros[CATEGORIA],reservavariáveisconsolidadojun[[#This Row],[ATUAL]])</f>
        <v>0</v>
      </c>
      <c r="AH188" s="119" t="n">
        <f aca="false">SUMIFS(tabela_registros[VALOR],tabela_registros[MÊS],$AE$1,tabela_registros[DIA],reservavariáveisconsolidadojun[[#Headers],[30]],tabela_registros[REGISTRO],DADOS!$N$6,tabela_registros[TIPO],DADOS!$AJ$4,tabela_registros[CATEGORIA],reservavariáveisconsolidadojun[[#This Row],[ATUAL]])</f>
        <v>0</v>
      </c>
      <c r="AI188" s="217" t="n">
        <f aca="false">SUMIFS(tabela_registros[VALOR],tabela_registros[MÊS],$AE$1,tabela_registros[DIA],reservavariáveisconsolidadojun[[#Headers],[31]],tabela_registros[REGISTRO],DADOS!$N$6,tabela_registros[TIPO],DADOS!$AJ$4,tabela_registros[CATEGORIA],reservavariáveisconsolidadojun[[#This Row],[ATUAL]])</f>
        <v>0</v>
      </c>
      <c r="AJ188" s="149" t="n">
        <f aca="false">SUM(reservavariáveisconsolidadojun[[#This Row],[1]:[31]])</f>
        <v>0</v>
      </c>
      <c r="AK188" s="165"/>
    </row>
    <row r="189" customFormat="false" ht="19.5" hidden="false" customHeight="true" outlineLevel="0" collapsed="false">
      <c r="B189" s="143"/>
      <c r="C189" s="144" t="str">
        <f aca="false">DADOS!$AN$5</f>
        <v>📝 CONTRATO DE FUTUROS</v>
      </c>
      <c r="D189" s="145" t="str">
        <f aca="false">IF(reservavariáveisconsolidadojun[[#This Row],[TOTAL (R$)]]=0,"",IF(OR(reservavariáveisconsolidadojun[[#This Row],[TOTAL (R$)]]=LARGE($AJ$187:$AJ$196,1),reservavariáveisconsolidadojun[[#This Row],[TOTAL (R$)]]=LARGE($AJ$187:$AJ$196,2)),DADOS!$I$11,""))</f>
        <v/>
      </c>
      <c r="E189" s="148" t="n">
        <f aca="false">SUMIFS(tabela_registros[VALOR],tabela_registros[MÊS],$AE$1,tabela_registros[DIA],reservavariáveisconsolidadojun[[#Headers],[1]],tabela_registros[REGISTRO],DADOS!$N$6,tabela_registros[TIPO],DADOS!$AJ$4,tabela_registros[CATEGORIA],reservavariáveisconsolidadojun[[#This Row],[ATUAL]])</f>
        <v>0</v>
      </c>
      <c r="F189" s="119" t="n">
        <f aca="false">SUMIFS(tabela_registros[VALOR],tabela_registros[MÊS],$AE$1,tabela_registros[DIA],reservavariáveisconsolidadojun[[#Headers],[2]],tabela_registros[REGISTRO],DADOS!$N$6,tabela_registros[TIPO],DADOS!$AJ$4,tabela_registros[CATEGORIA],reservavariáveisconsolidadojun[[#This Row],[ATUAL]])</f>
        <v>0</v>
      </c>
      <c r="G189" s="119" t="n">
        <f aca="false">SUMIFS(tabela_registros[VALOR],tabela_registros[MÊS],$AE$1,tabela_registros[DIA],reservavariáveisconsolidadojun[[#Headers],[3]],tabela_registros[REGISTRO],DADOS!$N$6,tabela_registros[TIPO],DADOS!$AJ$4,tabela_registros[CATEGORIA],reservavariáveisconsolidadojun[[#This Row],[ATUAL]])</f>
        <v>0</v>
      </c>
      <c r="H189" s="119" t="n">
        <f aca="false">SUMIFS(tabela_registros[VALOR],tabela_registros[MÊS],$AE$1,tabela_registros[DIA],reservavariáveisconsolidadojun[[#Headers],[4]],tabela_registros[REGISTRO],DADOS!$N$6,tabela_registros[TIPO],DADOS!$AJ$4,tabela_registros[CATEGORIA],reservavariáveisconsolidadojun[[#This Row],[ATUAL]])</f>
        <v>0</v>
      </c>
      <c r="I189" s="119" t="n">
        <f aca="false">SUMIFS(tabela_registros[VALOR],tabela_registros[MÊS],$AE$1,tabela_registros[DIA],reservavariáveisconsolidadojun[[#Headers],[5]],tabela_registros[REGISTRO],DADOS!$N$6,tabela_registros[TIPO],DADOS!$AJ$4,tabela_registros[CATEGORIA],reservavariáveisconsolidadojun[[#This Row],[ATUAL]])</f>
        <v>0</v>
      </c>
      <c r="J189" s="119" t="n">
        <f aca="false">SUMIFS(tabela_registros[VALOR],tabela_registros[MÊS],$AE$1,tabela_registros[DIA],reservavariáveisconsolidadojun[[#Headers],[6]],tabela_registros[REGISTRO],DADOS!$N$6,tabela_registros[TIPO],DADOS!$AJ$4,tabela_registros[CATEGORIA],reservavariáveisconsolidadojun[[#This Row],[ATUAL]])</f>
        <v>0</v>
      </c>
      <c r="K189" s="119" t="n">
        <f aca="false">SUMIFS(tabela_registros[VALOR],tabela_registros[MÊS],$AE$1,tabela_registros[DIA],reservavariáveisconsolidadojun[[#Headers],[7]],tabela_registros[REGISTRO],DADOS!$N$6,tabela_registros[TIPO],DADOS!$AJ$4,tabela_registros[CATEGORIA],reservavariáveisconsolidadojun[[#This Row],[ATUAL]])</f>
        <v>0</v>
      </c>
      <c r="L189" s="119" t="n">
        <f aca="false">SUMIFS(tabela_registros[VALOR],tabela_registros[MÊS],$AE$1,tabela_registros[DIA],reservavariáveisconsolidadojun[[#Headers],[8]],tabela_registros[REGISTRO],DADOS!$N$6,tabela_registros[TIPO],DADOS!$AJ$4,tabela_registros[CATEGORIA],reservavariáveisconsolidadojun[[#This Row],[ATUAL]])</f>
        <v>0</v>
      </c>
      <c r="M189" s="119" t="n">
        <f aca="false">SUMIFS(tabela_registros[VALOR],tabela_registros[MÊS],$AE$1,tabela_registros[DIA],reservavariáveisconsolidadojun[[#Headers],[9]],tabela_registros[REGISTRO],DADOS!$N$6,tabela_registros[TIPO],DADOS!$AJ$4,tabela_registros[CATEGORIA],reservavariáveisconsolidadojun[[#This Row],[ATUAL]])</f>
        <v>0</v>
      </c>
      <c r="N189" s="119" t="n">
        <f aca="false">SUMIFS(tabela_registros[VALOR],tabela_registros[MÊS],$AE$1,tabela_registros[DIA],reservavariáveisconsolidadojun[[#Headers],[10]],tabela_registros[REGISTRO],DADOS!$N$6,tabela_registros[TIPO],DADOS!$AJ$4,tabela_registros[CATEGORIA],reservavariáveisconsolidadojun[[#This Row],[ATUAL]])</f>
        <v>0</v>
      </c>
      <c r="O189" s="119" t="n">
        <f aca="false">SUMIFS(tabela_registros[VALOR],tabela_registros[MÊS],$AE$1,tabela_registros[DIA],reservavariáveisconsolidadojun[[#Headers],[11]],tabela_registros[REGISTRO],DADOS!$N$6,tabela_registros[TIPO],DADOS!$AJ$4,tabela_registros[CATEGORIA],reservavariáveisconsolidadojun[[#This Row],[ATUAL]])</f>
        <v>0</v>
      </c>
      <c r="P189" s="119" t="n">
        <f aca="false">SUMIFS(tabela_registros[VALOR],tabela_registros[MÊS],$AE$1,tabela_registros[DIA],reservavariáveisconsolidadojun[[#Headers],[12]],tabela_registros[REGISTRO],DADOS!$N$6,tabela_registros[TIPO],DADOS!$AJ$4,tabela_registros[CATEGORIA],reservavariáveisconsolidadojun[[#This Row],[ATUAL]])</f>
        <v>0</v>
      </c>
      <c r="Q189" s="119" t="n">
        <f aca="false">SUMIFS(tabela_registros[VALOR],tabela_registros[MÊS],$AE$1,tabela_registros[DIA],reservavariáveisconsolidadojun[[#Headers],[13]],tabela_registros[REGISTRO],DADOS!$N$6,tabela_registros[TIPO],DADOS!$AJ$4,tabela_registros[CATEGORIA],reservavariáveisconsolidadojun[[#This Row],[ATUAL]])</f>
        <v>0</v>
      </c>
      <c r="R189" s="119" t="n">
        <f aca="false">SUMIFS(tabela_registros[VALOR],tabela_registros[MÊS],$AE$1,tabela_registros[DIA],reservavariáveisconsolidadojun[[#Headers],[14]],tabela_registros[REGISTRO],DADOS!$N$6,tabela_registros[TIPO],DADOS!$AJ$4,tabela_registros[CATEGORIA],reservavariáveisconsolidadojun[[#This Row],[ATUAL]])</f>
        <v>0</v>
      </c>
      <c r="S189" s="119" t="n">
        <f aca="false">SUMIFS(tabela_registros[VALOR],tabela_registros[MÊS],$AE$1,tabela_registros[DIA],reservavariáveisconsolidadojun[[#Headers],[15]],tabela_registros[REGISTRO],DADOS!$N$6,tabela_registros[TIPO],DADOS!$AJ$4,tabela_registros[CATEGORIA],reservavariáveisconsolidadojun[[#This Row],[ATUAL]])</f>
        <v>0</v>
      </c>
      <c r="T189" s="119" t="n">
        <f aca="false">SUMIFS(tabela_registros[VALOR],tabela_registros[MÊS],$AE$1,tabela_registros[DIA],reservavariáveisconsolidadojun[[#Headers],[16]],tabela_registros[REGISTRO],DADOS!$N$6,tabela_registros[TIPO],DADOS!$AJ$4,tabela_registros[CATEGORIA],reservavariáveisconsolidadojun[[#This Row],[ATUAL]])</f>
        <v>0</v>
      </c>
      <c r="U189" s="119" t="n">
        <f aca="false">SUMIFS(tabela_registros[VALOR],tabela_registros[MÊS],$AE$1,tabela_registros[DIA],reservavariáveisconsolidadojun[[#Headers],[17]],tabela_registros[REGISTRO],DADOS!$N$6,tabela_registros[TIPO],DADOS!$AJ$4,tabela_registros[CATEGORIA],reservavariáveisconsolidadojun[[#This Row],[ATUAL]])</f>
        <v>0</v>
      </c>
      <c r="V189" s="119" t="n">
        <f aca="false">SUMIFS(tabela_registros[VALOR],tabela_registros[MÊS],$AE$1,tabela_registros[DIA],reservavariáveisconsolidadojun[[#Headers],[18]],tabela_registros[REGISTRO],DADOS!$N$6,tabela_registros[TIPO],DADOS!$AJ$4,tabela_registros[CATEGORIA],reservavariáveisconsolidadojun[[#This Row],[ATUAL]])</f>
        <v>0</v>
      </c>
      <c r="W189" s="119" t="n">
        <f aca="false">SUMIFS(tabela_registros[VALOR],tabela_registros[MÊS],$AE$1,tabela_registros[DIA],reservavariáveisconsolidadojun[[#Headers],[19]],tabela_registros[REGISTRO],DADOS!$N$6,tabela_registros[TIPO],DADOS!$AJ$4,tabela_registros[CATEGORIA],reservavariáveisconsolidadojun[[#This Row],[ATUAL]])</f>
        <v>0</v>
      </c>
      <c r="X189" s="119" t="n">
        <f aca="false">SUMIFS(tabela_registros[VALOR],tabela_registros[MÊS],$AE$1,tabela_registros[DIA],reservavariáveisconsolidadojun[[#Headers],[20]],tabela_registros[REGISTRO],DADOS!$N$6,tabela_registros[TIPO],DADOS!$AJ$4,tabela_registros[CATEGORIA],reservavariáveisconsolidadojun[[#This Row],[ATUAL]])</f>
        <v>0</v>
      </c>
      <c r="Y189" s="119" t="n">
        <f aca="false">SUMIFS(tabela_registros[VALOR],tabela_registros[MÊS],$AE$1,tabela_registros[DIA],reservavariáveisconsolidadojun[[#Headers],[21]],tabela_registros[REGISTRO],DADOS!$N$6,tabela_registros[TIPO],DADOS!$AJ$4,tabela_registros[CATEGORIA],reservavariáveisconsolidadojun[[#This Row],[ATUAL]])</f>
        <v>0</v>
      </c>
      <c r="Z189" s="119" t="n">
        <f aca="false">SUMIFS(tabela_registros[VALOR],tabela_registros[MÊS],$AE$1,tabela_registros[DIA],reservavariáveisconsolidadojun[[#Headers],[22]],tabela_registros[REGISTRO],DADOS!$N$6,tabela_registros[TIPO],DADOS!$AJ$4,tabela_registros[CATEGORIA],reservavariáveisconsolidadojun[[#This Row],[ATUAL]])</f>
        <v>0</v>
      </c>
      <c r="AA189" s="119" t="n">
        <f aca="false">SUMIFS(tabela_registros[VALOR],tabela_registros[MÊS],$AE$1,tabela_registros[DIA],reservavariáveisconsolidadojun[[#Headers],[23]],tabela_registros[REGISTRO],DADOS!$N$6,tabela_registros[TIPO],DADOS!$AJ$4,tabela_registros[CATEGORIA],reservavariáveisconsolidadojun[[#This Row],[ATUAL]])</f>
        <v>0</v>
      </c>
      <c r="AB189" s="119" t="n">
        <f aca="false">SUMIFS(tabela_registros[VALOR],tabela_registros[MÊS],$AE$1,tabela_registros[DIA],reservavariáveisconsolidadojun[[#Headers],[24]],tabela_registros[REGISTRO],DADOS!$N$6,tabela_registros[TIPO],DADOS!$AJ$4,tabela_registros[CATEGORIA],reservavariáveisconsolidadojun[[#This Row],[ATUAL]])</f>
        <v>0</v>
      </c>
      <c r="AC189" s="119" t="n">
        <f aca="false">SUMIFS(tabela_registros[VALOR],tabela_registros[MÊS],$AE$1,tabela_registros[DIA],reservavariáveisconsolidadojun[[#Headers],[25]],tabela_registros[REGISTRO],DADOS!$N$6,tabela_registros[TIPO],DADOS!$AJ$4,tabela_registros[CATEGORIA],reservavariáveisconsolidadojun[[#This Row],[ATUAL]])</f>
        <v>0</v>
      </c>
      <c r="AD189" s="119" t="n">
        <f aca="false">SUMIFS(tabela_registros[VALOR],tabela_registros[MÊS],$AE$1,tabela_registros[DIA],reservavariáveisconsolidadojun[[#Headers],[26]],tabela_registros[REGISTRO],DADOS!$N$6,tabela_registros[TIPO],DADOS!$AJ$4,tabela_registros[CATEGORIA],reservavariáveisconsolidadojun[[#This Row],[ATUAL]])</f>
        <v>0</v>
      </c>
      <c r="AE189" s="119" t="n">
        <f aca="false">SUMIFS(tabela_registros[VALOR],tabela_registros[MÊS],$AE$1,tabela_registros[DIA],reservavariáveisconsolidadojun[[#Headers],[27]],tabela_registros[REGISTRO],DADOS!$N$6,tabela_registros[TIPO],DADOS!$AJ$4,tabela_registros[CATEGORIA],reservavariáveisconsolidadojun[[#This Row],[ATUAL]])</f>
        <v>0</v>
      </c>
      <c r="AF189" s="119" t="n">
        <f aca="false">SUMIFS(tabela_registros[VALOR],tabela_registros[MÊS],$AE$1,tabela_registros[DIA],reservavariáveisconsolidadojun[[#Headers],[28]],tabela_registros[REGISTRO],DADOS!$N$6,tabela_registros[TIPO],DADOS!$AJ$4,tabela_registros[CATEGORIA],reservavariáveisconsolidadojun[[#This Row],[ATUAL]])</f>
        <v>0</v>
      </c>
      <c r="AG189" s="119" t="n">
        <f aca="false">SUMIFS(tabela_registros[VALOR],tabela_registros[MÊS],$AE$1,tabela_registros[DIA],reservavariáveisconsolidadojun[[#Headers],[29]],tabela_registros[REGISTRO],DADOS!$N$6,tabela_registros[TIPO],DADOS!$AJ$4,tabela_registros[CATEGORIA],reservavariáveisconsolidadojun[[#This Row],[ATUAL]])</f>
        <v>0</v>
      </c>
      <c r="AH189" s="119" t="n">
        <f aca="false">SUMIFS(tabela_registros[VALOR],tabela_registros[MÊS],$AE$1,tabela_registros[DIA],reservavariáveisconsolidadojun[[#Headers],[30]],tabela_registros[REGISTRO],DADOS!$N$6,tabela_registros[TIPO],DADOS!$AJ$4,tabela_registros[CATEGORIA],reservavariáveisconsolidadojun[[#This Row],[ATUAL]])</f>
        <v>0</v>
      </c>
      <c r="AI189" s="217" t="n">
        <f aca="false">SUMIFS(tabela_registros[VALOR],tabela_registros[MÊS],$AE$1,tabela_registros[DIA],reservavariáveisconsolidadojun[[#Headers],[31]],tabela_registros[REGISTRO],DADOS!$N$6,tabela_registros[TIPO],DADOS!$AJ$4,tabela_registros[CATEGORIA],reservavariáveisconsolidadojun[[#This Row],[ATUAL]])</f>
        <v>0</v>
      </c>
      <c r="AJ189" s="149" t="n">
        <f aca="false">SUM(reservavariáveisconsolidadojun[[#This Row],[1]:[31]])</f>
        <v>0</v>
      </c>
      <c r="AK189" s="165"/>
    </row>
    <row r="190" customFormat="false" ht="19.5" hidden="false" customHeight="true" outlineLevel="0" collapsed="false">
      <c r="B190" s="143"/>
      <c r="C190" s="144" t="str">
        <f aca="false">DADOS!$AN$6</f>
        <v>📝 CONTRATO DE OPÇÕES</v>
      </c>
      <c r="D190" s="145" t="str">
        <f aca="false">IF(reservavariáveisconsolidadojun[[#This Row],[TOTAL (R$)]]=0,"",IF(OR(reservavariáveisconsolidadojun[[#This Row],[TOTAL (R$)]]=LARGE($AJ$187:$AJ$196,1),reservavariáveisconsolidadojun[[#This Row],[TOTAL (R$)]]=LARGE($AJ$187:$AJ$196,2)),DADOS!$I$11,""))</f>
        <v/>
      </c>
      <c r="E190" s="148" t="n">
        <f aca="false">SUMIFS(tabela_registros[VALOR],tabela_registros[MÊS],$AE$1,tabela_registros[DIA],reservavariáveisconsolidadojun[[#Headers],[1]],tabela_registros[REGISTRO],DADOS!$N$6,tabela_registros[TIPO],DADOS!$AJ$4,tabela_registros[CATEGORIA],reservavariáveisconsolidadojun[[#This Row],[ATUAL]])</f>
        <v>0</v>
      </c>
      <c r="F190" s="119" t="n">
        <f aca="false">SUMIFS(tabela_registros[VALOR],tabela_registros[MÊS],$AE$1,tabela_registros[DIA],reservavariáveisconsolidadojun[[#Headers],[2]],tabela_registros[REGISTRO],DADOS!$N$6,tabela_registros[TIPO],DADOS!$AJ$4,tabela_registros[CATEGORIA],reservavariáveisconsolidadojun[[#This Row],[ATUAL]])</f>
        <v>0</v>
      </c>
      <c r="G190" s="119" t="n">
        <f aca="false">SUMIFS(tabela_registros[VALOR],tabela_registros[MÊS],$AE$1,tabela_registros[DIA],reservavariáveisconsolidadojun[[#Headers],[3]],tabela_registros[REGISTRO],DADOS!$N$6,tabela_registros[TIPO],DADOS!$AJ$4,tabela_registros[CATEGORIA],reservavariáveisconsolidadojun[[#This Row],[ATUAL]])</f>
        <v>0</v>
      </c>
      <c r="H190" s="119" t="n">
        <f aca="false">SUMIFS(tabela_registros[VALOR],tabela_registros[MÊS],$AE$1,tabela_registros[DIA],reservavariáveisconsolidadojun[[#Headers],[4]],tabela_registros[REGISTRO],DADOS!$N$6,tabela_registros[TIPO],DADOS!$AJ$4,tabela_registros[CATEGORIA],reservavariáveisconsolidadojun[[#This Row],[ATUAL]])</f>
        <v>0</v>
      </c>
      <c r="I190" s="119" t="n">
        <f aca="false">SUMIFS(tabela_registros[VALOR],tabela_registros[MÊS],$AE$1,tabela_registros[DIA],reservavariáveisconsolidadojun[[#Headers],[5]],tabela_registros[REGISTRO],DADOS!$N$6,tabela_registros[TIPO],DADOS!$AJ$4,tabela_registros[CATEGORIA],reservavariáveisconsolidadojun[[#This Row],[ATUAL]])</f>
        <v>0</v>
      </c>
      <c r="J190" s="119" t="n">
        <f aca="false">SUMIFS(tabela_registros[VALOR],tabela_registros[MÊS],$AE$1,tabela_registros[DIA],reservavariáveisconsolidadojun[[#Headers],[6]],tabela_registros[REGISTRO],DADOS!$N$6,tabela_registros[TIPO],DADOS!$AJ$4,tabela_registros[CATEGORIA],reservavariáveisconsolidadojun[[#This Row],[ATUAL]])</f>
        <v>0</v>
      </c>
      <c r="K190" s="119" t="n">
        <f aca="false">SUMIFS(tabela_registros[VALOR],tabela_registros[MÊS],$AE$1,tabela_registros[DIA],reservavariáveisconsolidadojun[[#Headers],[7]],tabela_registros[REGISTRO],DADOS!$N$6,tabela_registros[TIPO],DADOS!$AJ$4,tabela_registros[CATEGORIA],reservavariáveisconsolidadojun[[#This Row],[ATUAL]])</f>
        <v>0</v>
      </c>
      <c r="L190" s="119" t="n">
        <f aca="false">SUMIFS(tabela_registros[VALOR],tabela_registros[MÊS],$AE$1,tabela_registros[DIA],reservavariáveisconsolidadojun[[#Headers],[8]],tabela_registros[REGISTRO],DADOS!$N$6,tabela_registros[TIPO],DADOS!$AJ$4,tabela_registros[CATEGORIA],reservavariáveisconsolidadojun[[#This Row],[ATUAL]])</f>
        <v>0</v>
      </c>
      <c r="M190" s="119" t="n">
        <f aca="false">SUMIFS(tabela_registros[VALOR],tabela_registros[MÊS],$AE$1,tabela_registros[DIA],reservavariáveisconsolidadojun[[#Headers],[9]],tabela_registros[REGISTRO],DADOS!$N$6,tabela_registros[TIPO],DADOS!$AJ$4,tabela_registros[CATEGORIA],reservavariáveisconsolidadojun[[#This Row],[ATUAL]])</f>
        <v>0</v>
      </c>
      <c r="N190" s="119" t="n">
        <f aca="false">SUMIFS(tabela_registros[VALOR],tabela_registros[MÊS],$AE$1,tabela_registros[DIA],reservavariáveisconsolidadojun[[#Headers],[10]],tabela_registros[REGISTRO],DADOS!$N$6,tabela_registros[TIPO],DADOS!$AJ$4,tabela_registros[CATEGORIA],reservavariáveisconsolidadojun[[#This Row],[ATUAL]])</f>
        <v>0</v>
      </c>
      <c r="O190" s="119" t="n">
        <f aca="false">SUMIFS(tabela_registros[VALOR],tabela_registros[MÊS],$AE$1,tabela_registros[DIA],reservavariáveisconsolidadojun[[#Headers],[11]],tabela_registros[REGISTRO],DADOS!$N$6,tabela_registros[TIPO],DADOS!$AJ$4,tabela_registros[CATEGORIA],reservavariáveisconsolidadojun[[#This Row],[ATUAL]])</f>
        <v>0</v>
      </c>
      <c r="P190" s="119" t="n">
        <f aca="false">SUMIFS(tabela_registros[VALOR],tabela_registros[MÊS],$AE$1,tabela_registros[DIA],reservavariáveisconsolidadojun[[#Headers],[12]],tabela_registros[REGISTRO],DADOS!$N$6,tabela_registros[TIPO],DADOS!$AJ$4,tabela_registros[CATEGORIA],reservavariáveisconsolidadojun[[#This Row],[ATUAL]])</f>
        <v>0</v>
      </c>
      <c r="Q190" s="119" t="n">
        <f aca="false">SUMIFS(tabela_registros[VALOR],tabela_registros[MÊS],$AE$1,tabela_registros[DIA],reservavariáveisconsolidadojun[[#Headers],[13]],tabela_registros[REGISTRO],DADOS!$N$6,tabela_registros[TIPO],DADOS!$AJ$4,tabela_registros[CATEGORIA],reservavariáveisconsolidadojun[[#This Row],[ATUAL]])</f>
        <v>0</v>
      </c>
      <c r="R190" s="119" t="n">
        <f aca="false">SUMIFS(tabela_registros[VALOR],tabela_registros[MÊS],$AE$1,tabela_registros[DIA],reservavariáveisconsolidadojun[[#Headers],[14]],tabela_registros[REGISTRO],DADOS!$N$6,tabela_registros[TIPO],DADOS!$AJ$4,tabela_registros[CATEGORIA],reservavariáveisconsolidadojun[[#This Row],[ATUAL]])</f>
        <v>0</v>
      </c>
      <c r="S190" s="119" t="n">
        <f aca="false">SUMIFS(tabela_registros[VALOR],tabela_registros[MÊS],$AE$1,tabela_registros[DIA],reservavariáveisconsolidadojun[[#Headers],[15]],tabela_registros[REGISTRO],DADOS!$N$6,tabela_registros[TIPO],DADOS!$AJ$4,tabela_registros[CATEGORIA],reservavariáveisconsolidadojun[[#This Row],[ATUAL]])</f>
        <v>0</v>
      </c>
      <c r="T190" s="119" t="n">
        <f aca="false">SUMIFS(tabela_registros[VALOR],tabela_registros[MÊS],$AE$1,tabela_registros[DIA],reservavariáveisconsolidadojun[[#Headers],[16]],tabela_registros[REGISTRO],DADOS!$N$6,tabela_registros[TIPO],DADOS!$AJ$4,tabela_registros[CATEGORIA],reservavariáveisconsolidadojun[[#This Row],[ATUAL]])</f>
        <v>0</v>
      </c>
      <c r="U190" s="119" t="n">
        <f aca="false">SUMIFS(tabela_registros[VALOR],tabela_registros[MÊS],$AE$1,tabela_registros[DIA],reservavariáveisconsolidadojun[[#Headers],[17]],tabela_registros[REGISTRO],DADOS!$N$6,tabela_registros[TIPO],DADOS!$AJ$4,tabela_registros[CATEGORIA],reservavariáveisconsolidadojun[[#This Row],[ATUAL]])</f>
        <v>0</v>
      </c>
      <c r="V190" s="119" t="n">
        <f aca="false">SUMIFS(tabela_registros[VALOR],tabela_registros[MÊS],$AE$1,tabela_registros[DIA],reservavariáveisconsolidadojun[[#Headers],[18]],tabela_registros[REGISTRO],DADOS!$N$6,tabela_registros[TIPO],DADOS!$AJ$4,tabela_registros[CATEGORIA],reservavariáveisconsolidadojun[[#This Row],[ATUAL]])</f>
        <v>0</v>
      </c>
      <c r="W190" s="119" t="n">
        <f aca="false">SUMIFS(tabela_registros[VALOR],tabela_registros[MÊS],$AE$1,tabela_registros[DIA],reservavariáveisconsolidadojun[[#Headers],[19]],tabela_registros[REGISTRO],DADOS!$N$6,tabela_registros[TIPO],DADOS!$AJ$4,tabela_registros[CATEGORIA],reservavariáveisconsolidadojun[[#This Row],[ATUAL]])</f>
        <v>0</v>
      </c>
      <c r="X190" s="119" t="n">
        <f aca="false">SUMIFS(tabela_registros[VALOR],tabela_registros[MÊS],$AE$1,tabela_registros[DIA],reservavariáveisconsolidadojun[[#Headers],[20]],tabela_registros[REGISTRO],DADOS!$N$6,tabela_registros[TIPO],DADOS!$AJ$4,tabela_registros[CATEGORIA],reservavariáveisconsolidadojun[[#This Row],[ATUAL]])</f>
        <v>0</v>
      </c>
      <c r="Y190" s="119" t="n">
        <f aca="false">SUMIFS(tabela_registros[VALOR],tabela_registros[MÊS],$AE$1,tabela_registros[DIA],reservavariáveisconsolidadojun[[#Headers],[21]],tabela_registros[REGISTRO],DADOS!$N$6,tabela_registros[TIPO],DADOS!$AJ$4,tabela_registros[CATEGORIA],reservavariáveisconsolidadojun[[#This Row],[ATUAL]])</f>
        <v>0</v>
      </c>
      <c r="Z190" s="119" t="n">
        <f aca="false">SUMIFS(tabela_registros[VALOR],tabela_registros[MÊS],$AE$1,tabela_registros[DIA],reservavariáveisconsolidadojun[[#Headers],[22]],tabela_registros[REGISTRO],DADOS!$N$6,tabela_registros[TIPO],DADOS!$AJ$4,tabela_registros[CATEGORIA],reservavariáveisconsolidadojun[[#This Row],[ATUAL]])</f>
        <v>0</v>
      </c>
      <c r="AA190" s="119" t="n">
        <f aca="false">SUMIFS(tabela_registros[VALOR],tabela_registros[MÊS],$AE$1,tabela_registros[DIA],reservavariáveisconsolidadojun[[#Headers],[23]],tabela_registros[REGISTRO],DADOS!$N$6,tabela_registros[TIPO],DADOS!$AJ$4,tabela_registros[CATEGORIA],reservavariáveisconsolidadojun[[#This Row],[ATUAL]])</f>
        <v>0</v>
      </c>
      <c r="AB190" s="119" t="n">
        <f aca="false">SUMIFS(tabela_registros[VALOR],tabela_registros[MÊS],$AE$1,tabela_registros[DIA],reservavariáveisconsolidadojun[[#Headers],[24]],tabela_registros[REGISTRO],DADOS!$N$6,tabela_registros[TIPO],DADOS!$AJ$4,tabela_registros[CATEGORIA],reservavariáveisconsolidadojun[[#This Row],[ATUAL]])</f>
        <v>0</v>
      </c>
      <c r="AC190" s="119" t="n">
        <f aca="false">SUMIFS(tabela_registros[VALOR],tabela_registros[MÊS],$AE$1,tabela_registros[DIA],reservavariáveisconsolidadojun[[#Headers],[25]],tabela_registros[REGISTRO],DADOS!$N$6,tabela_registros[TIPO],DADOS!$AJ$4,tabela_registros[CATEGORIA],reservavariáveisconsolidadojun[[#This Row],[ATUAL]])</f>
        <v>0</v>
      </c>
      <c r="AD190" s="119" t="n">
        <f aca="false">SUMIFS(tabela_registros[VALOR],tabela_registros[MÊS],$AE$1,tabela_registros[DIA],reservavariáveisconsolidadojun[[#Headers],[26]],tabela_registros[REGISTRO],DADOS!$N$6,tabela_registros[TIPO],DADOS!$AJ$4,tabela_registros[CATEGORIA],reservavariáveisconsolidadojun[[#This Row],[ATUAL]])</f>
        <v>0</v>
      </c>
      <c r="AE190" s="119" t="n">
        <f aca="false">SUMIFS(tabela_registros[VALOR],tabela_registros[MÊS],$AE$1,tabela_registros[DIA],reservavariáveisconsolidadojun[[#Headers],[27]],tabela_registros[REGISTRO],DADOS!$N$6,tabela_registros[TIPO],DADOS!$AJ$4,tabela_registros[CATEGORIA],reservavariáveisconsolidadojun[[#This Row],[ATUAL]])</f>
        <v>0</v>
      </c>
      <c r="AF190" s="119" t="n">
        <f aca="false">SUMIFS(tabela_registros[VALOR],tabela_registros[MÊS],$AE$1,tabela_registros[DIA],reservavariáveisconsolidadojun[[#Headers],[28]],tabela_registros[REGISTRO],DADOS!$N$6,tabela_registros[TIPO],DADOS!$AJ$4,tabela_registros[CATEGORIA],reservavariáveisconsolidadojun[[#This Row],[ATUAL]])</f>
        <v>0</v>
      </c>
      <c r="AG190" s="119" t="n">
        <f aca="false">SUMIFS(tabela_registros[VALOR],tabela_registros[MÊS],$AE$1,tabela_registros[DIA],reservavariáveisconsolidadojun[[#Headers],[29]],tabela_registros[REGISTRO],DADOS!$N$6,tabela_registros[TIPO],DADOS!$AJ$4,tabela_registros[CATEGORIA],reservavariáveisconsolidadojun[[#This Row],[ATUAL]])</f>
        <v>0</v>
      </c>
      <c r="AH190" s="119" t="n">
        <f aca="false">SUMIFS(tabela_registros[VALOR],tabela_registros[MÊS],$AE$1,tabela_registros[DIA],reservavariáveisconsolidadojun[[#Headers],[30]],tabela_registros[REGISTRO],DADOS!$N$6,tabela_registros[TIPO],DADOS!$AJ$4,tabela_registros[CATEGORIA],reservavariáveisconsolidadojun[[#This Row],[ATUAL]])</f>
        <v>0</v>
      </c>
      <c r="AI190" s="217" t="n">
        <f aca="false">SUMIFS(tabela_registros[VALOR],tabela_registros[MÊS],$AE$1,tabela_registros[DIA],reservavariáveisconsolidadojun[[#Headers],[31]],tabela_registros[REGISTRO],DADOS!$N$6,tabela_registros[TIPO],DADOS!$AJ$4,tabela_registros[CATEGORIA],reservavariáveisconsolidadojun[[#This Row],[ATUAL]])</f>
        <v>0</v>
      </c>
      <c r="AJ190" s="149" t="n">
        <f aca="false">SUM(reservavariáveisconsolidadojun[[#This Row],[1]:[31]])</f>
        <v>0</v>
      </c>
      <c r="AK190" s="165"/>
    </row>
    <row r="191" customFormat="false" ht="19.5" hidden="false" customHeight="true" outlineLevel="0" collapsed="false">
      <c r="B191" s="143"/>
      <c r="C191" s="144" t="str">
        <f aca="false">DADOS!$AN$7</f>
        <v>📝 CRIPTOMOEDA</v>
      </c>
      <c r="D191" s="145" t="str">
        <f aca="false">IF(reservavariáveisconsolidadojun[[#This Row],[TOTAL (R$)]]=0,"",IF(OR(reservavariáveisconsolidadojun[[#This Row],[TOTAL (R$)]]=LARGE($AJ$187:$AJ$196,1),reservavariáveisconsolidadojun[[#This Row],[TOTAL (R$)]]=LARGE($AJ$187:$AJ$196,2)),DADOS!$I$11,""))</f>
        <v/>
      </c>
      <c r="E191" s="148" t="n">
        <f aca="false">SUMIFS(tabela_registros[VALOR],tabela_registros[MÊS],$AE$1,tabela_registros[DIA],reservavariáveisconsolidadojun[[#Headers],[1]],tabela_registros[REGISTRO],DADOS!$N$6,tabela_registros[TIPO],DADOS!$AJ$4,tabela_registros[CATEGORIA],reservavariáveisconsolidadojun[[#This Row],[ATUAL]])</f>
        <v>0</v>
      </c>
      <c r="F191" s="119" t="n">
        <f aca="false">SUMIFS(tabela_registros[VALOR],tabela_registros[MÊS],$AE$1,tabela_registros[DIA],reservavariáveisconsolidadojun[[#Headers],[2]],tabela_registros[REGISTRO],DADOS!$N$6,tabela_registros[TIPO],DADOS!$AJ$4,tabela_registros[CATEGORIA],reservavariáveisconsolidadojun[[#This Row],[ATUAL]])</f>
        <v>0</v>
      </c>
      <c r="G191" s="119" t="n">
        <f aca="false">SUMIFS(tabela_registros[VALOR],tabela_registros[MÊS],$AE$1,tabela_registros[DIA],reservavariáveisconsolidadojun[[#Headers],[3]],tabela_registros[REGISTRO],DADOS!$N$6,tabela_registros[TIPO],DADOS!$AJ$4,tabela_registros[CATEGORIA],reservavariáveisconsolidadojun[[#This Row],[ATUAL]])</f>
        <v>0</v>
      </c>
      <c r="H191" s="119" t="n">
        <f aca="false">SUMIFS(tabela_registros[VALOR],tabela_registros[MÊS],$AE$1,tabela_registros[DIA],reservavariáveisconsolidadojun[[#Headers],[4]],tabela_registros[REGISTRO],DADOS!$N$6,tabela_registros[TIPO],DADOS!$AJ$4,tabela_registros[CATEGORIA],reservavariáveisconsolidadojun[[#This Row],[ATUAL]])</f>
        <v>0</v>
      </c>
      <c r="I191" s="119" t="n">
        <f aca="false">SUMIFS(tabela_registros[VALOR],tabela_registros[MÊS],$AE$1,tabela_registros[DIA],reservavariáveisconsolidadojun[[#Headers],[5]],tabela_registros[REGISTRO],DADOS!$N$6,tabela_registros[TIPO],DADOS!$AJ$4,tabela_registros[CATEGORIA],reservavariáveisconsolidadojun[[#This Row],[ATUAL]])</f>
        <v>0</v>
      </c>
      <c r="J191" s="119" t="n">
        <f aca="false">SUMIFS(tabela_registros[VALOR],tabela_registros[MÊS],$AE$1,tabela_registros[DIA],reservavariáveisconsolidadojun[[#Headers],[6]],tabela_registros[REGISTRO],DADOS!$N$6,tabela_registros[TIPO],DADOS!$AJ$4,tabela_registros[CATEGORIA],reservavariáveisconsolidadojun[[#This Row],[ATUAL]])</f>
        <v>0</v>
      </c>
      <c r="K191" s="119" t="n">
        <f aca="false">SUMIFS(tabela_registros[VALOR],tabela_registros[MÊS],$AE$1,tabela_registros[DIA],reservavariáveisconsolidadojun[[#Headers],[7]],tabela_registros[REGISTRO],DADOS!$N$6,tabela_registros[TIPO],DADOS!$AJ$4,tabela_registros[CATEGORIA],reservavariáveisconsolidadojun[[#This Row],[ATUAL]])</f>
        <v>0</v>
      </c>
      <c r="L191" s="119" t="n">
        <f aca="false">SUMIFS(tabela_registros[VALOR],tabela_registros[MÊS],$AE$1,tabela_registros[DIA],reservavariáveisconsolidadojun[[#Headers],[8]],tabela_registros[REGISTRO],DADOS!$N$6,tabela_registros[TIPO],DADOS!$AJ$4,tabela_registros[CATEGORIA],reservavariáveisconsolidadojun[[#This Row],[ATUAL]])</f>
        <v>0</v>
      </c>
      <c r="M191" s="119" t="n">
        <f aca="false">SUMIFS(tabela_registros[VALOR],tabela_registros[MÊS],$AE$1,tabela_registros[DIA],reservavariáveisconsolidadojun[[#Headers],[9]],tabela_registros[REGISTRO],DADOS!$N$6,tabela_registros[TIPO],DADOS!$AJ$4,tabela_registros[CATEGORIA],reservavariáveisconsolidadojun[[#This Row],[ATUAL]])</f>
        <v>0</v>
      </c>
      <c r="N191" s="119" t="n">
        <f aca="false">SUMIFS(tabela_registros[VALOR],tabela_registros[MÊS],$AE$1,tabela_registros[DIA],reservavariáveisconsolidadojun[[#Headers],[10]],tabela_registros[REGISTRO],DADOS!$N$6,tabela_registros[TIPO],DADOS!$AJ$4,tabela_registros[CATEGORIA],reservavariáveisconsolidadojun[[#This Row],[ATUAL]])</f>
        <v>0</v>
      </c>
      <c r="O191" s="119" t="n">
        <f aca="false">SUMIFS(tabela_registros[VALOR],tabela_registros[MÊS],$AE$1,tabela_registros[DIA],reservavariáveisconsolidadojun[[#Headers],[11]],tabela_registros[REGISTRO],DADOS!$N$6,tabela_registros[TIPO],DADOS!$AJ$4,tabela_registros[CATEGORIA],reservavariáveisconsolidadojun[[#This Row],[ATUAL]])</f>
        <v>0</v>
      </c>
      <c r="P191" s="119" t="n">
        <f aca="false">SUMIFS(tabela_registros[VALOR],tabela_registros[MÊS],$AE$1,tabela_registros[DIA],reservavariáveisconsolidadojun[[#Headers],[12]],tabela_registros[REGISTRO],DADOS!$N$6,tabela_registros[TIPO],DADOS!$AJ$4,tabela_registros[CATEGORIA],reservavariáveisconsolidadojun[[#This Row],[ATUAL]])</f>
        <v>0</v>
      </c>
      <c r="Q191" s="119" t="n">
        <f aca="false">SUMIFS(tabela_registros[VALOR],tabela_registros[MÊS],$AE$1,tabela_registros[DIA],reservavariáveisconsolidadojun[[#Headers],[13]],tabela_registros[REGISTRO],DADOS!$N$6,tabela_registros[TIPO],DADOS!$AJ$4,tabela_registros[CATEGORIA],reservavariáveisconsolidadojun[[#This Row],[ATUAL]])</f>
        <v>0</v>
      </c>
      <c r="R191" s="119" t="n">
        <f aca="false">SUMIFS(tabela_registros[VALOR],tabela_registros[MÊS],$AE$1,tabela_registros[DIA],reservavariáveisconsolidadojun[[#Headers],[14]],tabela_registros[REGISTRO],DADOS!$N$6,tabela_registros[TIPO],DADOS!$AJ$4,tabela_registros[CATEGORIA],reservavariáveisconsolidadojun[[#This Row],[ATUAL]])</f>
        <v>0</v>
      </c>
      <c r="S191" s="119" t="n">
        <f aca="false">SUMIFS(tabela_registros[VALOR],tabela_registros[MÊS],$AE$1,tabela_registros[DIA],reservavariáveisconsolidadojun[[#Headers],[15]],tabela_registros[REGISTRO],DADOS!$N$6,tabela_registros[TIPO],DADOS!$AJ$4,tabela_registros[CATEGORIA],reservavariáveisconsolidadojun[[#This Row],[ATUAL]])</f>
        <v>0</v>
      </c>
      <c r="T191" s="119" t="n">
        <f aca="false">SUMIFS(tabela_registros[VALOR],tabela_registros[MÊS],$AE$1,tabela_registros[DIA],reservavariáveisconsolidadojun[[#Headers],[16]],tabela_registros[REGISTRO],DADOS!$N$6,tabela_registros[TIPO],DADOS!$AJ$4,tabela_registros[CATEGORIA],reservavariáveisconsolidadojun[[#This Row],[ATUAL]])</f>
        <v>0</v>
      </c>
      <c r="U191" s="119" t="n">
        <f aca="false">SUMIFS(tabela_registros[VALOR],tabela_registros[MÊS],$AE$1,tabela_registros[DIA],reservavariáveisconsolidadojun[[#Headers],[17]],tabela_registros[REGISTRO],DADOS!$N$6,tabela_registros[TIPO],DADOS!$AJ$4,tabela_registros[CATEGORIA],reservavariáveisconsolidadojun[[#This Row],[ATUAL]])</f>
        <v>0</v>
      </c>
      <c r="V191" s="119" t="n">
        <f aca="false">SUMIFS(tabela_registros[VALOR],tabela_registros[MÊS],$AE$1,tabela_registros[DIA],reservavariáveisconsolidadojun[[#Headers],[18]],tabela_registros[REGISTRO],DADOS!$N$6,tabela_registros[TIPO],DADOS!$AJ$4,tabela_registros[CATEGORIA],reservavariáveisconsolidadojun[[#This Row],[ATUAL]])</f>
        <v>0</v>
      </c>
      <c r="W191" s="119" t="n">
        <f aca="false">SUMIFS(tabela_registros[VALOR],tabela_registros[MÊS],$AE$1,tabela_registros[DIA],reservavariáveisconsolidadojun[[#Headers],[19]],tabela_registros[REGISTRO],DADOS!$N$6,tabela_registros[TIPO],DADOS!$AJ$4,tabela_registros[CATEGORIA],reservavariáveisconsolidadojun[[#This Row],[ATUAL]])</f>
        <v>0</v>
      </c>
      <c r="X191" s="119" t="n">
        <f aca="false">SUMIFS(tabela_registros[VALOR],tabela_registros[MÊS],$AE$1,tabela_registros[DIA],reservavariáveisconsolidadojun[[#Headers],[20]],tabela_registros[REGISTRO],DADOS!$N$6,tabela_registros[TIPO],DADOS!$AJ$4,tabela_registros[CATEGORIA],reservavariáveisconsolidadojun[[#This Row],[ATUAL]])</f>
        <v>0</v>
      </c>
      <c r="Y191" s="119" t="n">
        <f aca="false">SUMIFS(tabela_registros[VALOR],tabela_registros[MÊS],$AE$1,tabela_registros[DIA],reservavariáveisconsolidadojun[[#Headers],[21]],tabela_registros[REGISTRO],DADOS!$N$6,tabela_registros[TIPO],DADOS!$AJ$4,tabela_registros[CATEGORIA],reservavariáveisconsolidadojun[[#This Row],[ATUAL]])</f>
        <v>0</v>
      </c>
      <c r="Z191" s="119" t="n">
        <f aca="false">SUMIFS(tabela_registros[VALOR],tabela_registros[MÊS],$AE$1,tabela_registros[DIA],reservavariáveisconsolidadojun[[#Headers],[22]],tabela_registros[REGISTRO],DADOS!$N$6,tabela_registros[TIPO],DADOS!$AJ$4,tabela_registros[CATEGORIA],reservavariáveisconsolidadojun[[#This Row],[ATUAL]])</f>
        <v>0</v>
      </c>
      <c r="AA191" s="119" t="n">
        <f aca="false">SUMIFS(tabela_registros[VALOR],tabela_registros[MÊS],$AE$1,tabela_registros[DIA],reservavariáveisconsolidadojun[[#Headers],[23]],tabela_registros[REGISTRO],DADOS!$N$6,tabela_registros[TIPO],DADOS!$AJ$4,tabela_registros[CATEGORIA],reservavariáveisconsolidadojun[[#This Row],[ATUAL]])</f>
        <v>0</v>
      </c>
      <c r="AB191" s="119" t="n">
        <f aca="false">SUMIFS(tabela_registros[VALOR],tabela_registros[MÊS],$AE$1,tabela_registros[DIA],reservavariáveisconsolidadojun[[#Headers],[24]],tabela_registros[REGISTRO],DADOS!$N$6,tabela_registros[TIPO],DADOS!$AJ$4,tabela_registros[CATEGORIA],reservavariáveisconsolidadojun[[#This Row],[ATUAL]])</f>
        <v>0</v>
      </c>
      <c r="AC191" s="119" t="n">
        <f aca="false">SUMIFS(tabela_registros[VALOR],tabela_registros[MÊS],$AE$1,tabela_registros[DIA],reservavariáveisconsolidadojun[[#Headers],[25]],tabela_registros[REGISTRO],DADOS!$N$6,tabela_registros[TIPO],DADOS!$AJ$4,tabela_registros[CATEGORIA],reservavariáveisconsolidadojun[[#This Row],[ATUAL]])</f>
        <v>0</v>
      </c>
      <c r="AD191" s="119" t="n">
        <f aca="false">SUMIFS(tabela_registros[VALOR],tabela_registros[MÊS],$AE$1,tabela_registros[DIA],reservavariáveisconsolidadojun[[#Headers],[26]],tabela_registros[REGISTRO],DADOS!$N$6,tabela_registros[TIPO],DADOS!$AJ$4,tabela_registros[CATEGORIA],reservavariáveisconsolidadojun[[#This Row],[ATUAL]])</f>
        <v>0</v>
      </c>
      <c r="AE191" s="119" t="n">
        <f aca="false">SUMIFS(tabela_registros[VALOR],tabela_registros[MÊS],$AE$1,tabela_registros[DIA],reservavariáveisconsolidadojun[[#Headers],[27]],tabela_registros[REGISTRO],DADOS!$N$6,tabela_registros[TIPO],DADOS!$AJ$4,tabela_registros[CATEGORIA],reservavariáveisconsolidadojun[[#This Row],[ATUAL]])</f>
        <v>0</v>
      </c>
      <c r="AF191" s="119" t="n">
        <f aca="false">SUMIFS(tabela_registros[VALOR],tabela_registros[MÊS],$AE$1,tabela_registros[DIA],reservavariáveisconsolidadojun[[#Headers],[28]],tabela_registros[REGISTRO],DADOS!$N$6,tabela_registros[TIPO],DADOS!$AJ$4,tabela_registros[CATEGORIA],reservavariáveisconsolidadojun[[#This Row],[ATUAL]])</f>
        <v>0</v>
      </c>
      <c r="AG191" s="119" t="n">
        <f aca="false">SUMIFS(tabela_registros[VALOR],tabela_registros[MÊS],$AE$1,tabela_registros[DIA],reservavariáveisconsolidadojun[[#Headers],[29]],tabela_registros[REGISTRO],DADOS!$N$6,tabela_registros[TIPO],DADOS!$AJ$4,tabela_registros[CATEGORIA],reservavariáveisconsolidadojun[[#This Row],[ATUAL]])</f>
        <v>0</v>
      </c>
      <c r="AH191" s="119" t="n">
        <f aca="false">SUMIFS(tabela_registros[VALOR],tabela_registros[MÊS],$AE$1,tabela_registros[DIA],reservavariáveisconsolidadojun[[#Headers],[30]],tabela_registros[REGISTRO],DADOS!$N$6,tabela_registros[TIPO],DADOS!$AJ$4,tabela_registros[CATEGORIA],reservavariáveisconsolidadojun[[#This Row],[ATUAL]])</f>
        <v>0</v>
      </c>
      <c r="AI191" s="217" t="n">
        <f aca="false">SUMIFS(tabela_registros[VALOR],tabela_registros[MÊS],$AE$1,tabela_registros[DIA],reservavariáveisconsolidadojun[[#Headers],[31]],tabela_registros[REGISTRO],DADOS!$N$6,tabela_registros[TIPO],DADOS!$AJ$4,tabela_registros[CATEGORIA],reservavariáveisconsolidadojun[[#This Row],[ATUAL]])</f>
        <v>0</v>
      </c>
      <c r="AJ191" s="149" t="n">
        <f aca="false">SUM(reservavariáveisconsolidadojun[[#This Row],[1]:[31]])</f>
        <v>0</v>
      </c>
      <c r="AK191" s="165"/>
    </row>
    <row r="192" customFormat="false" ht="19.5" hidden="false" customHeight="true" outlineLevel="0" collapsed="false">
      <c r="B192" s="143"/>
      <c r="C192" s="144" t="str">
        <f aca="false">DADOS!$AN$8</f>
        <v>📝 ETF</v>
      </c>
      <c r="D192" s="145" t="str">
        <f aca="false">IF(reservavariáveisconsolidadojun[[#This Row],[TOTAL (R$)]]=0,"",IF(OR(reservavariáveisconsolidadojun[[#This Row],[TOTAL (R$)]]=LARGE($AJ$187:$AJ$196,1),reservavariáveisconsolidadojun[[#This Row],[TOTAL (R$)]]=LARGE($AJ$187:$AJ$196,2)),DADOS!$I$11,""))</f>
        <v/>
      </c>
      <c r="E192" s="148" t="n">
        <f aca="false">SUMIFS(tabela_registros[VALOR],tabela_registros[MÊS],$AE$1,tabela_registros[DIA],reservavariáveisconsolidadojun[[#Headers],[1]],tabela_registros[REGISTRO],DADOS!$N$6,tabela_registros[TIPO],DADOS!$AJ$4,tabela_registros[CATEGORIA],reservavariáveisconsolidadojun[[#This Row],[ATUAL]])</f>
        <v>0</v>
      </c>
      <c r="F192" s="119" t="n">
        <f aca="false">SUMIFS(tabela_registros[VALOR],tabela_registros[MÊS],$AE$1,tabela_registros[DIA],reservavariáveisconsolidadojun[[#Headers],[2]],tabela_registros[REGISTRO],DADOS!$N$6,tabela_registros[TIPO],DADOS!$AJ$4,tabela_registros[CATEGORIA],reservavariáveisconsolidadojun[[#This Row],[ATUAL]])</f>
        <v>0</v>
      </c>
      <c r="G192" s="119" t="n">
        <f aca="false">SUMIFS(tabela_registros[VALOR],tabela_registros[MÊS],$AE$1,tabela_registros[DIA],reservavariáveisconsolidadojun[[#Headers],[3]],tabela_registros[REGISTRO],DADOS!$N$6,tabela_registros[TIPO],DADOS!$AJ$4,tabela_registros[CATEGORIA],reservavariáveisconsolidadojun[[#This Row],[ATUAL]])</f>
        <v>0</v>
      </c>
      <c r="H192" s="119" t="n">
        <f aca="false">SUMIFS(tabela_registros[VALOR],tabela_registros[MÊS],$AE$1,tabela_registros[DIA],reservavariáveisconsolidadojun[[#Headers],[4]],tabela_registros[REGISTRO],DADOS!$N$6,tabela_registros[TIPO],DADOS!$AJ$4,tabela_registros[CATEGORIA],reservavariáveisconsolidadojun[[#This Row],[ATUAL]])</f>
        <v>0</v>
      </c>
      <c r="I192" s="119" t="n">
        <f aca="false">SUMIFS(tabela_registros[VALOR],tabela_registros[MÊS],$AE$1,tabela_registros[DIA],reservavariáveisconsolidadojun[[#Headers],[5]],tabela_registros[REGISTRO],DADOS!$N$6,tabela_registros[TIPO],DADOS!$AJ$4,tabela_registros[CATEGORIA],reservavariáveisconsolidadojun[[#This Row],[ATUAL]])</f>
        <v>0</v>
      </c>
      <c r="J192" s="119" t="n">
        <f aca="false">SUMIFS(tabela_registros[VALOR],tabela_registros[MÊS],$AE$1,tabela_registros[DIA],reservavariáveisconsolidadojun[[#Headers],[6]],tabela_registros[REGISTRO],DADOS!$N$6,tabela_registros[TIPO],DADOS!$AJ$4,tabela_registros[CATEGORIA],reservavariáveisconsolidadojun[[#This Row],[ATUAL]])</f>
        <v>0</v>
      </c>
      <c r="K192" s="119" t="n">
        <f aca="false">SUMIFS(tabela_registros[VALOR],tabela_registros[MÊS],$AE$1,tabela_registros[DIA],reservavariáveisconsolidadojun[[#Headers],[7]],tabela_registros[REGISTRO],DADOS!$N$6,tabela_registros[TIPO],DADOS!$AJ$4,tabela_registros[CATEGORIA],reservavariáveisconsolidadojun[[#This Row],[ATUAL]])</f>
        <v>0</v>
      </c>
      <c r="L192" s="119" t="n">
        <f aca="false">SUMIFS(tabela_registros[VALOR],tabela_registros[MÊS],$AE$1,tabela_registros[DIA],reservavariáveisconsolidadojun[[#Headers],[8]],tabela_registros[REGISTRO],DADOS!$N$6,tabela_registros[TIPO],DADOS!$AJ$4,tabela_registros[CATEGORIA],reservavariáveisconsolidadojun[[#This Row],[ATUAL]])</f>
        <v>0</v>
      </c>
      <c r="M192" s="119" t="n">
        <f aca="false">SUMIFS(tabela_registros[VALOR],tabela_registros[MÊS],$AE$1,tabela_registros[DIA],reservavariáveisconsolidadojun[[#Headers],[9]],tabela_registros[REGISTRO],DADOS!$N$6,tabela_registros[TIPO],DADOS!$AJ$4,tabela_registros[CATEGORIA],reservavariáveisconsolidadojun[[#This Row],[ATUAL]])</f>
        <v>0</v>
      </c>
      <c r="N192" s="119" t="n">
        <f aca="false">SUMIFS(tabela_registros[VALOR],tabela_registros[MÊS],$AE$1,tabela_registros[DIA],reservavariáveisconsolidadojun[[#Headers],[10]],tabela_registros[REGISTRO],DADOS!$N$6,tabela_registros[TIPO],DADOS!$AJ$4,tabela_registros[CATEGORIA],reservavariáveisconsolidadojun[[#This Row],[ATUAL]])</f>
        <v>0</v>
      </c>
      <c r="O192" s="119" t="n">
        <f aca="false">SUMIFS(tabela_registros[VALOR],tabela_registros[MÊS],$AE$1,tabela_registros[DIA],reservavariáveisconsolidadojun[[#Headers],[11]],tabela_registros[REGISTRO],DADOS!$N$6,tabela_registros[TIPO],DADOS!$AJ$4,tabela_registros[CATEGORIA],reservavariáveisconsolidadojun[[#This Row],[ATUAL]])</f>
        <v>0</v>
      </c>
      <c r="P192" s="119" t="n">
        <f aca="false">SUMIFS(tabela_registros[VALOR],tabela_registros[MÊS],$AE$1,tabela_registros[DIA],reservavariáveisconsolidadojun[[#Headers],[12]],tabela_registros[REGISTRO],DADOS!$N$6,tabela_registros[TIPO],DADOS!$AJ$4,tabela_registros[CATEGORIA],reservavariáveisconsolidadojun[[#This Row],[ATUAL]])</f>
        <v>0</v>
      </c>
      <c r="Q192" s="119" t="n">
        <f aca="false">SUMIFS(tabela_registros[VALOR],tabela_registros[MÊS],$AE$1,tabela_registros[DIA],reservavariáveisconsolidadojun[[#Headers],[13]],tabela_registros[REGISTRO],DADOS!$N$6,tabela_registros[TIPO],DADOS!$AJ$4,tabela_registros[CATEGORIA],reservavariáveisconsolidadojun[[#This Row],[ATUAL]])</f>
        <v>0</v>
      </c>
      <c r="R192" s="119" t="n">
        <f aca="false">SUMIFS(tabela_registros[VALOR],tabela_registros[MÊS],$AE$1,tabela_registros[DIA],reservavariáveisconsolidadojun[[#Headers],[14]],tabela_registros[REGISTRO],DADOS!$N$6,tabela_registros[TIPO],DADOS!$AJ$4,tabela_registros[CATEGORIA],reservavariáveisconsolidadojun[[#This Row],[ATUAL]])</f>
        <v>0</v>
      </c>
      <c r="S192" s="119" t="n">
        <f aca="false">SUMIFS(tabela_registros[VALOR],tabela_registros[MÊS],$AE$1,tabela_registros[DIA],reservavariáveisconsolidadojun[[#Headers],[15]],tabela_registros[REGISTRO],DADOS!$N$6,tabela_registros[TIPO],DADOS!$AJ$4,tabela_registros[CATEGORIA],reservavariáveisconsolidadojun[[#This Row],[ATUAL]])</f>
        <v>0</v>
      </c>
      <c r="T192" s="119" t="n">
        <f aca="false">SUMIFS(tabela_registros[VALOR],tabela_registros[MÊS],$AE$1,tabela_registros[DIA],reservavariáveisconsolidadojun[[#Headers],[16]],tabela_registros[REGISTRO],DADOS!$N$6,tabela_registros[TIPO],DADOS!$AJ$4,tabela_registros[CATEGORIA],reservavariáveisconsolidadojun[[#This Row],[ATUAL]])</f>
        <v>0</v>
      </c>
      <c r="U192" s="119" t="n">
        <f aca="false">SUMIFS(tabela_registros[VALOR],tabela_registros[MÊS],$AE$1,tabela_registros[DIA],reservavariáveisconsolidadojun[[#Headers],[17]],tabela_registros[REGISTRO],DADOS!$N$6,tabela_registros[TIPO],DADOS!$AJ$4,tabela_registros[CATEGORIA],reservavariáveisconsolidadojun[[#This Row],[ATUAL]])</f>
        <v>0</v>
      </c>
      <c r="V192" s="119" t="n">
        <f aca="false">SUMIFS(tabela_registros[VALOR],tabela_registros[MÊS],$AE$1,tabela_registros[DIA],reservavariáveisconsolidadojun[[#Headers],[18]],tabela_registros[REGISTRO],DADOS!$N$6,tabela_registros[TIPO],DADOS!$AJ$4,tabela_registros[CATEGORIA],reservavariáveisconsolidadojun[[#This Row],[ATUAL]])</f>
        <v>0</v>
      </c>
      <c r="W192" s="119" t="n">
        <f aca="false">SUMIFS(tabela_registros[VALOR],tabela_registros[MÊS],$AE$1,tabela_registros[DIA],reservavariáveisconsolidadojun[[#Headers],[19]],tabela_registros[REGISTRO],DADOS!$N$6,tabela_registros[TIPO],DADOS!$AJ$4,tabela_registros[CATEGORIA],reservavariáveisconsolidadojun[[#This Row],[ATUAL]])</f>
        <v>0</v>
      </c>
      <c r="X192" s="119" t="n">
        <f aca="false">SUMIFS(tabela_registros[VALOR],tabela_registros[MÊS],$AE$1,tabela_registros[DIA],reservavariáveisconsolidadojun[[#Headers],[20]],tabela_registros[REGISTRO],DADOS!$N$6,tabela_registros[TIPO],DADOS!$AJ$4,tabela_registros[CATEGORIA],reservavariáveisconsolidadojun[[#This Row],[ATUAL]])</f>
        <v>0</v>
      </c>
      <c r="Y192" s="119" t="n">
        <f aca="false">SUMIFS(tabela_registros[VALOR],tabela_registros[MÊS],$AE$1,tabela_registros[DIA],reservavariáveisconsolidadojun[[#Headers],[21]],tabela_registros[REGISTRO],DADOS!$N$6,tabela_registros[TIPO],DADOS!$AJ$4,tabela_registros[CATEGORIA],reservavariáveisconsolidadojun[[#This Row],[ATUAL]])</f>
        <v>0</v>
      </c>
      <c r="Z192" s="119" t="n">
        <f aca="false">SUMIFS(tabela_registros[VALOR],tabela_registros[MÊS],$AE$1,tabela_registros[DIA],reservavariáveisconsolidadojun[[#Headers],[22]],tabela_registros[REGISTRO],DADOS!$N$6,tabela_registros[TIPO],DADOS!$AJ$4,tabela_registros[CATEGORIA],reservavariáveisconsolidadojun[[#This Row],[ATUAL]])</f>
        <v>0</v>
      </c>
      <c r="AA192" s="119" t="n">
        <f aca="false">SUMIFS(tabela_registros[VALOR],tabela_registros[MÊS],$AE$1,tabela_registros[DIA],reservavariáveisconsolidadojun[[#Headers],[23]],tabela_registros[REGISTRO],DADOS!$N$6,tabela_registros[TIPO],DADOS!$AJ$4,tabela_registros[CATEGORIA],reservavariáveisconsolidadojun[[#This Row],[ATUAL]])</f>
        <v>0</v>
      </c>
      <c r="AB192" s="119" t="n">
        <f aca="false">SUMIFS(tabela_registros[VALOR],tabela_registros[MÊS],$AE$1,tabela_registros[DIA],reservavariáveisconsolidadojun[[#Headers],[24]],tabela_registros[REGISTRO],DADOS!$N$6,tabela_registros[TIPO],DADOS!$AJ$4,tabela_registros[CATEGORIA],reservavariáveisconsolidadojun[[#This Row],[ATUAL]])</f>
        <v>0</v>
      </c>
      <c r="AC192" s="119" t="n">
        <f aca="false">SUMIFS(tabela_registros[VALOR],tabela_registros[MÊS],$AE$1,tabela_registros[DIA],reservavariáveisconsolidadojun[[#Headers],[25]],tabela_registros[REGISTRO],DADOS!$N$6,tabela_registros[TIPO],DADOS!$AJ$4,tabela_registros[CATEGORIA],reservavariáveisconsolidadojun[[#This Row],[ATUAL]])</f>
        <v>0</v>
      </c>
      <c r="AD192" s="119" t="n">
        <f aca="false">SUMIFS(tabela_registros[VALOR],tabela_registros[MÊS],$AE$1,tabela_registros[DIA],reservavariáveisconsolidadojun[[#Headers],[26]],tabela_registros[REGISTRO],DADOS!$N$6,tabela_registros[TIPO],DADOS!$AJ$4,tabela_registros[CATEGORIA],reservavariáveisconsolidadojun[[#This Row],[ATUAL]])</f>
        <v>0</v>
      </c>
      <c r="AE192" s="119" t="n">
        <f aca="false">SUMIFS(tabela_registros[VALOR],tabela_registros[MÊS],$AE$1,tabela_registros[DIA],reservavariáveisconsolidadojun[[#Headers],[27]],tabela_registros[REGISTRO],DADOS!$N$6,tabela_registros[TIPO],DADOS!$AJ$4,tabela_registros[CATEGORIA],reservavariáveisconsolidadojun[[#This Row],[ATUAL]])</f>
        <v>0</v>
      </c>
      <c r="AF192" s="119" t="n">
        <f aca="false">SUMIFS(tabela_registros[VALOR],tabela_registros[MÊS],$AE$1,tabela_registros[DIA],reservavariáveisconsolidadojun[[#Headers],[28]],tabela_registros[REGISTRO],DADOS!$N$6,tabela_registros[TIPO],DADOS!$AJ$4,tabela_registros[CATEGORIA],reservavariáveisconsolidadojun[[#This Row],[ATUAL]])</f>
        <v>0</v>
      </c>
      <c r="AG192" s="119" t="n">
        <f aca="false">SUMIFS(tabela_registros[VALOR],tabela_registros[MÊS],$AE$1,tabela_registros[DIA],reservavariáveisconsolidadojun[[#Headers],[29]],tabela_registros[REGISTRO],DADOS!$N$6,tabela_registros[TIPO],DADOS!$AJ$4,tabela_registros[CATEGORIA],reservavariáveisconsolidadojun[[#This Row],[ATUAL]])</f>
        <v>0</v>
      </c>
      <c r="AH192" s="119" t="n">
        <f aca="false">SUMIFS(tabela_registros[VALOR],tabela_registros[MÊS],$AE$1,tabela_registros[DIA],reservavariáveisconsolidadojun[[#Headers],[30]],tabela_registros[REGISTRO],DADOS!$N$6,tabela_registros[TIPO],DADOS!$AJ$4,tabela_registros[CATEGORIA],reservavariáveisconsolidadojun[[#This Row],[ATUAL]])</f>
        <v>0</v>
      </c>
      <c r="AI192" s="217" t="n">
        <f aca="false">SUMIFS(tabela_registros[VALOR],tabela_registros[MÊS],$AE$1,tabela_registros[DIA],reservavariáveisconsolidadojun[[#Headers],[31]],tabela_registros[REGISTRO],DADOS!$N$6,tabela_registros[TIPO],DADOS!$AJ$4,tabela_registros[CATEGORIA],reservavariáveisconsolidadojun[[#This Row],[ATUAL]])</f>
        <v>0</v>
      </c>
      <c r="AJ192" s="149" t="n">
        <f aca="false">SUM(reservavariáveisconsolidadojun[[#This Row],[1]:[31]])</f>
        <v>0</v>
      </c>
      <c r="AK192" s="165"/>
    </row>
    <row r="193" customFormat="false" ht="19.5" hidden="false" customHeight="true" outlineLevel="0" collapsed="false">
      <c r="B193" s="143"/>
      <c r="C193" s="144" t="str">
        <f aca="false">DADOS!$AN$9</f>
        <v>📝 EXTERIOR</v>
      </c>
      <c r="D193" s="145" t="str">
        <f aca="false">IF(reservavariáveisconsolidadojun[[#This Row],[TOTAL (R$)]]=0,"",IF(OR(reservavariáveisconsolidadojun[[#This Row],[TOTAL (R$)]]=LARGE($AJ$187:$AJ$196,1),reservavariáveisconsolidadojun[[#This Row],[TOTAL (R$)]]=LARGE($AJ$187:$AJ$196,2)),DADOS!$I$11,""))</f>
        <v/>
      </c>
      <c r="E193" s="148" t="n">
        <f aca="false">SUMIFS(tabela_registros[VALOR],tabela_registros[MÊS],$AE$1,tabela_registros[DIA],reservavariáveisconsolidadojun[[#Headers],[1]],tabela_registros[REGISTRO],DADOS!$N$6,tabela_registros[TIPO],DADOS!$AJ$4,tabela_registros[CATEGORIA],reservavariáveisconsolidadojun[[#This Row],[ATUAL]])</f>
        <v>0</v>
      </c>
      <c r="F193" s="119" t="n">
        <f aca="false">SUMIFS(tabela_registros[VALOR],tabela_registros[MÊS],$AE$1,tabela_registros[DIA],reservavariáveisconsolidadojun[[#Headers],[2]],tabela_registros[REGISTRO],DADOS!$N$6,tabela_registros[TIPO],DADOS!$AJ$4,tabela_registros[CATEGORIA],reservavariáveisconsolidadojun[[#This Row],[ATUAL]])</f>
        <v>0</v>
      </c>
      <c r="G193" s="119" t="n">
        <f aca="false">SUMIFS(tabela_registros[VALOR],tabela_registros[MÊS],$AE$1,tabela_registros[DIA],reservavariáveisconsolidadojun[[#Headers],[3]],tabela_registros[REGISTRO],DADOS!$N$6,tabela_registros[TIPO],DADOS!$AJ$4,tabela_registros[CATEGORIA],reservavariáveisconsolidadojun[[#This Row],[ATUAL]])</f>
        <v>0</v>
      </c>
      <c r="H193" s="119" t="n">
        <f aca="false">SUMIFS(tabela_registros[VALOR],tabela_registros[MÊS],$AE$1,tabela_registros[DIA],reservavariáveisconsolidadojun[[#Headers],[4]],tabela_registros[REGISTRO],DADOS!$N$6,tabela_registros[TIPO],DADOS!$AJ$4,tabela_registros[CATEGORIA],reservavariáveisconsolidadojun[[#This Row],[ATUAL]])</f>
        <v>0</v>
      </c>
      <c r="I193" s="119" t="n">
        <f aca="false">SUMIFS(tabela_registros[VALOR],tabela_registros[MÊS],$AE$1,tabela_registros[DIA],reservavariáveisconsolidadojun[[#Headers],[5]],tabela_registros[REGISTRO],DADOS!$N$6,tabela_registros[TIPO],DADOS!$AJ$4,tabela_registros[CATEGORIA],reservavariáveisconsolidadojun[[#This Row],[ATUAL]])</f>
        <v>0</v>
      </c>
      <c r="J193" s="119" t="n">
        <f aca="false">SUMIFS(tabela_registros[VALOR],tabela_registros[MÊS],$AE$1,tabela_registros[DIA],reservavariáveisconsolidadojun[[#Headers],[6]],tabela_registros[REGISTRO],DADOS!$N$6,tabela_registros[TIPO],DADOS!$AJ$4,tabela_registros[CATEGORIA],reservavariáveisconsolidadojun[[#This Row],[ATUAL]])</f>
        <v>0</v>
      </c>
      <c r="K193" s="119" t="n">
        <f aca="false">SUMIFS(tabela_registros[VALOR],tabela_registros[MÊS],$AE$1,tabela_registros[DIA],reservavariáveisconsolidadojun[[#Headers],[7]],tabela_registros[REGISTRO],DADOS!$N$6,tabela_registros[TIPO],DADOS!$AJ$4,tabela_registros[CATEGORIA],reservavariáveisconsolidadojun[[#This Row],[ATUAL]])</f>
        <v>0</v>
      </c>
      <c r="L193" s="119" t="n">
        <f aca="false">SUMIFS(tabela_registros[VALOR],tabela_registros[MÊS],$AE$1,tabela_registros[DIA],reservavariáveisconsolidadojun[[#Headers],[8]],tabela_registros[REGISTRO],DADOS!$N$6,tabela_registros[TIPO],DADOS!$AJ$4,tabela_registros[CATEGORIA],reservavariáveisconsolidadojun[[#This Row],[ATUAL]])</f>
        <v>0</v>
      </c>
      <c r="M193" s="119" t="n">
        <f aca="false">SUMIFS(tabela_registros[VALOR],tabela_registros[MÊS],$AE$1,tabela_registros[DIA],reservavariáveisconsolidadojun[[#Headers],[9]],tabela_registros[REGISTRO],DADOS!$N$6,tabela_registros[TIPO],DADOS!$AJ$4,tabela_registros[CATEGORIA],reservavariáveisconsolidadojun[[#This Row],[ATUAL]])</f>
        <v>0</v>
      </c>
      <c r="N193" s="119" t="n">
        <f aca="false">SUMIFS(tabela_registros[VALOR],tabela_registros[MÊS],$AE$1,tabela_registros[DIA],reservavariáveisconsolidadojun[[#Headers],[10]],tabela_registros[REGISTRO],DADOS!$N$6,tabela_registros[TIPO],DADOS!$AJ$4,tabela_registros[CATEGORIA],reservavariáveisconsolidadojun[[#This Row],[ATUAL]])</f>
        <v>0</v>
      </c>
      <c r="O193" s="119" t="n">
        <f aca="false">SUMIFS(tabela_registros[VALOR],tabela_registros[MÊS],$AE$1,tabela_registros[DIA],reservavariáveisconsolidadojun[[#Headers],[11]],tabela_registros[REGISTRO],DADOS!$N$6,tabela_registros[TIPO],DADOS!$AJ$4,tabela_registros[CATEGORIA],reservavariáveisconsolidadojun[[#This Row],[ATUAL]])</f>
        <v>0</v>
      </c>
      <c r="P193" s="119" t="n">
        <f aca="false">SUMIFS(tabela_registros[VALOR],tabela_registros[MÊS],$AE$1,tabela_registros[DIA],reservavariáveisconsolidadojun[[#Headers],[12]],tabela_registros[REGISTRO],DADOS!$N$6,tabela_registros[TIPO],DADOS!$AJ$4,tabela_registros[CATEGORIA],reservavariáveisconsolidadojun[[#This Row],[ATUAL]])</f>
        <v>0</v>
      </c>
      <c r="Q193" s="119" t="n">
        <f aca="false">SUMIFS(tabela_registros[VALOR],tabela_registros[MÊS],$AE$1,tabela_registros[DIA],reservavariáveisconsolidadojun[[#Headers],[13]],tabela_registros[REGISTRO],DADOS!$N$6,tabela_registros[TIPO],DADOS!$AJ$4,tabela_registros[CATEGORIA],reservavariáveisconsolidadojun[[#This Row],[ATUAL]])</f>
        <v>0</v>
      </c>
      <c r="R193" s="119" t="n">
        <f aca="false">SUMIFS(tabela_registros[VALOR],tabela_registros[MÊS],$AE$1,tabela_registros[DIA],reservavariáveisconsolidadojun[[#Headers],[14]],tabela_registros[REGISTRO],DADOS!$N$6,tabela_registros[TIPO],DADOS!$AJ$4,tabela_registros[CATEGORIA],reservavariáveisconsolidadojun[[#This Row],[ATUAL]])</f>
        <v>0</v>
      </c>
      <c r="S193" s="119" t="n">
        <f aca="false">SUMIFS(tabela_registros[VALOR],tabela_registros[MÊS],$AE$1,tabela_registros[DIA],reservavariáveisconsolidadojun[[#Headers],[15]],tabela_registros[REGISTRO],DADOS!$N$6,tabela_registros[TIPO],DADOS!$AJ$4,tabela_registros[CATEGORIA],reservavariáveisconsolidadojun[[#This Row],[ATUAL]])</f>
        <v>0</v>
      </c>
      <c r="T193" s="119" t="n">
        <f aca="false">SUMIFS(tabela_registros[VALOR],tabela_registros[MÊS],$AE$1,tabela_registros[DIA],reservavariáveisconsolidadojun[[#Headers],[16]],tabela_registros[REGISTRO],DADOS!$N$6,tabela_registros[TIPO],DADOS!$AJ$4,tabela_registros[CATEGORIA],reservavariáveisconsolidadojun[[#This Row],[ATUAL]])</f>
        <v>0</v>
      </c>
      <c r="U193" s="119" t="n">
        <f aca="false">SUMIFS(tabela_registros[VALOR],tabela_registros[MÊS],$AE$1,tabela_registros[DIA],reservavariáveisconsolidadojun[[#Headers],[17]],tabela_registros[REGISTRO],DADOS!$N$6,tabela_registros[TIPO],DADOS!$AJ$4,tabela_registros[CATEGORIA],reservavariáveisconsolidadojun[[#This Row],[ATUAL]])</f>
        <v>0</v>
      </c>
      <c r="V193" s="119" t="n">
        <f aca="false">SUMIFS(tabela_registros[VALOR],tabela_registros[MÊS],$AE$1,tabela_registros[DIA],reservavariáveisconsolidadojun[[#Headers],[18]],tabela_registros[REGISTRO],DADOS!$N$6,tabela_registros[TIPO],DADOS!$AJ$4,tabela_registros[CATEGORIA],reservavariáveisconsolidadojun[[#This Row],[ATUAL]])</f>
        <v>0</v>
      </c>
      <c r="W193" s="119" t="n">
        <f aca="false">SUMIFS(tabela_registros[VALOR],tabela_registros[MÊS],$AE$1,tabela_registros[DIA],reservavariáveisconsolidadojun[[#Headers],[19]],tabela_registros[REGISTRO],DADOS!$N$6,tabela_registros[TIPO],DADOS!$AJ$4,tabela_registros[CATEGORIA],reservavariáveisconsolidadojun[[#This Row],[ATUAL]])</f>
        <v>0</v>
      </c>
      <c r="X193" s="119" t="n">
        <f aca="false">SUMIFS(tabela_registros[VALOR],tabela_registros[MÊS],$AE$1,tabela_registros[DIA],reservavariáveisconsolidadojun[[#Headers],[20]],tabela_registros[REGISTRO],DADOS!$N$6,tabela_registros[TIPO],DADOS!$AJ$4,tabela_registros[CATEGORIA],reservavariáveisconsolidadojun[[#This Row],[ATUAL]])</f>
        <v>0</v>
      </c>
      <c r="Y193" s="119" t="n">
        <f aca="false">SUMIFS(tabela_registros[VALOR],tabela_registros[MÊS],$AE$1,tabela_registros[DIA],reservavariáveisconsolidadojun[[#Headers],[21]],tabela_registros[REGISTRO],DADOS!$N$6,tabela_registros[TIPO],DADOS!$AJ$4,tabela_registros[CATEGORIA],reservavariáveisconsolidadojun[[#This Row],[ATUAL]])</f>
        <v>0</v>
      </c>
      <c r="Z193" s="119" t="n">
        <f aca="false">SUMIFS(tabela_registros[VALOR],tabela_registros[MÊS],$AE$1,tabela_registros[DIA],reservavariáveisconsolidadojun[[#Headers],[22]],tabela_registros[REGISTRO],DADOS!$N$6,tabela_registros[TIPO],DADOS!$AJ$4,tabela_registros[CATEGORIA],reservavariáveisconsolidadojun[[#This Row],[ATUAL]])</f>
        <v>0</v>
      </c>
      <c r="AA193" s="119" t="n">
        <f aca="false">SUMIFS(tabela_registros[VALOR],tabela_registros[MÊS],$AE$1,tabela_registros[DIA],reservavariáveisconsolidadojun[[#Headers],[23]],tabela_registros[REGISTRO],DADOS!$N$6,tabela_registros[TIPO],DADOS!$AJ$4,tabela_registros[CATEGORIA],reservavariáveisconsolidadojun[[#This Row],[ATUAL]])</f>
        <v>0</v>
      </c>
      <c r="AB193" s="119" t="n">
        <f aca="false">SUMIFS(tabela_registros[VALOR],tabela_registros[MÊS],$AE$1,tabela_registros[DIA],reservavariáveisconsolidadojun[[#Headers],[24]],tabela_registros[REGISTRO],DADOS!$N$6,tabela_registros[TIPO],DADOS!$AJ$4,tabela_registros[CATEGORIA],reservavariáveisconsolidadojun[[#This Row],[ATUAL]])</f>
        <v>0</v>
      </c>
      <c r="AC193" s="119" t="n">
        <f aca="false">SUMIFS(tabela_registros[VALOR],tabela_registros[MÊS],$AE$1,tabela_registros[DIA],reservavariáveisconsolidadojun[[#Headers],[25]],tabela_registros[REGISTRO],DADOS!$N$6,tabela_registros[TIPO],DADOS!$AJ$4,tabela_registros[CATEGORIA],reservavariáveisconsolidadojun[[#This Row],[ATUAL]])</f>
        <v>0</v>
      </c>
      <c r="AD193" s="119" t="n">
        <f aca="false">SUMIFS(tabela_registros[VALOR],tabela_registros[MÊS],$AE$1,tabela_registros[DIA],reservavariáveisconsolidadojun[[#Headers],[26]],tabela_registros[REGISTRO],DADOS!$N$6,tabela_registros[TIPO],DADOS!$AJ$4,tabela_registros[CATEGORIA],reservavariáveisconsolidadojun[[#This Row],[ATUAL]])</f>
        <v>0</v>
      </c>
      <c r="AE193" s="119" t="n">
        <f aca="false">SUMIFS(tabela_registros[VALOR],tabela_registros[MÊS],$AE$1,tabela_registros[DIA],reservavariáveisconsolidadojun[[#Headers],[27]],tabela_registros[REGISTRO],DADOS!$N$6,tabela_registros[TIPO],DADOS!$AJ$4,tabela_registros[CATEGORIA],reservavariáveisconsolidadojun[[#This Row],[ATUAL]])</f>
        <v>0</v>
      </c>
      <c r="AF193" s="119" t="n">
        <f aca="false">SUMIFS(tabela_registros[VALOR],tabela_registros[MÊS],$AE$1,tabela_registros[DIA],reservavariáveisconsolidadojun[[#Headers],[28]],tabela_registros[REGISTRO],DADOS!$N$6,tabela_registros[TIPO],DADOS!$AJ$4,tabela_registros[CATEGORIA],reservavariáveisconsolidadojun[[#This Row],[ATUAL]])</f>
        <v>0</v>
      </c>
      <c r="AG193" s="119" t="n">
        <f aca="false">SUMIFS(tabela_registros[VALOR],tabela_registros[MÊS],$AE$1,tabela_registros[DIA],reservavariáveisconsolidadojun[[#Headers],[29]],tabela_registros[REGISTRO],DADOS!$N$6,tabela_registros[TIPO],DADOS!$AJ$4,tabela_registros[CATEGORIA],reservavariáveisconsolidadojun[[#This Row],[ATUAL]])</f>
        <v>0</v>
      </c>
      <c r="AH193" s="119" t="n">
        <f aca="false">SUMIFS(tabela_registros[VALOR],tabela_registros[MÊS],$AE$1,tabela_registros[DIA],reservavariáveisconsolidadojun[[#Headers],[30]],tabela_registros[REGISTRO],DADOS!$N$6,tabela_registros[TIPO],DADOS!$AJ$4,tabela_registros[CATEGORIA],reservavariáveisconsolidadojun[[#This Row],[ATUAL]])</f>
        <v>0</v>
      </c>
      <c r="AI193" s="217" t="n">
        <f aca="false">SUMIFS(tabela_registros[VALOR],tabela_registros[MÊS],$AE$1,tabela_registros[DIA],reservavariáveisconsolidadojun[[#Headers],[31]],tabela_registros[REGISTRO],DADOS!$N$6,tabela_registros[TIPO],DADOS!$AJ$4,tabela_registros[CATEGORIA],reservavariáveisconsolidadojun[[#This Row],[ATUAL]])</f>
        <v>0</v>
      </c>
      <c r="AJ193" s="149" t="n">
        <f aca="false">SUM(reservavariáveisconsolidadojun[[#This Row],[1]:[31]])</f>
        <v>0</v>
      </c>
      <c r="AK193" s="165"/>
    </row>
    <row r="194" customFormat="false" ht="19.5" hidden="false" customHeight="true" outlineLevel="0" collapsed="false">
      <c r="B194" s="143"/>
      <c r="C194" s="144" t="str">
        <f aca="false">DADOS!$AN$10</f>
        <v>📝 FII</v>
      </c>
      <c r="D194" s="145" t="str">
        <f aca="false">IF(reservavariáveisconsolidadojun[[#This Row],[TOTAL (R$)]]=0,"",IF(OR(reservavariáveisconsolidadojun[[#This Row],[TOTAL (R$)]]=LARGE($AJ$187:$AJ$196,1),reservavariáveisconsolidadojun[[#This Row],[TOTAL (R$)]]=LARGE($AJ$187:$AJ$196,2)),DADOS!$I$11,""))</f>
        <v/>
      </c>
      <c r="E194" s="148" t="n">
        <f aca="false">SUMIFS(tabela_registros[VALOR],tabela_registros[MÊS],$AE$1,tabela_registros[DIA],reservavariáveisconsolidadojun[[#Headers],[1]],tabela_registros[REGISTRO],DADOS!$N$6,tabela_registros[TIPO],DADOS!$AJ$4,tabela_registros[CATEGORIA],reservavariáveisconsolidadojun[[#This Row],[ATUAL]])</f>
        <v>0</v>
      </c>
      <c r="F194" s="119" t="n">
        <f aca="false">SUMIFS(tabela_registros[VALOR],tabela_registros[MÊS],$AE$1,tabela_registros[DIA],reservavariáveisconsolidadojun[[#Headers],[2]],tabela_registros[REGISTRO],DADOS!$N$6,tabela_registros[TIPO],DADOS!$AJ$4,tabela_registros[CATEGORIA],reservavariáveisconsolidadojun[[#This Row],[ATUAL]])</f>
        <v>0</v>
      </c>
      <c r="G194" s="119" t="n">
        <f aca="false">SUMIFS(tabela_registros[VALOR],tabela_registros[MÊS],$AE$1,tabela_registros[DIA],reservavariáveisconsolidadojun[[#Headers],[3]],tabela_registros[REGISTRO],DADOS!$N$6,tabela_registros[TIPO],DADOS!$AJ$4,tabela_registros[CATEGORIA],reservavariáveisconsolidadojun[[#This Row],[ATUAL]])</f>
        <v>0</v>
      </c>
      <c r="H194" s="119" t="n">
        <f aca="false">SUMIFS(tabela_registros[VALOR],tabela_registros[MÊS],$AE$1,tabela_registros[DIA],reservavariáveisconsolidadojun[[#Headers],[4]],tabela_registros[REGISTRO],DADOS!$N$6,tabela_registros[TIPO],DADOS!$AJ$4,tabela_registros[CATEGORIA],reservavariáveisconsolidadojun[[#This Row],[ATUAL]])</f>
        <v>0</v>
      </c>
      <c r="I194" s="119" t="n">
        <f aca="false">SUMIFS(tabela_registros[VALOR],tabela_registros[MÊS],$AE$1,tabela_registros[DIA],reservavariáveisconsolidadojun[[#Headers],[5]],tabela_registros[REGISTRO],DADOS!$N$6,tabela_registros[TIPO],DADOS!$AJ$4,tabela_registros[CATEGORIA],reservavariáveisconsolidadojun[[#This Row],[ATUAL]])</f>
        <v>0</v>
      </c>
      <c r="J194" s="119" t="n">
        <f aca="false">SUMIFS(tabela_registros[VALOR],tabela_registros[MÊS],$AE$1,tabela_registros[DIA],reservavariáveisconsolidadojun[[#Headers],[6]],tabela_registros[REGISTRO],DADOS!$N$6,tabela_registros[TIPO],DADOS!$AJ$4,tabela_registros[CATEGORIA],reservavariáveisconsolidadojun[[#This Row],[ATUAL]])</f>
        <v>0</v>
      </c>
      <c r="K194" s="119" t="n">
        <f aca="false">SUMIFS(tabela_registros[VALOR],tabela_registros[MÊS],$AE$1,tabela_registros[DIA],reservavariáveisconsolidadojun[[#Headers],[7]],tabela_registros[REGISTRO],DADOS!$N$6,tabela_registros[TIPO],DADOS!$AJ$4,tabela_registros[CATEGORIA],reservavariáveisconsolidadojun[[#This Row],[ATUAL]])</f>
        <v>0</v>
      </c>
      <c r="L194" s="119" t="n">
        <f aca="false">SUMIFS(tabela_registros[VALOR],tabela_registros[MÊS],$AE$1,tabela_registros[DIA],reservavariáveisconsolidadojun[[#Headers],[8]],tabela_registros[REGISTRO],DADOS!$N$6,tabela_registros[TIPO],DADOS!$AJ$4,tabela_registros[CATEGORIA],reservavariáveisconsolidadojun[[#This Row],[ATUAL]])</f>
        <v>0</v>
      </c>
      <c r="M194" s="119" t="n">
        <f aca="false">SUMIFS(tabela_registros[VALOR],tabela_registros[MÊS],$AE$1,tabela_registros[DIA],reservavariáveisconsolidadojun[[#Headers],[9]],tabela_registros[REGISTRO],DADOS!$N$6,tabela_registros[TIPO],DADOS!$AJ$4,tabela_registros[CATEGORIA],reservavariáveisconsolidadojun[[#This Row],[ATUAL]])</f>
        <v>0</v>
      </c>
      <c r="N194" s="119" t="n">
        <f aca="false">SUMIFS(tabela_registros[VALOR],tabela_registros[MÊS],$AE$1,tabela_registros[DIA],reservavariáveisconsolidadojun[[#Headers],[10]],tabela_registros[REGISTRO],DADOS!$N$6,tabela_registros[TIPO],DADOS!$AJ$4,tabela_registros[CATEGORIA],reservavariáveisconsolidadojun[[#This Row],[ATUAL]])</f>
        <v>0</v>
      </c>
      <c r="O194" s="119" t="n">
        <f aca="false">SUMIFS(tabela_registros[VALOR],tabela_registros[MÊS],$AE$1,tabela_registros[DIA],reservavariáveisconsolidadojun[[#Headers],[11]],tabela_registros[REGISTRO],DADOS!$N$6,tabela_registros[TIPO],DADOS!$AJ$4,tabela_registros[CATEGORIA],reservavariáveisconsolidadojun[[#This Row],[ATUAL]])</f>
        <v>0</v>
      </c>
      <c r="P194" s="119" t="n">
        <f aca="false">SUMIFS(tabela_registros[VALOR],tabela_registros[MÊS],$AE$1,tabela_registros[DIA],reservavariáveisconsolidadojun[[#Headers],[12]],tabela_registros[REGISTRO],DADOS!$N$6,tabela_registros[TIPO],DADOS!$AJ$4,tabela_registros[CATEGORIA],reservavariáveisconsolidadojun[[#This Row],[ATUAL]])</f>
        <v>0</v>
      </c>
      <c r="Q194" s="119" t="n">
        <f aca="false">SUMIFS(tabela_registros[VALOR],tabela_registros[MÊS],$AE$1,tabela_registros[DIA],reservavariáveisconsolidadojun[[#Headers],[13]],tabela_registros[REGISTRO],DADOS!$N$6,tabela_registros[TIPO],DADOS!$AJ$4,tabela_registros[CATEGORIA],reservavariáveisconsolidadojun[[#This Row],[ATUAL]])</f>
        <v>0</v>
      </c>
      <c r="R194" s="119" t="n">
        <f aca="false">SUMIFS(tabela_registros[VALOR],tabela_registros[MÊS],$AE$1,tabela_registros[DIA],reservavariáveisconsolidadojun[[#Headers],[14]],tabela_registros[REGISTRO],DADOS!$N$6,tabela_registros[TIPO],DADOS!$AJ$4,tabela_registros[CATEGORIA],reservavariáveisconsolidadojun[[#This Row],[ATUAL]])</f>
        <v>0</v>
      </c>
      <c r="S194" s="119" t="n">
        <f aca="false">SUMIFS(tabela_registros[VALOR],tabela_registros[MÊS],$AE$1,tabela_registros[DIA],reservavariáveisconsolidadojun[[#Headers],[15]],tabela_registros[REGISTRO],DADOS!$N$6,tabela_registros[TIPO],DADOS!$AJ$4,tabela_registros[CATEGORIA],reservavariáveisconsolidadojun[[#This Row],[ATUAL]])</f>
        <v>0</v>
      </c>
      <c r="T194" s="119" t="n">
        <f aca="false">SUMIFS(tabela_registros[VALOR],tabela_registros[MÊS],$AE$1,tabela_registros[DIA],reservavariáveisconsolidadojun[[#Headers],[16]],tabela_registros[REGISTRO],DADOS!$N$6,tabela_registros[TIPO],DADOS!$AJ$4,tabela_registros[CATEGORIA],reservavariáveisconsolidadojun[[#This Row],[ATUAL]])</f>
        <v>0</v>
      </c>
      <c r="U194" s="119" t="n">
        <f aca="false">SUMIFS(tabela_registros[VALOR],tabela_registros[MÊS],$AE$1,tabela_registros[DIA],reservavariáveisconsolidadojun[[#Headers],[17]],tabela_registros[REGISTRO],DADOS!$N$6,tabela_registros[TIPO],DADOS!$AJ$4,tabela_registros[CATEGORIA],reservavariáveisconsolidadojun[[#This Row],[ATUAL]])</f>
        <v>0</v>
      </c>
      <c r="V194" s="119" t="n">
        <f aca="false">SUMIFS(tabela_registros[VALOR],tabela_registros[MÊS],$AE$1,tabela_registros[DIA],reservavariáveisconsolidadojun[[#Headers],[18]],tabela_registros[REGISTRO],DADOS!$N$6,tabela_registros[TIPO],DADOS!$AJ$4,tabela_registros[CATEGORIA],reservavariáveisconsolidadojun[[#This Row],[ATUAL]])</f>
        <v>0</v>
      </c>
      <c r="W194" s="119" t="n">
        <f aca="false">SUMIFS(tabela_registros[VALOR],tabela_registros[MÊS],$AE$1,tabela_registros[DIA],reservavariáveisconsolidadojun[[#Headers],[19]],tabela_registros[REGISTRO],DADOS!$N$6,tabela_registros[TIPO],DADOS!$AJ$4,tabela_registros[CATEGORIA],reservavariáveisconsolidadojun[[#This Row],[ATUAL]])</f>
        <v>0</v>
      </c>
      <c r="X194" s="119" t="n">
        <f aca="false">SUMIFS(tabela_registros[VALOR],tabela_registros[MÊS],$AE$1,tabela_registros[DIA],reservavariáveisconsolidadojun[[#Headers],[20]],tabela_registros[REGISTRO],DADOS!$N$6,tabela_registros[TIPO],DADOS!$AJ$4,tabela_registros[CATEGORIA],reservavariáveisconsolidadojun[[#This Row],[ATUAL]])</f>
        <v>0</v>
      </c>
      <c r="Y194" s="119" t="n">
        <f aca="false">SUMIFS(tabela_registros[VALOR],tabela_registros[MÊS],$AE$1,tabela_registros[DIA],reservavariáveisconsolidadojun[[#Headers],[21]],tabela_registros[REGISTRO],DADOS!$N$6,tabela_registros[TIPO],DADOS!$AJ$4,tabela_registros[CATEGORIA],reservavariáveisconsolidadojun[[#This Row],[ATUAL]])</f>
        <v>0</v>
      </c>
      <c r="Z194" s="119" t="n">
        <f aca="false">SUMIFS(tabela_registros[VALOR],tabela_registros[MÊS],$AE$1,tabela_registros[DIA],reservavariáveisconsolidadojun[[#Headers],[22]],tabela_registros[REGISTRO],DADOS!$N$6,tabela_registros[TIPO],DADOS!$AJ$4,tabela_registros[CATEGORIA],reservavariáveisconsolidadojun[[#This Row],[ATUAL]])</f>
        <v>0</v>
      </c>
      <c r="AA194" s="119" t="n">
        <f aca="false">SUMIFS(tabela_registros[VALOR],tabela_registros[MÊS],$AE$1,tabela_registros[DIA],reservavariáveisconsolidadojun[[#Headers],[23]],tabela_registros[REGISTRO],DADOS!$N$6,tabela_registros[TIPO],DADOS!$AJ$4,tabela_registros[CATEGORIA],reservavariáveisconsolidadojun[[#This Row],[ATUAL]])</f>
        <v>0</v>
      </c>
      <c r="AB194" s="119" t="n">
        <f aca="false">SUMIFS(tabela_registros[VALOR],tabela_registros[MÊS],$AE$1,tabela_registros[DIA],reservavariáveisconsolidadojun[[#Headers],[24]],tabela_registros[REGISTRO],DADOS!$N$6,tabela_registros[TIPO],DADOS!$AJ$4,tabela_registros[CATEGORIA],reservavariáveisconsolidadojun[[#This Row],[ATUAL]])</f>
        <v>0</v>
      </c>
      <c r="AC194" s="119" t="n">
        <f aca="false">SUMIFS(tabela_registros[VALOR],tabela_registros[MÊS],$AE$1,tabela_registros[DIA],reservavariáveisconsolidadojun[[#Headers],[25]],tabela_registros[REGISTRO],DADOS!$N$6,tabela_registros[TIPO],DADOS!$AJ$4,tabela_registros[CATEGORIA],reservavariáveisconsolidadojun[[#This Row],[ATUAL]])</f>
        <v>0</v>
      </c>
      <c r="AD194" s="119" t="n">
        <f aca="false">SUMIFS(tabela_registros[VALOR],tabela_registros[MÊS],$AE$1,tabela_registros[DIA],reservavariáveisconsolidadojun[[#Headers],[26]],tabela_registros[REGISTRO],DADOS!$N$6,tabela_registros[TIPO],DADOS!$AJ$4,tabela_registros[CATEGORIA],reservavariáveisconsolidadojun[[#This Row],[ATUAL]])</f>
        <v>0</v>
      </c>
      <c r="AE194" s="119" t="n">
        <f aca="false">SUMIFS(tabela_registros[VALOR],tabela_registros[MÊS],$AE$1,tabela_registros[DIA],reservavariáveisconsolidadojun[[#Headers],[27]],tabela_registros[REGISTRO],DADOS!$N$6,tabela_registros[TIPO],DADOS!$AJ$4,tabela_registros[CATEGORIA],reservavariáveisconsolidadojun[[#This Row],[ATUAL]])</f>
        <v>0</v>
      </c>
      <c r="AF194" s="119" t="n">
        <f aca="false">SUMIFS(tabela_registros[VALOR],tabela_registros[MÊS],$AE$1,tabela_registros[DIA],reservavariáveisconsolidadojun[[#Headers],[28]],tabela_registros[REGISTRO],DADOS!$N$6,tabela_registros[TIPO],DADOS!$AJ$4,tabela_registros[CATEGORIA],reservavariáveisconsolidadojun[[#This Row],[ATUAL]])</f>
        <v>0</v>
      </c>
      <c r="AG194" s="119" t="n">
        <f aca="false">SUMIFS(tabela_registros[VALOR],tabela_registros[MÊS],$AE$1,tabela_registros[DIA],reservavariáveisconsolidadojun[[#Headers],[29]],tabela_registros[REGISTRO],DADOS!$N$6,tabela_registros[TIPO],DADOS!$AJ$4,tabela_registros[CATEGORIA],reservavariáveisconsolidadojun[[#This Row],[ATUAL]])</f>
        <v>0</v>
      </c>
      <c r="AH194" s="119" t="n">
        <f aca="false">SUMIFS(tabela_registros[VALOR],tabela_registros[MÊS],$AE$1,tabela_registros[DIA],reservavariáveisconsolidadojun[[#Headers],[30]],tabela_registros[REGISTRO],DADOS!$N$6,tabela_registros[TIPO],DADOS!$AJ$4,tabela_registros[CATEGORIA],reservavariáveisconsolidadojun[[#This Row],[ATUAL]])</f>
        <v>0</v>
      </c>
      <c r="AI194" s="217" t="n">
        <f aca="false">SUMIFS(tabela_registros[VALOR],tabela_registros[MÊS],$AE$1,tabela_registros[DIA],reservavariáveisconsolidadojun[[#Headers],[31]],tabela_registros[REGISTRO],DADOS!$N$6,tabela_registros[TIPO],DADOS!$AJ$4,tabela_registros[CATEGORIA],reservavariáveisconsolidadojun[[#This Row],[ATUAL]])</f>
        <v>0</v>
      </c>
      <c r="AJ194" s="149" t="n">
        <f aca="false">SUM(reservavariáveisconsolidadojun[[#This Row],[1]:[31]])</f>
        <v>0</v>
      </c>
      <c r="AK194" s="165"/>
    </row>
    <row r="195" customFormat="false" ht="19.5" hidden="false" customHeight="true" outlineLevel="0" collapsed="false">
      <c r="B195" s="143"/>
      <c r="C195" s="144" t="str">
        <f aca="false">DADOS!$AN$11</f>
        <v>📝 MOEDA</v>
      </c>
      <c r="D195" s="145" t="str">
        <f aca="false">IF(reservavariáveisconsolidadojun[[#This Row],[TOTAL (R$)]]=0,"",IF(OR(reservavariáveisconsolidadojun[[#This Row],[TOTAL (R$)]]=LARGE($AJ$187:$AJ$196,1),reservavariáveisconsolidadojun[[#This Row],[TOTAL (R$)]]=LARGE($AJ$187:$AJ$196,2)),DADOS!$I$11,""))</f>
        <v/>
      </c>
      <c r="E195" s="148" t="n">
        <f aca="false">SUMIFS(tabela_registros[VALOR],tabela_registros[MÊS],$AE$1,tabela_registros[DIA],reservavariáveisconsolidadojun[[#Headers],[1]],tabela_registros[REGISTRO],DADOS!$N$6,tabela_registros[TIPO],DADOS!$AJ$4,tabela_registros[CATEGORIA],reservavariáveisconsolidadojun[[#This Row],[ATUAL]])</f>
        <v>0</v>
      </c>
      <c r="F195" s="119" t="n">
        <f aca="false">SUMIFS(tabela_registros[VALOR],tabela_registros[MÊS],$AE$1,tabela_registros[DIA],reservavariáveisconsolidadojun[[#Headers],[2]],tabela_registros[REGISTRO],DADOS!$N$6,tabela_registros[TIPO],DADOS!$AJ$4,tabela_registros[CATEGORIA],reservavariáveisconsolidadojun[[#This Row],[ATUAL]])</f>
        <v>0</v>
      </c>
      <c r="G195" s="119" t="n">
        <f aca="false">SUMIFS(tabela_registros[VALOR],tabela_registros[MÊS],$AE$1,tabela_registros[DIA],reservavariáveisconsolidadojun[[#Headers],[3]],tabela_registros[REGISTRO],DADOS!$N$6,tabela_registros[TIPO],DADOS!$AJ$4,tabela_registros[CATEGORIA],reservavariáveisconsolidadojun[[#This Row],[ATUAL]])</f>
        <v>0</v>
      </c>
      <c r="H195" s="119" t="n">
        <f aca="false">SUMIFS(tabela_registros[VALOR],tabela_registros[MÊS],$AE$1,tabela_registros[DIA],reservavariáveisconsolidadojun[[#Headers],[4]],tabela_registros[REGISTRO],DADOS!$N$6,tabela_registros[TIPO],DADOS!$AJ$4,tabela_registros[CATEGORIA],reservavariáveisconsolidadojun[[#This Row],[ATUAL]])</f>
        <v>0</v>
      </c>
      <c r="I195" s="119" t="n">
        <f aca="false">SUMIFS(tabela_registros[VALOR],tabela_registros[MÊS],$AE$1,tabela_registros[DIA],reservavariáveisconsolidadojun[[#Headers],[5]],tabela_registros[REGISTRO],DADOS!$N$6,tabela_registros[TIPO],DADOS!$AJ$4,tabela_registros[CATEGORIA],reservavariáveisconsolidadojun[[#This Row],[ATUAL]])</f>
        <v>0</v>
      </c>
      <c r="J195" s="119" t="n">
        <f aca="false">SUMIFS(tabela_registros[VALOR],tabela_registros[MÊS],$AE$1,tabela_registros[DIA],reservavariáveisconsolidadojun[[#Headers],[6]],tabela_registros[REGISTRO],DADOS!$N$6,tabela_registros[TIPO],DADOS!$AJ$4,tabela_registros[CATEGORIA],reservavariáveisconsolidadojun[[#This Row],[ATUAL]])</f>
        <v>0</v>
      </c>
      <c r="K195" s="119" t="n">
        <f aca="false">SUMIFS(tabela_registros[VALOR],tabela_registros[MÊS],$AE$1,tabela_registros[DIA],reservavariáveisconsolidadojun[[#Headers],[7]],tabela_registros[REGISTRO],DADOS!$N$6,tabela_registros[TIPO],DADOS!$AJ$4,tabela_registros[CATEGORIA],reservavariáveisconsolidadojun[[#This Row],[ATUAL]])</f>
        <v>0</v>
      </c>
      <c r="L195" s="119" t="n">
        <f aca="false">SUMIFS(tabela_registros[VALOR],tabela_registros[MÊS],$AE$1,tabela_registros[DIA],reservavariáveisconsolidadojun[[#Headers],[8]],tabela_registros[REGISTRO],DADOS!$N$6,tabela_registros[TIPO],DADOS!$AJ$4,tabela_registros[CATEGORIA],reservavariáveisconsolidadojun[[#This Row],[ATUAL]])</f>
        <v>0</v>
      </c>
      <c r="M195" s="119" t="n">
        <f aca="false">SUMIFS(tabela_registros[VALOR],tabela_registros[MÊS],$AE$1,tabela_registros[DIA],reservavariáveisconsolidadojun[[#Headers],[9]],tabela_registros[REGISTRO],DADOS!$N$6,tabela_registros[TIPO],DADOS!$AJ$4,tabela_registros[CATEGORIA],reservavariáveisconsolidadojun[[#This Row],[ATUAL]])</f>
        <v>0</v>
      </c>
      <c r="N195" s="119" t="n">
        <f aca="false">SUMIFS(tabela_registros[VALOR],tabela_registros[MÊS],$AE$1,tabela_registros[DIA],reservavariáveisconsolidadojun[[#Headers],[10]],tabela_registros[REGISTRO],DADOS!$N$6,tabela_registros[TIPO],DADOS!$AJ$4,tabela_registros[CATEGORIA],reservavariáveisconsolidadojun[[#This Row],[ATUAL]])</f>
        <v>0</v>
      </c>
      <c r="O195" s="119" t="n">
        <f aca="false">SUMIFS(tabela_registros[VALOR],tabela_registros[MÊS],$AE$1,tabela_registros[DIA],reservavariáveisconsolidadojun[[#Headers],[11]],tabela_registros[REGISTRO],DADOS!$N$6,tabela_registros[TIPO],DADOS!$AJ$4,tabela_registros[CATEGORIA],reservavariáveisconsolidadojun[[#This Row],[ATUAL]])</f>
        <v>0</v>
      </c>
      <c r="P195" s="119" t="n">
        <f aca="false">SUMIFS(tabela_registros[VALOR],tabela_registros[MÊS],$AE$1,tabela_registros[DIA],reservavariáveisconsolidadojun[[#Headers],[12]],tabela_registros[REGISTRO],DADOS!$N$6,tabela_registros[TIPO],DADOS!$AJ$4,tabela_registros[CATEGORIA],reservavariáveisconsolidadojun[[#This Row],[ATUAL]])</f>
        <v>0</v>
      </c>
      <c r="Q195" s="119" t="n">
        <f aca="false">SUMIFS(tabela_registros[VALOR],tabela_registros[MÊS],$AE$1,tabela_registros[DIA],reservavariáveisconsolidadojun[[#Headers],[13]],tabela_registros[REGISTRO],DADOS!$N$6,tabela_registros[TIPO],DADOS!$AJ$4,tabela_registros[CATEGORIA],reservavariáveisconsolidadojun[[#This Row],[ATUAL]])</f>
        <v>0</v>
      </c>
      <c r="R195" s="119" t="n">
        <f aca="false">SUMIFS(tabela_registros[VALOR],tabela_registros[MÊS],$AE$1,tabela_registros[DIA],reservavariáveisconsolidadojun[[#Headers],[14]],tabela_registros[REGISTRO],DADOS!$N$6,tabela_registros[TIPO],DADOS!$AJ$4,tabela_registros[CATEGORIA],reservavariáveisconsolidadojun[[#This Row],[ATUAL]])</f>
        <v>0</v>
      </c>
      <c r="S195" s="119" t="n">
        <f aca="false">SUMIFS(tabela_registros[VALOR],tabela_registros[MÊS],$AE$1,tabela_registros[DIA],reservavariáveisconsolidadojun[[#Headers],[15]],tabela_registros[REGISTRO],DADOS!$N$6,tabela_registros[TIPO],DADOS!$AJ$4,tabela_registros[CATEGORIA],reservavariáveisconsolidadojun[[#This Row],[ATUAL]])</f>
        <v>0</v>
      </c>
      <c r="T195" s="119" t="n">
        <f aca="false">SUMIFS(tabela_registros[VALOR],tabela_registros[MÊS],$AE$1,tabela_registros[DIA],reservavariáveisconsolidadojun[[#Headers],[16]],tabela_registros[REGISTRO],DADOS!$N$6,tabela_registros[TIPO],DADOS!$AJ$4,tabela_registros[CATEGORIA],reservavariáveisconsolidadojun[[#This Row],[ATUAL]])</f>
        <v>0</v>
      </c>
      <c r="U195" s="119" t="n">
        <f aca="false">SUMIFS(tabela_registros[VALOR],tabela_registros[MÊS],$AE$1,tabela_registros[DIA],reservavariáveisconsolidadojun[[#Headers],[17]],tabela_registros[REGISTRO],DADOS!$N$6,tabela_registros[TIPO],DADOS!$AJ$4,tabela_registros[CATEGORIA],reservavariáveisconsolidadojun[[#This Row],[ATUAL]])</f>
        <v>0</v>
      </c>
      <c r="V195" s="119" t="n">
        <f aca="false">SUMIFS(tabela_registros[VALOR],tabela_registros[MÊS],$AE$1,tabela_registros[DIA],reservavariáveisconsolidadojun[[#Headers],[18]],tabela_registros[REGISTRO],DADOS!$N$6,tabela_registros[TIPO],DADOS!$AJ$4,tabela_registros[CATEGORIA],reservavariáveisconsolidadojun[[#This Row],[ATUAL]])</f>
        <v>0</v>
      </c>
      <c r="W195" s="119" t="n">
        <f aca="false">SUMIFS(tabela_registros[VALOR],tabela_registros[MÊS],$AE$1,tabela_registros[DIA],reservavariáveisconsolidadojun[[#Headers],[19]],tabela_registros[REGISTRO],DADOS!$N$6,tabela_registros[TIPO],DADOS!$AJ$4,tabela_registros[CATEGORIA],reservavariáveisconsolidadojun[[#This Row],[ATUAL]])</f>
        <v>0</v>
      </c>
      <c r="X195" s="119" t="n">
        <f aca="false">SUMIFS(tabela_registros[VALOR],tabela_registros[MÊS],$AE$1,tabela_registros[DIA],reservavariáveisconsolidadojun[[#Headers],[20]],tabela_registros[REGISTRO],DADOS!$N$6,tabela_registros[TIPO],DADOS!$AJ$4,tabela_registros[CATEGORIA],reservavariáveisconsolidadojun[[#This Row],[ATUAL]])</f>
        <v>0</v>
      </c>
      <c r="Y195" s="119" t="n">
        <f aca="false">SUMIFS(tabela_registros[VALOR],tabela_registros[MÊS],$AE$1,tabela_registros[DIA],reservavariáveisconsolidadojun[[#Headers],[21]],tabela_registros[REGISTRO],DADOS!$N$6,tabela_registros[TIPO],DADOS!$AJ$4,tabela_registros[CATEGORIA],reservavariáveisconsolidadojun[[#This Row],[ATUAL]])</f>
        <v>0</v>
      </c>
      <c r="Z195" s="119" t="n">
        <f aca="false">SUMIFS(tabela_registros[VALOR],tabela_registros[MÊS],$AE$1,tabela_registros[DIA],reservavariáveisconsolidadojun[[#Headers],[22]],tabela_registros[REGISTRO],DADOS!$N$6,tabela_registros[TIPO],DADOS!$AJ$4,tabela_registros[CATEGORIA],reservavariáveisconsolidadojun[[#This Row],[ATUAL]])</f>
        <v>0</v>
      </c>
      <c r="AA195" s="119" t="n">
        <f aca="false">SUMIFS(tabela_registros[VALOR],tabela_registros[MÊS],$AE$1,tabela_registros[DIA],reservavariáveisconsolidadojun[[#Headers],[23]],tabela_registros[REGISTRO],DADOS!$N$6,tabela_registros[TIPO],DADOS!$AJ$4,tabela_registros[CATEGORIA],reservavariáveisconsolidadojun[[#This Row],[ATUAL]])</f>
        <v>0</v>
      </c>
      <c r="AB195" s="119" t="n">
        <f aca="false">SUMIFS(tabela_registros[VALOR],tabela_registros[MÊS],$AE$1,tabela_registros[DIA],reservavariáveisconsolidadojun[[#Headers],[24]],tabela_registros[REGISTRO],DADOS!$N$6,tabela_registros[TIPO],DADOS!$AJ$4,tabela_registros[CATEGORIA],reservavariáveisconsolidadojun[[#This Row],[ATUAL]])</f>
        <v>0</v>
      </c>
      <c r="AC195" s="119" t="n">
        <f aca="false">SUMIFS(tabela_registros[VALOR],tabela_registros[MÊS],$AE$1,tabela_registros[DIA],reservavariáveisconsolidadojun[[#Headers],[25]],tabela_registros[REGISTRO],DADOS!$N$6,tabela_registros[TIPO],DADOS!$AJ$4,tabela_registros[CATEGORIA],reservavariáveisconsolidadojun[[#This Row],[ATUAL]])</f>
        <v>0</v>
      </c>
      <c r="AD195" s="119" t="n">
        <f aca="false">SUMIFS(tabela_registros[VALOR],tabela_registros[MÊS],$AE$1,tabela_registros[DIA],reservavariáveisconsolidadojun[[#Headers],[26]],tabela_registros[REGISTRO],DADOS!$N$6,tabela_registros[TIPO],DADOS!$AJ$4,tabela_registros[CATEGORIA],reservavariáveisconsolidadojun[[#This Row],[ATUAL]])</f>
        <v>0</v>
      </c>
      <c r="AE195" s="119" t="n">
        <f aca="false">SUMIFS(tabela_registros[VALOR],tabela_registros[MÊS],$AE$1,tabela_registros[DIA],reservavariáveisconsolidadojun[[#Headers],[27]],tabela_registros[REGISTRO],DADOS!$N$6,tabela_registros[TIPO],DADOS!$AJ$4,tabela_registros[CATEGORIA],reservavariáveisconsolidadojun[[#This Row],[ATUAL]])</f>
        <v>0</v>
      </c>
      <c r="AF195" s="119" t="n">
        <f aca="false">SUMIFS(tabela_registros[VALOR],tabela_registros[MÊS],$AE$1,tabela_registros[DIA],reservavariáveisconsolidadojun[[#Headers],[28]],tabela_registros[REGISTRO],DADOS!$N$6,tabela_registros[TIPO],DADOS!$AJ$4,tabela_registros[CATEGORIA],reservavariáveisconsolidadojun[[#This Row],[ATUAL]])</f>
        <v>0</v>
      </c>
      <c r="AG195" s="119" t="n">
        <f aca="false">SUMIFS(tabela_registros[VALOR],tabela_registros[MÊS],$AE$1,tabela_registros[DIA],reservavariáveisconsolidadojun[[#Headers],[29]],tabela_registros[REGISTRO],DADOS!$N$6,tabela_registros[TIPO],DADOS!$AJ$4,tabela_registros[CATEGORIA],reservavariáveisconsolidadojun[[#This Row],[ATUAL]])</f>
        <v>0</v>
      </c>
      <c r="AH195" s="119" t="n">
        <f aca="false">SUMIFS(tabela_registros[VALOR],tabela_registros[MÊS],$AE$1,tabela_registros[DIA],reservavariáveisconsolidadojun[[#Headers],[30]],tabela_registros[REGISTRO],DADOS!$N$6,tabela_registros[TIPO],DADOS!$AJ$4,tabela_registros[CATEGORIA],reservavariáveisconsolidadojun[[#This Row],[ATUAL]])</f>
        <v>0</v>
      </c>
      <c r="AI195" s="217" t="n">
        <f aca="false">SUMIFS(tabela_registros[VALOR],tabela_registros[MÊS],$AE$1,tabela_registros[DIA],reservavariáveisconsolidadojun[[#Headers],[31]],tabela_registros[REGISTRO],DADOS!$N$6,tabela_registros[TIPO],DADOS!$AJ$4,tabela_registros[CATEGORIA],reservavariáveisconsolidadojun[[#This Row],[ATUAL]])</f>
        <v>0</v>
      </c>
      <c r="AJ195" s="149" t="n">
        <f aca="false">SUM(reservavariáveisconsolidadojun[[#This Row],[1]:[31]])</f>
        <v>0</v>
      </c>
      <c r="AK195" s="165"/>
    </row>
    <row r="196" customFormat="false" ht="19.5" hidden="false" customHeight="true" outlineLevel="0" collapsed="false">
      <c r="B196" s="143"/>
      <c r="C196" s="144" t="str">
        <f aca="false">DADOS!$AN$12</f>
        <v>📎 OUTROS</v>
      </c>
      <c r="D196" s="145" t="str">
        <f aca="false">IF(reservavariáveisconsolidadojun[[#This Row],[TOTAL (R$)]]=0,"",IF(OR(reservavariáveisconsolidadojun[[#This Row],[TOTAL (R$)]]=LARGE($AJ$187:$AJ$196,1),reservavariáveisconsolidadojun[[#This Row],[TOTAL (R$)]]=LARGE($AJ$187:$AJ$196,2)),DADOS!$I$11,""))</f>
        <v/>
      </c>
      <c r="E196" s="148" t="n">
        <f aca="false">SUMIFS(tabela_registros[VALOR],tabela_registros[MÊS],$AE$1,tabela_registros[DIA],reservavariáveisconsolidadojun[[#Headers],[1]],tabela_registros[REGISTRO],DADOS!$N$6,tabela_registros[TIPO],DADOS!$AJ$4,tabela_registros[CATEGORIA],reservavariáveisconsolidadojun[[#This Row],[ATUAL]])</f>
        <v>0</v>
      </c>
      <c r="F196" s="119" t="n">
        <f aca="false">SUMIFS(tabela_registros[VALOR],tabela_registros[MÊS],$AE$1,tabela_registros[DIA],reservavariáveisconsolidadojun[[#Headers],[2]],tabela_registros[REGISTRO],DADOS!$N$6,tabela_registros[TIPO],DADOS!$AJ$4,tabela_registros[CATEGORIA],reservavariáveisconsolidadojun[[#This Row],[ATUAL]])</f>
        <v>0</v>
      </c>
      <c r="G196" s="119" t="n">
        <f aca="false">SUMIFS(tabela_registros[VALOR],tabela_registros[MÊS],$AE$1,tabela_registros[DIA],reservavariáveisconsolidadojun[[#Headers],[3]],tabela_registros[REGISTRO],DADOS!$N$6,tabela_registros[TIPO],DADOS!$AJ$4,tabela_registros[CATEGORIA],reservavariáveisconsolidadojun[[#This Row],[ATUAL]])</f>
        <v>0</v>
      </c>
      <c r="H196" s="119" t="n">
        <f aca="false">SUMIFS(tabela_registros[VALOR],tabela_registros[MÊS],$AE$1,tabela_registros[DIA],reservavariáveisconsolidadojun[[#Headers],[4]],tabela_registros[REGISTRO],DADOS!$N$6,tabela_registros[TIPO],DADOS!$AJ$4,tabela_registros[CATEGORIA],reservavariáveisconsolidadojun[[#This Row],[ATUAL]])</f>
        <v>0</v>
      </c>
      <c r="I196" s="119" t="n">
        <f aca="false">SUMIFS(tabela_registros[VALOR],tabela_registros[MÊS],$AE$1,tabela_registros[DIA],reservavariáveisconsolidadojun[[#Headers],[5]],tabela_registros[REGISTRO],DADOS!$N$6,tabela_registros[TIPO],DADOS!$AJ$4,tabela_registros[CATEGORIA],reservavariáveisconsolidadojun[[#This Row],[ATUAL]])</f>
        <v>0</v>
      </c>
      <c r="J196" s="119" t="n">
        <f aca="false">SUMIFS(tabela_registros[VALOR],tabela_registros[MÊS],$AE$1,tabela_registros[DIA],reservavariáveisconsolidadojun[[#Headers],[6]],tabela_registros[REGISTRO],DADOS!$N$6,tabela_registros[TIPO],DADOS!$AJ$4,tabela_registros[CATEGORIA],reservavariáveisconsolidadojun[[#This Row],[ATUAL]])</f>
        <v>0</v>
      </c>
      <c r="K196" s="119" t="n">
        <f aca="false">SUMIFS(tabela_registros[VALOR],tabela_registros[MÊS],$AE$1,tabela_registros[DIA],reservavariáveisconsolidadojun[[#Headers],[7]],tabela_registros[REGISTRO],DADOS!$N$6,tabela_registros[TIPO],DADOS!$AJ$4,tabela_registros[CATEGORIA],reservavariáveisconsolidadojun[[#This Row],[ATUAL]])</f>
        <v>0</v>
      </c>
      <c r="L196" s="119" t="n">
        <f aca="false">SUMIFS(tabela_registros[VALOR],tabela_registros[MÊS],$AE$1,tabela_registros[DIA],reservavariáveisconsolidadojun[[#Headers],[8]],tabela_registros[REGISTRO],DADOS!$N$6,tabela_registros[TIPO],DADOS!$AJ$4,tabela_registros[CATEGORIA],reservavariáveisconsolidadojun[[#This Row],[ATUAL]])</f>
        <v>0</v>
      </c>
      <c r="M196" s="119" t="n">
        <f aca="false">SUMIFS(tabela_registros[VALOR],tabela_registros[MÊS],$AE$1,tabela_registros[DIA],reservavariáveisconsolidadojun[[#Headers],[9]],tabela_registros[REGISTRO],DADOS!$N$6,tabela_registros[TIPO],DADOS!$AJ$4,tabela_registros[CATEGORIA],reservavariáveisconsolidadojun[[#This Row],[ATUAL]])</f>
        <v>0</v>
      </c>
      <c r="N196" s="119" t="n">
        <f aca="false">SUMIFS(tabela_registros[VALOR],tabela_registros[MÊS],$AE$1,tabela_registros[DIA],reservavariáveisconsolidadojun[[#Headers],[10]],tabela_registros[REGISTRO],DADOS!$N$6,tabela_registros[TIPO],DADOS!$AJ$4,tabela_registros[CATEGORIA],reservavariáveisconsolidadojun[[#This Row],[ATUAL]])</f>
        <v>0</v>
      </c>
      <c r="O196" s="119" t="n">
        <f aca="false">SUMIFS(tabela_registros[VALOR],tabela_registros[MÊS],$AE$1,tabela_registros[DIA],reservavariáveisconsolidadojun[[#Headers],[11]],tabela_registros[REGISTRO],DADOS!$N$6,tabela_registros[TIPO],DADOS!$AJ$4,tabela_registros[CATEGORIA],reservavariáveisconsolidadojun[[#This Row],[ATUAL]])</f>
        <v>0</v>
      </c>
      <c r="P196" s="119" t="n">
        <f aca="false">SUMIFS(tabela_registros[VALOR],tabela_registros[MÊS],$AE$1,tabela_registros[DIA],reservavariáveisconsolidadojun[[#Headers],[12]],tabela_registros[REGISTRO],DADOS!$N$6,tabela_registros[TIPO],DADOS!$AJ$4,tabela_registros[CATEGORIA],reservavariáveisconsolidadojun[[#This Row],[ATUAL]])</f>
        <v>0</v>
      </c>
      <c r="Q196" s="119" t="n">
        <f aca="false">SUMIFS(tabela_registros[VALOR],tabela_registros[MÊS],$AE$1,tabela_registros[DIA],reservavariáveisconsolidadojun[[#Headers],[13]],tabela_registros[REGISTRO],DADOS!$N$6,tabela_registros[TIPO],DADOS!$AJ$4,tabela_registros[CATEGORIA],reservavariáveisconsolidadojun[[#This Row],[ATUAL]])</f>
        <v>0</v>
      </c>
      <c r="R196" s="119" t="n">
        <f aca="false">SUMIFS(tabela_registros[VALOR],tabela_registros[MÊS],$AE$1,tabela_registros[DIA],reservavariáveisconsolidadojun[[#Headers],[14]],tabela_registros[REGISTRO],DADOS!$N$6,tabela_registros[TIPO],DADOS!$AJ$4,tabela_registros[CATEGORIA],reservavariáveisconsolidadojun[[#This Row],[ATUAL]])</f>
        <v>0</v>
      </c>
      <c r="S196" s="119" t="n">
        <f aca="false">SUMIFS(tabela_registros[VALOR],tabela_registros[MÊS],$AE$1,tabela_registros[DIA],reservavariáveisconsolidadojun[[#Headers],[15]],tabela_registros[REGISTRO],DADOS!$N$6,tabela_registros[TIPO],DADOS!$AJ$4,tabela_registros[CATEGORIA],reservavariáveisconsolidadojun[[#This Row],[ATUAL]])</f>
        <v>0</v>
      </c>
      <c r="T196" s="119" t="n">
        <f aca="false">SUMIFS(tabela_registros[VALOR],tabela_registros[MÊS],$AE$1,tabela_registros[DIA],reservavariáveisconsolidadojun[[#Headers],[16]],tabela_registros[REGISTRO],DADOS!$N$6,tabela_registros[TIPO],DADOS!$AJ$4,tabela_registros[CATEGORIA],reservavariáveisconsolidadojun[[#This Row],[ATUAL]])</f>
        <v>0</v>
      </c>
      <c r="U196" s="119" t="n">
        <f aca="false">SUMIFS(tabela_registros[VALOR],tabela_registros[MÊS],$AE$1,tabela_registros[DIA],reservavariáveisconsolidadojun[[#Headers],[17]],tabela_registros[REGISTRO],DADOS!$N$6,tabela_registros[TIPO],DADOS!$AJ$4,tabela_registros[CATEGORIA],reservavariáveisconsolidadojun[[#This Row],[ATUAL]])</f>
        <v>0</v>
      </c>
      <c r="V196" s="119" t="n">
        <f aca="false">SUMIFS(tabela_registros[VALOR],tabela_registros[MÊS],$AE$1,tabela_registros[DIA],reservavariáveisconsolidadojun[[#Headers],[18]],tabela_registros[REGISTRO],DADOS!$N$6,tabela_registros[TIPO],DADOS!$AJ$4,tabela_registros[CATEGORIA],reservavariáveisconsolidadojun[[#This Row],[ATUAL]])</f>
        <v>0</v>
      </c>
      <c r="W196" s="119" t="n">
        <f aca="false">SUMIFS(tabela_registros[VALOR],tabela_registros[MÊS],$AE$1,tabela_registros[DIA],reservavariáveisconsolidadojun[[#Headers],[19]],tabela_registros[REGISTRO],DADOS!$N$6,tabela_registros[TIPO],DADOS!$AJ$4,tabela_registros[CATEGORIA],reservavariáveisconsolidadojun[[#This Row],[ATUAL]])</f>
        <v>0</v>
      </c>
      <c r="X196" s="119" t="n">
        <f aca="false">SUMIFS(tabela_registros[VALOR],tabela_registros[MÊS],$AE$1,tabela_registros[DIA],reservavariáveisconsolidadojun[[#Headers],[20]],tabela_registros[REGISTRO],DADOS!$N$6,tabela_registros[TIPO],DADOS!$AJ$4,tabela_registros[CATEGORIA],reservavariáveisconsolidadojun[[#This Row],[ATUAL]])</f>
        <v>0</v>
      </c>
      <c r="Y196" s="119" t="n">
        <f aca="false">SUMIFS(tabela_registros[VALOR],tabela_registros[MÊS],$AE$1,tabela_registros[DIA],reservavariáveisconsolidadojun[[#Headers],[21]],tabela_registros[REGISTRO],DADOS!$N$6,tabela_registros[TIPO],DADOS!$AJ$4,tabela_registros[CATEGORIA],reservavariáveisconsolidadojun[[#This Row],[ATUAL]])</f>
        <v>0</v>
      </c>
      <c r="Z196" s="119" t="n">
        <f aca="false">SUMIFS(tabela_registros[VALOR],tabela_registros[MÊS],$AE$1,tabela_registros[DIA],reservavariáveisconsolidadojun[[#Headers],[22]],tabela_registros[REGISTRO],DADOS!$N$6,tabela_registros[TIPO],DADOS!$AJ$4,tabela_registros[CATEGORIA],reservavariáveisconsolidadojun[[#This Row],[ATUAL]])</f>
        <v>0</v>
      </c>
      <c r="AA196" s="119" t="n">
        <f aca="false">SUMIFS(tabela_registros[VALOR],tabela_registros[MÊS],$AE$1,tabela_registros[DIA],reservavariáveisconsolidadojun[[#Headers],[23]],tabela_registros[REGISTRO],DADOS!$N$6,tabela_registros[TIPO],DADOS!$AJ$4,tabela_registros[CATEGORIA],reservavariáveisconsolidadojun[[#This Row],[ATUAL]])</f>
        <v>0</v>
      </c>
      <c r="AB196" s="119" t="n">
        <f aca="false">SUMIFS(tabela_registros[VALOR],tabela_registros[MÊS],$AE$1,tabela_registros[DIA],reservavariáveisconsolidadojun[[#Headers],[24]],tabela_registros[REGISTRO],DADOS!$N$6,tabela_registros[TIPO],DADOS!$AJ$4,tabela_registros[CATEGORIA],reservavariáveisconsolidadojun[[#This Row],[ATUAL]])</f>
        <v>0</v>
      </c>
      <c r="AC196" s="119" t="n">
        <f aca="false">SUMIFS(tabela_registros[VALOR],tabela_registros[MÊS],$AE$1,tabela_registros[DIA],reservavariáveisconsolidadojun[[#Headers],[25]],tabela_registros[REGISTRO],DADOS!$N$6,tabela_registros[TIPO],DADOS!$AJ$4,tabela_registros[CATEGORIA],reservavariáveisconsolidadojun[[#This Row],[ATUAL]])</f>
        <v>0</v>
      </c>
      <c r="AD196" s="119" t="n">
        <f aca="false">SUMIFS(tabela_registros[VALOR],tabela_registros[MÊS],$AE$1,tabela_registros[DIA],reservavariáveisconsolidadojun[[#Headers],[26]],tabela_registros[REGISTRO],DADOS!$N$6,tabela_registros[TIPO],DADOS!$AJ$4,tabela_registros[CATEGORIA],reservavariáveisconsolidadojun[[#This Row],[ATUAL]])</f>
        <v>0</v>
      </c>
      <c r="AE196" s="119" t="n">
        <f aca="false">SUMIFS(tabela_registros[VALOR],tabela_registros[MÊS],$AE$1,tabela_registros[DIA],reservavariáveisconsolidadojun[[#Headers],[27]],tabela_registros[REGISTRO],DADOS!$N$6,tabela_registros[TIPO],DADOS!$AJ$4,tabela_registros[CATEGORIA],reservavariáveisconsolidadojun[[#This Row],[ATUAL]])</f>
        <v>0</v>
      </c>
      <c r="AF196" s="119" t="n">
        <f aca="false">SUMIFS(tabela_registros[VALOR],tabela_registros[MÊS],$AE$1,tabela_registros[DIA],reservavariáveisconsolidadojun[[#Headers],[28]],tabela_registros[REGISTRO],DADOS!$N$6,tabela_registros[TIPO],DADOS!$AJ$4,tabela_registros[CATEGORIA],reservavariáveisconsolidadojun[[#This Row],[ATUAL]])</f>
        <v>0</v>
      </c>
      <c r="AG196" s="119" t="n">
        <f aca="false">SUMIFS(tabela_registros[VALOR],tabela_registros[MÊS],$AE$1,tabela_registros[DIA],reservavariáveisconsolidadojun[[#Headers],[29]],tabela_registros[REGISTRO],DADOS!$N$6,tabela_registros[TIPO],DADOS!$AJ$4,tabela_registros[CATEGORIA],reservavariáveisconsolidadojun[[#This Row],[ATUAL]])</f>
        <v>0</v>
      </c>
      <c r="AH196" s="119" t="n">
        <f aca="false">SUMIFS(tabela_registros[VALOR],tabela_registros[MÊS],$AE$1,tabela_registros[DIA],reservavariáveisconsolidadojun[[#Headers],[30]],tabela_registros[REGISTRO],DADOS!$N$6,tabela_registros[TIPO],DADOS!$AJ$4,tabela_registros[CATEGORIA],reservavariáveisconsolidadojun[[#This Row],[ATUAL]])</f>
        <v>0</v>
      </c>
      <c r="AI196" s="218" t="n">
        <f aca="false">SUMIFS(tabela_registros[VALOR],tabela_registros[MÊS],$AE$1,tabela_registros[DIA],reservavariáveisconsolidadojun[[#Headers],[31]],tabela_registros[REGISTRO],DADOS!$N$6,tabela_registros[TIPO],DADOS!$AJ$4,tabela_registros[CATEGORIA],reservavariáveisconsolidadojun[[#This Row],[ATUAL]])</f>
        <v>0</v>
      </c>
      <c r="AJ196" s="149" t="n">
        <f aca="false">SUM(reservavariáveisconsolidadojun[[#This Row],[1]:[31]])</f>
        <v>0</v>
      </c>
      <c r="AK196" s="165"/>
    </row>
    <row r="197" s="122" customFormat="true" ht="21" hidden="false" customHeight="true" outlineLevel="0" collapsed="false">
      <c r="B197" s="152"/>
      <c r="C197" s="153" t="s">
        <v>2</v>
      </c>
      <c r="D197" s="166"/>
      <c r="E197" s="155" t="n">
        <f aca="false">SUM(E187:E196)</f>
        <v>0</v>
      </c>
      <c r="F197" s="156" t="n">
        <f aca="false">SUM(F187:F196)+reservavariáveisconsolidadojun[[#This Row],[1]]</f>
        <v>0</v>
      </c>
      <c r="G197" s="156" t="n">
        <f aca="false">SUM(G187:G196)+reservavariáveisconsolidadojun[[#This Row],[2]]</f>
        <v>0</v>
      </c>
      <c r="H197" s="156" t="n">
        <f aca="false">SUM(H187:H196)+reservavariáveisconsolidadojun[[#This Row],[3]]</f>
        <v>0</v>
      </c>
      <c r="I197" s="156" t="n">
        <f aca="false">SUM(I187:I196)+reservavariáveisconsolidadojun[[#This Row],[4]]</f>
        <v>0</v>
      </c>
      <c r="J197" s="156" t="n">
        <f aca="false">SUM(J187:J196)+reservavariáveisconsolidadojun[[#This Row],[5]]</f>
        <v>0</v>
      </c>
      <c r="K197" s="156" t="n">
        <f aca="false">SUM(K187:K196)+reservavariáveisconsolidadojun[[#This Row],[6]]</f>
        <v>0</v>
      </c>
      <c r="L197" s="156" t="n">
        <f aca="false">SUM(L187:L196)+reservavariáveisconsolidadojun[[#This Row],[7]]</f>
        <v>0</v>
      </c>
      <c r="M197" s="156" t="n">
        <f aca="false">SUM(M187:M196)+reservavariáveisconsolidadojun[[#This Row],[8]]</f>
        <v>0</v>
      </c>
      <c r="N197" s="156" t="n">
        <f aca="false">SUM(N187:N196)+reservavariáveisconsolidadojun[[#This Row],[9]]</f>
        <v>0</v>
      </c>
      <c r="O197" s="156" t="n">
        <f aca="false">SUM(O187:O196)+reservavariáveisconsolidadojun[[#This Row],[10]]</f>
        <v>0</v>
      </c>
      <c r="P197" s="156" t="n">
        <f aca="false">SUM(P187:P196)+reservavariáveisconsolidadojun[[#This Row],[11]]</f>
        <v>0</v>
      </c>
      <c r="Q197" s="156" t="n">
        <f aca="false">SUM(Q187:Q196)+reservavariáveisconsolidadojun[[#This Row],[12]]</f>
        <v>0</v>
      </c>
      <c r="R197" s="156" t="n">
        <f aca="false">SUM(R187:R196)+reservavariáveisconsolidadojun[[#This Row],[13]]</f>
        <v>0</v>
      </c>
      <c r="S197" s="156" t="n">
        <f aca="false">SUM(S187:S196)+reservavariáveisconsolidadojun[[#This Row],[14]]</f>
        <v>0</v>
      </c>
      <c r="T197" s="156" t="n">
        <f aca="false">SUM(T187:T196)+reservavariáveisconsolidadojun[[#This Row],[15]]</f>
        <v>0</v>
      </c>
      <c r="U197" s="156" t="n">
        <f aca="false">SUM(U187:U196)+reservavariáveisconsolidadojun[[#This Row],[16]]</f>
        <v>0</v>
      </c>
      <c r="V197" s="156" t="n">
        <f aca="false">SUM(V187:V196)+reservavariáveisconsolidadojun[[#This Row],[17]]</f>
        <v>0</v>
      </c>
      <c r="W197" s="156" t="n">
        <f aca="false">SUM(W187:W196)+reservavariáveisconsolidadojun[[#This Row],[18]]</f>
        <v>0</v>
      </c>
      <c r="X197" s="156" t="n">
        <f aca="false">SUM(X187:X196)+reservavariáveisconsolidadojun[[#This Row],[19]]</f>
        <v>0</v>
      </c>
      <c r="Y197" s="156" t="n">
        <f aca="false">SUM(Y187:Y196)+reservavariáveisconsolidadojun[[#This Row],[20]]</f>
        <v>0</v>
      </c>
      <c r="Z197" s="156" t="n">
        <f aca="false">SUM(Z187:Z196)+reservavariáveisconsolidadojun[[#This Row],[21]]</f>
        <v>0</v>
      </c>
      <c r="AA197" s="156" t="n">
        <f aca="false">SUM(AA187:AA196)+reservavariáveisconsolidadojun[[#This Row],[22]]</f>
        <v>0</v>
      </c>
      <c r="AB197" s="156" t="n">
        <f aca="false">SUM(AB187:AB196)+reservavariáveisconsolidadojun[[#This Row],[23]]</f>
        <v>0</v>
      </c>
      <c r="AC197" s="156" t="n">
        <f aca="false">SUM(AC187:AC196)+reservavariáveisconsolidadojun[[#This Row],[24]]</f>
        <v>0</v>
      </c>
      <c r="AD197" s="156" t="n">
        <f aca="false">SUM(AD187:AD196)+reservavariáveisconsolidadojun[[#This Row],[25]]</f>
        <v>0</v>
      </c>
      <c r="AE197" s="156" t="n">
        <f aca="false">SUM(AE187:AE196)+reservavariáveisconsolidadojun[[#This Row],[26]]</f>
        <v>0</v>
      </c>
      <c r="AF197" s="156" t="n">
        <f aca="false">SUM(AF187:AF196)+reservavariáveisconsolidadojun[[#This Row],[27]]</f>
        <v>0</v>
      </c>
      <c r="AG197" s="156" t="n">
        <f aca="false">SUM(AG187:AG196)+reservavariáveisconsolidadojun[[#This Row],[28]]</f>
        <v>0</v>
      </c>
      <c r="AH197" s="156" t="n">
        <f aca="false">SUM(AH187:AH196)+reservavariáveisconsolidadojun[[#This Row],[29]]</f>
        <v>0</v>
      </c>
      <c r="AI197" s="223" t="n">
        <f aca="false">SUM(AI187:AI196)+reservavariáveisconsolidadojun[[#This Row],[30]]</f>
        <v>0</v>
      </c>
      <c r="AJ197" s="157" t="n">
        <f aca="false">reservavariáveisconsolidadojun[[#This Row],[31]]</f>
        <v>0</v>
      </c>
      <c r="AK197" s="158"/>
    </row>
    <row r="198" customFormat="false" ht="6.75" hidden="false" customHeight="true" outlineLevel="0" collapsed="false">
      <c r="B198" s="97"/>
      <c r="C198" s="162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233"/>
      <c r="AJ198" s="164"/>
      <c r="AK198" s="244"/>
    </row>
    <row r="199" s="78" customFormat="true" ht="12.75" hidden="false" customHeight="false" outlineLevel="0" collapsed="false">
      <c r="E199" s="100"/>
    </row>
    <row r="200" s="78" customFormat="true" ht="12" hidden="false" customHeight="false" outlineLevel="0" collapsed="false"/>
    <row r="201" s="78" customFormat="true" ht="12" hidden="false" customHeight="false" outlineLevel="0" collapsed="false"/>
    <row r="202" customFormat="false" ht="39.75" hidden="false" customHeight="true" outlineLevel="0" collapsed="false">
      <c r="C202" s="101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3" t="s">
        <v>2</v>
      </c>
    </row>
    <row r="203" s="78" customFormat="true" ht="12.75" hidden="false" customHeight="false" outlineLevel="0" collapsed="false">
      <c r="B203" s="161"/>
      <c r="AJ203" s="106" t="s">
        <v>64</v>
      </c>
    </row>
    <row r="204" customFormat="false" ht="6.75" hidden="false" customHeight="true" outlineLevel="0" collapsed="false">
      <c r="B204" s="86"/>
      <c r="C204" s="162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233"/>
      <c r="AK204" s="139"/>
    </row>
    <row r="205" customFormat="false" ht="13.5" hidden="true" customHeight="false" outlineLevel="0" collapsed="false">
      <c r="B205" s="86"/>
      <c r="C205" s="109" t="s">
        <v>68</v>
      </c>
      <c r="D205" s="110" t="s">
        <v>69</v>
      </c>
      <c r="E205" s="110" t="s">
        <v>30</v>
      </c>
      <c r="F205" s="110" t="s">
        <v>31</v>
      </c>
      <c r="G205" s="110" t="s">
        <v>32</v>
      </c>
      <c r="H205" s="110" t="s">
        <v>33</v>
      </c>
      <c r="I205" s="110" t="s">
        <v>34</v>
      </c>
      <c r="J205" s="110" t="s">
        <v>35</v>
      </c>
      <c r="K205" s="110" t="s">
        <v>36</v>
      </c>
      <c r="L205" s="110" t="s">
        <v>37</v>
      </c>
      <c r="M205" s="110" t="s">
        <v>38</v>
      </c>
      <c r="N205" s="110" t="s">
        <v>39</v>
      </c>
      <c r="O205" s="110" t="s">
        <v>40</v>
      </c>
      <c r="P205" s="110" t="s">
        <v>41</v>
      </c>
      <c r="Q205" s="110" t="s">
        <v>81</v>
      </c>
      <c r="R205" s="110" t="s">
        <v>82</v>
      </c>
      <c r="S205" s="110" t="s">
        <v>83</v>
      </c>
      <c r="T205" s="110" t="s">
        <v>84</v>
      </c>
      <c r="U205" s="110" t="s">
        <v>85</v>
      </c>
      <c r="V205" s="110" t="s">
        <v>86</v>
      </c>
      <c r="W205" s="110" t="s">
        <v>87</v>
      </c>
      <c r="X205" s="110" t="s">
        <v>88</v>
      </c>
      <c r="Y205" s="110" t="s">
        <v>89</v>
      </c>
      <c r="Z205" s="110" t="s">
        <v>90</v>
      </c>
      <c r="AA205" s="110" t="s">
        <v>91</v>
      </c>
      <c r="AB205" s="110" t="s">
        <v>92</v>
      </c>
      <c r="AC205" s="110" t="s">
        <v>93</v>
      </c>
      <c r="AD205" s="110" t="s">
        <v>94</v>
      </c>
      <c r="AE205" s="110" t="s">
        <v>95</v>
      </c>
      <c r="AF205" s="110" t="s">
        <v>96</v>
      </c>
      <c r="AG205" s="110" t="s">
        <v>97</v>
      </c>
      <c r="AH205" s="110" t="s">
        <v>98</v>
      </c>
      <c r="AI205" s="110" t="s">
        <v>99</v>
      </c>
      <c r="AJ205" s="111" t="s">
        <v>70</v>
      </c>
      <c r="AK205" s="86"/>
    </row>
    <row r="206" customFormat="false" ht="19.5" hidden="false" customHeight="true" outlineLevel="0" collapsed="false">
      <c r="B206" s="143"/>
      <c r="C206" s="144" t="str">
        <f aca="false">DADOS!$AP$3</f>
        <v>📝 COE</v>
      </c>
      <c r="D206" s="145" t="str">
        <f aca="false">IF(reservaoutrosconsolidadojun[[#This Row],[TOTAL (R$)]]=0,"",IF(OR(reservaoutrosconsolidadojun[[#This Row],[TOTAL (R$)]]=LARGE($AJ$206:$AJ$213,1),reservaoutrosconsolidadojun[[#This Row],[TOTAL (R$)]]=LARGE($AJ$206:$AJ$213,2)),DADOS!$I$11,""))</f>
        <v/>
      </c>
      <c r="E206" s="148" t="n">
        <f aca="false">SUMIFS(tabela_registros[VALOR],tabela_registros[MÊS],$AE$1,tabela_registros[DIA],reservaoutrosconsolidadojun[[#Headers],[1]],tabela_registros[REGISTRO],DADOS!$N$6,tabela_registros[TIPO],DADOS!$AJ$5,tabela_registros[CATEGORIA],reservaoutrosconsolidadojun[[#This Row],[ATUAL]])</f>
        <v>0</v>
      </c>
      <c r="F206" s="119" t="n">
        <f aca="false">SUMIFS(tabela_registros[VALOR],tabela_registros[MÊS],$AE$1,tabela_registros[DIA],reservaoutrosconsolidadojun[[#Headers],[2]],tabela_registros[REGISTRO],DADOS!$N$6,tabela_registros[TIPO],DADOS!$AJ$5,tabela_registros[CATEGORIA],reservaoutrosconsolidadojun[[#This Row],[ATUAL]])</f>
        <v>0</v>
      </c>
      <c r="G206" s="119" t="n">
        <f aca="false">SUMIFS(tabela_registros[VALOR],tabela_registros[MÊS],$AE$1,tabela_registros[DIA],reservaoutrosconsolidadojun[[#Headers],[3]],tabela_registros[REGISTRO],DADOS!$N$6,tabela_registros[TIPO],DADOS!$AJ$5,tabela_registros[CATEGORIA],reservaoutrosconsolidadojun[[#This Row],[ATUAL]])</f>
        <v>0</v>
      </c>
      <c r="H206" s="119" t="n">
        <f aca="false">SUMIFS(tabela_registros[VALOR],tabela_registros[MÊS],$AE$1,tabela_registros[DIA],reservaoutrosconsolidadojun[[#Headers],[4]],tabela_registros[REGISTRO],DADOS!$N$6,tabela_registros[TIPO],DADOS!$AJ$5,tabela_registros[CATEGORIA],reservaoutrosconsolidadojun[[#This Row],[ATUAL]])</f>
        <v>0</v>
      </c>
      <c r="I206" s="119" t="n">
        <f aca="false">SUMIFS(tabela_registros[VALOR],tabela_registros[MÊS],$AE$1,tabela_registros[DIA],reservaoutrosconsolidadojun[[#Headers],[5]],tabela_registros[REGISTRO],DADOS!$N$6,tabela_registros[TIPO],DADOS!$AJ$5,tabela_registros[CATEGORIA],reservaoutrosconsolidadojun[[#This Row],[ATUAL]])</f>
        <v>0</v>
      </c>
      <c r="J206" s="119" t="n">
        <f aca="false">SUMIFS(tabela_registros[VALOR],tabela_registros[MÊS],$AE$1,tabela_registros[DIA],reservaoutrosconsolidadojun[[#Headers],[6]],tabela_registros[REGISTRO],DADOS!$N$6,tabela_registros[TIPO],DADOS!$AJ$5,tabela_registros[CATEGORIA],reservaoutrosconsolidadojun[[#This Row],[ATUAL]])</f>
        <v>0</v>
      </c>
      <c r="K206" s="119" t="n">
        <f aca="false">SUMIFS(tabela_registros[VALOR],tabela_registros[MÊS],$AE$1,tabela_registros[DIA],reservaoutrosconsolidadojun[[#Headers],[7]],tabela_registros[REGISTRO],DADOS!$N$6,tabela_registros[TIPO],DADOS!$AJ$5,tabela_registros[CATEGORIA],reservaoutrosconsolidadojun[[#This Row],[ATUAL]])</f>
        <v>0</v>
      </c>
      <c r="L206" s="119" t="n">
        <f aca="false">SUMIFS(tabela_registros[VALOR],tabela_registros[MÊS],$AE$1,tabela_registros[DIA],reservaoutrosconsolidadojun[[#Headers],[8]],tabela_registros[REGISTRO],DADOS!$N$6,tabela_registros[TIPO],DADOS!$AJ$5,tabela_registros[CATEGORIA],reservaoutrosconsolidadojun[[#This Row],[ATUAL]])</f>
        <v>0</v>
      </c>
      <c r="M206" s="119" t="n">
        <f aca="false">SUMIFS(tabela_registros[VALOR],tabela_registros[MÊS],$AE$1,tabela_registros[DIA],reservaoutrosconsolidadojun[[#Headers],[9]],tabela_registros[REGISTRO],DADOS!$N$6,tabela_registros[TIPO],DADOS!$AJ$5,tabela_registros[CATEGORIA],reservaoutrosconsolidadojun[[#This Row],[ATUAL]])</f>
        <v>0</v>
      </c>
      <c r="N206" s="119" t="n">
        <f aca="false">SUMIFS(tabela_registros[VALOR],tabela_registros[MÊS],$AE$1,tabela_registros[DIA],reservaoutrosconsolidadojun[[#Headers],[10]],tabela_registros[REGISTRO],DADOS!$N$6,tabela_registros[TIPO],DADOS!$AJ$5,tabela_registros[CATEGORIA],reservaoutrosconsolidadojun[[#This Row],[ATUAL]])</f>
        <v>0</v>
      </c>
      <c r="O206" s="119" t="n">
        <f aca="false">SUMIFS(tabela_registros[VALOR],tabela_registros[MÊS],$AE$1,tabela_registros[DIA],reservaoutrosconsolidadojun[[#Headers],[11]],tabela_registros[REGISTRO],DADOS!$N$6,tabela_registros[TIPO],DADOS!$AJ$5,tabela_registros[CATEGORIA],reservaoutrosconsolidadojun[[#This Row],[ATUAL]])</f>
        <v>0</v>
      </c>
      <c r="P206" s="119" t="n">
        <f aca="false">SUMIFS(tabela_registros[VALOR],tabela_registros[MÊS],$AE$1,tabela_registros[DIA],reservaoutrosconsolidadojun[[#Headers],[12]],tabela_registros[REGISTRO],DADOS!$N$6,tabela_registros[TIPO],DADOS!$AJ$5,tabela_registros[CATEGORIA],reservaoutrosconsolidadojun[[#This Row],[ATUAL]])</f>
        <v>0</v>
      </c>
      <c r="Q206" s="119" t="n">
        <f aca="false">SUMIFS(tabela_registros[VALOR],tabela_registros[MÊS],$AE$1,tabela_registros[DIA],reservaoutrosconsolidadojun[[#Headers],[13]],tabela_registros[REGISTRO],DADOS!$N$6,tabela_registros[TIPO],DADOS!$AJ$5,tabela_registros[CATEGORIA],reservaoutrosconsolidadojun[[#This Row],[ATUAL]])</f>
        <v>0</v>
      </c>
      <c r="R206" s="119" t="n">
        <f aca="false">SUMIFS(tabela_registros[VALOR],tabela_registros[MÊS],$AE$1,tabela_registros[DIA],reservaoutrosconsolidadojun[[#Headers],[14]],tabela_registros[REGISTRO],DADOS!$N$6,tabela_registros[TIPO],DADOS!$AJ$5,tabela_registros[CATEGORIA],reservaoutrosconsolidadojun[[#This Row],[ATUAL]])</f>
        <v>0</v>
      </c>
      <c r="S206" s="119" t="n">
        <f aca="false">SUMIFS(tabela_registros[VALOR],tabela_registros[MÊS],$AE$1,tabela_registros[DIA],reservaoutrosconsolidadojun[[#Headers],[15]],tabela_registros[REGISTRO],DADOS!$N$6,tabela_registros[TIPO],DADOS!$AJ$5,tabela_registros[CATEGORIA],reservaoutrosconsolidadojun[[#This Row],[ATUAL]])</f>
        <v>0</v>
      </c>
      <c r="T206" s="119" t="n">
        <f aca="false">SUMIFS(tabela_registros[VALOR],tabela_registros[MÊS],$AE$1,tabela_registros[DIA],reservaoutrosconsolidadojun[[#Headers],[16]],tabela_registros[REGISTRO],DADOS!$N$6,tabela_registros[TIPO],DADOS!$AJ$5,tabela_registros[CATEGORIA],reservaoutrosconsolidadojun[[#This Row],[ATUAL]])</f>
        <v>0</v>
      </c>
      <c r="U206" s="119" t="n">
        <f aca="false">SUMIFS(tabela_registros[VALOR],tabela_registros[MÊS],$AE$1,tabela_registros[DIA],reservaoutrosconsolidadojun[[#Headers],[17]],tabela_registros[REGISTRO],DADOS!$N$6,tabela_registros[TIPO],DADOS!$AJ$5,tabela_registros[CATEGORIA],reservaoutrosconsolidadojun[[#This Row],[ATUAL]])</f>
        <v>0</v>
      </c>
      <c r="V206" s="119" t="n">
        <f aca="false">SUMIFS(tabela_registros[VALOR],tabela_registros[MÊS],$AE$1,tabela_registros[DIA],reservaoutrosconsolidadojun[[#Headers],[18]],tabela_registros[REGISTRO],DADOS!$N$6,tabela_registros[TIPO],DADOS!$AJ$5,tabela_registros[CATEGORIA],reservaoutrosconsolidadojun[[#This Row],[ATUAL]])</f>
        <v>0</v>
      </c>
      <c r="W206" s="119" t="n">
        <f aca="false">SUMIFS(tabela_registros[VALOR],tabela_registros[MÊS],$AE$1,tabela_registros[DIA],reservaoutrosconsolidadojun[[#Headers],[19]],tabela_registros[REGISTRO],DADOS!$N$6,tabela_registros[TIPO],DADOS!$AJ$5,tabela_registros[CATEGORIA],reservaoutrosconsolidadojun[[#This Row],[ATUAL]])</f>
        <v>0</v>
      </c>
      <c r="X206" s="119" t="n">
        <f aca="false">SUMIFS(tabela_registros[VALOR],tabela_registros[MÊS],$AE$1,tabela_registros[DIA],reservaoutrosconsolidadojun[[#Headers],[20]],tabela_registros[REGISTRO],DADOS!$N$6,tabela_registros[TIPO],DADOS!$AJ$5,tabela_registros[CATEGORIA],reservaoutrosconsolidadojun[[#This Row],[ATUAL]])</f>
        <v>0</v>
      </c>
      <c r="Y206" s="119" t="n">
        <f aca="false">SUMIFS(tabela_registros[VALOR],tabela_registros[MÊS],$AE$1,tabela_registros[DIA],reservaoutrosconsolidadojun[[#Headers],[21]],tabela_registros[REGISTRO],DADOS!$N$6,tabela_registros[TIPO],DADOS!$AJ$5,tabela_registros[CATEGORIA],reservaoutrosconsolidadojun[[#This Row],[ATUAL]])</f>
        <v>0</v>
      </c>
      <c r="Z206" s="119" t="n">
        <f aca="false">SUMIFS(tabela_registros[VALOR],tabela_registros[MÊS],$AE$1,tabela_registros[DIA],reservaoutrosconsolidadojun[[#Headers],[22]],tabela_registros[REGISTRO],DADOS!$N$6,tabela_registros[TIPO],DADOS!$AJ$5,tabela_registros[CATEGORIA],reservaoutrosconsolidadojun[[#This Row],[ATUAL]])</f>
        <v>0</v>
      </c>
      <c r="AA206" s="119" t="n">
        <f aca="false">SUMIFS(tabela_registros[VALOR],tabela_registros[MÊS],$AE$1,tabela_registros[DIA],reservaoutrosconsolidadojun[[#Headers],[23]],tabela_registros[REGISTRO],DADOS!$N$6,tabela_registros[TIPO],DADOS!$AJ$5,tabela_registros[CATEGORIA],reservaoutrosconsolidadojun[[#This Row],[ATUAL]])</f>
        <v>0</v>
      </c>
      <c r="AB206" s="119" t="n">
        <f aca="false">SUMIFS(tabela_registros[VALOR],tabela_registros[MÊS],$AE$1,tabela_registros[DIA],reservaoutrosconsolidadojun[[#Headers],[24]],tabela_registros[REGISTRO],DADOS!$N$6,tabela_registros[TIPO],DADOS!$AJ$5,tabela_registros[CATEGORIA],reservaoutrosconsolidadojun[[#This Row],[ATUAL]])</f>
        <v>0</v>
      </c>
      <c r="AC206" s="119" t="n">
        <f aca="false">SUMIFS(tabela_registros[VALOR],tabela_registros[MÊS],$AE$1,tabela_registros[DIA],reservaoutrosconsolidadojun[[#Headers],[25]],tabela_registros[REGISTRO],DADOS!$N$6,tabela_registros[TIPO],DADOS!$AJ$5,tabela_registros[CATEGORIA],reservaoutrosconsolidadojun[[#This Row],[ATUAL]])</f>
        <v>0</v>
      </c>
      <c r="AD206" s="119" t="n">
        <f aca="false">SUMIFS(tabela_registros[VALOR],tabela_registros[MÊS],$AE$1,tabela_registros[DIA],reservaoutrosconsolidadojun[[#Headers],[26]],tabela_registros[REGISTRO],DADOS!$N$6,tabela_registros[TIPO],DADOS!$AJ$5,tabela_registros[CATEGORIA],reservaoutrosconsolidadojun[[#This Row],[ATUAL]])</f>
        <v>0</v>
      </c>
      <c r="AE206" s="119" t="n">
        <f aca="false">SUMIFS(tabela_registros[VALOR],tabela_registros[MÊS],$AE$1,tabela_registros[DIA],reservaoutrosconsolidadojun[[#Headers],[27]],tabela_registros[REGISTRO],DADOS!$N$6,tabela_registros[TIPO],DADOS!$AJ$5,tabela_registros[CATEGORIA],reservaoutrosconsolidadojun[[#This Row],[ATUAL]])</f>
        <v>0</v>
      </c>
      <c r="AF206" s="119" t="n">
        <f aca="false">SUMIFS(tabela_registros[VALOR],tabela_registros[MÊS],$AE$1,tabela_registros[DIA],reservaoutrosconsolidadojun[[#Headers],[28]],tabela_registros[REGISTRO],DADOS!$N$6,tabela_registros[TIPO],DADOS!$AJ$5,tabela_registros[CATEGORIA],reservaoutrosconsolidadojun[[#This Row],[ATUAL]])</f>
        <v>0</v>
      </c>
      <c r="AG206" s="119" t="n">
        <f aca="false">SUMIFS(tabela_registros[VALOR],tabela_registros[MÊS],$AE$1,tabela_registros[DIA],reservaoutrosconsolidadojun[[#Headers],[29]],tabela_registros[REGISTRO],DADOS!$N$6,tabela_registros[TIPO],DADOS!$AJ$5,tabela_registros[CATEGORIA],reservaoutrosconsolidadojun[[#This Row],[ATUAL]])</f>
        <v>0</v>
      </c>
      <c r="AH206" s="119" t="n">
        <f aca="false">SUMIFS(tabela_registros[VALOR],tabela_registros[MÊS],$AE$1,tabela_registros[DIA],reservaoutrosconsolidadojun[[#Headers],[30]],tabela_registros[REGISTRO],DADOS!$N$6,tabela_registros[TIPO],DADOS!$AJ$5,tabela_registros[CATEGORIA],reservaoutrosconsolidadojun[[#This Row],[ATUAL]])</f>
        <v>0</v>
      </c>
      <c r="AI206" s="217" t="n">
        <f aca="false">SUMIFS(tabela_registros[VALOR],tabela_registros[MÊS],$AE$1,tabela_registros[DIA],reservaoutrosconsolidadojun[[#Headers],[31]],tabela_registros[REGISTRO],DADOS!$N$6,tabela_registros[TIPO],DADOS!$AJ$5,tabela_registros[CATEGORIA],reservaoutrosconsolidadojun[[#This Row],[ATUAL]])</f>
        <v>0</v>
      </c>
      <c r="AJ206" s="149" t="n">
        <f aca="false">SUM(reservaoutrosconsolidadojun[[#This Row],[1]:[31]])</f>
        <v>0</v>
      </c>
      <c r="AK206" s="165"/>
    </row>
    <row r="207" customFormat="false" ht="19.5" hidden="false" customHeight="true" outlineLevel="0" collapsed="false">
      <c r="B207" s="143"/>
      <c r="C207" s="144" t="str">
        <f aca="false">DADOS!$AP$4</f>
        <v>📝 FOREX</v>
      </c>
      <c r="D207" s="145" t="str">
        <f aca="false">IF(reservaoutrosconsolidadojun[[#This Row],[TOTAL (R$)]]=0,"",IF(OR(reservaoutrosconsolidadojun[[#This Row],[TOTAL (R$)]]=LARGE($AJ$206:$AJ$213,1),reservaoutrosconsolidadojun[[#This Row],[TOTAL (R$)]]=LARGE($AJ$206:$AJ$213,2)),DADOS!$I$11,""))</f>
        <v/>
      </c>
      <c r="E207" s="148" t="n">
        <f aca="false">SUMIFS(tabela_registros[VALOR],tabela_registros[MÊS],$AE$1,tabela_registros[DIA],reservaoutrosconsolidadojun[[#Headers],[1]],tabela_registros[REGISTRO],DADOS!$N$6,tabela_registros[TIPO],DADOS!$AJ$5,tabela_registros[CATEGORIA],reservaoutrosconsolidadojun[[#This Row],[ATUAL]])</f>
        <v>0</v>
      </c>
      <c r="F207" s="119" t="n">
        <f aca="false">SUMIFS(tabela_registros[VALOR],tabela_registros[MÊS],$AE$1,tabela_registros[DIA],reservaoutrosconsolidadojun[[#Headers],[2]],tabela_registros[REGISTRO],DADOS!$N$6,tabela_registros[TIPO],DADOS!$AJ$5,tabela_registros[CATEGORIA],reservaoutrosconsolidadojun[[#This Row],[ATUAL]])</f>
        <v>0</v>
      </c>
      <c r="G207" s="119" t="n">
        <f aca="false">SUMIFS(tabela_registros[VALOR],tabela_registros[MÊS],$AE$1,tabela_registros[DIA],reservaoutrosconsolidadojun[[#Headers],[3]],tabela_registros[REGISTRO],DADOS!$N$6,tabela_registros[TIPO],DADOS!$AJ$5,tabela_registros[CATEGORIA],reservaoutrosconsolidadojun[[#This Row],[ATUAL]])</f>
        <v>0</v>
      </c>
      <c r="H207" s="119" t="n">
        <f aca="false">SUMIFS(tabela_registros[VALOR],tabela_registros[MÊS],$AE$1,tabela_registros[DIA],reservaoutrosconsolidadojun[[#Headers],[4]],tabela_registros[REGISTRO],DADOS!$N$6,tabela_registros[TIPO],DADOS!$AJ$5,tabela_registros[CATEGORIA],reservaoutrosconsolidadojun[[#This Row],[ATUAL]])</f>
        <v>0</v>
      </c>
      <c r="I207" s="119" t="n">
        <f aca="false">SUMIFS(tabela_registros[VALOR],tabela_registros[MÊS],$AE$1,tabela_registros[DIA],reservaoutrosconsolidadojun[[#Headers],[5]],tabela_registros[REGISTRO],DADOS!$N$6,tabela_registros[TIPO],DADOS!$AJ$5,tabela_registros[CATEGORIA],reservaoutrosconsolidadojun[[#This Row],[ATUAL]])</f>
        <v>0</v>
      </c>
      <c r="J207" s="119" t="n">
        <f aca="false">SUMIFS(tabela_registros[VALOR],tabela_registros[MÊS],$AE$1,tabela_registros[DIA],reservaoutrosconsolidadojun[[#Headers],[6]],tabela_registros[REGISTRO],DADOS!$N$6,tabela_registros[TIPO],DADOS!$AJ$5,tabela_registros[CATEGORIA],reservaoutrosconsolidadojun[[#This Row],[ATUAL]])</f>
        <v>0</v>
      </c>
      <c r="K207" s="119" t="n">
        <f aca="false">SUMIFS(tabela_registros[VALOR],tabela_registros[MÊS],$AE$1,tabela_registros[DIA],reservaoutrosconsolidadojun[[#Headers],[7]],tabela_registros[REGISTRO],DADOS!$N$6,tabela_registros[TIPO],DADOS!$AJ$5,tabela_registros[CATEGORIA],reservaoutrosconsolidadojun[[#This Row],[ATUAL]])</f>
        <v>0</v>
      </c>
      <c r="L207" s="119" t="n">
        <f aca="false">SUMIFS(tabela_registros[VALOR],tabela_registros[MÊS],$AE$1,tabela_registros[DIA],reservaoutrosconsolidadojun[[#Headers],[8]],tabela_registros[REGISTRO],DADOS!$N$6,tabela_registros[TIPO],DADOS!$AJ$5,tabela_registros[CATEGORIA],reservaoutrosconsolidadojun[[#This Row],[ATUAL]])</f>
        <v>0</v>
      </c>
      <c r="M207" s="119" t="n">
        <f aca="false">SUMIFS(tabela_registros[VALOR],tabela_registros[MÊS],$AE$1,tabela_registros[DIA],reservaoutrosconsolidadojun[[#Headers],[9]],tabela_registros[REGISTRO],DADOS!$N$6,tabela_registros[TIPO],DADOS!$AJ$5,tabela_registros[CATEGORIA],reservaoutrosconsolidadojun[[#This Row],[ATUAL]])</f>
        <v>0</v>
      </c>
      <c r="N207" s="119" t="n">
        <f aca="false">SUMIFS(tabela_registros[VALOR],tabela_registros[MÊS],$AE$1,tabela_registros[DIA],reservaoutrosconsolidadojun[[#Headers],[10]],tabela_registros[REGISTRO],DADOS!$N$6,tabela_registros[TIPO],DADOS!$AJ$5,tabela_registros[CATEGORIA],reservaoutrosconsolidadojun[[#This Row],[ATUAL]])</f>
        <v>0</v>
      </c>
      <c r="O207" s="119" t="n">
        <f aca="false">SUMIFS(tabela_registros[VALOR],tabela_registros[MÊS],$AE$1,tabela_registros[DIA],reservaoutrosconsolidadojun[[#Headers],[11]],tabela_registros[REGISTRO],DADOS!$N$6,tabela_registros[TIPO],DADOS!$AJ$5,tabela_registros[CATEGORIA],reservaoutrosconsolidadojun[[#This Row],[ATUAL]])</f>
        <v>0</v>
      </c>
      <c r="P207" s="119" t="n">
        <f aca="false">SUMIFS(tabela_registros[VALOR],tabela_registros[MÊS],$AE$1,tabela_registros[DIA],reservaoutrosconsolidadojun[[#Headers],[12]],tabela_registros[REGISTRO],DADOS!$N$6,tabela_registros[TIPO],DADOS!$AJ$5,tabela_registros[CATEGORIA],reservaoutrosconsolidadojun[[#This Row],[ATUAL]])</f>
        <v>0</v>
      </c>
      <c r="Q207" s="119" t="n">
        <f aca="false">SUMIFS(tabela_registros[VALOR],tabela_registros[MÊS],$AE$1,tabela_registros[DIA],reservaoutrosconsolidadojun[[#Headers],[13]],tabela_registros[REGISTRO],DADOS!$N$6,tabela_registros[TIPO],DADOS!$AJ$5,tabela_registros[CATEGORIA],reservaoutrosconsolidadojun[[#This Row],[ATUAL]])</f>
        <v>0</v>
      </c>
      <c r="R207" s="119" t="n">
        <f aca="false">SUMIFS(tabela_registros[VALOR],tabela_registros[MÊS],$AE$1,tabela_registros[DIA],reservaoutrosconsolidadojun[[#Headers],[14]],tabela_registros[REGISTRO],DADOS!$N$6,tabela_registros[TIPO],DADOS!$AJ$5,tabela_registros[CATEGORIA],reservaoutrosconsolidadojun[[#This Row],[ATUAL]])</f>
        <v>0</v>
      </c>
      <c r="S207" s="119" t="n">
        <f aca="false">SUMIFS(tabela_registros[VALOR],tabela_registros[MÊS],$AE$1,tabela_registros[DIA],reservaoutrosconsolidadojun[[#Headers],[15]],tabela_registros[REGISTRO],DADOS!$N$6,tabela_registros[TIPO],DADOS!$AJ$5,tabela_registros[CATEGORIA],reservaoutrosconsolidadojun[[#This Row],[ATUAL]])</f>
        <v>0</v>
      </c>
      <c r="T207" s="119" t="n">
        <f aca="false">SUMIFS(tabela_registros[VALOR],tabela_registros[MÊS],$AE$1,tabela_registros[DIA],reservaoutrosconsolidadojun[[#Headers],[16]],tabela_registros[REGISTRO],DADOS!$N$6,tabela_registros[TIPO],DADOS!$AJ$5,tabela_registros[CATEGORIA],reservaoutrosconsolidadojun[[#This Row],[ATUAL]])</f>
        <v>0</v>
      </c>
      <c r="U207" s="119" t="n">
        <f aca="false">SUMIFS(tabela_registros[VALOR],tabela_registros[MÊS],$AE$1,tabela_registros[DIA],reservaoutrosconsolidadojun[[#Headers],[17]],tabela_registros[REGISTRO],DADOS!$N$6,tabela_registros[TIPO],DADOS!$AJ$5,tabela_registros[CATEGORIA],reservaoutrosconsolidadojun[[#This Row],[ATUAL]])</f>
        <v>0</v>
      </c>
      <c r="V207" s="119" t="n">
        <f aca="false">SUMIFS(tabela_registros[VALOR],tabela_registros[MÊS],$AE$1,tabela_registros[DIA],reservaoutrosconsolidadojun[[#Headers],[18]],tabela_registros[REGISTRO],DADOS!$N$6,tabela_registros[TIPO],DADOS!$AJ$5,tabela_registros[CATEGORIA],reservaoutrosconsolidadojun[[#This Row],[ATUAL]])</f>
        <v>0</v>
      </c>
      <c r="W207" s="119" t="n">
        <f aca="false">SUMIFS(tabela_registros[VALOR],tabela_registros[MÊS],$AE$1,tabela_registros[DIA],reservaoutrosconsolidadojun[[#Headers],[19]],tabela_registros[REGISTRO],DADOS!$N$6,tabela_registros[TIPO],DADOS!$AJ$5,tabela_registros[CATEGORIA],reservaoutrosconsolidadojun[[#This Row],[ATUAL]])</f>
        <v>0</v>
      </c>
      <c r="X207" s="119" t="n">
        <f aca="false">SUMIFS(tabela_registros[VALOR],tabela_registros[MÊS],$AE$1,tabela_registros[DIA],reservaoutrosconsolidadojun[[#Headers],[20]],tabela_registros[REGISTRO],DADOS!$N$6,tabela_registros[TIPO],DADOS!$AJ$5,tabela_registros[CATEGORIA],reservaoutrosconsolidadojun[[#This Row],[ATUAL]])</f>
        <v>0</v>
      </c>
      <c r="Y207" s="119" t="n">
        <f aca="false">SUMIFS(tabela_registros[VALOR],tabela_registros[MÊS],$AE$1,tabela_registros[DIA],reservaoutrosconsolidadojun[[#Headers],[21]],tabela_registros[REGISTRO],DADOS!$N$6,tabela_registros[TIPO],DADOS!$AJ$5,tabela_registros[CATEGORIA],reservaoutrosconsolidadojun[[#This Row],[ATUAL]])</f>
        <v>0</v>
      </c>
      <c r="Z207" s="119" t="n">
        <f aca="false">SUMIFS(tabela_registros[VALOR],tabela_registros[MÊS],$AE$1,tabela_registros[DIA],reservaoutrosconsolidadojun[[#Headers],[22]],tabela_registros[REGISTRO],DADOS!$N$6,tabela_registros[TIPO],DADOS!$AJ$5,tabela_registros[CATEGORIA],reservaoutrosconsolidadojun[[#This Row],[ATUAL]])</f>
        <v>0</v>
      </c>
      <c r="AA207" s="119" t="n">
        <f aca="false">SUMIFS(tabela_registros[VALOR],tabela_registros[MÊS],$AE$1,tabela_registros[DIA],reservaoutrosconsolidadojun[[#Headers],[23]],tabela_registros[REGISTRO],DADOS!$N$6,tabela_registros[TIPO],DADOS!$AJ$5,tabela_registros[CATEGORIA],reservaoutrosconsolidadojun[[#This Row],[ATUAL]])</f>
        <v>0</v>
      </c>
      <c r="AB207" s="119" t="n">
        <f aca="false">SUMIFS(tabela_registros[VALOR],tabela_registros[MÊS],$AE$1,tabela_registros[DIA],reservaoutrosconsolidadojun[[#Headers],[24]],tabela_registros[REGISTRO],DADOS!$N$6,tabela_registros[TIPO],DADOS!$AJ$5,tabela_registros[CATEGORIA],reservaoutrosconsolidadojun[[#This Row],[ATUAL]])</f>
        <v>0</v>
      </c>
      <c r="AC207" s="119" t="n">
        <f aca="false">SUMIFS(tabela_registros[VALOR],tabela_registros[MÊS],$AE$1,tabela_registros[DIA],reservaoutrosconsolidadojun[[#Headers],[25]],tabela_registros[REGISTRO],DADOS!$N$6,tabela_registros[TIPO],DADOS!$AJ$5,tabela_registros[CATEGORIA],reservaoutrosconsolidadojun[[#This Row],[ATUAL]])</f>
        <v>0</v>
      </c>
      <c r="AD207" s="119" t="n">
        <f aca="false">SUMIFS(tabela_registros[VALOR],tabela_registros[MÊS],$AE$1,tabela_registros[DIA],reservaoutrosconsolidadojun[[#Headers],[26]],tabela_registros[REGISTRO],DADOS!$N$6,tabela_registros[TIPO],DADOS!$AJ$5,tabela_registros[CATEGORIA],reservaoutrosconsolidadojun[[#This Row],[ATUAL]])</f>
        <v>0</v>
      </c>
      <c r="AE207" s="119" t="n">
        <f aca="false">SUMIFS(tabela_registros[VALOR],tabela_registros[MÊS],$AE$1,tabela_registros[DIA],reservaoutrosconsolidadojun[[#Headers],[27]],tabela_registros[REGISTRO],DADOS!$N$6,tabela_registros[TIPO],DADOS!$AJ$5,tabela_registros[CATEGORIA],reservaoutrosconsolidadojun[[#This Row],[ATUAL]])</f>
        <v>0</v>
      </c>
      <c r="AF207" s="119" t="n">
        <f aca="false">SUMIFS(tabela_registros[VALOR],tabela_registros[MÊS],$AE$1,tabela_registros[DIA],reservaoutrosconsolidadojun[[#Headers],[28]],tabela_registros[REGISTRO],DADOS!$N$6,tabela_registros[TIPO],DADOS!$AJ$5,tabela_registros[CATEGORIA],reservaoutrosconsolidadojun[[#This Row],[ATUAL]])</f>
        <v>0</v>
      </c>
      <c r="AG207" s="119" t="n">
        <f aca="false">SUMIFS(tabela_registros[VALOR],tabela_registros[MÊS],$AE$1,tabela_registros[DIA],reservaoutrosconsolidadojun[[#Headers],[29]],tabela_registros[REGISTRO],DADOS!$N$6,tabela_registros[TIPO],DADOS!$AJ$5,tabela_registros[CATEGORIA],reservaoutrosconsolidadojun[[#This Row],[ATUAL]])</f>
        <v>0</v>
      </c>
      <c r="AH207" s="119" t="n">
        <f aca="false">SUMIFS(tabela_registros[VALOR],tabela_registros[MÊS],$AE$1,tabela_registros[DIA],reservaoutrosconsolidadojun[[#Headers],[30]],tabela_registros[REGISTRO],DADOS!$N$6,tabela_registros[TIPO],DADOS!$AJ$5,tabela_registros[CATEGORIA],reservaoutrosconsolidadojun[[#This Row],[ATUAL]])</f>
        <v>0</v>
      </c>
      <c r="AI207" s="217" t="n">
        <f aca="false">SUMIFS(tabela_registros[VALOR],tabela_registros[MÊS],$AE$1,tabela_registros[DIA],reservaoutrosconsolidadojun[[#Headers],[31]],tabela_registros[REGISTRO],DADOS!$N$6,tabela_registros[TIPO],DADOS!$AJ$5,tabela_registros[CATEGORIA],reservaoutrosconsolidadojun[[#This Row],[ATUAL]])</f>
        <v>0</v>
      </c>
      <c r="AJ207" s="149" t="n">
        <f aca="false">SUM(reservaoutrosconsolidadojun[[#This Row],[1]:[31]])</f>
        <v>0</v>
      </c>
      <c r="AK207" s="165"/>
    </row>
    <row r="208" customFormat="false" ht="19.5" hidden="false" customHeight="true" outlineLevel="0" collapsed="false">
      <c r="B208" s="143"/>
      <c r="C208" s="144" t="str">
        <f aca="false">DADOS!$AP$5</f>
        <v>📝 FUNDO DE INVESTIMENTO</v>
      </c>
      <c r="D208" s="145" t="str">
        <f aca="false">IF(reservaoutrosconsolidadojun[[#This Row],[TOTAL (R$)]]=0,"",IF(OR(reservaoutrosconsolidadojun[[#This Row],[TOTAL (R$)]]=LARGE($AJ$206:$AJ$213,1),reservaoutrosconsolidadojun[[#This Row],[TOTAL (R$)]]=LARGE($AJ$206:$AJ$213,2)),DADOS!$I$11,""))</f>
        <v/>
      </c>
      <c r="E208" s="148" t="n">
        <f aca="false">SUMIFS(tabela_registros[VALOR],tabela_registros[MÊS],$AE$1,tabela_registros[DIA],reservaoutrosconsolidadojun[[#Headers],[1]],tabela_registros[REGISTRO],DADOS!$N$6,tabela_registros[TIPO],DADOS!$AJ$5,tabela_registros[CATEGORIA],reservaoutrosconsolidadojun[[#This Row],[ATUAL]])</f>
        <v>0</v>
      </c>
      <c r="F208" s="119" t="n">
        <f aca="false">SUMIFS(tabela_registros[VALOR],tabela_registros[MÊS],$AE$1,tabela_registros[DIA],reservaoutrosconsolidadojun[[#Headers],[2]],tabela_registros[REGISTRO],DADOS!$N$6,tabela_registros[TIPO],DADOS!$AJ$5,tabela_registros[CATEGORIA],reservaoutrosconsolidadojun[[#This Row],[ATUAL]])</f>
        <v>0</v>
      </c>
      <c r="G208" s="119" t="n">
        <f aca="false">SUMIFS(tabela_registros[VALOR],tabela_registros[MÊS],$AE$1,tabela_registros[DIA],reservaoutrosconsolidadojun[[#Headers],[3]],tabela_registros[REGISTRO],DADOS!$N$6,tabela_registros[TIPO],DADOS!$AJ$5,tabela_registros[CATEGORIA],reservaoutrosconsolidadojun[[#This Row],[ATUAL]])</f>
        <v>0</v>
      </c>
      <c r="H208" s="119" t="n">
        <f aca="false">SUMIFS(tabela_registros[VALOR],tabela_registros[MÊS],$AE$1,tabela_registros[DIA],reservaoutrosconsolidadojun[[#Headers],[4]],tabela_registros[REGISTRO],DADOS!$N$6,tabela_registros[TIPO],DADOS!$AJ$5,tabela_registros[CATEGORIA],reservaoutrosconsolidadojun[[#This Row],[ATUAL]])</f>
        <v>0</v>
      </c>
      <c r="I208" s="119" t="n">
        <f aca="false">SUMIFS(tabela_registros[VALOR],tabela_registros[MÊS],$AE$1,tabela_registros[DIA],reservaoutrosconsolidadojun[[#Headers],[5]],tabela_registros[REGISTRO],DADOS!$N$6,tabela_registros[TIPO],DADOS!$AJ$5,tabela_registros[CATEGORIA],reservaoutrosconsolidadojun[[#This Row],[ATUAL]])</f>
        <v>0</v>
      </c>
      <c r="J208" s="119" t="n">
        <f aca="false">SUMIFS(tabela_registros[VALOR],tabela_registros[MÊS],$AE$1,tabela_registros[DIA],reservaoutrosconsolidadojun[[#Headers],[6]],tabela_registros[REGISTRO],DADOS!$N$6,tabela_registros[TIPO],DADOS!$AJ$5,tabela_registros[CATEGORIA],reservaoutrosconsolidadojun[[#This Row],[ATUAL]])</f>
        <v>0</v>
      </c>
      <c r="K208" s="119" t="n">
        <f aca="false">SUMIFS(tabela_registros[VALOR],tabela_registros[MÊS],$AE$1,tabela_registros[DIA],reservaoutrosconsolidadojun[[#Headers],[7]],tabela_registros[REGISTRO],DADOS!$N$6,tabela_registros[TIPO],DADOS!$AJ$5,tabela_registros[CATEGORIA],reservaoutrosconsolidadojun[[#This Row],[ATUAL]])</f>
        <v>0</v>
      </c>
      <c r="L208" s="119" t="n">
        <f aca="false">SUMIFS(tabela_registros[VALOR],tabela_registros[MÊS],$AE$1,tabela_registros[DIA],reservaoutrosconsolidadojun[[#Headers],[8]],tabela_registros[REGISTRO],DADOS!$N$6,tabela_registros[TIPO],DADOS!$AJ$5,tabela_registros[CATEGORIA],reservaoutrosconsolidadojun[[#This Row],[ATUAL]])</f>
        <v>0</v>
      </c>
      <c r="M208" s="119" t="n">
        <f aca="false">SUMIFS(tabela_registros[VALOR],tabela_registros[MÊS],$AE$1,tabela_registros[DIA],reservaoutrosconsolidadojun[[#Headers],[9]],tabela_registros[REGISTRO],DADOS!$N$6,tabela_registros[TIPO],DADOS!$AJ$5,tabela_registros[CATEGORIA],reservaoutrosconsolidadojun[[#This Row],[ATUAL]])</f>
        <v>0</v>
      </c>
      <c r="N208" s="119" t="n">
        <f aca="false">SUMIFS(tabela_registros[VALOR],tabela_registros[MÊS],$AE$1,tabela_registros[DIA],reservaoutrosconsolidadojun[[#Headers],[10]],tabela_registros[REGISTRO],DADOS!$N$6,tabela_registros[TIPO],DADOS!$AJ$5,tabela_registros[CATEGORIA],reservaoutrosconsolidadojun[[#This Row],[ATUAL]])</f>
        <v>0</v>
      </c>
      <c r="O208" s="119" t="n">
        <f aca="false">SUMIFS(tabela_registros[VALOR],tabela_registros[MÊS],$AE$1,tabela_registros[DIA],reservaoutrosconsolidadojun[[#Headers],[11]],tabela_registros[REGISTRO],DADOS!$N$6,tabela_registros[TIPO],DADOS!$AJ$5,tabela_registros[CATEGORIA],reservaoutrosconsolidadojun[[#This Row],[ATUAL]])</f>
        <v>0</v>
      </c>
      <c r="P208" s="119" t="n">
        <f aca="false">SUMIFS(tabela_registros[VALOR],tabela_registros[MÊS],$AE$1,tabela_registros[DIA],reservaoutrosconsolidadojun[[#Headers],[12]],tabela_registros[REGISTRO],DADOS!$N$6,tabela_registros[TIPO],DADOS!$AJ$5,tabela_registros[CATEGORIA],reservaoutrosconsolidadojun[[#This Row],[ATUAL]])</f>
        <v>0</v>
      </c>
      <c r="Q208" s="119" t="n">
        <f aca="false">SUMIFS(tabela_registros[VALOR],tabela_registros[MÊS],$AE$1,tabela_registros[DIA],reservaoutrosconsolidadojun[[#Headers],[13]],tabela_registros[REGISTRO],DADOS!$N$6,tabela_registros[TIPO],DADOS!$AJ$5,tabela_registros[CATEGORIA],reservaoutrosconsolidadojun[[#This Row],[ATUAL]])</f>
        <v>0</v>
      </c>
      <c r="R208" s="119" t="n">
        <f aca="false">SUMIFS(tabela_registros[VALOR],tabela_registros[MÊS],$AE$1,tabela_registros[DIA],reservaoutrosconsolidadojun[[#Headers],[14]],tabela_registros[REGISTRO],DADOS!$N$6,tabela_registros[TIPO],DADOS!$AJ$5,tabela_registros[CATEGORIA],reservaoutrosconsolidadojun[[#This Row],[ATUAL]])</f>
        <v>0</v>
      </c>
      <c r="S208" s="119" t="n">
        <f aca="false">SUMIFS(tabela_registros[VALOR],tabela_registros[MÊS],$AE$1,tabela_registros[DIA],reservaoutrosconsolidadojun[[#Headers],[15]],tabela_registros[REGISTRO],DADOS!$N$6,tabela_registros[TIPO],DADOS!$AJ$5,tabela_registros[CATEGORIA],reservaoutrosconsolidadojun[[#This Row],[ATUAL]])</f>
        <v>0</v>
      </c>
      <c r="T208" s="119" t="n">
        <f aca="false">SUMIFS(tabela_registros[VALOR],tabela_registros[MÊS],$AE$1,tabela_registros[DIA],reservaoutrosconsolidadojun[[#Headers],[16]],tabela_registros[REGISTRO],DADOS!$N$6,tabela_registros[TIPO],DADOS!$AJ$5,tabela_registros[CATEGORIA],reservaoutrosconsolidadojun[[#This Row],[ATUAL]])</f>
        <v>0</v>
      </c>
      <c r="U208" s="119" t="n">
        <f aca="false">SUMIFS(tabela_registros[VALOR],tabela_registros[MÊS],$AE$1,tabela_registros[DIA],reservaoutrosconsolidadojun[[#Headers],[17]],tabela_registros[REGISTRO],DADOS!$N$6,tabela_registros[TIPO],DADOS!$AJ$5,tabela_registros[CATEGORIA],reservaoutrosconsolidadojun[[#This Row],[ATUAL]])</f>
        <v>0</v>
      </c>
      <c r="V208" s="119" t="n">
        <f aca="false">SUMIFS(tabela_registros[VALOR],tabela_registros[MÊS],$AE$1,tabela_registros[DIA],reservaoutrosconsolidadojun[[#Headers],[18]],tabela_registros[REGISTRO],DADOS!$N$6,tabela_registros[TIPO],DADOS!$AJ$5,tabela_registros[CATEGORIA],reservaoutrosconsolidadojun[[#This Row],[ATUAL]])</f>
        <v>0</v>
      </c>
      <c r="W208" s="119" t="n">
        <f aca="false">SUMIFS(tabela_registros[VALOR],tabela_registros[MÊS],$AE$1,tabela_registros[DIA],reservaoutrosconsolidadojun[[#Headers],[19]],tabela_registros[REGISTRO],DADOS!$N$6,tabela_registros[TIPO],DADOS!$AJ$5,tabela_registros[CATEGORIA],reservaoutrosconsolidadojun[[#This Row],[ATUAL]])</f>
        <v>0</v>
      </c>
      <c r="X208" s="119" t="n">
        <f aca="false">SUMIFS(tabela_registros[VALOR],tabela_registros[MÊS],$AE$1,tabela_registros[DIA],reservaoutrosconsolidadojun[[#Headers],[20]],tabela_registros[REGISTRO],DADOS!$N$6,tabela_registros[TIPO],DADOS!$AJ$5,tabela_registros[CATEGORIA],reservaoutrosconsolidadojun[[#This Row],[ATUAL]])</f>
        <v>0</v>
      </c>
      <c r="Y208" s="119" t="n">
        <f aca="false">SUMIFS(tabela_registros[VALOR],tabela_registros[MÊS],$AE$1,tabela_registros[DIA],reservaoutrosconsolidadojun[[#Headers],[21]],tabela_registros[REGISTRO],DADOS!$N$6,tabela_registros[TIPO],DADOS!$AJ$5,tabela_registros[CATEGORIA],reservaoutrosconsolidadojun[[#This Row],[ATUAL]])</f>
        <v>0</v>
      </c>
      <c r="Z208" s="119" t="n">
        <f aca="false">SUMIFS(tabela_registros[VALOR],tabela_registros[MÊS],$AE$1,tabela_registros[DIA],reservaoutrosconsolidadojun[[#Headers],[22]],tabela_registros[REGISTRO],DADOS!$N$6,tabela_registros[TIPO],DADOS!$AJ$5,tabela_registros[CATEGORIA],reservaoutrosconsolidadojun[[#This Row],[ATUAL]])</f>
        <v>0</v>
      </c>
      <c r="AA208" s="119" t="n">
        <f aca="false">SUMIFS(tabela_registros[VALOR],tabela_registros[MÊS],$AE$1,tabela_registros[DIA],reservaoutrosconsolidadojun[[#Headers],[23]],tabela_registros[REGISTRO],DADOS!$N$6,tabela_registros[TIPO],DADOS!$AJ$5,tabela_registros[CATEGORIA],reservaoutrosconsolidadojun[[#This Row],[ATUAL]])</f>
        <v>0</v>
      </c>
      <c r="AB208" s="119" t="n">
        <f aca="false">SUMIFS(tabela_registros[VALOR],tabela_registros[MÊS],$AE$1,tabela_registros[DIA],reservaoutrosconsolidadojun[[#Headers],[24]],tabela_registros[REGISTRO],DADOS!$N$6,tabela_registros[TIPO],DADOS!$AJ$5,tabela_registros[CATEGORIA],reservaoutrosconsolidadojun[[#This Row],[ATUAL]])</f>
        <v>0</v>
      </c>
      <c r="AC208" s="119" t="n">
        <f aca="false">SUMIFS(tabela_registros[VALOR],tabela_registros[MÊS],$AE$1,tabela_registros[DIA],reservaoutrosconsolidadojun[[#Headers],[25]],tabela_registros[REGISTRO],DADOS!$N$6,tabela_registros[TIPO],DADOS!$AJ$5,tabela_registros[CATEGORIA],reservaoutrosconsolidadojun[[#This Row],[ATUAL]])</f>
        <v>0</v>
      </c>
      <c r="AD208" s="119" t="n">
        <f aca="false">SUMIFS(tabela_registros[VALOR],tabela_registros[MÊS],$AE$1,tabela_registros[DIA],reservaoutrosconsolidadojun[[#Headers],[26]],tabela_registros[REGISTRO],DADOS!$N$6,tabela_registros[TIPO],DADOS!$AJ$5,tabela_registros[CATEGORIA],reservaoutrosconsolidadojun[[#This Row],[ATUAL]])</f>
        <v>0</v>
      </c>
      <c r="AE208" s="119" t="n">
        <f aca="false">SUMIFS(tabela_registros[VALOR],tabela_registros[MÊS],$AE$1,tabela_registros[DIA],reservaoutrosconsolidadojun[[#Headers],[27]],tabela_registros[REGISTRO],DADOS!$N$6,tabela_registros[TIPO],DADOS!$AJ$5,tabela_registros[CATEGORIA],reservaoutrosconsolidadojun[[#This Row],[ATUAL]])</f>
        <v>0</v>
      </c>
      <c r="AF208" s="119" t="n">
        <f aca="false">SUMIFS(tabela_registros[VALOR],tabela_registros[MÊS],$AE$1,tabela_registros[DIA],reservaoutrosconsolidadojun[[#Headers],[28]],tabela_registros[REGISTRO],DADOS!$N$6,tabela_registros[TIPO],DADOS!$AJ$5,tabela_registros[CATEGORIA],reservaoutrosconsolidadojun[[#This Row],[ATUAL]])</f>
        <v>0</v>
      </c>
      <c r="AG208" s="119" t="n">
        <f aca="false">SUMIFS(tabela_registros[VALOR],tabela_registros[MÊS],$AE$1,tabela_registros[DIA],reservaoutrosconsolidadojun[[#Headers],[29]],tabela_registros[REGISTRO],DADOS!$N$6,tabela_registros[TIPO],DADOS!$AJ$5,tabela_registros[CATEGORIA],reservaoutrosconsolidadojun[[#This Row],[ATUAL]])</f>
        <v>0</v>
      </c>
      <c r="AH208" s="119" t="n">
        <f aca="false">SUMIFS(tabela_registros[VALOR],tabela_registros[MÊS],$AE$1,tabela_registros[DIA],reservaoutrosconsolidadojun[[#Headers],[30]],tabela_registros[REGISTRO],DADOS!$N$6,tabela_registros[TIPO],DADOS!$AJ$5,tabela_registros[CATEGORIA],reservaoutrosconsolidadojun[[#This Row],[ATUAL]])</f>
        <v>0</v>
      </c>
      <c r="AI208" s="217" t="n">
        <f aca="false">SUMIFS(tabela_registros[VALOR],tabela_registros[MÊS],$AE$1,tabela_registros[DIA],reservaoutrosconsolidadojun[[#Headers],[31]],tabela_registros[REGISTRO],DADOS!$N$6,tabela_registros[TIPO],DADOS!$AJ$5,tabela_registros[CATEGORIA],reservaoutrosconsolidadojun[[#This Row],[ATUAL]])</f>
        <v>0</v>
      </c>
      <c r="AJ208" s="149" t="n">
        <f aca="false">SUM(reservaoutrosconsolidadojun[[#This Row],[1]:[31]])</f>
        <v>0</v>
      </c>
      <c r="AK208" s="165"/>
    </row>
    <row r="209" customFormat="false" ht="19.5" hidden="false" customHeight="true" outlineLevel="0" collapsed="false">
      <c r="B209" s="143"/>
      <c r="C209" s="144" t="str">
        <f aca="false">DADOS!$AP$6</f>
        <v>📝 NOVA EMPRESA</v>
      </c>
      <c r="D209" s="145" t="str">
        <f aca="false">IF(reservaoutrosconsolidadojun[[#This Row],[TOTAL (R$)]]=0,"",IF(OR(reservaoutrosconsolidadojun[[#This Row],[TOTAL (R$)]]=LARGE($AJ$206:$AJ$213,1),reservaoutrosconsolidadojun[[#This Row],[TOTAL (R$)]]=LARGE($AJ$206:$AJ$213,2)),DADOS!$I$11,""))</f>
        <v/>
      </c>
      <c r="E209" s="148" t="n">
        <f aca="false">SUMIFS(tabela_registros[VALOR],tabela_registros[MÊS],$AE$1,tabela_registros[DIA],reservaoutrosconsolidadojun[[#Headers],[1]],tabela_registros[REGISTRO],DADOS!$N$6,tabela_registros[TIPO],DADOS!$AJ$5,tabela_registros[CATEGORIA],reservaoutrosconsolidadojun[[#This Row],[ATUAL]])</f>
        <v>0</v>
      </c>
      <c r="F209" s="119" t="n">
        <f aca="false">SUMIFS(tabela_registros[VALOR],tabela_registros[MÊS],$AE$1,tabela_registros[DIA],reservaoutrosconsolidadojun[[#Headers],[2]],tabela_registros[REGISTRO],DADOS!$N$6,tabela_registros[TIPO],DADOS!$AJ$5,tabela_registros[CATEGORIA],reservaoutrosconsolidadojun[[#This Row],[ATUAL]])</f>
        <v>0</v>
      </c>
      <c r="G209" s="119" t="n">
        <f aca="false">SUMIFS(tabela_registros[VALOR],tabela_registros[MÊS],$AE$1,tabela_registros[DIA],reservaoutrosconsolidadojun[[#Headers],[3]],tabela_registros[REGISTRO],DADOS!$N$6,tabela_registros[TIPO],DADOS!$AJ$5,tabela_registros[CATEGORIA],reservaoutrosconsolidadojun[[#This Row],[ATUAL]])</f>
        <v>0</v>
      </c>
      <c r="H209" s="119" t="n">
        <f aca="false">SUMIFS(tabela_registros[VALOR],tabela_registros[MÊS],$AE$1,tabela_registros[DIA],reservaoutrosconsolidadojun[[#Headers],[4]],tabela_registros[REGISTRO],DADOS!$N$6,tabela_registros[TIPO],DADOS!$AJ$5,tabela_registros[CATEGORIA],reservaoutrosconsolidadojun[[#This Row],[ATUAL]])</f>
        <v>0</v>
      </c>
      <c r="I209" s="119" t="n">
        <f aca="false">SUMIFS(tabela_registros[VALOR],tabela_registros[MÊS],$AE$1,tabela_registros[DIA],reservaoutrosconsolidadojun[[#Headers],[5]],tabela_registros[REGISTRO],DADOS!$N$6,tabela_registros[TIPO],DADOS!$AJ$5,tabela_registros[CATEGORIA],reservaoutrosconsolidadojun[[#This Row],[ATUAL]])</f>
        <v>0</v>
      </c>
      <c r="J209" s="119" t="n">
        <f aca="false">SUMIFS(tabela_registros[VALOR],tabela_registros[MÊS],$AE$1,tabela_registros[DIA],reservaoutrosconsolidadojun[[#Headers],[6]],tabela_registros[REGISTRO],DADOS!$N$6,tabela_registros[TIPO],DADOS!$AJ$5,tabela_registros[CATEGORIA],reservaoutrosconsolidadojun[[#This Row],[ATUAL]])</f>
        <v>0</v>
      </c>
      <c r="K209" s="119" t="n">
        <f aca="false">SUMIFS(tabela_registros[VALOR],tabela_registros[MÊS],$AE$1,tabela_registros[DIA],reservaoutrosconsolidadojun[[#Headers],[7]],tabela_registros[REGISTRO],DADOS!$N$6,tabela_registros[TIPO],DADOS!$AJ$5,tabela_registros[CATEGORIA],reservaoutrosconsolidadojun[[#This Row],[ATUAL]])</f>
        <v>0</v>
      </c>
      <c r="L209" s="119" t="n">
        <f aca="false">SUMIFS(tabela_registros[VALOR],tabela_registros[MÊS],$AE$1,tabela_registros[DIA],reservaoutrosconsolidadojun[[#Headers],[8]],tabela_registros[REGISTRO],DADOS!$N$6,tabela_registros[TIPO],DADOS!$AJ$5,tabela_registros[CATEGORIA],reservaoutrosconsolidadojun[[#This Row],[ATUAL]])</f>
        <v>0</v>
      </c>
      <c r="M209" s="119" t="n">
        <f aca="false">SUMIFS(tabela_registros[VALOR],tabela_registros[MÊS],$AE$1,tabela_registros[DIA],reservaoutrosconsolidadojun[[#Headers],[9]],tabela_registros[REGISTRO],DADOS!$N$6,tabela_registros[TIPO],DADOS!$AJ$5,tabela_registros[CATEGORIA],reservaoutrosconsolidadojun[[#This Row],[ATUAL]])</f>
        <v>0</v>
      </c>
      <c r="N209" s="119" t="n">
        <f aca="false">SUMIFS(tabela_registros[VALOR],tabela_registros[MÊS],$AE$1,tabela_registros[DIA],reservaoutrosconsolidadojun[[#Headers],[10]],tabela_registros[REGISTRO],DADOS!$N$6,tabela_registros[TIPO],DADOS!$AJ$5,tabela_registros[CATEGORIA],reservaoutrosconsolidadojun[[#This Row],[ATUAL]])</f>
        <v>0</v>
      </c>
      <c r="O209" s="119" t="n">
        <f aca="false">SUMIFS(tabela_registros[VALOR],tabela_registros[MÊS],$AE$1,tabela_registros[DIA],reservaoutrosconsolidadojun[[#Headers],[11]],tabela_registros[REGISTRO],DADOS!$N$6,tabela_registros[TIPO],DADOS!$AJ$5,tabela_registros[CATEGORIA],reservaoutrosconsolidadojun[[#This Row],[ATUAL]])</f>
        <v>0</v>
      </c>
      <c r="P209" s="119" t="n">
        <f aca="false">SUMIFS(tabela_registros[VALOR],tabela_registros[MÊS],$AE$1,tabela_registros[DIA],reservaoutrosconsolidadojun[[#Headers],[12]],tabela_registros[REGISTRO],DADOS!$N$6,tabela_registros[TIPO],DADOS!$AJ$5,tabela_registros[CATEGORIA],reservaoutrosconsolidadojun[[#This Row],[ATUAL]])</f>
        <v>0</v>
      </c>
      <c r="Q209" s="119" t="n">
        <f aca="false">SUMIFS(tabela_registros[VALOR],tabela_registros[MÊS],$AE$1,tabela_registros[DIA],reservaoutrosconsolidadojun[[#Headers],[13]],tabela_registros[REGISTRO],DADOS!$N$6,tabela_registros[TIPO],DADOS!$AJ$5,tabela_registros[CATEGORIA],reservaoutrosconsolidadojun[[#This Row],[ATUAL]])</f>
        <v>0</v>
      </c>
      <c r="R209" s="119" t="n">
        <f aca="false">SUMIFS(tabela_registros[VALOR],tabela_registros[MÊS],$AE$1,tabela_registros[DIA],reservaoutrosconsolidadojun[[#Headers],[14]],tabela_registros[REGISTRO],DADOS!$N$6,tabela_registros[TIPO],DADOS!$AJ$5,tabela_registros[CATEGORIA],reservaoutrosconsolidadojun[[#This Row],[ATUAL]])</f>
        <v>0</v>
      </c>
      <c r="S209" s="119" t="n">
        <f aca="false">SUMIFS(tabela_registros[VALOR],tabela_registros[MÊS],$AE$1,tabela_registros[DIA],reservaoutrosconsolidadojun[[#Headers],[15]],tabela_registros[REGISTRO],DADOS!$N$6,tabela_registros[TIPO],DADOS!$AJ$5,tabela_registros[CATEGORIA],reservaoutrosconsolidadojun[[#This Row],[ATUAL]])</f>
        <v>0</v>
      </c>
      <c r="T209" s="119" t="n">
        <f aca="false">SUMIFS(tabela_registros[VALOR],tabela_registros[MÊS],$AE$1,tabela_registros[DIA],reservaoutrosconsolidadojun[[#Headers],[16]],tabela_registros[REGISTRO],DADOS!$N$6,tabela_registros[TIPO],DADOS!$AJ$5,tabela_registros[CATEGORIA],reservaoutrosconsolidadojun[[#This Row],[ATUAL]])</f>
        <v>0</v>
      </c>
      <c r="U209" s="119" t="n">
        <f aca="false">SUMIFS(tabela_registros[VALOR],tabela_registros[MÊS],$AE$1,tabela_registros[DIA],reservaoutrosconsolidadojun[[#Headers],[17]],tabela_registros[REGISTRO],DADOS!$N$6,tabela_registros[TIPO],DADOS!$AJ$5,tabela_registros[CATEGORIA],reservaoutrosconsolidadojun[[#This Row],[ATUAL]])</f>
        <v>0</v>
      </c>
      <c r="V209" s="119" t="n">
        <f aca="false">SUMIFS(tabela_registros[VALOR],tabela_registros[MÊS],$AE$1,tabela_registros[DIA],reservaoutrosconsolidadojun[[#Headers],[18]],tabela_registros[REGISTRO],DADOS!$N$6,tabela_registros[TIPO],DADOS!$AJ$5,tabela_registros[CATEGORIA],reservaoutrosconsolidadojun[[#This Row],[ATUAL]])</f>
        <v>0</v>
      </c>
      <c r="W209" s="119" t="n">
        <f aca="false">SUMIFS(tabela_registros[VALOR],tabela_registros[MÊS],$AE$1,tabela_registros[DIA],reservaoutrosconsolidadojun[[#Headers],[19]],tabela_registros[REGISTRO],DADOS!$N$6,tabela_registros[TIPO],DADOS!$AJ$5,tabela_registros[CATEGORIA],reservaoutrosconsolidadojun[[#This Row],[ATUAL]])</f>
        <v>0</v>
      </c>
      <c r="X209" s="119" t="n">
        <f aca="false">SUMIFS(tabela_registros[VALOR],tabela_registros[MÊS],$AE$1,tabela_registros[DIA],reservaoutrosconsolidadojun[[#Headers],[20]],tabela_registros[REGISTRO],DADOS!$N$6,tabela_registros[TIPO],DADOS!$AJ$5,tabela_registros[CATEGORIA],reservaoutrosconsolidadojun[[#This Row],[ATUAL]])</f>
        <v>0</v>
      </c>
      <c r="Y209" s="119" t="n">
        <f aca="false">SUMIFS(tabela_registros[VALOR],tabela_registros[MÊS],$AE$1,tabela_registros[DIA],reservaoutrosconsolidadojun[[#Headers],[21]],tabela_registros[REGISTRO],DADOS!$N$6,tabela_registros[TIPO],DADOS!$AJ$5,tabela_registros[CATEGORIA],reservaoutrosconsolidadojun[[#This Row],[ATUAL]])</f>
        <v>0</v>
      </c>
      <c r="Z209" s="119" t="n">
        <f aca="false">SUMIFS(tabela_registros[VALOR],tabela_registros[MÊS],$AE$1,tabela_registros[DIA],reservaoutrosconsolidadojun[[#Headers],[22]],tabela_registros[REGISTRO],DADOS!$N$6,tabela_registros[TIPO],DADOS!$AJ$5,tabela_registros[CATEGORIA],reservaoutrosconsolidadojun[[#This Row],[ATUAL]])</f>
        <v>0</v>
      </c>
      <c r="AA209" s="119" t="n">
        <f aca="false">SUMIFS(tabela_registros[VALOR],tabela_registros[MÊS],$AE$1,tabela_registros[DIA],reservaoutrosconsolidadojun[[#Headers],[23]],tabela_registros[REGISTRO],DADOS!$N$6,tabela_registros[TIPO],DADOS!$AJ$5,tabela_registros[CATEGORIA],reservaoutrosconsolidadojun[[#This Row],[ATUAL]])</f>
        <v>0</v>
      </c>
      <c r="AB209" s="119" t="n">
        <f aca="false">SUMIFS(tabela_registros[VALOR],tabela_registros[MÊS],$AE$1,tabela_registros[DIA],reservaoutrosconsolidadojun[[#Headers],[24]],tabela_registros[REGISTRO],DADOS!$N$6,tabela_registros[TIPO],DADOS!$AJ$5,tabela_registros[CATEGORIA],reservaoutrosconsolidadojun[[#This Row],[ATUAL]])</f>
        <v>0</v>
      </c>
      <c r="AC209" s="119" t="n">
        <f aca="false">SUMIFS(tabela_registros[VALOR],tabela_registros[MÊS],$AE$1,tabela_registros[DIA],reservaoutrosconsolidadojun[[#Headers],[25]],tabela_registros[REGISTRO],DADOS!$N$6,tabela_registros[TIPO],DADOS!$AJ$5,tabela_registros[CATEGORIA],reservaoutrosconsolidadojun[[#This Row],[ATUAL]])</f>
        <v>0</v>
      </c>
      <c r="AD209" s="119" t="n">
        <f aca="false">SUMIFS(tabela_registros[VALOR],tabela_registros[MÊS],$AE$1,tabela_registros[DIA],reservaoutrosconsolidadojun[[#Headers],[26]],tabela_registros[REGISTRO],DADOS!$N$6,tabela_registros[TIPO],DADOS!$AJ$5,tabela_registros[CATEGORIA],reservaoutrosconsolidadojun[[#This Row],[ATUAL]])</f>
        <v>0</v>
      </c>
      <c r="AE209" s="119" t="n">
        <f aca="false">SUMIFS(tabela_registros[VALOR],tabela_registros[MÊS],$AE$1,tabela_registros[DIA],reservaoutrosconsolidadojun[[#Headers],[27]],tabela_registros[REGISTRO],DADOS!$N$6,tabela_registros[TIPO],DADOS!$AJ$5,tabela_registros[CATEGORIA],reservaoutrosconsolidadojun[[#This Row],[ATUAL]])</f>
        <v>0</v>
      </c>
      <c r="AF209" s="119" t="n">
        <f aca="false">SUMIFS(tabela_registros[VALOR],tabela_registros[MÊS],$AE$1,tabela_registros[DIA],reservaoutrosconsolidadojun[[#Headers],[28]],tabela_registros[REGISTRO],DADOS!$N$6,tabela_registros[TIPO],DADOS!$AJ$5,tabela_registros[CATEGORIA],reservaoutrosconsolidadojun[[#This Row],[ATUAL]])</f>
        <v>0</v>
      </c>
      <c r="AG209" s="119" t="n">
        <f aca="false">SUMIFS(tabela_registros[VALOR],tabela_registros[MÊS],$AE$1,tabela_registros[DIA],reservaoutrosconsolidadojun[[#Headers],[29]],tabela_registros[REGISTRO],DADOS!$N$6,tabela_registros[TIPO],DADOS!$AJ$5,tabela_registros[CATEGORIA],reservaoutrosconsolidadojun[[#This Row],[ATUAL]])</f>
        <v>0</v>
      </c>
      <c r="AH209" s="119" t="n">
        <f aca="false">SUMIFS(tabela_registros[VALOR],tabela_registros[MÊS],$AE$1,tabela_registros[DIA],reservaoutrosconsolidadojun[[#Headers],[30]],tabela_registros[REGISTRO],DADOS!$N$6,tabela_registros[TIPO],DADOS!$AJ$5,tabela_registros[CATEGORIA],reservaoutrosconsolidadojun[[#This Row],[ATUAL]])</f>
        <v>0</v>
      </c>
      <c r="AI209" s="217" t="n">
        <f aca="false">SUMIFS(tabela_registros[VALOR],tabela_registros[MÊS],$AE$1,tabela_registros[DIA],reservaoutrosconsolidadojun[[#Headers],[31]],tabela_registros[REGISTRO],DADOS!$N$6,tabela_registros[TIPO],DADOS!$AJ$5,tabela_registros[CATEGORIA],reservaoutrosconsolidadojun[[#This Row],[ATUAL]])</f>
        <v>0</v>
      </c>
      <c r="AJ209" s="149" t="n">
        <f aca="false">SUM(reservaoutrosconsolidadojun[[#This Row],[1]:[31]])</f>
        <v>0</v>
      </c>
      <c r="AK209" s="165"/>
    </row>
    <row r="210" customFormat="false" ht="19.5" hidden="false" customHeight="true" outlineLevel="0" collapsed="false">
      <c r="B210" s="143"/>
      <c r="C210" s="144" t="str">
        <f aca="false">DADOS!$AP$7</f>
        <v>📝 PEER TO COMPANY</v>
      </c>
      <c r="D210" s="145" t="str">
        <f aca="false">IF(reservaoutrosconsolidadojun[[#This Row],[TOTAL (R$)]]=0,"",IF(OR(reservaoutrosconsolidadojun[[#This Row],[TOTAL (R$)]]=LARGE($AJ$206:$AJ$213,1),reservaoutrosconsolidadojun[[#This Row],[TOTAL (R$)]]=LARGE($AJ$206:$AJ$213,2)),DADOS!$I$11,""))</f>
        <v/>
      </c>
      <c r="E210" s="148" t="n">
        <f aca="false">SUMIFS(tabela_registros[VALOR],tabela_registros[MÊS],$AE$1,tabela_registros[DIA],reservaoutrosconsolidadojun[[#Headers],[1]],tabela_registros[REGISTRO],DADOS!$N$6,tabela_registros[TIPO],DADOS!$AJ$5,tabela_registros[CATEGORIA],reservaoutrosconsolidadojun[[#This Row],[ATUAL]])</f>
        <v>0</v>
      </c>
      <c r="F210" s="119" t="n">
        <f aca="false">SUMIFS(tabela_registros[VALOR],tabela_registros[MÊS],$AE$1,tabela_registros[DIA],reservaoutrosconsolidadojun[[#Headers],[2]],tabela_registros[REGISTRO],DADOS!$N$6,tabela_registros[TIPO],DADOS!$AJ$5,tabela_registros[CATEGORIA],reservaoutrosconsolidadojun[[#This Row],[ATUAL]])</f>
        <v>0</v>
      </c>
      <c r="G210" s="119" t="n">
        <f aca="false">SUMIFS(tabela_registros[VALOR],tabela_registros[MÊS],$AE$1,tabela_registros[DIA],reservaoutrosconsolidadojun[[#Headers],[3]],tabela_registros[REGISTRO],DADOS!$N$6,tabela_registros[TIPO],DADOS!$AJ$5,tabela_registros[CATEGORIA],reservaoutrosconsolidadojun[[#This Row],[ATUAL]])</f>
        <v>0</v>
      </c>
      <c r="H210" s="119" t="n">
        <f aca="false">SUMIFS(tabela_registros[VALOR],tabela_registros[MÊS],$AE$1,tabela_registros[DIA],reservaoutrosconsolidadojun[[#Headers],[4]],tabela_registros[REGISTRO],DADOS!$N$6,tabela_registros[TIPO],DADOS!$AJ$5,tabela_registros[CATEGORIA],reservaoutrosconsolidadojun[[#This Row],[ATUAL]])</f>
        <v>0</v>
      </c>
      <c r="I210" s="119" t="n">
        <f aca="false">SUMIFS(tabela_registros[VALOR],tabela_registros[MÊS],$AE$1,tabela_registros[DIA],reservaoutrosconsolidadojun[[#Headers],[5]],tabela_registros[REGISTRO],DADOS!$N$6,tabela_registros[TIPO],DADOS!$AJ$5,tabela_registros[CATEGORIA],reservaoutrosconsolidadojun[[#This Row],[ATUAL]])</f>
        <v>0</v>
      </c>
      <c r="J210" s="119" t="n">
        <f aca="false">SUMIFS(tabela_registros[VALOR],tabela_registros[MÊS],$AE$1,tabela_registros[DIA],reservaoutrosconsolidadojun[[#Headers],[6]],tabela_registros[REGISTRO],DADOS!$N$6,tabela_registros[TIPO],DADOS!$AJ$5,tabela_registros[CATEGORIA],reservaoutrosconsolidadojun[[#This Row],[ATUAL]])</f>
        <v>0</v>
      </c>
      <c r="K210" s="119" t="n">
        <f aca="false">SUMIFS(tabela_registros[VALOR],tabela_registros[MÊS],$AE$1,tabela_registros[DIA],reservaoutrosconsolidadojun[[#Headers],[7]],tabela_registros[REGISTRO],DADOS!$N$6,tabela_registros[TIPO],DADOS!$AJ$5,tabela_registros[CATEGORIA],reservaoutrosconsolidadojun[[#This Row],[ATUAL]])</f>
        <v>0</v>
      </c>
      <c r="L210" s="119" t="n">
        <f aca="false">SUMIFS(tabela_registros[VALOR],tabela_registros[MÊS],$AE$1,tabela_registros[DIA],reservaoutrosconsolidadojun[[#Headers],[8]],tabela_registros[REGISTRO],DADOS!$N$6,tabela_registros[TIPO],DADOS!$AJ$5,tabela_registros[CATEGORIA],reservaoutrosconsolidadojun[[#This Row],[ATUAL]])</f>
        <v>0</v>
      </c>
      <c r="M210" s="119" t="n">
        <f aca="false">SUMIFS(tabela_registros[VALOR],tabela_registros[MÊS],$AE$1,tabela_registros[DIA],reservaoutrosconsolidadojun[[#Headers],[9]],tabela_registros[REGISTRO],DADOS!$N$6,tabela_registros[TIPO],DADOS!$AJ$5,tabela_registros[CATEGORIA],reservaoutrosconsolidadojun[[#This Row],[ATUAL]])</f>
        <v>0</v>
      </c>
      <c r="N210" s="119" t="n">
        <f aca="false">SUMIFS(tabela_registros[VALOR],tabela_registros[MÊS],$AE$1,tabela_registros[DIA],reservaoutrosconsolidadojun[[#Headers],[10]],tabela_registros[REGISTRO],DADOS!$N$6,tabela_registros[TIPO],DADOS!$AJ$5,tabela_registros[CATEGORIA],reservaoutrosconsolidadojun[[#This Row],[ATUAL]])</f>
        <v>0</v>
      </c>
      <c r="O210" s="119" t="n">
        <f aca="false">SUMIFS(tabela_registros[VALOR],tabela_registros[MÊS],$AE$1,tabela_registros[DIA],reservaoutrosconsolidadojun[[#Headers],[11]],tabela_registros[REGISTRO],DADOS!$N$6,tabela_registros[TIPO],DADOS!$AJ$5,tabela_registros[CATEGORIA],reservaoutrosconsolidadojun[[#This Row],[ATUAL]])</f>
        <v>0</v>
      </c>
      <c r="P210" s="119" t="n">
        <f aca="false">SUMIFS(tabela_registros[VALOR],tabela_registros[MÊS],$AE$1,tabela_registros[DIA],reservaoutrosconsolidadojun[[#Headers],[12]],tabela_registros[REGISTRO],DADOS!$N$6,tabela_registros[TIPO],DADOS!$AJ$5,tabela_registros[CATEGORIA],reservaoutrosconsolidadojun[[#This Row],[ATUAL]])</f>
        <v>0</v>
      </c>
      <c r="Q210" s="119" t="n">
        <f aca="false">SUMIFS(tabela_registros[VALOR],tabela_registros[MÊS],$AE$1,tabela_registros[DIA],reservaoutrosconsolidadojun[[#Headers],[13]],tabela_registros[REGISTRO],DADOS!$N$6,tabela_registros[TIPO],DADOS!$AJ$5,tabela_registros[CATEGORIA],reservaoutrosconsolidadojun[[#This Row],[ATUAL]])</f>
        <v>0</v>
      </c>
      <c r="R210" s="119" t="n">
        <f aca="false">SUMIFS(tabela_registros[VALOR],tabela_registros[MÊS],$AE$1,tabela_registros[DIA],reservaoutrosconsolidadojun[[#Headers],[14]],tabela_registros[REGISTRO],DADOS!$N$6,tabela_registros[TIPO],DADOS!$AJ$5,tabela_registros[CATEGORIA],reservaoutrosconsolidadojun[[#This Row],[ATUAL]])</f>
        <v>0</v>
      </c>
      <c r="S210" s="119" t="n">
        <f aca="false">SUMIFS(tabela_registros[VALOR],tabela_registros[MÊS],$AE$1,tabela_registros[DIA],reservaoutrosconsolidadojun[[#Headers],[15]],tabela_registros[REGISTRO],DADOS!$N$6,tabela_registros[TIPO],DADOS!$AJ$5,tabela_registros[CATEGORIA],reservaoutrosconsolidadojun[[#This Row],[ATUAL]])</f>
        <v>0</v>
      </c>
      <c r="T210" s="119" t="n">
        <f aca="false">SUMIFS(tabela_registros[VALOR],tabela_registros[MÊS],$AE$1,tabela_registros[DIA],reservaoutrosconsolidadojun[[#Headers],[16]],tabela_registros[REGISTRO],DADOS!$N$6,tabela_registros[TIPO],DADOS!$AJ$5,tabela_registros[CATEGORIA],reservaoutrosconsolidadojun[[#This Row],[ATUAL]])</f>
        <v>0</v>
      </c>
      <c r="U210" s="119" t="n">
        <f aca="false">SUMIFS(tabela_registros[VALOR],tabela_registros[MÊS],$AE$1,tabela_registros[DIA],reservaoutrosconsolidadojun[[#Headers],[17]],tabela_registros[REGISTRO],DADOS!$N$6,tabela_registros[TIPO],DADOS!$AJ$5,tabela_registros[CATEGORIA],reservaoutrosconsolidadojun[[#This Row],[ATUAL]])</f>
        <v>0</v>
      </c>
      <c r="V210" s="119" t="n">
        <f aca="false">SUMIFS(tabela_registros[VALOR],tabela_registros[MÊS],$AE$1,tabela_registros[DIA],reservaoutrosconsolidadojun[[#Headers],[18]],tabela_registros[REGISTRO],DADOS!$N$6,tabela_registros[TIPO],DADOS!$AJ$5,tabela_registros[CATEGORIA],reservaoutrosconsolidadojun[[#This Row],[ATUAL]])</f>
        <v>0</v>
      </c>
      <c r="W210" s="119" t="n">
        <f aca="false">SUMIFS(tabela_registros[VALOR],tabela_registros[MÊS],$AE$1,tabela_registros[DIA],reservaoutrosconsolidadojun[[#Headers],[19]],tabela_registros[REGISTRO],DADOS!$N$6,tabela_registros[TIPO],DADOS!$AJ$5,tabela_registros[CATEGORIA],reservaoutrosconsolidadojun[[#This Row],[ATUAL]])</f>
        <v>0</v>
      </c>
      <c r="X210" s="119" t="n">
        <f aca="false">SUMIFS(tabela_registros[VALOR],tabela_registros[MÊS],$AE$1,tabela_registros[DIA],reservaoutrosconsolidadojun[[#Headers],[20]],tabela_registros[REGISTRO],DADOS!$N$6,tabela_registros[TIPO],DADOS!$AJ$5,tabela_registros[CATEGORIA],reservaoutrosconsolidadojun[[#This Row],[ATUAL]])</f>
        <v>0</v>
      </c>
      <c r="Y210" s="119" t="n">
        <f aca="false">SUMIFS(tabela_registros[VALOR],tabela_registros[MÊS],$AE$1,tabela_registros[DIA],reservaoutrosconsolidadojun[[#Headers],[21]],tabela_registros[REGISTRO],DADOS!$N$6,tabela_registros[TIPO],DADOS!$AJ$5,tabela_registros[CATEGORIA],reservaoutrosconsolidadojun[[#This Row],[ATUAL]])</f>
        <v>0</v>
      </c>
      <c r="Z210" s="119" t="n">
        <f aca="false">SUMIFS(tabela_registros[VALOR],tabela_registros[MÊS],$AE$1,tabela_registros[DIA],reservaoutrosconsolidadojun[[#Headers],[22]],tabela_registros[REGISTRO],DADOS!$N$6,tabela_registros[TIPO],DADOS!$AJ$5,tabela_registros[CATEGORIA],reservaoutrosconsolidadojun[[#This Row],[ATUAL]])</f>
        <v>0</v>
      </c>
      <c r="AA210" s="119" t="n">
        <f aca="false">SUMIFS(tabela_registros[VALOR],tabela_registros[MÊS],$AE$1,tabela_registros[DIA],reservaoutrosconsolidadojun[[#Headers],[23]],tabela_registros[REGISTRO],DADOS!$N$6,tabela_registros[TIPO],DADOS!$AJ$5,tabela_registros[CATEGORIA],reservaoutrosconsolidadojun[[#This Row],[ATUAL]])</f>
        <v>0</v>
      </c>
      <c r="AB210" s="119" t="n">
        <f aca="false">SUMIFS(tabela_registros[VALOR],tabela_registros[MÊS],$AE$1,tabela_registros[DIA],reservaoutrosconsolidadojun[[#Headers],[24]],tabela_registros[REGISTRO],DADOS!$N$6,tabela_registros[TIPO],DADOS!$AJ$5,tabela_registros[CATEGORIA],reservaoutrosconsolidadojun[[#This Row],[ATUAL]])</f>
        <v>0</v>
      </c>
      <c r="AC210" s="119" t="n">
        <f aca="false">SUMIFS(tabela_registros[VALOR],tabela_registros[MÊS],$AE$1,tabela_registros[DIA],reservaoutrosconsolidadojun[[#Headers],[25]],tabela_registros[REGISTRO],DADOS!$N$6,tabela_registros[TIPO],DADOS!$AJ$5,tabela_registros[CATEGORIA],reservaoutrosconsolidadojun[[#This Row],[ATUAL]])</f>
        <v>0</v>
      </c>
      <c r="AD210" s="119" t="n">
        <f aca="false">SUMIFS(tabela_registros[VALOR],tabela_registros[MÊS],$AE$1,tabela_registros[DIA],reservaoutrosconsolidadojun[[#Headers],[26]],tabela_registros[REGISTRO],DADOS!$N$6,tabela_registros[TIPO],DADOS!$AJ$5,tabela_registros[CATEGORIA],reservaoutrosconsolidadojun[[#This Row],[ATUAL]])</f>
        <v>0</v>
      </c>
      <c r="AE210" s="119" t="n">
        <f aca="false">SUMIFS(tabela_registros[VALOR],tabela_registros[MÊS],$AE$1,tabela_registros[DIA],reservaoutrosconsolidadojun[[#Headers],[27]],tabela_registros[REGISTRO],DADOS!$N$6,tabela_registros[TIPO],DADOS!$AJ$5,tabela_registros[CATEGORIA],reservaoutrosconsolidadojun[[#This Row],[ATUAL]])</f>
        <v>0</v>
      </c>
      <c r="AF210" s="119" t="n">
        <f aca="false">SUMIFS(tabela_registros[VALOR],tabela_registros[MÊS],$AE$1,tabela_registros[DIA],reservaoutrosconsolidadojun[[#Headers],[28]],tabela_registros[REGISTRO],DADOS!$N$6,tabela_registros[TIPO],DADOS!$AJ$5,tabela_registros[CATEGORIA],reservaoutrosconsolidadojun[[#This Row],[ATUAL]])</f>
        <v>0</v>
      </c>
      <c r="AG210" s="119" t="n">
        <f aca="false">SUMIFS(tabela_registros[VALOR],tabela_registros[MÊS],$AE$1,tabela_registros[DIA],reservaoutrosconsolidadojun[[#Headers],[29]],tabela_registros[REGISTRO],DADOS!$N$6,tabela_registros[TIPO],DADOS!$AJ$5,tabela_registros[CATEGORIA],reservaoutrosconsolidadojun[[#This Row],[ATUAL]])</f>
        <v>0</v>
      </c>
      <c r="AH210" s="119" t="n">
        <f aca="false">SUMIFS(tabela_registros[VALOR],tabela_registros[MÊS],$AE$1,tabela_registros[DIA],reservaoutrosconsolidadojun[[#Headers],[30]],tabela_registros[REGISTRO],DADOS!$N$6,tabela_registros[TIPO],DADOS!$AJ$5,tabela_registros[CATEGORIA],reservaoutrosconsolidadojun[[#This Row],[ATUAL]])</f>
        <v>0</v>
      </c>
      <c r="AI210" s="217" t="n">
        <f aca="false">SUMIFS(tabela_registros[VALOR],tabela_registros[MÊS],$AE$1,tabela_registros[DIA],reservaoutrosconsolidadojun[[#Headers],[31]],tabela_registros[REGISTRO],DADOS!$N$6,tabela_registros[TIPO],DADOS!$AJ$5,tabela_registros[CATEGORIA],reservaoutrosconsolidadojun[[#This Row],[ATUAL]])</f>
        <v>0</v>
      </c>
      <c r="AJ210" s="149" t="n">
        <f aca="false">SUM(reservaoutrosconsolidadojun[[#This Row],[1]:[31]])</f>
        <v>0</v>
      </c>
      <c r="AK210" s="165"/>
    </row>
    <row r="211" customFormat="false" ht="19.5" hidden="false" customHeight="true" outlineLevel="0" collapsed="false">
      <c r="B211" s="143"/>
      <c r="C211" s="144" t="str">
        <f aca="false">DADOS!$AP$8</f>
        <v>📝 PEER TO PEER</v>
      </c>
      <c r="D211" s="145" t="str">
        <f aca="false">IF(reservaoutrosconsolidadojun[[#This Row],[TOTAL (R$)]]=0,"",IF(OR(reservaoutrosconsolidadojun[[#This Row],[TOTAL (R$)]]=LARGE($AJ$206:$AJ$213,1),reservaoutrosconsolidadojun[[#This Row],[TOTAL (R$)]]=LARGE($AJ$206:$AJ$213,2)),DADOS!$I$11,""))</f>
        <v/>
      </c>
      <c r="E211" s="148" t="n">
        <f aca="false">SUMIFS(tabela_registros[VALOR],tabela_registros[MÊS],$AE$1,tabela_registros[DIA],reservaoutrosconsolidadojun[[#Headers],[1]],tabela_registros[REGISTRO],DADOS!$N$6,tabela_registros[TIPO],DADOS!$AJ$5,tabela_registros[CATEGORIA],reservaoutrosconsolidadojun[[#This Row],[ATUAL]])</f>
        <v>0</v>
      </c>
      <c r="F211" s="119" t="n">
        <f aca="false">SUMIFS(tabela_registros[VALOR],tabela_registros[MÊS],$AE$1,tabela_registros[DIA],reservaoutrosconsolidadojun[[#Headers],[2]],tabela_registros[REGISTRO],DADOS!$N$6,tabela_registros[TIPO],DADOS!$AJ$5,tabela_registros[CATEGORIA],reservaoutrosconsolidadojun[[#This Row],[ATUAL]])</f>
        <v>0</v>
      </c>
      <c r="G211" s="119" t="n">
        <f aca="false">SUMIFS(tabela_registros[VALOR],tabela_registros[MÊS],$AE$1,tabela_registros[DIA],reservaoutrosconsolidadojun[[#Headers],[3]],tabela_registros[REGISTRO],DADOS!$N$6,tabela_registros[TIPO],DADOS!$AJ$5,tabela_registros[CATEGORIA],reservaoutrosconsolidadojun[[#This Row],[ATUAL]])</f>
        <v>0</v>
      </c>
      <c r="H211" s="119" t="n">
        <f aca="false">SUMIFS(tabela_registros[VALOR],tabela_registros[MÊS],$AE$1,tabela_registros[DIA],reservaoutrosconsolidadojun[[#Headers],[4]],tabela_registros[REGISTRO],DADOS!$N$6,tabela_registros[TIPO],DADOS!$AJ$5,tabela_registros[CATEGORIA],reservaoutrosconsolidadojun[[#This Row],[ATUAL]])</f>
        <v>0</v>
      </c>
      <c r="I211" s="119" t="n">
        <f aca="false">SUMIFS(tabela_registros[VALOR],tabela_registros[MÊS],$AE$1,tabela_registros[DIA],reservaoutrosconsolidadojun[[#Headers],[5]],tabela_registros[REGISTRO],DADOS!$N$6,tabela_registros[TIPO],DADOS!$AJ$5,tabela_registros[CATEGORIA],reservaoutrosconsolidadojun[[#This Row],[ATUAL]])</f>
        <v>0</v>
      </c>
      <c r="J211" s="119" t="n">
        <f aca="false">SUMIFS(tabela_registros[VALOR],tabela_registros[MÊS],$AE$1,tabela_registros[DIA],reservaoutrosconsolidadojun[[#Headers],[6]],tabela_registros[REGISTRO],DADOS!$N$6,tabela_registros[TIPO],DADOS!$AJ$5,tabela_registros[CATEGORIA],reservaoutrosconsolidadojun[[#This Row],[ATUAL]])</f>
        <v>0</v>
      </c>
      <c r="K211" s="119" t="n">
        <f aca="false">SUMIFS(tabela_registros[VALOR],tabela_registros[MÊS],$AE$1,tabela_registros[DIA],reservaoutrosconsolidadojun[[#Headers],[7]],tabela_registros[REGISTRO],DADOS!$N$6,tabela_registros[TIPO],DADOS!$AJ$5,tabela_registros[CATEGORIA],reservaoutrosconsolidadojun[[#This Row],[ATUAL]])</f>
        <v>0</v>
      </c>
      <c r="L211" s="119" t="n">
        <f aca="false">SUMIFS(tabela_registros[VALOR],tabela_registros[MÊS],$AE$1,tabela_registros[DIA],reservaoutrosconsolidadojun[[#Headers],[8]],tabela_registros[REGISTRO],DADOS!$N$6,tabela_registros[TIPO],DADOS!$AJ$5,tabela_registros[CATEGORIA],reservaoutrosconsolidadojun[[#This Row],[ATUAL]])</f>
        <v>0</v>
      </c>
      <c r="M211" s="119" t="n">
        <f aca="false">SUMIFS(tabela_registros[VALOR],tabela_registros[MÊS],$AE$1,tabela_registros[DIA],reservaoutrosconsolidadojun[[#Headers],[9]],tabela_registros[REGISTRO],DADOS!$N$6,tabela_registros[TIPO],DADOS!$AJ$5,tabela_registros[CATEGORIA],reservaoutrosconsolidadojun[[#This Row],[ATUAL]])</f>
        <v>0</v>
      </c>
      <c r="N211" s="119" t="n">
        <f aca="false">SUMIFS(tabela_registros[VALOR],tabela_registros[MÊS],$AE$1,tabela_registros[DIA],reservaoutrosconsolidadojun[[#Headers],[10]],tabela_registros[REGISTRO],DADOS!$N$6,tabela_registros[TIPO],DADOS!$AJ$5,tabela_registros[CATEGORIA],reservaoutrosconsolidadojun[[#This Row],[ATUAL]])</f>
        <v>0</v>
      </c>
      <c r="O211" s="119" t="n">
        <f aca="false">SUMIFS(tabela_registros[VALOR],tabela_registros[MÊS],$AE$1,tabela_registros[DIA],reservaoutrosconsolidadojun[[#Headers],[11]],tabela_registros[REGISTRO],DADOS!$N$6,tabela_registros[TIPO],DADOS!$AJ$5,tabela_registros[CATEGORIA],reservaoutrosconsolidadojun[[#This Row],[ATUAL]])</f>
        <v>0</v>
      </c>
      <c r="P211" s="119" t="n">
        <f aca="false">SUMIFS(tabela_registros[VALOR],tabela_registros[MÊS],$AE$1,tabela_registros[DIA],reservaoutrosconsolidadojun[[#Headers],[12]],tabela_registros[REGISTRO],DADOS!$N$6,tabela_registros[TIPO],DADOS!$AJ$5,tabela_registros[CATEGORIA],reservaoutrosconsolidadojun[[#This Row],[ATUAL]])</f>
        <v>0</v>
      </c>
      <c r="Q211" s="119" t="n">
        <f aca="false">SUMIFS(tabela_registros[VALOR],tabela_registros[MÊS],$AE$1,tabela_registros[DIA],reservaoutrosconsolidadojun[[#Headers],[13]],tabela_registros[REGISTRO],DADOS!$N$6,tabela_registros[TIPO],DADOS!$AJ$5,tabela_registros[CATEGORIA],reservaoutrosconsolidadojun[[#This Row],[ATUAL]])</f>
        <v>0</v>
      </c>
      <c r="R211" s="119" t="n">
        <f aca="false">SUMIFS(tabela_registros[VALOR],tabela_registros[MÊS],$AE$1,tabela_registros[DIA],reservaoutrosconsolidadojun[[#Headers],[14]],tabela_registros[REGISTRO],DADOS!$N$6,tabela_registros[TIPO],DADOS!$AJ$5,tabela_registros[CATEGORIA],reservaoutrosconsolidadojun[[#This Row],[ATUAL]])</f>
        <v>0</v>
      </c>
      <c r="S211" s="119" t="n">
        <f aca="false">SUMIFS(tabela_registros[VALOR],tabela_registros[MÊS],$AE$1,tabela_registros[DIA],reservaoutrosconsolidadojun[[#Headers],[15]],tabela_registros[REGISTRO],DADOS!$N$6,tabela_registros[TIPO],DADOS!$AJ$5,tabela_registros[CATEGORIA],reservaoutrosconsolidadojun[[#This Row],[ATUAL]])</f>
        <v>0</v>
      </c>
      <c r="T211" s="119" t="n">
        <f aca="false">SUMIFS(tabela_registros[VALOR],tabela_registros[MÊS],$AE$1,tabela_registros[DIA],reservaoutrosconsolidadojun[[#Headers],[16]],tabela_registros[REGISTRO],DADOS!$N$6,tabela_registros[TIPO],DADOS!$AJ$5,tabela_registros[CATEGORIA],reservaoutrosconsolidadojun[[#This Row],[ATUAL]])</f>
        <v>0</v>
      </c>
      <c r="U211" s="119" t="n">
        <f aca="false">SUMIFS(tabela_registros[VALOR],tabela_registros[MÊS],$AE$1,tabela_registros[DIA],reservaoutrosconsolidadojun[[#Headers],[17]],tabela_registros[REGISTRO],DADOS!$N$6,tabela_registros[TIPO],DADOS!$AJ$5,tabela_registros[CATEGORIA],reservaoutrosconsolidadojun[[#This Row],[ATUAL]])</f>
        <v>0</v>
      </c>
      <c r="V211" s="119" t="n">
        <f aca="false">SUMIFS(tabela_registros[VALOR],tabela_registros[MÊS],$AE$1,tabela_registros[DIA],reservaoutrosconsolidadojun[[#Headers],[18]],tabela_registros[REGISTRO],DADOS!$N$6,tabela_registros[TIPO],DADOS!$AJ$5,tabela_registros[CATEGORIA],reservaoutrosconsolidadojun[[#This Row],[ATUAL]])</f>
        <v>0</v>
      </c>
      <c r="W211" s="119" t="n">
        <f aca="false">SUMIFS(tabela_registros[VALOR],tabela_registros[MÊS],$AE$1,tabela_registros[DIA],reservaoutrosconsolidadojun[[#Headers],[19]],tabela_registros[REGISTRO],DADOS!$N$6,tabela_registros[TIPO],DADOS!$AJ$5,tabela_registros[CATEGORIA],reservaoutrosconsolidadojun[[#This Row],[ATUAL]])</f>
        <v>0</v>
      </c>
      <c r="X211" s="119" t="n">
        <f aca="false">SUMIFS(tabela_registros[VALOR],tabela_registros[MÊS],$AE$1,tabela_registros[DIA],reservaoutrosconsolidadojun[[#Headers],[20]],tabela_registros[REGISTRO],DADOS!$N$6,tabela_registros[TIPO],DADOS!$AJ$5,tabela_registros[CATEGORIA],reservaoutrosconsolidadojun[[#This Row],[ATUAL]])</f>
        <v>0</v>
      </c>
      <c r="Y211" s="119" t="n">
        <f aca="false">SUMIFS(tabela_registros[VALOR],tabela_registros[MÊS],$AE$1,tabela_registros[DIA],reservaoutrosconsolidadojun[[#Headers],[21]],tabela_registros[REGISTRO],DADOS!$N$6,tabela_registros[TIPO],DADOS!$AJ$5,tabela_registros[CATEGORIA],reservaoutrosconsolidadojun[[#This Row],[ATUAL]])</f>
        <v>0</v>
      </c>
      <c r="Z211" s="119" t="n">
        <f aca="false">SUMIFS(tabela_registros[VALOR],tabela_registros[MÊS],$AE$1,tabela_registros[DIA],reservaoutrosconsolidadojun[[#Headers],[22]],tabela_registros[REGISTRO],DADOS!$N$6,tabela_registros[TIPO],DADOS!$AJ$5,tabela_registros[CATEGORIA],reservaoutrosconsolidadojun[[#This Row],[ATUAL]])</f>
        <v>0</v>
      </c>
      <c r="AA211" s="119" t="n">
        <f aca="false">SUMIFS(tabela_registros[VALOR],tabela_registros[MÊS],$AE$1,tabela_registros[DIA],reservaoutrosconsolidadojun[[#Headers],[23]],tabela_registros[REGISTRO],DADOS!$N$6,tabela_registros[TIPO],DADOS!$AJ$5,tabela_registros[CATEGORIA],reservaoutrosconsolidadojun[[#This Row],[ATUAL]])</f>
        <v>0</v>
      </c>
      <c r="AB211" s="119" t="n">
        <f aca="false">SUMIFS(tabela_registros[VALOR],tabela_registros[MÊS],$AE$1,tabela_registros[DIA],reservaoutrosconsolidadojun[[#Headers],[24]],tabela_registros[REGISTRO],DADOS!$N$6,tabela_registros[TIPO],DADOS!$AJ$5,tabela_registros[CATEGORIA],reservaoutrosconsolidadojun[[#This Row],[ATUAL]])</f>
        <v>0</v>
      </c>
      <c r="AC211" s="119" t="n">
        <f aca="false">SUMIFS(tabela_registros[VALOR],tabela_registros[MÊS],$AE$1,tabela_registros[DIA],reservaoutrosconsolidadojun[[#Headers],[25]],tabela_registros[REGISTRO],DADOS!$N$6,tabela_registros[TIPO],DADOS!$AJ$5,tabela_registros[CATEGORIA],reservaoutrosconsolidadojun[[#This Row],[ATUAL]])</f>
        <v>0</v>
      </c>
      <c r="AD211" s="119" t="n">
        <f aca="false">SUMIFS(tabela_registros[VALOR],tabela_registros[MÊS],$AE$1,tabela_registros[DIA],reservaoutrosconsolidadojun[[#Headers],[26]],tabela_registros[REGISTRO],DADOS!$N$6,tabela_registros[TIPO],DADOS!$AJ$5,tabela_registros[CATEGORIA],reservaoutrosconsolidadojun[[#This Row],[ATUAL]])</f>
        <v>0</v>
      </c>
      <c r="AE211" s="119" t="n">
        <f aca="false">SUMIFS(tabela_registros[VALOR],tabela_registros[MÊS],$AE$1,tabela_registros[DIA],reservaoutrosconsolidadojun[[#Headers],[27]],tabela_registros[REGISTRO],DADOS!$N$6,tabela_registros[TIPO],DADOS!$AJ$5,tabela_registros[CATEGORIA],reservaoutrosconsolidadojun[[#This Row],[ATUAL]])</f>
        <v>0</v>
      </c>
      <c r="AF211" s="119" t="n">
        <f aca="false">SUMIFS(tabela_registros[VALOR],tabela_registros[MÊS],$AE$1,tabela_registros[DIA],reservaoutrosconsolidadojun[[#Headers],[28]],tabela_registros[REGISTRO],DADOS!$N$6,tabela_registros[TIPO],DADOS!$AJ$5,tabela_registros[CATEGORIA],reservaoutrosconsolidadojun[[#This Row],[ATUAL]])</f>
        <v>0</v>
      </c>
      <c r="AG211" s="119" t="n">
        <f aca="false">SUMIFS(tabela_registros[VALOR],tabela_registros[MÊS],$AE$1,tabela_registros[DIA],reservaoutrosconsolidadojun[[#Headers],[29]],tabela_registros[REGISTRO],DADOS!$N$6,tabela_registros[TIPO],DADOS!$AJ$5,tabela_registros[CATEGORIA],reservaoutrosconsolidadojun[[#This Row],[ATUAL]])</f>
        <v>0</v>
      </c>
      <c r="AH211" s="119" t="n">
        <f aca="false">SUMIFS(tabela_registros[VALOR],tabela_registros[MÊS],$AE$1,tabela_registros[DIA],reservaoutrosconsolidadojun[[#Headers],[30]],tabela_registros[REGISTRO],DADOS!$N$6,tabela_registros[TIPO],DADOS!$AJ$5,tabela_registros[CATEGORIA],reservaoutrosconsolidadojun[[#This Row],[ATUAL]])</f>
        <v>0</v>
      </c>
      <c r="AI211" s="217" t="n">
        <f aca="false">SUMIFS(tabela_registros[VALOR],tabela_registros[MÊS],$AE$1,tabela_registros[DIA],reservaoutrosconsolidadojun[[#Headers],[31]],tabela_registros[REGISTRO],DADOS!$N$6,tabela_registros[TIPO],DADOS!$AJ$5,tabela_registros[CATEGORIA],reservaoutrosconsolidadojun[[#This Row],[ATUAL]])</f>
        <v>0</v>
      </c>
      <c r="AJ211" s="149" t="n">
        <f aca="false">SUM(reservaoutrosconsolidadojun[[#This Row],[1]:[31]])</f>
        <v>0</v>
      </c>
      <c r="AK211" s="165"/>
    </row>
    <row r="212" customFormat="false" ht="19.5" hidden="false" customHeight="true" outlineLevel="0" collapsed="false">
      <c r="B212" s="143"/>
      <c r="C212" s="144" t="str">
        <f aca="false">DADOS!$AP$9</f>
        <v>📝 PREVIDÊNCIA PRIVADA</v>
      </c>
      <c r="D212" s="145" t="str">
        <f aca="false">IF(reservaoutrosconsolidadojun[[#This Row],[TOTAL (R$)]]=0,"",IF(OR(reservaoutrosconsolidadojun[[#This Row],[TOTAL (R$)]]=LARGE($AJ$206:$AJ$213,1),reservaoutrosconsolidadojun[[#This Row],[TOTAL (R$)]]=LARGE($AJ$206:$AJ$213,2)),DADOS!$I$11,""))</f>
        <v/>
      </c>
      <c r="E212" s="148" t="n">
        <f aca="false">SUMIFS(tabela_registros[VALOR],tabela_registros[MÊS],$AE$1,tabela_registros[DIA],reservaoutrosconsolidadojun[[#Headers],[1]],tabela_registros[REGISTRO],DADOS!$N$6,tabela_registros[TIPO],DADOS!$AJ$5,tabela_registros[CATEGORIA],reservaoutrosconsolidadojun[[#This Row],[ATUAL]])</f>
        <v>0</v>
      </c>
      <c r="F212" s="119" t="n">
        <f aca="false">SUMIFS(tabela_registros[VALOR],tabela_registros[MÊS],$AE$1,tabela_registros[DIA],reservaoutrosconsolidadojun[[#Headers],[2]],tabela_registros[REGISTRO],DADOS!$N$6,tabela_registros[TIPO],DADOS!$AJ$5,tabela_registros[CATEGORIA],reservaoutrosconsolidadojun[[#This Row],[ATUAL]])</f>
        <v>0</v>
      </c>
      <c r="G212" s="119" t="n">
        <f aca="false">SUMIFS(tabela_registros[VALOR],tabela_registros[MÊS],$AE$1,tabela_registros[DIA],reservaoutrosconsolidadojun[[#Headers],[3]],tabela_registros[REGISTRO],DADOS!$N$6,tabela_registros[TIPO],DADOS!$AJ$5,tabela_registros[CATEGORIA],reservaoutrosconsolidadojun[[#This Row],[ATUAL]])</f>
        <v>0</v>
      </c>
      <c r="H212" s="119" t="n">
        <f aca="false">SUMIFS(tabela_registros[VALOR],tabela_registros[MÊS],$AE$1,tabela_registros[DIA],reservaoutrosconsolidadojun[[#Headers],[4]],tabela_registros[REGISTRO],DADOS!$N$6,tabela_registros[TIPO],DADOS!$AJ$5,tabela_registros[CATEGORIA],reservaoutrosconsolidadojun[[#This Row],[ATUAL]])</f>
        <v>0</v>
      </c>
      <c r="I212" s="119" t="n">
        <f aca="false">SUMIFS(tabela_registros[VALOR],tabela_registros[MÊS],$AE$1,tabela_registros[DIA],reservaoutrosconsolidadojun[[#Headers],[5]],tabela_registros[REGISTRO],DADOS!$N$6,tabela_registros[TIPO],DADOS!$AJ$5,tabela_registros[CATEGORIA],reservaoutrosconsolidadojun[[#This Row],[ATUAL]])</f>
        <v>0</v>
      </c>
      <c r="J212" s="119" t="n">
        <f aca="false">SUMIFS(tabela_registros[VALOR],tabela_registros[MÊS],$AE$1,tabela_registros[DIA],reservaoutrosconsolidadojun[[#Headers],[6]],tabela_registros[REGISTRO],DADOS!$N$6,tabela_registros[TIPO],DADOS!$AJ$5,tabela_registros[CATEGORIA],reservaoutrosconsolidadojun[[#This Row],[ATUAL]])</f>
        <v>0</v>
      </c>
      <c r="K212" s="119" t="n">
        <f aca="false">SUMIFS(tabela_registros[VALOR],tabela_registros[MÊS],$AE$1,tabela_registros[DIA],reservaoutrosconsolidadojun[[#Headers],[7]],tabela_registros[REGISTRO],DADOS!$N$6,tabela_registros[TIPO],DADOS!$AJ$5,tabela_registros[CATEGORIA],reservaoutrosconsolidadojun[[#This Row],[ATUAL]])</f>
        <v>0</v>
      </c>
      <c r="L212" s="119" t="n">
        <f aca="false">SUMIFS(tabela_registros[VALOR],tabela_registros[MÊS],$AE$1,tabela_registros[DIA],reservaoutrosconsolidadojun[[#Headers],[8]],tabela_registros[REGISTRO],DADOS!$N$6,tabela_registros[TIPO],DADOS!$AJ$5,tabela_registros[CATEGORIA],reservaoutrosconsolidadojun[[#This Row],[ATUAL]])</f>
        <v>0</v>
      </c>
      <c r="M212" s="119" t="n">
        <f aca="false">SUMIFS(tabela_registros[VALOR],tabela_registros[MÊS],$AE$1,tabela_registros[DIA],reservaoutrosconsolidadojun[[#Headers],[9]],tabela_registros[REGISTRO],DADOS!$N$6,tabela_registros[TIPO],DADOS!$AJ$5,tabela_registros[CATEGORIA],reservaoutrosconsolidadojun[[#This Row],[ATUAL]])</f>
        <v>0</v>
      </c>
      <c r="N212" s="119" t="n">
        <f aca="false">SUMIFS(tabela_registros[VALOR],tabela_registros[MÊS],$AE$1,tabela_registros[DIA],reservaoutrosconsolidadojun[[#Headers],[10]],tabela_registros[REGISTRO],DADOS!$N$6,tabela_registros[TIPO],DADOS!$AJ$5,tabela_registros[CATEGORIA],reservaoutrosconsolidadojun[[#This Row],[ATUAL]])</f>
        <v>0</v>
      </c>
      <c r="O212" s="119" t="n">
        <f aca="false">SUMIFS(tabela_registros[VALOR],tabela_registros[MÊS],$AE$1,tabela_registros[DIA],reservaoutrosconsolidadojun[[#Headers],[11]],tabela_registros[REGISTRO],DADOS!$N$6,tabela_registros[TIPO],DADOS!$AJ$5,tabela_registros[CATEGORIA],reservaoutrosconsolidadojun[[#This Row],[ATUAL]])</f>
        <v>0</v>
      </c>
      <c r="P212" s="119" t="n">
        <f aca="false">SUMIFS(tabela_registros[VALOR],tabela_registros[MÊS],$AE$1,tabela_registros[DIA],reservaoutrosconsolidadojun[[#Headers],[12]],tabela_registros[REGISTRO],DADOS!$N$6,tabela_registros[TIPO],DADOS!$AJ$5,tabela_registros[CATEGORIA],reservaoutrosconsolidadojun[[#This Row],[ATUAL]])</f>
        <v>0</v>
      </c>
      <c r="Q212" s="119" t="n">
        <f aca="false">SUMIFS(tabela_registros[VALOR],tabela_registros[MÊS],$AE$1,tabela_registros[DIA],reservaoutrosconsolidadojun[[#Headers],[13]],tabela_registros[REGISTRO],DADOS!$N$6,tabela_registros[TIPO],DADOS!$AJ$5,tabela_registros[CATEGORIA],reservaoutrosconsolidadojun[[#This Row],[ATUAL]])</f>
        <v>0</v>
      </c>
      <c r="R212" s="119" t="n">
        <f aca="false">SUMIFS(tabela_registros[VALOR],tabela_registros[MÊS],$AE$1,tabela_registros[DIA],reservaoutrosconsolidadojun[[#Headers],[14]],tabela_registros[REGISTRO],DADOS!$N$6,tabela_registros[TIPO],DADOS!$AJ$5,tabela_registros[CATEGORIA],reservaoutrosconsolidadojun[[#This Row],[ATUAL]])</f>
        <v>0</v>
      </c>
      <c r="S212" s="119" t="n">
        <f aca="false">SUMIFS(tabela_registros[VALOR],tabela_registros[MÊS],$AE$1,tabela_registros[DIA],reservaoutrosconsolidadojun[[#Headers],[15]],tabela_registros[REGISTRO],DADOS!$N$6,tabela_registros[TIPO],DADOS!$AJ$5,tabela_registros[CATEGORIA],reservaoutrosconsolidadojun[[#This Row],[ATUAL]])</f>
        <v>0</v>
      </c>
      <c r="T212" s="119" t="n">
        <f aca="false">SUMIFS(tabela_registros[VALOR],tabela_registros[MÊS],$AE$1,tabela_registros[DIA],reservaoutrosconsolidadojun[[#Headers],[16]],tabela_registros[REGISTRO],DADOS!$N$6,tabela_registros[TIPO],DADOS!$AJ$5,tabela_registros[CATEGORIA],reservaoutrosconsolidadojun[[#This Row],[ATUAL]])</f>
        <v>0</v>
      </c>
      <c r="U212" s="119" t="n">
        <f aca="false">SUMIFS(tabela_registros[VALOR],tabela_registros[MÊS],$AE$1,tabela_registros[DIA],reservaoutrosconsolidadojun[[#Headers],[17]],tabela_registros[REGISTRO],DADOS!$N$6,tabela_registros[TIPO],DADOS!$AJ$5,tabela_registros[CATEGORIA],reservaoutrosconsolidadojun[[#This Row],[ATUAL]])</f>
        <v>0</v>
      </c>
      <c r="V212" s="119" t="n">
        <f aca="false">SUMIFS(tabela_registros[VALOR],tabela_registros[MÊS],$AE$1,tabela_registros[DIA],reservaoutrosconsolidadojun[[#Headers],[18]],tabela_registros[REGISTRO],DADOS!$N$6,tabela_registros[TIPO],DADOS!$AJ$5,tabela_registros[CATEGORIA],reservaoutrosconsolidadojun[[#This Row],[ATUAL]])</f>
        <v>0</v>
      </c>
      <c r="W212" s="119" t="n">
        <f aca="false">SUMIFS(tabela_registros[VALOR],tabela_registros[MÊS],$AE$1,tabela_registros[DIA],reservaoutrosconsolidadojun[[#Headers],[19]],tabela_registros[REGISTRO],DADOS!$N$6,tabela_registros[TIPO],DADOS!$AJ$5,tabela_registros[CATEGORIA],reservaoutrosconsolidadojun[[#This Row],[ATUAL]])</f>
        <v>0</v>
      </c>
      <c r="X212" s="119" t="n">
        <f aca="false">SUMIFS(tabela_registros[VALOR],tabela_registros[MÊS],$AE$1,tabela_registros[DIA],reservaoutrosconsolidadojun[[#Headers],[20]],tabela_registros[REGISTRO],DADOS!$N$6,tabela_registros[TIPO],DADOS!$AJ$5,tabela_registros[CATEGORIA],reservaoutrosconsolidadojun[[#This Row],[ATUAL]])</f>
        <v>0</v>
      </c>
      <c r="Y212" s="119" t="n">
        <f aca="false">SUMIFS(tabela_registros[VALOR],tabela_registros[MÊS],$AE$1,tabela_registros[DIA],reservaoutrosconsolidadojun[[#Headers],[21]],tabela_registros[REGISTRO],DADOS!$N$6,tabela_registros[TIPO],DADOS!$AJ$5,tabela_registros[CATEGORIA],reservaoutrosconsolidadojun[[#This Row],[ATUAL]])</f>
        <v>0</v>
      </c>
      <c r="Z212" s="119" t="n">
        <f aca="false">SUMIFS(tabela_registros[VALOR],tabela_registros[MÊS],$AE$1,tabela_registros[DIA],reservaoutrosconsolidadojun[[#Headers],[22]],tabela_registros[REGISTRO],DADOS!$N$6,tabela_registros[TIPO],DADOS!$AJ$5,tabela_registros[CATEGORIA],reservaoutrosconsolidadojun[[#This Row],[ATUAL]])</f>
        <v>0</v>
      </c>
      <c r="AA212" s="119" t="n">
        <f aca="false">SUMIFS(tabela_registros[VALOR],tabela_registros[MÊS],$AE$1,tabela_registros[DIA],reservaoutrosconsolidadojun[[#Headers],[23]],tabela_registros[REGISTRO],DADOS!$N$6,tabela_registros[TIPO],DADOS!$AJ$5,tabela_registros[CATEGORIA],reservaoutrosconsolidadojun[[#This Row],[ATUAL]])</f>
        <v>0</v>
      </c>
      <c r="AB212" s="119" t="n">
        <f aca="false">SUMIFS(tabela_registros[VALOR],tabela_registros[MÊS],$AE$1,tabela_registros[DIA],reservaoutrosconsolidadojun[[#Headers],[24]],tabela_registros[REGISTRO],DADOS!$N$6,tabela_registros[TIPO],DADOS!$AJ$5,tabela_registros[CATEGORIA],reservaoutrosconsolidadojun[[#This Row],[ATUAL]])</f>
        <v>0</v>
      </c>
      <c r="AC212" s="119" t="n">
        <f aca="false">SUMIFS(tabela_registros[VALOR],tabela_registros[MÊS],$AE$1,tabela_registros[DIA],reservaoutrosconsolidadojun[[#Headers],[25]],tabela_registros[REGISTRO],DADOS!$N$6,tabela_registros[TIPO],DADOS!$AJ$5,tabela_registros[CATEGORIA],reservaoutrosconsolidadojun[[#This Row],[ATUAL]])</f>
        <v>0</v>
      </c>
      <c r="AD212" s="119" t="n">
        <f aca="false">SUMIFS(tabela_registros[VALOR],tabela_registros[MÊS],$AE$1,tabela_registros[DIA],reservaoutrosconsolidadojun[[#Headers],[26]],tabela_registros[REGISTRO],DADOS!$N$6,tabela_registros[TIPO],DADOS!$AJ$5,tabela_registros[CATEGORIA],reservaoutrosconsolidadojun[[#This Row],[ATUAL]])</f>
        <v>0</v>
      </c>
      <c r="AE212" s="119" t="n">
        <f aca="false">SUMIFS(tabela_registros[VALOR],tabela_registros[MÊS],$AE$1,tabela_registros[DIA],reservaoutrosconsolidadojun[[#Headers],[27]],tabela_registros[REGISTRO],DADOS!$N$6,tabela_registros[TIPO],DADOS!$AJ$5,tabela_registros[CATEGORIA],reservaoutrosconsolidadojun[[#This Row],[ATUAL]])</f>
        <v>0</v>
      </c>
      <c r="AF212" s="119" t="n">
        <f aca="false">SUMIFS(tabela_registros[VALOR],tabela_registros[MÊS],$AE$1,tabela_registros[DIA],reservaoutrosconsolidadojun[[#Headers],[28]],tabela_registros[REGISTRO],DADOS!$N$6,tabela_registros[TIPO],DADOS!$AJ$5,tabela_registros[CATEGORIA],reservaoutrosconsolidadojun[[#This Row],[ATUAL]])</f>
        <v>0</v>
      </c>
      <c r="AG212" s="119" t="n">
        <f aca="false">SUMIFS(tabela_registros[VALOR],tabela_registros[MÊS],$AE$1,tabela_registros[DIA],reservaoutrosconsolidadojun[[#Headers],[29]],tabela_registros[REGISTRO],DADOS!$N$6,tabela_registros[TIPO],DADOS!$AJ$5,tabela_registros[CATEGORIA],reservaoutrosconsolidadojun[[#This Row],[ATUAL]])</f>
        <v>0</v>
      </c>
      <c r="AH212" s="119" t="n">
        <f aca="false">SUMIFS(tabela_registros[VALOR],tabela_registros[MÊS],$AE$1,tabela_registros[DIA],reservaoutrosconsolidadojun[[#Headers],[30]],tabela_registros[REGISTRO],DADOS!$N$6,tabela_registros[TIPO],DADOS!$AJ$5,tabela_registros[CATEGORIA],reservaoutrosconsolidadojun[[#This Row],[ATUAL]])</f>
        <v>0</v>
      </c>
      <c r="AI212" s="217" t="n">
        <f aca="false">SUMIFS(tabela_registros[VALOR],tabela_registros[MÊS],$AE$1,tabela_registros[DIA],reservaoutrosconsolidadojun[[#Headers],[31]],tabela_registros[REGISTRO],DADOS!$N$6,tabela_registros[TIPO],DADOS!$AJ$5,tabela_registros[CATEGORIA],reservaoutrosconsolidadojun[[#This Row],[ATUAL]])</f>
        <v>0</v>
      </c>
      <c r="AJ212" s="149" t="n">
        <f aca="false">SUM(reservaoutrosconsolidadojun[[#This Row],[1]:[31]])</f>
        <v>0</v>
      </c>
      <c r="AK212" s="165"/>
    </row>
    <row r="213" customFormat="false" ht="19.5" hidden="false" customHeight="true" outlineLevel="0" collapsed="false">
      <c r="B213" s="143"/>
      <c r="C213" s="144" t="str">
        <f aca="false">DADOS!$AP$10</f>
        <v>📎 OUTROS</v>
      </c>
      <c r="D213" s="145" t="str">
        <f aca="false">IF(reservaoutrosconsolidadojun[[#This Row],[TOTAL (R$)]]=0,"",IF(OR(reservaoutrosconsolidadojun[[#This Row],[TOTAL (R$)]]=LARGE($AJ$206:$AJ$213,1),reservaoutrosconsolidadojun[[#This Row],[TOTAL (R$)]]=LARGE($AJ$206:$AJ$213,2)),DADOS!$I$11,""))</f>
        <v/>
      </c>
      <c r="E213" s="148" t="n">
        <f aca="false">SUMIFS(tabela_registros[VALOR],tabela_registros[MÊS],$AE$1,tabela_registros[DIA],reservaoutrosconsolidadojun[[#Headers],[1]],tabela_registros[REGISTRO],DADOS!$N$6,tabela_registros[TIPO],DADOS!$AJ$5,tabela_registros[CATEGORIA],reservaoutrosconsolidadojun[[#This Row],[ATUAL]])</f>
        <v>0</v>
      </c>
      <c r="F213" s="119" t="n">
        <f aca="false">SUMIFS(tabela_registros[VALOR],tabela_registros[MÊS],$AE$1,tabela_registros[DIA],reservaoutrosconsolidadojun[[#Headers],[2]],tabela_registros[REGISTRO],DADOS!$N$6,tabela_registros[TIPO],DADOS!$AJ$5,tabela_registros[CATEGORIA],reservaoutrosconsolidadojun[[#This Row],[ATUAL]])</f>
        <v>0</v>
      </c>
      <c r="G213" s="119" t="n">
        <f aca="false">SUMIFS(tabela_registros[VALOR],tabela_registros[MÊS],$AE$1,tabela_registros[DIA],reservaoutrosconsolidadojun[[#Headers],[3]],tabela_registros[REGISTRO],DADOS!$N$6,tabela_registros[TIPO],DADOS!$AJ$5,tabela_registros[CATEGORIA],reservaoutrosconsolidadojun[[#This Row],[ATUAL]])</f>
        <v>0</v>
      </c>
      <c r="H213" s="119" t="n">
        <f aca="false">SUMIFS(tabela_registros[VALOR],tabela_registros[MÊS],$AE$1,tabela_registros[DIA],reservaoutrosconsolidadojun[[#Headers],[4]],tabela_registros[REGISTRO],DADOS!$N$6,tabela_registros[TIPO],DADOS!$AJ$5,tabela_registros[CATEGORIA],reservaoutrosconsolidadojun[[#This Row],[ATUAL]])</f>
        <v>0</v>
      </c>
      <c r="I213" s="119" t="n">
        <f aca="false">SUMIFS(tabela_registros[VALOR],tabela_registros[MÊS],$AE$1,tabela_registros[DIA],reservaoutrosconsolidadojun[[#Headers],[5]],tabela_registros[REGISTRO],DADOS!$N$6,tabela_registros[TIPO],DADOS!$AJ$5,tabela_registros[CATEGORIA],reservaoutrosconsolidadojun[[#This Row],[ATUAL]])</f>
        <v>0</v>
      </c>
      <c r="J213" s="119" t="n">
        <f aca="false">SUMIFS(tabela_registros[VALOR],tabela_registros[MÊS],$AE$1,tabela_registros[DIA],reservaoutrosconsolidadojun[[#Headers],[6]],tabela_registros[REGISTRO],DADOS!$N$6,tabela_registros[TIPO],DADOS!$AJ$5,tabela_registros[CATEGORIA],reservaoutrosconsolidadojun[[#This Row],[ATUAL]])</f>
        <v>0</v>
      </c>
      <c r="K213" s="119" t="n">
        <f aca="false">SUMIFS(tabela_registros[VALOR],tabela_registros[MÊS],$AE$1,tabela_registros[DIA],reservaoutrosconsolidadojun[[#Headers],[7]],tabela_registros[REGISTRO],DADOS!$N$6,tabela_registros[TIPO],DADOS!$AJ$5,tabela_registros[CATEGORIA],reservaoutrosconsolidadojun[[#This Row],[ATUAL]])</f>
        <v>0</v>
      </c>
      <c r="L213" s="119" t="n">
        <f aca="false">SUMIFS(tabela_registros[VALOR],tabela_registros[MÊS],$AE$1,tabela_registros[DIA],reservaoutrosconsolidadojun[[#Headers],[8]],tabela_registros[REGISTRO],DADOS!$N$6,tabela_registros[TIPO],DADOS!$AJ$5,tabela_registros[CATEGORIA],reservaoutrosconsolidadojun[[#This Row],[ATUAL]])</f>
        <v>0</v>
      </c>
      <c r="M213" s="119" t="n">
        <f aca="false">SUMIFS(tabela_registros[VALOR],tabela_registros[MÊS],$AE$1,tabela_registros[DIA],reservaoutrosconsolidadojun[[#Headers],[9]],tabela_registros[REGISTRO],DADOS!$N$6,tabela_registros[TIPO],DADOS!$AJ$5,tabela_registros[CATEGORIA],reservaoutrosconsolidadojun[[#This Row],[ATUAL]])</f>
        <v>0</v>
      </c>
      <c r="N213" s="119" t="n">
        <f aca="false">SUMIFS(tabela_registros[VALOR],tabela_registros[MÊS],$AE$1,tabela_registros[DIA],reservaoutrosconsolidadojun[[#Headers],[10]],tabela_registros[REGISTRO],DADOS!$N$6,tabela_registros[TIPO],DADOS!$AJ$5,tabela_registros[CATEGORIA],reservaoutrosconsolidadojun[[#This Row],[ATUAL]])</f>
        <v>0</v>
      </c>
      <c r="O213" s="119" t="n">
        <f aca="false">SUMIFS(tabela_registros[VALOR],tabela_registros[MÊS],$AE$1,tabela_registros[DIA],reservaoutrosconsolidadojun[[#Headers],[11]],tabela_registros[REGISTRO],DADOS!$N$6,tabela_registros[TIPO],DADOS!$AJ$5,tabela_registros[CATEGORIA],reservaoutrosconsolidadojun[[#This Row],[ATUAL]])</f>
        <v>0</v>
      </c>
      <c r="P213" s="119" t="n">
        <f aca="false">SUMIFS(tabela_registros[VALOR],tabela_registros[MÊS],$AE$1,tabela_registros[DIA],reservaoutrosconsolidadojun[[#Headers],[12]],tabela_registros[REGISTRO],DADOS!$N$6,tabela_registros[TIPO],DADOS!$AJ$5,tabela_registros[CATEGORIA],reservaoutrosconsolidadojun[[#This Row],[ATUAL]])</f>
        <v>0</v>
      </c>
      <c r="Q213" s="119" t="n">
        <f aca="false">SUMIFS(tabela_registros[VALOR],tabela_registros[MÊS],$AE$1,tabela_registros[DIA],reservaoutrosconsolidadojun[[#Headers],[13]],tabela_registros[REGISTRO],DADOS!$N$6,tabela_registros[TIPO],DADOS!$AJ$5,tabela_registros[CATEGORIA],reservaoutrosconsolidadojun[[#This Row],[ATUAL]])</f>
        <v>0</v>
      </c>
      <c r="R213" s="119" t="n">
        <f aca="false">SUMIFS(tabela_registros[VALOR],tabela_registros[MÊS],$AE$1,tabela_registros[DIA],reservaoutrosconsolidadojun[[#Headers],[14]],tabela_registros[REGISTRO],DADOS!$N$6,tabela_registros[TIPO],DADOS!$AJ$5,tabela_registros[CATEGORIA],reservaoutrosconsolidadojun[[#This Row],[ATUAL]])</f>
        <v>0</v>
      </c>
      <c r="S213" s="119" t="n">
        <f aca="false">SUMIFS(tabela_registros[VALOR],tabela_registros[MÊS],$AE$1,tabela_registros[DIA],reservaoutrosconsolidadojun[[#Headers],[15]],tabela_registros[REGISTRO],DADOS!$N$6,tabela_registros[TIPO],DADOS!$AJ$5,tabela_registros[CATEGORIA],reservaoutrosconsolidadojun[[#This Row],[ATUAL]])</f>
        <v>0</v>
      </c>
      <c r="T213" s="119" t="n">
        <f aca="false">SUMIFS(tabela_registros[VALOR],tabela_registros[MÊS],$AE$1,tabela_registros[DIA],reservaoutrosconsolidadojun[[#Headers],[16]],tabela_registros[REGISTRO],DADOS!$N$6,tabela_registros[TIPO],DADOS!$AJ$5,tabela_registros[CATEGORIA],reservaoutrosconsolidadojun[[#This Row],[ATUAL]])</f>
        <v>0</v>
      </c>
      <c r="U213" s="119" t="n">
        <f aca="false">SUMIFS(tabela_registros[VALOR],tabela_registros[MÊS],$AE$1,tabela_registros[DIA],reservaoutrosconsolidadojun[[#Headers],[17]],tabela_registros[REGISTRO],DADOS!$N$6,tabela_registros[TIPO],DADOS!$AJ$5,tabela_registros[CATEGORIA],reservaoutrosconsolidadojun[[#This Row],[ATUAL]])</f>
        <v>0</v>
      </c>
      <c r="V213" s="119" t="n">
        <f aca="false">SUMIFS(tabela_registros[VALOR],tabela_registros[MÊS],$AE$1,tabela_registros[DIA],reservaoutrosconsolidadojun[[#Headers],[18]],tabela_registros[REGISTRO],DADOS!$N$6,tabela_registros[TIPO],DADOS!$AJ$5,tabela_registros[CATEGORIA],reservaoutrosconsolidadojun[[#This Row],[ATUAL]])</f>
        <v>0</v>
      </c>
      <c r="W213" s="119" t="n">
        <f aca="false">SUMIFS(tabela_registros[VALOR],tabela_registros[MÊS],$AE$1,tabela_registros[DIA],reservaoutrosconsolidadojun[[#Headers],[19]],tabela_registros[REGISTRO],DADOS!$N$6,tabela_registros[TIPO],DADOS!$AJ$5,tabela_registros[CATEGORIA],reservaoutrosconsolidadojun[[#This Row],[ATUAL]])</f>
        <v>0</v>
      </c>
      <c r="X213" s="119" t="n">
        <f aca="false">SUMIFS(tabela_registros[VALOR],tabela_registros[MÊS],$AE$1,tabela_registros[DIA],reservaoutrosconsolidadojun[[#Headers],[20]],tabela_registros[REGISTRO],DADOS!$N$6,tabela_registros[TIPO],DADOS!$AJ$5,tabela_registros[CATEGORIA],reservaoutrosconsolidadojun[[#This Row],[ATUAL]])</f>
        <v>0</v>
      </c>
      <c r="Y213" s="119" t="n">
        <f aca="false">SUMIFS(tabela_registros[VALOR],tabela_registros[MÊS],$AE$1,tabela_registros[DIA],reservaoutrosconsolidadojun[[#Headers],[21]],tabela_registros[REGISTRO],DADOS!$N$6,tabela_registros[TIPO],DADOS!$AJ$5,tabela_registros[CATEGORIA],reservaoutrosconsolidadojun[[#This Row],[ATUAL]])</f>
        <v>0</v>
      </c>
      <c r="Z213" s="119" t="n">
        <f aca="false">SUMIFS(tabela_registros[VALOR],tabela_registros[MÊS],$AE$1,tabela_registros[DIA],reservaoutrosconsolidadojun[[#Headers],[22]],tabela_registros[REGISTRO],DADOS!$N$6,tabela_registros[TIPO],DADOS!$AJ$5,tabela_registros[CATEGORIA],reservaoutrosconsolidadojun[[#This Row],[ATUAL]])</f>
        <v>0</v>
      </c>
      <c r="AA213" s="119" t="n">
        <f aca="false">SUMIFS(tabela_registros[VALOR],tabela_registros[MÊS],$AE$1,tabela_registros[DIA],reservaoutrosconsolidadojun[[#Headers],[23]],tabela_registros[REGISTRO],DADOS!$N$6,tabela_registros[TIPO],DADOS!$AJ$5,tabela_registros[CATEGORIA],reservaoutrosconsolidadojun[[#This Row],[ATUAL]])</f>
        <v>0</v>
      </c>
      <c r="AB213" s="119" t="n">
        <f aca="false">SUMIFS(tabela_registros[VALOR],tabela_registros[MÊS],$AE$1,tabela_registros[DIA],reservaoutrosconsolidadojun[[#Headers],[24]],tabela_registros[REGISTRO],DADOS!$N$6,tabela_registros[TIPO],DADOS!$AJ$5,tabela_registros[CATEGORIA],reservaoutrosconsolidadojun[[#This Row],[ATUAL]])</f>
        <v>0</v>
      </c>
      <c r="AC213" s="119" t="n">
        <f aca="false">SUMIFS(tabela_registros[VALOR],tabela_registros[MÊS],$AE$1,tabela_registros[DIA],reservaoutrosconsolidadojun[[#Headers],[25]],tabela_registros[REGISTRO],DADOS!$N$6,tabela_registros[TIPO],DADOS!$AJ$5,tabela_registros[CATEGORIA],reservaoutrosconsolidadojun[[#This Row],[ATUAL]])</f>
        <v>0</v>
      </c>
      <c r="AD213" s="119" t="n">
        <f aca="false">SUMIFS(tabela_registros[VALOR],tabela_registros[MÊS],$AE$1,tabela_registros[DIA],reservaoutrosconsolidadojun[[#Headers],[26]],tabela_registros[REGISTRO],DADOS!$N$6,tabela_registros[TIPO],DADOS!$AJ$5,tabela_registros[CATEGORIA],reservaoutrosconsolidadojun[[#This Row],[ATUAL]])</f>
        <v>0</v>
      </c>
      <c r="AE213" s="119" t="n">
        <f aca="false">SUMIFS(tabela_registros[VALOR],tabela_registros[MÊS],$AE$1,tabela_registros[DIA],reservaoutrosconsolidadojun[[#Headers],[27]],tabela_registros[REGISTRO],DADOS!$N$6,tabela_registros[TIPO],DADOS!$AJ$5,tabela_registros[CATEGORIA],reservaoutrosconsolidadojun[[#This Row],[ATUAL]])</f>
        <v>0</v>
      </c>
      <c r="AF213" s="119" t="n">
        <f aca="false">SUMIFS(tabela_registros[VALOR],tabela_registros[MÊS],$AE$1,tabela_registros[DIA],reservaoutrosconsolidadojun[[#Headers],[28]],tabela_registros[REGISTRO],DADOS!$N$6,tabela_registros[TIPO],DADOS!$AJ$5,tabela_registros[CATEGORIA],reservaoutrosconsolidadojun[[#This Row],[ATUAL]])</f>
        <v>0</v>
      </c>
      <c r="AG213" s="119" t="n">
        <f aca="false">SUMIFS(tabela_registros[VALOR],tabela_registros[MÊS],$AE$1,tabela_registros[DIA],reservaoutrosconsolidadojun[[#Headers],[29]],tabela_registros[REGISTRO],DADOS!$N$6,tabela_registros[TIPO],DADOS!$AJ$5,tabela_registros[CATEGORIA],reservaoutrosconsolidadojun[[#This Row],[ATUAL]])</f>
        <v>0</v>
      </c>
      <c r="AH213" s="119" t="n">
        <f aca="false">SUMIFS(tabela_registros[VALOR],tabela_registros[MÊS],$AE$1,tabela_registros[DIA],reservaoutrosconsolidadojun[[#Headers],[30]],tabela_registros[REGISTRO],DADOS!$N$6,tabela_registros[TIPO],DADOS!$AJ$5,tabela_registros[CATEGORIA],reservaoutrosconsolidadojun[[#This Row],[ATUAL]])</f>
        <v>0</v>
      </c>
      <c r="AI213" s="218" t="n">
        <f aca="false">SUMIFS(tabela_registros[VALOR],tabela_registros[MÊS],$AE$1,tabela_registros[DIA],reservaoutrosconsolidadojun[[#Headers],[31]],tabela_registros[REGISTRO],DADOS!$N$6,tabela_registros[TIPO],DADOS!$AJ$5,tabela_registros[CATEGORIA],reservaoutrosconsolidadojun[[#This Row],[ATUAL]])</f>
        <v>0</v>
      </c>
      <c r="AJ213" s="149" t="n">
        <f aca="false">SUM(reservaoutrosconsolidadojun[[#This Row],[1]:[31]])</f>
        <v>0</v>
      </c>
      <c r="AK213" s="165"/>
    </row>
    <row r="214" s="122" customFormat="true" ht="21" hidden="false" customHeight="true" outlineLevel="0" collapsed="false">
      <c r="B214" s="152"/>
      <c r="C214" s="153" t="s">
        <v>2</v>
      </c>
      <c r="D214" s="166"/>
      <c r="E214" s="155" t="n">
        <f aca="false">SUM(E206:E213)</f>
        <v>0</v>
      </c>
      <c r="F214" s="156" t="n">
        <f aca="false">SUM(F206:F213)+reservaoutrosconsolidadojun[[#This Row],[1]]</f>
        <v>0</v>
      </c>
      <c r="G214" s="156" t="n">
        <f aca="false">SUM(G206:G213)+reservaoutrosconsolidadojun[[#This Row],[2]]</f>
        <v>0</v>
      </c>
      <c r="H214" s="156" t="n">
        <f aca="false">SUM(H206:H213)+reservaoutrosconsolidadojun[[#This Row],[3]]</f>
        <v>0</v>
      </c>
      <c r="I214" s="156" t="n">
        <f aca="false">SUM(I206:I213)+reservaoutrosconsolidadojun[[#This Row],[4]]</f>
        <v>0</v>
      </c>
      <c r="J214" s="156" t="n">
        <f aca="false">SUM(J206:J213)+reservaoutrosconsolidadojun[[#This Row],[5]]</f>
        <v>0</v>
      </c>
      <c r="K214" s="156" t="n">
        <f aca="false">SUM(K206:K213)+reservaoutrosconsolidadojun[[#This Row],[6]]</f>
        <v>0</v>
      </c>
      <c r="L214" s="156" t="n">
        <f aca="false">SUM(L206:L213)+reservaoutrosconsolidadojun[[#This Row],[7]]</f>
        <v>0</v>
      </c>
      <c r="M214" s="156" t="n">
        <f aca="false">SUM(M206:M213)+reservaoutrosconsolidadojun[[#This Row],[8]]</f>
        <v>0</v>
      </c>
      <c r="N214" s="156" t="n">
        <f aca="false">SUM(N206:N213)+reservaoutrosconsolidadojun[[#This Row],[9]]</f>
        <v>0</v>
      </c>
      <c r="O214" s="156" t="n">
        <f aca="false">SUM(O206:O213)+reservaoutrosconsolidadojun[[#This Row],[10]]</f>
        <v>0</v>
      </c>
      <c r="P214" s="156" t="n">
        <f aca="false">SUM(P206:P213)+reservaoutrosconsolidadojun[[#This Row],[11]]</f>
        <v>0</v>
      </c>
      <c r="Q214" s="156" t="n">
        <f aca="false">SUM(Q206:Q213)+reservaoutrosconsolidadojun[[#This Row],[12]]</f>
        <v>0</v>
      </c>
      <c r="R214" s="156" t="n">
        <f aca="false">SUM(R206:R213)+reservaoutrosconsolidadojun[[#This Row],[13]]</f>
        <v>0</v>
      </c>
      <c r="S214" s="156" t="n">
        <f aca="false">SUM(S206:S213)+reservaoutrosconsolidadojun[[#This Row],[14]]</f>
        <v>0</v>
      </c>
      <c r="T214" s="156" t="n">
        <f aca="false">SUM(T206:T213)+reservaoutrosconsolidadojun[[#This Row],[15]]</f>
        <v>0</v>
      </c>
      <c r="U214" s="156" t="n">
        <f aca="false">SUM(U206:U213)+reservaoutrosconsolidadojun[[#This Row],[16]]</f>
        <v>0</v>
      </c>
      <c r="V214" s="156" t="n">
        <f aca="false">SUM(V206:V213)+reservaoutrosconsolidadojun[[#This Row],[17]]</f>
        <v>0</v>
      </c>
      <c r="W214" s="156" t="n">
        <f aca="false">SUM(W206:W213)+reservaoutrosconsolidadojun[[#This Row],[18]]</f>
        <v>0</v>
      </c>
      <c r="X214" s="156" t="n">
        <f aca="false">SUM(X206:X213)+reservaoutrosconsolidadojun[[#This Row],[19]]</f>
        <v>0</v>
      </c>
      <c r="Y214" s="156" t="n">
        <f aca="false">SUM(Y206:Y213)+reservaoutrosconsolidadojun[[#This Row],[20]]</f>
        <v>0</v>
      </c>
      <c r="Z214" s="156" t="n">
        <f aca="false">SUM(Z206:Z213)+reservaoutrosconsolidadojun[[#This Row],[21]]</f>
        <v>0</v>
      </c>
      <c r="AA214" s="156" t="n">
        <f aca="false">SUM(AA206:AA213)+reservaoutrosconsolidadojun[[#This Row],[22]]</f>
        <v>0</v>
      </c>
      <c r="AB214" s="156" t="n">
        <f aca="false">SUM(AB206:AB213)+reservaoutrosconsolidadojun[[#This Row],[23]]</f>
        <v>0</v>
      </c>
      <c r="AC214" s="156" t="n">
        <f aca="false">SUM(AC206:AC213)+reservaoutrosconsolidadojun[[#This Row],[24]]</f>
        <v>0</v>
      </c>
      <c r="AD214" s="156" t="n">
        <f aca="false">SUM(AD206:AD213)+reservaoutrosconsolidadojun[[#This Row],[25]]</f>
        <v>0</v>
      </c>
      <c r="AE214" s="156" t="n">
        <f aca="false">SUM(AE206:AE213)+reservaoutrosconsolidadojun[[#This Row],[26]]</f>
        <v>0</v>
      </c>
      <c r="AF214" s="156" t="n">
        <f aca="false">SUM(AF206:AF213)+reservaoutrosconsolidadojun[[#This Row],[27]]</f>
        <v>0</v>
      </c>
      <c r="AG214" s="156" t="n">
        <f aca="false">SUM(AG206:AG213)+reservaoutrosconsolidadojun[[#This Row],[28]]</f>
        <v>0</v>
      </c>
      <c r="AH214" s="156" t="n">
        <f aca="false">SUM(AH206:AH213)+reservaoutrosconsolidadojun[[#This Row],[29]]</f>
        <v>0</v>
      </c>
      <c r="AI214" s="223" t="n">
        <f aca="false">SUM(AI206:AI213)+reservaoutrosconsolidadojun[[#This Row],[30]]</f>
        <v>0</v>
      </c>
      <c r="AJ214" s="157" t="n">
        <f aca="false">reservaoutrosconsolidadojun[[#This Row],[31]]</f>
        <v>0</v>
      </c>
      <c r="AK214" s="158"/>
    </row>
    <row r="215" customFormat="false" ht="6.75" hidden="false" customHeight="true" outlineLevel="0" collapsed="false">
      <c r="B215" s="97"/>
      <c r="C215" s="162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233"/>
      <c r="AJ215" s="164"/>
      <c r="AK215" s="244"/>
    </row>
    <row r="216" customFormat="false" ht="12.75" hidden="false" customHeight="false" outlineLevel="0" collapsed="false"/>
    <row r="217" customFormat="false" ht="12" hidden="false" customHeight="false" outlineLevel="0" collapsed="false"/>
  </sheetData>
  <sheetProtection algorithmName="SHA-512" hashValue="r8Z8KY/bS2TTNqxuOc5t76Mi2dfvBhe2ajC9v0zAs5i04dAp1GjABKRFk+LIIceAr/f/Z6ilra8uZ8/s8UekcQ==" saltValue="7mWD+enkFuty/hsEM4RoQQ==" spinCount="100000" sheet="true" objects="true" scenarios="true" selectLockedCells="true" selectUnlockedCells="true"/>
  <mergeCells count="26">
    <mergeCell ref="C2:C6"/>
    <mergeCell ref="E3:G3"/>
    <mergeCell ref="I3:K3"/>
    <mergeCell ref="M3:O3"/>
    <mergeCell ref="Q3:S3"/>
    <mergeCell ref="U3:W3"/>
    <mergeCell ref="Z3:AA4"/>
    <mergeCell ref="AC3:AD4"/>
    <mergeCell ref="AF3:AG4"/>
    <mergeCell ref="E4:G4"/>
    <mergeCell ref="I4:K4"/>
    <mergeCell ref="M4:O4"/>
    <mergeCell ref="Q4:S4"/>
    <mergeCell ref="U4:W4"/>
    <mergeCell ref="E10:AI10"/>
    <mergeCell ref="E21:AI21"/>
    <mergeCell ref="E33:AI33"/>
    <mergeCell ref="E56:AI56"/>
    <mergeCell ref="E78:AI78"/>
    <mergeCell ref="E92:AI92"/>
    <mergeCell ref="E109:AI109"/>
    <mergeCell ref="E128:AI128"/>
    <mergeCell ref="E147:AI147"/>
    <mergeCell ref="E164:AI164"/>
    <mergeCell ref="E183:AI183"/>
    <mergeCell ref="E202:AI202"/>
  </mergeCells>
  <hyperlinks>
    <hyperlink ref="Z3" location="'🔒'!A1" display="REGISTROS"/>
    <hyperlink ref="AC3" location="'📈'!A1" display="RADAR"/>
    <hyperlink ref="AF3" location="ANUAL!A1" display="ANUA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17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24" activeCellId="0" sqref="D24"/>
    </sheetView>
  </sheetViews>
  <sheetFormatPr defaultColWidth="2.1484375" defaultRowHeight="12" zeroHeight="true" outlineLevelRow="0" outlineLevelCol="0"/>
  <cols>
    <col collapsed="false" customWidth="false" hidden="false" outlineLevel="0" max="1" min="1" style="78" width="2.14"/>
    <col collapsed="false" customWidth="true" hidden="false" outlineLevel="0" max="2" min="2" style="78" width="1.58"/>
    <col collapsed="false" customWidth="true" hidden="false" outlineLevel="0" max="3" min="3" style="78" width="29.29"/>
    <col collapsed="false" customWidth="true" hidden="false" outlineLevel="0" max="4" min="4" style="78" width="4.71"/>
    <col collapsed="false" customWidth="true" hidden="false" outlineLevel="0" max="34" min="5" style="78" width="5.57"/>
    <col collapsed="false" customWidth="true" hidden="false" outlineLevel="0" max="35" min="35" style="167" width="5.57"/>
    <col collapsed="false" customWidth="true" hidden="false" outlineLevel="0" max="36" min="36" style="78" width="9.58"/>
    <col collapsed="false" customWidth="true" hidden="false" outlineLevel="0" max="37" min="37" style="78" width="1.58"/>
    <col collapsed="false" customWidth="true" hidden="false" outlineLevel="0" max="38" min="38" style="78" width="2"/>
    <col collapsed="false" customWidth="false" hidden="true" outlineLevel="0" max="1024" min="39" style="78" width="2.14"/>
  </cols>
  <sheetData>
    <row r="1" customFormat="false" ht="29.25" hidden="true" customHeight="true" outlineLevel="0" collapsed="false">
      <c r="A1" s="81"/>
      <c r="B1" s="81"/>
      <c r="C1" s="81"/>
      <c r="D1" s="82"/>
      <c r="AD1" s="78" t="s">
        <v>19</v>
      </c>
      <c r="AE1" s="168" t="n">
        <v>7</v>
      </c>
      <c r="AH1" s="78" t="s">
        <v>42</v>
      </c>
      <c r="AI1" s="169" t="n">
        <f aca="false">IF('⚙️'!$Q$3=$AE$1,'⚙️'!$F$13,0)</f>
        <v>0</v>
      </c>
      <c r="AK1" s="169"/>
    </row>
    <row r="2" customFormat="false" ht="15.75" hidden="false" customHeight="true" outlineLevel="0" collapsed="false">
      <c r="A2" s="84"/>
      <c r="B2" s="84"/>
      <c r="C2" s="85" t="s">
        <v>105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7"/>
      <c r="U2" s="87"/>
      <c r="V2" s="87"/>
      <c r="W2" s="87"/>
      <c r="X2" s="87"/>
      <c r="Y2" s="87"/>
      <c r="Z2" s="87"/>
      <c r="AA2" s="87"/>
      <c r="AB2" s="87"/>
      <c r="AC2" s="238"/>
      <c r="AD2" s="239"/>
      <c r="AE2" s="239"/>
      <c r="AF2" s="239"/>
      <c r="AG2" s="239"/>
      <c r="AH2" s="239"/>
      <c r="AI2" s="239"/>
      <c r="AJ2" s="239"/>
      <c r="AK2" s="239"/>
      <c r="AL2" s="239"/>
    </row>
    <row r="3" s="180" customFormat="true" ht="18" hidden="false" customHeight="true" outlineLevel="0" collapsed="false">
      <c r="A3" s="89"/>
      <c r="B3" s="89"/>
      <c r="C3" s="85"/>
      <c r="D3" s="86"/>
      <c r="E3" s="90" t="s">
        <v>45</v>
      </c>
      <c r="F3" s="90"/>
      <c r="G3" s="90"/>
      <c r="H3" s="87"/>
      <c r="I3" s="90" t="s">
        <v>46</v>
      </c>
      <c r="J3" s="90"/>
      <c r="K3" s="90"/>
      <c r="L3" s="87"/>
      <c r="M3" s="90" t="s">
        <v>47</v>
      </c>
      <c r="N3" s="90"/>
      <c r="O3" s="90"/>
      <c r="P3" s="87"/>
      <c r="Q3" s="90" t="s">
        <v>48</v>
      </c>
      <c r="R3" s="90"/>
      <c r="S3" s="90"/>
      <c r="T3" s="87"/>
      <c r="U3" s="90" t="s">
        <v>49</v>
      </c>
      <c r="V3" s="90"/>
      <c r="W3" s="90"/>
      <c r="X3" s="87"/>
      <c r="Y3" s="87"/>
      <c r="Z3" s="178" t="s">
        <v>50</v>
      </c>
      <c r="AA3" s="178"/>
      <c r="AB3" s="239"/>
      <c r="AC3" s="178" t="s">
        <v>51</v>
      </c>
      <c r="AD3" s="178"/>
      <c r="AE3" s="239"/>
      <c r="AF3" s="178" t="s">
        <v>17</v>
      </c>
      <c r="AG3" s="178"/>
      <c r="AH3" s="240"/>
      <c r="AI3" s="240"/>
      <c r="AJ3" s="240"/>
      <c r="AK3" s="239"/>
      <c r="AL3" s="239"/>
    </row>
    <row r="4" s="180" customFormat="true" ht="18" hidden="false" customHeight="true" outlineLevel="0" collapsed="false">
      <c r="A4" s="89"/>
      <c r="B4" s="89"/>
      <c r="C4" s="85"/>
      <c r="D4" s="86"/>
      <c r="E4" s="94" t="n">
        <f aca="false">$AJ$16</f>
        <v>0</v>
      </c>
      <c r="F4" s="94"/>
      <c r="G4" s="94"/>
      <c r="H4" s="87"/>
      <c r="I4" s="94" t="n">
        <f aca="false">$AJ$14</f>
        <v>0</v>
      </c>
      <c r="J4" s="94"/>
      <c r="K4" s="94"/>
      <c r="L4" s="87"/>
      <c r="M4" s="94" t="n">
        <f aca="false">$AJ$15</f>
        <v>0</v>
      </c>
      <c r="N4" s="94"/>
      <c r="O4" s="94"/>
      <c r="P4" s="87"/>
      <c r="Q4" s="94" t="n">
        <f aca="false">$AJ$25</f>
        <v>0</v>
      </c>
      <c r="R4" s="94"/>
      <c r="S4" s="94"/>
      <c r="T4" s="87"/>
      <c r="U4" s="94" t="n">
        <f aca="false">$AJ$26</f>
        <v>0</v>
      </c>
      <c r="V4" s="94"/>
      <c r="W4" s="94"/>
      <c r="X4" s="87"/>
      <c r="Y4" s="87"/>
      <c r="Z4" s="178"/>
      <c r="AA4" s="178"/>
      <c r="AB4" s="239"/>
      <c r="AC4" s="178"/>
      <c r="AD4" s="178"/>
      <c r="AE4" s="239"/>
      <c r="AF4" s="178"/>
      <c r="AG4" s="178"/>
      <c r="AH4" s="240"/>
      <c r="AI4" s="240"/>
      <c r="AJ4" s="240"/>
      <c r="AK4" s="239"/>
      <c r="AL4" s="239"/>
    </row>
    <row r="5" customFormat="false" ht="11.25" hidden="false" customHeight="true" outlineLevel="0" collapsed="false">
      <c r="A5" s="89"/>
      <c r="B5" s="89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7"/>
      <c r="Y5" s="86"/>
      <c r="Z5" s="86"/>
      <c r="AA5" s="87"/>
      <c r="AB5" s="87"/>
      <c r="AC5" s="241"/>
      <c r="AD5" s="242"/>
      <c r="AE5" s="242"/>
      <c r="AF5" s="242"/>
      <c r="AG5" s="242"/>
      <c r="AH5" s="242"/>
      <c r="AI5" s="242"/>
      <c r="AJ5" s="239"/>
      <c r="AK5" s="239"/>
      <c r="AL5" s="239"/>
    </row>
    <row r="6" customFormat="false" ht="13.5" hidden="false" customHeight="true" outlineLevel="0" collapsed="false">
      <c r="A6" s="96"/>
      <c r="B6" s="96"/>
      <c r="C6" s="85"/>
      <c r="D6" s="97"/>
      <c r="E6" s="98" t="s">
        <v>30</v>
      </c>
      <c r="F6" s="98" t="s">
        <v>31</v>
      </c>
      <c r="G6" s="99" t="s">
        <v>32</v>
      </c>
      <c r="H6" s="99" t="s">
        <v>33</v>
      </c>
      <c r="I6" s="99" t="s">
        <v>34</v>
      </c>
      <c r="J6" s="99" t="s">
        <v>35</v>
      </c>
      <c r="K6" s="99" t="s">
        <v>36</v>
      </c>
      <c r="L6" s="99" t="s">
        <v>37</v>
      </c>
      <c r="M6" s="99" t="s">
        <v>38</v>
      </c>
      <c r="N6" s="99" t="s">
        <v>39</v>
      </c>
      <c r="O6" s="99" t="s">
        <v>40</v>
      </c>
      <c r="P6" s="99" t="s">
        <v>41</v>
      </c>
      <c r="Q6" s="99" t="s">
        <v>81</v>
      </c>
      <c r="R6" s="99" t="s">
        <v>82</v>
      </c>
      <c r="S6" s="99" t="s">
        <v>83</v>
      </c>
      <c r="T6" s="99" t="s">
        <v>84</v>
      </c>
      <c r="U6" s="99" t="s">
        <v>85</v>
      </c>
      <c r="V6" s="99" t="s">
        <v>86</v>
      </c>
      <c r="W6" s="99" t="s">
        <v>87</v>
      </c>
      <c r="X6" s="99" t="s">
        <v>88</v>
      </c>
      <c r="Y6" s="99" t="s">
        <v>89</v>
      </c>
      <c r="Z6" s="99" t="s">
        <v>90</v>
      </c>
      <c r="AA6" s="99" t="s">
        <v>91</v>
      </c>
      <c r="AB6" s="99" t="s">
        <v>92</v>
      </c>
      <c r="AC6" s="99" t="s">
        <v>93</v>
      </c>
      <c r="AD6" s="99" t="s">
        <v>94</v>
      </c>
      <c r="AE6" s="99" t="s">
        <v>95</v>
      </c>
      <c r="AF6" s="99" t="s">
        <v>96</v>
      </c>
      <c r="AG6" s="99" t="s">
        <v>97</v>
      </c>
      <c r="AH6" s="99" t="s">
        <v>98</v>
      </c>
      <c r="AI6" s="243" t="s">
        <v>99</v>
      </c>
      <c r="AJ6" s="239"/>
      <c r="AK6" s="239"/>
      <c r="AL6" s="239"/>
    </row>
    <row r="7" s="78" customFormat="true" ht="12.75" hidden="false" customHeight="false" outlineLevel="0" collapsed="false">
      <c r="E7" s="100"/>
    </row>
    <row r="8" s="78" customFormat="true" ht="12" hidden="false" customHeight="false" outlineLevel="0" collapsed="false"/>
    <row r="9" s="78" customFormat="true" ht="12" hidden="false" customHeight="false" outlineLevel="0" collapsed="false"/>
    <row r="10" customFormat="false" ht="39.75" hidden="false" customHeight="true" outlineLevel="0" collapsed="false">
      <c r="C10" s="101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3" t="s">
        <v>2</v>
      </c>
    </row>
    <row r="11" s="78" customFormat="true" ht="12.75" hidden="false" customHeight="false" outlineLevel="0" collapsed="false">
      <c r="AJ11" s="106" t="s">
        <v>64</v>
      </c>
    </row>
    <row r="12" customFormat="false" ht="6.75" hidden="false" customHeight="tru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94"/>
      <c r="AK12" s="107"/>
    </row>
    <row r="13" customFormat="false" ht="13.5" hidden="true" customHeight="false" outlineLevel="0" collapsed="false">
      <c r="B13" s="86"/>
      <c r="C13" s="109" t="s">
        <v>68</v>
      </c>
      <c r="D13" s="110" t="s">
        <v>69</v>
      </c>
      <c r="E13" s="110" t="s">
        <v>30</v>
      </c>
      <c r="F13" s="110" t="s">
        <v>31</v>
      </c>
      <c r="G13" s="110" t="s">
        <v>32</v>
      </c>
      <c r="H13" s="110" t="s">
        <v>33</v>
      </c>
      <c r="I13" s="110" t="s">
        <v>34</v>
      </c>
      <c r="J13" s="110" t="s">
        <v>35</v>
      </c>
      <c r="K13" s="110" t="s">
        <v>36</v>
      </c>
      <c r="L13" s="110" t="s">
        <v>37</v>
      </c>
      <c r="M13" s="110" t="s">
        <v>38</v>
      </c>
      <c r="N13" s="110" t="s">
        <v>39</v>
      </c>
      <c r="O13" s="110" t="s">
        <v>40</v>
      </c>
      <c r="P13" s="110" t="s">
        <v>41</v>
      </c>
      <c r="Q13" s="110" t="s">
        <v>81</v>
      </c>
      <c r="R13" s="110" t="s">
        <v>82</v>
      </c>
      <c r="S13" s="110" t="s">
        <v>83</v>
      </c>
      <c r="T13" s="110" t="s">
        <v>84</v>
      </c>
      <c r="U13" s="110" t="s">
        <v>85</v>
      </c>
      <c r="V13" s="110" t="s">
        <v>86</v>
      </c>
      <c r="W13" s="110" t="s">
        <v>87</v>
      </c>
      <c r="X13" s="110" t="s">
        <v>88</v>
      </c>
      <c r="Y13" s="110" t="s">
        <v>89</v>
      </c>
      <c r="Z13" s="110" t="s">
        <v>90</v>
      </c>
      <c r="AA13" s="110" t="s">
        <v>91</v>
      </c>
      <c r="AB13" s="110" t="s">
        <v>92</v>
      </c>
      <c r="AC13" s="110" t="s">
        <v>93</v>
      </c>
      <c r="AD13" s="110" t="s">
        <v>94</v>
      </c>
      <c r="AE13" s="110" t="s">
        <v>95</v>
      </c>
      <c r="AF13" s="110" t="s">
        <v>96</v>
      </c>
      <c r="AG13" s="110" t="s">
        <v>97</v>
      </c>
      <c r="AH13" s="110" t="s">
        <v>98</v>
      </c>
      <c r="AI13" s="110" t="s">
        <v>99</v>
      </c>
      <c r="AJ13" s="111" t="s">
        <v>70</v>
      </c>
      <c r="AK13" s="107"/>
    </row>
    <row r="14" customFormat="false" ht="19.5" hidden="false" customHeight="true" outlineLevel="0" collapsed="false">
      <c r="B14" s="107"/>
      <c r="C14" s="112" t="s">
        <v>71</v>
      </c>
      <c r="D14" s="113"/>
      <c r="E14" s="114" t="n">
        <f aca="false">SUMIFS(tabela_registros[VALOR],tabela_registros[MÊS],$AE$1,tabela_registros[DIA],jultotal3059718395107[[#Headers],[1]],tabela_registros[REGISTRO],DADOS!$N$3)</f>
        <v>0</v>
      </c>
      <c r="F14" s="114" t="n">
        <f aca="false">SUMIFS(tabela_registros[VALOR],tabela_registros[MÊS],$AE$1,tabela_registros[DIA],jultotal3059718395107[[#Headers],[2]],tabela_registros[REGISTRO],DADOS!$N$3)</f>
        <v>0</v>
      </c>
      <c r="G14" s="114" t="n">
        <f aca="false">SUMIFS(tabela_registros[VALOR],tabela_registros[MÊS],$AE$1,tabela_registros[DIA],jultotal3059718395107[[#Headers],[3]],tabela_registros[REGISTRO],DADOS!$N$3)</f>
        <v>0</v>
      </c>
      <c r="H14" s="114" t="n">
        <f aca="false">SUMIFS(tabela_registros[VALOR],tabela_registros[MÊS],$AE$1,tabela_registros[DIA],jultotal3059718395107[[#Headers],[4]],tabela_registros[REGISTRO],DADOS!$N$3)</f>
        <v>0</v>
      </c>
      <c r="I14" s="114" t="n">
        <f aca="false">SUMIFS(tabela_registros[VALOR],tabela_registros[MÊS],$AE$1,tabela_registros[DIA],jultotal3059718395107[[#Headers],[5]],tabela_registros[REGISTRO],DADOS!$N$3)</f>
        <v>0</v>
      </c>
      <c r="J14" s="114" t="n">
        <f aca="false">SUMIFS(tabela_registros[VALOR],tabela_registros[MÊS],$AE$1,tabela_registros[DIA],jultotal3059718395107[[#Headers],[6]],tabela_registros[REGISTRO],DADOS!$N$3)</f>
        <v>0</v>
      </c>
      <c r="K14" s="114" t="n">
        <f aca="false">SUMIFS(tabela_registros[VALOR],tabela_registros[MÊS],$AE$1,tabela_registros[DIA],jultotal3059718395107[[#Headers],[7]],tabela_registros[REGISTRO],DADOS!$N$3)</f>
        <v>0</v>
      </c>
      <c r="L14" s="114" t="n">
        <f aca="false">SUMIFS(tabela_registros[VALOR],tabela_registros[MÊS],$AE$1,tabela_registros[DIA],jultotal3059718395107[[#Headers],[8]],tabela_registros[REGISTRO],DADOS!$N$3)</f>
        <v>0</v>
      </c>
      <c r="M14" s="114" t="n">
        <f aca="false">SUMIFS(tabela_registros[VALOR],tabela_registros[MÊS],$AE$1,tabela_registros[DIA],jultotal3059718395107[[#Headers],[9]],tabela_registros[REGISTRO],DADOS!$N$3)</f>
        <v>0</v>
      </c>
      <c r="N14" s="114" t="n">
        <f aca="false">SUMIFS(tabela_registros[VALOR],tabela_registros[MÊS],$AE$1,tabela_registros[DIA],jultotal3059718395107[[#Headers],[10]],tabela_registros[REGISTRO],DADOS!$N$3)</f>
        <v>0</v>
      </c>
      <c r="O14" s="114" t="n">
        <f aca="false">SUMIFS(tabela_registros[VALOR],tabela_registros[MÊS],$AE$1,tabela_registros[DIA],jultotal3059718395107[[#Headers],[11]],tabela_registros[REGISTRO],DADOS!$N$3)</f>
        <v>0</v>
      </c>
      <c r="P14" s="114" t="n">
        <f aca="false">SUMIFS(tabela_registros[VALOR],tabela_registros[MÊS],$AE$1,tabela_registros[DIA],jultotal3059718395107[[#Headers],[12]],tabela_registros[REGISTRO],DADOS!$N$3)</f>
        <v>0</v>
      </c>
      <c r="Q14" s="114" t="n">
        <f aca="false">SUMIFS(tabela_registros[VALOR],tabela_registros[MÊS],$AE$1,tabela_registros[DIA],jultotal3059718395107[[#Headers],[13]],tabela_registros[REGISTRO],DADOS!$N$3)</f>
        <v>0</v>
      </c>
      <c r="R14" s="114" t="n">
        <f aca="false">SUMIFS(tabela_registros[VALOR],tabela_registros[MÊS],$AE$1,tabela_registros[DIA],jultotal3059718395107[[#Headers],[14]],tabela_registros[REGISTRO],DADOS!$N$3)</f>
        <v>0</v>
      </c>
      <c r="S14" s="114" t="n">
        <f aca="false">SUMIFS(tabela_registros[VALOR],tabela_registros[MÊS],$AE$1,tabela_registros[DIA],jultotal3059718395107[[#Headers],[15]],tabela_registros[REGISTRO],DADOS!$N$3)</f>
        <v>0</v>
      </c>
      <c r="T14" s="114" t="n">
        <f aca="false">SUMIFS(tabela_registros[VALOR],tabela_registros[MÊS],$AE$1,tabela_registros[DIA],jultotal3059718395107[[#Headers],[16]],tabela_registros[REGISTRO],DADOS!$N$3)</f>
        <v>0</v>
      </c>
      <c r="U14" s="114" t="n">
        <f aca="false">SUMIFS(tabela_registros[VALOR],tabela_registros[MÊS],$AE$1,tabela_registros[DIA],jultotal3059718395107[[#Headers],[17]],tabela_registros[REGISTRO],DADOS!$N$3)</f>
        <v>0</v>
      </c>
      <c r="V14" s="114" t="n">
        <f aca="false">SUMIFS(tabela_registros[VALOR],tabela_registros[MÊS],$AE$1,tabela_registros[DIA],jultotal3059718395107[[#Headers],[18]],tabela_registros[REGISTRO],DADOS!$N$3)</f>
        <v>0</v>
      </c>
      <c r="W14" s="114" t="n">
        <f aca="false">SUMIFS(tabela_registros[VALOR],tabela_registros[MÊS],$AE$1,tabela_registros[DIA],jultotal3059718395107[[#Headers],[19]],tabela_registros[REGISTRO],DADOS!$N$3)</f>
        <v>0</v>
      </c>
      <c r="X14" s="114" t="n">
        <f aca="false">SUMIFS(tabela_registros[VALOR],tabela_registros[MÊS],$AE$1,tabela_registros[DIA],jultotal3059718395107[[#Headers],[20]],tabela_registros[REGISTRO],DADOS!$N$3)</f>
        <v>0</v>
      </c>
      <c r="Y14" s="114" t="n">
        <f aca="false">SUMIFS(tabela_registros[VALOR],tabela_registros[MÊS],$AE$1,tabela_registros[DIA],jultotal3059718395107[[#Headers],[21]],tabela_registros[REGISTRO],DADOS!$N$3)</f>
        <v>0</v>
      </c>
      <c r="Z14" s="114" t="n">
        <f aca="false">SUMIFS(tabela_registros[VALOR],tabela_registros[MÊS],$AE$1,tabela_registros[DIA],jultotal3059718395107[[#Headers],[22]],tabela_registros[REGISTRO],DADOS!$N$3)</f>
        <v>0</v>
      </c>
      <c r="AA14" s="114" t="n">
        <f aca="false">SUMIFS(tabela_registros[VALOR],tabela_registros[MÊS],$AE$1,tabela_registros[DIA],jultotal3059718395107[[#Headers],[23]],tabela_registros[REGISTRO],DADOS!$N$3)</f>
        <v>0</v>
      </c>
      <c r="AB14" s="114" t="n">
        <f aca="false">SUMIFS(tabela_registros[VALOR],tabela_registros[MÊS],$AE$1,tabela_registros[DIA],jultotal3059718395107[[#Headers],[24]],tabela_registros[REGISTRO],DADOS!$N$3)</f>
        <v>0</v>
      </c>
      <c r="AC14" s="114" t="n">
        <f aca="false">SUMIFS(tabela_registros[VALOR],tabela_registros[MÊS],$AE$1,tabela_registros[DIA],jultotal3059718395107[[#Headers],[25]],tabela_registros[REGISTRO],DADOS!$N$3)</f>
        <v>0</v>
      </c>
      <c r="AD14" s="114" t="n">
        <f aca="false">SUMIFS(tabela_registros[VALOR],tabela_registros[MÊS],$AE$1,tabela_registros[DIA],jultotal3059718395107[[#Headers],[26]],tabela_registros[REGISTRO],DADOS!$N$3)</f>
        <v>0</v>
      </c>
      <c r="AE14" s="114" t="n">
        <f aca="false">SUMIFS(tabela_registros[VALOR],tabela_registros[MÊS],$AE$1,tabela_registros[DIA],jultotal3059718395107[[#Headers],[27]],tabela_registros[REGISTRO],DADOS!$N$3)</f>
        <v>0</v>
      </c>
      <c r="AF14" s="114" t="n">
        <f aca="false">SUMIFS(tabela_registros[VALOR],tabela_registros[MÊS],$AE$1,tabela_registros[DIA],jultotal3059718395107[[#Headers],[28]],tabela_registros[REGISTRO],DADOS!$N$3)</f>
        <v>0</v>
      </c>
      <c r="AG14" s="114" t="n">
        <f aca="false">SUMIFS(tabela_registros[VALOR],tabela_registros[MÊS],$AE$1,tabela_registros[DIA],jultotal3059718395107[[#Headers],[29]],tabela_registros[REGISTRO],DADOS!$N$3)</f>
        <v>0</v>
      </c>
      <c r="AH14" s="114" t="n">
        <f aca="false">SUMIFS(tabela_registros[VALOR],tabela_registros[MÊS],$AE$1,tabela_registros[DIA],jultotal3059718395107[[#Headers],[30]],tabela_registros[REGISTRO],DADOS!$N$3)</f>
        <v>0</v>
      </c>
      <c r="AI14" s="115" t="n">
        <f aca="false">SUMIFS(tabela_registros[VALOR],tabela_registros[MÊS],$AE$1,tabela_registros[DIA],jultotal3059718395107[[#Headers],[31]],tabela_registros[REGISTRO],DADOS!$N$3)</f>
        <v>0</v>
      </c>
      <c r="AJ14" s="116" t="n">
        <f aca="false">SUM(jultotal3059718395107[[#This Row],[1]:[31]])</f>
        <v>0</v>
      </c>
      <c r="AK14" s="107"/>
    </row>
    <row r="15" customFormat="false" ht="18" hidden="false" customHeight="true" outlineLevel="0" collapsed="false">
      <c r="B15" s="107"/>
      <c r="C15" s="112" t="s">
        <v>72</v>
      </c>
      <c r="D15" s="113"/>
      <c r="E15" s="119" t="n">
        <f aca="false">SUMIFS(tabela_registros[VALOR],tabela_registros[MÊS],$AE$1,tabela_registros[DIA],jultotal3059718395107[[#Headers],[1]],tabela_registros[REGISTRO],DADOS!$N$4)</f>
        <v>0</v>
      </c>
      <c r="F15" s="119" t="n">
        <f aca="false">SUMIFS(tabela_registros[VALOR],tabela_registros[MÊS],$AE$1,tabela_registros[DIA],jultotal3059718395107[[#Headers],[2]],tabela_registros[REGISTRO],DADOS!$N$4)</f>
        <v>0</v>
      </c>
      <c r="G15" s="119" t="n">
        <f aca="false">SUMIFS(tabela_registros[VALOR],tabela_registros[MÊS],$AE$1,tabela_registros[DIA],jultotal3059718395107[[#Headers],[3]],tabela_registros[REGISTRO],DADOS!$N$4)</f>
        <v>0</v>
      </c>
      <c r="H15" s="119" t="n">
        <f aca="false">SUMIFS(tabela_registros[VALOR],tabela_registros[MÊS],$AE$1,tabela_registros[DIA],jultotal3059718395107[[#Headers],[4]],tabela_registros[REGISTRO],DADOS!$N$4)</f>
        <v>0</v>
      </c>
      <c r="I15" s="119" t="n">
        <f aca="false">SUMIFS(tabela_registros[VALOR],tabela_registros[MÊS],$AE$1,tabela_registros[DIA],jultotal3059718395107[[#Headers],[5]],tabela_registros[REGISTRO],DADOS!$N$4)</f>
        <v>0</v>
      </c>
      <c r="J15" s="119" t="n">
        <f aca="false">SUMIFS(tabela_registros[VALOR],tabela_registros[MÊS],$AE$1,tabela_registros[DIA],jultotal3059718395107[[#Headers],[6]],tabela_registros[REGISTRO],DADOS!$N$4)</f>
        <v>0</v>
      </c>
      <c r="K15" s="119" t="n">
        <f aca="false">SUMIFS(tabela_registros[VALOR],tabela_registros[MÊS],$AE$1,tabela_registros[DIA],jultotal3059718395107[[#Headers],[7]],tabela_registros[REGISTRO],DADOS!$N$4)</f>
        <v>0</v>
      </c>
      <c r="L15" s="119" t="n">
        <f aca="false">SUMIFS(tabela_registros[VALOR],tabela_registros[MÊS],$AE$1,tabela_registros[DIA],jultotal3059718395107[[#Headers],[8]],tabela_registros[REGISTRO],DADOS!$N$4)</f>
        <v>0</v>
      </c>
      <c r="M15" s="119" t="n">
        <f aca="false">SUMIFS(tabela_registros[VALOR],tabela_registros[MÊS],$AE$1,tabela_registros[DIA],jultotal3059718395107[[#Headers],[9]],tabela_registros[REGISTRO],DADOS!$N$4)</f>
        <v>0</v>
      </c>
      <c r="N15" s="119" t="n">
        <f aca="false">SUMIFS(tabela_registros[VALOR],tabela_registros[MÊS],$AE$1,tabela_registros[DIA],jultotal3059718395107[[#Headers],[10]],tabela_registros[REGISTRO],DADOS!$N$4)</f>
        <v>0</v>
      </c>
      <c r="O15" s="119" t="n">
        <f aca="false">SUMIFS(tabela_registros[VALOR],tabela_registros[MÊS],$AE$1,tabela_registros[DIA],jultotal3059718395107[[#Headers],[11]],tabela_registros[REGISTRO],DADOS!$N$4)</f>
        <v>0</v>
      </c>
      <c r="P15" s="119" t="n">
        <f aca="false">SUMIFS(tabela_registros[VALOR],tabela_registros[MÊS],$AE$1,tabela_registros[DIA],jultotal3059718395107[[#Headers],[12]],tabela_registros[REGISTRO],DADOS!$N$4)</f>
        <v>0</v>
      </c>
      <c r="Q15" s="119" t="n">
        <f aca="false">SUMIFS(tabela_registros[VALOR],tabela_registros[MÊS],$AE$1,tabela_registros[DIA],jultotal3059718395107[[#Headers],[13]],tabela_registros[REGISTRO],DADOS!$N$4)</f>
        <v>0</v>
      </c>
      <c r="R15" s="119" t="n">
        <f aca="false">SUMIFS(tabela_registros[VALOR],tabela_registros[MÊS],$AE$1,tabela_registros[DIA],jultotal3059718395107[[#Headers],[14]],tabela_registros[REGISTRO],DADOS!$N$4)</f>
        <v>0</v>
      </c>
      <c r="S15" s="119" t="n">
        <f aca="false">SUMIFS(tabela_registros[VALOR],tabela_registros[MÊS],$AE$1,tabela_registros[DIA],jultotal3059718395107[[#Headers],[15]],tabela_registros[REGISTRO],DADOS!$N$4)</f>
        <v>0</v>
      </c>
      <c r="T15" s="119" t="n">
        <f aca="false">SUMIFS(tabela_registros[VALOR],tabela_registros[MÊS],$AE$1,tabela_registros[DIA],jultotal3059718395107[[#Headers],[16]],tabela_registros[REGISTRO],DADOS!$N$4)</f>
        <v>0</v>
      </c>
      <c r="U15" s="119" t="n">
        <f aca="false">SUMIFS(tabela_registros[VALOR],tabela_registros[MÊS],$AE$1,tabela_registros[DIA],jultotal3059718395107[[#Headers],[17]],tabela_registros[REGISTRO],DADOS!$N$4)</f>
        <v>0</v>
      </c>
      <c r="V15" s="119" t="n">
        <f aca="false">SUMIFS(tabela_registros[VALOR],tabela_registros[MÊS],$AE$1,tabela_registros[DIA],jultotal3059718395107[[#Headers],[18]],tabela_registros[REGISTRO],DADOS!$N$4)</f>
        <v>0</v>
      </c>
      <c r="W15" s="119" t="n">
        <f aca="false">SUMIFS(tabela_registros[VALOR],tabela_registros[MÊS],$AE$1,tabela_registros[DIA],jultotal3059718395107[[#Headers],[19]],tabela_registros[REGISTRO],DADOS!$N$4)</f>
        <v>0</v>
      </c>
      <c r="X15" s="119" t="n">
        <f aca="false">SUMIFS(tabela_registros[VALOR],tabela_registros[MÊS],$AE$1,tabela_registros[DIA],jultotal3059718395107[[#Headers],[20]],tabela_registros[REGISTRO],DADOS!$N$4)</f>
        <v>0</v>
      </c>
      <c r="Y15" s="119" t="n">
        <f aca="false">SUMIFS(tabela_registros[VALOR],tabela_registros[MÊS],$AE$1,tabela_registros[DIA],jultotal3059718395107[[#Headers],[21]],tabela_registros[REGISTRO],DADOS!$N$4)</f>
        <v>0</v>
      </c>
      <c r="Z15" s="119" t="n">
        <f aca="false">SUMIFS(tabela_registros[VALOR],tabela_registros[MÊS],$AE$1,tabela_registros[DIA],jultotal3059718395107[[#Headers],[22]],tabela_registros[REGISTRO],DADOS!$N$4)</f>
        <v>0</v>
      </c>
      <c r="AA15" s="119" t="n">
        <f aca="false">SUMIFS(tabela_registros[VALOR],tabela_registros[MÊS],$AE$1,tabela_registros[DIA],jultotal3059718395107[[#Headers],[23]],tabela_registros[REGISTRO],DADOS!$N$4)</f>
        <v>0</v>
      </c>
      <c r="AB15" s="119" t="n">
        <f aca="false">SUMIFS(tabela_registros[VALOR],tabela_registros[MÊS],$AE$1,tabela_registros[DIA],jultotal3059718395107[[#Headers],[24]],tabela_registros[REGISTRO],DADOS!$N$4)</f>
        <v>0</v>
      </c>
      <c r="AC15" s="119" t="n">
        <f aca="false">SUMIFS(tabela_registros[VALOR],tabela_registros[MÊS],$AE$1,tabela_registros[DIA],jultotal3059718395107[[#Headers],[25]],tabela_registros[REGISTRO],DADOS!$N$4)</f>
        <v>0</v>
      </c>
      <c r="AD15" s="119" t="n">
        <f aca="false">SUMIFS(tabela_registros[VALOR],tabela_registros[MÊS],$AE$1,tabela_registros[DIA],jultotal3059718395107[[#Headers],[26]],tabela_registros[REGISTRO],DADOS!$N$4)</f>
        <v>0</v>
      </c>
      <c r="AE15" s="119" t="n">
        <f aca="false">SUMIFS(tabela_registros[VALOR],tabela_registros[MÊS],$AE$1,tabela_registros[DIA],jultotal3059718395107[[#Headers],[27]],tabela_registros[REGISTRO],DADOS!$N$4)</f>
        <v>0</v>
      </c>
      <c r="AF15" s="119" t="n">
        <f aca="false">SUMIFS(tabela_registros[VALOR],tabela_registros[MÊS],$AE$1,tabela_registros[DIA],jultotal3059718395107[[#Headers],[28]],tabela_registros[REGISTRO],DADOS!$N$4)</f>
        <v>0</v>
      </c>
      <c r="AG15" s="119" t="n">
        <f aca="false">SUMIFS(tabela_registros[VALOR],tabela_registros[MÊS],$AE$1,tabela_registros[DIA],jultotal3059718395107[[#Headers],[29]],tabela_registros[REGISTRO],DADOS!$N$4)</f>
        <v>0</v>
      </c>
      <c r="AH15" s="119" t="n">
        <f aca="false">SUMIFS(tabela_registros[VALOR],tabela_registros[MÊS],$AE$1,tabela_registros[DIA],jultotal3059718395107[[#Headers],[30]],tabela_registros[REGISTRO],DADOS!$N$4)</f>
        <v>0</v>
      </c>
      <c r="AI15" s="120" t="n">
        <f aca="false">SUMIFS(tabela_registros[VALOR],tabela_registros[MÊS],$AE$1,tabela_registros[DIA],jultotal3059718395107[[#Headers],[31]],tabela_registros[REGISTRO],DADOS!$N$4)</f>
        <v>0</v>
      </c>
      <c r="AJ15" s="121" t="n">
        <f aca="false">SUM(jultotal3059718395107[[#This Row],[1]:[31]])</f>
        <v>0</v>
      </c>
      <c r="AK15" s="107"/>
    </row>
    <row r="16" s="122" customFormat="true" ht="21" hidden="false" customHeight="true" outlineLevel="0" collapsed="false">
      <c r="B16" s="123"/>
      <c r="C16" s="124" t="s">
        <v>73</v>
      </c>
      <c r="D16" s="125"/>
      <c r="E16" s="126" t="n">
        <f aca="false">(E14-E15)+AI1</f>
        <v>0</v>
      </c>
      <c r="F16" s="127" t="n">
        <f aca="false">jultotal3059718395107[[#This Row],[1]]+(F14-F15)</f>
        <v>0</v>
      </c>
      <c r="G16" s="127" t="n">
        <f aca="false">jultotal3059718395107[[#This Row],[2]]+(G14-G15)</f>
        <v>0</v>
      </c>
      <c r="H16" s="127" t="n">
        <f aca="false">jultotal3059718395107[[#This Row],[3]]+(H14-H15)</f>
        <v>0</v>
      </c>
      <c r="I16" s="127" t="n">
        <f aca="false">jultotal3059718395107[[#This Row],[4]]+(I14-I15)</f>
        <v>0</v>
      </c>
      <c r="J16" s="127" t="n">
        <f aca="false">jultotal3059718395107[[#This Row],[5]]+(J14-J15)</f>
        <v>0</v>
      </c>
      <c r="K16" s="127" t="n">
        <f aca="false">jultotal3059718395107[[#This Row],[6]]+(K14-K15)</f>
        <v>0</v>
      </c>
      <c r="L16" s="127" t="n">
        <f aca="false">jultotal3059718395107[[#This Row],[7]]+(L14-L15)</f>
        <v>0</v>
      </c>
      <c r="M16" s="127" t="n">
        <f aca="false">jultotal3059718395107[[#This Row],[8]]+(M14-M15)</f>
        <v>0</v>
      </c>
      <c r="N16" s="127" t="n">
        <f aca="false">jultotal3059718395107[[#This Row],[9]]+(N14-N15)</f>
        <v>0</v>
      </c>
      <c r="O16" s="127" t="n">
        <f aca="false">jultotal3059718395107[[#This Row],[10]]+(O14-O15)</f>
        <v>0</v>
      </c>
      <c r="P16" s="127" t="n">
        <f aca="false">jultotal3059718395107[[#This Row],[11]]+(P14-P15)</f>
        <v>0</v>
      </c>
      <c r="Q16" s="127" t="n">
        <f aca="false">jultotal3059718395107[[#This Row],[12]]+(Q14-Q15)</f>
        <v>0</v>
      </c>
      <c r="R16" s="127" t="n">
        <f aca="false">jultotal3059718395107[[#This Row],[13]]+(R14-R15)</f>
        <v>0</v>
      </c>
      <c r="S16" s="127" t="n">
        <f aca="false">jultotal3059718395107[[#This Row],[14]]+(S14-S15)</f>
        <v>0</v>
      </c>
      <c r="T16" s="127" t="n">
        <f aca="false">jultotal3059718395107[[#This Row],[15]]+(T14-T15)</f>
        <v>0</v>
      </c>
      <c r="U16" s="127" t="n">
        <f aca="false">jultotal3059718395107[[#This Row],[16]]+(U14-U15)</f>
        <v>0</v>
      </c>
      <c r="V16" s="127" t="n">
        <f aca="false">jultotal3059718395107[[#This Row],[17]]+(V14-V15)</f>
        <v>0</v>
      </c>
      <c r="W16" s="127" t="n">
        <f aca="false">jultotal3059718395107[[#This Row],[18]]+(W14-W15)</f>
        <v>0</v>
      </c>
      <c r="X16" s="127" t="n">
        <f aca="false">jultotal3059718395107[[#This Row],[19]]+(X14-X15)</f>
        <v>0</v>
      </c>
      <c r="Y16" s="127" t="n">
        <f aca="false">jultotal3059718395107[[#This Row],[20]]+(Y14-Y15)</f>
        <v>0</v>
      </c>
      <c r="Z16" s="127" t="n">
        <f aca="false">jultotal3059718395107[[#This Row],[21]]+(Z14-Z15)</f>
        <v>0</v>
      </c>
      <c r="AA16" s="127" t="n">
        <f aca="false">jultotal3059718395107[[#This Row],[22]]+(AA14-AA15)</f>
        <v>0</v>
      </c>
      <c r="AB16" s="127" t="n">
        <f aca="false">jultotal3059718395107[[#This Row],[23]]+(AB14-AB15)</f>
        <v>0</v>
      </c>
      <c r="AC16" s="127" t="n">
        <f aca="false">jultotal3059718395107[[#This Row],[24]]+(AC14-AC15)</f>
        <v>0</v>
      </c>
      <c r="AD16" s="127" t="n">
        <f aca="false">jultotal3059718395107[[#This Row],[25]]+(AD14-AD15)</f>
        <v>0</v>
      </c>
      <c r="AE16" s="127" t="n">
        <f aca="false">jultotal3059718395107[[#This Row],[26]]+(AE14-AE15)</f>
        <v>0</v>
      </c>
      <c r="AF16" s="127" t="n">
        <f aca="false">jultotal3059718395107[[#This Row],[27]]+(AF14-AF15)</f>
        <v>0</v>
      </c>
      <c r="AG16" s="127" t="n">
        <f aca="false">jultotal3059718395107[[#This Row],[28]]+(AG14-AG15)</f>
        <v>0</v>
      </c>
      <c r="AH16" s="127" t="n">
        <f aca="false">jultotal3059718395107[[#This Row],[29]]+(AH14-AH15)</f>
        <v>0</v>
      </c>
      <c r="AI16" s="128" t="n">
        <f aca="false">jultotal3059718395107[[#This Row],[30]]+(AI14-AI15)</f>
        <v>0</v>
      </c>
      <c r="AJ16" s="129" t="n">
        <f aca="false">jultotal3059718395107[[#This Row],[31]]</f>
        <v>0</v>
      </c>
      <c r="AK16" s="123"/>
    </row>
    <row r="17" customFormat="false" ht="6.75" hidden="false" customHeight="true" outlineLevel="0" collapsed="false"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94"/>
      <c r="AJ17" s="107"/>
      <c r="AK17" s="107"/>
    </row>
    <row r="18" customFormat="false" ht="12.75" hidden="false" customHeight="false" outlineLevel="0" collapsed="false">
      <c r="C18" s="133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</row>
    <row r="19" customFormat="false" ht="12" hidden="false" customHeight="false" outlineLevel="0" collapsed="false">
      <c r="C19" s="133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</row>
    <row r="20" customFormat="false" ht="12" hidden="false" customHeight="false" outlineLevel="0" collapsed="false">
      <c r="A20" s="133"/>
      <c r="B20" s="133"/>
      <c r="C20" s="133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</row>
    <row r="21" customFormat="false" ht="39.75" hidden="false" customHeight="true" outlineLevel="0" collapsed="false">
      <c r="A21" s="133"/>
      <c r="B21" s="133"/>
      <c r="C21" s="133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3" t="s">
        <v>2</v>
      </c>
    </row>
    <row r="22" s="78" customFormat="true" ht="11.25" hidden="false" customHeight="true" outlineLevel="0" collapsed="false">
      <c r="C22" s="101"/>
      <c r="AJ22" s="106" t="s">
        <v>64</v>
      </c>
    </row>
    <row r="23" customFormat="false" ht="6.75" hidden="false" customHeight="true" outlineLevel="0" collapsed="false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94"/>
      <c r="AK23" s="107"/>
    </row>
    <row r="24" customFormat="false" ht="13.5" hidden="true" customHeight="false" outlineLevel="0" collapsed="false">
      <c r="B24" s="86"/>
      <c r="C24" s="110" t="s">
        <v>68</v>
      </c>
      <c r="D24" s="107" t="s">
        <v>69</v>
      </c>
      <c r="E24" s="110" t="s">
        <v>30</v>
      </c>
      <c r="F24" s="110" t="s">
        <v>31</v>
      </c>
      <c r="G24" s="110" t="s">
        <v>32</v>
      </c>
      <c r="H24" s="110" t="s">
        <v>33</v>
      </c>
      <c r="I24" s="110" t="s">
        <v>34</v>
      </c>
      <c r="J24" s="110" t="s">
        <v>35</v>
      </c>
      <c r="K24" s="110" t="s">
        <v>36</v>
      </c>
      <c r="L24" s="110" t="s">
        <v>37</v>
      </c>
      <c r="M24" s="110" t="s">
        <v>38</v>
      </c>
      <c r="N24" s="110" t="s">
        <v>39</v>
      </c>
      <c r="O24" s="110" t="s">
        <v>40</v>
      </c>
      <c r="P24" s="110" t="s">
        <v>41</v>
      </c>
      <c r="Q24" s="110" t="s">
        <v>81</v>
      </c>
      <c r="R24" s="110" t="s">
        <v>82</v>
      </c>
      <c r="S24" s="110" t="s">
        <v>83</v>
      </c>
      <c r="T24" s="110" t="s">
        <v>84</v>
      </c>
      <c r="U24" s="110" t="s">
        <v>85</v>
      </c>
      <c r="V24" s="110" t="s">
        <v>86</v>
      </c>
      <c r="W24" s="110" t="s">
        <v>87</v>
      </c>
      <c r="X24" s="110" t="s">
        <v>88</v>
      </c>
      <c r="Y24" s="110" t="s">
        <v>89</v>
      </c>
      <c r="Z24" s="110" t="s">
        <v>90</v>
      </c>
      <c r="AA24" s="110" t="s">
        <v>91</v>
      </c>
      <c r="AB24" s="110" t="s">
        <v>92</v>
      </c>
      <c r="AC24" s="110" t="s">
        <v>93</v>
      </c>
      <c r="AD24" s="110" t="s">
        <v>94</v>
      </c>
      <c r="AE24" s="110" t="s">
        <v>95</v>
      </c>
      <c r="AF24" s="110" t="s">
        <v>96</v>
      </c>
      <c r="AG24" s="110" t="s">
        <v>97</v>
      </c>
      <c r="AH24" s="110" t="s">
        <v>98</v>
      </c>
      <c r="AI24" s="110" t="s">
        <v>99</v>
      </c>
      <c r="AJ24" s="111" t="s">
        <v>70</v>
      </c>
      <c r="AK24" s="107"/>
    </row>
    <row r="25" customFormat="false" ht="19.5" hidden="false" customHeight="true" outlineLevel="0" collapsed="false">
      <c r="B25" s="107"/>
      <c r="C25" s="112" t="s">
        <v>15</v>
      </c>
      <c r="D25" s="113"/>
      <c r="E25" s="114" t="n">
        <f aca="false">SUMIFS(tabela_registros[VALOR],tabela_registros[MÊS],$AE$1,tabela_registros[DIA],jultotal3059718395107[[#Headers],[1]],tabela_registros[REGISTRO],DADOS!$N$5)</f>
        <v>0</v>
      </c>
      <c r="F25" s="114" t="n">
        <f aca="false">SUMIFS(tabela_registros[VALOR],tabela_registros[MÊS],$AE$1,tabela_registros[DIA],jultotal3059718395107[[#Headers],[2]],tabela_registros[REGISTRO],DADOS!$N$5)</f>
        <v>0</v>
      </c>
      <c r="G25" s="114" t="n">
        <f aca="false">SUMIFS(tabela_registros[VALOR],tabela_registros[MÊS],$AE$1,tabela_registros[DIA],jultotal3059718395107[[#Headers],[3]],tabela_registros[REGISTRO],DADOS!$N$5)</f>
        <v>0</v>
      </c>
      <c r="H25" s="114" t="n">
        <f aca="false">SUMIFS(tabela_registros[VALOR],tabela_registros[MÊS],$AE$1,tabela_registros[DIA],jultotal3059718395107[[#Headers],[4]],tabela_registros[REGISTRO],DADOS!$N$5)</f>
        <v>0</v>
      </c>
      <c r="I25" s="114" t="n">
        <f aca="false">SUMIFS(tabela_registros[VALOR],tabela_registros[MÊS],$AE$1,tabela_registros[DIA],jultotal3059718395107[[#Headers],[5]],tabela_registros[REGISTRO],DADOS!$N$5)</f>
        <v>0</v>
      </c>
      <c r="J25" s="114" t="n">
        <f aca="false">SUMIFS(tabela_registros[VALOR],tabela_registros[MÊS],$AE$1,tabela_registros[DIA],jultotal3059718395107[[#Headers],[6]],tabela_registros[REGISTRO],DADOS!$N$5)</f>
        <v>0</v>
      </c>
      <c r="K25" s="114" t="n">
        <f aca="false">SUMIFS(tabela_registros[VALOR],tabela_registros[MÊS],$AE$1,tabela_registros[DIA],jultotal3059718395107[[#Headers],[7]],tabela_registros[REGISTRO],DADOS!$N$5)</f>
        <v>0</v>
      </c>
      <c r="L25" s="114" t="n">
        <f aca="false">SUMIFS(tabela_registros[VALOR],tabela_registros[MÊS],$AE$1,tabela_registros[DIA],jultotal3059718395107[[#Headers],[8]],tabela_registros[REGISTRO],DADOS!$N$5)</f>
        <v>0</v>
      </c>
      <c r="M25" s="114" t="n">
        <f aca="false">SUMIFS(tabela_registros[VALOR],tabela_registros[MÊS],$AE$1,tabela_registros[DIA],jultotal3059718395107[[#Headers],[9]],tabela_registros[REGISTRO],DADOS!$N$5)</f>
        <v>0</v>
      </c>
      <c r="N25" s="114" t="n">
        <f aca="false">SUMIFS(tabela_registros[VALOR],tabela_registros[MÊS],$AE$1,tabela_registros[DIA],jultotal3059718395107[[#Headers],[10]],tabela_registros[REGISTRO],DADOS!$N$5)</f>
        <v>0</v>
      </c>
      <c r="O25" s="114" t="n">
        <f aca="false">SUMIFS(tabela_registros[VALOR],tabela_registros[MÊS],$AE$1,tabela_registros[DIA],jultotal3059718395107[[#Headers],[11]],tabela_registros[REGISTRO],DADOS!$N$5)</f>
        <v>0</v>
      </c>
      <c r="P25" s="114" t="n">
        <f aca="false">SUMIFS(tabela_registros[VALOR],tabela_registros[MÊS],$AE$1,tabela_registros[DIA],jultotal3059718395107[[#Headers],[12]],tabela_registros[REGISTRO],DADOS!$N$5)</f>
        <v>0</v>
      </c>
      <c r="Q25" s="114" t="n">
        <f aca="false">SUMIFS(tabela_registros[VALOR],tabela_registros[MÊS],$AE$1,tabela_registros[DIA],jultotal3059718395107[[#Headers],[13]],tabela_registros[REGISTRO],DADOS!$N$5)</f>
        <v>0</v>
      </c>
      <c r="R25" s="114" t="n">
        <f aca="false">SUMIFS(tabela_registros[VALOR],tabela_registros[MÊS],$AE$1,tabela_registros[DIA],jultotal3059718395107[[#Headers],[14]],tabela_registros[REGISTRO],DADOS!$N$5)</f>
        <v>0</v>
      </c>
      <c r="S25" s="114" t="n">
        <f aca="false">SUMIFS(tabela_registros[VALOR],tabela_registros[MÊS],$AE$1,tabela_registros[DIA],jultotal3059718395107[[#Headers],[15]],tabela_registros[REGISTRO],DADOS!$N$5)</f>
        <v>0</v>
      </c>
      <c r="T25" s="114" t="n">
        <f aca="false">SUMIFS(tabela_registros[VALOR],tabela_registros[MÊS],$AE$1,tabela_registros[DIA],jultotal3059718395107[[#Headers],[16]],tabela_registros[REGISTRO],DADOS!$N$5)</f>
        <v>0</v>
      </c>
      <c r="U25" s="114" t="n">
        <f aca="false">SUMIFS(tabela_registros[VALOR],tabela_registros[MÊS],$AE$1,tabela_registros[DIA],jultotal3059718395107[[#Headers],[17]],tabela_registros[REGISTRO],DADOS!$N$5)</f>
        <v>0</v>
      </c>
      <c r="V25" s="114" t="n">
        <f aca="false">SUMIFS(tabela_registros[VALOR],tabela_registros[MÊS],$AE$1,tabela_registros[DIA],jultotal3059718395107[[#Headers],[18]],tabela_registros[REGISTRO],DADOS!$N$5)</f>
        <v>0</v>
      </c>
      <c r="W25" s="114" t="n">
        <f aca="false">SUMIFS(tabela_registros[VALOR],tabela_registros[MÊS],$AE$1,tabela_registros[DIA],jultotal3059718395107[[#Headers],[19]],tabela_registros[REGISTRO],DADOS!$N$5)</f>
        <v>0</v>
      </c>
      <c r="X25" s="114" t="n">
        <f aca="false">SUMIFS(tabela_registros[VALOR],tabela_registros[MÊS],$AE$1,tabela_registros[DIA],jultotal3059718395107[[#Headers],[20]],tabela_registros[REGISTRO],DADOS!$N$5)</f>
        <v>0</v>
      </c>
      <c r="Y25" s="114" t="n">
        <f aca="false">SUMIFS(tabela_registros[VALOR],tabela_registros[MÊS],$AE$1,tabela_registros[DIA],jultotal3059718395107[[#Headers],[21]],tabela_registros[REGISTRO],DADOS!$N$5)</f>
        <v>0</v>
      </c>
      <c r="Z25" s="114" t="n">
        <f aca="false">SUMIFS(tabela_registros[VALOR],tabela_registros[MÊS],$AE$1,tabela_registros[DIA],jultotal3059718395107[[#Headers],[22]],tabela_registros[REGISTRO],DADOS!$N$5)</f>
        <v>0</v>
      </c>
      <c r="AA25" s="114" t="n">
        <f aca="false">SUMIFS(tabela_registros[VALOR],tabela_registros[MÊS],$AE$1,tabela_registros[DIA],jultotal3059718395107[[#Headers],[23]],tabela_registros[REGISTRO],DADOS!$N$5)</f>
        <v>0</v>
      </c>
      <c r="AB25" s="114" t="n">
        <f aca="false">SUMIFS(tabela_registros[VALOR],tabela_registros[MÊS],$AE$1,tabela_registros[DIA],jultotal3059718395107[[#Headers],[24]],tabela_registros[REGISTRO],DADOS!$N$5)</f>
        <v>0</v>
      </c>
      <c r="AC25" s="114" t="n">
        <f aca="false">SUMIFS(tabela_registros[VALOR],tabela_registros[MÊS],$AE$1,tabela_registros[DIA],jultotal3059718395107[[#Headers],[25]],tabela_registros[REGISTRO],DADOS!$N$5)</f>
        <v>0</v>
      </c>
      <c r="AD25" s="114" t="n">
        <f aca="false">SUMIFS(tabela_registros[VALOR],tabela_registros[MÊS],$AE$1,tabela_registros[DIA],jultotal3059718395107[[#Headers],[26]],tabela_registros[REGISTRO],DADOS!$N$5)</f>
        <v>0</v>
      </c>
      <c r="AE25" s="114" t="n">
        <f aca="false">SUMIFS(tabela_registros[VALOR],tabela_registros[MÊS],$AE$1,tabela_registros[DIA],jultotal3059718395107[[#Headers],[27]],tabela_registros[REGISTRO],DADOS!$N$5)</f>
        <v>0</v>
      </c>
      <c r="AF25" s="114" t="n">
        <f aca="false">SUMIFS(tabela_registros[VALOR],tabela_registros[MÊS],$AE$1,tabela_registros[DIA],jultotal3059718395107[[#Headers],[28]],tabela_registros[REGISTRO],DADOS!$N$5)</f>
        <v>0</v>
      </c>
      <c r="AG25" s="114" t="n">
        <f aca="false">SUMIFS(tabela_registros[VALOR],tabela_registros[MÊS],$AE$1,tabela_registros[DIA],jultotal3059718395107[[#Headers],[29]],tabela_registros[REGISTRO],DADOS!$N$5)</f>
        <v>0</v>
      </c>
      <c r="AH25" s="114" t="n">
        <f aca="false">SUMIFS(tabela_registros[VALOR],tabela_registros[MÊS],$AE$1,tabela_registros[DIA],jultotal3059718395107[[#Headers],[30]],tabela_registros[REGISTRO],DADOS!$N$5)</f>
        <v>0</v>
      </c>
      <c r="AI25" s="115" t="n">
        <f aca="false">SUMIFS(tabela_registros[VALOR],tabela_registros[MÊS],$AE$1,tabela_registros[DIA],jultotal3059718395107[[#Headers],[31]],tabela_registros[REGISTRO],DADOS!$N$5)</f>
        <v>0</v>
      </c>
      <c r="AJ25" s="116" t="n">
        <f aca="false">SUM(E25:AI25)</f>
        <v>0</v>
      </c>
      <c r="AK25" s="107"/>
    </row>
    <row r="26" customFormat="false" ht="18" hidden="false" customHeight="true" outlineLevel="0" collapsed="false">
      <c r="B26" s="107"/>
      <c r="C26" s="135" t="s">
        <v>14</v>
      </c>
      <c r="D26" s="136"/>
      <c r="E26" s="119" t="n">
        <f aca="false">SUMIFS(tabela_registros[VALOR],tabela_registros[MÊS],$AE$1,tabela_registros[DIA],jultotal3059718395107[[#Headers],[1]],tabela_registros[REGISTRO],DADOS!$N$6)</f>
        <v>0</v>
      </c>
      <c r="F26" s="119" t="n">
        <f aca="false">SUMIFS(tabela_registros[VALOR],tabela_registros[MÊS],$AE$1,tabela_registros[DIA],jultotal3059718395107[[#Headers],[2]],tabela_registros[REGISTRO],DADOS!$N$6)</f>
        <v>0</v>
      </c>
      <c r="G26" s="119" t="n">
        <f aca="false">SUMIFS(tabela_registros[VALOR],tabela_registros[MÊS],$AE$1,tabela_registros[DIA],jultotal3059718395107[[#Headers],[3]],tabela_registros[REGISTRO],DADOS!$N$6)</f>
        <v>0</v>
      </c>
      <c r="H26" s="119" t="n">
        <f aca="false">SUMIFS(tabela_registros[VALOR],tabela_registros[MÊS],$AE$1,tabela_registros[DIA],jultotal3059718395107[[#Headers],[4]],tabela_registros[REGISTRO],DADOS!$N$6)</f>
        <v>0</v>
      </c>
      <c r="I26" s="119" t="n">
        <f aca="false">SUMIFS(tabela_registros[VALOR],tabela_registros[MÊS],$AE$1,tabela_registros[DIA],jultotal3059718395107[[#Headers],[5]],tabela_registros[REGISTRO],DADOS!$N$6)</f>
        <v>0</v>
      </c>
      <c r="J26" s="119" t="n">
        <f aca="false">SUMIFS(tabela_registros[VALOR],tabela_registros[MÊS],$AE$1,tabela_registros[DIA],jultotal3059718395107[[#Headers],[6]],tabela_registros[REGISTRO],DADOS!$N$6)</f>
        <v>0</v>
      </c>
      <c r="K26" s="119" t="n">
        <f aca="false">SUMIFS(tabela_registros[VALOR],tabela_registros[MÊS],$AE$1,tabela_registros[DIA],jultotal3059718395107[[#Headers],[7]],tabela_registros[REGISTRO],DADOS!$N$6)</f>
        <v>0</v>
      </c>
      <c r="L26" s="119" t="n">
        <f aca="false">SUMIFS(tabela_registros[VALOR],tabela_registros[MÊS],$AE$1,tabela_registros[DIA],jultotal3059718395107[[#Headers],[8]],tabela_registros[REGISTRO],DADOS!$N$6)</f>
        <v>0</v>
      </c>
      <c r="M26" s="119" t="n">
        <f aca="false">SUMIFS(tabela_registros[VALOR],tabela_registros[MÊS],$AE$1,tabela_registros[DIA],jultotal3059718395107[[#Headers],[9]],tabela_registros[REGISTRO],DADOS!$N$6)</f>
        <v>0</v>
      </c>
      <c r="N26" s="119" t="n">
        <f aca="false">SUMIFS(tabela_registros[VALOR],tabela_registros[MÊS],$AE$1,tabela_registros[DIA],jultotal3059718395107[[#Headers],[10]],tabela_registros[REGISTRO],DADOS!$N$6)</f>
        <v>0</v>
      </c>
      <c r="O26" s="119" t="n">
        <f aca="false">SUMIFS(tabela_registros[VALOR],tabela_registros[MÊS],$AE$1,tabela_registros[DIA],jultotal3059718395107[[#Headers],[11]],tabela_registros[REGISTRO],DADOS!$N$6)</f>
        <v>0</v>
      </c>
      <c r="P26" s="119" t="n">
        <f aca="false">SUMIFS(tabela_registros[VALOR],tabela_registros[MÊS],$AE$1,tabela_registros[DIA],jultotal3059718395107[[#Headers],[12]],tabela_registros[REGISTRO],DADOS!$N$6)</f>
        <v>0</v>
      </c>
      <c r="Q26" s="119" t="n">
        <f aca="false">SUMIFS(tabela_registros[VALOR],tabela_registros[MÊS],$AE$1,tabela_registros[DIA],jultotal3059718395107[[#Headers],[13]],tabela_registros[REGISTRO],DADOS!$N$6)</f>
        <v>0</v>
      </c>
      <c r="R26" s="119" t="n">
        <f aca="false">SUMIFS(tabela_registros[VALOR],tabela_registros[MÊS],$AE$1,tabela_registros[DIA],jultotal3059718395107[[#Headers],[14]],tabela_registros[REGISTRO],DADOS!$N$6)</f>
        <v>0</v>
      </c>
      <c r="S26" s="119" t="n">
        <f aca="false">SUMIFS(tabela_registros[VALOR],tabela_registros[MÊS],$AE$1,tabela_registros[DIA],jultotal3059718395107[[#Headers],[15]],tabela_registros[REGISTRO],DADOS!$N$6)</f>
        <v>0</v>
      </c>
      <c r="T26" s="119" t="n">
        <f aca="false">SUMIFS(tabela_registros[VALOR],tabela_registros[MÊS],$AE$1,tabela_registros[DIA],jultotal3059718395107[[#Headers],[16]],tabela_registros[REGISTRO],DADOS!$N$6)</f>
        <v>0</v>
      </c>
      <c r="U26" s="119" t="n">
        <f aca="false">SUMIFS(tabela_registros[VALOR],tabela_registros[MÊS],$AE$1,tabela_registros[DIA],jultotal3059718395107[[#Headers],[17]],tabela_registros[REGISTRO],DADOS!$N$6)</f>
        <v>0</v>
      </c>
      <c r="V26" s="119" t="n">
        <f aca="false">SUMIFS(tabela_registros[VALOR],tabela_registros[MÊS],$AE$1,tabela_registros[DIA],jultotal3059718395107[[#Headers],[18]],tabela_registros[REGISTRO],DADOS!$N$6)</f>
        <v>0</v>
      </c>
      <c r="W26" s="119" t="n">
        <f aca="false">SUMIFS(tabela_registros[VALOR],tabela_registros[MÊS],$AE$1,tabela_registros[DIA],jultotal3059718395107[[#Headers],[19]],tabela_registros[REGISTRO],DADOS!$N$6)</f>
        <v>0</v>
      </c>
      <c r="X26" s="119" t="n">
        <f aca="false">SUMIFS(tabela_registros[VALOR],tabela_registros[MÊS],$AE$1,tabela_registros[DIA],jultotal3059718395107[[#Headers],[20]],tabela_registros[REGISTRO],DADOS!$N$6)</f>
        <v>0</v>
      </c>
      <c r="Y26" s="119" t="n">
        <f aca="false">SUMIFS(tabela_registros[VALOR],tabela_registros[MÊS],$AE$1,tabela_registros[DIA],jultotal3059718395107[[#Headers],[21]],tabela_registros[REGISTRO],DADOS!$N$6)</f>
        <v>0</v>
      </c>
      <c r="Z26" s="119" t="n">
        <f aca="false">SUMIFS(tabela_registros[VALOR],tabela_registros[MÊS],$AE$1,tabela_registros[DIA],jultotal3059718395107[[#Headers],[22]],tabela_registros[REGISTRO],DADOS!$N$6)</f>
        <v>0</v>
      </c>
      <c r="AA26" s="119" t="n">
        <f aca="false">SUMIFS(tabela_registros[VALOR],tabela_registros[MÊS],$AE$1,tabela_registros[DIA],jultotal3059718395107[[#Headers],[23]],tabela_registros[REGISTRO],DADOS!$N$6)</f>
        <v>0</v>
      </c>
      <c r="AB26" s="119" t="n">
        <f aca="false">SUMIFS(tabela_registros[VALOR],tabela_registros[MÊS],$AE$1,tabela_registros[DIA],jultotal3059718395107[[#Headers],[24]],tabela_registros[REGISTRO],DADOS!$N$6)</f>
        <v>0</v>
      </c>
      <c r="AC26" s="119" t="n">
        <f aca="false">SUMIFS(tabela_registros[VALOR],tabela_registros[MÊS],$AE$1,tabela_registros[DIA],jultotal3059718395107[[#Headers],[25]],tabela_registros[REGISTRO],DADOS!$N$6)</f>
        <v>0</v>
      </c>
      <c r="AD26" s="119" t="n">
        <f aca="false">SUMIFS(tabela_registros[VALOR],tabela_registros[MÊS],$AE$1,tabela_registros[DIA],jultotal3059718395107[[#Headers],[26]],tabela_registros[REGISTRO],DADOS!$N$6)</f>
        <v>0</v>
      </c>
      <c r="AE26" s="119" t="n">
        <f aca="false">SUMIFS(tabela_registros[VALOR],tabela_registros[MÊS],$AE$1,tabela_registros[DIA],jultotal3059718395107[[#Headers],[27]],tabela_registros[REGISTRO],DADOS!$N$6)</f>
        <v>0</v>
      </c>
      <c r="AF26" s="119" t="n">
        <f aca="false">SUMIFS(tabela_registros[VALOR],tabela_registros[MÊS],$AE$1,tabela_registros[DIA],jultotal3059718395107[[#Headers],[28]],tabela_registros[REGISTRO],DADOS!$N$6)</f>
        <v>0</v>
      </c>
      <c r="AG26" s="119" t="n">
        <f aca="false">SUMIFS(tabela_registros[VALOR],tabela_registros[MÊS],$AE$1,tabela_registros[DIA],jultotal3059718395107[[#Headers],[29]],tabela_registros[REGISTRO],DADOS!$N$6)</f>
        <v>0</v>
      </c>
      <c r="AH26" s="119" t="n">
        <f aca="false">SUMIFS(tabela_registros[VALOR],tabela_registros[MÊS],$AE$1,tabela_registros[DIA],jultotal3059718395107[[#Headers],[30]],tabela_registros[REGISTRO],DADOS!$N$6)</f>
        <v>0</v>
      </c>
      <c r="AI26" s="120" t="n">
        <f aca="false">SUMIFS(tabela_registros[VALOR],tabela_registros[MÊS],$AE$1,tabela_registros[DIA],jultotal3059718395107[[#Headers],[31]],tabela_registros[REGISTRO],DADOS!$N$6)</f>
        <v>0</v>
      </c>
      <c r="AJ26" s="121" t="n">
        <f aca="false">SUM(E26:AI26)</f>
        <v>0</v>
      </c>
      <c r="AK26" s="107"/>
    </row>
    <row r="27" s="122" customFormat="true" ht="21" hidden="false" customHeight="true" outlineLevel="0" collapsed="false">
      <c r="B27" s="123"/>
      <c r="C27" s="124" t="s">
        <v>2</v>
      </c>
      <c r="D27" s="137"/>
      <c r="E27" s="126" t="n">
        <f aca="false">SUM(E25:E26)</f>
        <v>0</v>
      </c>
      <c r="F27" s="127" t="n">
        <f aca="false">SUM(F25:F26)+julinvestir2158708294106[[#This Row],[1]]</f>
        <v>0</v>
      </c>
      <c r="G27" s="127" t="n">
        <f aca="false">SUM(G25:G26)+julinvestir2158708294106[[#This Row],[2]]</f>
        <v>0</v>
      </c>
      <c r="H27" s="127" t="n">
        <f aca="false">SUM(H25:H26)+julinvestir2158708294106[[#This Row],[3]]</f>
        <v>0</v>
      </c>
      <c r="I27" s="127" t="n">
        <f aca="false">SUM(I25:I26)+julinvestir2158708294106[[#This Row],[4]]</f>
        <v>0</v>
      </c>
      <c r="J27" s="127" t="n">
        <f aca="false">SUM(J25:J26)+julinvestir2158708294106[[#This Row],[5]]</f>
        <v>0</v>
      </c>
      <c r="K27" s="127" t="n">
        <f aca="false">SUM(K25:K26)+julinvestir2158708294106[[#This Row],[6]]</f>
        <v>0</v>
      </c>
      <c r="L27" s="127" t="n">
        <f aca="false">SUM(L25:L26)+julinvestir2158708294106[[#This Row],[7]]</f>
        <v>0</v>
      </c>
      <c r="M27" s="127" t="n">
        <f aca="false">SUM(M25:M26)+julinvestir2158708294106[[#This Row],[8]]</f>
        <v>0</v>
      </c>
      <c r="N27" s="127" t="n">
        <f aca="false">SUM(N25:N26)+julinvestir2158708294106[[#This Row],[9]]</f>
        <v>0</v>
      </c>
      <c r="O27" s="127" t="n">
        <f aca="false">SUM(O25:O26)+julinvestir2158708294106[[#This Row],[10]]</f>
        <v>0</v>
      </c>
      <c r="P27" s="127" t="n">
        <f aca="false">SUM(P25:P26)+julinvestir2158708294106[[#This Row],[11]]</f>
        <v>0</v>
      </c>
      <c r="Q27" s="127" t="n">
        <f aca="false">SUM(Q25:Q26)+julinvestir2158708294106[[#This Row],[12]]</f>
        <v>0</v>
      </c>
      <c r="R27" s="127" t="n">
        <f aca="false">SUM(R25:R26)+julinvestir2158708294106[[#This Row],[13]]</f>
        <v>0</v>
      </c>
      <c r="S27" s="127" t="n">
        <f aca="false">SUM(S25:S26)+julinvestir2158708294106[[#This Row],[14]]</f>
        <v>0</v>
      </c>
      <c r="T27" s="127" t="n">
        <f aca="false">SUM(T25:T26)+julinvestir2158708294106[[#This Row],[15]]</f>
        <v>0</v>
      </c>
      <c r="U27" s="127" t="n">
        <f aca="false">SUM(U25:U26)+julinvestir2158708294106[[#This Row],[16]]</f>
        <v>0</v>
      </c>
      <c r="V27" s="127" t="n">
        <f aca="false">SUM(V25:V26)+julinvestir2158708294106[[#This Row],[17]]</f>
        <v>0</v>
      </c>
      <c r="W27" s="127" t="n">
        <f aca="false">SUM(W25:W26)+julinvestir2158708294106[[#This Row],[18]]</f>
        <v>0</v>
      </c>
      <c r="X27" s="127" t="n">
        <f aca="false">SUM(X25:X26)+julinvestir2158708294106[[#This Row],[19]]</f>
        <v>0</v>
      </c>
      <c r="Y27" s="127" t="n">
        <f aca="false">SUM(Y25:Y26)+julinvestir2158708294106[[#This Row],[20]]</f>
        <v>0</v>
      </c>
      <c r="Z27" s="127" t="n">
        <f aca="false">SUM(Z25:Z26)+julinvestir2158708294106[[#This Row],[21]]</f>
        <v>0</v>
      </c>
      <c r="AA27" s="127" t="n">
        <f aca="false">SUM(AA25:AA26)+julinvestir2158708294106[[#This Row],[22]]</f>
        <v>0</v>
      </c>
      <c r="AB27" s="127" t="n">
        <f aca="false">SUM(AB25:AB26)+julinvestir2158708294106[[#This Row],[23]]</f>
        <v>0</v>
      </c>
      <c r="AC27" s="127" t="n">
        <f aca="false">SUM(AC25:AC26)+julinvestir2158708294106[[#This Row],[24]]</f>
        <v>0</v>
      </c>
      <c r="AD27" s="127" t="n">
        <f aca="false">SUM(AD25:AD26)+julinvestir2158708294106[[#This Row],[25]]</f>
        <v>0</v>
      </c>
      <c r="AE27" s="127" t="n">
        <f aca="false">SUM(AE25:AE26)+julinvestir2158708294106[[#This Row],[26]]</f>
        <v>0</v>
      </c>
      <c r="AF27" s="127" t="n">
        <f aca="false">SUM(AF25:AF26)+julinvestir2158708294106[[#This Row],[27]]</f>
        <v>0</v>
      </c>
      <c r="AG27" s="127" t="n">
        <f aca="false">SUM(AG25:AG26)+julinvestir2158708294106[[#This Row],[28]]</f>
        <v>0</v>
      </c>
      <c r="AH27" s="127" t="n">
        <f aca="false">SUM(AH25:AH26)+julinvestir2158708294106[[#This Row],[29]]</f>
        <v>0</v>
      </c>
      <c r="AI27" s="128" t="n">
        <f aca="false">SUM(AI25:AI26)+julinvestir2158708294106[[#This Row],[30]]</f>
        <v>0</v>
      </c>
      <c r="AJ27" s="129" t="n">
        <f aca="false">julinvestir2158708294106[[#This Row],[31]]</f>
        <v>0</v>
      </c>
      <c r="AK27" s="123"/>
    </row>
    <row r="28" customFormat="false" ht="6.75" hidden="true" customHeight="true" outlineLevel="0" collapsed="false">
      <c r="B28" s="107"/>
      <c r="C28" s="78" t="s">
        <v>73</v>
      </c>
      <c r="E28" s="138" t="n">
        <f aca="false">SUBTOTAL(109,julinvestir2158708294106[1])</f>
        <v>0</v>
      </c>
      <c r="F28" s="138" t="n">
        <f aca="false">SUBTOTAL(109,julinvestir2158708294106[2])</f>
        <v>0</v>
      </c>
      <c r="G28" s="138" t="n">
        <f aca="false">SUBTOTAL(109,julinvestir2158708294106[3])</f>
        <v>0</v>
      </c>
      <c r="H28" s="138" t="n">
        <f aca="false">SUBTOTAL(109,julinvestir2158708294106[4])</f>
        <v>0</v>
      </c>
      <c r="I28" s="138" t="n">
        <f aca="false">SUBTOTAL(109,julinvestir2158708294106[5])</f>
        <v>0</v>
      </c>
      <c r="J28" s="138" t="n">
        <f aca="false">SUBTOTAL(109,julinvestir2158708294106[6])</f>
        <v>0</v>
      </c>
      <c r="K28" s="138" t="n">
        <f aca="false">SUBTOTAL(109,julinvestir2158708294106[7])</f>
        <v>0</v>
      </c>
      <c r="L28" s="138" t="n">
        <f aca="false">SUBTOTAL(109,julinvestir2158708294106[8])</f>
        <v>0</v>
      </c>
      <c r="M28" s="138" t="n">
        <f aca="false">SUBTOTAL(109,julinvestir2158708294106[9])</f>
        <v>0</v>
      </c>
      <c r="N28" s="138" t="n">
        <f aca="false">SUBTOTAL(109,julinvestir2158708294106[10])</f>
        <v>0</v>
      </c>
      <c r="O28" s="138" t="n">
        <f aca="false">SUBTOTAL(109,julinvestir2158708294106[11])</f>
        <v>0</v>
      </c>
      <c r="P28" s="138" t="n">
        <f aca="false">SUBTOTAL(109,julinvestir2158708294106[12])</f>
        <v>0</v>
      </c>
      <c r="Q28" s="138" t="n">
        <f aca="false">SUBTOTAL(109,julinvestir2158708294106[13])</f>
        <v>0</v>
      </c>
      <c r="R28" s="138" t="n">
        <f aca="false">SUBTOTAL(109,julinvestir2158708294106[14])</f>
        <v>0</v>
      </c>
      <c r="S28" s="138" t="n">
        <f aca="false">SUBTOTAL(109,julinvestir2158708294106[15])</f>
        <v>0</v>
      </c>
      <c r="T28" s="138" t="n">
        <f aca="false">SUBTOTAL(109,julinvestir2158708294106[16])</f>
        <v>0</v>
      </c>
      <c r="U28" s="138" t="n">
        <f aca="false">SUBTOTAL(109,julinvestir2158708294106[17])</f>
        <v>0</v>
      </c>
      <c r="V28" s="138" t="n">
        <f aca="false">SUBTOTAL(109,julinvestir2158708294106[18])</f>
        <v>0</v>
      </c>
      <c r="W28" s="138" t="n">
        <f aca="false">SUBTOTAL(109,julinvestir2158708294106[19])</f>
        <v>0</v>
      </c>
      <c r="X28" s="138" t="n">
        <f aca="false">SUBTOTAL(109,julinvestir2158708294106[20])</f>
        <v>0</v>
      </c>
      <c r="Y28" s="138" t="n">
        <f aca="false">SUBTOTAL(109,julinvestir2158708294106[21])</f>
        <v>0</v>
      </c>
      <c r="Z28" s="138" t="n">
        <f aca="false">SUBTOTAL(109,julinvestir2158708294106[22])</f>
        <v>0</v>
      </c>
      <c r="AA28" s="138" t="n">
        <f aca="false">SUBTOTAL(109,julinvestir2158708294106[23])</f>
        <v>0</v>
      </c>
      <c r="AB28" s="138" t="n">
        <f aca="false">SUBTOTAL(109,julinvestir2158708294106[24])</f>
        <v>0</v>
      </c>
      <c r="AC28" s="138" t="n">
        <f aca="false">SUBTOTAL(109,julinvestir2158708294106[25])</f>
        <v>0</v>
      </c>
      <c r="AD28" s="138" t="n">
        <f aca="false">SUBTOTAL(109,julinvestir2158708294106[26])</f>
        <v>0</v>
      </c>
      <c r="AE28" s="138" t="n">
        <f aca="false">SUBTOTAL(109,julinvestir2158708294106[27])</f>
        <v>0</v>
      </c>
      <c r="AF28" s="138" t="n">
        <f aca="false">SUBTOTAL(109,julinvestir2158708294106[28])</f>
        <v>0</v>
      </c>
      <c r="AG28" s="138" t="n">
        <f aca="false">SUBTOTAL(109,julinvestir2158708294106[29])</f>
        <v>0</v>
      </c>
      <c r="AH28" s="138" t="n">
        <f aca="false">SUBTOTAL(109,julinvestir2158708294106[30])</f>
        <v>0</v>
      </c>
      <c r="AI28" s="138" t="n">
        <f aca="false">SUBTOTAL(109,julinvestir2158708294106[31])</f>
        <v>0</v>
      </c>
      <c r="AJ28" s="138" t="n">
        <f aca="false">SUBTOTAL(109,julinvestir2158708294106[TOTAL (R$)])</f>
        <v>0</v>
      </c>
      <c r="AK28" s="107"/>
    </row>
    <row r="29" customFormat="false" ht="6.75" hidden="false" customHeight="true" outlineLevel="0" collapsed="false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94"/>
      <c r="AJ29" s="107"/>
      <c r="AK29" s="107"/>
    </row>
    <row r="30" customFormat="false" ht="12.75" hidden="false" customHeight="false" outlineLevel="0" collapsed="false">
      <c r="C30" s="133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</row>
    <row r="31" customFormat="false" ht="12" hidden="false" customHeight="false" outlineLevel="0" collapsed="false">
      <c r="C31" s="133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</row>
    <row r="32" customFormat="false" ht="12" hidden="false" customHeight="false" outlineLevel="0" collapsed="false">
      <c r="C32" s="133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</row>
    <row r="33" customFormat="false" ht="39.75" hidden="false" customHeight="true" outlineLevel="0" collapsed="false">
      <c r="C33" s="133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3" t="s">
        <v>2</v>
      </c>
    </row>
    <row r="34" s="78" customFormat="true" ht="11.25" hidden="false" customHeight="true" outlineLevel="0" collapsed="false">
      <c r="C34" s="101"/>
      <c r="AJ34" s="106" t="s">
        <v>64</v>
      </c>
    </row>
    <row r="35" customFormat="false" ht="6.75" hidden="false" customHeight="true" outlineLevel="0" collapsed="false">
      <c r="B35" s="139"/>
      <c r="C35" s="140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212"/>
      <c r="AK35" s="139"/>
    </row>
    <row r="36" customFormat="false" ht="12.75" hidden="true" customHeight="false" outlineLevel="0" collapsed="false">
      <c r="B36" s="86"/>
      <c r="C36" s="109" t="s">
        <v>74</v>
      </c>
      <c r="D36" s="110" t="s">
        <v>69</v>
      </c>
      <c r="E36" s="110" t="s">
        <v>30</v>
      </c>
      <c r="F36" s="110" t="s">
        <v>31</v>
      </c>
      <c r="G36" s="110" t="s">
        <v>32</v>
      </c>
      <c r="H36" s="110" t="s">
        <v>33</v>
      </c>
      <c r="I36" s="110" t="s">
        <v>34</v>
      </c>
      <c r="J36" s="110" t="s">
        <v>35</v>
      </c>
      <c r="K36" s="110" t="s">
        <v>36</v>
      </c>
      <c r="L36" s="110" t="s">
        <v>37</v>
      </c>
      <c r="M36" s="110" t="s">
        <v>38</v>
      </c>
      <c r="N36" s="110" t="s">
        <v>39</v>
      </c>
      <c r="O36" s="110" t="s">
        <v>40</v>
      </c>
      <c r="P36" s="110" t="s">
        <v>41</v>
      </c>
      <c r="Q36" s="110" t="s">
        <v>81</v>
      </c>
      <c r="R36" s="110" t="s">
        <v>82</v>
      </c>
      <c r="S36" s="110" t="s">
        <v>83</v>
      </c>
      <c r="T36" s="110" t="s">
        <v>84</v>
      </c>
      <c r="U36" s="110" t="s">
        <v>85</v>
      </c>
      <c r="V36" s="110" t="s">
        <v>86</v>
      </c>
      <c r="W36" s="110" t="s">
        <v>87</v>
      </c>
      <c r="X36" s="110" t="s">
        <v>88</v>
      </c>
      <c r="Y36" s="110" t="s">
        <v>89</v>
      </c>
      <c r="Z36" s="110" t="s">
        <v>90</v>
      </c>
      <c r="AA36" s="110" t="s">
        <v>91</v>
      </c>
      <c r="AB36" s="110" t="s">
        <v>92</v>
      </c>
      <c r="AC36" s="110" t="s">
        <v>93</v>
      </c>
      <c r="AD36" s="110" t="s">
        <v>94</v>
      </c>
      <c r="AE36" s="110" t="s">
        <v>95</v>
      </c>
      <c r="AF36" s="110" t="s">
        <v>96</v>
      </c>
      <c r="AG36" s="110" t="s">
        <v>97</v>
      </c>
      <c r="AH36" s="110" t="s">
        <v>98</v>
      </c>
      <c r="AI36" s="110" t="s">
        <v>99</v>
      </c>
      <c r="AJ36" s="142" t="s">
        <v>2</v>
      </c>
      <c r="AK36" s="86" t="s">
        <v>75</v>
      </c>
    </row>
    <row r="37" customFormat="false" ht="19.5" hidden="false" customHeight="true" outlineLevel="0" collapsed="false">
      <c r="B37" s="143"/>
      <c r="C37" s="144" t="str">
        <f aca="false">DADOS!$R$3</f>
        <v>💧 ÁGUA</v>
      </c>
      <c r="D37" s="145" t="str">
        <f aca="false">IF(despesafixaconsolidadojul[[#This Row],[TOTAL]]=0,"",IF(OR(despesafixaconsolidadojul[[#This Row],[TOTAL]]=LARGE($AJ$37:$AJ$50,1),despesafixaconsolidadojul[[#This Row],[TOTAL]]=LARGE($AJ$37:$AJ$50,2),despesafixaconsolidadojul[[#This Row],[TOTAL]]=LARGE($AJ$37:$AJ$50,3),despesafixaconsolidadojul[[#This Row],[TOTAL]]=LARGE($AJ$37:$AJ$50,4),despesafixaconsolidadojul[[#This Row],[TOTAL]]=LARGE($AJ$37:$AJ$50,5)),DADOS!$I$8,""))</f>
        <v/>
      </c>
      <c r="E37" s="146" t="n">
        <f aca="false">SUMIFS(tabela_registros[VALOR],tabela_registros[MÊS],$AE$1,tabela_registros[DIA],jultotal3059718395107[[#Headers],[1]],tabela_registros[REGISTRO],DADOS!$N$4,tabela_registros[TIPO],DADOS!$P$3,tabela_registros[CATEGORIA],despesafixaconsolidadojul[[#This Row],[DESPESA FIXA]])</f>
        <v>0</v>
      </c>
      <c r="F37" s="114" t="n">
        <f aca="false">SUMIFS(tabela_registros[VALOR],tabela_registros[MÊS],$AE$1,tabela_registros[DIA],jultotal3059718395107[[#Headers],[2]],tabela_registros[REGISTRO],DADOS!$N$4,tabela_registros[TIPO],DADOS!$P$3,tabela_registros[CATEGORIA],despesafixaconsolidadojul[[#This Row],[DESPESA FIXA]])</f>
        <v>0</v>
      </c>
      <c r="G37" s="114" t="n">
        <f aca="false">SUMIFS(tabela_registros[VALOR],tabela_registros[MÊS],$AE$1,tabela_registros[DIA],jultotal3059718395107[[#Headers],[3]],tabela_registros[REGISTRO],DADOS!$N$4,tabela_registros[TIPO],DADOS!$P$3,tabela_registros[CATEGORIA],despesafixaconsolidadojul[[#This Row],[DESPESA FIXA]])</f>
        <v>0</v>
      </c>
      <c r="H37" s="114" t="n">
        <f aca="false">SUMIFS(tabela_registros[VALOR],tabela_registros[MÊS],$AE$1,tabela_registros[DIA],jultotal3059718395107[[#Headers],[4]],tabela_registros[REGISTRO],DADOS!$N$4,tabela_registros[TIPO],DADOS!$P$3,tabela_registros[CATEGORIA],despesafixaconsolidadojul[[#This Row],[DESPESA FIXA]])</f>
        <v>0</v>
      </c>
      <c r="I37" s="114" t="n">
        <f aca="false">SUMIFS(tabela_registros[VALOR],tabela_registros[MÊS],$AE$1,tabela_registros[DIA],jultotal3059718395107[[#Headers],[5]],tabela_registros[REGISTRO],DADOS!$N$4,tabela_registros[TIPO],DADOS!$P$3,tabela_registros[CATEGORIA],despesafixaconsolidadojul[[#This Row],[DESPESA FIXA]])</f>
        <v>0</v>
      </c>
      <c r="J37" s="114" t="n">
        <f aca="false">SUMIFS(tabela_registros[VALOR],tabela_registros[MÊS],$AE$1,tabela_registros[DIA],jultotal3059718395107[[#Headers],[6]],tabela_registros[REGISTRO],DADOS!$N$4,tabela_registros[TIPO],DADOS!$P$3,tabela_registros[CATEGORIA],despesafixaconsolidadojul[[#This Row],[DESPESA FIXA]])</f>
        <v>0</v>
      </c>
      <c r="K37" s="114" t="n">
        <f aca="false">SUMIFS(tabela_registros[VALOR],tabela_registros[MÊS],$AE$1,tabela_registros[DIA],jultotal3059718395107[[#Headers],[7]],tabela_registros[REGISTRO],DADOS!$N$4,tabela_registros[TIPO],DADOS!$P$3,tabela_registros[CATEGORIA],despesafixaconsolidadojul[[#This Row],[DESPESA FIXA]])</f>
        <v>0</v>
      </c>
      <c r="L37" s="114" t="n">
        <f aca="false">SUMIFS(tabela_registros[VALOR],tabela_registros[MÊS],$AE$1,tabela_registros[DIA],jultotal3059718395107[[#Headers],[8]],tabela_registros[REGISTRO],DADOS!$N$4,tabela_registros[TIPO],DADOS!$P$3,tabela_registros[CATEGORIA],despesafixaconsolidadojul[[#This Row],[DESPESA FIXA]])</f>
        <v>0</v>
      </c>
      <c r="M37" s="114" t="n">
        <f aca="false">SUMIFS(tabela_registros[VALOR],tabela_registros[MÊS],$AE$1,tabela_registros[DIA],jultotal3059718395107[[#Headers],[9]],tabela_registros[REGISTRO],DADOS!$N$4,tabela_registros[TIPO],DADOS!$P$3,tabela_registros[CATEGORIA],despesafixaconsolidadojul[[#This Row],[DESPESA FIXA]])</f>
        <v>0</v>
      </c>
      <c r="N37" s="114" t="n">
        <f aca="false">SUMIFS(tabela_registros[VALOR],tabela_registros[MÊS],$AE$1,tabela_registros[DIA],jultotal3059718395107[[#Headers],[10]],tabela_registros[REGISTRO],DADOS!$N$4,tabela_registros[TIPO],DADOS!$P$3,tabela_registros[CATEGORIA],despesafixaconsolidadojul[[#This Row],[DESPESA FIXA]])</f>
        <v>0</v>
      </c>
      <c r="O37" s="114" t="n">
        <f aca="false">SUMIFS(tabela_registros[VALOR],tabela_registros[MÊS],$AE$1,tabela_registros[DIA],jultotal3059718395107[[#Headers],[11]],tabela_registros[REGISTRO],DADOS!$N$4,tabela_registros[TIPO],DADOS!$P$3,tabela_registros[CATEGORIA],despesafixaconsolidadojul[[#This Row],[DESPESA FIXA]])</f>
        <v>0</v>
      </c>
      <c r="P37" s="114" t="n">
        <f aca="false">SUMIFS(tabela_registros[VALOR],tabela_registros[MÊS],$AE$1,tabela_registros[DIA],jultotal3059718395107[[#Headers],[12]],tabela_registros[REGISTRO],DADOS!$N$4,tabela_registros[TIPO],DADOS!$P$3,tabela_registros[CATEGORIA],despesafixaconsolidadojul[[#This Row],[DESPESA FIXA]])</f>
        <v>0</v>
      </c>
      <c r="Q37" s="114" t="n">
        <f aca="false">SUMIFS(tabela_registros[VALOR],tabela_registros[MÊS],$AE$1,tabela_registros[DIA],jultotal3059718395107[[#Headers],[13]],tabela_registros[REGISTRO],DADOS!$N$4,tabela_registros[TIPO],DADOS!$P$3,tabela_registros[CATEGORIA],despesafixaconsolidadojul[[#This Row],[DESPESA FIXA]])</f>
        <v>0</v>
      </c>
      <c r="R37" s="114" t="n">
        <f aca="false">SUMIFS(tabela_registros[VALOR],tabela_registros[MÊS],$AE$1,tabela_registros[DIA],jultotal3059718395107[[#Headers],[14]],tabela_registros[REGISTRO],DADOS!$N$4,tabela_registros[TIPO],DADOS!$P$3,tabela_registros[CATEGORIA],despesafixaconsolidadojul[[#This Row],[DESPESA FIXA]])</f>
        <v>0</v>
      </c>
      <c r="S37" s="114" t="n">
        <f aca="false">SUMIFS(tabela_registros[VALOR],tabela_registros[MÊS],$AE$1,tabela_registros[DIA],jultotal3059718395107[[#Headers],[15]],tabela_registros[REGISTRO],DADOS!$N$4,tabela_registros[TIPO],DADOS!$P$3,tabela_registros[CATEGORIA],despesafixaconsolidadojul[[#This Row],[DESPESA FIXA]])</f>
        <v>0</v>
      </c>
      <c r="T37" s="114" t="n">
        <f aca="false">SUMIFS(tabela_registros[VALOR],tabela_registros[MÊS],$AE$1,tabela_registros[DIA],jultotal3059718395107[[#Headers],[16]],tabela_registros[REGISTRO],DADOS!$N$4,tabela_registros[TIPO],DADOS!$P$3,tabela_registros[CATEGORIA],despesafixaconsolidadojul[[#This Row],[DESPESA FIXA]])</f>
        <v>0</v>
      </c>
      <c r="U37" s="114" t="n">
        <f aca="false">SUMIFS(tabela_registros[VALOR],tabela_registros[MÊS],$AE$1,tabela_registros[DIA],jultotal3059718395107[[#Headers],[17]],tabela_registros[REGISTRO],DADOS!$N$4,tabela_registros[TIPO],DADOS!$P$3,tabela_registros[CATEGORIA],despesafixaconsolidadojul[[#This Row],[DESPESA FIXA]])</f>
        <v>0</v>
      </c>
      <c r="V37" s="114" t="n">
        <f aca="false">SUMIFS(tabela_registros[VALOR],tabela_registros[MÊS],$AE$1,tabela_registros[DIA],jultotal3059718395107[[#Headers],[18]],tabela_registros[REGISTRO],DADOS!$N$4,tabela_registros[TIPO],DADOS!$P$3,tabela_registros[CATEGORIA],despesafixaconsolidadojul[[#This Row],[DESPESA FIXA]])</f>
        <v>0</v>
      </c>
      <c r="W37" s="114" t="n">
        <f aca="false">SUMIFS(tabela_registros[VALOR],tabela_registros[MÊS],$AE$1,tabela_registros[DIA],jultotal3059718395107[[#Headers],[19]],tabela_registros[REGISTRO],DADOS!$N$4,tabela_registros[TIPO],DADOS!$P$3,tabela_registros[CATEGORIA],despesafixaconsolidadojul[[#This Row],[DESPESA FIXA]])</f>
        <v>0</v>
      </c>
      <c r="X37" s="114" t="n">
        <f aca="false">SUMIFS(tabela_registros[VALOR],tabela_registros[MÊS],$AE$1,tabela_registros[DIA],jultotal3059718395107[[#Headers],[20]],tabela_registros[REGISTRO],DADOS!$N$4,tabela_registros[TIPO],DADOS!$P$3,tabela_registros[CATEGORIA],despesafixaconsolidadojul[[#This Row],[DESPESA FIXA]])</f>
        <v>0</v>
      </c>
      <c r="Y37" s="114" t="n">
        <f aca="false">SUMIFS(tabela_registros[VALOR],tabela_registros[MÊS],$AE$1,tabela_registros[DIA],jultotal3059718395107[[#Headers],[21]],tabela_registros[REGISTRO],DADOS!$N$4,tabela_registros[TIPO],DADOS!$P$3,tabela_registros[CATEGORIA],despesafixaconsolidadojul[[#This Row],[DESPESA FIXA]])</f>
        <v>0</v>
      </c>
      <c r="Z37" s="114" t="n">
        <f aca="false">SUMIFS(tabela_registros[VALOR],tabela_registros[MÊS],$AE$1,tabela_registros[DIA],jultotal3059718395107[[#Headers],[22]],tabela_registros[REGISTRO],DADOS!$N$4,tabela_registros[TIPO],DADOS!$P$3,tabela_registros[CATEGORIA],despesafixaconsolidadojul[[#This Row],[DESPESA FIXA]])</f>
        <v>0</v>
      </c>
      <c r="AA37" s="114" t="n">
        <f aca="false">SUMIFS(tabela_registros[VALOR],tabela_registros[MÊS],$AE$1,tabela_registros[DIA],jultotal3059718395107[[#Headers],[23]],tabela_registros[REGISTRO],DADOS!$N$4,tabela_registros[TIPO],DADOS!$P$3,tabela_registros[CATEGORIA],despesafixaconsolidadojul[[#This Row],[DESPESA FIXA]])</f>
        <v>0</v>
      </c>
      <c r="AB37" s="114" t="n">
        <f aca="false">SUMIFS(tabela_registros[VALOR],tabela_registros[MÊS],$AE$1,tabela_registros[DIA],jultotal3059718395107[[#Headers],[24]],tabela_registros[REGISTRO],DADOS!$N$4,tabela_registros[TIPO],DADOS!$P$3,tabela_registros[CATEGORIA],despesafixaconsolidadojul[[#This Row],[DESPESA FIXA]])</f>
        <v>0</v>
      </c>
      <c r="AC37" s="114" t="n">
        <f aca="false">SUMIFS(tabela_registros[VALOR],tabela_registros[MÊS],$AE$1,tabela_registros[DIA],jultotal3059718395107[[#Headers],[25]],tabela_registros[REGISTRO],DADOS!$N$4,tabela_registros[TIPO],DADOS!$P$3,tabela_registros[CATEGORIA],despesafixaconsolidadojul[[#This Row],[DESPESA FIXA]])</f>
        <v>0</v>
      </c>
      <c r="AD37" s="114" t="n">
        <f aca="false">SUMIFS(tabela_registros[VALOR],tabela_registros[MÊS],$AE$1,tabela_registros[DIA],jultotal3059718395107[[#Headers],[26]],tabela_registros[REGISTRO],DADOS!$N$4,tabela_registros[TIPO],DADOS!$P$3,tabela_registros[CATEGORIA],despesafixaconsolidadojul[[#This Row],[DESPESA FIXA]])</f>
        <v>0</v>
      </c>
      <c r="AE37" s="114" t="n">
        <f aca="false">SUMIFS(tabela_registros[VALOR],tabela_registros[MÊS],$AE$1,tabela_registros[DIA],jultotal3059718395107[[#Headers],[27]],tabela_registros[REGISTRO],DADOS!$N$4,tabela_registros[TIPO],DADOS!$P$3,tabela_registros[CATEGORIA],despesafixaconsolidadojul[[#This Row],[DESPESA FIXA]])</f>
        <v>0</v>
      </c>
      <c r="AF37" s="114" t="n">
        <f aca="false">SUMIFS(tabela_registros[VALOR],tabela_registros[MÊS],$AE$1,tabela_registros[DIA],jultotal3059718395107[[#Headers],[28]],tabela_registros[REGISTRO],DADOS!$N$4,tabela_registros[TIPO],DADOS!$P$3,tabela_registros[CATEGORIA],despesafixaconsolidadojul[[#This Row],[DESPESA FIXA]])</f>
        <v>0</v>
      </c>
      <c r="AG37" s="114" t="n">
        <f aca="false">SUMIFS(tabela_registros[VALOR],tabela_registros[MÊS],$AE$1,tabela_registros[DIA],jultotal3059718395107[[#Headers],[29]],tabela_registros[REGISTRO],DADOS!$N$4,tabela_registros[TIPO],DADOS!$P$3,tabela_registros[CATEGORIA],despesafixaconsolidadojul[[#This Row],[DESPESA FIXA]])</f>
        <v>0</v>
      </c>
      <c r="AH37" s="114" t="n">
        <f aca="false">SUMIFS(tabela_registros[VALOR],tabela_registros[MÊS],$AE$1,tabela_registros[DIA],jultotal3059718395107[[#Headers],[30]],tabela_registros[REGISTRO],DADOS!$N$4,tabela_registros[TIPO],DADOS!$P$3,tabela_registros[CATEGORIA],despesafixaconsolidadojul[[#This Row],[DESPESA FIXA]])</f>
        <v>0</v>
      </c>
      <c r="AI37" s="216" t="n">
        <f aca="false">SUMIFS(tabela_registros[VALOR],tabela_registros[MÊS],$AE$1,tabela_registros[DIA],jultotal3059718395107[[#Headers],[31]],tabela_registros[REGISTRO],DADOS!$N$4,tabela_registros[TIPO],DADOS!$P$3,tabela_registros[CATEGORIA],despesafixaconsolidadojul[[#This Row],[DESPESA FIXA]])</f>
        <v>0</v>
      </c>
      <c r="AJ37" s="147" t="n">
        <f aca="false">SUM(despesafixaconsolidadojul[[#This Row],[1]:[31]])</f>
        <v>0</v>
      </c>
      <c r="AK37" s="143"/>
    </row>
    <row r="38" customFormat="false" ht="18" hidden="false" customHeight="true" outlineLevel="0" collapsed="false">
      <c r="B38" s="143"/>
      <c r="C38" s="144" t="str">
        <f aca="false">DADOS!$R$4</f>
        <v>🐶 ANIMAIS DE ESTIMAÇÃO</v>
      </c>
      <c r="D38" s="145" t="str">
        <f aca="false">IF(despesafixaconsolidadojul[[#This Row],[TOTAL]]=0,"",IF(OR(despesafixaconsolidadojul[[#This Row],[TOTAL]]=LARGE($AJ$37:$AJ$50,1),despesafixaconsolidadojul[[#This Row],[TOTAL]]=LARGE($AJ$37:$AJ$50,2),despesafixaconsolidadojul[[#This Row],[TOTAL]]=LARGE($AJ$37:$AJ$50,3),despesafixaconsolidadojul[[#This Row],[TOTAL]]=LARGE($AJ$37:$AJ$50,4),despesafixaconsolidadojul[[#This Row],[TOTAL]]=LARGE($AJ$37:$AJ$50,5)),DADOS!$I$8,""))</f>
        <v/>
      </c>
      <c r="E38" s="148" t="n">
        <f aca="false">SUMIFS(tabela_registros[VALOR],tabela_registros[MÊS],$AE$1,tabela_registros[DIA],jultotal3059718395107[[#Headers],[1]],tabela_registros[REGISTRO],DADOS!$N$4,tabela_registros[TIPO],DADOS!$P$3,tabela_registros[CATEGORIA],despesafixaconsolidadojul[[#This Row],[DESPESA FIXA]])</f>
        <v>0</v>
      </c>
      <c r="F38" s="119" t="n">
        <f aca="false">SUMIFS(tabela_registros[VALOR],tabela_registros[MÊS],$AE$1,tabela_registros[DIA],jultotal3059718395107[[#Headers],[2]],tabela_registros[REGISTRO],DADOS!$N$4,tabela_registros[TIPO],DADOS!$P$3,tabela_registros[CATEGORIA],despesafixaconsolidadojul[[#This Row],[DESPESA FIXA]])</f>
        <v>0</v>
      </c>
      <c r="G38" s="119" t="n">
        <f aca="false">SUMIFS(tabela_registros[VALOR],tabela_registros[MÊS],$AE$1,tabela_registros[DIA],jultotal3059718395107[[#Headers],[3]],tabela_registros[REGISTRO],DADOS!$N$4,tabela_registros[TIPO],DADOS!$P$3,tabela_registros[CATEGORIA],despesafixaconsolidadojul[[#This Row],[DESPESA FIXA]])</f>
        <v>0</v>
      </c>
      <c r="H38" s="119" t="n">
        <f aca="false">SUMIFS(tabela_registros[VALOR],tabela_registros[MÊS],$AE$1,tabela_registros[DIA],jultotal3059718395107[[#Headers],[4]],tabela_registros[REGISTRO],DADOS!$N$4,tabela_registros[TIPO],DADOS!$P$3,tabela_registros[CATEGORIA],despesafixaconsolidadojul[[#This Row],[DESPESA FIXA]])</f>
        <v>0</v>
      </c>
      <c r="I38" s="119" t="n">
        <f aca="false">SUMIFS(tabela_registros[VALOR],tabela_registros[MÊS],$AE$1,tabela_registros[DIA],jultotal3059718395107[[#Headers],[5]],tabela_registros[REGISTRO],DADOS!$N$4,tabela_registros[TIPO],DADOS!$P$3,tabela_registros[CATEGORIA],despesafixaconsolidadojul[[#This Row],[DESPESA FIXA]])</f>
        <v>0</v>
      </c>
      <c r="J38" s="119" t="n">
        <f aca="false">SUMIFS(tabela_registros[VALOR],tabela_registros[MÊS],$AE$1,tabela_registros[DIA],jultotal3059718395107[[#Headers],[6]],tabela_registros[REGISTRO],DADOS!$N$4,tabela_registros[TIPO],DADOS!$P$3,tabela_registros[CATEGORIA],despesafixaconsolidadojul[[#This Row],[DESPESA FIXA]])</f>
        <v>0</v>
      </c>
      <c r="K38" s="119" t="n">
        <f aca="false">SUMIFS(tabela_registros[VALOR],tabela_registros[MÊS],$AE$1,tabela_registros[DIA],jultotal3059718395107[[#Headers],[7]],tabela_registros[REGISTRO],DADOS!$N$4,tabela_registros[TIPO],DADOS!$P$3,tabela_registros[CATEGORIA],despesafixaconsolidadojul[[#This Row],[DESPESA FIXA]])</f>
        <v>0</v>
      </c>
      <c r="L38" s="119" t="n">
        <f aca="false">SUMIFS(tabela_registros[VALOR],tabela_registros[MÊS],$AE$1,tabela_registros[DIA],jultotal3059718395107[[#Headers],[8]],tabela_registros[REGISTRO],DADOS!$N$4,tabela_registros[TIPO],DADOS!$P$3,tabela_registros[CATEGORIA],despesafixaconsolidadojul[[#This Row],[DESPESA FIXA]])</f>
        <v>0</v>
      </c>
      <c r="M38" s="119" t="n">
        <f aca="false">SUMIFS(tabela_registros[VALOR],tabela_registros[MÊS],$AE$1,tabela_registros[DIA],jultotal3059718395107[[#Headers],[9]],tabela_registros[REGISTRO],DADOS!$N$4,tabela_registros[TIPO],DADOS!$P$3,tabela_registros[CATEGORIA],despesafixaconsolidadojul[[#This Row],[DESPESA FIXA]])</f>
        <v>0</v>
      </c>
      <c r="N38" s="119" t="n">
        <f aca="false">SUMIFS(tabela_registros[VALOR],tabela_registros[MÊS],$AE$1,tabela_registros[DIA],jultotal3059718395107[[#Headers],[10]],tabela_registros[REGISTRO],DADOS!$N$4,tabela_registros[TIPO],DADOS!$P$3,tabela_registros[CATEGORIA],despesafixaconsolidadojul[[#This Row],[DESPESA FIXA]])</f>
        <v>0</v>
      </c>
      <c r="O38" s="119" t="n">
        <f aca="false">SUMIFS(tabela_registros[VALOR],tabela_registros[MÊS],$AE$1,tabela_registros[DIA],jultotal3059718395107[[#Headers],[11]],tabela_registros[REGISTRO],DADOS!$N$4,tabela_registros[TIPO],DADOS!$P$3,tabela_registros[CATEGORIA],despesafixaconsolidadojul[[#This Row],[DESPESA FIXA]])</f>
        <v>0</v>
      </c>
      <c r="P38" s="119" t="n">
        <f aca="false">SUMIFS(tabela_registros[VALOR],tabela_registros[MÊS],$AE$1,tabela_registros[DIA],jultotal3059718395107[[#Headers],[12]],tabela_registros[REGISTRO],DADOS!$N$4,tabela_registros[TIPO],DADOS!$P$3,tabela_registros[CATEGORIA],despesafixaconsolidadojul[[#This Row],[DESPESA FIXA]])</f>
        <v>0</v>
      </c>
      <c r="Q38" s="119" t="n">
        <f aca="false">SUMIFS(tabela_registros[VALOR],tabela_registros[MÊS],$AE$1,tabela_registros[DIA],jultotal3059718395107[[#Headers],[13]],tabela_registros[REGISTRO],DADOS!$N$4,tabela_registros[TIPO],DADOS!$P$3,tabela_registros[CATEGORIA],despesafixaconsolidadojul[[#This Row],[DESPESA FIXA]])</f>
        <v>0</v>
      </c>
      <c r="R38" s="119" t="n">
        <f aca="false">SUMIFS(tabela_registros[VALOR],tabela_registros[MÊS],$AE$1,tabela_registros[DIA],jultotal3059718395107[[#Headers],[14]],tabela_registros[REGISTRO],DADOS!$N$4,tabela_registros[TIPO],DADOS!$P$3,tabela_registros[CATEGORIA],despesafixaconsolidadojul[[#This Row],[DESPESA FIXA]])</f>
        <v>0</v>
      </c>
      <c r="S38" s="119" t="n">
        <f aca="false">SUMIFS(tabela_registros[VALOR],tabela_registros[MÊS],$AE$1,tabela_registros[DIA],jultotal3059718395107[[#Headers],[15]],tabela_registros[REGISTRO],DADOS!$N$4,tabela_registros[TIPO],DADOS!$P$3,tabela_registros[CATEGORIA],despesafixaconsolidadojul[[#This Row],[DESPESA FIXA]])</f>
        <v>0</v>
      </c>
      <c r="T38" s="119" t="n">
        <f aca="false">SUMIFS(tabela_registros[VALOR],tabela_registros[MÊS],$AE$1,tabela_registros[DIA],jultotal3059718395107[[#Headers],[16]],tabela_registros[REGISTRO],DADOS!$N$4,tabela_registros[TIPO],DADOS!$P$3,tabela_registros[CATEGORIA],despesafixaconsolidadojul[[#This Row],[DESPESA FIXA]])</f>
        <v>0</v>
      </c>
      <c r="U38" s="119" t="n">
        <f aca="false">SUMIFS(tabela_registros[VALOR],tabela_registros[MÊS],$AE$1,tabela_registros[DIA],jultotal3059718395107[[#Headers],[17]],tabela_registros[REGISTRO],DADOS!$N$4,tabela_registros[TIPO],DADOS!$P$3,tabela_registros[CATEGORIA],despesafixaconsolidadojul[[#This Row],[DESPESA FIXA]])</f>
        <v>0</v>
      </c>
      <c r="V38" s="119" t="n">
        <f aca="false">SUMIFS(tabela_registros[VALOR],tabela_registros[MÊS],$AE$1,tabela_registros[DIA],jultotal3059718395107[[#Headers],[18]],tabela_registros[REGISTRO],DADOS!$N$4,tabela_registros[TIPO],DADOS!$P$3,tabela_registros[CATEGORIA],despesafixaconsolidadojul[[#This Row],[DESPESA FIXA]])</f>
        <v>0</v>
      </c>
      <c r="W38" s="119" t="n">
        <f aca="false">SUMIFS(tabela_registros[VALOR],tabela_registros[MÊS],$AE$1,tabela_registros[DIA],jultotal3059718395107[[#Headers],[19]],tabela_registros[REGISTRO],DADOS!$N$4,tabela_registros[TIPO],DADOS!$P$3,tabela_registros[CATEGORIA],despesafixaconsolidadojul[[#This Row],[DESPESA FIXA]])</f>
        <v>0</v>
      </c>
      <c r="X38" s="119" t="n">
        <f aca="false">SUMIFS(tabela_registros[VALOR],tabela_registros[MÊS],$AE$1,tabela_registros[DIA],jultotal3059718395107[[#Headers],[20]],tabela_registros[REGISTRO],DADOS!$N$4,tabela_registros[TIPO],DADOS!$P$3,tabela_registros[CATEGORIA],despesafixaconsolidadojul[[#This Row],[DESPESA FIXA]])</f>
        <v>0</v>
      </c>
      <c r="Y38" s="119" t="n">
        <f aca="false">SUMIFS(tabela_registros[VALOR],tabela_registros[MÊS],$AE$1,tabela_registros[DIA],jultotal3059718395107[[#Headers],[21]],tabela_registros[REGISTRO],DADOS!$N$4,tabela_registros[TIPO],DADOS!$P$3,tabela_registros[CATEGORIA],despesafixaconsolidadojul[[#This Row],[DESPESA FIXA]])</f>
        <v>0</v>
      </c>
      <c r="Z38" s="119" t="n">
        <f aca="false">SUMIFS(tabela_registros[VALOR],tabela_registros[MÊS],$AE$1,tabela_registros[DIA],jultotal3059718395107[[#Headers],[22]],tabela_registros[REGISTRO],DADOS!$N$4,tabela_registros[TIPO],DADOS!$P$3,tabela_registros[CATEGORIA],despesafixaconsolidadojul[[#This Row],[DESPESA FIXA]])</f>
        <v>0</v>
      </c>
      <c r="AA38" s="119" t="n">
        <f aca="false">SUMIFS(tabela_registros[VALOR],tabela_registros[MÊS],$AE$1,tabela_registros[DIA],jultotal3059718395107[[#Headers],[23]],tabela_registros[REGISTRO],DADOS!$N$4,tabela_registros[TIPO],DADOS!$P$3,tabela_registros[CATEGORIA],despesafixaconsolidadojul[[#This Row],[DESPESA FIXA]])</f>
        <v>0</v>
      </c>
      <c r="AB38" s="119" t="n">
        <f aca="false">SUMIFS(tabela_registros[VALOR],tabela_registros[MÊS],$AE$1,tabela_registros[DIA],jultotal3059718395107[[#Headers],[24]],tabela_registros[REGISTRO],DADOS!$N$4,tabela_registros[TIPO],DADOS!$P$3,tabela_registros[CATEGORIA],despesafixaconsolidadojul[[#This Row],[DESPESA FIXA]])</f>
        <v>0</v>
      </c>
      <c r="AC38" s="119" t="n">
        <f aca="false">SUMIFS(tabela_registros[VALOR],tabela_registros[MÊS],$AE$1,tabela_registros[DIA],jultotal3059718395107[[#Headers],[25]],tabela_registros[REGISTRO],DADOS!$N$4,tabela_registros[TIPO],DADOS!$P$3,tabela_registros[CATEGORIA],despesafixaconsolidadojul[[#This Row],[DESPESA FIXA]])</f>
        <v>0</v>
      </c>
      <c r="AD38" s="119" t="n">
        <f aca="false">SUMIFS(tabela_registros[VALOR],tabela_registros[MÊS],$AE$1,tabela_registros[DIA],jultotal3059718395107[[#Headers],[26]],tabela_registros[REGISTRO],DADOS!$N$4,tabela_registros[TIPO],DADOS!$P$3,tabela_registros[CATEGORIA],despesafixaconsolidadojul[[#This Row],[DESPESA FIXA]])</f>
        <v>0</v>
      </c>
      <c r="AE38" s="119" t="n">
        <f aca="false">SUMIFS(tabela_registros[VALOR],tabela_registros[MÊS],$AE$1,tabela_registros[DIA],jultotal3059718395107[[#Headers],[27]],tabela_registros[REGISTRO],DADOS!$N$4,tabela_registros[TIPO],DADOS!$P$3,tabela_registros[CATEGORIA],despesafixaconsolidadojul[[#This Row],[DESPESA FIXA]])</f>
        <v>0</v>
      </c>
      <c r="AF38" s="119" t="n">
        <f aca="false">SUMIFS(tabela_registros[VALOR],tabela_registros[MÊS],$AE$1,tabela_registros[DIA],jultotal3059718395107[[#Headers],[28]],tabela_registros[REGISTRO],DADOS!$N$4,tabela_registros[TIPO],DADOS!$P$3,tabela_registros[CATEGORIA],despesafixaconsolidadojul[[#This Row],[DESPESA FIXA]])</f>
        <v>0</v>
      </c>
      <c r="AG38" s="119" t="n">
        <f aca="false">SUMIFS(tabela_registros[VALOR],tabela_registros[MÊS],$AE$1,tabela_registros[DIA],jultotal3059718395107[[#Headers],[29]],tabela_registros[REGISTRO],DADOS!$N$4,tabela_registros[TIPO],DADOS!$P$3,tabela_registros[CATEGORIA],despesafixaconsolidadojul[[#This Row],[DESPESA FIXA]])</f>
        <v>0</v>
      </c>
      <c r="AH38" s="119" t="n">
        <f aca="false">SUMIFS(tabela_registros[VALOR],tabela_registros[MÊS],$AE$1,tabela_registros[DIA],jultotal3059718395107[[#Headers],[30]],tabela_registros[REGISTRO],DADOS!$N$4,tabela_registros[TIPO],DADOS!$P$3,tabela_registros[CATEGORIA],despesafixaconsolidadojul[[#This Row],[DESPESA FIXA]])</f>
        <v>0</v>
      </c>
      <c r="AI38" s="217" t="n">
        <f aca="false">SUMIFS(tabela_registros[VALOR],tabela_registros[MÊS],$AE$1,tabela_registros[DIA],jultotal3059718395107[[#Headers],[31]],tabela_registros[REGISTRO],DADOS!$N$4,tabela_registros[TIPO],DADOS!$P$3,tabela_registros[CATEGORIA],despesafixaconsolidadojul[[#This Row],[DESPESA FIXA]])</f>
        <v>0</v>
      </c>
      <c r="AJ38" s="149" t="n">
        <f aca="false">SUM(despesafixaconsolidadojul[[#This Row],[1]:[31]])</f>
        <v>0</v>
      </c>
      <c r="AK38" s="143"/>
    </row>
    <row r="39" customFormat="false" ht="18" hidden="false" customHeight="true" outlineLevel="0" collapsed="false">
      <c r="B39" s="143"/>
      <c r="C39" s="144" t="str">
        <f aca="false">DADOS!$R$5</f>
        <v>🔖 ASSINATURAS E SERVIÇOS</v>
      </c>
      <c r="D39" s="145" t="str">
        <f aca="false">IF(despesafixaconsolidadojul[[#This Row],[TOTAL]]=0,"",IF(OR(despesafixaconsolidadojul[[#This Row],[TOTAL]]=LARGE($AJ$37:$AJ$50,1),despesafixaconsolidadojul[[#This Row],[TOTAL]]=LARGE($AJ$37:$AJ$50,2),despesafixaconsolidadojul[[#This Row],[TOTAL]]=LARGE($AJ$37:$AJ$50,3),despesafixaconsolidadojul[[#This Row],[TOTAL]]=LARGE($AJ$37:$AJ$50,4),despesafixaconsolidadojul[[#This Row],[TOTAL]]=LARGE($AJ$37:$AJ$50,5)),DADOS!$I$8,""))</f>
        <v/>
      </c>
      <c r="E39" s="148" t="n">
        <f aca="false">SUMIFS(tabela_registros[VALOR],tabela_registros[MÊS],$AE$1,tabela_registros[DIA],jultotal3059718395107[[#Headers],[1]],tabela_registros[REGISTRO],DADOS!$N$4,tabela_registros[TIPO],DADOS!$P$3,tabela_registros[CATEGORIA],despesafixaconsolidadojul[[#This Row],[DESPESA FIXA]])</f>
        <v>0</v>
      </c>
      <c r="F39" s="119" t="n">
        <f aca="false">SUMIFS(tabela_registros[VALOR],tabela_registros[MÊS],$AE$1,tabela_registros[DIA],jultotal3059718395107[[#Headers],[2]],tabela_registros[REGISTRO],DADOS!$N$4,tabela_registros[TIPO],DADOS!$P$3,tabela_registros[CATEGORIA],despesafixaconsolidadojul[[#This Row],[DESPESA FIXA]])</f>
        <v>0</v>
      </c>
      <c r="G39" s="119" t="n">
        <f aca="false">SUMIFS(tabela_registros[VALOR],tabela_registros[MÊS],$AE$1,tabela_registros[DIA],jultotal3059718395107[[#Headers],[3]],tabela_registros[REGISTRO],DADOS!$N$4,tabela_registros[TIPO],DADOS!$P$3,tabela_registros[CATEGORIA],despesafixaconsolidadojul[[#This Row],[DESPESA FIXA]])</f>
        <v>0</v>
      </c>
      <c r="H39" s="119" t="n">
        <f aca="false">SUMIFS(tabela_registros[VALOR],tabela_registros[MÊS],$AE$1,tabela_registros[DIA],jultotal3059718395107[[#Headers],[4]],tabela_registros[REGISTRO],DADOS!$N$4,tabela_registros[TIPO],DADOS!$P$3,tabela_registros[CATEGORIA],despesafixaconsolidadojul[[#This Row],[DESPESA FIXA]])</f>
        <v>0</v>
      </c>
      <c r="I39" s="119" t="n">
        <f aca="false">SUMIFS(tabela_registros[VALOR],tabela_registros[MÊS],$AE$1,tabela_registros[DIA],jultotal3059718395107[[#Headers],[5]],tabela_registros[REGISTRO],DADOS!$N$4,tabela_registros[TIPO],DADOS!$P$3,tabela_registros[CATEGORIA],despesafixaconsolidadojul[[#This Row],[DESPESA FIXA]])</f>
        <v>0</v>
      </c>
      <c r="J39" s="119" t="n">
        <f aca="false">SUMIFS(tabela_registros[VALOR],tabela_registros[MÊS],$AE$1,tabela_registros[DIA],jultotal3059718395107[[#Headers],[6]],tabela_registros[REGISTRO],DADOS!$N$4,tabela_registros[TIPO],DADOS!$P$3,tabela_registros[CATEGORIA],despesafixaconsolidadojul[[#This Row],[DESPESA FIXA]])</f>
        <v>0</v>
      </c>
      <c r="K39" s="119" t="n">
        <f aca="false">SUMIFS(tabela_registros[VALOR],tabela_registros[MÊS],$AE$1,tabela_registros[DIA],jultotal3059718395107[[#Headers],[7]],tabela_registros[REGISTRO],DADOS!$N$4,tabela_registros[TIPO],DADOS!$P$3,tabela_registros[CATEGORIA],despesafixaconsolidadojul[[#This Row],[DESPESA FIXA]])</f>
        <v>0</v>
      </c>
      <c r="L39" s="119" t="n">
        <f aca="false">SUMIFS(tabela_registros[VALOR],tabela_registros[MÊS],$AE$1,tabela_registros[DIA],jultotal3059718395107[[#Headers],[8]],tabela_registros[REGISTRO],DADOS!$N$4,tabela_registros[TIPO],DADOS!$P$3,tabela_registros[CATEGORIA],despesafixaconsolidadojul[[#This Row],[DESPESA FIXA]])</f>
        <v>0</v>
      </c>
      <c r="M39" s="119" t="n">
        <f aca="false">SUMIFS(tabela_registros[VALOR],tabela_registros[MÊS],$AE$1,tabela_registros[DIA],jultotal3059718395107[[#Headers],[9]],tabela_registros[REGISTRO],DADOS!$N$4,tabela_registros[TIPO],DADOS!$P$3,tabela_registros[CATEGORIA],despesafixaconsolidadojul[[#This Row],[DESPESA FIXA]])</f>
        <v>0</v>
      </c>
      <c r="N39" s="119" t="n">
        <f aca="false">SUMIFS(tabela_registros[VALOR],tabela_registros[MÊS],$AE$1,tabela_registros[DIA],jultotal3059718395107[[#Headers],[10]],tabela_registros[REGISTRO],DADOS!$N$4,tabela_registros[TIPO],DADOS!$P$3,tabela_registros[CATEGORIA],despesafixaconsolidadojul[[#This Row],[DESPESA FIXA]])</f>
        <v>0</v>
      </c>
      <c r="O39" s="119" t="n">
        <f aca="false">SUMIFS(tabela_registros[VALOR],tabela_registros[MÊS],$AE$1,tabela_registros[DIA],jultotal3059718395107[[#Headers],[11]],tabela_registros[REGISTRO],DADOS!$N$4,tabela_registros[TIPO],DADOS!$P$3,tabela_registros[CATEGORIA],despesafixaconsolidadojul[[#This Row],[DESPESA FIXA]])</f>
        <v>0</v>
      </c>
      <c r="P39" s="119" t="n">
        <f aca="false">SUMIFS(tabela_registros[VALOR],tabela_registros[MÊS],$AE$1,tabela_registros[DIA],jultotal3059718395107[[#Headers],[12]],tabela_registros[REGISTRO],DADOS!$N$4,tabela_registros[TIPO],DADOS!$P$3,tabela_registros[CATEGORIA],despesafixaconsolidadojul[[#This Row],[DESPESA FIXA]])</f>
        <v>0</v>
      </c>
      <c r="Q39" s="119" t="n">
        <f aca="false">SUMIFS(tabela_registros[VALOR],tabela_registros[MÊS],$AE$1,tabela_registros[DIA],jultotal3059718395107[[#Headers],[13]],tabela_registros[REGISTRO],DADOS!$N$4,tabela_registros[TIPO],DADOS!$P$3,tabela_registros[CATEGORIA],despesafixaconsolidadojul[[#This Row],[DESPESA FIXA]])</f>
        <v>0</v>
      </c>
      <c r="R39" s="119" t="n">
        <f aca="false">SUMIFS(tabela_registros[VALOR],tabela_registros[MÊS],$AE$1,tabela_registros[DIA],jultotal3059718395107[[#Headers],[14]],tabela_registros[REGISTRO],DADOS!$N$4,tabela_registros[TIPO],DADOS!$P$3,tabela_registros[CATEGORIA],despesafixaconsolidadojul[[#This Row],[DESPESA FIXA]])</f>
        <v>0</v>
      </c>
      <c r="S39" s="119" t="n">
        <f aca="false">SUMIFS(tabela_registros[VALOR],tabela_registros[MÊS],$AE$1,tabela_registros[DIA],jultotal3059718395107[[#Headers],[15]],tabela_registros[REGISTRO],DADOS!$N$4,tabela_registros[TIPO],DADOS!$P$3,tabela_registros[CATEGORIA],despesafixaconsolidadojul[[#This Row],[DESPESA FIXA]])</f>
        <v>0</v>
      </c>
      <c r="T39" s="119" t="n">
        <f aca="false">SUMIFS(tabela_registros[VALOR],tabela_registros[MÊS],$AE$1,tabela_registros[DIA],jultotal3059718395107[[#Headers],[16]],tabela_registros[REGISTRO],DADOS!$N$4,tabela_registros[TIPO],DADOS!$P$3,tabela_registros[CATEGORIA],despesafixaconsolidadojul[[#This Row],[DESPESA FIXA]])</f>
        <v>0</v>
      </c>
      <c r="U39" s="119" t="n">
        <f aca="false">SUMIFS(tabela_registros[VALOR],tabela_registros[MÊS],$AE$1,tabela_registros[DIA],jultotal3059718395107[[#Headers],[17]],tabela_registros[REGISTRO],DADOS!$N$4,tabela_registros[TIPO],DADOS!$P$3,tabela_registros[CATEGORIA],despesafixaconsolidadojul[[#This Row],[DESPESA FIXA]])</f>
        <v>0</v>
      </c>
      <c r="V39" s="119" t="n">
        <f aca="false">SUMIFS(tabela_registros[VALOR],tabela_registros[MÊS],$AE$1,tabela_registros[DIA],jultotal3059718395107[[#Headers],[18]],tabela_registros[REGISTRO],DADOS!$N$4,tabela_registros[TIPO],DADOS!$P$3,tabela_registros[CATEGORIA],despesafixaconsolidadojul[[#This Row],[DESPESA FIXA]])</f>
        <v>0</v>
      </c>
      <c r="W39" s="119" t="n">
        <f aca="false">SUMIFS(tabela_registros[VALOR],tabela_registros[MÊS],$AE$1,tabela_registros[DIA],jultotal3059718395107[[#Headers],[19]],tabela_registros[REGISTRO],DADOS!$N$4,tabela_registros[TIPO],DADOS!$P$3,tabela_registros[CATEGORIA],despesafixaconsolidadojul[[#This Row],[DESPESA FIXA]])</f>
        <v>0</v>
      </c>
      <c r="X39" s="119" t="n">
        <f aca="false">SUMIFS(tabela_registros[VALOR],tabela_registros[MÊS],$AE$1,tabela_registros[DIA],jultotal3059718395107[[#Headers],[20]],tabela_registros[REGISTRO],DADOS!$N$4,tabela_registros[TIPO],DADOS!$P$3,tabela_registros[CATEGORIA],despesafixaconsolidadojul[[#This Row],[DESPESA FIXA]])</f>
        <v>0</v>
      </c>
      <c r="Y39" s="119" t="n">
        <f aca="false">SUMIFS(tabela_registros[VALOR],tabela_registros[MÊS],$AE$1,tabela_registros[DIA],jultotal3059718395107[[#Headers],[21]],tabela_registros[REGISTRO],DADOS!$N$4,tabela_registros[TIPO],DADOS!$P$3,tabela_registros[CATEGORIA],despesafixaconsolidadojul[[#This Row],[DESPESA FIXA]])</f>
        <v>0</v>
      </c>
      <c r="Z39" s="119" t="n">
        <f aca="false">SUMIFS(tabela_registros[VALOR],tabela_registros[MÊS],$AE$1,tabela_registros[DIA],jultotal3059718395107[[#Headers],[22]],tabela_registros[REGISTRO],DADOS!$N$4,tabela_registros[TIPO],DADOS!$P$3,tabela_registros[CATEGORIA],despesafixaconsolidadojul[[#This Row],[DESPESA FIXA]])</f>
        <v>0</v>
      </c>
      <c r="AA39" s="119" t="n">
        <f aca="false">SUMIFS(tabela_registros[VALOR],tabela_registros[MÊS],$AE$1,tabela_registros[DIA],jultotal3059718395107[[#Headers],[23]],tabela_registros[REGISTRO],DADOS!$N$4,tabela_registros[TIPO],DADOS!$P$3,tabela_registros[CATEGORIA],despesafixaconsolidadojul[[#This Row],[DESPESA FIXA]])</f>
        <v>0</v>
      </c>
      <c r="AB39" s="119" t="n">
        <f aca="false">SUMIFS(tabela_registros[VALOR],tabela_registros[MÊS],$AE$1,tabela_registros[DIA],jultotal3059718395107[[#Headers],[24]],tabela_registros[REGISTRO],DADOS!$N$4,tabela_registros[TIPO],DADOS!$P$3,tabela_registros[CATEGORIA],despesafixaconsolidadojul[[#This Row],[DESPESA FIXA]])</f>
        <v>0</v>
      </c>
      <c r="AC39" s="119" t="n">
        <f aca="false">SUMIFS(tabela_registros[VALOR],tabela_registros[MÊS],$AE$1,tabela_registros[DIA],jultotal3059718395107[[#Headers],[25]],tabela_registros[REGISTRO],DADOS!$N$4,tabela_registros[TIPO],DADOS!$P$3,tabela_registros[CATEGORIA],despesafixaconsolidadojul[[#This Row],[DESPESA FIXA]])</f>
        <v>0</v>
      </c>
      <c r="AD39" s="119" t="n">
        <f aca="false">SUMIFS(tabela_registros[VALOR],tabela_registros[MÊS],$AE$1,tabela_registros[DIA],jultotal3059718395107[[#Headers],[26]],tabela_registros[REGISTRO],DADOS!$N$4,tabela_registros[TIPO],DADOS!$P$3,tabela_registros[CATEGORIA],despesafixaconsolidadojul[[#This Row],[DESPESA FIXA]])</f>
        <v>0</v>
      </c>
      <c r="AE39" s="119" t="n">
        <f aca="false">SUMIFS(tabela_registros[VALOR],tabela_registros[MÊS],$AE$1,tabela_registros[DIA],jultotal3059718395107[[#Headers],[27]],tabela_registros[REGISTRO],DADOS!$N$4,tabela_registros[TIPO],DADOS!$P$3,tabela_registros[CATEGORIA],despesafixaconsolidadojul[[#This Row],[DESPESA FIXA]])</f>
        <v>0</v>
      </c>
      <c r="AF39" s="119" t="n">
        <f aca="false">SUMIFS(tabela_registros[VALOR],tabela_registros[MÊS],$AE$1,tabela_registros[DIA],jultotal3059718395107[[#Headers],[28]],tabela_registros[REGISTRO],DADOS!$N$4,tabela_registros[TIPO],DADOS!$P$3,tabela_registros[CATEGORIA],despesafixaconsolidadojul[[#This Row],[DESPESA FIXA]])</f>
        <v>0</v>
      </c>
      <c r="AG39" s="119" t="n">
        <f aca="false">SUMIFS(tabela_registros[VALOR],tabela_registros[MÊS],$AE$1,tabela_registros[DIA],jultotal3059718395107[[#Headers],[29]],tabela_registros[REGISTRO],DADOS!$N$4,tabela_registros[TIPO],DADOS!$P$3,tabela_registros[CATEGORIA],despesafixaconsolidadojul[[#This Row],[DESPESA FIXA]])</f>
        <v>0</v>
      </c>
      <c r="AH39" s="119" t="n">
        <f aca="false">SUMIFS(tabela_registros[VALOR],tabela_registros[MÊS],$AE$1,tabela_registros[DIA],jultotal3059718395107[[#Headers],[30]],tabela_registros[REGISTRO],DADOS!$N$4,tabela_registros[TIPO],DADOS!$P$3,tabela_registros[CATEGORIA],despesafixaconsolidadojul[[#This Row],[DESPESA FIXA]])</f>
        <v>0</v>
      </c>
      <c r="AI39" s="217" t="n">
        <f aca="false">SUMIFS(tabela_registros[VALOR],tabela_registros[MÊS],$AE$1,tabela_registros[DIA],jultotal3059718395107[[#Headers],[31]],tabela_registros[REGISTRO],DADOS!$N$4,tabela_registros[TIPO],DADOS!$P$3,tabela_registros[CATEGORIA],despesafixaconsolidadojul[[#This Row],[DESPESA FIXA]])</f>
        <v>0</v>
      </c>
      <c r="AJ39" s="149" t="n">
        <f aca="false">SUM(despesafixaconsolidadojul[[#This Row],[1]:[31]])</f>
        <v>0</v>
      </c>
      <c r="AK39" s="143"/>
    </row>
    <row r="40" customFormat="false" ht="18" hidden="false" customHeight="true" outlineLevel="0" collapsed="false">
      <c r="B40" s="143"/>
      <c r="C40" s="144" t="str">
        <f aca="false">DADOS!$R$6</f>
        <v>📱 CELULAR</v>
      </c>
      <c r="D40" s="145" t="str">
        <f aca="false">IF(despesafixaconsolidadojul[[#This Row],[TOTAL]]=0,"",IF(OR(despesafixaconsolidadojul[[#This Row],[TOTAL]]=LARGE($AJ$37:$AJ$50,1),despesafixaconsolidadojul[[#This Row],[TOTAL]]=LARGE($AJ$37:$AJ$50,2),despesafixaconsolidadojul[[#This Row],[TOTAL]]=LARGE($AJ$37:$AJ$50,3),despesafixaconsolidadojul[[#This Row],[TOTAL]]=LARGE($AJ$37:$AJ$50,4),despesafixaconsolidadojul[[#This Row],[TOTAL]]=LARGE($AJ$37:$AJ$50,5)),DADOS!$I$8,""))</f>
        <v/>
      </c>
      <c r="E40" s="148" t="n">
        <f aca="false">SUMIFS(tabela_registros[VALOR],tabela_registros[MÊS],$AE$1,tabela_registros[DIA],jultotal3059718395107[[#Headers],[1]],tabela_registros[REGISTRO],DADOS!$N$4,tabela_registros[TIPO],DADOS!$P$3,tabela_registros[CATEGORIA],despesafixaconsolidadojul[[#This Row],[DESPESA FIXA]])</f>
        <v>0</v>
      </c>
      <c r="F40" s="119" t="n">
        <f aca="false">SUMIFS(tabela_registros[VALOR],tabela_registros[MÊS],$AE$1,tabela_registros[DIA],jultotal3059718395107[[#Headers],[2]],tabela_registros[REGISTRO],DADOS!$N$4,tabela_registros[TIPO],DADOS!$P$3,tabela_registros[CATEGORIA],despesafixaconsolidadojul[[#This Row],[DESPESA FIXA]])</f>
        <v>0</v>
      </c>
      <c r="G40" s="119" t="n">
        <f aca="false">SUMIFS(tabela_registros[VALOR],tabela_registros[MÊS],$AE$1,tabela_registros[DIA],jultotal3059718395107[[#Headers],[3]],tabela_registros[REGISTRO],DADOS!$N$4,tabela_registros[TIPO],DADOS!$P$3,tabela_registros[CATEGORIA],despesafixaconsolidadojul[[#This Row],[DESPESA FIXA]])</f>
        <v>0</v>
      </c>
      <c r="H40" s="119" t="n">
        <f aca="false">SUMIFS(tabela_registros[VALOR],tabela_registros[MÊS],$AE$1,tabela_registros[DIA],jultotal3059718395107[[#Headers],[4]],tabela_registros[REGISTRO],DADOS!$N$4,tabela_registros[TIPO],DADOS!$P$3,tabela_registros[CATEGORIA],despesafixaconsolidadojul[[#This Row],[DESPESA FIXA]])</f>
        <v>0</v>
      </c>
      <c r="I40" s="119" t="n">
        <f aca="false">SUMIFS(tabela_registros[VALOR],tabela_registros[MÊS],$AE$1,tabela_registros[DIA],jultotal3059718395107[[#Headers],[5]],tabela_registros[REGISTRO],DADOS!$N$4,tabela_registros[TIPO],DADOS!$P$3,tabela_registros[CATEGORIA],despesafixaconsolidadojul[[#This Row],[DESPESA FIXA]])</f>
        <v>0</v>
      </c>
      <c r="J40" s="119" t="n">
        <f aca="false">SUMIFS(tabela_registros[VALOR],tabela_registros[MÊS],$AE$1,tabela_registros[DIA],jultotal3059718395107[[#Headers],[6]],tabela_registros[REGISTRO],DADOS!$N$4,tabela_registros[TIPO],DADOS!$P$3,tabela_registros[CATEGORIA],despesafixaconsolidadojul[[#This Row],[DESPESA FIXA]])</f>
        <v>0</v>
      </c>
      <c r="K40" s="119" t="n">
        <f aca="false">SUMIFS(tabela_registros[VALOR],tabela_registros[MÊS],$AE$1,tabela_registros[DIA],jultotal3059718395107[[#Headers],[7]],tabela_registros[REGISTRO],DADOS!$N$4,tabela_registros[TIPO],DADOS!$P$3,tabela_registros[CATEGORIA],despesafixaconsolidadojul[[#This Row],[DESPESA FIXA]])</f>
        <v>0</v>
      </c>
      <c r="L40" s="119" t="n">
        <f aca="false">SUMIFS(tabela_registros[VALOR],tabela_registros[MÊS],$AE$1,tabela_registros[DIA],jultotal3059718395107[[#Headers],[8]],tabela_registros[REGISTRO],DADOS!$N$4,tabela_registros[TIPO],DADOS!$P$3,tabela_registros[CATEGORIA],despesafixaconsolidadojul[[#This Row],[DESPESA FIXA]])</f>
        <v>0</v>
      </c>
      <c r="M40" s="119" t="n">
        <f aca="false">SUMIFS(tabela_registros[VALOR],tabela_registros[MÊS],$AE$1,tabela_registros[DIA],jultotal3059718395107[[#Headers],[9]],tabela_registros[REGISTRO],DADOS!$N$4,tabela_registros[TIPO],DADOS!$P$3,tabela_registros[CATEGORIA],despesafixaconsolidadojul[[#This Row],[DESPESA FIXA]])</f>
        <v>0</v>
      </c>
      <c r="N40" s="119" t="n">
        <f aca="false">SUMIFS(tabela_registros[VALOR],tabela_registros[MÊS],$AE$1,tabela_registros[DIA],jultotal3059718395107[[#Headers],[10]],tabela_registros[REGISTRO],DADOS!$N$4,tabela_registros[TIPO],DADOS!$P$3,tabela_registros[CATEGORIA],despesafixaconsolidadojul[[#This Row],[DESPESA FIXA]])</f>
        <v>0</v>
      </c>
      <c r="O40" s="119" t="n">
        <f aca="false">SUMIFS(tabela_registros[VALOR],tabela_registros[MÊS],$AE$1,tabela_registros[DIA],jultotal3059718395107[[#Headers],[11]],tabela_registros[REGISTRO],DADOS!$N$4,tabela_registros[TIPO],DADOS!$P$3,tabela_registros[CATEGORIA],despesafixaconsolidadojul[[#This Row],[DESPESA FIXA]])</f>
        <v>0</v>
      </c>
      <c r="P40" s="119" t="n">
        <f aca="false">SUMIFS(tabela_registros[VALOR],tabela_registros[MÊS],$AE$1,tabela_registros[DIA],jultotal3059718395107[[#Headers],[12]],tabela_registros[REGISTRO],DADOS!$N$4,tabela_registros[TIPO],DADOS!$P$3,tabela_registros[CATEGORIA],despesafixaconsolidadojul[[#This Row],[DESPESA FIXA]])</f>
        <v>0</v>
      </c>
      <c r="Q40" s="119" t="n">
        <f aca="false">SUMIFS(tabela_registros[VALOR],tabela_registros[MÊS],$AE$1,tabela_registros[DIA],jultotal3059718395107[[#Headers],[13]],tabela_registros[REGISTRO],DADOS!$N$4,tabela_registros[TIPO],DADOS!$P$3,tabela_registros[CATEGORIA],despesafixaconsolidadojul[[#This Row],[DESPESA FIXA]])</f>
        <v>0</v>
      </c>
      <c r="R40" s="119" t="n">
        <f aca="false">SUMIFS(tabela_registros[VALOR],tabela_registros[MÊS],$AE$1,tabela_registros[DIA],jultotal3059718395107[[#Headers],[14]],tabela_registros[REGISTRO],DADOS!$N$4,tabela_registros[TIPO],DADOS!$P$3,tabela_registros[CATEGORIA],despesafixaconsolidadojul[[#This Row],[DESPESA FIXA]])</f>
        <v>0</v>
      </c>
      <c r="S40" s="119" t="n">
        <f aca="false">SUMIFS(tabela_registros[VALOR],tabela_registros[MÊS],$AE$1,tabela_registros[DIA],jultotal3059718395107[[#Headers],[15]],tabela_registros[REGISTRO],DADOS!$N$4,tabela_registros[TIPO],DADOS!$P$3,tabela_registros[CATEGORIA],despesafixaconsolidadojul[[#This Row],[DESPESA FIXA]])</f>
        <v>0</v>
      </c>
      <c r="T40" s="119" t="n">
        <f aca="false">SUMIFS(tabela_registros[VALOR],tabela_registros[MÊS],$AE$1,tabela_registros[DIA],jultotal3059718395107[[#Headers],[16]],tabela_registros[REGISTRO],DADOS!$N$4,tabela_registros[TIPO],DADOS!$P$3,tabela_registros[CATEGORIA],despesafixaconsolidadojul[[#This Row],[DESPESA FIXA]])</f>
        <v>0</v>
      </c>
      <c r="U40" s="119" t="n">
        <f aca="false">SUMIFS(tabela_registros[VALOR],tabela_registros[MÊS],$AE$1,tabela_registros[DIA],jultotal3059718395107[[#Headers],[17]],tabela_registros[REGISTRO],DADOS!$N$4,tabela_registros[TIPO],DADOS!$P$3,tabela_registros[CATEGORIA],despesafixaconsolidadojul[[#This Row],[DESPESA FIXA]])</f>
        <v>0</v>
      </c>
      <c r="V40" s="119" t="n">
        <f aca="false">SUMIFS(tabela_registros[VALOR],tabela_registros[MÊS],$AE$1,tabela_registros[DIA],jultotal3059718395107[[#Headers],[18]],tabela_registros[REGISTRO],DADOS!$N$4,tabela_registros[TIPO],DADOS!$P$3,tabela_registros[CATEGORIA],despesafixaconsolidadojul[[#This Row],[DESPESA FIXA]])</f>
        <v>0</v>
      </c>
      <c r="W40" s="119" t="n">
        <f aca="false">SUMIFS(tabela_registros[VALOR],tabela_registros[MÊS],$AE$1,tabela_registros[DIA],jultotal3059718395107[[#Headers],[19]],tabela_registros[REGISTRO],DADOS!$N$4,tabela_registros[TIPO],DADOS!$P$3,tabela_registros[CATEGORIA],despesafixaconsolidadojul[[#This Row],[DESPESA FIXA]])</f>
        <v>0</v>
      </c>
      <c r="X40" s="119" t="n">
        <f aca="false">SUMIFS(tabela_registros[VALOR],tabela_registros[MÊS],$AE$1,tabela_registros[DIA],jultotal3059718395107[[#Headers],[20]],tabela_registros[REGISTRO],DADOS!$N$4,tabela_registros[TIPO],DADOS!$P$3,tabela_registros[CATEGORIA],despesafixaconsolidadojul[[#This Row],[DESPESA FIXA]])</f>
        <v>0</v>
      </c>
      <c r="Y40" s="119" t="n">
        <f aca="false">SUMIFS(tabela_registros[VALOR],tabela_registros[MÊS],$AE$1,tabela_registros[DIA],jultotal3059718395107[[#Headers],[21]],tabela_registros[REGISTRO],DADOS!$N$4,tabela_registros[TIPO],DADOS!$P$3,tabela_registros[CATEGORIA],despesafixaconsolidadojul[[#This Row],[DESPESA FIXA]])</f>
        <v>0</v>
      </c>
      <c r="Z40" s="119" t="n">
        <f aca="false">SUMIFS(tabela_registros[VALOR],tabela_registros[MÊS],$AE$1,tabela_registros[DIA],jultotal3059718395107[[#Headers],[22]],tabela_registros[REGISTRO],DADOS!$N$4,tabela_registros[TIPO],DADOS!$P$3,tabela_registros[CATEGORIA],despesafixaconsolidadojul[[#This Row],[DESPESA FIXA]])</f>
        <v>0</v>
      </c>
      <c r="AA40" s="119" t="n">
        <f aca="false">SUMIFS(tabela_registros[VALOR],tabela_registros[MÊS],$AE$1,tabela_registros[DIA],jultotal3059718395107[[#Headers],[23]],tabela_registros[REGISTRO],DADOS!$N$4,tabela_registros[TIPO],DADOS!$P$3,tabela_registros[CATEGORIA],despesafixaconsolidadojul[[#This Row],[DESPESA FIXA]])</f>
        <v>0</v>
      </c>
      <c r="AB40" s="119" t="n">
        <f aca="false">SUMIFS(tabela_registros[VALOR],tabela_registros[MÊS],$AE$1,tabela_registros[DIA],jultotal3059718395107[[#Headers],[24]],tabela_registros[REGISTRO],DADOS!$N$4,tabela_registros[TIPO],DADOS!$P$3,tabela_registros[CATEGORIA],despesafixaconsolidadojul[[#This Row],[DESPESA FIXA]])</f>
        <v>0</v>
      </c>
      <c r="AC40" s="119" t="n">
        <f aca="false">SUMIFS(tabela_registros[VALOR],tabela_registros[MÊS],$AE$1,tabela_registros[DIA],jultotal3059718395107[[#Headers],[25]],tabela_registros[REGISTRO],DADOS!$N$4,tabela_registros[TIPO],DADOS!$P$3,tabela_registros[CATEGORIA],despesafixaconsolidadojul[[#This Row],[DESPESA FIXA]])</f>
        <v>0</v>
      </c>
      <c r="AD40" s="119" t="n">
        <f aca="false">SUMIFS(tabela_registros[VALOR],tabela_registros[MÊS],$AE$1,tabela_registros[DIA],jultotal3059718395107[[#Headers],[26]],tabela_registros[REGISTRO],DADOS!$N$4,tabela_registros[TIPO],DADOS!$P$3,tabela_registros[CATEGORIA],despesafixaconsolidadojul[[#This Row],[DESPESA FIXA]])</f>
        <v>0</v>
      </c>
      <c r="AE40" s="119" t="n">
        <f aca="false">SUMIFS(tabela_registros[VALOR],tabela_registros[MÊS],$AE$1,tabela_registros[DIA],jultotal3059718395107[[#Headers],[27]],tabela_registros[REGISTRO],DADOS!$N$4,tabela_registros[TIPO],DADOS!$P$3,tabela_registros[CATEGORIA],despesafixaconsolidadojul[[#This Row],[DESPESA FIXA]])</f>
        <v>0</v>
      </c>
      <c r="AF40" s="119" t="n">
        <f aca="false">SUMIFS(tabela_registros[VALOR],tabela_registros[MÊS],$AE$1,tabela_registros[DIA],jultotal3059718395107[[#Headers],[28]],tabela_registros[REGISTRO],DADOS!$N$4,tabela_registros[TIPO],DADOS!$P$3,tabela_registros[CATEGORIA],despesafixaconsolidadojul[[#This Row],[DESPESA FIXA]])</f>
        <v>0</v>
      </c>
      <c r="AG40" s="119" t="n">
        <f aca="false">SUMIFS(tabela_registros[VALOR],tabela_registros[MÊS],$AE$1,tabela_registros[DIA],jultotal3059718395107[[#Headers],[29]],tabela_registros[REGISTRO],DADOS!$N$4,tabela_registros[TIPO],DADOS!$P$3,tabela_registros[CATEGORIA],despesafixaconsolidadojul[[#This Row],[DESPESA FIXA]])</f>
        <v>0</v>
      </c>
      <c r="AH40" s="119" t="n">
        <f aca="false">SUMIFS(tabela_registros[VALOR],tabela_registros[MÊS],$AE$1,tabela_registros[DIA],jultotal3059718395107[[#Headers],[30]],tabela_registros[REGISTRO],DADOS!$N$4,tabela_registros[TIPO],DADOS!$P$3,tabela_registros[CATEGORIA],despesafixaconsolidadojul[[#This Row],[DESPESA FIXA]])</f>
        <v>0</v>
      </c>
      <c r="AI40" s="217" t="n">
        <f aca="false">SUMIFS(tabela_registros[VALOR],tabela_registros[MÊS],$AE$1,tabela_registros[DIA],jultotal3059718395107[[#Headers],[31]],tabela_registros[REGISTRO],DADOS!$N$4,tabela_registros[TIPO],DADOS!$P$3,tabela_registros[CATEGORIA],despesafixaconsolidadojul[[#This Row],[DESPESA FIXA]])</f>
        <v>0</v>
      </c>
      <c r="AJ40" s="149" t="n">
        <f aca="false">SUM(despesafixaconsolidadojul[[#This Row],[1]:[31]])</f>
        <v>0</v>
      </c>
      <c r="AK40" s="143"/>
    </row>
    <row r="41" customFormat="false" ht="18" hidden="false" customHeight="true" outlineLevel="0" collapsed="false">
      <c r="B41" s="143"/>
      <c r="C41" s="144" t="str">
        <f aca="false">DADOS!$R$7</f>
        <v>📖 EDUCAÇÃO</v>
      </c>
      <c r="D41" s="145" t="str">
        <f aca="false">IF(despesafixaconsolidadojul[[#This Row],[TOTAL]]=0,"",IF(OR(despesafixaconsolidadojul[[#This Row],[TOTAL]]=LARGE($AJ$37:$AJ$50,1),despesafixaconsolidadojul[[#This Row],[TOTAL]]=LARGE($AJ$37:$AJ$50,2),despesafixaconsolidadojul[[#This Row],[TOTAL]]=LARGE($AJ$37:$AJ$50,3),despesafixaconsolidadojul[[#This Row],[TOTAL]]=LARGE($AJ$37:$AJ$50,4),despesafixaconsolidadojul[[#This Row],[TOTAL]]=LARGE($AJ$37:$AJ$50,5)),DADOS!$I$8,""))</f>
        <v/>
      </c>
      <c r="E41" s="148" t="n">
        <f aca="false">SUMIFS(tabela_registros[VALOR],tabela_registros[MÊS],$AE$1,tabela_registros[DIA],jultotal3059718395107[[#Headers],[1]],tabela_registros[REGISTRO],DADOS!$N$4,tabela_registros[TIPO],DADOS!$P$3,tabela_registros[CATEGORIA],despesafixaconsolidadojul[[#This Row],[DESPESA FIXA]])</f>
        <v>0</v>
      </c>
      <c r="F41" s="119" t="n">
        <f aca="false">SUMIFS(tabela_registros[VALOR],tabela_registros[MÊS],$AE$1,tabela_registros[DIA],jultotal3059718395107[[#Headers],[2]],tabela_registros[REGISTRO],DADOS!$N$4,tabela_registros[TIPO],DADOS!$P$3,tabela_registros[CATEGORIA],despesafixaconsolidadojul[[#This Row],[DESPESA FIXA]])</f>
        <v>0</v>
      </c>
      <c r="G41" s="119" t="n">
        <f aca="false">SUMIFS(tabela_registros[VALOR],tabela_registros[MÊS],$AE$1,tabela_registros[DIA],jultotal3059718395107[[#Headers],[3]],tabela_registros[REGISTRO],DADOS!$N$4,tabela_registros[TIPO],DADOS!$P$3,tabela_registros[CATEGORIA],despesafixaconsolidadojul[[#This Row],[DESPESA FIXA]])</f>
        <v>0</v>
      </c>
      <c r="H41" s="119" t="n">
        <f aca="false">SUMIFS(tabela_registros[VALOR],tabela_registros[MÊS],$AE$1,tabela_registros[DIA],jultotal3059718395107[[#Headers],[4]],tabela_registros[REGISTRO],DADOS!$N$4,tabela_registros[TIPO],DADOS!$P$3,tabela_registros[CATEGORIA],despesafixaconsolidadojul[[#This Row],[DESPESA FIXA]])</f>
        <v>0</v>
      </c>
      <c r="I41" s="119" t="n">
        <f aca="false">SUMIFS(tabela_registros[VALOR],tabela_registros[MÊS],$AE$1,tabela_registros[DIA],jultotal3059718395107[[#Headers],[5]],tabela_registros[REGISTRO],DADOS!$N$4,tabela_registros[TIPO],DADOS!$P$3,tabela_registros[CATEGORIA],despesafixaconsolidadojul[[#This Row],[DESPESA FIXA]])</f>
        <v>0</v>
      </c>
      <c r="J41" s="119" t="n">
        <f aca="false">SUMIFS(tabela_registros[VALOR],tabela_registros[MÊS],$AE$1,tabela_registros[DIA],jultotal3059718395107[[#Headers],[6]],tabela_registros[REGISTRO],DADOS!$N$4,tabela_registros[TIPO],DADOS!$P$3,tabela_registros[CATEGORIA],despesafixaconsolidadojul[[#This Row],[DESPESA FIXA]])</f>
        <v>0</v>
      </c>
      <c r="K41" s="119" t="n">
        <f aca="false">SUMIFS(tabela_registros[VALOR],tabela_registros[MÊS],$AE$1,tabela_registros[DIA],jultotal3059718395107[[#Headers],[7]],tabela_registros[REGISTRO],DADOS!$N$4,tabela_registros[TIPO],DADOS!$P$3,tabela_registros[CATEGORIA],despesafixaconsolidadojul[[#This Row],[DESPESA FIXA]])</f>
        <v>0</v>
      </c>
      <c r="L41" s="119" t="n">
        <f aca="false">SUMIFS(tabela_registros[VALOR],tabela_registros[MÊS],$AE$1,tabela_registros[DIA],jultotal3059718395107[[#Headers],[8]],tabela_registros[REGISTRO],DADOS!$N$4,tabela_registros[TIPO],DADOS!$P$3,tabela_registros[CATEGORIA],despesafixaconsolidadojul[[#This Row],[DESPESA FIXA]])</f>
        <v>0</v>
      </c>
      <c r="M41" s="119" t="n">
        <f aca="false">SUMIFS(tabela_registros[VALOR],tabela_registros[MÊS],$AE$1,tabela_registros[DIA],jultotal3059718395107[[#Headers],[9]],tabela_registros[REGISTRO],DADOS!$N$4,tabela_registros[TIPO],DADOS!$P$3,tabela_registros[CATEGORIA],despesafixaconsolidadojul[[#This Row],[DESPESA FIXA]])</f>
        <v>0</v>
      </c>
      <c r="N41" s="119" t="n">
        <f aca="false">SUMIFS(tabela_registros[VALOR],tabela_registros[MÊS],$AE$1,tabela_registros[DIA],jultotal3059718395107[[#Headers],[10]],tabela_registros[REGISTRO],DADOS!$N$4,tabela_registros[TIPO],DADOS!$P$3,tabela_registros[CATEGORIA],despesafixaconsolidadojul[[#This Row],[DESPESA FIXA]])</f>
        <v>0</v>
      </c>
      <c r="O41" s="119" t="n">
        <f aca="false">SUMIFS(tabela_registros[VALOR],tabela_registros[MÊS],$AE$1,tabela_registros[DIA],jultotal3059718395107[[#Headers],[11]],tabela_registros[REGISTRO],DADOS!$N$4,tabela_registros[TIPO],DADOS!$P$3,tabela_registros[CATEGORIA],despesafixaconsolidadojul[[#This Row],[DESPESA FIXA]])</f>
        <v>0</v>
      </c>
      <c r="P41" s="119" t="n">
        <f aca="false">SUMIFS(tabela_registros[VALOR],tabela_registros[MÊS],$AE$1,tabela_registros[DIA],jultotal3059718395107[[#Headers],[12]],tabela_registros[REGISTRO],DADOS!$N$4,tabela_registros[TIPO],DADOS!$P$3,tabela_registros[CATEGORIA],despesafixaconsolidadojul[[#This Row],[DESPESA FIXA]])</f>
        <v>0</v>
      </c>
      <c r="Q41" s="119" t="n">
        <f aca="false">SUMIFS(tabela_registros[VALOR],tabela_registros[MÊS],$AE$1,tabela_registros[DIA],jultotal3059718395107[[#Headers],[13]],tabela_registros[REGISTRO],DADOS!$N$4,tabela_registros[TIPO],DADOS!$P$3,tabela_registros[CATEGORIA],despesafixaconsolidadojul[[#This Row],[DESPESA FIXA]])</f>
        <v>0</v>
      </c>
      <c r="R41" s="119" t="n">
        <f aca="false">SUMIFS(tabela_registros[VALOR],tabela_registros[MÊS],$AE$1,tabela_registros[DIA],jultotal3059718395107[[#Headers],[14]],tabela_registros[REGISTRO],DADOS!$N$4,tabela_registros[TIPO],DADOS!$P$3,tabela_registros[CATEGORIA],despesafixaconsolidadojul[[#This Row],[DESPESA FIXA]])</f>
        <v>0</v>
      </c>
      <c r="S41" s="119" t="n">
        <f aca="false">SUMIFS(tabela_registros[VALOR],tabela_registros[MÊS],$AE$1,tabela_registros[DIA],jultotal3059718395107[[#Headers],[15]],tabela_registros[REGISTRO],DADOS!$N$4,tabela_registros[TIPO],DADOS!$P$3,tabela_registros[CATEGORIA],despesafixaconsolidadojul[[#This Row],[DESPESA FIXA]])</f>
        <v>0</v>
      </c>
      <c r="T41" s="119" t="n">
        <f aca="false">SUMIFS(tabela_registros[VALOR],tabela_registros[MÊS],$AE$1,tabela_registros[DIA],jultotal3059718395107[[#Headers],[16]],tabela_registros[REGISTRO],DADOS!$N$4,tabela_registros[TIPO],DADOS!$P$3,tabela_registros[CATEGORIA],despesafixaconsolidadojul[[#This Row],[DESPESA FIXA]])</f>
        <v>0</v>
      </c>
      <c r="U41" s="119" t="n">
        <f aca="false">SUMIFS(tabela_registros[VALOR],tabela_registros[MÊS],$AE$1,tabela_registros[DIA],jultotal3059718395107[[#Headers],[17]],tabela_registros[REGISTRO],DADOS!$N$4,tabela_registros[TIPO],DADOS!$P$3,tabela_registros[CATEGORIA],despesafixaconsolidadojul[[#This Row],[DESPESA FIXA]])</f>
        <v>0</v>
      </c>
      <c r="V41" s="119" t="n">
        <f aca="false">SUMIFS(tabela_registros[VALOR],tabela_registros[MÊS],$AE$1,tabela_registros[DIA],jultotal3059718395107[[#Headers],[18]],tabela_registros[REGISTRO],DADOS!$N$4,tabela_registros[TIPO],DADOS!$P$3,tabela_registros[CATEGORIA],despesafixaconsolidadojul[[#This Row],[DESPESA FIXA]])</f>
        <v>0</v>
      </c>
      <c r="W41" s="119" t="n">
        <f aca="false">SUMIFS(tabela_registros[VALOR],tabela_registros[MÊS],$AE$1,tabela_registros[DIA],jultotal3059718395107[[#Headers],[19]],tabela_registros[REGISTRO],DADOS!$N$4,tabela_registros[TIPO],DADOS!$P$3,tabela_registros[CATEGORIA],despesafixaconsolidadojul[[#This Row],[DESPESA FIXA]])</f>
        <v>0</v>
      </c>
      <c r="X41" s="119" t="n">
        <f aca="false">SUMIFS(tabela_registros[VALOR],tabela_registros[MÊS],$AE$1,tabela_registros[DIA],jultotal3059718395107[[#Headers],[20]],tabela_registros[REGISTRO],DADOS!$N$4,tabela_registros[TIPO],DADOS!$P$3,tabela_registros[CATEGORIA],despesafixaconsolidadojul[[#This Row],[DESPESA FIXA]])</f>
        <v>0</v>
      </c>
      <c r="Y41" s="119" t="n">
        <f aca="false">SUMIFS(tabela_registros[VALOR],tabela_registros[MÊS],$AE$1,tabela_registros[DIA],jultotal3059718395107[[#Headers],[21]],tabela_registros[REGISTRO],DADOS!$N$4,tabela_registros[TIPO],DADOS!$P$3,tabela_registros[CATEGORIA],despesafixaconsolidadojul[[#This Row],[DESPESA FIXA]])</f>
        <v>0</v>
      </c>
      <c r="Z41" s="119" t="n">
        <f aca="false">SUMIFS(tabela_registros[VALOR],tabela_registros[MÊS],$AE$1,tabela_registros[DIA],jultotal3059718395107[[#Headers],[22]],tabela_registros[REGISTRO],DADOS!$N$4,tabela_registros[TIPO],DADOS!$P$3,tabela_registros[CATEGORIA],despesafixaconsolidadojul[[#This Row],[DESPESA FIXA]])</f>
        <v>0</v>
      </c>
      <c r="AA41" s="119" t="n">
        <f aca="false">SUMIFS(tabela_registros[VALOR],tabela_registros[MÊS],$AE$1,tabela_registros[DIA],jultotal3059718395107[[#Headers],[23]],tabela_registros[REGISTRO],DADOS!$N$4,tabela_registros[TIPO],DADOS!$P$3,tabela_registros[CATEGORIA],despesafixaconsolidadojul[[#This Row],[DESPESA FIXA]])</f>
        <v>0</v>
      </c>
      <c r="AB41" s="119" t="n">
        <f aca="false">SUMIFS(tabela_registros[VALOR],tabela_registros[MÊS],$AE$1,tabela_registros[DIA],jultotal3059718395107[[#Headers],[24]],tabela_registros[REGISTRO],DADOS!$N$4,tabela_registros[TIPO],DADOS!$P$3,tabela_registros[CATEGORIA],despesafixaconsolidadojul[[#This Row],[DESPESA FIXA]])</f>
        <v>0</v>
      </c>
      <c r="AC41" s="119" t="n">
        <f aca="false">SUMIFS(tabela_registros[VALOR],tabela_registros[MÊS],$AE$1,tabela_registros[DIA],jultotal3059718395107[[#Headers],[25]],tabela_registros[REGISTRO],DADOS!$N$4,tabela_registros[TIPO],DADOS!$P$3,tabela_registros[CATEGORIA],despesafixaconsolidadojul[[#This Row],[DESPESA FIXA]])</f>
        <v>0</v>
      </c>
      <c r="AD41" s="119" t="n">
        <f aca="false">SUMIFS(tabela_registros[VALOR],tabela_registros[MÊS],$AE$1,tabela_registros[DIA],jultotal3059718395107[[#Headers],[26]],tabela_registros[REGISTRO],DADOS!$N$4,tabela_registros[TIPO],DADOS!$P$3,tabela_registros[CATEGORIA],despesafixaconsolidadojul[[#This Row],[DESPESA FIXA]])</f>
        <v>0</v>
      </c>
      <c r="AE41" s="119" t="n">
        <f aca="false">SUMIFS(tabela_registros[VALOR],tabela_registros[MÊS],$AE$1,tabela_registros[DIA],jultotal3059718395107[[#Headers],[27]],tabela_registros[REGISTRO],DADOS!$N$4,tabela_registros[TIPO],DADOS!$P$3,tabela_registros[CATEGORIA],despesafixaconsolidadojul[[#This Row],[DESPESA FIXA]])</f>
        <v>0</v>
      </c>
      <c r="AF41" s="119" t="n">
        <f aca="false">SUMIFS(tabela_registros[VALOR],tabela_registros[MÊS],$AE$1,tabela_registros[DIA],jultotal3059718395107[[#Headers],[28]],tabela_registros[REGISTRO],DADOS!$N$4,tabela_registros[TIPO],DADOS!$P$3,tabela_registros[CATEGORIA],despesafixaconsolidadojul[[#This Row],[DESPESA FIXA]])</f>
        <v>0</v>
      </c>
      <c r="AG41" s="119" t="n">
        <f aca="false">SUMIFS(tabela_registros[VALOR],tabela_registros[MÊS],$AE$1,tabela_registros[DIA],jultotal3059718395107[[#Headers],[29]],tabela_registros[REGISTRO],DADOS!$N$4,tabela_registros[TIPO],DADOS!$P$3,tabela_registros[CATEGORIA],despesafixaconsolidadojul[[#This Row],[DESPESA FIXA]])</f>
        <v>0</v>
      </c>
      <c r="AH41" s="119" t="n">
        <f aca="false">SUMIFS(tabela_registros[VALOR],tabela_registros[MÊS],$AE$1,tabela_registros[DIA],jultotal3059718395107[[#Headers],[30]],tabela_registros[REGISTRO],DADOS!$N$4,tabela_registros[TIPO],DADOS!$P$3,tabela_registros[CATEGORIA],despesafixaconsolidadojul[[#This Row],[DESPESA FIXA]])</f>
        <v>0</v>
      </c>
      <c r="AI41" s="217" t="n">
        <f aca="false">SUMIFS(tabela_registros[VALOR],tabela_registros[MÊS],$AE$1,tabela_registros[DIA],jultotal3059718395107[[#Headers],[31]],tabela_registros[REGISTRO],DADOS!$N$4,tabela_registros[TIPO],DADOS!$P$3,tabela_registros[CATEGORIA],despesafixaconsolidadojul[[#This Row],[DESPESA FIXA]])</f>
        <v>0</v>
      </c>
      <c r="AJ41" s="149" t="n">
        <f aca="false">SUM(despesafixaconsolidadojul[[#This Row],[1]:[31]])</f>
        <v>0</v>
      </c>
      <c r="AK41" s="143"/>
    </row>
    <row r="42" customFormat="false" ht="18" hidden="false" customHeight="true" outlineLevel="0" collapsed="false">
      <c r="B42" s="143"/>
      <c r="C42" s="144" t="str">
        <f aca="false">DADOS!$R$8</f>
        <v>🏦 EMPRÉSTIMO</v>
      </c>
      <c r="D42" s="145" t="str">
        <f aca="false">IF(despesafixaconsolidadojul[[#This Row],[TOTAL]]=0,"",IF(OR(despesafixaconsolidadojul[[#This Row],[TOTAL]]=LARGE($AJ$37:$AJ$50,1),despesafixaconsolidadojul[[#This Row],[TOTAL]]=LARGE($AJ$37:$AJ$50,2),despesafixaconsolidadojul[[#This Row],[TOTAL]]=LARGE($AJ$37:$AJ$50,3),despesafixaconsolidadojul[[#This Row],[TOTAL]]=LARGE($AJ$37:$AJ$50,4),despesafixaconsolidadojul[[#This Row],[TOTAL]]=LARGE($AJ$37:$AJ$50,5)),DADOS!$I$8,""))</f>
        <v/>
      </c>
      <c r="E42" s="148" t="n">
        <f aca="false">SUMIFS(tabela_registros[VALOR],tabela_registros[MÊS],$AE$1,tabela_registros[DIA],jultotal3059718395107[[#Headers],[1]],tabela_registros[REGISTRO],DADOS!$N$4,tabela_registros[TIPO],DADOS!$P$3,tabela_registros[CATEGORIA],despesafixaconsolidadojul[[#This Row],[DESPESA FIXA]])</f>
        <v>0</v>
      </c>
      <c r="F42" s="119" t="n">
        <f aca="false">SUMIFS(tabela_registros[VALOR],tabela_registros[MÊS],$AE$1,tabela_registros[DIA],jultotal3059718395107[[#Headers],[2]],tabela_registros[REGISTRO],DADOS!$N$4,tabela_registros[TIPO],DADOS!$P$3,tabela_registros[CATEGORIA],despesafixaconsolidadojul[[#This Row],[DESPESA FIXA]])</f>
        <v>0</v>
      </c>
      <c r="G42" s="119" t="n">
        <f aca="false">SUMIFS(tabela_registros[VALOR],tabela_registros[MÊS],$AE$1,tabela_registros[DIA],jultotal3059718395107[[#Headers],[3]],tabela_registros[REGISTRO],DADOS!$N$4,tabela_registros[TIPO],DADOS!$P$3,tabela_registros[CATEGORIA],despesafixaconsolidadojul[[#This Row],[DESPESA FIXA]])</f>
        <v>0</v>
      </c>
      <c r="H42" s="119" t="n">
        <f aca="false">SUMIFS(tabela_registros[VALOR],tabela_registros[MÊS],$AE$1,tabela_registros[DIA],jultotal3059718395107[[#Headers],[4]],tabela_registros[REGISTRO],DADOS!$N$4,tabela_registros[TIPO],DADOS!$P$3,tabela_registros[CATEGORIA],despesafixaconsolidadojul[[#This Row],[DESPESA FIXA]])</f>
        <v>0</v>
      </c>
      <c r="I42" s="119" t="n">
        <f aca="false">SUMIFS(tabela_registros[VALOR],tabela_registros[MÊS],$AE$1,tabela_registros[DIA],jultotal3059718395107[[#Headers],[5]],tabela_registros[REGISTRO],DADOS!$N$4,tabela_registros[TIPO],DADOS!$P$3,tabela_registros[CATEGORIA],despesafixaconsolidadojul[[#This Row],[DESPESA FIXA]])</f>
        <v>0</v>
      </c>
      <c r="J42" s="119" t="n">
        <f aca="false">SUMIFS(tabela_registros[VALOR],tabela_registros[MÊS],$AE$1,tabela_registros[DIA],jultotal3059718395107[[#Headers],[6]],tabela_registros[REGISTRO],DADOS!$N$4,tabela_registros[TIPO],DADOS!$P$3,tabela_registros[CATEGORIA],despesafixaconsolidadojul[[#This Row],[DESPESA FIXA]])</f>
        <v>0</v>
      </c>
      <c r="K42" s="119" t="n">
        <f aca="false">SUMIFS(tabela_registros[VALOR],tabela_registros[MÊS],$AE$1,tabela_registros[DIA],jultotal3059718395107[[#Headers],[7]],tabela_registros[REGISTRO],DADOS!$N$4,tabela_registros[TIPO],DADOS!$P$3,tabela_registros[CATEGORIA],despesafixaconsolidadojul[[#This Row],[DESPESA FIXA]])</f>
        <v>0</v>
      </c>
      <c r="L42" s="119" t="n">
        <f aca="false">SUMIFS(tabela_registros[VALOR],tabela_registros[MÊS],$AE$1,tabela_registros[DIA],jultotal3059718395107[[#Headers],[8]],tabela_registros[REGISTRO],DADOS!$N$4,tabela_registros[TIPO],DADOS!$P$3,tabela_registros[CATEGORIA],despesafixaconsolidadojul[[#This Row],[DESPESA FIXA]])</f>
        <v>0</v>
      </c>
      <c r="M42" s="119" t="n">
        <f aca="false">SUMIFS(tabela_registros[VALOR],tabela_registros[MÊS],$AE$1,tabela_registros[DIA],jultotal3059718395107[[#Headers],[9]],tabela_registros[REGISTRO],DADOS!$N$4,tabela_registros[TIPO],DADOS!$P$3,tabela_registros[CATEGORIA],despesafixaconsolidadojul[[#This Row],[DESPESA FIXA]])</f>
        <v>0</v>
      </c>
      <c r="N42" s="119" t="n">
        <f aca="false">SUMIFS(tabela_registros[VALOR],tabela_registros[MÊS],$AE$1,tabela_registros[DIA],jultotal3059718395107[[#Headers],[10]],tabela_registros[REGISTRO],DADOS!$N$4,tabela_registros[TIPO],DADOS!$P$3,tabela_registros[CATEGORIA],despesafixaconsolidadojul[[#This Row],[DESPESA FIXA]])</f>
        <v>0</v>
      </c>
      <c r="O42" s="119" t="n">
        <f aca="false">SUMIFS(tabela_registros[VALOR],tabela_registros[MÊS],$AE$1,tabela_registros[DIA],jultotal3059718395107[[#Headers],[11]],tabela_registros[REGISTRO],DADOS!$N$4,tabela_registros[TIPO],DADOS!$P$3,tabela_registros[CATEGORIA],despesafixaconsolidadojul[[#This Row],[DESPESA FIXA]])</f>
        <v>0</v>
      </c>
      <c r="P42" s="119" t="n">
        <f aca="false">SUMIFS(tabela_registros[VALOR],tabela_registros[MÊS],$AE$1,tabela_registros[DIA],jultotal3059718395107[[#Headers],[12]],tabela_registros[REGISTRO],DADOS!$N$4,tabela_registros[TIPO],DADOS!$P$3,tabela_registros[CATEGORIA],despesafixaconsolidadojul[[#This Row],[DESPESA FIXA]])</f>
        <v>0</v>
      </c>
      <c r="Q42" s="119" t="n">
        <f aca="false">SUMIFS(tabela_registros[VALOR],tabela_registros[MÊS],$AE$1,tabela_registros[DIA],jultotal3059718395107[[#Headers],[13]],tabela_registros[REGISTRO],DADOS!$N$4,tabela_registros[TIPO],DADOS!$P$3,tabela_registros[CATEGORIA],despesafixaconsolidadojul[[#This Row],[DESPESA FIXA]])</f>
        <v>0</v>
      </c>
      <c r="R42" s="119" t="n">
        <f aca="false">SUMIFS(tabela_registros[VALOR],tabela_registros[MÊS],$AE$1,tabela_registros[DIA],jultotal3059718395107[[#Headers],[14]],tabela_registros[REGISTRO],DADOS!$N$4,tabela_registros[TIPO],DADOS!$P$3,tabela_registros[CATEGORIA],despesafixaconsolidadojul[[#This Row],[DESPESA FIXA]])</f>
        <v>0</v>
      </c>
      <c r="S42" s="119" t="n">
        <f aca="false">SUMIFS(tabela_registros[VALOR],tabela_registros[MÊS],$AE$1,tabela_registros[DIA],jultotal3059718395107[[#Headers],[15]],tabela_registros[REGISTRO],DADOS!$N$4,tabela_registros[TIPO],DADOS!$P$3,tabela_registros[CATEGORIA],despesafixaconsolidadojul[[#This Row],[DESPESA FIXA]])</f>
        <v>0</v>
      </c>
      <c r="T42" s="119" t="n">
        <f aca="false">SUMIFS(tabela_registros[VALOR],tabela_registros[MÊS],$AE$1,tabela_registros[DIA],jultotal3059718395107[[#Headers],[16]],tabela_registros[REGISTRO],DADOS!$N$4,tabela_registros[TIPO],DADOS!$P$3,tabela_registros[CATEGORIA],despesafixaconsolidadojul[[#This Row],[DESPESA FIXA]])</f>
        <v>0</v>
      </c>
      <c r="U42" s="119" t="n">
        <f aca="false">SUMIFS(tabela_registros[VALOR],tabela_registros[MÊS],$AE$1,tabela_registros[DIA],jultotal3059718395107[[#Headers],[17]],tabela_registros[REGISTRO],DADOS!$N$4,tabela_registros[TIPO],DADOS!$P$3,tabela_registros[CATEGORIA],despesafixaconsolidadojul[[#This Row],[DESPESA FIXA]])</f>
        <v>0</v>
      </c>
      <c r="V42" s="119" t="n">
        <f aca="false">SUMIFS(tabela_registros[VALOR],tabela_registros[MÊS],$AE$1,tabela_registros[DIA],jultotal3059718395107[[#Headers],[18]],tabela_registros[REGISTRO],DADOS!$N$4,tabela_registros[TIPO],DADOS!$P$3,tabela_registros[CATEGORIA],despesafixaconsolidadojul[[#This Row],[DESPESA FIXA]])</f>
        <v>0</v>
      </c>
      <c r="W42" s="119" t="n">
        <f aca="false">SUMIFS(tabela_registros[VALOR],tabela_registros[MÊS],$AE$1,tabela_registros[DIA],jultotal3059718395107[[#Headers],[19]],tabela_registros[REGISTRO],DADOS!$N$4,tabela_registros[TIPO],DADOS!$P$3,tabela_registros[CATEGORIA],despesafixaconsolidadojul[[#This Row],[DESPESA FIXA]])</f>
        <v>0</v>
      </c>
      <c r="X42" s="119" t="n">
        <f aca="false">SUMIFS(tabela_registros[VALOR],tabela_registros[MÊS],$AE$1,tabela_registros[DIA],jultotal3059718395107[[#Headers],[20]],tabela_registros[REGISTRO],DADOS!$N$4,tabela_registros[TIPO],DADOS!$P$3,tabela_registros[CATEGORIA],despesafixaconsolidadojul[[#This Row],[DESPESA FIXA]])</f>
        <v>0</v>
      </c>
      <c r="Y42" s="119" t="n">
        <f aca="false">SUMIFS(tabela_registros[VALOR],tabela_registros[MÊS],$AE$1,tabela_registros[DIA],jultotal3059718395107[[#Headers],[21]],tabela_registros[REGISTRO],DADOS!$N$4,tabela_registros[TIPO],DADOS!$P$3,tabela_registros[CATEGORIA],despesafixaconsolidadojul[[#This Row],[DESPESA FIXA]])</f>
        <v>0</v>
      </c>
      <c r="Z42" s="119" t="n">
        <f aca="false">SUMIFS(tabela_registros[VALOR],tabela_registros[MÊS],$AE$1,tabela_registros[DIA],jultotal3059718395107[[#Headers],[22]],tabela_registros[REGISTRO],DADOS!$N$4,tabela_registros[TIPO],DADOS!$P$3,tabela_registros[CATEGORIA],despesafixaconsolidadojul[[#This Row],[DESPESA FIXA]])</f>
        <v>0</v>
      </c>
      <c r="AA42" s="119" t="n">
        <f aca="false">SUMIFS(tabela_registros[VALOR],tabela_registros[MÊS],$AE$1,tabela_registros[DIA],jultotal3059718395107[[#Headers],[23]],tabela_registros[REGISTRO],DADOS!$N$4,tabela_registros[TIPO],DADOS!$P$3,tabela_registros[CATEGORIA],despesafixaconsolidadojul[[#This Row],[DESPESA FIXA]])</f>
        <v>0</v>
      </c>
      <c r="AB42" s="119" t="n">
        <f aca="false">SUMIFS(tabela_registros[VALOR],tabela_registros[MÊS],$AE$1,tabela_registros[DIA],jultotal3059718395107[[#Headers],[24]],tabela_registros[REGISTRO],DADOS!$N$4,tabela_registros[TIPO],DADOS!$P$3,tabela_registros[CATEGORIA],despesafixaconsolidadojul[[#This Row],[DESPESA FIXA]])</f>
        <v>0</v>
      </c>
      <c r="AC42" s="119" t="n">
        <f aca="false">SUMIFS(tabela_registros[VALOR],tabela_registros[MÊS],$AE$1,tabela_registros[DIA],jultotal3059718395107[[#Headers],[25]],tabela_registros[REGISTRO],DADOS!$N$4,tabela_registros[TIPO],DADOS!$P$3,tabela_registros[CATEGORIA],despesafixaconsolidadojul[[#This Row],[DESPESA FIXA]])</f>
        <v>0</v>
      </c>
      <c r="AD42" s="119" t="n">
        <f aca="false">SUMIFS(tabela_registros[VALOR],tabela_registros[MÊS],$AE$1,tabela_registros[DIA],jultotal3059718395107[[#Headers],[26]],tabela_registros[REGISTRO],DADOS!$N$4,tabela_registros[TIPO],DADOS!$P$3,tabela_registros[CATEGORIA],despesafixaconsolidadojul[[#This Row],[DESPESA FIXA]])</f>
        <v>0</v>
      </c>
      <c r="AE42" s="119" t="n">
        <f aca="false">SUMIFS(tabela_registros[VALOR],tabela_registros[MÊS],$AE$1,tabela_registros[DIA],jultotal3059718395107[[#Headers],[27]],tabela_registros[REGISTRO],DADOS!$N$4,tabela_registros[TIPO],DADOS!$P$3,tabela_registros[CATEGORIA],despesafixaconsolidadojul[[#This Row],[DESPESA FIXA]])</f>
        <v>0</v>
      </c>
      <c r="AF42" s="119" t="n">
        <f aca="false">SUMIFS(tabela_registros[VALOR],tabela_registros[MÊS],$AE$1,tabela_registros[DIA],jultotal3059718395107[[#Headers],[28]],tabela_registros[REGISTRO],DADOS!$N$4,tabela_registros[TIPO],DADOS!$P$3,tabela_registros[CATEGORIA],despesafixaconsolidadojul[[#This Row],[DESPESA FIXA]])</f>
        <v>0</v>
      </c>
      <c r="AG42" s="119" t="n">
        <f aca="false">SUMIFS(tabela_registros[VALOR],tabela_registros[MÊS],$AE$1,tabela_registros[DIA],jultotal3059718395107[[#Headers],[29]],tabela_registros[REGISTRO],DADOS!$N$4,tabela_registros[TIPO],DADOS!$P$3,tabela_registros[CATEGORIA],despesafixaconsolidadojul[[#This Row],[DESPESA FIXA]])</f>
        <v>0</v>
      </c>
      <c r="AH42" s="119" t="n">
        <f aca="false">SUMIFS(tabela_registros[VALOR],tabela_registros[MÊS],$AE$1,tabela_registros[DIA],jultotal3059718395107[[#Headers],[30]],tabela_registros[REGISTRO],DADOS!$N$4,tabela_registros[TIPO],DADOS!$P$3,tabela_registros[CATEGORIA],despesafixaconsolidadojul[[#This Row],[DESPESA FIXA]])</f>
        <v>0</v>
      </c>
      <c r="AI42" s="217" t="n">
        <f aca="false">SUMIFS(tabela_registros[VALOR],tabela_registros[MÊS],$AE$1,tabela_registros[DIA],jultotal3059718395107[[#Headers],[31]],tabela_registros[REGISTRO],DADOS!$N$4,tabela_registros[TIPO],DADOS!$P$3,tabela_registros[CATEGORIA],despesafixaconsolidadojul[[#This Row],[DESPESA FIXA]])</f>
        <v>0</v>
      </c>
      <c r="AJ42" s="149" t="n">
        <f aca="false">SUM(despesafixaconsolidadojul[[#This Row],[1]:[31]])</f>
        <v>0</v>
      </c>
      <c r="AK42" s="143"/>
    </row>
    <row r="43" customFormat="false" ht="18" hidden="false" customHeight="true" outlineLevel="0" collapsed="false">
      <c r="B43" s="143"/>
      <c r="C43" s="144" t="str">
        <f aca="false">DADOS!$R$9</f>
        <v>💡 ENERGIA</v>
      </c>
      <c r="D43" s="145" t="str">
        <f aca="false">IF(despesafixaconsolidadojul[[#This Row],[TOTAL]]=0,"",IF(OR(despesafixaconsolidadojul[[#This Row],[TOTAL]]=LARGE($AJ$37:$AJ$50,1),despesafixaconsolidadojul[[#This Row],[TOTAL]]=LARGE($AJ$37:$AJ$50,2),despesafixaconsolidadojul[[#This Row],[TOTAL]]=LARGE($AJ$37:$AJ$50,3),despesafixaconsolidadojul[[#This Row],[TOTAL]]=LARGE($AJ$37:$AJ$50,4),despesafixaconsolidadojul[[#This Row],[TOTAL]]=LARGE($AJ$37:$AJ$50,5)),DADOS!$I$8,""))</f>
        <v/>
      </c>
      <c r="E43" s="148" t="n">
        <f aca="false">SUMIFS(tabela_registros[VALOR],tabela_registros[MÊS],$AE$1,tabela_registros[DIA],jultotal3059718395107[[#Headers],[1]],tabela_registros[REGISTRO],DADOS!$N$4,tabela_registros[TIPO],DADOS!$P$3,tabela_registros[CATEGORIA],despesafixaconsolidadojul[[#This Row],[DESPESA FIXA]])</f>
        <v>0</v>
      </c>
      <c r="F43" s="119" t="n">
        <f aca="false">SUMIFS(tabela_registros[VALOR],tabela_registros[MÊS],$AE$1,tabela_registros[DIA],jultotal3059718395107[[#Headers],[2]],tabela_registros[REGISTRO],DADOS!$N$4,tabela_registros[TIPO],DADOS!$P$3,tabela_registros[CATEGORIA],despesafixaconsolidadojul[[#This Row],[DESPESA FIXA]])</f>
        <v>0</v>
      </c>
      <c r="G43" s="119" t="n">
        <f aca="false">SUMIFS(tabela_registros[VALOR],tabela_registros[MÊS],$AE$1,tabela_registros[DIA],jultotal3059718395107[[#Headers],[3]],tabela_registros[REGISTRO],DADOS!$N$4,tabela_registros[TIPO],DADOS!$P$3,tabela_registros[CATEGORIA],despesafixaconsolidadojul[[#This Row],[DESPESA FIXA]])</f>
        <v>0</v>
      </c>
      <c r="H43" s="119" t="n">
        <f aca="false">SUMIFS(tabela_registros[VALOR],tabela_registros[MÊS],$AE$1,tabela_registros[DIA],jultotal3059718395107[[#Headers],[4]],tabela_registros[REGISTRO],DADOS!$N$4,tabela_registros[TIPO],DADOS!$P$3,tabela_registros[CATEGORIA],despesafixaconsolidadojul[[#This Row],[DESPESA FIXA]])</f>
        <v>0</v>
      </c>
      <c r="I43" s="119" t="n">
        <f aca="false">SUMIFS(tabela_registros[VALOR],tabela_registros[MÊS],$AE$1,tabela_registros[DIA],jultotal3059718395107[[#Headers],[5]],tabela_registros[REGISTRO],DADOS!$N$4,tabela_registros[TIPO],DADOS!$P$3,tabela_registros[CATEGORIA],despesafixaconsolidadojul[[#This Row],[DESPESA FIXA]])</f>
        <v>0</v>
      </c>
      <c r="J43" s="119" t="n">
        <f aca="false">SUMIFS(tabela_registros[VALOR],tabela_registros[MÊS],$AE$1,tabela_registros[DIA],jultotal3059718395107[[#Headers],[6]],tabela_registros[REGISTRO],DADOS!$N$4,tabela_registros[TIPO],DADOS!$P$3,tabela_registros[CATEGORIA],despesafixaconsolidadojul[[#This Row],[DESPESA FIXA]])</f>
        <v>0</v>
      </c>
      <c r="K43" s="119" t="n">
        <f aca="false">SUMIFS(tabela_registros[VALOR],tabela_registros[MÊS],$AE$1,tabela_registros[DIA],jultotal3059718395107[[#Headers],[7]],tabela_registros[REGISTRO],DADOS!$N$4,tabela_registros[TIPO],DADOS!$P$3,tabela_registros[CATEGORIA],despesafixaconsolidadojul[[#This Row],[DESPESA FIXA]])</f>
        <v>0</v>
      </c>
      <c r="L43" s="119" t="n">
        <f aca="false">SUMIFS(tabela_registros[VALOR],tabela_registros[MÊS],$AE$1,tabela_registros[DIA],jultotal3059718395107[[#Headers],[8]],tabela_registros[REGISTRO],DADOS!$N$4,tabela_registros[TIPO],DADOS!$P$3,tabela_registros[CATEGORIA],despesafixaconsolidadojul[[#This Row],[DESPESA FIXA]])</f>
        <v>0</v>
      </c>
      <c r="M43" s="119" t="n">
        <f aca="false">SUMIFS(tabela_registros[VALOR],tabela_registros[MÊS],$AE$1,tabela_registros[DIA],jultotal3059718395107[[#Headers],[9]],tabela_registros[REGISTRO],DADOS!$N$4,tabela_registros[TIPO],DADOS!$P$3,tabela_registros[CATEGORIA],despesafixaconsolidadojul[[#This Row],[DESPESA FIXA]])</f>
        <v>0</v>
      </c>
      <c r="N43" s="119" t="n">
        <f aca="false">SUMIFS(tabela_registros[VALOR],tabela_registros[MÊS],$AE$1,tabela_registros[DIA],jultotal3059718395107[[#Headers],[10]],tabela_registros[REGISTRO],DADOS!$N$4,tabela_registros[TIPO],DADOS!$P$3,tabela_registros[CATEGORIA],despesafixaconsolidadojul[[#This Row],[DESPESA FIXA]])</f>
        <v>0</v>
      </c>
      <c r="O43" s="119" t="n">
        <f aca="false">SUMIFS(tabela_registros[VALOR],tabela_registros[MÊS],$AE$1,tabela_registros[DIA],jultotal3059718395107[[#Headers],[11]],tabela_registros[REGISTRO],DADOS!$N$4,tabela_registros[TIPO],DADOS!$P$3,tabela_registros[CATEGORIA],despesafixaconsolidadojul[[#This Row],[DESPESA FIXA]])</f>
        <v>0</v>
      </c>
      <c r="P43" s="119" t="n">
        <f aca="false">SUMIFS(tabela_registros[VALOR],tabela_registros[MÊS],$AE$1,tabela_registros[DIA],jultotal3059718395107[[#Headers],[12]],tabela_registros[REGISTRO],DADOS!$N$4,tabela_registros[TIPO],DADOS!$P$3,tabela_registros[CATEGORIA],despesafixaconsolidadojul[[#This Row],[DESPESA FIXA]])</f>
        <v>0</v>
      </c>
      <c r="Q43" s="119" t="n">
        <f aca="false">SUMIFS(tabela_registros[VALOR],tabela_registros[MÊS],$AE$1,tabela_registros[DIA],jultotal3059718395107[[#Headers],[13]],tabela_registros[REGISTRO],DADOS!$N$4,tabela_registros[TIPO],DADOS!$P$3,tabela_registros[CATEGORIA],despesafixaconsolidadojul[[#This Row],[DESPESA FIXA]])</f>
        <v>0</v>
      </c>
      <c r="R43" s="119" t="n">
        <f aca="false">SUMIFS(tabela_registros[VALOR],tabela_registros[MÊS],$AE$1,tabela_registros[DIA],jultotal3059718395107[[#Headers],[14]],tabela_registros[REGISTRO],DADOS!$N$4,tabela_registros[TIPO],DADOS!$P$3,tabela_registros[CATEGORIA],despesafixaconsolidadojul[[#This Row],[DESPESA FIXA]])</f>
        <v>0</v>
      </c>
      <c r="S43" s="119" t="n">
        <f aca="false">SUMIFS(tabela_registros[VALOR],tabela_registros[MÊS],$AE$1,tabela_registros[DIA],jultotal3059718395107[[#Headers],[15]],tabela_registros[REGISTRO],DADOS!$N$4,tabela_registros[TIPO],DADOS!$P$3,tabela_registros[CATEGORIA],despesafixaconsolidadojul[[#This Row],[DESPESA FIXA]])</f>
        <v>0</v>
      </c>
      <c r="T43" s="119" t="n">
        <f aca="false">SUMIFS(tabela_registros[VALOR],tabela_registros[MÊS],$AE$1,tabela_registros[DIA],jultotal3059718395107[[#Headers],[16]],tabela_registros[REGISTRO],DADOS!$N$4,tabela_registros[TIPO],DADOS!$P$3,tabela_registros[CATEGORIA],despesafixaconsolidadojul[[#This Row],[DESPESA FIXA]])</f>
        <v>0</v>
      </c>
      <c r="U43" s="119" t="n">
        <f aca="false">SUMIFS(tabela_registros[VALOR],tabela_registros[MÊS],$AE$1,tabela_registros[DIA],jultotal3059718395107[[#Headers],[17]],tabela_registros[REGISTRO],DADOS!$N$4,tabela_registros[TIPO],DADOS!$P$3,tabela_registros[CATEGORIA],despesafixaconsolidadojul[[#This Row],[DESPESA FIXA]])</f>
        <v>0</v>
      </c>
      <c r="V43" s="119" t="n">
        <f aca="false">SUMIFS(tabela_registros[VALOR],tabela_registros[MÊS],$AE$1,tabela_registros[DIA],jultotal3059718395107[[#Headers],[18]],tabela_registros[REGISTRO],DADOS!$N$4,tabela_registros[TIPO],DADOS!$P$3,tabela_registros[CATEGORIA],despesafixaconsolidadojul[[#This Row],[DESPESA FIXA]])</f>
        <v>0</v>
      </c>
      <c r="W43" s="119" t="n">
        <f aca="false">SUMIFS(tabela_registros[VALOR],tabela_registros[MÊS],$AE$1,tabela_registros[DIA],jultotal3059718395107[[#Headers],[19]],tabela_registros[REGISTRO],DADOS!$N$4,tabela_registros[TIPO],DADOS!$P$3,tabela_registros[CATEGORIA],despesafixaconsolidadojul[[#This Row],[DESPESA FIXA]])</f>
        <v>0</v>
      </c>
      <c r="X43" s="119" t="n">
        <f aca="false">SUMIFS(tabela_registros[VALOR],tabela_registros[MÊS],$AE$1,tabela_registros[DIA],jultotal3059718395107[[#Headers],[20]],tabela_registros[REGISTRO],DADOS!$N$4,tabela_registros[TIPO],DADOS!$P$3,tabela_registros[CATEGORIA],despesafixaconsolidadojul[[#This Row],[DESPESA FIXA]])</f>
        <v>0</v>
      </c>
      <c r="Y43" s="119" t="n">
        <f aca="false">SUMIFS(tabela_registros[VALOR],tabela_registros[MÊS],$AE$1,tabela_registros[DIA],jultotal3059718395107[[#Headers],[21]],tabela_registros[REGISTRO],DADOS!$N$4,tabela_registros[TIPO],DADOS!$P$3,tabela_registros[CATEGORIA],despesafixaconsolidadojul[[#This Row],[DESPESA FIXA]])</f>
        <v>0</v>
      </c>
      <c r="Z43" s="119" t="n">
        <f aca="false">SUMIFS(tabela_registros[VALOR],tabela_registros[MÊS],$AE$1,tabela_registros[DIA],jultotal3059718395107[[#Headers],[22]],tabela_registros[REGISTRO],DADOS!$N$4,tabela_registros[TIPO],DADOS!$P$3,tabela_registros[CATEGORIA],despesafixaconsolidadojul[[#This Row],[DESPESA FIXA]])</f>
        <v>0</v>
      </c>
      <c r="AA43" s="119" t="n">
        <f aca="false">SUMIFS(tabela_registros[VALOR],tabela_registros[MÊS],$AE$1,tabela_registros[DIA],jultotal3059718395107[[#Headers],[23]],tabela_registros[REGISTRO],DADOS!$N$4,tabela_registros[TIPO],DADOS!$P$3,tabela_registros[CATEGORIA],despesafixaconsolidadojul[[#This Row],[DESPESA FIXA]])</f>
        <v>0</v>
      </c>
      <c r="AB43" s="119" t="n">
        <f aca="false">SUMIFS(tabela_registros[VALOR],tabela_registros[MÊS],$AE$1,tabela_registros[DIA],jultotal3059718395107[[#Headers],[24]],tabela_registros[REGISTRO],DADOS!$N$4,tabela_registros[TIPO],DADOS!$P$3,tabela_registros[CATEGORIA],despesafixaconsolidadojul[[#This Row],[DESPESA FIXA]])</f>
        <v>0</v>
      </c>
      <c r="AC43" s="119" t="n">
        <f aca="false">SUMIFS(tabela_registros[VALOR],tabela_registros[MÊS],$AE$1,tabela_registros[DIA],jultotal3059718395107[[#Headers],[25]],tabela_registros[REGISTRO],DADOS!$N$4,tabela_registros[TIPO],DADOS!$P$3,tabela_registros[CATEGORIA],despesafixaconsolidadojul[[#This Row],[DESPESA FIXA]])</f>
        <v>0</v>
      </c>
      <c r="AD43" s="119" t="n">
        <f aca="false">SUMIFS(tabela_registros[VALOR],tabela_registros[MÊS],$AE$1,tabela_registros[DIA],jultotal3059718395107[[#Headers],[26]],tabela_registros[REGISTRO],DADOS!$N$4,tabela_registros[TIPO],DADOS!$P$3,tabela_registros[CATEGORIA],despesafixaconsolidadojul[[#This Row],[DESPESA FIXA]])</f>
        <v>0</v>
      </c>
      <c r="AE43" s="119" t="n">
        <f aca="false">SUMIFS(tabela_registros[VALOR],tabela_registros[MÊS],$AE$1,tabela_registros[DIA],jultotal3059718395107[[#Headers],[27]],tabela_registros[REGISTRO],DADOS!$N$4,tabela_registros[TIPO],DADOS!$P$3,tabela_registros[CATEGORIA],despesafixaconsolidadojul[[#This Row],[DESPESA FIXA]])</f>
        <v>0</v>
      </c>
      <c r="AF43" s="119" t="n">
        <f aca="false">SUMIFS(tabela_registros[VALOR],tabela_registros[MÊS],$AE$1,tabela_registros[DIA],jultotal3059718395107[[#Headers],[28]],tabela_registros[REGISTRO],DADOS!$N$4,tabela_registros[TIPO],DADOS!$P$3,tabela_registros[CATEGORIA],despesafixaconsolidadojul[[#This Row],[DESPESA FIXA]])</f>
        <v>0</v>
      </c>
      <c r="AG43" s="119" t="n">
        <f aca="false">SUMIFS(tabela_registros[VALOR],tabela_registros[MÊS],$AE$1,tabela_registros[DIA],jultotal3059718395107[[#Headers],[29]],tabela_registros[REGISTRO],DADOS!$N$4,tabela_registros[TIPO],DADOS!$P$3,tabela_registros[CATEGORIA],despesafixaconsolidadojul[[#This Row],[DESPESA FIXA]])</f>
        <v>0</v>
      </c>
      <c r="AH43" s="119" t="n">
        <f aca="false">SUMIFS(tabela_registros[VALOR],tabela_registros[MÊS],$AE$1,tabela_registros[DIA],jultotal3059718395107[[#Headers],[30]],tabela_registros[REGISTRO],DADOS!$N$4,tabela_registros[TIPO],DADOS!$P$3,tabela_registros[CATEGORIA],despesafixaconsolidadojul[[#This Row],[DESPESA FIXA]])</f>
        <v>0</v>
      </c>
      <c r="AI43" s="217" t="n">
        <f aca="false">SUMIFS(tabela_registros[VALOR],tabela_registros[MÊS],$AE$1,tabela_registros[DIA],jultotal3059718395107[[#Headers],[31]],tabela_registros[REGISTRO],DADOS!$N$4,tabela_registros[TIPO],DADOS!$P$3,tabela_registros[CATEGORIA],despesafixaconsolidadojul[[#This Row],[DESPESA FIXA]])</f>
        <v>0</v>
      </c>
      <c r="AJ43" s="149" t="n">
        <f aca="false">SUM(despesafixaconsolidadojul[[#This Row],[1]:[31]])</f>
        <v>0</v>
      </c>
      <c r="AK43" s="143"/>
    </row>
    <row r="44" customFormat="false" ht="18" hidden="false" customHeight="true" outlineLevel="0" collapsed="false">
      <c r="B44" s="143"/>
      <c r="C44" s="144" t="str">
        <f aca="false">DADOS!$R$10</f>
        <v>👨‍👩‍👧 FAMÍLIA</v>
      </c>
      <c r="D44" s="145" t="str">
        <f aca="false">IF(despesafixaconsolidadojul[[#This Row],[TOTAL]]=0,"",IF(OR(despesafixaconsolidadojul[[#This Row],[TOTAL]]=LARGE($AJ$37:$AJ$50,1),despesafixaconsolidadojul[[#This Row],[TOTAL]]=LARGE($AJ$37:$AJ$50,2),despesafixaconsolidadojul[[#This Row],[TOTAL]]=LARGE($AJ$37:$AJ$50,3),despesafixaconsolidadojul[[#This Row],[TOTAL]]=LARGE($AJ$37:$AJ$50,4),despesafixaconsolidadojul[[#This Row],[TOTAL]]=LARGE($AJ$37:$AJ$50,5)),DADOS!$I$8,""))</f>
        <v/>
      </c>
      <c r="E44" s="148" t="n">
        <f aca="false">SUMIFS(tabela_registros[VALOR],tabela_registros[MÊS],$AE$1,tabela_registros[DIA],jultotal3059718395107[[#Headers],[1]],tabela_registros[REGISTRO],DADOS!$N$4,tabela_registros[TIPO],DADOS!$P$3,tabela_registros[CATEGORIA],despesafixaconsolidadojul[[#This Row],[DESPESA FIXA]])</f>
        <v>0</v>
      </c>
      <c r="F44" s="119" t="n">
        <f aca="false">SUMIFS(tabela_registros[VALOR],tabela_registros[MÊS],$AE$1,tabela_registros[DIA],jultotal3059718395107[[#Headers],[2]],tabela_registros[REGISTRO],DADOS!$N$4,tabela_registros[TIPO],DADOS!$P$3,tabela_registros[CATEGORIA],despesafixaconsolidadojul[[#This Row],[DESPESA FIXA]])</f>
        <v>0</v>
      </c>
      <c r="G44" s="119" t="n">
        <f aca="false">SUMIFS(tabela_registros[VALOR],tabela_registros[MÊS],$AE$1,tabela_registros[DIA],jultotal3059718395107[[#Headers],[3]],tabela_registros[REGISTRO],DADOS!$N$4,tabela_registros[TIPO],DADOS!$P$3,tabela_registros[CATEGORIA],despesafixaconsolidadojul[[#This Row],[DESPESA FIXA]])</f>
        <v>0</v>
      </c>
      <c r="H44" s="119" t="n">
        <f aca="false">SUMIFS(tabela_registros[VALOR],tabela_registros[MÊS],$AE$1,tabela_registros[DIA],jultotal3059718395107[[#Headers],[4]],tabela_registros[REGISTRO],DADOS!$N$4,tabela_registros[TIPO],DADOS!$P$3,tabela_registros[CATEGORIA],despesafixaconsolidadojul[[#This Row],[DESPESA FIXA]])</f>
        <v>0</v>
      </c>
      <c r="I44" s="119" t="n">
        <f aca="false">SUMIFS(tabela_registros[VALOR],tabela_registros[MÊS],$AE$1,tabela_registros[DIA],jultotal3059718395107[[#Headers],[5]],tabela_registros[REGISTRO],DADOS!$N$4,tabela_registros[TIPO],DADOS!$P$3,tabela_registros[CATEGORIA],despesafixaconsolidadojul[[#This Row],[DESPESA FIXA]])</f>
        <v>0</v>
      </c>
      <c r="J44" s="119" t="n">
        <f aca="false">SUMIFS(tabela_registros[VALOR],tabela_registros[MÊS],$AE$1,tabela_registros[DIA],jultotal3059718395107[[#Headers],[6]],tabela_registros[REGISTRO],DADOS!$N$4,tabela_registros[TIPO],DADOS!$P$3,tabela_registros[CATEGORIA],despesafixaconsolidadojul[[#This Row],[DESPESA FIXA]])</f>
        <v>0</v>
      </c>
      <c r="K44" s="119" t="n">
        <f aca="false">SUMIFS(tabela_registros[VALOR],tabela_registros[MÊS],$AE$1,tabela_registros[DIA],jultotal3059718395107[[#Headers],[7]],tabela_registros[REGISTRO],DADOS!$N$4,tabela_registros[TIPO],DADOS!$P$3,tabela_registros[CATEGORIA],despesafixaconsolidadojul[[#This Row],[DESPESA FIXA]])</f>
        <v>0</v>
      </c>
      <c r="L44" s="119" t="n">
        <f aca="false">SUMIFS(tabela_registros[VALOR],tabela_registros[MÊS],$AE$1,tabela_registros[DIA],jultotal3059718395107[[#Headers],[8]],tabela_registros[REGISTRO],DADOS!$N$4,tabela_registros[TIPO],DADOS!$P$3,tabela_registros[CATEGORIA],despesafixaconsolidadojul[[#This Row],[DESPESA FIXA]])</f>
        <v>0</v>
      </c>
      <c r="M44" s="119" t="n">
        <f aca="false">SUMIFS(tabela_registros[VALOR],tabela_registros[MÊS],$AE$1,tabela_registros[DIA],jultotal3059718395107[[#Headers],[9]],tabela_registros[REGISTRO],DADOS!$N$4,tabela_registros[TIPO],DADOS!$P$3,tabela_registros[CATEGORIA],despesafixaconsolidadojul[[#This Row],[DESPESA FIXA]])</f>
        <v>0</v>
      </c>
      <c r="N44" s="119" t="n">
        <f aca="false">SUMIFS(tabela_registros[VALOR],tabela_registros[MÊS],$AE$1,tabela_registros[DIA],jultotal3059718395107[[#Headers],[10]],tabela_registros[REGISTRO],DADOS!$N$4,tabela_registros[TIPO],DADOS!$P$3,tabela_registros[CATEGORIA],despesafixaconsolidadojul[[#This Row],[DESPESA FIXA]])</f>
        <v>0</v>
      </c>
      <c r="O44" s="119" t="n">
        <f aca="false">SUMIFS(tabela_registros[VALOR],tabela_registros[MÊS],$AE$1,tabela_registros[DIA],jultotal3059718395107[[#Headers],[11]],tabela_registros[REGISTRO],DADOS!$N$4,tabela_registros[TIPO],DADOS!$P$3,tabela_registros[CATEGORIA],despesafixaconsolidadojul[[#This Row],[DESPESA FIXA]])</f>
        <v>0</v>
      </c>
      <c r="P44" s="119" t="n">
        <f aca="false">SUMIFS(tabela_registros[VALOR],tabela_registros[MÊS],$AE$1,tabela_registros[DIA],jultotal3059718395107[[#Headers],[12]],tabela_registros[REGISTRO],DADOS!$N$4,tabela_registros[TIPO],DADOS!$P$3,tabela_registros[CATEGORIA],despesafixaconsolidadojul[[#This Row],[DESPESA FIXA]])</f>
        <v>0</v>
      </c>
      <c r="Q44" s="119" t="n">
        <f aca="false">SUMIFS(tabela_registros[VALOR],tabela_registros[MÊS],$AE$1,tabela_registros[DIA],jultotal3059718395107[[#Headers],[13]],tabela_registros[REGISTRO],DADOS!$N$4,tabela_registros[TIPO],DADOS!$P$3,tabela_registros[CATEGORIA],despesafixaconsolidadojul[[#This Row],[DESPESA FIXA]])</f>
        <v>0</v>
      </c>
      <c r="R44" s="119" t="n">
        <f aca="false">SUMIFS(tabela_registros[VALOR],tabela_registros[MÊS],$AE$1,tabela_registros[DIA],jultotal3059718395107[[#Headers],[14]],tabela_registros[REGISTRO],DADOS!$N$4,tabela_registros[TIPO],DADOS!$P$3,tabela_registros[CATEGORIA],despesafixaconsolidadojul[[#This Row],[DESPESA FIXA]])</f>
        <v>0</v>
      </c>
      <c r="S44" s="119" t="n">
        <f aca="false">SUMIFS(tabela_registros[VALOR],tabela_registros[MÊS],$AE$1,tabela_registros[DIA],jultotal3059718395107[[#Headers],[15]],tabela_registros[REGISTRO],DADOS!$N$4,tabela_registros[TIPO],DADOS!$P$3,tabela_registros[CATEGORIA],despesafixaconsolidadojul[[#This Row],[DESPESA FIXA]])</f>
        <v>0</v>
      </c>
      <c r="T44" s="119" t="n">
        <f aca="false">SUMIFS(tabela_registros[VALOR],tabela_registros[MÊS],$AE$1,tabela_registros[DIA],jultotal3059718395107[[#Headers],[16]],tabela_registros[REGISTRO],DADOS!$N$4,tabela_registros[TIPO],DADOS!$P$3,tabela_registros[CATEGORIA],despesafixaconsolidadojul[[#This Row],[DESPESA FIXA]])</f>
        <v>0</v>
      </c>
      <c r="U44" s="119" t="n">
        <f aca="false">SUMIFS(tabela_registros[VALOR],tabela_registros[MÊS],$AE$1,tabela_registros[DIA],jultotal3059718395107[[#Headers],[17]],tabela_registros[REGISTRO],DADOS!$N$4,tabela_registros[TIPO],DADOS!$P$3,tabela_registros[CATEGORIA],despesafixaconsolidadojul[[#This Row],[DESPESA FIXA]])</f>
        <v>0</v>
      </c>
      <c r="V44" s="119" t="n">
        <f aca="false">SUMIFS(tabela_registros[VALOR],tabela_registros[MÊS],$AE$1,tabela_registros[DIA],jultotal3059718395107[[#Headers],[18]],tabela_registros[REGISTRO],DADOS!$N$4,tabela_registros[TIPO],DADOS!$P$3,tabela_registros[CATEGORIA],despesafixaconsolidadojul[[#This Row],[DESPESA FIXA]])</f>
        <v>0</v>
      </c>
      <c r="W44" s="119" t="n">
        <f aca="false">SUMIFS(tabela_registros[VALOR],tabela_registros[MÊS],$AE$1,tabela_registros[DIA],jultotal3059718395107[[#Headers],[19]],tabela_registros[REGISTRO],DADOS!$N$4,tabela_registros[TIPO],DADOS!$P$3,tabela_registros[CATEGORIA],despesafixaconsolidadojul[[#This Row],[DESPESA FIXA]])</f>
        <v>0</v>
      </c>
      <c r="X44" s="119" t="n">
        <f aca="false">SUMIFS(tabela_registros[VALOR],tabela_registros[MÊS],$AE$1,tabela_registros[DIA],jultotal3059718395107[[#Headers],[20]],tabela_registros[REGISTRO],DADOS!$N$4,tabela_registros[TIPO],DADOS!$P$3,tabela_registros[CATEGORIA],despesafixaconsolidadojul[[#This Row],[DESPESA FIXA]])</f>
        <v>0</v>
      </c>
      <c r="Y44" s="119" t="n">
        <f aca="false">SUMIFS(tabela_registros[VALOR],tabela_registros[MÊS],$AE$1,tabela_registros[DIA],jultotal3059718395107[[#Headers],[21]],tabela_registros[REGISTRO],DADOS!$N$4,tabela_registros[TIPO],DADOS!$P$3,tabela_registros[CATEGORIA],despesafixaconsolidadojul[[#This Row],[DESPESA FIXA]])</f>
        <v>0</v>
      </c>
      <c r="Z44" s="119" t="n">
        <f aca="false">SUMIFS(tabela_registros[VALOR],tabela_registros[MÊS],$AE$1,tabela_registros[DIA],jultotal3059718395107[[#Headers],[22]],tabela_registros[REGISTRO],DADOS!$N$4,tabela_registros[TIPO],DADOS!$P$3,tabela_registros[CATEGORIA],despesafixaconsolidadojul[[#This Row],[DESPESA FIXA]])</f>
        <v>0</v>
      </c>
      <c r="AA44" s="119" t="n">
        <f aca="false">SUMIFS(tabela_registros[VALOR],tabela_registros[MÊS],$AE$1,tabela_registros[DIA],jultotal3059718395107[[#Headers],[23]],tabela_registros[REGISTRO],DADOS!$N$4,tabela_registros[TIPO],DADOS!$P$3,tabela_registros[CATEGORIA],despesafixaconsolidadojul[[#This Row],[DESPESA FIXA]])</f>
        <v>0</v>
      </c>
      <c r="AB44" s="119" t="n">
        <f aca="false">SUMIFS(tabela_registros[VALOR],tabela_registros[MÊS],$AE$1,tabela_registros[DIA],jultotal3059718395107[[#Headers],[24]],tabela_registros[REGISTRO],DADOS!$N$4,tabela_registros[TIPO],DADOS!$P$3,tabela_registros[CATEGORIA],despesafixaconsolidadojul[[#This Row],[DESPESA FIXA]])</f>
        <v>0</v>
      </c>
      <c r="AC44" s="119" t="n">
        <f aca="false">SUMIFS(tabela_registros[VALOR],tabela_registros[MÊS],$AE$1,tabela_registros[DIA],jultotal3059718395107[[#Headers],[25]],tabela_registros[REGISTRO],DADOS!$N$4,tabela_registros[TIPO],DADOS!$P$3,tabela_registros[CATEGORIA],despesafixaconsolidadojul[[#This Row],[DESPESA FIXA]])</f>
        <v>0</v>
      </c>
      <c r="AD44" s="119" t="n">
        <f aca="false">SUMIFS(tabela_registros[VALOR],tabela_registros[MÊS],$AE$1,tabela_registros[DIA],jultotal3059718395107[[#Headers],[26]],tabela_registros[REGISTRO],DADOS!$N$4,tabela_registros[TIPO],DADOS!$P$3,tabela_registros[CATEGORIA],despesafixaconsolidadojul[[#This Row],[DESPESA FIXA]])</f>
        <v>0</v>
      </c>
      <c r="AE44" s="119" t="n">
        <f aca="false">SUMIFS(tabela_registros[VALOR],tabela_registros[MÊS],$AE$1,tabela_registros[DIA],jultotal3059718395107[[#Headers],[27]],tabela_registros[REGISTRO],DADOS!$N$4,tabela_registros[TIPO],DADOS!$P$3,tabela_registros[CATEGORIA],despesafixaconsolidadojul[[#This Row],[DESPESA FIXA]])</f>
        <v>0</v>
      </c>
      <c r="AF44" s="119" t="n">
        <f aca="false">SUMIFS(tabela_registros[VALOR],tabela_registros[MÊS],$AE$1,tabela_registros[DIA],jultotal3059718395107[[#Headers],[28]],tabela_registros[REGISTRO],DADOS!$N$4,tabela_registros[TIPO],DADOS!$P$3,tabela_registros[CATEGORIA],despesafixaconsolidadojul[[#This Row],[DESPESA FIXA]])</f>
        <v>0</v>
      </c>
      <c r="AG44" s="119" t="n">
        <f aca="false">SUMIFS(tabela_registros[VALOR],tabela_registros[MÊS],$AE$1,tabela_registros[DIA],jultotal3059718395107[[#Headers],[29]],tabela_registros[REGISTRO],DADOS!$N$4,tabela_registros[TIPO],DADOS!$P$3,tabela_registros[CATEGORIA],despesafixaconsolidadojul[[#This Row],[DESPESA FIXA]])</f>
        <v>0</v>
      </c>
      <c r="AH44" s="119" t="n">
        <f aca="false">SUMIFS(tabela_registros[VALOR],tabela_registros[MÊS],$AE$1,tabela_registros[DIA],jultotal3059718395107[[#Headers],[30]],tabela_registros[REGISTRO],DADOS!$N$4,tabela_registros[TIPO],DADOS!$P$3,tabela_registros[CATEGORIA],despesafixaconsolidadojul[[#This Row],[DESPESA FIXA]])</f>
        <v>0</v>
      </c>
      <c r="AI44" s="217" t="n">
        <f aca="false">SUMIFS(tabela_registros[VALOR],tabela_registros[MÊS],$AE$1,tabela_registros[DIA],jultotal3059718395107[[#Headers],[31]],tabela_registros[REGISTRO],DADOS!$N$4,tabela_registros[TIPO],DADOS!$P$3,tabela_registros[CATEGORIA],despesafixaconsolidadojul[[#This Row],[DESPESA FIXA]])</f>
        <v>0</v>
      </c>
      <c r="AJ44" s="149" t="n">
        <f aca="false">SUM(despesafixaconsolidadojul[[#This Row],[1]:[31]])</f>
        <v>0</v>
      </c>
      <c r="AK44" s="143"/>
    </row>
    <row r="45" customFormat="false" ht="18" hidden="false" customHeight="true" outlineLevel="0" collapsed="false">
      <c r="B45" s="143"/>
      <c r="C45" s="144" t="str">
        <f aca="false">DADOS!$R$11</f>
        <v>🔢 IMPOSTOS</v>
      </c>
      <c r="D45" s="145" t="str">
        <f aca="false">IF(despesafixaconsolidadojul[[#This Row],[TOTAL]]=0,"",IF(OR(despesafixaconsolidadojul[[#This Row],[TOTAL]]=LARGE($AJ$37:$AJ$50,1),despesafixaconsolidadojul[[#This Row],[TOTAL]]=LARGE($AJ$37:$AJ$50,2),despesafixaconsolidadojul[[#This Row],[TOTAL]]=LARGE($AJ$37:$AJ$50,3),despesafixaconsolidadojul[[#This Row],[TOTAL]]=LARGE($AJ$37:$AJ$50,4),despesafixaconsolidadojul[[#This Row],[TOTAL]]=LARGE($AJ$37:$AJ$50,5)),DADOS!$I$8,""))</f>
        <v/>
      </c>
      <c r="E45" s="148" t="n">
        <f aca="false">SUMIFS(tabela_registros[VALOR],tabela_registros[MÊS],$AE$1,tabela_registros[DIA],jultotal3059718395107[[#Headers],[1]],tabela_registros[REGISTRO],DADOS!$N$4,tabela_registros[TIPO],DADOS!$P$3,tabela_registros[CATEGORIA],despesafixaconsolidadojul[[#This Row],[DESPESA FIXA]])</f>
        <v>0</v>
      </c>
      <c r="F45" s="119" t="n">
        <f aca="false">SUMIFS(tabela_registros[VALOR],tabela_registros[MÊS],$AE$1,tabela_registros[DIA],jultotal3059718395107[[#Headers],[2]],tabela_registros[REGISTRO],DADOS!$N$4,tabela_registros[TIPO],DADOS!$P$3,tabela_registros[CATEGORIA],despesafixaconsolidadojul[[#This Row],[DESPESA FIXA]])</f>
        <v>0</v>
      </c>
      <c r="G45" s="119" t="n">
        <f aca="false">SUMIFS(tabela_registros[VALOR],tabela_registros[MÊS],$AE$1,tabela_registros[DIA],jultotal3059718395107[[#Headers],[3]],tabela_registros[REGISTRO],DADOS!$N$4,tabela_registros[TIPO],DADOS!$P$3,tabela_registros[CATEGORIA],despesafixaconsolidadojul[[#This Row],[DESPESA FIXA]])</f>
        <v>0</v>
      </c>
      <c r="H45" s="119" t="n">
        <f aca="false">SUMIFS(tabela_registros[VALOR],tabela_registros[MÊS],$AE$1,tabela_registros[DIA],jultotal3059718395107[[#Headers],[4]],tabela_registros[REGISTRO],DADOS!$N$4,tabela_registros[TIPO],DADOS!$P$3,tabela_registros[CATEGORIA],despesafixaconsolidadojul[[#This Row],[DESPESA FIXA]])</f>
        <v>0</v>
      </c>
      <c r="I45" s="119" t="n">
        <f aca="false">SUMIFS(tabela_registros[VALOR],tabela_registros[MÊS],$AE$1,tabela_registros[DIA],jultotal3059718395107[[#Headers],[5]],tabela_registros[REGISTRO],DADOS!$N$4,tabela_registros[TIPO],DADOS!$P$3,tabela_registros[CATEGORIA],despesafixaconsolidadojul[[#This Row],[DESPESA FIXA]])</f>
        <v>0</v>
      </c>
      <c r="J45" s="119" t="n">
        <f aca="false">SUMIFS(tabela_registros[VALOR],tabela_registros[MÊS],$AE$1,tabela_registros[DIA],jultotal3059718395107[[#Headers],[6]],tabela_registros[REGISTRO],DADOS!$N$4,tabela_registros[TIPO],DADOS!$P$3,tabela_registros[CATEGORIA],despesafixaconsolidadojul[[#This Row],[DESPESA FIXA]])</f>
        <v>0</v>
      </c>
      <c r="K45" s="119" t="n">
        <f aca="false">SUMIFS(tabela_registros[VALOR],tabela_registros[MÊS],$AE$1,tabela_registros[DIA],jultotal3059718395107[[#Headers],[7]],tabela_registros[REGISTRO],DADOS!$N$4,tabela_registros[TIPO],DADOS!$P$3,tabela_registros[CATEGORIA],despesafixaconsolidadojul[[#This Row],[DESPESA FIXA]])</f>
        <v>0</v>
      </c>
      <c r="L45" s="119" t="n">
        <f aca="false">SUMIFS(tabela_registros[VALOR],tabela_registros[MÊS],$AE$1,tabela_registros[DIA],jultotal3059718395107[[#Headers],[8]],tabela_registros[REGISTRO],DADOS!$N$4,tabela_registros[TIPO],DADOS!$P$3,tabela_registros[CATEGORIA],despesafixaconsolidadojul[[#This Row],[DESPESA FIXA]])</f>
        <v>0</v>
      </c>
      <c r="M45" s="119" t="n">
        <f aca="false">SUMIFS(tabela_registros[VALOR],tabela_registros[MÊS],$AE$1,tabela_registros[DIA],jultotal3059718395107[[#Headers],[9]],tabela_registros[REGISTRO],DADOS!$N$4,tabela_registros[TIPO],DADOS!$P$3,tabela_registros[CATEGORIA],despesafixaconsolidadojul[[#This Row],[DESPESA FIXA]])</f>
        <v>0</v>
      </c>
      <c r="N45" s="119" t="n">
        <f aca="false">SUMIFS(tabela_registros[VALOR],tabela_registros[MÊS],$AE$1,tabela_registros[DIA],jultotal3059718395107[[#Headers],[10]],tabela_registros[REGISTRO],DADOS!$N$4,tabela_registros[TIPO],DADOS!$P$3,tabela_registros[CATEGORIA],despesafixaconsolidadojul[[#This Row],[DESPESA FIXA]])</f>
        <v>0</v>
      </c>
      <c r="O45" s="119" t="n">
        <f aca="false">SUMIFS(tabela_registros[VALOR],tabela_registros[MÊS],$AE$1,tabela_registros[DIA],jultotal3059718395107[[#Headers],[11]],tabela_registros[REGISTRO],DADOS!$N$4,tabela_registros[TIPO],DADOS!$P$3,tabela_registros[CATEGORIA],despesafixaconsolidadojul[[#This Row],[DESPESA FIXA]])</f>
        <v>0</v>
      </c>
      <c r="P45" s="119" t="n">
        <f aca="false">SUMIFS(tabela_registros[VALOR],tabela_registros[MÊS],$AE$1,tabela_registros[DIA],jultotal3059718395107[[#Headers],[12]],tabela_registros[REGISTRO],DADOS!$N$4,tabela_registros[TIPO],DADOS!$P$3,tabela_registros[CATEGORIA],despesafixaconsolidadojul[[#This Row],[DESPESA FIXA]])</f>
        <v>0</v>
      </c>
      <c r="Q45" s="119" t="n">
        <f aca="false">SUMIFS(tabela_registros[VALOR],tabela_registros[MÊS],$AE$1,tabela_registros[DIA],jultotal3059718395107[[#Headers],[13]],tabela_registros[REGISTRO],DADOS!$N$4,tabela_registros[TIPO],DADOS!$P$3,tabela_registros[CATEGORIA],despesafixaconsolidadojul[[#This Row],[DESPESA FIXA]])</f>
        <v>0</v>
      </c>
      <c r="R45" s="119" t="n">
        <f aca="false">SUMIFS(tabela_registros[VALOR],tabela_registros[MÊS],$AE$1,tabela_registros[DIA],jultotal3059718395107[[#Headers],[14]],tabela_registros[REGISTRO],DADOS!$N$4,tabela_registros[TIPO],DADOS!$P$3,tabela_registros[CATEGORIA],despesafixaconsolidadojul[[#This Row],[DESPESA FIXA]])</f>
        <v>0</v>
      </c>
      <c r="S45" s="119" t="n">
        <f aca="false">SUMIFS(tabela_registros[VALOR],tabela_registros[MÊS],$AE$1,tabela_registros[DIA],jultotal3059718395107[[#Headers],[15]],tabela_registros[REGISTRO],DADOS!$N$4,tabela_registros[TIPO],DADOS!$P$3,tabela_registros[CATEGORIA],despesafixaconsolidadojul[[#This Row],[DESPESA FIXA]])</f>
        <v>0</v>
      </c>
      <c r="T45" s="119" t="n">
        <f aca="false">SUMIFS(tabela_registros[VALOR],tabela_registros[MÊS],$AE$1,tabela_registros[DIA],jultotal3059718395107[[#Headers],[16]],tabela_registros[REGISTRO],DADOS!$N$4,tabela_registros[TIPO],DADOS!$P$3,tabela_registros[CATEGORIA],despesafixaconsolidadojul[[#This Row],[DESPESA FIXA]])</f>
        <v>0</v>
      </c>
      <c r="U45" s="119" t="n">
        <f aca="false">SUMIFS(tabela_registros[VALOR],tabela_registros[MÊS],$AE$1,tabela_registros[DIA],jultotal3059718395107[[#Headers],[17]],tabela_registros[REGISTRO],DADOS!$N$4,tabela_registros[TIPO],DADOS!$P$3,tabela_registros[CATEGORIA],despesafixaconsolidadojul[[#This Row],[DESPESA FIXA]])</f>
        <v>0</v>
      </c>
      <c r="V45" s="119" t="n">
        <f aca="false">SUMIFS(tabela_registros[VALOR],tabela_registros[MÊS],$AE$1,tabela_registros[DIA],jultotal3059718395107[[#Headers],[18]],tabela_registros[REGISTRO],DADOS!$N$4,tabela_registros[TIPO],DADOS!$P$3,tabela_registros[CATEGORIA],despesafixaconsolidadojul[[#This Row],[DESPESA FIXA]])</f>
        <v>0</v>
      </c>
      <c r="W45" s="119" t="n">
        <f aca="false">SUMIFS(tabela_registros[VALOR],tabela_registros[MÊS],$AE$1,tabela_registros[DIA],jultotal3059718395107[[#Headers],[19]],tabela_registros[REGISTRO],DADOS!$N$4,tabela_registros[TIPO],DADOS!$P$3,tabela_registros[CATEGORIA],despesafixaconsolidadojul[[#This Row],[DESPESA FIXA]])</f>
        <v>0</v>
      </c>
      <c r="X45" s="119" t="n">
        <f aca="false">SUMIFS(tabela_registros[VALOR],tabela_registros[MÊS],$AE$1,tabela_registros[DIA],jultotal3059718395107[[#Headers],[20]],tabela_registros[REGISTRO],DADOS!$N$4,tabela_registros[TIPO],DADOS!$P$3,tabela_registros[CATEGORIA],despesafixaconsolidadojul[[#This Row],[DESPESA FIXA]])</f>
        <v>0</v>
      </c>
      <c r="Y45" s="119" t="n">
        <f aca="false">SUMIFS(tabela_registros[VALOR],tabela_registros[MÊS],$AE$1,tabela_registros[DIA],jultotal3059718395107[[#Headers],[21]],tabela_registros[REGISTRO],DADOS!$N$4,tabela_registros[TIPO],DADOS!$P$3,tabela_registros[CATEGORIA],despesafixaconsolidadojul[[#This Row],[DESPESA FIXA]])</f>
        <v>0</v>
      </c>
      <c r="Z45" s="119" t="n">
        <f aca="false">SUMIFS(tabela_registros[VALOR],tabela_registros[MÊS],$AE$1,tabela_registros[DIA],jultotal3059718395107[[#Headers],[22]],tabela_registros[REGISTRO],DADOS!$N$4,tabela_registros[TIPO],DADOS!$P$3,tabela_registros[CATEGORIA],despesafixaconsolidadojul[[#This Row],[DESPESA FIXA]])</f>
        <v>0</v>
      </c>
      <c r="AA45" s="119" t="n">
        <f aca="false">SUMIFS(tabela_registros[VALOR],tabela_registros[MÊS],$AE$1,tabela_registros[DIA],jultotal3059718395107[[#Headers],[23]],tabela_registros[REGISTRO],DADOS!$N$4,tabela_registros[TIPO],DADOS!$P$3,tabela_registros[CATEGORIA],despesafixaconsolidadojul[[#This Row],[DESPESA FIXA]])</f>
        <v>0</v>
      </c>
      <c r="AB45" s="119" t="n">
        <f aca="false">SUMIFS(tabela_registros[VALOR],tabela_registros[MÊS],$AE$1,tabela_registros[DIA],jultotal3059718395107[[#Headers],[24]],tabela_registros[REGISTRO],DADOS!$N$4,tabela_registros[TIPO],DADOS!$P$3,tabela_registros[CATEGORIA],despesafixaconsolidadojul[[#This Row],[DESPESA FIXA]])</f>
        <v>0</v>
      </c>
      <c r="AC45" s="119" t="n">
        <f aca="false">SUMIFS(tabela_registros[VALOR],tabela_registros[MÊS],$AE$1,tabela_registros[DIA],jultotal3059718395107[[#Headers],[25]],tabela_registros[REGISTRO],DADOS!$N$4,tabela_registros[TIPO],DADOS!$P$3,tabela_registros[CATEGORIA],despesafixaconsolidadojul[[#This Row],[DESPESA FIXA]])</f>
        <v>0</v>
      </c>
      <c r="AD45" s="119" t="n">
        <f aca="false">SUMIFS(tabela_registros[VALOR],tabela_registros[MÊS],$AE$1,tabela_registros[DIA],jultotal3059718395107[[#Headers],[26]],tabela_registros[REGISTRO],DADOS!$N$4,tabela_registros[TIPO],DADOS!$P$3,tabela_registros[CATEGORIA],despesafixaconsolidadojul[[#This Row],[DESPESA FIXA]])</f>
        <v>0</v>
      </c>
      <c r="AE45" s="119" t="n">
        <f aca="false">SUMIFS(tabela_registros[VALOR],tabela_registros[MÊS],$AE$1,tabela_registros[DIA],jultotal3059718395107[[#Headers],[27]],tabela_registros[REGISTRO],DADOS!$N$4,tabela_registros[TIPO],DADOS!$P$3,tabela_registros[CATEGORIA],despesafixaconsolidadojul[[#This Row],[DESPESA FIXA]])</f>
        <v>0</v>
      </c>
      <c r="AF45" s="119" t="n">
        <f aca="false">SUMIFS(tabela_registros[VALOR],tabela_registros[MÊS],$AE$1,tabela_registros[DIA],jultotal3059718395107[[#Headers],[28]],tabela_registros[REGISTRO],DADOS!$N$4,tabela_registros[TIPO],DADOS!$P$3,tabela_registros[CATEGORIA],despesafixaconsolidadojul[[#This Row],[DESPESA FIXA]])</f>
        <v>0</v>
      </c>
      <c r="AG45" s="119" t="n">
        <f aca="false">SUMIFS(tabela_registros[VALOR],tabela_registros[MÊS],$AE$1,tabela_registros[DIA],jultotal3059718395107[[#Headers],[29]],tabela_registros[REGISTRO],DADOS!$N$4,tabela_registros[TIPO],DADOS!$P$3,tabela_registros[CATEGORIA],despesafixaconsolidadojul[[#This Row],[DESPESA FIXA]])</f>
        <v>0</v>
      </c>
      <c r="AH45" s="119" t="n">
        <f aca="false">SUMIFS(tabela_registros[VALOR],tabela_registros[MÊS],$AE$1,tabela_registros[DIA],jultotal3059718395107[[#Headers],[30]],tabela_registros[REGISTRO],DADOS!$N$4,tabela_registros[TIPO],DADOS!$P$3,tabela_registros[CATEGORIA],despesafixaconsolidadojul[[#This Row],[DESPESA FIXA]])</f>
        <v>0</v>
      </c>
      <c r="AI45" s="217" t="n">
        <f aca="false">SUMIFS(tabela_registros[VALOR],tabela_registros[MÊS],$AE$1,tabela_registros[DIA],jultotal3059718395107[[#Headers],[31]],tabela_registros[REGISTRO],DADOS!$N$4,tabela_registros[TIPO],DADOS!$P$3,tabela_registros[CATEGORIA],despesafixaconsolidadojul[[#This Row],[DESPESA FIXA]])</f>
        <v>0</v>
      </c>
      <c r="AJ45" s="149" t="n">
        <f aca="false">SUM(despesafixaconsolidadojul[[#This Row],[1]:[31]])</f>
        <v>0</v>
      </c>
      <c r="AK45" s="143"/>
    </row>
    <row r="46" customFormat="false" ht="18" hidden="false" customHeight="true" outlineLevel="0" collapsed="false">
      <c r="B46" s="143"/>
      <c r="C46" s="144" t="str">
        <f aca="false">DADOS!$R$12</f>
        <v>🖱️ INTERNET</v>
      </c>
      <c r="D46" s="145" t="str">
        <f aca="false">IF(despesafixaconsolidadojul[[#This Row],[TOTAL]]=0,"",IF(OR(despesafixaconsolidadojul[[#This Row],[TOTAL]]=LARGE($AJ$37:$AJ$50,1),despesafixaconsolidadojul[[#This Row],[TOTAL]]=LARGE($AJ$37:$AJ$50,2),despesafixaconsolidadojul[[#This Row],[TOTAL]]=LARGE($AJ$37:$AJ$50,3),despesafixaconsolidadojul[[#This Row],[TOTAL]]=LARGE($AJ$37:$AJ$50,4),despesafixaconsolidadojul[[#This Row],[TOTAL]]=LARGE($AJ$37:$AJ$50,5)),DADOS!$I$8,""))</f>
        <v/>
      </c>
      <c r="E46" s="148" t="n">
        <f aca="false">SUMIFS(tabela_registros[VALOR],tabela_registros[MÊS],$AE$1,tabela_registros[DIA],jultotal3059718395107[[#Headers],[1]],tabela_registros[REGISTRO],DADOS!$N$4,tabela_registros[TIPO],DADOS!$P$3,tabela_registros[CATEGORIA],despesafixaconsolidadojul[[#This Row],[DESPESA FIXA]])</f>
        <v>0</v>
      </c>
      <c r="F46" s="119" t="n">
        <f aca="false">SUMIFS(tabela_registros[VALOR],tabela_registros[MÊS],$AE$1,tabela_registros[DIA],jultotal3059718395107[[#Headers],[2]],tabela_registros[REGISTRO],DADOS!$N$4,tabela_registros[TIPO],DADOS!$P$3,tabela_registros[CATEGORIA],despesafixaconsolidadojul[[#This Row],[DESPESA FIXA]])</f>
        <v>0</v>
      </c>
      <c r="G46" s="119" t="n">
        <f aca="false">SUMIFS(tabela_registros[VALOR],tabela_registros[MÊS],$AE$1,tabela_registros[DIA],jultotal3059718395107[[#Headers],[3]],tabela_registros[REGISTRO],DADOS!$N$4,tabela_registros[TIPO],DADOS!$P$3,tabela_registros[CATEGORIA],despesafixaconsolidadojul[[#This Row],[DESPESA FIXA]])</f>
        <v>0</v>
      </c>
      <c r="H46" s="119" t="n">
        <f aca="false">SUMIFS(tabela_registros[VALOR],tabela_registros[MÊS],$AE$1,tabela_registros[DIA],jultotal3059718395107[[#Headers],[4]],tabela_registros[REGISTRO],DADOS!$N$4,tabela_registros[TIPO],DADOS!$P$3,tabela_registros[CATEGORIA],despesafixaconsolidadojul[[#This Row],[DESPESA FIXA]])</f>
        <v>0</v>
      </c>
      <c r="I46" s="119" t="n">
        <f aca="false">SUMIFS(tabela_registros[VALOR],tabela_registros[MÊS],$AE$1,tabela_registros[DIA],jultotal3059718395107[[#Headers],[5]],tabela_registros[REGISTRO],DADOS!$N$4,tabela_registros[TIPO],DADOS!$P$3,tabela_registros[CATEGORIA],despesafixaconsolidadojul[[#This Row],[DESPESA FIXA]])</f>
        <v>0</v>
      </c>
      <c r="J46" s="119" t="n">
        <f aca="false">SUMIFS(tabela_registros[VALOR],tabela_registros[MÊS],$AE$1,tabela_registros[DIA],jultotal3059718395107[[#Headers],[6]],tabela_registros[REGISTRO],DADOS!$N$4,tabela_registros[TIPO],DADOS!$P$3,tabela_registros[CATEGORIA],despesafixaconsolidadojul[[#This Row],[DESPESA FIXA]])</f>
        <v>0</v>
      </c>
      <c r="K46" s="119" t="n">
        <f aca="false">SUMIFS(tabela_registros[VALOR],tabela_registros[MÊS],$AE$1,tabela_registros[DIA],jultotal3059718395107[[#Headers],[7]],tabela_registros[REGISTRO],DADOS!$N$4,tabela_registros[TIPO],DADOS!$P$3,tabela_registros[CATEGORIA],despesafixaconsolidadojul[[#This Row],[DESPESA FIXA]])</f>
        <v>0</v>
      </c>
      <c r="L46" s="119" t="n">
        <f aca="false">SUMIFS(tabela_registros[VALOR],tabela_registros[MÊS],$AE$1,tabela_registros[DIA],jultotal3059718395107[[#Headers],[8]],tabela_registros[REGISTRO],DADOS!$N$4,tabela_registros[TIPO],DADOS!$P$3,tabela_registros[CATEGORIA],despesafixaconsolidadojul[[#This Row],[DESPESA FIXA]])</f>
        <v>0</v>
      </c>
      <c r="M46" s="119" t="n">
        <f aca="false">SUMIFS(tabela_registros[VALOR],tabela_registros[MÊS],$AE$1,tabela_registros[DIA],jultotal3059718395107[[#Headers],[9]],tabela_registros[REGISTRO],DADOS!$N$4,tabela_registros[TIPO],DADOS!$P$3,tabela_registros[CATEGORIA],despesafixaconsolidadojul[[#This Row],[DESPESA FIXA]])</f>
        <v>0</v>
      </c>
      <c r="N46" s="119" t="n">
        <f aca="false">SUMIFS(tabela_registros[VALOR],tabela_registros[MÊS],$AE$1,tabela_registros[DIA],jultotal3059718395107[[#Headers],[10]],tabela_registros[REGISTRO],DADOS!$N$4,tabela_registros[TIPO],DADOS!$P$3,tabela_registros[CATEGORIA],despesafixaconsolidadojul[[#This Row],[DESPESA FIXA]])</f>
        <v>0</v>
      </c>
      <c r="O46" s="119" t="n">
        <f aca="false">SUMIFS(tabela_registros[VALOR],tabela_registros[MÊS],$AE$1,tabela_registros[DIA],jultotal3059718395107[[#Headers],[11]],tabela_registros[REGISTRO],DADOS!$N$4,tabela_registros[TIPO],DADOS!$P$3,tabela_registros[CATEGORIA],despesafixaconsolidadojul[[#This Row],[DESPESA FIXA]])</f>
        <v>0</v>
      </c>
      <c r="P46" s="119" t="n">
        <f aca="false">SUMIFS(tabela_registros[VALOR],tabela_registros[MÊS],$AE$1,tabela_registros[DIA],jultotal3059718395107[[#Headers],[12]],tabela_registros[REGISTRO],DADOS!$N$4,tabela_registros[TIPO],DADOS!$P$3,tabela_registros[CATEGORIA],despesafixaconsolidadojul[[#This Row],[DESPESA FIXA]])</f>
        <v>0</v>
      </c>
      <c r="Q46" s="119" t="n">
        <f aca="false">SUMIFS(tabela_registros[VALOR],tabela_registros[MÊS],$AE$1,tabela_registros[DIA],jultotal3059718395107[[#Headers],[13]],tabela_registros[REGISTRO],DADOS!$N$4,tabela_registros[TIPO],DADOS!$P$3,tabela_registros[CATEGORIA],despesafixaconsolidadojul[[#This Row],[DESPESA FIXA]])</f>
        <v>0</v>
      </c>
      <c r="R46" s="119" t="n">
        <f aca="false">SUMIFS(tabela_registros[VALOR],tabela_registros[MÊS],$AE$1,tabela_registros[DIA],jultotal3059718395107[[#Headers],[14]],tabela_registros[REGISTRO],DADOS!$N$4,tabela_registros[TIPO],DADOS!$P$3,tabela_registros[CATEGORIA],despesafixaconsolidadojul[[#This Row],[DESPESA FIXA]])</f>
        <v>0</v>
      </c>
      <c r="S46" s="119" t="n">
        <f aca="false">SUMIFS(tabela_registros[VALOR],tabela_registros[MÊS],$AE$1,tabela_registros[DIA],jultotal3059718395107[[#Headers],[15]],tabela_registros[REGISTRO],DADOS!$N$4,tabela_registros[TIPO],DADOS!$P$3,tabela_registros[CATEGORIA],despesafixaconsolidadojul[[#This Row],[DESPESA FIXA]])</f>
        <v>0</v>
      </c>
      <c r="T46" s="119" t="n">
        <f aca="false">SUMIFS(tabela_registros[VALOR],tabela_registros[MÊS],$AE$1,tabela_registros[DIA],jultotal3059718395107[[#Headers],[16]],tabela_registros[REGISTRO],DADOS!$N$4,tabela_registros[TIPO],DADOS!$P$3,tabela_registros[CATEGORIA],despesafixaconsolidadojul[[#This Row],[DESPESA FIXA]])</f>
        <v>0</v>
      </c>
      <c r="U46" s="119" t="n">
        <f aca="false">SUMIFS(tabela_registros[VALOR],tabela_registros[MÊS],$AE$1,tabela_registros[DIA],jultotal3059718395107[[#Headers],[17]],tabela_registros[REGISTRO],DADOS!$N$4,tabela_registros[TIPO],DADOS!$P$3,tabela_registros[CATEGORIA],despesafixaconsolidadojul[[#This Row],[DESPESA FIXA]])</f>
        <v>0</v>
      </c>
      <c r="V46" s="119" t="n">
        <f aca="false">SUMIFS(tabela_registros[VALOR],tabela_registros[MÊS],$AE$1,tabela_registros[DIA],jultotal3059718395107[[#Headers],[18]],tabela_registros[REGISTRO],DADOS!$N$4,tabela_registros[TIPO],DADOS!$P$3,tabela_registros[CATEGORIA],despesafixaconsolidadojul[[#This Row],[DESPESA FIXA]])</f>
        <v>0</v>
      </c>
      <c r="W46" s="119" t="n">
        <f aca="false">SUMIFS(tabela_registros[VALOR],tabela_registros[MÊS],$AE$1,tabela_registros[DIA],jultotal3059718395107[[#Headers],[19]],tabela_registros[REGISTRO],DADOS!$N$4,tabela_registros[TIPO],DADOS!$P$3,tabela_registros[CATEGORIA],despesafixaconsolidadojul[[#This Row],[DESPESA FIXA]])</f>
        <v>0</v>
      </c>
      <c r="X46" s="119" t="n">
        <f aca="false">SUMIFS(tabela_registros[VALOR],tabela_registros[MÊS],$AE$1,tabela_registros[DIA],jultotal3059718395107[[#Headers],[20]],tabela_registros[REGISTRO],DADOS!$N$4,tabela_registros[TIPO],DADOS!$P$3,tabela_registros[CATEGORIA],despesafixaconsolidadojul[[#This Row],[DESPESA FIXA]])</f>
        <v>0</v>
      </c>
      <c r="Y46" s="119" t="n">
        <f aca="false">SUMIFS(tabela_registros[VALOR],tabela_registros[MÊS],$AE$1,tabela_registros[DIA],jultotal3059718395107[[#Headers],[21]],tabela_registros[REGISTRO],DADOS!$N$4,tabela_registros[TIPO],DADOS!$P$3,tabela_registros[CATEGORIA],despesafixaconsolidadojul[[#This Row],[DESPESA FIXA]])</f>
        <v>0</v>
      </c>
      <c r="Z46" s="119" t="n">
        <f aca="false">SUMIFS(tabela_registros[VALOR],tabela_registros[MÊS],$AE$1,tabela_registros[DIA],jultotal3059718395107[[#Headers],[22]],tabela_registros[REGISTRO],DADOS!$N$4,tabela_registros[TIPO],DADOS!$P$3,tabela_registros[CATEGORIA],despesafixaconsolidadojul[[#This Row],[DESPESA FIXA]])</f>
        <v>0</v>
      </c>
      <c r="AA46" s="119" t="n">
        <f aca="false">SUMIFS(tabela_registros[VALOR],tabela_registros[MÊS],$AE$1,tabela_registros[DIA],jultotal3059718395107[[#Headers],[23]],tabela_registros[REGISTRO],DADOS!$N$4,tabela_registros[TIPO],DADOS!$P$3,tabela_registros[CATEGORIA],despesafixaconsolidadojul[[#This Row],[DESPESA FIXA]])</f>
        <v>0</v>
      </c>
      <c r="AB46" s="119" t="n">
        <f aca="false">SUMIFS(tabela_registros[VALOR],tabela_registros[MÊS],$AE$1,tabela_registros[DIA],jultotal3059718395107[[#Headers],[24]],tabela_registros[REGISTRO],DADOS!$N$4,tabela_registros[TIPO],DADOS!$P$3,tabela_registros[CATEGORIA],despesafixaconsolidadojul[[#This Row],[DESPESA FIXA]])</f>
        <v>0</v>
      </c>
      <c r="AC46" s="119" t="n">
        <f aca="false">SUMIFS(tabela_registros[VALOR],tabela_registros[MÊS],$AE$1,tabela_registros[DIA],jultotal3059718395107[[#Headers],[25]],tabela_registros[REGISTRO],DADOS!$N$4,tabela_registros[TIPO],DADOS!$P$3,tabela_registros[CATEGORIA],despesafixaconsolidadojul[[#This Row],[DESPESA FIXA]])</f>
        <v>0</v>
      </c>
      <c r="AD46" s="119" t="n">
        <f aca="false">SUMIFS(tabela_registros[VALOR],tabela_registros[MÊS],$AE$1,tabela_registros[DIA],jultotal3059718395107[[#Headers],[26]],tabela_registros[REGISTRO],DADOS!$N$4,tabela_registros[TIPO],DADOS!$P$3,tabela_registros[CATEGORIA],despesafixaconsolidadojul[[#This Row],[DESPESA FIXA]])</f>
        <v>0</v>
      </c>
      <c r="AE46" s="119" t="n">
        <f aca="false">SUMIFS(tabela_registros[VALOR],tabela_registros[MÊS],$AE$1,tabela_registros[DIA],jultotal3059718395107[[#Headers],[27]],tabela_registros[REGISTRO],DADOS!$N$4,tabela_registros[TIPO],DADOS!$P$3,tabela_registros[CATEGORIA],despesafixaconsolidadojul[[#This Row],[DESPESA FIXA]])</f>
        <v>0</v>
      </c>
      <c r="AF46" s="119" t="n">
        <f aca="false">SUMIFS(tabela_registros[VALOR],tabela_registros[MÊS],$AE$1,tabela_registros[DIA],jultotal3059718395107[[#Headers],[28]],tabela_registros[REGISTRO],DADOS!$N$4,tabela_registros[TIPO],DADOS!$P$3,tabela_registros[CATEGORIA],despesafixaconsolidadojul[[#This Row],[DESPESA FIXA]])</f>
        <v>0</v>
      </c>
      <c r="AG46" s="119" t="n">
        <f aca="false">SUMIFS(tabela_registros[VALOR],tabela_registros[MÊS],$AE$1,tabela_registros[DIA],jultotal3059718395107[[#Headers],[29]],tabela_registros[REGISTRO],DADOS!$N$4,tabela_registros[TIPO],DADOS!$P$3,tabela_registros[CATEGORIA],despesafixaconsolidadojul[[#This Row],[DESPESA FIXA]])</f>
        <v>0</v>
      </c>
      <c r="AH46" s="119" t="n">
        <f aca="false">SUMIFS(tabela_registros[VALOR],tabela_registros[MÊS],$AE$1,tabela_registros[DIA],jultotal3059718395107[[#Headers],[30]],tabela_registros[REGISTRO],DADOS!$N$4,tabela_registros[TIPO],DADOS!$P$3,tabela_registros[CATEGORIA],despesafixaconsolidadojul[[#This Row],[DESPESA FIXA]])</f>
        <v>0</v>
      </c>
      <c r="AI46" s="217" t="n">
        <f aca="false">SUMIFS(tabela_registros[VALOR],tabela_registros[MÊS],$AE$1,tabela_registros[DIA],jultotal3059718395107[[#Headers],[31]],tabela_registros[REGISTRO],DADOS!$N$4,tabela_registros[TIPO],DADOS!$P$3,tabela_registros[CATEGORIA],despesafixaconsolidadojul[[#This Row],[DESPESA FIXA]])</f>
        <v>0</v>
      </c>
      <c r="AJ46" s="149" t="n">
        <f aca="false">SUM(despesafixaconsolidadojul[[#This Row],[1]:[31]])</f>
        <v>0</v>
      </c>
      <c r="AK46" s="143"/>
    </row>
    <row r="47" customFormat="false" ht="18" hidden="false" customHeight="true" outlineLevel="0" collapsed="false">
      <c r="B47" s="143"/>
      <c r="C47" s="144" t="str">
        <f aca="false">DADOS!$R$13</f>
        <v>🏠 MORADIA</v>
      </c>
      <c r="D47" s="145" t="str">
        <f aca="false">IF(despesafixaconsolidadojul[[#This Row],[TOTAL]]=0,"",IF(OR(despesafixaconsolidadojul[[#This Row],[TOTAL]]=LARGE($AJ$37:$AJ$50,1),despesafixaconsolidadojul[[#This Row],[TOTAL]]=LARGE($AJ$37:$AJ$50,2),despesafixaconsolidadojul[[#This Row],[TOTAL]]=LARGE($AJ$37:$AJ$50,3),despesafixaconsolidadojul[[#This Row],[TOTAL]]=LARGE($AJ$37:$AJ$50,4),despesafixaconsolidadojul[[#This Row],[TOTAL]]=LARGE($AJ$37:$AJ$50,5)),DADOS!$I$8,""))</f>
        <v/>
      </c>
      <c r="E47" s="148" t="n">
        <f aca="false">SUMIFS(tabela_registros[VALOR],tabela_registros[MÊS],$AE$1,tabela_registros[DIA],jultotal3059718395107[[#Headers],[1]],tabela_registros[REGISTRO],DADOS!$N$4,tabela_registros[TIPO],DADOS!$P$3,tabela_registros[CATEGORIA],despesafixaconsolidadojul[[#This Row],[DESPESA FIXA]])</f>
        <v>0</v>
      </c>
      <c r="F47" s="119" t="n">
        <f aca="false">SUMIFS(tabela_registros[VALOR],tabela_registros[MÊS],$AE$1,tabela_registros[DIA],jultotal3059718395107[[#Headers],[2]],tabela_registros[REGISTRO],DADOS!$N$4,tabela_registros[TIPO],DADOS!$P$3,tabela_registros[CATEGORIA],despesafixaconsolidadojul[[#This Row],[DESPESA FIXA]])</f>
        <v>0</v>
      </c>
      <c r="G47" s="119" t="n">
        <f aca="false">SUMIFS(tabela_registros[VALOR],tabela_registros[MÊS],$AE$1,tabela_registros[DIA],jultotal3059718395107[[#Headers],[3]],tabela_registros[REGISTRO],DADOS!$N$4,tabela_registros[TIPO],DADOS!$P$3,tabela_registros[CATEGORIA],despesafixaconsolidadojul[[#This Row],[DESPESA FIXA]])</f>
        <v>0</v>
      </c>
      <c r="H47" s="119" t="n">
        <f aca="false">SUMIFS(tabela_registros[VALOR],tabela_registros[MÊS],$AE$1,tabela_registros[DIA],jultotal3059718395107[[#Headers],[4]],tabela_registros[REGISTRO],DADOS!$N$4,tabela_registros[TIPO],DADOS!$P$3,tabela_registros[CATEGORIA],despesafixaconsolidadojul[[#This Row],[DESPESA FIXA]])</f>
        <v>0</v>
      </c>
      <c r="I47" s="119" t="n">
        <f aca="false">SUMIFS(tabela_registros[VALOR],tabela_registros[MÊS],$AE$1,tabela_registros[DIA],jultotal3059718395107[[#Headers],[5]],tabela_registros[REGISTRO],DADOS!$N$4,tabela_registros[TIPO],DADOS!$P$3,tabela_registros[CATEGORIA],despesafixaconsolidadojul[[#This Row],[DESPESA FIXA]])</f>
        <v>0</v>
      </c>
      <c r="J47" s="119" t="n">
        <f aca="false">SUMIFS(tabela_registros[VALOR],tabela_registros[MÊS],$AE$1,tabela_registros[DIA],jultotal3059718395107[[#Headers],[6]],tabela_registros[REGISTRO],DADOS!$N$4,tabela_registros[TIPO],DADOS!$P$3,tabela_registros[CATEGORIA],despesafixaconsolidadojul[[#This Row],[DESPESA FIXA]])</f>
        <v>0</v>
      </c>
      <c r="K47" s="119" t="n">
        <f aca="false">SUMIFS(tabela_registros[VALOR],tabela_registros[MÊS],$AE$1,tabela_registros[DIA],jultotal3059718395107[[#Headers],[7]],tabela_registros[REGISTRO],DADOS!$N$4,tabela_registros[TIPO],DADOS!$P$3,tabela_registros[CATEGORIA],despesafixaconsolidadojul[[#This Row],[DESPESA FIXA]])</f>
        <v>0</v>
      </c>
      <c r="L47" s="119" t="n">
        <f aca="false">SUMIFS(tabela_registros[VALOR],tabela_registros[MÊS],$AE$1,tabela_registros[DIA],jultotal3059718395107[[#Headers],[8]],tabela_registros[REGISTRO],DADOS!$N$4,tabela_registros[TIPO],DADOS!$P$3,tabela_registros[CATEGORIA],despesafixaconsolidadojul[[#This Row],[DESPESA FIXA]])</f>
        <v>0</v>
      </c>
      <c r="M47" s="119" t="n">
        <f aca="false">SUMIFS(tabela_registros[VALOR],tabela_registros[MÊS],$AE$1,tabela_registros[DIA],jultotal3059718395107[[#Headers],[9]],tabela_registros[REGISTRO],DADOS!$N$4,tabela_registros[TIPO],DADOS!$P$3,tabela_registros[CATEGORIA],despesafixaconsolidadojul[[#This Row],[DESPESA FIXA]])</f>
        <v>0</v>
      </c>
      <c r="N47" s="119" t="n">
        <f aca="false">SUMIFS(tabela_registros[VALOR],tabela_registros[MÊS],$AE$1,tabela_registros[DIA],jultotal3059718395107[[#Headers],[10]],tabela_registros[REGISTRO],DADOS!$N$4,tabela_registros[TIPO],DADOS!$P$3,tabela_registros[CATEGORIA],despesafixaconsolidadojul[[#This Row],[DESPESA FIXA]])</f>
        <v>0</v>
      </c>
      <c r="O47" s="119" t="n">
        <f aca="false">SUMIFS(tabela_registros[VALOR],tabela_registros[MÊS],$AE$1,tabela_registros[DIA],jultotal3059718395107[[#Headers],[11]],tabela_registros[REGISTRO],DADOS!$N$4,tabela_registros[TIPO],DADOS!$P$3,tabela_registros[CATEGORIA],despesafixaconsolidadojul[[#This Row],[DESPESA FIXA]])</f>
        <v>0</v>
      </c>
      <c r="P47" s="119" t="n">
        <f aca="false">SUMIFS(tabela_registros[VALOR],tabela_registros[MÊS],$AE$1,tabela_registros[DIA],jultotal3059718395107[[#Headers],[12]],tabela_registros[REGISTRO],DADOS!$N$4,tabela_registros[TIPO],DADOS!$P$3,tabela_registros[CATEGORIA],despesafixaconsolidadojul[[#This Row],[DESPESA FIXA]])</f>
        <v>0</v>
      </c>
      <c r="Q47" s="119" t="n">
        <f aca="false">SUMIFS(tabela_registros[VALOR],tabela_registros[MÊS],$AE$1,tabela_registros[DIA],jultotal3059718395107[[#Headers],[13]],tabela_registros[REGISTRO],DADOS!$N$4,tabela_registros[TIPO],DADOS!$P$3,tabela_registros[CATEGORIA],despesafixaconsolidadojul[[#This Row],[DESPESA FIXA]])</f>
        <v>0</v>
      </c>
      <c r="R47" s="119" t="n">
        <f aca="false">SUMIFS(tabela_registros[VALOR],tabela_registros[MÊS],$AE$1,tabela_registros[DIA],jultotal3059718395107[[#Headers],[14]],tabela_registros[REGISTRO],DADOS!$N$4,tabela_registros[TIPO],DADOS!$P$3,tabela_registros[CATEGORIA],despesafixaconsolidadojul[[#This Row],[DESPESA FIXA]])</f>
        <v>0</v>
      </c>
      <c r="S47" s="119" t="n">
        <f aca="false">SUMIFS(tabela_registros[VALOR],tabela_registros[MÊS],$AE$1,tabela_registros[DIA],jultotal3059718395107[[#Headers],[15]],tabela_registros[REGISTRO],DADOS!$N$4,tabela_registros[TIPO],DADOS!$P$3,tabela_registros[CATEGORIA],despesafixaconsolidadojul[[#This Row],[DESPESA FIXA]])</f>
        <v>0</v>
      </c>
      <c r="T47" s="119" t="n">
        <f aca="false">SUMIFS(tabela_registros[VALOR],tabela_registros[MÊS],$AE$1,tabela_registros[DIA],jultotal3059718395107[[#Headers],[16]],tabela_registros[REGISTRO],DADOS!$N$4,tabela_registros[TIPO],DADOS!$P$3,tabela_registros[CATEGORIA],despesafixaconsolidadojul[[#This Row],[DESPESA FIXA]])</f>
        <v>0</v>
      </c>
      <c r="U47" s="119" t="n">
        <f aca="false">SUMIFS(tabela_registros[VALOR],tabela_registros[MÊS],$AE$1,tabela_registros[DIA],jultotal3059718395107[[#Headers],[17]],tabela_registros[REGISTRO],DADOS!$N$4,tabela_registros[TIPO],DADOS!$P$3,tabela_registros[CATEGORIA],despesafixaconsolidadojul[[#This Row],[DESPESA FIXA]])</f>
        <v>0</v>
      </c>
      <c r="V47" s="119" t="n">
        <f aca="false">SUMIFS(tabela_registros[VALOR],tabela_registros[MÊS],$AE$1,tabela_registros[DIA],jultotal3059718395107[[#Headers],[18]],tabela_registros[REGISTRO],DADOS!$N$4,tabela_registros[TIPO],DADOS!$P$3,tabela_registros[CATEGORIA],despesafixaconsolidadojul[[#This Row],[DESPESA FIXA]])</f>
        <v>0</v>
      </c>
      <c r="W47" s="119" t="n">
        <f aca="false">SUMIFS(tabela_registros[VALOR],tabela_registros[MÊS],$AE$1,tabela_registros[DIA],jultotal3059718395107[[#Headers],[19]],tabela_registros[REGISTRO],DADOS!$N$4,tabela_registros[TIPO],DADOS!$P$3,tabela_registros[CATEGORIA],despesafixaconsolidadojul[[#This Row],[DESPESA FIXA]])</f>
        <v>0</v>
      </c>
      <c r="X47" s="119" t="n">
        <f aca="false">SUMIFS(tabela_registros[VALOR],tabela_registros[MÊS],$AE$1,tabela_registros[DIA],jultotal3059718395107[[#Headers],[20]],tabela_registros[REGISTRO],DADOS!$N$4,tabela_registros[TIPO],DADOS!$P$3,tabela_registros[CATEGORIA],despesafixaconsolidadojul[[#This Row],[DESPESA FIXA]])</f>
        <v>0</v>
      </c>
      <c r="Y47" s="119" t="n">
        <f aca="false">SUMIFS(tabela_registros[VALOR],tabela_registros[MÊS],$AE$1,tabela_registros[DIA],jultotal3059718395107[[#Headers],[21]],tabela_registros[REGISTRO],DADOS!$N$4,tabela_registros[TIPO],DADOS!$P$3,tabela_registros[CATEGORIA],despesafixaconsolidadojul[[#This Row],[DESPESA FIXA]])</f>
        <v>0</v>
      </c>
      <c r="Z47" s="119" t="n">
        <f aca="false">SUMIFS(tabela_registros[VALOR],tabela_registros[MÊS],$AE$1,tabela_registros[DIA],jultotal3059718395107[[#Headers],[22]],tabela_registros[REGISTRO],DADOS!$N$4,tabela_registros[TIPO],DADOS!$P$3,tabela_registros[CATEGORIA],despesafixaconsolidadojul[[#This Row],[DESPESA FIXA]])</f>
        <v>0</v>
      </c>
      <c r="AA47" s="119" t="n">
        <f aca="false">SUMIFS(tabela_registros[VALOR],tabela_registros[MÊS],$AE$1,tabela_registros[DIA],jultotal3059718395107[[#Headers],[23]],tabela_registros[REGISTRO],DADOS!$N$4,tabela_registros[TIPO],DADOS!$P$3,tabela_registros[CATEGORIA],despesafixaconsolidadojul[[#This Row],[DESPESA FIXA]])</f>
        <v>0</v>
      </c>
      <c r="AB47" s="119" t="n">
        <f aca="false">SUMIFS(tabela_registros[VALOR],tabela_registros[MÊS],$AE$1,tabela_registros[DIA],jultotal3059718395107[[#Headers],[24]],tabela_registros[REGISTRO],DADOS!$N$4,tabela_registros[TIPO],DADOS!$P$3,tabela_registros[CATEGORIA],despesafixaconsolidadojul[[#This Row],[DESPESA FIXA]])</f>
        <v>0</v>
      </c>
      <c r="AC47" s="119" t="n">
        <f aca="false">SUMIFS(tabela_registros[VALOR],tabela_registros[MÊS],$AE$1,tabela_registros[DIA],jultotal3059718395107[[#Headers],[25]],tabela_registros[REGISTRO],DADOS!$N$4,tabela_registros[TIPO],DADOS!$P$3,tabela_registros[CATEGORIA],despesafixaconsolidadojul[[#This Row],[DESPESA FIXA]])</f>
        <v>0</v>
      </c>
      <c r="AD47" s="119" t="n">
        <f aca="false">SUMIFS(tabela_registros[VALOR],tabela_registros[MÊS],$AE$1,tabela_registros[DIA],jultotal3059718395107[[#Headers],[26]],tabela_registros[REGISTRO],DADOS!$N$4,tabela_registros[TIPO],DADOS!$P$3,tabela_registros[CATEGORIA],despesafixaconsolidadojul[[#This Row],[DESPESA FIXA]])</f>
        <v>0</v>
      </c>
      <c r="AE47" s="119" t="n">
        <f aca="false">SUMIFS(tabela_registros[VALOR],tabela_registros[MÊS],$AE$1,tabela_registros[DIA],jultotal3059718395107[[#Headers],[27]],tabela_registros[REGISTRO],DADOS!$N$4,tabela_registros[TIPO],DADOS!$P$3,tabela_registros[CATEGORIA],despesafixaconsolidadojul[[#This Row],[DESPESA FIXA]])</f>
        <v>0</v>
      </c>
      <c r="AF47" s="119" t="n">
        <f aca="false">SUMIFS(tabela_registros[VALOR],tabela_registros[MÊS],$AE$1,tabela_registros[DIA],jultotal3059718395107[[#Headers],[28]],tabela_registros[REGISTRO],DADOS!$N$4,tabela_registros[TIPO],DADOS!$P$3,tabela_registros[CATEGORIA],despesafixaconsolidadojul[[#This Row],[DESPESA FIXA]])</f>
        <v>0</v>
      </c>
      <c r="AG47" s="119" t="n">
        <f aca="false">SUMIFS(tabela_registros[VALOR],tabela_registros[MÊS],$AE$1,tabela_registros[DIA],jultotal3059718395107[[#Headers],[29]],tabela_registros[REGISTRO],DADOS!$N$4,tabela_registros[TIPO],DADOS!$P$3,tabela_registros[CATEGORIA],despesafixaconsolidadojul[[#This Row],[DESPESA FIXA]])</f>
        <v>0</v>
      </c>
      <c r="AH47" s="119" t="n">
        <f aca="false">SUMIFS(tabela_registros[VALOR],tabela_registros[MÊS],$AE$1,tabela_registros[DIA],jultotal3059718395107[[#Headers],[30]],tabela_registros[REGISTRO],DADOS!$N$4,tabela_registros[TIPO],DADOS!$P$3,tabela_registros[CATEGORIA],despesafixaconsolidadojul[[#This Row],[DESPESA FIXA]])</f>
        <v>0</v>
      </c>
      <c r="AI47" s="217" t="n">
        <f aca="false">SUMIFS(tabela_registros[VALOR],tabela_registros[MÊS],$AE$1,tabela_registros[DIA],jultotal3059718395107[[#Headers],[31]],tabela_registros[REGISTRO],DADOS!$N$4,tabela_registros[TIPO],DADOS!$P$3,tabela_registros[CATEGORIA],despesafixaconsolidadojul[[#This Row],[DESPESA FIXA]])</f>
        <v>0</v>
      </c>
      <c r="AJ47" s="149" t="n">
        <f aca="false">SUM(despesafixaconsolidadojul[[#This Row],[1]:[31]])</f>
        <v>0</v>
      </c>
      <c r="AK47" s="143"/>
    </row>
    <row r="48" customFormat="false" ht="18" hidden="false" customHeight="true" outlineLevel="0" collapsed="false">
      <c r="B48" s="143"/>
      <c r="C48" s="144" t="str">
        <f aca="false">DADOS!$R$14</f>
        <v>💊 SAÚDE</v>
      </c>
      <c r="D48" s="145" t="str">
        <f aca="false">IF(despesafixaconsolidadojul[[#This Row],[TOTAL]]=0,"",IF(OR(despesafixaconsolidadojul[[#This Row],[TOTAL]]=LARGE($AJ$37:$AJ$50,1),despesafixaconsolidadojul[[#This Row],[TOTAL]]=LARGE($AJ$37:$AJ$50,2),despesafixaconsolidadojul[[#This Row],[TOTAL]]=LARGE($AJ$37:$AJ$50,3),despesafixaconsolidadojul[[#This Row],[TOTAL]]=LARGE($AJ$37:$AJ$50,4),despesafixaconsolidadojul[[#This Row],[TOTAL]]=LARGE($AJ$37:$AJ$50,5)),DADOS!$I$8,""))</f>
        <v/>
      </c>
      <c r="E48" s="148" t="n">
        <f aca="false">SUMIFS(tabela_registros[VALOR],tabela_registros[MÊS],$AE$1,tabela_registros[DIA],jultotal3059718395107[[#Headers],[1]],tabela_registros[REGISTRO],DADOS!$N$4,tabela_registros[TIPO],DADOS!$P$3,tabela_registros[CATEGORIA],despesafixaconsolidadojul[[#This Row],[DESPESA FIXA]])</f>
        <v>0</v>
      </c>
      <c r="F48" s="119" t="n">
        <f aca="false">SUMIFS(tabela_registros[VALOR],tabela_registros[MÊS],$AE$1,tabela_registros[DIA],jultotal3059718395107[[#Headers],[2]],tabela_registros[REGISTRO],DADOS!$N$4,tabela_registros[TIPO],DADOS!$P$3,tabela_registros[CATEGORIA],despesafixaconsolidadojul[[#This Row],[DESPESA FIXA]])</f>
        <v>0</v>
      </c>
      <c r="G48" s="119" t="n">
        <f aca="false">SUMIFS(tabela_registros[VALOR],tabela_registros[MÊS],$AE$1,tabela_registros[DIA],jultotal3059718395107[[#Headers],[3]],tabela_registros[REGISTRO],DADOS!$N$4,tabela_registros[TIPO],DADOS!$P$3,tabela_registros[CATEGORIA],despesafixaconsolidadojul[[#This Row],[DESPESA FIXA]])</f>
        <v>0</v>
      </c>
      <c r="H48" s="119" t="n">
        <f aca="false">SUMIFS(tabela_registros[VALOR],tabela_registros[MÊS],$AE$1,tabela_registros[DIA],jultotal3059718395107[[#Headers],[4]],tabela_registros[REGISTRO],DADOS!$N$4,tabela_registros[TIPO],DADOS!$P$3,tabela_registros[CATEGORIA],despesafixaconsolidadojul[[#This Row],[DESPESA FIXA]])</f>
        <v>0</v>
      </c>
      <c r="I48" s="119" t="n">
        <f aca="false">SUMIFS(tabela_registros[VALOR],tabela_registros[MÊS],$AE$1,tabela_registros[DIA],jultotal3059718395107[[#Headers],[5]],tabela_registros[REGISTRO],DADOS!$N$4,tabela_registros[TIPO],DADOS!$P$3,tabela_registros[CATEGORIA],despesafixaconsolidadojul[[#This Row],[DESPESA FIXA]])</f>
        <v>0</v>
      </c>
      <c r="J48" s="119" t="n">
        <f aca="false">SUMIFS(tabela_registros[VALOR],tabela_registros[MÊS],$AE$1,tabela_registros[DIA],jultotal3059718395107[[#Headers],[6]],tabela_registros[REGISTRO],DADOS!$N$4,tabela_registros[TIPO],DADOS!$P$3,tabela_registros[CATEGORIA],despesafixaconsolidadojul[[#This Row],[DESPESA FIXA]])</f>
        <v>0</v>
      </c>
      <c r="K48" s="119" t="n">
        <f aca="false">SUMIFS(tabela_registros[VALOR],tabela_registros[MÊS],$AE$1,tabela_registros[DIA],jultotal3059718395107[[#Headers],[7]],tabela_registros[REGISTRO],DADOS!$N$4,tabela_registros[TIPO],DADOS!$P$3,tabela_registros[CATEGORIA],despesafixaconsolidadojul[[#This Row],[DESPESA FIXA]])</f>
        <v>0</v>
      </c>
      <c r="L48" s="119" t="n">
        <f aca="false">SUMIFS(tabela_registros[VALOR],tabela_registros[MÊS],$AE$1,tabela_registros[DIA],jultotal3059718395107[[#Headers],[8]],tabela_registros[REGISTRO],DADOS!$N$4,tabela_registros[TIPO],DADOS!$P$3,tabela_registros[CATEGORIA],despesafixaconsolidadojul[[#This Row],[DESPESA FIXA]])</f>
        <v>0</v>
      </c>
      <c r="M48" s="119" t="n">
        <f aca="false">SUMIFS(tabela_registros[VALOR],tabela_registros[MÊS],$AE$1,tabela_registros[DIA],jultotal3059718395107[[#Headers],[9]],tabela_registros[REGISTRO],DADOS!$N$4,tabela_registros[TIPO],DADOS!$P$3,tabela_registros[CATEGORIA],despesafixaconsolidadojul[[#This Row],[DESPESA FIXA]])</f>
        <v>0</v>
      </c>
      <c r="N48" s="119" t="n">
        <f aca="false">SUMIFS(tabela_registros[VALOR],tabela_registros[MÊS],$AE$1,tabela_registros[DIA],jultotal3059718395107[[#Headers],[10]],tabela_registros[REGISTRO],DADOS!$N$4,tabela_registros[TIPO],DADOS!$P$3,tabela_registros[CATEGORIA],despesafixaconsolidadojul[[#This Row],[DESPESA FIXA]])</f>
        <v>0</v>
      </c>
      <c r="O48" s="119" t="n">
        <f aca="false">SUMIFS(tabela_registros[VALOR],tabela_registros[MÊS],$AE$1,tabela_registros[DIA],jultotal3059718395107[[#Headers],[11]],tabela_registros[REGISTRO],DADOS!$N$4,tabela_registros[TIPO],DADOS!$P$3,tabela_registros[CATEGORIA],despesafixaconsolidadojul[[#This Row],[DESPESA FIXA]])</f>
        <v>0</v>
      </c>
      <c r="P48" s="119" t="n">
        <f aca="false">SUMIFS(tabela_registros[VALOR],tabela_registros[MÊS],$AE$1,tabela_registros[DIA],jultotal3059718395107[[#Headers],[12]],tabela_registros[REGISTRO],DADOS!$N$4,tabela_registros[TIPO],DADOS!$P$3,tabela_registros[CATEGORIA],despesafixaconsolidadojul[[#This Row],[DESPESA FIXA]])</f>
        <v>0</v>
      </c>
      <c r="Q48" s="119" t="n">
        <f aca="false">SUMIFS(tabela_registros[VALOR],tabela_registros[MÊS],$AE$1,tabela_registros[DIA],jultotal3059718395107[[#Headers],[13]],tabela_registros[REGISTRO],DADOS!$N$4,tabela_registros[TIPO],DADOS!$P$3,tabela_registros[CATEGORIA],despesafixaconsolidadojul[[#This Row],[DESPESA FIXA]])</f>
        <v>0</v>
      </c>
      <c r="R48" s="119" t="n">
        <f aca="false">SUMIFS(tabela_registros[VALOR],tabela_registros[MÊS],$AE$1,tabela_registros[DIA],jultotal3059718395107[[#Headers],[14]],tabela_registros[REGISTRO],DADOS!$N$4,tabela_registros[TIPO],DADOS!$P$3,tabela_registros[CATEGORIA],despesafixaconsolidadojul[[#This Row],[DESPESA FIXA]])</f>
        <v>0</v>
      </c>
      <c r="S48" s="119" t="n">
        <f aca="false">SUMIFS(tabela_registros[VALOR],tabela_registros[MÊS],$AE$1,tabela_registros[DIA],jultotal3059718395107[[#Headers],[15]],tabela_registros[REGISTRO],DADOS!$N$4,tabela_registros[TIPO],DADOS!$P$3,tabela_registros[CATEGORIA],despesafixaconsolidadojul[[#This Row],[DESPESA FIXA]])</f>
        <v>0</v>
      </c>
      <c r="T48" s="119" t="n">
        <f aca="false">SUMIFS(tabela_registros[VALOR],tabela_registros[MÊS],$AE$1,tabela_registros[DIA],jultotal3059718395107[[#Headers],[16]],tabela_registros[REGISTRO],DADOS!$N$4,tabela_registros[TIPO],DADOS!$P$3,tabela_registros[CATEGORIA],despesafixaconsolidadojul[[#This Row],[DESPESA FIXA]])</f>
        <v>0</v>
      </c>
      <c r="U48" s="119" t="n">
        <f aca="false">SUMIFS(tabela_registros[VALOR],tabela_registros[MÊS],$AE$1,tabela_registros[DIA],jultotal3059718395107[[#Headers],[17]],tabela_registros[REGISTRO],DADOS!$N$4,tabela_registros[TIPO],DADOS!$P$3,tabela_registros[CATEGORIA],despesafixaconsolidadojul[[#This Row],[DESPESA FIXA]])</f>
        <v>0</v>
      </c>
      <c r="V48" s="119" t="n">
        <f aca="false">SUMIFS(tabela_registros[VALOR],tabela_registros[MÊS],$AE$1,tabela_registros[DIA],jultotal3059718395107[[#Headers],[18]],tabela_registros[REGISTRO],DADOS!$N$4,tabela_registros[TIPO],DADOS!$P$3,tabela_registros[CATEGORIA],despesafixaconsolidadojul[[#This Row],[DESPESA FIXA]])</f>
        <v>0</v>
      </c>
      <c r="W48" s="119" t="n">
        <f aca="false">SUMIFS(tabela_registros[VALOR],tabela_registros[MÊS],$AE$1,tabela_registros[DIA],jultotal3059718395107[[#Headers],[19]],tabela_registros[REGISTRO],DADOS!$N$4,tabela_registros[TIPO],DADOS!$P$3,tabela_registros[CATEGORIA],despesafixaconsolidadojul[[#This Row],[DESPESA FIXA]])</f>
        <v>0</v>
      </c>
      <c r="X48" s="119" t="n">
        <f aca="false">SUMIFS(tabela_registros[VALOR],tabela_registros[MÊS],$AE$1,tabela_registros[DIA],jultotal3059718395107[[#Headers],[20]],tabela_registros[REGISTRO],DADOS!$N$4,tabela_registros[TIPO],DADOS!$P$3,tabela_registros[CATEGORIA],despesafixaconsolidadojul[[#This Row],[DESPESA FIXA]])</f>
        <v>0</v>
      </c>
      <c r="Y48" s="119" t="n">
        <f aca="false">SUMIFS(tabela_registros[VALOR],tabela_registros[MÊS],$AE$1,tabela_registros[DIA],jultotal3059718395107[[#Headers],[21]],tabela_registros[REGISTRO],DADOS!$N$4,tabela_registros[TIPO],DADOS!$P$3,tabela_registros[CATEGORIA],despesafixaconsolidadojul[[#This Row],[DESPESA FIXA]])</f>
        <v>0</v>
      </c>
      <c r="Z48" s="119" t="n">
        <f aca="false">SUMIFS(tabela_registros[VALOR],tabela_registros[MÊS],$AE$1,tabela_registros[DIA],jultotal3059718395107[[#Headers],[22]],tabela_registros[REGISTRO],DADOS!$N$4,tabela_registros[TIPO],DADOS!$P$3,tabela_registros[CATEGORIA],despesafixaconsolidadojul[[#This Row],[DESPESA FIXA]])</f>
        <v>0</v>
      </c>
      <c r="AA48" s="119" t="n">
        <f aca="false">SUMIFS(tabela_registros[VALOR],tabela_registros[MÊS],$AE$1,tabela_registros[DIA],jultotal3059718395107[[#Headers],[23]],tabela_registros[REGISTRO],DADOS!$N$4,tabela_registros[TIPO],DADOS!$P$3,tabela_registros[CATEGORIA],despesafixaconsolidadojul[[#This Row],[DESPESA FIXA]])</f>
        <v>0</v>
      </c>
      <c r="AB48" s="119" t="n">
        <f aca="false">SUMIFS(tabela_registros[VALOR],tabela_registros[MÊS],$AE$1,tabela_registros[DIA],jultotal3059718395107[[#Headers],[24]],tabela_registros[REGISTRO],DADOS!$N$4,tabela_registros[TIPO],DADOS!$P$3,tabela_registros[CATEGORIA],despesafixaconsolidadojul[[#This Row],[DESPESA FIXA]])</f>
        <v>0</v>
      </c>
      <c r="AC48" s="119" t="n">
        <f aca="false">SUMIFS(tabela_registros[VALOR],tabela_registros[MÊS],$AE$1,tabela_registros[DIA],jultotal3059718395107[[#Headers],[25]],tabela_registros[REGISTRO],DADOS!$N$4,tabela_registros[TIPO],DADOS!$P$3,tabela_registros[CATEGORIA],despesafixaconsolidadojul[[#This Row],[DESPESA FIXA]])</f>
        <v>0</v>
      </c>
      <c r="AD48" s="119" t="n">
        <f aca="false">SUMIFS(tabela_registros[VALOR],tabela_registros[MÊS],$AE$1,tabela_registros[DIA],jultotal3059718395107[[#Headers],[26]],tabela_registros[REGISTRO],DADOS!$N$4,tabela_registros[TIPO],DADOS!$P$3,tabela_registros[CATEGORIA],despesafixaconsolidadojul[[#This Row],[DESPESA FIXA]])</f>
        <v>0</v>
      </c>
      <c r="AE48" s="119" t="n">
        <f aca="false">SUMIFS(tabela_registros[VALOR],tabela_registros[MÊS],$AE$1,tabela_registros[DIA],jultotal3059718395107[[#Headers],[27]],tabela_registros[REGISTRO],DADOS!$N$4,tabela_registros[TIPO],DADOS!$P$3,tabela_registros[CATEGORIA],despesafixaconsolidadojul[[#This Row],[DESPESA FIXA]])</f>
        <v>0</v>
      </c>
      <c r="AF48" s="119" t="n">
        <f aca="false">SUMIFS(tabela_registros[VALOR],tabela_registros[MÊS],$AE$1,tabela_registros[DIA],jultotal3059718395107[[#Headers],[28]],tabela_registros[REGISTRO],DADOS!$N$4,tabela_registros[TIPO],DADOS!$P$3,tabela_registros[CATEGORIA],despesafixaconsolidadojul[[#This Row],[DESPESA FIXA]])</f>
        <v>0</v>
      </c>
      <c r="AG48" s="119" t="n">
        <f aca="false">SUMIFS(tabela_registros[VALOR],tabela_registros[MÊS],$AE$1,tabela_registros[DIA],jultotal3059718395107[[#Headers],[29]],tabela_registros[REGISTRO],DADOS!$N$4,tabela_registros[TIPO],DADOS!$P$3,tabela_registros[CATEGORIA],despesafixaconsolidadojul[[#This Row],[DESPESA FIXA]])</f>
        <v>0</v>
      </c>
      <c r="AH48" s="119" t="n">
        <f aca="false">SUMIFS(tabela_registros[VALOR],tabela_registros[MÊS],$AE$1,tabela_registros[DIA],jultotal3059718395107[[#Headers],[30]],tabela_registros[REGISTRO],DADOS!$N$4,tabela_registros[TIPO],DADOS!$P$3,tabela_registros[CATEGORIA],despesafixaconsolidadojul[[#This Row],[DESPESA FIXA]])</f>
        <v>0</v>
      </c>
      <c r="AI48" s="217" t="n">
        <f aca="false">SUMIFS(tabela_registros[VALOR],tabela_registros[MÊS],$AE$1,tabela_registros[DIA],jultotal3059718395107[[#Headers],[31]],tabela_registros[REGISTRO],DADOS!$N$4,tabela_registros[TIPO],DADOS!$P$3,tabela_registros[CATEGORIA],despesafixaconsolidadojul[[#This Row],[DESPESA FIXA]])</f>
        <v>0</v>
      </c>
      <c r="AJ48" s="149" t="n">
        <f aca="false">SUM(despesafixaconsolidadojul[[#This Row],[1]:[31]])</f>
        <v>0</v>
      </c>
      <c r="AK48" s="143"/>
    </row>
    <row r="49" customFormat="false" ht="18" hidden="false" customHeight="true" outlineLevel="0" collapsed="false">
      <c r="B49" s="143"/>
      <c r="C49" s="144" t="str">
        <f aca="false">DADOS!$R$15</f>
        <v>📞 TELEFONE</v>
      </c>
      <c r="D49" s="145" t="str">
        <f aca="false">IF(despesafixaconsolidadojul[[#This Row],[TOTAL]]=0,"",IF(OR(despesafixaconsolidadojul[[#This Row],[TOTAL]]=LARGE($AJ$37:$AJ$50,1),despesafixaconsolidadojul[[#This Row],[TOTAL]]=LARGE($AJ$37:$AJ$50,2),despesafixaconsolidadojul[[#This Row],[TOTAL]]=LARGE($AJ$37:$AJ$50,3),despesafixaconsolidadojul[[#This Row],[TOTAL]]=LARGE($AJ$37:$AJ$50,4),despesafixaconsolidadojul[[#This Row],[TOTAL]]=LARGE($AJ$37:$AJ$50,5)),DADOS!$I$8,""))</f>
        <v/>
      </c>
      <c r="E49" s="148" t="n">
        <f aca="false">SUMIFS(tabela_registros[VALOR],tabela_registros[MÊS],$AE$1,tabela_registros[DIA],jultotal3059718395107[[#Headers],[1]],tabela_registros[REGISTRO],DADOS!$N$4,tabela_registros[TIPO],DADOS!$P$3,tabela_registros[CATEGORIA],despesafixaconsolidadojul[[#This Row],[DESPESA FIXA]])</f>
        <v>0</v>
      </c>
      <c r="F49" s="119" t="n">
        <f aca="false">SUMIFS(tabela_registros[VALOR],tabela_registros[MÊS],$AE$1,tabela_registros[DIA],jultotal3059718395107[[#Headers],[2]],tabela_registros[REGISTRO],DADOS!$N$4,tabela_registros[TIPO],DADOS!$P$3,tabela_registros[CATEGORIA],despesafixaconsolidadojul[[#This Row],[DESPESA FIXA]])</f>
        <v>0</v>
      </c>
      <c r="G49" s="119" t="n">
        <f aca="false">SUMIFS(tabela_registros[VALOR],tabela_registros[MÊS],$AE$1,tabela_registros[DIA],jultotal3059718395107[[#Headers],[3]],tabela_registros[REGISTRO],DADOS!$N$4,tabela_registros[TIPO],DADOS!$P$3,tabela_registros[CATEGORIA],despesafixaconsolidadojul[[#This Row],[DESPESA FIXA]])</f>
        <v>0</v>
      </c>
      <c r="H49" s="119" t="n">
        <f aca="false">SUMIFS(tabela_registros[VALOR],tabela_registros[MÊS],$AE$1,tabela_registros[DIA],jultotal3059718395107[[#Headers],[4]],tabela_registros[REGISTRO],DADOS!$N$4,tabela_registros[TIPO],DADOS!$P$3,tabela_registros[CATEGORIA],despesafixaconsolidadojul[[#This Row],[DESPESA FIXA]])</f>
        <v>0</v>
      </c>
      <c r="I49" s="119" t="n">
        <f aca="false">SUMIFS(tabela_registros[VALOR],tabela_registros[MÊS],$AE$1,tabela_registros[DIA],jultotal3059718395107[[#Headers],[5]],tabela_registros[REGISTRO],DADOS!$N$4,tabela_registros[TIPO],DADOS!$P$3,tabela_registros[CATEGORIA],despesafixaconsolidadojul[[#This Row],[DESPESA FIXA]])</f>
        <v>0</v>
      </c>
      <c r="J49" s="119" t="n">
        <f aca="false">SUMIFS(tabela_registros[VALOR],tabela_registros[MÊS],$AE$1,tabela_registros[DIA],jultotal3059718395107[[#Headers],[6]],tabela_registros[REGISTRO],DADOS!$N$4,tabela_registros[TIPO],DADOS!$P$3,tabela_registros[CATEGORIA],despesafixaconsolidadojul[[#This Row],[DESPESA FIXA]])</f>
        <v>0</v>
      </c>
      <c r="K49" s="119" t="n">
        <f aca="false">SUMIFS(tabela_registros[VALOR],tabela_registros[MÊS],$AE$1,tabela_registros[DIA],jultotal3059718395107[[#Headers],[7]],tabela_registros[REGISTRO],DADOS!$N$4,tabela_registros[TIPO],DADOS!$P$3,tabela_registros[CATEGORIA],despesafixaconsolidadojul[[#This Row],[DESPESA FIXA]])</f>
        <v>0</v>
      </c>
      <c r="L49" s="119" t="n">
        <f aca="false">SUMIFS(tabela_registros[VALOR],tabela_registros[MÊS],$AE$1,tabela_registros[DIA],jultotal3059718395107[[#Headers],[8]],tabela_registros[REGISTRO],DADOS!$N$4,tabela_registros[TIPO],DADOS!$P$3,tabela_registros[CATEGORIA],despesafixaconsolidadojul[[#This Row],[DESPESA FIXA]])</f>
        <v>0</v>
      </c>
      <c r="M49" s="119" t="n">
        <f aca="false">SUMIFS(tabela_registros[VALOR],tabela_registros[MÊS],$AE$1,tabela_registros[DIA],jultotal3059718395107[[#Headers],[9]],tabela_registros[REGISTRO],DADOS!$N$4,tabela_registros[TIPO],DADOS!$P$3,tabela_registros[CATEGORIA],despesafixaconsolidadojul[[#This Row],[DESPESA FIXA]])</f>
        <v>0</v>
      </c>
      <c r="N49" s="119" t="n">
        <f aca="false">SUMIFS(tabela_registros[VALOR],tabela_registros[MÊS],$AE$1,tabela_registros[DIA],jultotal3059718395107[[#Headers],[10]],tabela_registros[REGISTRO],DADOS!$N$4,tabela_registros[TIPO],DADOS!$P$3,tabela_registros[CATEGORIA],despesafixaconsolidadojul[[#This Row],[DESPESA FIXA]])</f>
        <v>0</v>
      </c>
      <c r="O49" s="119" t="n">
        <f aca="false">SUMIFS(tabela_registros[VALOR],tabela_registros[MÊS],$AE$1,tabela_registros[DIA],jultotal3059718395107[[#Headers],[11]],tabela_registros[REGISTRO],DADOS!$N$4,tabela_registros[TIPO],DADOS!$P$3,tabela_registros[CATEGORIA],despesafixaconsolidadojul[[#This Row],[DESPESA FIXA]])</f>
        <v>0</v>
      </c>
      <c r="P49" s="119" t="n">
        <f aca="false">SUMIFS(tabela_registros[VALOR],tabela_registros[MÊS],$AE$1,tabela_registros[DIA],jultotal3059718395107[[#Headers],[12]],tabela_registros[REGISTRO],DADOS!$N$4,tabela_registros[TIPO],DADOS!$P$3,tabela_registros[CATEGORIA],despesafixaconsolidadojul[[#This Row],[DESPESA FIXA]])</f>
        <v>0</v>
      </c>
      <c r="Q49" s="119" t="n">
        <f aca="false">SUMIFS(tabela_registros[VALOR],tabela_registros[MÊS],$AE$1,tabela_registros[DIA],jultotal3059718395107[[#Headers],[13]],tabela_registros[REGISTRO],DADOS!$N$4,tabela_registros[TIPO],DADOS!$P$3,tabela_registros[CATEGORIA],despesafixaconsolidadojul[[#This Row],[DESPESA FIXA]])</f>
        <v>0</v>
      </c>
      <c r="R49" s="119" t="n">
        <f aca="false">SUMIFS(tabela_registros[VALOR],tabela_registros[MÊS],$AE$1,tabela_registros[DIA],jultotal3059718395107[[#Headers],[14]],tabela_registros[REGISTRO],DADOS!$N$4,tabela_registros[TIPO],DADOS!$P$3,tabela_registros[CATEGORIA],despesafixaconsolidadojul[[#This Row],[DESPESA FIXA]])</f>
        <v>0</v>
      </c>
      <c r="S49" s="119" t="n">
        <f aca="false">SUMIFS(tabela_registros[VALOR],tabela_registros[MÊS],$AE$1,tabela_registros[DIA],jultotal3059718395107[[#Headers],[15]],tabela_registros[REGISTRO],DADOS!$N$4,tabela_registros[TIPO],DADOS!$P$3,tabela_registros[CATEGORIA],despesafixaconsolidadojul[[#This Row],[DESPESA FIXA]])</f>
        <v>0</v>
      </c>
      <c r="T49" s="119" t="n">
        <f aca="false">SUMIFS(tabela_registros[VALOR],tabela_registros[MÊS],$AE$1,tabela_registros[DIA],jultotal3059718395107[[#Headers],[16]],tabela_registros[REGISTRO],DADOS!$N$4,tabela_registros[TIPO],DADOS!$P$3,tabela_registros[CATEGORIA],despesafixaconsolidadojul[[#This Row],[DESPESA FIXA]])</f>
        <v>0</v>
      </c>
      <c r="U49" s="119" t="n">
        <f aca="false">SUMIFS(tabela_registros[VALOR],tabela_registros[MÊS],$AE$1,tabela_registros[DIA],jultotal3059718395107[[#Headers],[17]],tabela_registros[REGISTRO],DADOS!$N$4,tabela_registros[TIPO],DADOS!$P$3,tabela_registros[CATEGORIA],despesafixaconsolidadojul[[#This Row],[DESPESA FIXA]])</f>
        <v>0</v>
      </c>
      <c r="V49" s="119" t="n">
        <f aca="false">SUMIFS(tabela_registros[VALOR],tabela_registros[MÊS],$AE$1,tabela_registros[DIA],jultotal3059718395107[[#Headers],[18]],tabela_registros[REGISTRO],DADOS!$N$4,tabela_registros[TIPO],DADOS!$P$3,tabela_registros[CATEGORIA],despesafixaconsolidadojul[[#This Row],[DESPESA FIXA]])</f>
        <v>0</v>
      </c>
      <c r="W49" s="119" t="n">
        <f aca="false">SUMIFS(tabela_registros[VALOR],tabela_registros[MÊS],$AE$1,tabela_registros[DIA],jultotal3059718395107[[#Headers],[19]],tabela_registros[REGISTRO],DADOS!$N$4,tabela_registros[TIPO],DADOS!$P$3,tabela_registros[CATEGORIA],despesafixaconsolidadojul[[#This Row],[DESPESA FIXA]])</f>
        <v>0</v>
      </c>
      <c r="X49" s="119" t="n">
        <f aca="false">SUMIFS(tabela_registros[VALOR],tabela_registros[MÊS],$AE$1,tabela_registros[DIA],jultotal3059718395107[[#Headers],[20]],tabela_registros[REGISTRO],DADOS!$N$4,tabela_registros[TIPO],DADOS!$P$3,tabela_registros[CATEGORIA],despesafixaconsolidadojul[[#This Row],[DESPESA FIXA]])</f>
        <v>0</v>
      </c>
      <c r="Y49" s="119" t="n">
        <f aca="false">SUMIFS(tabela_registros[VALOR],tabela_registros[MÊS],$AE$1,tabela_registros[DIA],jultotal3059718395107[[#Headers],[21]],tabela_registros[REGISTRO],DADOS!$N$4,tabela_registros[TIPO],DADOS!$P$3,tabela_registros[CATEGORIA],despesafixaconsolidadojul[[#This Row],[DESPESA FIXA]])</f>
        <v>0</v>
      </c>
      <c r="Z49" s="119" t="n">
        <f aca="false">SUMIFS(tabela_registros[VALOR],tabela_registros[MÊS],$AE$1,tabela_registros[DIA],jultotal3059718395107[[#Headers],[22]],tabela_registros[REGISTRO],DADOS!$N$4,tabela_registros[TIPO],DADOS!$P$3,tabela_registros[CATEGORIA],despesafixaconsolidadojul[[#This Row],[DESPESA FIXA]])</f>
        <v>0</v>
      </c>
      <c r="AA49" s="119" t="n">
        <f aca="false">SUMIFS(tabela_registros[VALOR],tabela_registros[MÊS],$AE$1,tabela_registros[DIA],jultotal3059718395107[[#Headers],[23]],tabela_registros[REGISTRO],DADOS!$N$4,tabela_registros[TIPO],DADOS!$P$3,tabela_registros[CATEGORIA],despesafixaconsolidadojul[[#This Row],[DESPESA FIXA]])</f>
        <v>0</v>
      </c>
      <c r="AB49" s="119" t="n">
        <f aca="false">SUMIFS(tabela_registros[VALOR],tabela_registros[MÊS],$AE$1,tabela_registros[DIA],jultotal3059718395107[[#Headers],[24]],tabela_registros[REGISTRO],DADOS!$N$4,tabela_registros[TIPO],DADOS!$P$3,tabela_registros[CATEGORIA],despesafixaconsolidadojul[[#This Row],[DESPESA FIXA]])</f>
        <v>0</v>
      </c>
      <c r="AC49" s="119" t="n">
        <f aca="false">SUMIFS(tabela_registros[VALOR],tabela_registros[MÊS],$AE$1,tabela_registros[DIA],jultotal3059718395107[[#Headers],[25]],tabela_registros[REGISTRO],DADOS!$N$4,tabela_registros[TIPO],DADOS!$P$3,tabela_registros[CATEGORIA],despesafixaconsolidadojul[[#This Row],[DESPESA FIXA]])</f>
        <v>0</v>
      </c>
      <c r="AD49" s="119" t="n">
        <f aca="false">SUMIFS(tabela_registros[VALOR],tabela_registros[MÊS],$AE$1,tabela_registros[DIA],jultotal3059718395107[[#Headers],[26]],tabela_registros[REGISTRO],DADOS!$N$4,tabela_registros[TIPO],DADOS!$P$3,tabela_registros[CATEGORIA],despesafixaconsolidadojul[[#This Row],[DESPESA FIXA]])</f>
        <v>0</v>
      </c>
      <c r="AE49" s="119" t="n">
        <f aca="false">SUMIFS(tabela_registros[VALOR],tabela_registros[MÊS],$AE$1,tabela_registros[DIA],jultotal3059718395107[[#Headers],[27]],tabela_registros[REGISTRO],DADOS!$N$4,tabela_registros[TIPO],DADOS!$P$3,tabela_registros[CATEGORIA],despesafixaconsolidadojul[[#This Row],[DESPESA FIXA]])</f>
        <v>0</v>
      </c>
      <c r="AF49" s="119" t="n">
        <f aca="false">SUMIFS(tabela_registros[VALOR],tabela_registros[MÊS],$AE$1,tabela_registros[DIA],jultotal3059718395107[[#Headers],[28]],tabela_registros[REGISTRO],DADOS!$N$4,tabela_registros[TIPO],DADOS!$P$3,tabela_registros[CATEGORIA],despesafixaconsolidadojul[[#This Row],[DESPESA FIXA]])</f>
        <v>0</v>
      </c>
      <c r="AG49" s="119" t="n">
        <f aca="false">SUMIFS(tabela_registros[VALOR],tabela_registros[MÊS],$AE$1,tabela_registros[DIA],jultotal3059718395107[[#Headers],[29]],tabela_registros[REGISTRO],DADOS!$N$4,tabela_registros[TIPO],DADOS!$P$3,tabela_registros[CATEGORIA],despesafixaconsolidadojul[[#This Row],[DESPESA FIXA]])</f>
        <v>0</v>
      </c>
      <c r="AH49" s="119" t="n">
        <f aca="false">SUMIFS(tabela_registros[VALOR],tabela_registros[MÊS],$AE$1,tabela_registros[DIA],jultotal3059718395107[[#Headers],[30]],tabela_registros[REGISTRO],DADOS!$N$4,tabela_registros[TIPO],DADOS!$P$3,tabela_registros[CATEGORIA],despesafixaconsolidadojul[[#This Row],[DESPESA FIXA]])</f>
        <v>0</v>
      </c>
      <c r="AI49" s="217" t="n">
        <f aca="false">SUMIFS(tabela_registros[VALOR],tabela_registros[MÊS],$AE$1,tabela_registros[DIA],jultotal3059718395107[[#Headers],[31]],tabela_registros[REGISTRO],DADOS!$N$4,tabela_registros[TIPO],DADOS!$P$3,tabela_registros[CATEGORIA],despesafixaconsolidadojul[[#This Row],[DESPESA FIXA]])</f>
        <v>0</v>
      </c>
      <c r="AJ49" s="149" t="n">
        <f aca="false">SUM(despesafixaconsolidadojul[[#This Row],[1]:[31]])</f>
        <v>0</v>
      </c>
      <c r="AK49" s="143"/>
    </row>
    <row r="50" customFormat="false" ht="18" hidden="false" customHeight="true" outlineLevel="0" collapsed="false">
      <c r="B50" s="143"/>
      <c r="C50" s="144" t="str">
        <f aca="false">DADOS!$R$16</f>
        <v>📎 OUTROS</v>
      </c>
      <c r="D50" s="145" t="str">
        <f aca="false">IF(despesafixaconsolidadojul[[#This Row],[TOTAL]]=0,"",IF(OR(despesafixaconsolidadojul[[#This Row],[TOTAL]]=LARGE($AJ$37:$AJ$50,1),despesafixaconsolidadojul[[#This Row],[TOTAL]]=LARGE($AJ$37:$AJ$50,2),despesafixaconsolidadojul[[#This Row],[TOTAL]]=LARGE($AJ$37:$AJ$50,3),despesafixaconsolidadojul[[#This Row],[TOTAL]]=LARGE($AJ$37:$AJ$50,4),despesafixaconsolidadojul[[#This Row],[TOTAL]]=LARGE($AJ$37:$AJ$50,5)),DADOS!$I$8,""))</f>
        <v/>
      </c>
      <c r="E50" s="150" t="n">
        <f aca="false">SUMIFS(tabela_registros[VALOR],tabela_registros[MÊS],$AE$1,tabela_registros[DIA],jultotal3059718395107[[#Headers],[1]],tabela_registros[REGISTRO],DADOS!$N$4,tabela_registros[TIPO],DADOS!$P$3,tabela_registros[CATEGORIA],despesafixaconsolidadojul[[#This Row],[DESPESA FIXA]])</f>
        <v>0</v>
      </c>
      <c r="F50" s="151" t="n">
        <f aca="false">SUMIFS(tabela_registros[VALOR],tabela_registros[MÊS],$AE$1,tabela_registros[DIA],jultotal3059718395107[[#Headers],[2]],tabela_registros[REGISTRO],DADOS!$N$4,tabela_registros[TIPO],DADOS!$P$3,tabela_registros[CATEGORIA],despesafixaconsolidadojul[[#This Row],[DESPESA FIXA]])</f>
        <v>0</v>
      </c>
      <c r="G50" s="151" t="n">
        <f aca="false">SUMIFS(tabela_registros[VALOR],tabela_registros[MÊS],$AE$1,tabela_registros[DIA],jultotal3059718395107[[#Headers],[3]],tabela_registros[REGISTRO],DADOS!$N$4,tabela_registros[TIPO],DADOS!$P$3,tabela_registros[CATEGORIA],despesafixaconsolidadojul[[#This Row],[DESPESA FIXA]])</f>
        <v>0</v>
      </c>
      <c r="H50" s="151" t="n">
        <f aca="false">SUMIFS(tabela_registros[VALOR],tabela_registros[MÊS],$AE$1,tabela_registros[DIA],jultotal3059718395107[[#Headers],[4]],tabela_registros[REGISTRO],DADOS!$N$4,tabela_registros[TIPO],DADOS!$P$3,tabela_registros[CATEGORIA],despesafixaconsolidadojul[[#This Row],[DESPESA FIXA]])</f>
        <v>0</v>
      </c>
      <c r="I50" s="151" t="n">
        <f aca="false">SUMIFS(tabela_registros[VALOR],tabela_registros[MÊS],$AE$1,tabela_registros[DIA],jultotal3059718395107[[#Headers],[5]],tabela_registros[REGISTRO],DADOS!$N$4,tabela_registros[TIPO],DADOS!$P$3,tabela_registros[CATEGORIA],despesafixaconsolidadojul[[#This Row],[DESPESA FIXA]])</f>
        <v>0</v>
      </c>
      <c r="J50" s="151" t="n">
        <f aca="false">SUMIFS(tabela_registros[VALOR],tabela_registros[MÊS],$AE$1,tabela_registros[DIA],jultotal3059718395107[[#Headers],[6]],tabela_registros[REGISTRO],DADOS!$N$4,tabela_registros[TIPO],DADOS!$P$3,tabela_registros[CATEGORIA],despesafixaconsolidadojul[[#This Row],[DESPESA FIXA]])</f>
        <v>0</v>
      </c>
      <c r="K50" s="151" t="n">
        <f aca="false">SUMIFS(tabela_registros[VALOR],tabela_registros[MÊS],$AE$1,tabela_registros[DIA],jultotal3059718395107[[#Headers],[7]],tabela_registros[REGISTRO],DADOS!$N$4,tabela_registros[TIPO],DADOS!$P$3,tabela_registros[CATEGORIA],despesafixaconsolidadojul[[#This Row],[DESPESA FIXA]])</f>
        <v>0</v>
      </c>
      <c r="L50" s="151" t="n">
        <f aca="false">SUMIFS(tabela_registros[VALOR],tabela_registros[MÊS],$AE$1,tabela_registros[DIA],jultotal3059718395107[[#Headers],[8]],tabela_registros[REGISTRO],DADOS!$N$4,tabela_registros[TIPO],DADOS!$P$3,tabela_registros[CATEGORIA],despesafixaconsolidadojul[[#This Row],[DESPESA FIXA]])</f>
        <v>0</v>
      </c>
      <c r="M50" s="151" t="n">
        <f aca="false">SUMIFS(tabela_registros[VALOR],tabela_registros[MÊS],$AE$1,tabela_registros[DIA],jultotal3059718395107[[#Headers],[9]],tabela_registros[REGISTRO],DADOS!$N$4,tabela_registros[TIPO],DADOS!$P$3,tabela_registros[CATEGORIA],despesafixaconsolidadojul[[#This Row],[DESPESA FIXA]])</f>
        <v>0</v>
      </c>
      <c r="N50" s="151" t="n">
        <f aca="false">SUMIFS(tabela_registros[VALOR],tabela_registros[MÊS],$AE$1,tabela_registros[DIA],jultotal3059718395107[[#Headers],[10]],tabela_registros[REGISTRO],DADOS!$N$4,tabela_registros[TIPO],DADOS!$P$3,tabela_registros[CATEGORIA],despesafixaconsolidadojul[[#This Row],[DESPESA FIXA]])</f>
        <v>0</v>
      </c>
      <c r="O50" s="151" t="n">
        <f aca="false">SUMIFS(tabela_registros[VALOR],tabela_registros[MÊS],$AE$1,tabela_registros[DIA],jultotal3059718395107[[#Headers],[11]],tabela_registros[REGISTRO],DADOS!$N$4,tabela_registros[TIPO],DADOS!$P$3,tabela_registros[CATEGORIA],despesafixaconsolidadojul[[#This Row],[DESPESA FIXA]])</f>
        <v>0</v>
      </c>
      <c r="P50" s="151" t="n">
        <f aca="false">SUMIFS(tabela_registros[VALOR],tabela_registros[MÊS],$AE$1,tabela_registros[DIA],jultotal3059718395107[[#Headers],[12]],tabela_registros[REGISTRO],DADOS!$N$4,tabela_registros[TIPO],DADOS!$P$3,tabela_registros[CATEGORIA],despesafixaconsolidadojul[[#This Row],[DESPESA FIXA]])</f>
        <v>0</v>
      </c>
      <c r="Q50" s="151" t="n">
        <f aca="false">SUMIFS(tabela_registros[VALOR],tabela_registros[MÊS],$AE$1,tabela_registros[DIA],jultotal3059718395107[[#Headers],[13]],tabela_registros[REGISTRO],DADOS!$N$4,tabela_registros[TIPO],DADOS!$P$3,tabela_registros[CATEGORIA],despesafixaconsolidadojul[[#This Row],[DESPESA FIXA]])</f>
        <v>0</v>
      </c>
      <c r="R50" s="151" t="n">
        <f aca="false">SUMIFS(tabela_registros[VALOR],tabela_registros[MÊS],$AE$1,tabela_registros[DIA],jultotal3059718395107[[#Headers],[14]],tabela_registros[REGISTRO],DADOS!$N$4,tabela_registros[TIPO],DADOS!$P$3,tabela_registros[CATEGORIA],despesafixaconsolidadojul[[#This Row],[DESPESA FIXA]])</f>
        <v>0</v>
      </c>
      <c r="S50" s="151" t="n">
        <f aca="false">SUMIFS(tabela_registros[VALOR],tabela_registros[MÊS],$AE$1,tabela_registros[DIA],jultotal3059718395107[[#Headers],[15]],tabela_registros[REGISTRO],DADOS!$N$4,tabela_registros[TIPO],DADOS!$P$3,tabela_registros[CATEGORIA],despesafixaconsolidadojul[[#This Row],[DESPESA FIXA]])</f>
        <v>0</v>
      </c>
      <c r="T50" s="151" t="n">
        <f aca="false">SUMIFS(tabela_registros[VALOR],tabela_registros[MÊS],$AE$1,tabela_registros[DIA],jultotal3059718395107[[#Headers],[16]],tabela_registros[REGISTRO],DADOS!$N$4,tabela_registros[TIPO],DADOS!$P$3,tabela_registros[CATEGORIA],despesafixaconsolidadojul[[#This Row],[DESPESA FIXA]])</f>
        <v>0</v>
      </c>
      <c r="U50" s="151" t="n">
        <f aca="false">SUMIFS(tabela_registros[VALOR],tabela_registros[MÊS],$AE$1,tabela_registros[DIA],jultotal3059718395107[[#Headers],[17]],tabela_registros[REGISTRO],DADOS!$N$4,tabela_registros[TIPO],DADOS!$P$3,tabela_registros[CATEGORIA],despesafixaconsolidadojul[[#This Row],[DESPESA FIXA]])</f>
        <v>0</v>
      </c>
      <c r="V50" s="151" t="n">
        <f aca="false">SUMIFS(tabela_registros[VALOR],tabela_registros[MÊS],$AE$1,tabela_registros[DIA],jultotal3059718395107[[#Headers],[18]],tabela_registros[REGISTRO],DADOS!$N$4,tabela_registros[TIPO],DADOS!$P$3,tabela_registros[CATEGORIA],despesafixaconsolidadojul[[#This Row],[DESPESA FIXA]])</f>
        <v>0</v>
      </c>
      <c r="W50" s="151" t="n">
        <f aca="false">SUMIFS(tabela_registros[VALOR],tabela_registros[MÊS],$AE$1,tabela_registros[DIA],jultotal3059718395107[[#Headers],[19]],tabela_registros[REGISTRO],DADOS!$N$4,tabela_registros[TIPO],DADOS!$P$3,tabela_registros[CATEGORIA],despesafixaconsolidadojul[[#This Row],[DESPESA FIXA]])</f>
        <v>0</v>
      </c>
      <c r="X50" s="151" t="n">
        <f aca="false">SUMIFS(tabela_registros[VALOR],tabela_registros[MÊS],$AE$1,tabela_registros[DIA],jultotal3059718395107[[#Headers],[20]],tabela_registros[REGISTRO],DADOS!$N$4,tabela_registros[TIPO],DADOS!$P$3,tabela_registros[CATEGORIA],despesafixaconsolidadojul[[#This Row],[DESPESA FIXA]])</f>
        <v>0</v>
      </c>
      <c r="Y50" s="151" t="n">
        <f aca="false">SUMIFS(tabela_registros[VALOR],tabela_registros[MÊS],$AE$1,tabela_registros[DIA],jultotal3059718395107[[#Headers],[21]],tabela_registros[REGISTRO],DADOS!$N$4,tabela_registros[TIPO],DADOS!$P$3,tabela_registros[CATEGORIA],despesafixaconsolidadojul[[#This Row],[DESPESA FIXA]])</f>
        <v>0</v>
      </c>
      <c r="Z50" s="151" t="n">
        <f aca="false">SUMIFS(tabela_registros[VALOR],tabela_registros[MÊS],$AE$1,tabela_registros[DIA],jultotal3059718395107[[#Headers],[22]],tabela_registros[REGISTRO],DADOS!$N$4,tabela_registros[TIPO],DADOS!$P$3,tabela_registros[CATEGORIA],despesafixaconsolidadojul[[#This Row],[DESPESA FIXA]])</f>
        <v>0</v>
      </c>
      <c r="AA50" s="151" t="n">
        <f aca="false">SUMIFS(tabela_registros[VALOR],tabela_registros[MÊS],$AE$1,tabela_registros[DIA],jultotal3059718395107[[#Headers],[23]],tabela_registros[REGISTRO],DADOS!$N$4,tabela_registros[TIPO],DADOS!$P$3,tabela_registros[CATEGORIA],despesafixaconsolidadojul[[#This Row],[DESPESA FIXA]])</f>
        <v>0</v>
      </c>
      <c r="AB50" s="151" t="n">
        <f aca="false">SUMIFS(tabela_registros[VALOR],tabela_registros[MÊS],$AE$1,tabela_registros[DIA],jultotal3059718395107[[#Headers],[24]],tabela_registros[REGISTRO],DADOS!$N$4,tabela_registros[TIPO],DADOS!$P$3,tabela_registros[CATEGORIA],despesafixaconsolidadojul[[#This Row],[DESPESA FIXA]])</f>
        <v>0</v>
      </c>
      <c r="AC50" s="151" t="n">
        <f aca="false">SUMIFS(tabela_registros[VALOR],tabela_registros[MÊS],$AE$1,tabela_registros[DIA],jultotal3059718395107[[#Headers],[25]],tabela_registros[REGISTRO],DADOS!$N$4,tabela_registros[TIPO],DADOS!$P$3,tabela_registros[CATEGORIA],despesafixaconsolidadojul[[#This Row],[DESPESA FIXA]])</f>
        <v>0</v>
      </c>
      <c r="AD50" s="151" t="n">
        <f aca="false">SUMIFS(tabela_registros[VALOR],tabela_registros[MÊS],$AE$1,tabela_registros[DIA],jultotal3059718395107[[#Headers],[26]],tabela_registros[REGISTRO],DADOS!$N$4,tabela_registros[TIPO],DADOS!$P$3,tabela_registros[CATEGORIA],despesafixaconsolidadojul[[#This Row],[DESPESA FIXA]])</f>
        <v>0</v>
      </c>
      <c r="AE50" s="151" t="n">
        <f aca="false">SUMIFS(tabela_registros[VALOR],tabela_registros[MÊS],$AE$1,tabela_registros[DIA],jultotal3059718395107[[#Headers],[27]],tabela_registros[REGISTRO],DADOS!$N$4,tabela_registros[TIPO],DADOS!$P$3,tabela_registros[CATEGORIA],despesafixaconsolidadojul[[#This Row],[DESPESA FIXA]])</f>
        <v>0</v>
      </c>
      <c r="AF50" s="151" t="n">
        <f aca="false">SUMIFS(tabela_registros[VALOR],tabela_registros[MÊS],$AE$1,tabela_registros[DIA],jultotal3059718395107[[#Headers],[28]],tabela_registros[REGISTRO],DADOS!$N$4,tabela_registros[TIPO],DADOS!$P$3,tabela_registros[CATEGORIA],despesafixaconsolidadojul[[#This Row],[DESPESA FIXA]])</f>
        <v>0</v>
      </c>
      <c r="AG50" s="151" t="n">
        <f aca="false">SUMIFS(tabela_registros[VALOR],tabela_registros[MÊS],$AE$1,tabela_registros[DIA],jultotal3059718395107[[#Headers],[29]],tabela_registros[REGISTRO],DADOS!$N$4,tabela_registros[TIPO],DADOS!$P$3,tabela_registros[CATEGORIA],despesafixaconsolidadojul[[#This Row],[DESPESA FIXA]])</f>
        <v>0</v>
      </c>
      <c r="AH50" s="151" t="n">
        <f aca="false">SUMIFS(tabela_registros[VALOR],tabela_registros[MÊS],$AE$1,tabela_registros[DIA],jultotal3059718395107[[#Headers],[30]],tabela_registros[REGISTRO],DADOS!$N$4,tabela_registros[TIPO],DADOS!$P$3,tabela_registros[CATEGORIA],despesafixaconsolidadojul[[#This Row],[DESPESA FIXA]])</f>
        <v>0</v>
      </c>
      <c r="AI50" s="218" t="n">
        <f aca="false">SUMIFS(tabela_registros[VALOR],tabela_registros[MÊS],$AE$1,tabela_registros[DIA],jultotal3059718395107[[#Headers],[31]],tabela_registros[REGISTRO],DADOS!$N$4,tabela_registros[TIPO],DADOS!$P$3,tabela_registros[CATEGORIA],despesafixaconsolidadojul[[#This Row],[DESPESA FIXA]])</f>
        <v>0</v>
      </c>
      <c r="AJ50" s="219" t="n">
        <f aca="false">SUM(despesafixaconsolidadojul[[#This Row],[1]:[31]])</f>
        <v>0</v>
      </c>
      <c r="AK50" s="143"/>
    </row>
    <row r="51" s="122" customFormat="true" ht="21" hidden="false" customHeight="true" outlineLevel="0" collapsed="false">
      <c r="B51" s="152"/>
      <c r="C51" s="153" t="s">
        <v>2</v>
      </c>
      <c r="D51" s="154" t="str">
        <f aca="false">IF(despesafixaconsolidadojul[[#This Row],[TOTAL]]=0,"",IF(OR(despesafixaconsolidadojul[[#This Row],[TOTAL]]=SMALL($AJ$37:$AJ$50,1),despesafixaconsolidadojul[[#This Row],[TOTAL]]=SMALL($AJ$37:$AJ$50,2),despesafixaconsolidadojul[[#This Row],[TOTAL]]=SMALL($AJ$37:$AJ$50,3),despesafixaconsolidadojul[[#This Row],[TOTAL]]=SMALL($AJ$37:$AJ$50,4),despesafixaconsolidadojul[[#This Row],[TOTAL]]=SMALL($AJ$37:$AJ$50,5)),DADOS!$I$8,""))</f>
        <v/>
      </c>
      <c r="E51" s="155" t="n">
        <f aca="false">SUM(E37:E50)</f>
        <v>0</v>
      </c>
      <c r="F51" s="156" t="n">
        <f aca="false">SUM(F37:F50)+despesafixaconsolidadojul[[#This Row],[1]]</f>
        <v>0</v>
      </c>
      <c r="G51" s="156" t="n">
        <f aca="false">SUM(G37:G50)+despesafixaconsolidadojul[[#This Row],[2]]</f>
        <v>0</v>
      </c>
      <c r="H51" s="156" t="n">
        <f aca="false">SUM(H37:H50)+despesafixaconsolidadojul[[#This Row],[3]]</f>
        <v>0</v>
      </c>
      <c r="I51" s="156" t="n">
        <f aca="false">SUM(I37:I50)+despesafixaconsolidadojul[[#This Row],[4]]</f>
        <v>0</v>
      </c>
      <c r="J51" s="156" t="n">
        <f aca="false">SUM(J37:J50)+despesafixaconsolidadojul[[#This Row],[5]]</f>
        <v>0</v>
      </c>
      <c r="K51" s="156" t="n">
        <f aca="false">SUM(K37:K50)+despesafixaconsolidadojul[[#This Row],[6]]</f>
        <v>0</v>
      </c>
      <c r="L51" s="156" t="n">
        <f aca="false">SUM(L37:L50)+despesafixaconsolidadojul[[#This Row],[7]]</f>
        <v>0</v>
      </c>
      <c r="M51" s="156" t="n">
        <f aca="false">SUM(M37:M50)+despesafixaconsolidadojul[[#This Row],[8]]</f>
        <v>0</v>
      </c>
      <c r="N51" s="156" t="n">
        <f aca="false">SUM(N37:N50)+despesafixaconsolidadojul[[#This Row],[9]]</f>
        <v>0</v>
      </c>
      <c r="O51" s="156" t="n">
        <f aca="false">SUM(O37:O50)+despesafixaconsolidadojul[[#This Row],[10]]</f>
        <v>0</v>
      </c>
      <c r="P51" s="156" t="n">
        <f aca="false">SUM(P37:P50)+despesafixaconsolidadojul[[#This Row],[11]]</f>
        <v>0</v>
      </c>
      <c r="Q51" s="156" t="n">
        <f aca="false">SUM(Q37:Q50)+despesafixaconsolidadojul[[#This Row],[12]]</f>
        <v>0</v>
      </c>
      <c r="R51" s="156" t="n">
        <f aca="false">SUM(R37:R50)+despesafixaconsolidadojul[[#This Row],[13]]</f>
        <v>0</v>
      </c>
      <c r="S51" s="156" t="n">
        <f aca="false">SUM(S37:S50)+despesafixaconsolidadojul[[#This Row],[14]]</f>
        <v>0</v>
      </c>
      <c r="T51" s="156" t="n">
        <f aca="false">SUM(T37:T50)+despesafixaconsolidadojul[[#This Row],[15]]</f>
        <v>0</v>
      </c>
      <c r="U51" s="156" t="n">
        <f aca="false">SUM(U37:U50)+despesafixaconsolidadojul[[#This Row],[16]]</f>
        <v>0</v>
      </c>
      <c r="V51" s="156" t="n">
        <f aca="false">SUM(V37:V50)+despesafixaconsolidadojul[[#This Row],[17]]</f>
        <v>0</v>
      </c>
      <c r="W51" s="156" t="n">
        <f aca="false">SUM(W37:W50)+despesafixaconsolidadojul[[#This Row],[18]]</f>
        <v>0</v>
      </c>
      <c r="X51" s="156" t="n">
        <f aca="false">SUM(X37:X50)+despesafixaconsolidadojul[[#This Row],[19]]</f>
        <v>0</v>
      </c>
      <c r="Y51" s="156" t="n">
        <f aca="false">SUM(Y37:Y50)+despesafixaconsolidadojul[[#This Row],[20]]</f>
        <v>0</v>
      </c>
      <c r="Z51" s="156" t="n">
        <f aca="false">SUM(Z37:Z50)+despesafixaconsolidadojul[[#This Row],[21]]</f>
        <v>0</v>
      </c>
      <c r="AA51" s="156" t="n">
        <f aca="false">SUM(AA37:AA50)+despesafixaconsolidadojul[[#This Row],[22]]</f>
        <v>0</v>
      </c>
      <c r="AB51" s="156" t="n">
        <f aca="false">SUM(AB37:AB50)+despesafixaconsolidadojul[[#This Row],[23]]</f>
        <v>0</v>
      </c>
      <c r="AC51" s="156" t="n">
        <f aca="false">SUM(AC37:AC50)+despesafixaconsolidadojul[[#This Row],[24]]</f>
        <v>0</v>
      </c>
      <c r="AD51" s="156" t="n">
        <f aca="false">SUM(AD37:AD50)+despesafixaconsolidadojul[[#This Row],[25]]</f>
        <v>0</v>
      </c>
      <c r="AE51" s="156" t="n">
        <f aca="false">SUM(AE37:AE50)+despesafixaconsolidadojul[[#This Row],[26]]</f>
        <v>0</v>
      </c>
      <c r="AF51" s="156" t="n">
        <f aca="false">SUM(AF37:AF50)+despesafixaconsolidadojul[[#This Row],[27]]</f>
        <v>0</v>
      </c>
      <c r="AG51" s="156" t="n">
        <f aca="false">SUM(AG37:AG50)+despesafixaconsolidadojul[[#This Row],[28]]</f>
        <v>0</v>
      </c>
      <c r="AH51" s="156" t="n">
        <f aca="false">SUM(AH37:AH50)+despesafixaconsolidadojul[[#This Row],[29]]</f>
        <v>0</v>
      </c>
      <c r="AI51" s="223" t="n">
        <f aca="false">SUM(AI37:AI50)+despesafixaconsolidadojul[[#This Row],[30]]</f>
        <v>0</v>
      </c>
      <c r="AJ51" s="157" t="n">
        <f aca="false">despesafixaconsolidadojul[[#This Row],[31]]</f>
        <v>0</v>
      </c>
      <c r="AK51" s="158"/>
    </row>
    <row r="52" customFormat="false" ht="6.75" hidden="false" customHeight="true" outlineLevel="0" collapsed="false">
      <c r="B52" s="97"/>
      <c r="C52" s="159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227"/>
      <c r="AJ52" s="97"/>
      <c r="AK52" s="244"/>
    </row>
    <row r="53" customFormat="false" ht="12.75" hidden="false" customHeight="false" outlineLevel="0" collapsed="false">
      <c r="C53" s="133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K53" s="100"/>
    </row>
    <row r="54" customFormat="false" ht="12" hidden="false" customHeight="false" outlineLevel="0" collapsed="false">
      <c r="C54" s="133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</row>
    <row r="55" customFormat="false" ht="12" hidden="false" customHeight="false" outlineLevel="0" collapsed="false">
      <c r="C55" s="133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</row>
    <row r="56" customFormat="false" ht="39.75" hidden="false" customHeight="true" outlineLevel="0" collapsed="false">
      <c r="C56" s="133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3" t="s">
        <v>2</v>
      </c>
    </row>
    <row r="57" s="78" customFormat="true" ht="11.25" hidden="false" customHeight="true" outlineLevel="0" collapsed="false">
      <c r="C57" s="101"/>
      <c r="AJ57" s="106" t="s">
        <v>64</v>
      </c>
    </row>
    <row r="58" customFormat="false" ht="6.75" hidden="false" customHeight="true" outlineLevel="0" collapsed="false">
      <c r="B58" s="139"/>
      <c r="C58" s="140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212"/>
      <c r="AK58" s="139"/>
    </row>
    <row r="59" customFormat="false" ht="12.75" hidden="true" customHeight="false" outlineLevel="0" collapsed="false">
      <c r="B59" s="86"/>
      <c r="C59" s="109" t="s">
        <v>79</v>
      </c>
      <c r="D59" s="110" t="s">
        <v>69</v>
      </c>
      <c r="E59" s="110" t="s">
        <v>30</v>
      </c>
      <c r="F59" s="110" t="s">
        <v>31</v>
      </c>
      <c r="G59" s="110" t="s">
        <v>32</v>
      </c>
      <c r="H59" s="110" t="s">
        <v>33</v>
      </c>
      <c r="I59" s="110" t="s">
        <v>34</v>
      </c>
      <c r="J59" s="110" t="s">
        <v>35</v>
      </c>
      <c r="K59" s="110" t="s">
        <v>36</v>
      </c>
      <c r="L59" s="110" t="s">
        <v>37</v>
      </c>
      <c r="M59" s="110" t="s">
        <v>38</v>
      </c>
      <c r="N59" s="110" t="s">
        <v>39</v>
      </c>
      <c r="O59" s="110" t="s">
        <v>40</v>
      </c>
      <c r="P59" s="110" t="s">
        <v>41</v>
      </c>
      <c r="Q59" s="110" t="s">
        <v>81</v>
      </c>
      <c r="R59" s="110" t="s">
        <v>82</v>
      </c>
      <c r="S59" s="110" t="s">
        <v>83</v>
      </c>
      <c r="T59" s="110" t="s">
        <v>84</v>
      </c>
      <c r="U59" s="110" t="s">
        <v>85</v>
      </c>
      <c r="V59" s="110" t="s">
        <v>86</v>
      </c>
      <c r="W59" s="110" t="s">
        <v>87</v>
      </c>
      <c r="X59" s="110" t="s">
        <v>88</v>
      </c>
      <c r="Y59" s="110" t="s">
        <v>89</v>
      </c>
      <c r="Z59" s="110" t="s">
        <v>90</v>
      </c>
      <c r="AA59" s="110" t="s">
        <v>91</v>
      </c>
      <c r="AB59" s="110" t="s">
        <v>92</v>
      </c>
      <c r="AC59" s="110" t="s">
        <v>93</v>
      </c>
      <c r="AD59" s="110" t="s">
        <v>94</v>
      </c>
      <c r="AE59" s="110" t="s">
        <v>95</v>
      </c>
      <c r="AF59" s="110" t="s">
        <v>96</v>
      </c>
      <c r="AG59" s="110" t="s">
        <v>97</v>
      </c>
      <c r="AH59" s="110" t="s">
        <v>98</v>
      </c>
      <c r="AI59" s="110" t="s">
        <v>99</v>
      </c>
      <c r="AJ59" s="142" t="s">
        <v>2</v>
      </c>
      <c r="AK59" s="86" t="s">
        <v>75</v>
      </c>
    </row>
    <row r="60" customFormat="false" ht="19.5" hidden="false" customHeight="true" outlineLevel="0" collapsed="false">
      <c r="B60" s="143"/>
      <c r="C60" s="144" t="str">
        <f aca="false">DADOS!$T$3</f>
        <v>🍕 ALIMENTAÇÃO</v>
      </c>
      <c r="D60" s="145" t="str">
        <f aca="false">IF(despesavariávelconsolidadojul[[#This Row],[TOTAL]]=0,"",IF(OR(despesavariávelconsolidadojul[[#This Row],[TOTAL]]=LARGE($AJ$60:$AJ$72,1),despesavariávelconsolidadojul[[#This Row],[TOTAL]]=LARGE($AJ$60:$AJ$72,2),despesavariávelconsolidadojul[[#This Row],[TOTAL]]=LARGE($AJ$60:$AJ$72,3),despesavariávelconsolidadojul[[#This Row],[TOTAL]]=LARGE($AJ$60:$AJ$72,4),despesavariávelconsolidadojul[[#This Row],[TOTAL]]=LARGE($AJ$60:$AJ$72,5)),DADOS!$I$8,""))</f>
        <v/>
      </c>
      <c r="E60" s="146" t="n">
        <f aca="false">SUMIFS(tabela_registros[VALOR],tabela_registros[MÊS],$AE$1,tabela_registros[DIA],jultotal3059718395107[[#Headers],[1]],tabela_registros[REGISTRO],DADOS!$N$4,tabela_registros[TIPO],DADOS!$P$4,tabela_registros[CATEGORIA],despesavariávelconsolidadojul[[#This Row],[DESPESA VARIÁVEL]])</f>
        <v>0</v>
      </c>
      <c r="F60" s="114" t="n">
        <f aca="false">SUMIFS(tabela_registros[VALOR],tabela_registros[MÊS],$AE$1,tabela_registros[DIA],jultotal3059718395107[[#Headers],[2]],tabela_registros[REGISTRO],DADOS!$N$4,tabela_registros[TIPO],DADOS!$P$4,tabela_registros[CATEGORIA],despesavariávelconsolidadojul[[#This Row],[DESPESA VARIÁVEL]])</f>
        <v>0</v>
      </c>
      <c r="G60" s="114" t="n">
        <f aca="false">SUMIFS(tabela_registros[VALOR],tabela_registros[MÊS],$AE$1,tabela_registros[DIA],jultotal3059718395107[[#Headers],[3]],tabela_registros[REGISTRO],DADOS!$N$4,tabela_registros[TIPO],DADOS!$P$4,tabela_registros[CATEGORIA],despesavariávelconsolidadojul[[#This Row],[DESPESA VARIÁVEL]])</f>
        <v>0</v>
      </c>
      <c r="H60" s="114" t="n">
        <f aca="false">SUMIFS(tabela_registros[VALOR],tabela_registros[MÊS],$AE$1,tabela_registros[DIA],jultotal3059718395107[[#Headers],[4]],tabela_registros[REGISTRO],DADOS!$N$4,tabela_registros[TIPO],DADOS!$P$4,tabela_registros[CATEGORIA],despesavariávelconsolidadojul[[#This Row],[DESPESA VARIÁVEL]])</f>
        <v>0</v>
      </c>
      <c r="I60" s="114" t="n">
        <f aca="false">SUMIFS(tabela_registros[VALOR],tabela_registros[MÊS],$AE$1,tabela_registros[DIA],jultotal3059718395107[[#Headers],[5]],tabela_registros[REGISTRO],DADOS!$N$4,tabela_registros[TIPO],DADOS!$P$4,tabela_registros[CATEGORIA],despesavariávelconsolidadojul[[#This Row],[DESPESA VARIÁVEL]])</f>
        <v>0</v>
      </c>
      <c r="J60" s="114" t="n">
        <f aca="false">SUMIFS(tabela_registros[VALOR],tabela_registros[MÊS],$AE$1,tabela_registros[DIA],jultotal3059718395107[[#Headers],[6]],tabela_registros[REGISTRO],DADOS!$N$4,tabela_registros[TIPO],DADOS!$P$4,tabela_registros[CATEGORIA],despesavariávelconsolidadojul[[#This Row],[DESPESA VARIÁVEL]])</f>
        <v>0</v>
      </c>
      <c r="K60" s="114" t="n">
        <f aca="false">SUMIFS(tabela_registros[VALOR],tabela_registros[MÊS],$AE$1,tabela_registros[DIA],jultotal3059718395107[[#Headers],[7]],tabela_registros[REGISTRO],DADOS!$N$4,tabela_registros[TIPO],DADOS!$P$4,tabela_registros[CATEGORIA],despesavariávelconsolidadojul[[#This Row],[DESPESA VARIÁVEL]])</f>
        <v>0</v>
      </c>
      <c r="L60" s="114" t="n">
        <f aca="false">SUMIFS(tabela_registros[VALOR],tabela_registros[MÊS],$AE$1,tabela_registros[DIA],jultotal3059718395107[[#Headers],[8]],tabela_registros[REGISTRO],DADOS!$N$4,tabela_registros[TIPO],DADOS!$P$4,tabela_registros[CATEGORIA],despesavariávelconsolidadojul[[#This Row],[DESPESA VARIÁVEL]])</f>
        <v>0</v>
      </c>
      <c r="M60" s="114" t="n">
        <f aca="false">SUMIFS(tabela_registros[VALOR],tabela_registros[MÊS],$AE$1,tabela_registros[DIA],jultotal3059718395107[[#Headers],[9]],tabela_registros[REGISTRO],DADOS!$N$4,tabela_registros[TIPO],DADOS!$P$4,tabela_registros[CATEGORIA],despesavariávelconsolidadojul[[#This Row],[DESPESA VARIÁVEL]])</f>
        <v>0</v>
      </c>
      <c r="N60" s="114" t="n">
        <f aca="false">SUMIFS(tabela_registros[VALOR],tabela_registros[MÊS],$AE$1,tabela_registros[DIA],jultotal3059718395107[[#Headers],[10]],tabela_registros[REGISTRO],DADOS!$N$4,tabela_registros[TIPO],DADOS!$P$4,tabela_registros[CATEGORIA],despesavariávelconsolidadojul[[#This Row],[DESPESA VARIÁVEL]])</f>
        <v>0</v>
      </c>
      <c r="O60" s="114" t="n">
        <f aca="false">SUMIFS(tabela_registros[VALOR],tabela_registros[MÊS],$AE$1,tabela_registros[DIA],jultotal3059718395107[[#Headers],[11]],tabela_registros[REGISTRO],DADOS!$N$4,tabela_registros[TIPO],DADOS!$P$4,tabela_registros[CATEGORIA],despesavariávelconsolidadojul[[#This Row],[DESPESA VARIÁVEL]])</f>
        <v>0</v>
      </c>
      <c r="P60" s="114" t="n">
        <f aca="false">SUMIFS(tabela_registros[VALOR],tabela_registros[MÊS],$AE$1,tabela_registros[DIA],jultotal3059718395107[[#Headers],[12]],tabela_registros[REGISTRO],DADOS!$N$4,tabela_registros[TIPO],DADOS!$P$4,tabela_registros[CATEGORIA],despesavariávelconsolidadojul[[#This Row],[DESPESA VARIÁVEL]])</f>
        <v>0</v>
      </c>
      <c r="Q60" s="114" t="n">
        <f aca="false">SUMIFS(tabela_registros[VALOR],tabela_registros[MÊS],$AE$1,tabela_registros[DIA],jultotal3059718395107[[#Headers],[13]],tabela_registros[REGISTRO],DADOS!$N$4,tabela_registros[TIPO],DADOS!$P$4,tabela_registros[CATEGORIA],despesavariávelconsolidadojul[[#This Row],[DESPESA VARIÁVEL]])</f>
        <v>0</v>
      </c>
      <c r="R60" s="114" t="n">
        <f aca="false">SUMIFS(tabela_registros[VALOR],tabela_registros[MÊS],$AE$1,tabela_registros[DIA],jultotal3059718395107[[#Headers],[14]],tabela_registros[REGISTRO],DADOS!$N$4,tabela_registros[TIPO],DADOS!$P$4,tabela_registros[CATEGORIA],despesavariávelconsolidadojul[[#This Row],[DESPESA VARIÁVEL]])</f>
        <v>0</v>
      </c>
      <c r="S60" s="114" t="n">
        <f aca="false">SUMIFS(tabela_registros[VALOR],tabela_registros[MÊS],$AE$1,tabela_registros[DIA],jultotal3059718395107[[#Headers],[15]],tabela_registros[REGISTRO],DADOS!$N$4,tabela_registros[TIPO],DADOS!$P$4,tabela_registros[CATEGORIA],despesavariávelconsolidadojul[[#This Row],[DESPESA VARIÁVEL]])</f>
        <v>0</v>
      </c>
      <c r="T60" s="114" t="n">
        <f aca="false">SUMIFS(tabela_registros[VALOR],tabela_registros[MÊS],$AE$1,tabela_registros[DIA],jultotal3059718395107[[#Headers],[16]],tabela_registros[REGISTRO],DADOS!$N$4,tabela_registros[TIPO],DADOS!$P$4,tabela_registros[CATEGORIA],despesavariávelconsolidadojul[[#This Row],[DESPESA VARIÁVEL]])</f>
        <v>0</v>
      </c>
      <c r="U60" s="114" t="n">
        <f aca="false">SUMIFS(tabela_registros[VALOR],tabela_registros[MÊS],$AE$1,tabela_registros[DIA],jultotal3059718395107[[#Headers],[17]],tabela_registros[REGISTRO],DADOS!$N$4,tabela_registros[TIPO],DADOS!$P$4,tabela_registros[CATEGORIA],despesavariávelconsolidadojul[[#This Row],[DESPESA VARIÁVEL]])</f>
        <v>0</v>
      </c>
      <c r="V60" s="114" t="n">
        <f aca="false">SUMIFS(tabela_registros[VALOR],tabela_registros[MÊS],$AE$1,tabela_registros[DIA],jultotal3059718395107[[#Headers],[18]],tabela_registros[REGISTRO],DADOS!$N$4,tabela_registros[TIPO],DADOS!$P$4,tabela_registros[CATEGORIA],despesavariávelconsolidadojul[[#This Row],[DESPESA VARIÁVEL]])</f>
        <v>0</v>
      </c>
      <c r="W60" s="114" t="n">
        <f aca="false">SUMIFS(tabela_registros[VALOR],tabela_registros[MÊS],$AE$1,tabela_registros[DIA],jultotal3059718395107[[#Headers],[19]],tabela_registros[REGISTRO],DADOS!$N$4,tabela_registros[TIPO],DADOS!$P$4,tabela_registros[CATEGORIA],despesavariávelconsolidadojul[[#This Row],[DESPESA VARIÁVEL]])</f>
        <v>0</v>
      </c>
      <c r="X60" s="114" t="n">
        <f aca="false">SUMIFS(tabela_registros[VALOR],tabela_registros[MÊS],$AE$1,tabela_registros[DIA],jultotal3059718395107[[#Headers],[20]],tabela_registros[REGISTRO],DADOS!$N$4,tabela_registros[TIPO],DADOS!$P$4,tabela_registros[CATEGORIA],despesavariávelconsolidadojul[[#This Row],[DESPESA VARIÁVEL]])</f>
        <v>0</v>
      </c>
      <c r="Y60" s="114" t="n">
        <f aca="false">SUMIFS(tabela_registros[VALOR],tabela_registros[MÊS],$AE$1,tabela_registros[DIA],jultotal3059718395107[[#Headers],[21]],tabela_registros[REGISTRO],DADOS!$N$4,tabela_registros[TIPO],DADOS!$P$4,tabela_registros[CATEGORIA],despesavariávelconsolidadojul[[#This Row],[DESPESA VARIÁVEL]])</f>
        <v>0</v>
      </c>
      <c r="Z60" s="114" t="n">
        <f aca="false">SUMIFS(tabela_registros[VALOR],tabela_registros[MÊS],$AE$1,tabela_registros[DIA],jultotal3059718395107[[#Headers],[22]],tabela_registros[REGISTRO],DADOS!$N$4,tabela_registros[TIPO],DADOS!$P$4,tabela_registros[CATEGORIA],despesavariávelconsolidadojul[[#This Row],[DESPESA VARIÁVEL]])</f>
        <v>0</v>
      </c>
      <c r="AA60" s="114" t="n">
        <f aca="false">SUMIFS(tabela_registros[VALOR],tabela_registros[MÊS],$AE$1,tabela_registros[DIA],jultotal3059718395107[[#Headers],[23]],tabela_registros[REGISTRO],DADOS!$N$4,tabela_registros[TIPO],DADOS!$P$4,tabela_registros[CATEGORIA],despesavariávelconsolidadojul[[#This Row],[DESPESA VARIÁVEL]])</f>
        <v>0</v>
      </c>
      <c r="AB60" s="114" t="n">
        <f aca="false">SUMIFS(tabela_registros[VALOR],tabela_registros[MÊS],$AE$1,tabela_registros[DIA],jultotal3059718395107[[#Headers],[24]],tabela_registros[REGISTRO],DADOS!$N$4,tabela_registros[TIPO],DADOS!$P$4,tabela_registros[CATEGORIA],despesavariávelconsolidadojul[[#This Row],[DESPESA VARIÁVEL]])</f>
        <v>0</v>
      </c>
      <c r="AC60" s="114" t="n">
        <f aca="false">SUMIFS(tabela_registros[VALOR],tabela_registros[MÊS],$AE$1,tabela_registros[DIA],jultotal3059718395107[[#Headers],[25]],tabela_registros[REGISTRO],DADOS!$N$4,tabela_registros[TIPO],DADOS!$P$4,tabela_registros[CATEGORIA],despesavariávelconsolidadojul[[#This Row],[DESPESA VARIÁVEL]])</f>
        <v>0</v>
      </c>
      <c r="AD60" s="114" t="n">
        <f aca="false">SUMIFS(tabela_registros[VALOR],tabela_registros[MÊS],$AE$1,tabela_registros[DIA],jultotal3059718395107[[#Headers],[26]],tabela_registros[REGISTRO],DADOS!$N$4,tabela_registros[TIPO],DADOS!$P$4,tabela_registros[CATEGORIA],despesavariávelconsolidadojul[[#This Row],[DESPESA VARIÁVEL]])</f>
        <v>0</v>
      </c>
      <c r="AE60" s="114" t="n">
        <f aca="false">SUMIFS(tabela_registros[VALOR],tabela_registros[MÊS],$AE$1,tabela_registros[DIA],jultotal3059718395107[[#Headers],[27]],tabela_registros[REGISTRO],DADOS!$N$4,tabela_registros[TIPO],DADOS!$P$4,tabela_registros[CATEGORIA],despesavariávelconsolidadojul[[#This Row],[DESPESA VARIÁVEL]])</f>
        <v>0</v>
      </c>
      <c r="AF60" s="114" t="n">
        <f aca="false">SUMIFS(tabela_registros[VALOR],tabela_registros[MÊS],$AE$1,tabela_registros[DIA],jultotal3059718395107[[#Headers],[28]],tabela_registros[REGISTRO],DADOS!$N$4,tabela_registros[TIPO],DADOS!$P$4,tabela_registros[CATEGORIA],despesavariávelconsolidadojul[[#This Row],[DESPESA VARIÁVEL]])</f>
        <v>0</v>
      </c>
      <c r="AG60" s="114" t="n">
        <f aca="false">SUMIFS(tabela_registros[VALOR],tabela_registros[MÊS],$AE$1,tabela_registros[DIA],jultotal3059718395107[[#Headers],[29]],tabela_registros[REGISTRO],DADOS!$N$4,tabela_registros[TIPO],DADOS!$P$4,tabela_registros[CATEGORIA],despesavariávelconsolidadojul[[#This Row],[DESPESA VARIÁVEL]])</f>
        <v>0</v>
      </c>
      <c r="AH60" s="114" t="n">
        <f aca="false">SUMIFS(tabela_registros[VALOR],tabela_registros[MÊS],$AE$1,tabela_registros[DIA],jultotal3059718395107[[#Headers],[30]],tabela_registros[REGISTRO],DADOS!$N$4,tabela_registros[TIPO],DADOS!$P$4,tabela_registros[CATEGORIA],despesavariávelconsolidadojul[[#This Row],[DESPESA VARIÁVEL]])</f>
        <v>0</v>
      </c>
      <c r="AI60" s="216" t="n">
        <f aca="false">SUMIFS(tabela_registros[VALOR],tabela_registros[MÊS],$AE$1,tabela_registros[DIA],jultotal3059718395107[[#Headers],[31]],tabela_registros[REGISTRO],DADOS!$N$4,tabela_registros[TIPO],DADOS!$P$4,tabela_registros[CATEGORIA],despesavariávelconsolidadojul[[#This Row],[DESPESA VARIÁVEL]])</f>
        <v>0</v>
      </c>
      <c r="AJ60" s="147" t="n">
        <f aca="false">SUM(despesavariávelconsolidadojul[[#This Row],[1]:[31]])</f>
        <v>0</v>
      </c>
      <c r="AK60" s="143"/>
    </row>
    <row r="61" customFormat="false" ht="18" hidden="false" customHeight="true" outlineLevel="0" collapsed="false">
      <c r="B61" s="143"/>
      <c r="C61" s="144" t="str">
        <f aca="false">DADOS!$T$4</f>
        <v>💳 CARTÃO DE CRÉDITO</v>
      </c>
      <c r="D61" s="145" t="str">
        <f aca="false">IF(despesavariávelconsolidadojul[[#This Row],[TOTAL]]=0,"",IF(OR(despesavariávelconsolidadojul[[#This Row],[TOTAL]]=LARGE($AJ$60:$AJ$72,1),despesavariávelconsolidadojul[[#This Row],[TOTAL]]=LARGE($AJ$60:$AJ$72,2),despesavariávelconsolidadojul[[#This Row],[TOTAL]]=LARGE($AJ$60:$AJ$72,3),despesavariávelconsolidadojul[[#This Row],[TOTAL]]=LARGE($AJ$60:$AJ$72,4),despesavariávelconsolidadojul[[#This Row],[TOTAL]]=LARGE($AJ$60:$AJ$72,5)),DADOS!$I$8,""))</f>
        <v/>
      </c>
      <c r="E61" s="148" t="n">
        <f aca="false">SUMIFS(tabela_registros[VALOR],tabela_registros[MÊS],$AE$1,tabela_registros[DIA],jultotal3059718395107[[#Headers],[1]],tabela_registros[REGISTRO],DADOS!$N$4,tabela_registros[TIPO],DADOS!$P$4,tabela_registros[CATEGORIA],despesavariávelconsolidadojul[[#This Row],[DESPESA VARIÁVEL]])</f>
        <v>0</v>
      </c>
      <c r="F61" s="119" t="n">
        <f aca="false">SUMIFS(tabela_registros[VALOR],tabela_registros[MÊS],$AE$1,tabela_registros[DIA],jultotal3059718395107[[#Headers],[2]],tabela_registros[REGISTRO],DADOS!$N$4,tabela_registros[TIPO],DADOS!$P$4,tabela_registros[CATEGORIA],despesavariávelconsolidadojul[[#This Row],[DESPESA VARIÁVEL]])</f>
        <v>0</v>
      </c>
      <c r="G61" s="119" t="n">
        <f aca="false">SUMIFS(tabela_registros[VALOR],tabela_registros[MÊS],$AE$1,tabela_registros[DIA],jultotal3059718395107[[#Headers],[3]],tabela_registros[REGISTRO],DADOS!$N$4,tabela_registros[TIPO],DADOS!$P$4,tabela_registros[CATEGORIA],despesavariávelconsolidadojul[[#This Row],[DESPESA VARIÁVEL]])</f>
        <v>0</v>
      </c>
      <c r="H61" s="119" t="n">
        <f aca="false">SUMIFS(tabela_registros[VALOR],tabela_registros[MÊS],$AE$1,tabela_registros[DIA],jultotal3059718395107[[#Headers],[4]],tabela_registros[REGISTRO],DADOS!$N$4,tabela_registros[TIPO],DADOS!$P$4,tabela_registros[CATEGORIA],despesavariávelconsolidadojul[[#This Row],[DESPESA VARIÁVEL]])</f>
        <v>0</v>
      </c>
      <c r="I61" s="119" t="n">
        <f aca="false">SUMIFS(tabela_registros[VALOR],tabela_registros[MÊS],$AE$1,tabela_registros[DIA],jultotal3059718395107[[#Headers],[5]],tabela_registros[REGISTRO],DADOS!$N$4,tabela_registros[TIPO],DADOS!$P$4,tabela_registros[CATEGORIA],despesavariávelconsolidadojul[[#This Row],[DESPESA VARIÁVEL]])</f>
        <v>0</v>
      </c>
      <c r="J61" s="119" t="n">
        <f aca="false">SUMIFS(tabela_registros[VALOR],tabela_registros[MÊS],$AE$1,tabela_registros[DIA],jultotal3059718395107[[#Headers],[6]],tabela_registros[REGISTRO],DADOS!$N$4,tabela_registros[TIPO],DADOS!$P$4,tabela_registros[CATEGORIA],despesavariávelconsolidadojul[[#This Row],[DESPESA VARIÁVEL]])</f>
        <v>0</v>
      </c>
      <c r="K61" s="119" t="n">
        <f aca="false">SUMIFS(tabela_registros[VALOR],tabela_registros[MÊS],$AE$1,tabela_registros[DIA],jultotal3059718395107[[#Headers],[7]],tabela_registros[REGISTRO],DADOS!$N$4,tabela_registros[TIPO],DADOS!$P$4,tabela_registros[CATEGORIA],despesavariávelconsolidadojul[[#This Row],[DESPESA VARIÁVEL]])</f>
        <v>0</v>
      </c>
      <c r="L61" s="119" t="n">
        <f aca="false">SUMIFS(tabela_registros[VALOR],tabela_registros[MÊS],$AE$1,tabela_registros[DIA],jultotal3059718395107[[#Headers],[8]],tabela_registros[REGISTRO],DADOS!$N$4,tabela_registros[TIPO],DADOS!$P$4,tabela_registros[CATEGORIA],despesavariávelconsolidadojul[[#This Row],[DESPESA VARIÁVEL]])</f>
        <v>0</v>
      </c>
      <c r="M61" s="119" t="n">
        <f aca="false">SUMIFS(tabela_registros[VALOR],tabela_registros[MÊS],$AE$1,tabela_registros[DIA],jultotal3059718395107[[#Headers],[9]],tabela_registros[REGISTRO],DADOS!$N$4,tabela_registros[TIPO],DADOS!$P$4,tabela_registros[CATEGORIA],despesavariávelconsolidadojul[[#This Row],[DESPESA VARIÁVEL]])</f>
        <v>0</v>
      </c>
      <c r="N61" s="119" t="n">
        <f aca="false">SUMIFS(tabela_registros[VALOR],tabela_registros[MÊS],$AE$1,tabela_registros[DIA],jultotal3059718395107[[#Headers],[10]],tabela_registros[REGISTRO],DADOS!$N$4,tabela_registros[TIPO],DADOS!$P$4,tabela_registros[CATEGORIA],despesavariávelconsolidadojul[[#This Row],[DESPESA VARIÁVEL]])</f>
        <v>0</v>
      </c>
      <c r="O61" s="119" t="n">
        <f aca="false">SUMIFS(tabela_registros[VALOR],tabela_registros[MÊS],$AE$1,tabela_registros[DIA],jultotal3059718395107[[#Headers],[11]],tabela_registros[REGISTRO],DADOS!$N$4,tabela_registros[TIPO],DADOS!$P$4,tabela_registros[CATEGORIA],despesavariávelconsolidadojul[[#This Row],[DESPESA VARIÁVEL]])</f>
        <v>0</v>
      </c>
      <c r="P61" s="119" t="n">
        <f aca="false">SUMIFS(tabela_registros[VALOR],tabela_registros[MÊS],$AE$1,tabela_registros[DIA],jultotal3059718395107[[#Headers],[12]],tabela_registros[REGISTRO],DADOS!$N$4,tabela_registros[TIPO],DADOS!$P$4,tabela_registros[CATEGORIA],despesavariávelconsolidadojul[[#This Row],[DESPESA VARIÁVEL]])</f>
        <v>0</v>
      </c>
      <c r="Q61" s="119" t="n">
        <f aca="false">SUMIFS(tabela_registros[VALOR],tabela_registros[MÊS],$AE$1,tabela_registros[DIA],jultotal3059718395107[[#Headers],[13]],tabela_registros[REGISTRO],DADOS!$N$4,tabela_registros[TIPO],DADOS!$P$4,tabela_registros[CATEGORIA],despesavariávelconsolidadojul[[#This Row],[DESPESA VARIÁVEL]])</f>
        <v>0</v>
      </c>
      <c r="R61" s="119" t="n">
        <f aca="false">SUMIFS(tabela_registros[VALOR],tabela_registros[MÊS],$AE$1,tabela_registros[DIA],jultotal3059718395107[[#Headers],[14]],tabela_registros[REGISTRO],DADOS!$N$4,tabela_registros[TIPO],DADOS!$P$4,tabela_registros[CATEGORIA],despesavariávelconsolidadojul[[#This Row],[DESPESA VARIÁVEL]])</f>
        <v>0</v>
      </c>
      <c r="S61" s="119" t="n">
        <f aca="false">SUMIFS(tabela_registros[VALOR],tabela_registros[MÊS],$AE$1,tabela_registros[DIA],jultotal3059718395107[[#Headers],[15]],tabela_registros[REGISTRO],DADOS!$N$4,tabela_registros[TIPO],DADOS!$P$4,tabela_registros[CATEGORIA],despesavariávelconsolidadojul[[#This Row],[DESPESA VARIÁVEL]])</f>
        <v>0</v>
      </c>
      <c r="T61" s="119" t="n">
        <f aca="false">SUMIFS(tabela_registros[VALOR],tabela_registros[MÊS],$AE$1,tabela_registros[DIA],jultotal3059718395107[[#Headers],[16]],tabela_registros[REGISTRO],DADOS!$N$4,tabela_registros[TIPO],DADOS!$P$4,tabela_registros[CATEGORIA],despesavariávelconsolidadojul[[#This Row],[DESPESA VARIÁVEL]])</f>
        <v>0</v>
      </c>
      <c r="U61" s="119" t="n">
        <f aca="false">SUMIFS(tabela_registros[VALOR],tabela_registros[MÊS],$AE$1,tabela_registros[DIA],jultotal3059718395107[[#Headers],[17]],tabela_registros[REGISTRO],DADOS!$N$4,tabela_registros[TIPO],DADOS!$P$4,tabela_registros[CATEGORIA],despesavariávelconsolidadojul[[#This Row],[DESPESA VARIÁVEL]])</f>
        <v>0</v>
      </c>
      <c r="V61" s="119" t="n">
        <f aca="false">SUMIFS(tabela_registros[VALOR],tabela_registros[MÊS],$AE$1,tabela_registros[DIA],jultotal3059718395107[[#Headers],[18]],tabela_registros[REGISTRO],DADOS!$N$4,tabela_registros[TIPO],DADOS!$P$4,tabela_registros[CATEGORIA],despesavariávelconsolidadojul[[#This Row],[DESPESA VARIÁVEL]])</f>
        <v>0</v>
      </c>
      <c r="W61" s="119" t="n">
        <f aca="false">SUMIFS(tabela_registros[VALOR],tabela_registros[MÊS],$AE$1,tabela_registros[DIA],jultotal3059718395107[[#Headers],[19]],tabela_registros[REGISTRO],DADOS!$N$4,tabela_registros[TIPO],DADOS!$P$4,tabela_registros[CATEGORIA],despesavariávelconsolidadojul[[#This Row],[DESPESA VARIÁVEL]])</f>
        <v>0</v>
      </c>
      <c r="X61" s="119" t="n">
        <f aca="false">SUMIFS(tabela_registros[VALOR],tabela_registros[MÊS],$AE$1,tabela_registros[DIA],jultotal3059718395107[[#Headers],[20]],tabela_registros[REGISTRO],DADOS!$N$4,tabela_registros[TIPO],DADOS!$P$4,tabela_registros[CATEGORIA],despesavariávelconsolidadojul[[#This Row],[DESPESA VARIÁVEL]])</f>
        <v>0</v>
      </c>
      <c r="Y61" s="119" t="n">
        <f aca="false">SUMIFS(tabela_registros[VALOR],tabela_registros[MÊS],$AE$1,tabela_registros[DIA],jultotal3059718395107[[#Headers],[21]],tabela_registros[REGISTRO],DADOS!$N$4,tabela_registros[TIPO],DADOS!$P$4,tabela_registros[CATEGORIA],despesavariávelconsolidadojul[[#This Row],[DESPESA VARIÁVEL]])</f>
        <v>0</v>
      </c>
      <c r="Z61" s="119" t="n">
        <f aca="false">SUMIFS(tabela_registros[VALOR],tabela_registros[MÊS],$AE$1,tabela_registros[DIA],jultotal3059718395107[[#Headers],[22]],tabela_registros[REGISTRO],DADOS!$N$4,tabela_registros[TIPO],DADOS!$P$4,tabela_registros[CATEGORIA],despesavariávelconsolidadojul[[#This Row],[DESPESA VARIÁVEL]])</f>
        <v>0</v>
      </c>
      <c r="AA61" s="119" t="n">
        <f aca="false">SUMIFS(tabela_registros[VALOR],tabela_registros[MÊS],$AE$1,tabela_registros[DIA],jultotal3059718395107[[#Headers],[23]],tabela_registros[REGISTRO],DADOS!$N$4,tabela_registros[TIPO],DADOS!$P$4,tabela_registros[CATEGORIA],despesavariávelconsolidadojul[[#This Row],[DESPESA VARIÁVEL]])</f>
        <v>0</v>
      </c>
      <c r="AB61" s="119" t="n">
        <f aca="false">SUMIFS(tabela_registros[VALOR],tabela_registros[MÊS],$AE$1,tabela_registros[DIA],jultotal3059718395107[[#Headers],[24]],tabela_registros[REGISTRO],DADOS!$N$4,tabela_registros[TIPO],DADOS!$P$4,tabela_registros[CATEGORIA],despesavariávelconsolidadojul[[#This Row],[DESPESA VARIÁVEL]])</f>
        <v>0</v>
      </c>
      <c r="AC61" s="119" t="n">
        <f aca="false">SUMIFS(tabela_registros[VALOR],tabela_registros[MÊS],$AE$1,tabela_registros[DIA],jultotal3059718395107[[#Headers],[25]],tabela_registros[REGISTRO],DADOS!$N$4,tabela_registros[TIPO],DADOS!$P$4,tabela_registros[CATEGORIA],despesavariávelconsolidadojul[[#This Row],[DESPESA VARIÁVEL]])</f>
        <v>0</v>
      </c>
      <c r="AD61" s="119" t="n">
        <f aca="false">SUMIFS(tabela_registros[VALOR],tabela_registros[MÊS],$AE$1,tabela_registros[DIA],jultotal3059718395107[[#Headers],[26]],tabela_registros[REGISTRO],DADOS!$N$4,tabela_registros[TIPO],DADOS!$P$4,tabela_registros[CATEGORIA],despesavariávelconsolidadojul[[#This Row],[DESPESA VARIÁVEL]])</f>
        <v>0</v>
      </c>
      <c r="AE61" s="119" t="n">
        <f aca="false">SUMIFS(tabela_registros[VALOR],tabela_registros[MÊS],$AE$1,tabela_registros[DIA],jultotal3059718395107[[#Headers],[27]],tabela_registros[REGISTRO],DADOS!$N$4,tabela_registros[TIPO],DADOS!$P$4,tabela_registros[CATEGORIA],despesavariávelconsolidadojul[[#This Row],[DESPESA VARIÁVEL]])</f>
        <v>0</v>
      </c>
      <c r="AF61" s="119" t="n">
        <f aca="false">SUMIFS(tabela_registros[VALOR],tabela_registros[MÊS],$AE$1,tabela_registros[DIA],jultotal3059718395107[[#Headers],[28]],tabela_registros[REGISTRO],DADOS!$N$4,tabela_registros[TIPO],DADOS!$P$4,tabela_registros[CATEGORIA],despesavariávelconsolidadojul[[#This Row],[DESPESA VARIÁVEL]])</f>
        <v>0</v>
      </c>
      <c r="AG61" s="119" t="n">
        <f aca="false">SUMIFS(tabela_registros[VALOR],tabela_registros[MÊS],$AE$1,tabela_registros[DIA],jultotal3059718395107[[#Headers],[29]],tabela_registros[REGISTRO],DADOS!$N$4,tabela_registros[TIPO],DADOS!$P$4,tabela_registros[CATEGORIA],despesavariávelconsolidadojul[[#This Row],[DESPESA VARIÁVEL]])</f>
        <v>0</v>
      </c>
      <c r="AH61" s="119" t="n">
        <f aca="false">SUMIFS(tabela_registros[VALOR],tabela_registros[MÊS],$AE$1,tabela_registros[DIA],jultotal3059718395107[[#Headers],[30]],tabela_registros[REGISTRO],DADOS!$N$4,tabela_registros[TIPO],DADOS!$P$4,tabela_registros[CATEGORIA],despesavariávelconsolidadojul[[#This Row],[DESPESA VARIÁVEL]])</f>
        <v>0</v>
      </c>
      <c r="AI61" s="217" t="n">
        <f aca="false">SUMIFS(tabela_registros[VALOR],tabela_registros[MÊS],$AE$1,tabela_registros[DIA],jultotal3059718395107[[#Headers],[31]],tabela_registros[REGISTRO],DADOS!$N$4,tabela_registros[TIPO],DADOS!$P$4,tabela_registros[CATEGORIA],despesavariávelconsolidadojul[[#This Row],[DESPESA VARIÁVEL]])</f>
        <v>0</v>
      </c>
      <c r="AJ61" s="149" t="n">
        <f aca="false">SUM(despesavariávelconsolidadojul[[#This Row],[1]:[31]])</f>
        <v>0</v>
      </c>
      <c r="AK61" s="143"/>
    </row>
    <row r="62" customFormat="false" ht="18" hidden="false" customHeight="true" outlineLevel="0" collapsed="false">
      <c r="B62" s="143"/>
      <c r="C62" s="144" t="str">
        <f aca="false">DADOS!$T$5</f>
        <v>✍️ CHEQUE ESPECIAL</v>
      </c>
      <c r="D62" s="145" t="str">
        <f aca="false">IF(despesavariávelconsolidadojul[[#This Row],[TOTAL]]=0,"",IF(OR(despesavariávelconsolidadojul[[#This Row],[TOTAL]]=LARGE($AJ$60:$AJ$72,1),despesavariávelconsolidadojul[[#This Row],[TOTAL]]=LARGE($AJ$60:$AJ$72,2),despesavariávelconsolidadojul[[#This Row],[TOTAL]]=LARGE($AJ$60:$AJ$72,3),despesavariávelconsolidadojul[[#This Row],[TOTAL]]=LARGE($AJ$60:$AJ$72,4),despesavariávelconsolidadojul[[#This Row],[TOTAL]]=LARGE($AJ$60:$AJ$72,5)),DADOS!$I$8,""))</f>
        <v/>
      </c>
      <c r="E62" s="148" t="n">
        <f aca="false">SUMIFS(tabela_registros[VALOR],tabela_registros[MÊS],$AE$1,tabela_registros[DIA],jultotal3059718395107[[#Headers],[1]],tabela_registros[REGISTRO],DADOS!$N$4,tabela_registros[TIPO],DADOS!$P$4,tabela_registros[CATEGORIA],despesavariávelconsolidadojul[[#This Row],[DESPESA VARIÁVEL]])</f>
        <v>0</v>
      </c>
      <c r="F62" s="119" t="n">
        <f aca="false">SUMIFS(tabela_registros[VALOR],tabela_registros[MÊS],$AE$1,tabela_registros[DIA],jultotal3059718395107[[#Headers],[2]],tabela_registros[REGISTRO],DADOS!$N$4,tabela_registros[TIPO],DADOS!$P$4,tabela_registros[CATEGORIA],despesavariávelconsolidadojul[[#This Row],[DESPESA VARIÁVEL]])</f>
        <v>0</v>
      </c>
      <c r="G62" s="119" t="n">
        <f aca="false">SUMIFS(tabela_registros[VALOR],tabela_registros[MÊS],$AE$1,tabela_registros[DIA],jultotal3059718395107[[#Headers],[3]],tabela_registros[REGISTRO],DADOS!$N$4,tabela_registros[TIPO],DADOS!$P$4,tabela_registros[CATEGORIA],despesavariávelconsolidadojul[[#This Row],[DESPESA VARIÁVEL]])</f>
        <v>0</v>
      </c>
      <c r="H62" s="119" t="n">
        <f aca="false">SUMIFS(tabela_registros[VALOR],tabela_registros[MÊS],$AE$1,tabela_registros[DIA],jultotal3059718395107[[#Headers],[4]],tabela_registros[REGISTRO],DADOS!$N$4,tabela_registros[TIPO],DADOS!$P$4,tabela_registros[CATEGORIA],despesavariávelconsolidadojul[[#This Row],[DESPESA VARIÁVEL]])</f>
        <v>0</v>
      </c>
      <c r="I62" s="119" t="n">
        <f aca="false">SUMIFS(tabela_registros[VALOR],tabela_registros[MÊS],$AE$1,tabela_registros[DIA],jultotal3059718395107[[#Headers],[5]],tabela_registros[REGISTRO],DADOS!$N$4,tabela_registros[TIPO],DADOS!$P$4,tabela_registros[CATEGORIA],despesavariávelconsolidadojul[[#This Row],[DESPESA VARIÁVEL]])</f>
        <v>0</v>
      </c>
      <c r="J62" s="119" t="n">
        <f aca="false">SUMIFS(tabela_registros[VALOR],tabela_registros[MÊS],$AE$1,tabela_registros[DIA],jultotal3059718395107[[#Headers],[6]],tabela_registros[REGISTRO],DADOS!$N$4,tabela_registros[TIPO],DADOS!$P$4,tabela_registros[CATEGORIA],despesavariávelconsolidadojul[[#This Row],[DESPESA VARIÁVEL]])</f>
        <v>0</v>
      </c>
      <c r="K62" s="119" t="n">
        <f aca="false">SUMIFS(tabela_registros[VALOR],tabela_registros[MÊS],$AE$1,tabela_registros[DIA],jultotal3059718395107[[#Headers],[7]],tabela_registros[REGISTRO],DADOS!$N$4,tabela_registros[TIPO],DADOS!$P$4,tabela_registros[CATEGORIA],despesavariávelconsolidadojul[[#This Row],[DESPESA VARIÁVEL]])</f>
        <v>0</v>
      </c>
      <c r="L62" s="119" t="n">
        <f aca="false">SUMIFS(tabela_registros[VALOR],tabela_registros[MÊS],$AE$1,tabela_registros[DIA],jultotal3059718395107[[#Headers],[8]],tabela_registros[REGISTRO],DADOS!$N$4,tabela_registros[TIPO],DADOS!$P$4,tabela_registros[CATEGORIA],despesavariávelconsolidadojul[[#This Row],[DESPESA VARIÁVEL]])</f>
        <v>0</v>
      </c>
      <c r="M62" s="119" t="n">
        <f aca="false">SUMIFS(tabela_registros[VALOR],tabela_registros[MÊS],$AE$1,tabela_registros[DIA],jultotal3059718395107[[#Headers],[9]],tabela_registros[REGISTRO],DADOS!$N$4,tabela_registros[TIPO],DADOS!$P$4,tabela_registros[CATEGORIA],despesavariávelconsolidadojul[[#This Row],[DESPESA VARIÁVEL]])</f>
        <v>0</v>
      </c>
      <c r="N62" s="119" t="n">
        <f aca="false">SUMIFS(tabela_registros[VALOR],tabela_registros[MÊS],$AE$1,tabela_registros[DIA],jultotal3059718395107[[#Headers],[10]],tabela_registros[REGISTRO],DADOS!$N$4,tabela_registros[TIPO],DADOS!$P$4,tabela_registros[CATEGORIA],despesavariávelconsolidadojul[[#This Row],[DESPESA VARIÁVEL]])</f>
        <v>0</v>
      </c>
      <c r="O62" s="119" t="n">
        <f aca="false">SUMIFS(tabela_registros[VALOR],tabela_registros[MÊS],$AE$1,tabela_registros[DIA],jultotal3059718395107[[#Headers],[11]],tabela_registros[REGISTRO],DADOS!$N$4,tabela_registros[TIPO],DADOS!$P$4,tabela_registros[CATEGORIA],despesavariávelconsolidadojul[[#This Row],[DESPESA VARIÁVEL]])</f>
        <v>0</v>
      </c>
      <c r="P62" s="119" t="n">
        <f aca="false">SUMIFS(tabela_registros[VALOR],tabela_registros[MÊS],$AE$1,tabela_registros[DIA],jultotal3059718395107[[#Headers],[12]],tabela_registros[REGISTRO],DADOS!$N$4,tabela_registros[TIPO],DADOS!$P$4,tabela_registros[CATEGORIA],despesavariávelconsolidadojul[[#This Row],[DESPESA VARIÁVEL]])</f>
        <v>0</v>
      </c>
      <c r="Q62" s="119" t="n">
        <f aca="false">SUMIFS(tabela_registros[VALOR],tabela_registros[MÊS],$AE$1,tabela_registros[DIA],jultotal3059718395107[[#Headers],[13]],tabela_registros[REGISTRO],DADOS!$N$4,tabela_registros[TIPO],DADOS!$P$4,tabela_registros[CATEGORIA],despesavariávelconsolidadojul[[#This Row],[DESPESA VARIÁVEL]])</f>
        <v>0</v>
      </c>
      <c r="R62" s="119" t="n">
        <f aca="false">SUMIFS(tabela_registros[VALOR],tabela_registros[MÊS],$AE$1,tabela_registros[DIA],jultotal3059718395107[[#Headers],[14]],tabela_registros[REGISTRO],DADOS!$N$4,tabela_registros[TIPO],DADOS!$P$4,tabela_registros[CATEGORIA],despesavariávelconsolidadojul[[#This Row],[DESPESA VARIÁVEL]])</f>
        <v>0</v>
      </c>
      <c r="S62" s="119" t="n">
        <f aca="false">SUMIFS(tabela_registros[VALOR],tabela_registros[MÊS],$AE$1,tabela_registros[DIA],jultotal3059718395107[[#Headers],[15]],tabela_registros[REGISTRO],DADOS!$N$4,tabela_registros[TIPO],DADOS!$P$4,tabela_registros[CATEGORIA],despesavariávelconsolidadojul[[#This Row],[DESPESA VARIÁVEL]])</f>
        <v>0</v>
      </c>
      <c r="T62" s="119" t="n">
        <f aca="false">SUMIFS(tabela_registros[VALOR],tabela_registros[MÊS],$AE$1,tabela_registros[DIA],jultotal3059718395107[[#Headers],[16]],tabela_registros[REGISTRO],DADOS!$N$4,tabela_registros[TIPO],DADOS!$P$4,tabela_registros[CATEGORIA],despesavariávelconsolidadojul[[#This Row],[DESPESA VARIÁVEL]])</f>
        <v>0</v>
      </c>
      <c r="U62" s="119" t="n">
        <f aca="false">SUMIFS(tabela_registros[VALOR],tabela_registros[MÊS],$AE$1,tabela_registros[DIA],jultotal3059718395107[[#Headers],[17]],tabela_registros[REGISTRO],DADOS!$N$4,tabela_registros[TIPO],DADOS!$P$4,tabela_registros[CATEGORIA],despesavariávelconsolidadojul[[#This Row],[DESPESA VARIÁVEL]])</f>
        <v>0</v>
      </c>
      <c r="V62" s="119" t="n">
        <f aca="false">SUMIFS(tabela_registros[VALOR],tabela_registros[MÊS],$AE$1,tabela_registros[DIA],jultotal3059718395107[[#Headers],[18]],tabela_registros[REGISTRO],DADOS!$N$4,tabela_registros[TIPO],DADOS!$P$4,tabela_registros[CATEGORIA],despesavariávelconsolidadojul[[#This Row],[DESPESA VARIÁVEL]])</f>
        <v>0</v>
      </c>
      <c r="W62" s="119" t="n">
        <f aca="false">SUMIFS(tabela_registros[VALOR],tabela_registros[MÊS],$AE$1,tabela_registros[DIA],jultotal3059718395107[[#Headers],[19]],tabela_registros[REGISTRO],DADOS!$N$4,tabela_registros[TIPO],DADOS!$P$4,tabela_registros[CATEGORIA],despesavariávelconsolidadojul[[#This Row],[DESPESA VARIÁVEL]])</f>
        <v>0</v>
      </c>
      <c r="X62" s="119" t="n">
        <f aca="false">SUMIFS(tabela_registros[VALOR],tabela_registros[MÊS],$AE$1,tabela_registros[DIA],jultotal3059718395107[[#Headers],[20]],tabela_registros[REGISTRO],DADOS!$N$4,tabela_registros[TIPO],DADOS!$P$4,tabela_registros[CATEGORIA],despesavariávelconsolidadojul[[#This Row],[DESPESA VARIÁVEL]])</f>
        <v>0</v>
      </c>
      <c r="Y62" s="119" t="n">
        <f aca="false">SUMIFS(tabela_registros[VALOR],tabela_registros[MÊS],$AE$1,tabela_registros[DIA],jultotal3059718395107[[#Headers],[21]],tabela_registros[REGISTRO],DADOS!$N$4,tabela_registros[TIPO],DADOS!$P$4,tabela_registros[CATEGORIA],despesavariávelconsolidadojul[[#This Row],[DESPESA VARIÁVEL]])</f>
        <v>0</v>
      </c>
      <c r="Z62" s="119" t="n">
        <f aca="false">SUMIFS(tabela_registros[VALOR],tabela_registros[MÊS],$AE$1,tabela_registros[DIA],jultotal3059718395107[[#Headers],[22]],tabela_registros[REGISTRO],DADOS!$N$4,tabela_registros[TIPO],DADOS!$P$4,tabela_registros[CATEGORIA],despesavariávelconsolidadojul[[#This Row],[DESPESA VARIÁVEL]])</f>
        <v>0</v>
      </c>
      <c r="AA62" s="119" t="n">
        <f aca="false">SUMIFS(tabela_registros[VALOR],tabela_registros[MÊS],$AE$1,tabela_registros[DIA],jultotal3059718395107[[#Headers],[23]],tabela_registros[REGISTRO],DADOS!$N$4,tabela_registros[TIPO],DADOS!$P$4,tabela_registros[CATEGORIA],despesavariávelconsolidadojul[[#This Row],[DESPESA VARIÁVEL]])</f>
        <v>0</v>
      </c>
      <c r="AB62" s="119" t="n">
        <f aca="false">SUMIFS(tabela_registros[VALOR],tabela_registros[MÊS],$AE$1,tabela_registros[DIA],jultotal3059718395107[[#Headers],[24]],tabela_registros[REGISTRO],DADOS!$N$4,tabela_registros[TIPO],DADOS!$P$4,tabela_registros[CATEGORIA],despesavariávelconsolidadojul[[#This Row],[DESPESA VARIÁVEL]])</f>
        <v>0</v>
      </c>
      <c r="AC62" s="119" t="n">
        <f aca="false">SUMIFS(tabela_registros[VALOR],tabela_registros[MÊS],$AE$1,tabela_registros[DIA],jultotal3059718395107[[#Headers],[25]],tabela_registros[REGISTRO],DADOS!$N$4,tabela_registros[TIPO],DADOS!$P$4,tabela_registros[CATEGORIA],despesavariávelconsolidadojul[[#This Row],[DESPESA VARIÁVEL]])</f>
        <v>0</v>
      </c>
      <c r="AD62" s="119" t="n">
        <f aca="false">SUMIFS(tabela_registros[VALOR],tabela_registros[MÊS],$AE$1,tabela_registros[DIA],jultotal3059718395107[[#Headers],[26]],tabela_registros[REGISTRO],DADOS!$N$4,tabela_registros[TIPO],DADOS!$P$4,tabela_registros[CATEGORIA],despesavariávelconsolidadojul[[#This Row],[DESPESA VARIÁVEL]])</f>
        <v>0</v>
      </c>
      <c r="AE62" s="119" t="n">
        <f aca="false">SUMIFS(tabela_registros[VALOR],tabela_registros[MÊS],$AE$1,tabela_registros[DIA],jultotal3059718395107[[#Headers],[27]],tabela_registros[REGISTRO],DADOS!$N$4,tabela_registros[TIPO],DADOS!$P$4,tabela_registros[CATEGORIA],despesavariávelconsolidadojul[[#This Row],[DESPESA VARIÁVEL]])</f>
        <v>0</v>
      </c>
      <c r="AF62" s="119" t="n">
        <f aca="false">SUMIFS(tabela_registros[VALOR],tabela_registros[MÊS],$AE$1,tabela_registros[DIA],jultotal3059718395107[[#Headers],[28]],tabela_registros[REGISTRO],DADOS!$N$4,tabela_registros[TIPO],DADOS!$P$4,tabela_registros[CATEGORIA],despesavariávelconsolidadojul[[#This Row],[DESPESA VARIÁVEL]])</f>
        <v>0</v>
      </c>
      <c r="AG62" s="119" t="n">
        <f aca="false">SUMIFS(tabela_registros[VALOR],tabela_registros[MÊS],$AE$1,tabela_registros[DIA],jultotal3059718395107[[#Headers],[29]],tabela_registros[REGISTRO],DADOS!$N$4,tabela_registros[TIPO],DADOS!$P$4,tabela_registros[CATEGORIA],despesavariávelconsolidadojul[[#This Row],[DESPESA VARIÁVEL]])</f>
        <v>0</v>
      </c>
      <c r="AH62" s="119" t="n">
        <f aca="false">SUMIFS(tabela_registros[VALOR],tabela_registros[MÊS],$AE$1,tabela_registros[DIA],jultotal3059718395107[[#Headers],[30]],tabela_registros[REGISTRO],DADOS!$N$4,tabela_registros[TIPO],DADOS!$P$4,tabela_registros[CATEGORIA],despesavariávelconsolidadojul[[#This Row],[DESPESA VARIÁVEL]])</f>
        <v>0</v>
      </c>
      <c r="AI62" s="217" t="n">
        <f aca="false">SUMIFS(tabela_registros[VALOR],tabela_registros[MÊS],$AE$1,tabela_registros[DIA],jultotal3059718395107[[#Headers],[31]],tabela_registros[REGISTRO],DADOS!$N$4,tabela_registros[TIPO],DADOS!$P$4,tabela_registros[CATEGORIA],despesavariávelconsolidadojul[[#This Row],[DESPESA VARIÁVEL]])</f>
        <v>0</v>
      </c>
      <c r="AJ62" s="149" t="n">
        <f aca="false">SUM(despesavariávelconsolidadojul[[#This Row],[1]:[31]])</f>
        <v>0</v>
      </c>
      <c r="AK62" s="143"/>
    </row>
    <row r="63" customFormat="false" ht="18" hidden="false" customHeight="true" outlineLevel="0" collapsed="false">
      <c r="B63" s="143"/>
      <c r="C63" s="144" t="str">
        <f aca="false">DADOS!$T$6</f>
        <v>💄 CUIDADOS PESSOAIS</v>
      </c>
      <c r="D63" s="145" t="str">
        <f aca="false">IF(despesavariávelconsolidadojul[[#This Row],[TOTAL]]=0,"",IF(OR(despesavariávelconsolidadojul[[#This Row],[TOTAL]]=LARGE($AJ$60:$AJ$72,1),despesavariávelconsolidadojul[[#This Row],[TOTAL]]=LARGE($AJ$60:$AJ$72,2),despesavariávelconsolidadojul[[#This Row],[TOTAL]]=LARGE($AJ$60:$AJ$72,3),despesavariávelconsolidadojul[[#This Row],[TOTAL]]=LARGE($AJ$60:$AJ$72,4),despesavariávelconsolidadojul[[#This Row],[TOTAL]]=LARGE($AJ$60:$AJ$72,5)),DADOS!$I$8,""))</f>
        <v/>
      </c>
      <c r="E63" s="148" t="n">
        <f aca="false">SUMIFS(tabela_registros[VALOR],tabela_registros[MÊS],$AE$1,tabela_registros[DIA],jultotal3059718395107[[#Headers],[1]],tabela_registros[REGISTRO],DADOS!$N$4,tabela_registros[TIPO],DADOS!$P$4,tabela_registros[CATEGORIA],despesavariávelconsolidadojul[[#This Row],[DESPESA VARIÁVEL]])</f>
        <v>0</v>
      </c>
      <c r="F63" s="119" t="n">
        <f aca="false">SUMIFS(tabela_registros[VALOR],tabela_registros[MÊS],$AE$1,tabela_registros[DIA],jultotal3059718395107[[#Headers],[2]],tabela_registros[REGISTRO],DADOS!$N$4,tabela_registros[TIPO],DADOS!$P$4,tabela_registros[CATEGORIA],despesavariávelconsolidadojul[[#This Row],[DESPESA VARIÁVEL]])</f>
        <v>0</v>
      </c>
      <c r="G63" s="119" t="n">
        <f aca="false">SUMIFS(tabela_registros[VALOR],tabela_registros[MÊS],$AE$1,tabela_registros[DIA],jultotal3059718395107[[#Headers],[3]],tabela_registros[REGISTRO],DADOS!$N$4,tabela_registros[TIPO],DADOS!$P$4,tabela_registros[CATEGORIA],despesavariávelconsolidadojul[[#This Row],[DESPESA VARIÁVEL]])</f>
        <v>0</v>
      </c>
      <c r="H63" s="119" t="n">
        <f aca="false">SUMIFS(tabela_registros[VALOR],tabela_registros[MÊS],$AE$1,tabela_registros[DIA],jultotal3059718395107[[#Headers],[4]],tabela_registros[REGISTRO],DADOS!$N$4,tabela_registros[TIPO],DADOS!$P$4,tabela_registros[CATEGORIA],despesavariávelconsolidadojul[[#This Row],[DESPESA VARIÁVEL]])</f>
        <v>0</v>
      </c>
      <c r="I63" s="119" t="n">
        <f aca="false">SUMIFS(tabela_registros[VALOR],tabela_registros[MÊS],$AE$1,tabela_registros[DIA],jultotal3059718395107[[#Headers],[5]],tabela_registros[REGISTRO],DADOS!$N$4,tabela_registros[TIPO],DADOS!$P$4,tabela_registros[CATEGORIA],despesavariávelconsolidadojul[[#This Row],[DESPESA VARIÁVEL]])</f>
        <v>0</v>
      </c>
      <c r="J63" s="119" t="n">
        <f aca="false">SUMIFS(tabela_registros[VALOR],tabela_registros[MÊS],$AE$1,tabela_registros[DIA],jultotal3059718395107[[#Headers],[6]],tabela_registros[REGISTRO],DADOS!$N$4,tabela_registros[TIPO],DADOS!$P$4,tabela_registros[CATEGORIA],despesavariávelconsolidadojul[[#This Row],[DESPESA VARIÁVEL]])</f>
        <v>0</v>
      </c>
      <c r="K63" s="119" t="n">
        <f aca="false">SUMIFS(tabela_registros[VALOR],tabela_registros[MÊS],$AE$1,tabela_registros[DIA],jultotal3059718395107[[#Headers],[7]],tabela_registros[REGISTRO],DADOS!$N$4,tabela_registros[TIPO],DADOS!$P$4,tabela_registros[CATEGORIA],despesavariávelconsolidadojul[[#This Row],[DESPESA VARIÁVEL]])</f>
        <v>0</v>
      </c>
      <c r="L63" s="119" t="n">
        <f aca="false">SUMIFS(tabela_registros[VALOR],tabela_registros[MÊS],$AE$1,tabela_registros[DIA],jultotal3059718395107[[#Headers],[8]],tabela_registros[REGISTRO],DADOS!$N$4,tabela_registros[TIPO],DADOS!$P$4,tabela_registros[CATEGORIA],despesavariávelconsolidadojul[[#This Row],[DESPESA VARIÁVEL]])</f>
        <v>0</v>
      </c>
      <c r="M63" s="119" t="n">
        <f aca="false">SUMIFS(tabela_registros[VALOR],tabela_registros[MÊS],$AE$1,tabela_registros[DIA],jultotal3059718395107[[#Headers],[9]],tabela_registros[REGISTRO],DADOS!$N$4,tabela_registros[TIPO],DADOS!$P$4,tabela_registros[CATEGORIA],despesavariávelconsolidadojul[[#This Row],[DESPESA VARIÁVEL]])</f>
        <v>0</v>
      </c>
      <c r="N63" s="119" t="n">
        <f aca="false">SUMIFS(tabela_registros[VALOR],tabela_registros[MÊS],$AE$1,tabela_registros[DIA],jultotal3059718395107[[#Headers],[10]],tabela_registros[REGISTRO],DADOS!$N$4,tabela_registros[TIPO],DADOS!$P$4,tabela_registros[CATEGORIA],despesavariávelconsolidadojul[[#This Row],[DESPESA VARIÁVEL]])</f>
        <v>0</v>
      </c>
      <c r="O63" s="119" t="n">
        <f aca="false">SUMIFS(tabela_registros[VALOR],tabela_registros[MÊS],$AE$1,tabela_registros[DIA],jultotal3059718395107[[#Headers],[11]],tabela_registros[REGISTRO],DADOS!$N$4,tabela_registros[TIPO],DADOS!$P$4,tabela_registros[CATEGORIA],despesavariávelconsolidadojul[[#This Row],[DESPESA VARIÁVEL]])</f>
        <v>0</v>
      </c>
      <c r="P63" s="119" t="n">
        <f aca="false">SUMIFS(tabela_registros[VALOR],tabela_registros[MÊS],$AE$1,tabela_registros[DIA],jultotal3059718395107[[#Headers],[12]],tabela_registros[REGISTRO],DADOS!$N$4,tabela_registros[TIPO],DADOS!$P$4,tabela_registros[CATEGORIA],despesavariávelconsolidadojul[[#This Row],[DESPESA VARIÁVEL]])</f>
        <v>0</v>
      </c>
      <c r="Q63" s="119" t="n">
        <f aca="false">SUMIFS(tabela_registros[VALOR],tabela_registros[MÊS],$AE$1,tabela_registros[DIA],jultotal3059718395107[[#Headers],[13]],tabela_registros[REGISTRO],DADOS!$N$4,tabela_registros[TIPO],DADOS!$P$4,tabela_registros[CATEGORIA],despesavariávelconsolidadojul[[#This Row],[DESPESA VARIÁVEL]])</f>
        <v>0</v>
      </c>
      <c r="R63" s="119" t="n">
        <f aca="false">SUMIFS(tabela_registros[VALOR],tabela_registros[MÊS],$AE$1,tabela_registros[DIA],jultotal3059718395107[[#Headers],[14]],tabela_registros[REGISTRO],DADOS!$N$4,tabela_registros[TIPO],DADOS!$P$4,tabela_registros[CATEGORIA],despesavariávelconsolidadojul[[#This Row],[DESPESA VARIÁVEL]])</f>
        <v>0</v>
      </c>
      <c r="S63" s="119" t="n">
        <f aca="false">SUMIFS(tabela_registros[VALOR],tabela_registros[MÊS],$AE$1,tabela_registros[DIA],jultotal3059718395107[[#Headers],[15]],tabela_registros[REGISTRO],DADOS!$N$4,tabela_registros[TIPO],DADOS!$P$4,tabela_registros[CATEGORIA],despesavariávelconsolidadojul[[#This Row],[DESPESA VARIÁVEL]])</f>
        <v>0</v>
      </c>
      <c r="T63" s="119" t="n">
        <f aca="false">SUMIFS(tabela_registros[VALOR],tabela_registros[MÊS],$AE$1,tabela_registros[DIA],jultotal3059718395107[[#Headers],[16]],tabela_registros[REGISTRO],DADOS!$N$4,tabela_registros[TIPO],DADOS!$P$4,tabela_registros[CATEGORIA],despesavariávelconsolidadojul[[#This Row],[DESPESA VARIÁVEL]])</f>
        <v>0</v>
      </c>
      <c r="U63" s="119" t="n">
        <f aca="false">SUMIFS(tabela_registros[VALOR],tabela_registros[MÊS],$AE$1,tabela_registros[DIA],jultotal3059718395107[[#Headers],[17]],tabela_registros[REGISTRO],DADOS!$N$4,tabela_registros[TIPO],DADOS!$P$4,tabela_registros[CATEGORIA],despesavariávelconsolidadojul[[#This Row],[DESPESA VARIÁVEL]])</f>
        <v>0</v>
      </c>
      <c r="V63" s="119" t="n">
        <f aca="false">SUMIFS(tabela_registros[VALOR],tabela_registros[MÊS],$AE$1,tabela_registros[DIA],jultotal3059718395107[[#Headers],[18]],tabela_registros[REGISTRO],DADOS!$N$4,tabela_registros[TIPO],DADOS!$P$4,tabela_registros[CATEGORIA],despesavariávelconsolidadojul[[#This Row],[DESPESA VARIÁVEL]])</f>
        <v>0</v>
      </c>
      <c r="W63" s="119" t="n">
        <f aca="false">SUMIFS(tabela_registros[VALOR],tabela_registros[MÊS],$AE$1,tabela_registros[DIA],jultotal3059718395107[[#Headers],[19]],tabela_registros[REGISTRO],DADOS!$N$4,tabela_registros[TIPO],DADOS!$P$4,tabela_registros[CATEGORIA],despesavariávelconsolidadojul[[#This Row],[DESPESA VARIÁVEL]])</f>
        <v>0</v>
      </c>
      <c r="X63" s="119" t="n">
        <f aca="false">SUMIFS(tabela_registros[VALOR],tabela_registros[MÊS],$AE$1,tabela_registros[DIA],jultotal3059718395107[[#Headers],[20]],tabela_registros[REGISTRO],DADOS!$N$4,tabela_registros[TIPO],DADOS!$P$4,tabela_registros[CATEGORIA],despesavariávelconsolidadojul[[#This Row],[DESPESA VARIÁVEL]])</f>
        <v>0</v>
      </c>
      <c r="Y63" s="119" t="n">
        <f aca="false">SUMIFS(tabela_registros[VALOR],tabela_registros[MÊS],$AE$1,tabela_registros[DIA],jultotal3059718395107[[#Headers],[21]],tabela_registros[REGISTRO],DADOS!$N$4,tabela_registros[TIPO],DADOS!$P$4,tabela_registros[CATEGORIA],despesavariávelconsolidadojul[[#This Row],[DESPESA VARIÁVEL]])</f>
        <v>0</v>
      </c>
      <c r="Z63" s="119" t="n">
        <f aca="false">SUMIFS(tabela_registros[VALOR],tabela_registros[MÊS],$AE$1,tabela_registros[DIA],jultotal3059718395107[[#Headers],[22]],tabela_registros[REGISTRO],DADOS!$N$4,tabela_registros[TIPO],DADOS!$P$4,tabela_registros[CATEGORIA],despesavariávelconsolidadojul[[#This Row],[DESPESA VARIÁVEL]])</f>
        <v>0</v>
      </c>
      <c r="AA63" s="119" t="n">
        <f aca="false">SUMIFS(tabela_registros[VALOR],tabela_registros[MÊS],$AE$1,tabela_registros[DIA],jultotal3059718395107[[#Headers],[23]],tabela_registros[REGISTRO],DADOS!$N$4,tabela_registros[TIPO],DADOS!$P$4,tabela_registros[CATEGORIA],despesavariávelconsolidadojul[[#This Row],[DESPESA VARIÁVEL]])</f>
        <v>0</v>
      </c>
      <c r="AB63" s="119" t="n">
        <f aca="false">SUMIFS(tabela_registros[VALOR],tabela_registros[MÊS],$AE$1,tabela_registros[DIA],jultotal3059718395107[[#Headers],[24]],tabela_registros[REGISTRO],DADOS!$N$4,tabela_registros[TIPO],DADOS!$P$4,tabela_registros[CATEGORIA],despesavariávelconsolidadojul[[#This Row],[DESPESA VARIÁVEL]])</f>
        <v>0</v>
      </c>
      <c r="AC63" s="119" t="n">
        <f aca="false">SUMIFS(tabela_registros[VALOR],tabela_registros[MÊS],$AE$1,tabela_registros[DIA],jultotal3059718395107[[#Headers],[25]],tabela_registros[REGISTRO],DADOS!$N$4,tabela_registros[TIPO],DADOS!$P$4,tabela_registros[CATEGORIA],despesavariávelconsolidadojul[[#This Row],[DESPESA VARIÁVEL]])</f>
        <v>0</v>
      </c>
      <c r="AD63" s="119" t="n">
        <f aca="false">SUMIFS(tabela_registros[VALOR],tabela_registros[MÊS],$AE$1,tabela_registros[DIA],jultotal3059718395107[[#Headers],[26]],tabela_registros[REGISTRO],DADOS!$N$4,tabela_registros[TIPO],DADOS!$P$4,tabela_registros[CATEGORIA],despesavariávelconsolidadojul[[#This Row],[DESPESA VARIÁVEL]])</f>
        <v>0</v>
      </c>
      <c r="AE63" s="119" t="n">
        <f aca="false">SUMIFS(tabela_registros[VALOR],tabela_registros[MÊS],$AE$1,tabela_registros[DIA],jultotal3059718395107[[#Headers],[27]],tabela_registros[REGISTRO],DADOS!$N$4,tabela_registros[TIPO],DADOS!$P$4,tabela_registros[CATEGORIA],despesavariávelconsolidadojul[[#This Row],[DESPESA VARIÁVEL]])</f>
        <v>0</v>
      </c>
      <c r="AF63" s="119" t="n">
        <f aca="false">SUMIFS(tabela_registros[VALOR],tabela_registros[MÊS],$AE$1,tabela_registros[DIA],jultotal3059718395107[[#Headers],[28]],tabela_registros[REGISTRO],DADOS!$N$4,tabela_registros[TIPO],DADOS!$P$4,tabela_registros[CATEGORIA],despesavariávelconsolidadojul[[#This Row],[DESPESA VARIÁVEL]])</f>
        <v>0</v>
      </c>
      <c r="AG63" s="119" t="n">
        <f aca="false">SUMIFS(tabela_registros[VALOR],tabela_registros[MÊS],$AE$1,tabela_registros[DIA],jultotal3059718395107[[#Headers],[29]],tabela_registros[REGISTRO],DADOS!$N$4,tabela_registros[TIPO],DADOS!$P$4,tabela_registros[CATEGORIA],despesavariávelconsolidadojul[[#This Row],[DESPESA VARIÁVEL]])</f>
        <v>0</v>
      </c>
      <c r="AH63" s="119" t="n">
        <f aca="false">SUMIFS(tabela_registros[VALOR],tabela_registros[MÊS],$AE$1,tabela_registros[DIA],jultotal3059718395107[[#Headers],[30]],tabela_registros[REGISTRO],DADOS!$N$4,tabela_registros[TIPO],DADOS!$P$4,tabela_registros[CATEGORIA],despesavariávelconsolidadojul[[#This Row],[DESPESA VARIÁVEL]])</f>
        <v>0</v>
      </c>
      <c r="AI63" s="217" t="n">
        <f aca="false">SUMIFS(tabela_registros[VALOR],tabela_registros[MÊS],$AE$1,tabela_registros[DIA],jultotal3059718395107[[#Headers],[31]],tabela_registros[REGISTRO],DADOS!$N$4,tabela_registros[TIPO],DADOS!$P$4,tabela_registros[CATEGORIA],despesavariávelconsolidadojul[[#This Row],[DESPESA VARIÁVEL]])</f>
        <v>0</v>
      </c>
      <c r="AJ63" s="149" t="n">
        <f aca="false">SUM(despesavariávelconsolidadojul[[#This Row],[1]:[31]])</f>
        <v>0</v>
      </c>
      <c r="AK63" s="143"/>
    </row>
    <row r="64" customFormat="false" ht="18" hidden="false" customHeight="true" outlineLevel="0" collapsed="false">
      <c r="B64" s="143"/>
      <c r="C64" s="144" t="str">
        <f aca="false">DADOS!$T$7</f>
        <v>🤝 DOAÇÃO</v>
      </c>
      <c r="D64" s="145" t="str">
        <f aca="false">IF(despesavariávelconsolidadojul[[#This Row],[TOTAL]]=0,"",IF(OR(despesavariávelconsolidadojul[[#This Row],[TOTAL]]=LARGE($AJ$60:$AJ$72,1),despesavariávelconsolidadojul[[#This Row],[TOTAL]]=LARGE($AJ$60:$AJ$72,2),despesavariávelconsolidadojul[[#This Row],[TOTAL]]=LARGE($AJ$60:$AJ$72,3),despesavariávelconsolidadojul[[#This Row],[TOTAL]]=LARGE($AJ$60:$AJ$72,4),despesavariávelconsolidadojul[[#This Row],[TOTAL]]=LARGE($AJ$60:$AJ$72,5)),DADOS!$I$8,""))</f>
        <v/>
      </c>
      <c r="E64" s="148" t="n">
        <f aca="false">SUMIFS(tabela_registros[VALOR],tabela_registros[MÊS],$AE$1,tabela_registros[DIA],jultotal3059718395107[[#Headers],[1]],tabela_registros[REGISTRO],DADOS!$N$4,tabela_registros[TIPO],DADOS!$P$4,tabela_registros[CATEGORIA],despesavariávelconsolidadojul[[#This Row],[DESPESA VARIÁVEL]])</f>
        <v>0</v>
      </c>
      <c r="F64" s="119" t="n">
        <f aca="false">SUMIFS(tabela_registros[VALOR],tabela_registros[MÊS],$AE$1,tabela_registros[DIA],jultotal3059718395107[[#Headers],[2]],tabela_registros[REGISTRO],DADOS!$N$4,tabela_registros[TIPO],DADOS!$P$4,tabela_registros[CATEGORIA],despesavariávelconsolidadojul[[#This Row],[DESPESA VARIÁVEL]])</f>
        <v>0</v>
      </c>
      <c r="G64" s="119" t="n">
        <f aca="false">SUMIFS(tabela_registros[VALOR],tabela_registros[MÊS],$AE$1,tabela_registros[DIA],jultotal3059718395107[[#Headers],[3]],tabela_registros[REGISTRO],DADOS!$N$4,tabela_registros[TIPO],DADOS!$P$4,tabela_registros[CATEGORIA],despesavariávelconsolidadojul[[#This Row],[DESPESA VARIÁVEL]])</f>
        <v>0</v>
      </c>
      <c r="H64" s="119" t="n">
        <f aca="false">SUMIFS(tabela_registros[VALOR],tabela_registros[MÊS],$AE$1,tabela_registros[DIA],jultotal3059718395107[[#Headers],[4]],tabela_registros[REGISTRO],DADOS!$N$4,tabela_registros[TIPO],DADOS!$P$4,tabela_registros[CATEGORIA],despesavariávelconsolidadojul[[#This Row],[DESPESA VARIÁVEL]])</f>
        <v>0</v>
      </c>
      <c r="I64" s="119" t="n">
        <f aca="false">SUMIFS(tabela_registros[VALOR],tabela_registros[MÊS],$AE$1,tabela_registros[DIA],jultotal3059718395107[[#Headers],[5]],tabela_registros[REGISTRO],DADOS!$N$4,tabela_registros[TIPO],DADOS!$P$4,tabela_registros[CATEGORIA],despesavariávelconsolidadojul[[#This Row],[DESPESA VARIÁVEL]])</f>
        <v>0</v>
      </c>
      <c r="J64" s="119" t="n">
        <f aca="false">SUMIFS(tabela_registros[VALOR],tabela_registros[MÊS],$AE$1,tabela_registros[DIA],jultotal3059718395107[[#Headers],[6]],tabela_registros[REGISTRO],DADOS!$N$4,tabela_registros[TIPO],DADOS!$P$4,tabela_registros[CATEGORIA],despesavariávelconsolidadojul[[#This Row],[DESPESA VARIÁVEL]])</f>
        <v>0</v>
      </c>
      <c r="K64" s="119" t="n">
        <f aca="false">SUMIFS(tabela_registros[VALOR],tabela_registros[MÊS],$AE$1,tabela_registros[DIA],jultotal3059718395107[[#Headers],[7]],tabela_registros[REGISTRO],DADOS!$N$4,tabela_registros[TIPO],DADOS!$P$4,tabela_registros[CATEGORIA],despesavariávelconsolidadojul[[#This Row],[DESPESA VARIÁVEL]])</f>
        <v>0</v>
      </c>
      <c r="L64" s="119" t="n">
        <f aca="false">SUMIFS(tabela_registros[VALOR],tabela_registros[MÊS],$AE$1,tabela_registros[DIA],jultotal3059718395107[[#Headers],[8]],tabela_registros[REGISTRO],DADOS!$N$4,tabela_registros[TIPO],DADOS!$P$4,tabela_registros[CATEGORIA],despesavariávelconsolidadojul[[#This Row],[DESPESA VARIÁVEL]])</f>
        <v>0</v>
      </c>
      <c r="M64" s="119" t="n">
        <f aca="false">SUMIFS(tabela_registros[VALOR],tabela_registros[MÊS],$AE$1,tabela_registros[DIA],jultotal3059718395107[[#Headers],[9]],tabela_registros[REGISTRO],DADOS!$N$4,tabela_registros[TIPO],DADOS!$P$4,tabela_registros[CATEGORIA],despesavariávelconsolidadojul[[#This Row],[DESPESA VARIÁVEL]])</f>
        <v>0</v>
      </c>
      <c r="N64" s="119" t="n">
        <f aca="false">SUMIFS(tabela_registros[VALOR],tabela_registros[MÊS],$AE$1,tabela_registros[DIA],jultotal3059718395107[[#Headers],[10]],tabela_registros[REGISTRO],DADOS!$N$4,tabela_registros[TIPO],DADOS!$P$4,tabela_registros[CATEGORIA],despesavariávelconsolidadojul[[#This Row],[DESPESA VARIÁVEL]])</f>
        <v>0</v>
      </c>
      <c r="O64" s="119" t="n">
        <f aca="false">SUMIFS(tabela_registros[VALOR],tabela_registros[MÊS],$AE$1,tabela_registros[DIA],jultotal3059718395107[[#Headers],[11]],tabela_registros[REGISTRO],DADOS!$N$4,tabela_registros[TIPO],DADOS!$P$4,tabela_registros[CATEGORIA],despesavariávelconsolidadojul[[#This Row],[DESPESA VARIÁVEL]])</f>
        <v>0</v>
      </c>
      <c r="P64" s="119" t="n">
        <f aca="false">SUMIFS(tabela_registros[VALOR],tabela_registros[MÊS],$AE$1,tabela_registros[DIA],jultotal3059718395107[[#Headers],[12]],tabela_registros[REGISTRO],DADOS!$N$4,tabela_registros[TIPO],DADOS!$P$4,tabela_registros[CATEGORIA],despesavariávelconsolidadojul[[#This Row],[DESPESA VARIÁVEL]])</f>
        <v>0</v>
      </c>
      <c r="Q64" s="119" t="n">
        <f aca="false">SUMIFS(tabela_registros[VALOR],tabela_registros[MÊS],$AE$1,tabela_registros[DIA],jultotal3059718395107[[#Headers],[13]],tabela_registros[REGISTRO],DADOS!$N$4,tabela_registros[TIPO],DADOS!$P$4,tabela_registros[CATEGORIA],despesavariávelconsolidadojul[[#This Row],[DESPESA VARIÁVEL]])</f>
        <v>0</v>
      </c>
      <c r="R64" s="119" t="n">
        <f aca="false">SUMIFS(tabela_registros[VALOR],tabela_registros[MÊS],$AE$1,tabela_registros[DIA],jultotal3059718395107[[#Headers],[14]],tabela_registros[REGISTRO],DADOS!$N$4,tabela_registros[TIPO],DADOS!$P$4,tabela_registros[CATEGORIA],despesavariávelconsolidadojul[[#This Row],[DESPESA VARIÁVEL]])</f>
        <v>0</v>
      </c>
      <c r="S64" s="119" t="n">
        <f aca="false">SUMIFS(tabela_registros[VALOR],tabela_registros[MÊS],$AE$1,tabela_registros[DIA],jultotal3059718395107[[#Headers],[15]],tabela_registros[REGISTRO],DADOS!$N$4,tabela_registros[TIPO],DADOS!$P$4,tabela_registros[CATEGORIA],despesavariávelconsolidadojul[[#This Row],[DESPESA VARIÁVEL]])</f>
        <v>0</v>
      </c>
      <c r="T64" s="119" t="n">
        <f aca="false">SUMIFS(tabela_registros[VALOR],tabela_registros[MÊS],$AE$1,tabela_registros[DIA],jultotal3059718395107[[#Headers],[16]],tabela_registros[REGISTRO],DADOS!$N$4,tabela_registros[TIPO],DADOS!$P$4,tabela_registros[CATEGORIA],despesavariávelconsolidadojul[[#This Row],[DESPESA VARIÁVEL]])</f>
        <v>0</v>
      </c>
      <c r="U64" s="119" t="n">
        <f aca="false">SUMIFS(tabela_registros[VALOR],tabela_registros[MÊS],$AE$1,tabela_registros[DIA],jultotal3059718395107[[#Headers],[17]],tabela_registros[REGISTRO],DADOS!$N$4,tabela_registros[TIPO],DADOS!$P$4,tabela_registros[CATEGORIA],despesavariávelconsolidadojul[[#This Row],[DESPESA VARIÁVEL]])</f>
        <v>0</v>
      </c>
      <c r="V64" s="119" t="n">
        <f aca="false">SUMIFS(tabela_registros[VALOR],tabela_registros[MÊS],$AE$1,tabela_registros[DIA],jultotal3059718395107[[#Headers],[18]],tabela_registros[REGISTRO],DADOS!$N$4,tabela_registros[TIPO],DADOS!$P$4,tabela_registros[CATEGORIA],despesavariávelconsolidadojul[[#This Row],[DESPESA VARIÁVEL]])</f>
        <v>0</v>
      </c>
      <c r="W64" s="119" t="n">
        <f aca="false">SUMIFS(tabela_registros[VALOR],tabela_registros[MÊS],$AE$1,tabela_registros[DIA],jultotal3059718395107[[#Headers],[19]],tabela_registros[REGISTRO],DADOS!$N$4,tabela_registros[TIPO],DADOS!$P$4,tabela_registros[CATEGORIA],despesavariávelconsolidadojul[[#This Row],[DESPESA VARIÁVEL]])</f>
        <v>0</v>
      </c>
      <c r="X64" s="119" t="n">
        <f aca="false">SUMIFS(tabela_registros[VALOR],tabela_registros[MÊS],$AE$1,tabela_registros[DIA],jultotal3059718395107[[#Headers],[20]],tabela_registros[REGISTRO],DADOS!$N$4,tabela_registros[TIPO],DADOS!$P$4,tabela_registros[CATEGORIA],despesavariávelconsolidadojul[[#This Row],[DESPESA VARIÁVEL]])</f>
        <v>0</v>
      </c>
      <c r="Y64" s="119" t="n">
        <f aca="false">SUMIFS(tabela_registros[VALOR],tabela_registros[MÊS],$AE$1,tabela_registros[DIA],jultotal3059718395107[[#Headers],[21]],tabela_registros[REGISTRO],DADOS!$N$4,tabela_registros[TIPO],DADOS!$P$4,tabela_registros[CATEGORIA],despesavariávelconsolidadojul[[#This Row],[DESPESA VARIÁVEL]])</f>
        <v>0</v>
      </c>
      <c r="Z64" s="119" t="n">
        <f aca="false">SUMIFS(tabela_registros[VALOR],tabela_registros[MÊS],$AE$1,tabela_registros[DIA],jultotal3059718395107[[#Headers],[22]],tabela_registros[REGISTRO],DADOS!$N$4,tabela_registros[TIPO],DADOS!$P$4,tabela_registros[CATEGORIA],despesavariávelconsolidadojul[[#This Row],[DESPESA VARIÁVEL]])</f>
        <v>0</v>
      </c>
      <c r="AA64" s="119" t="n">
        <f aca="false">SUMIFS(tabela_registros[VALOR],tabela_registros[MÊS],$AE$1,tabela_registros[DIA],jultotal3059718395107[[#Headers],[23]],tabela_registros[REGISTRO],DADOS!$N$4,tabela_registros[TIPO],DADOS!$P$4,tabela_registros[CATEGORIA],despesavariávelconsolidadojul[[#This Row],[DESPESA VARIÁVEL]])</f>
        <v>0</v>
      </c>
      <c r="AB64" s="119" t="n">
        <f aca="false">SUMIFS(tabela_registros[VALOR],tabela_registros[MÊS],$AE$1,tabela_registros[DIA],jultotal3059718395107[[#Headers],[24]],tabela_registros[REGISTRO],DADOS!$N$4,tabela_registros[TIPO],DADOS!$P$4,tabela_registros[CATEGORIA],despesavariávelconsolidadojul[[#This Row],[DESPESA VARIÁVEL]])</f>
        <v>0</v>
      </c>
      <c r="AC64" s="119" t="n">
        <f aca="false">SUMIFS(tabela_registros[VALOR],tabela_registros[MÊS],$AE$1,tabela_registros[DIA],jultotal3059718395107[[#Headers],[25]],tabela_registros[REGISTRO],DADOS!$N$4,tabela_registros[TIPO],DADOS!$P$4,tabela_registros[CATEGORIA],despesavariávelconsolidadojul[[#This Row],[DESPESA VARIÁVEL]])</f>
        <v>0</v>
      </c>
      <c r="AD64" s="119" t="n">
        <f aca="false">SUMIFS(tabela_registros[VALOR],tabela_registros[MÊS],$AE$1,tabela_registros[DIA],jultotal3059718395107[[#Headers],[26]],tabela_registros[REGISTRO],DADOS!$N$4,tabela_registros[TIPO],DADOS!$P$4,tabela_registros[CATEGORIA],despesavariávelconsolidadojul[[#This Row],[DESPESA VARIÁVEL]])</f>
        <v>0</v>
      </c>
      <c r="AE64" s="119" t="n">
        <f aca="false">SUMIFS(tabela_registros[VALOR],tabela_registros[MÊS],$AE$1,tabela_registros[DIA],jultotal3059718395107[[#Headers],[27]],tabela_registros[REGISTRO],DADOS!$N$4,tabela_registros[TIPO],DADOS!$P$4,tabela_registros[CATEGORIA],despesavariávelconsolidadojul[[#This Row],[DESPESA VARIÁVEL]])</f>
        <v>0</v>
      </c>
      <c r="AF64" s="119" t="n">
        <f aca="false">SUMIFS(tabela_registros[VALOR],tabela_registros[MÊS],$AE$1,tabela_registros[DIA],jultotal3059718395107[[#Headers],[28]],tabela_registros[REGISTRO],DADOS!$N$4,tabela_registros[TIPO],DADOS!$P$4,tabela_registros[CATEGORIA],despesavariávelconsolidadojul[[#This Row],[DESPESA VARIÁVEL]])</f>
        <v>0</v>
      </c>
      <c r="AG64" s="119" t="n">
        <f aca="false">SUMIFS(tabela_registros[VALOR],tabela_registros[MÊS],$AE$1,tabela_registros[DIA],jultotal3059718395107[[#Headers],[29]],tabela_registros[REGISTRO],DADOS!$N$4,tabela_registros[TIPO],DADOS!$P$4,tabela_registros[CATEGORIA],despesavariávelconsolidadojul[[#This Row],[DESPESA VARIÁVEL]])</f>
        <v>0</v>
      </c>
      <c r="AH64" s="119" t="n">
        <f aca="false">SUMIFS(tabela_registros[VALOR],tabela_registros[MÊS],$AE$1,tabela_registros[DIA],jultotal3059718395107[[#Headers],[30]],tabela_registros[REGISTRO],DADOS!$N$4,tabela_registros[TIPO],DADOS!$P$4,tabela_registros[CATEGORIA],despesavariávelconsolidadojul[[#This Row],[DESPESA VARIÁVEL]])</f>
        <v>0</v>
      </c>
      <c r="AI64" s="217" t="n">
        <f aca="false">SUMIFS(tabela_registros[VALOR],tabela_registros[MÊS],$AE$1,tabela_registros[DIA],jultotal3059718395107[[#Headers],[31]],tabela_registros[REGISTRO],DADOS!$N$4,tabela_registros[TIPO],DADOS!$P$4,tabela_registros[CATEGORIA],despesavariávelconsolidadojul[[#This Row],[DESPESA VARIÁVEL]])</f>
        <v>0</v>
      </c>
      <c r="AJ64" s="149" t="n">
        <f aca="false">SUM(despesavariávelconsolidadojul[[#This Row],[1]:[31]])</f>
        <v>0</v>
      </c>
      <c r="AK64" s="143"/>
    </row>
    <row r="65" customFormat="false" ht="18" hidden="false" customHeight="true" outlineLevel="0" collapsed="false">
      <c r="B65" s="143"/>
      <c r="C65" s="144" t="str">
        <f aca="false">DADOS!$T$8</f>
        <v>📖 EDUCAÇÃO</v>
      </c>
      <c r="D65" s="145" t="str">
        <f aca="false">IF(despesavariávelconsolidadojul[[#This Row],[TOTAL]]=0,"",IF(OR(despesavariávelconsolidadojul[[#This Row],[TOTAL]]=LARGE($AJ$60:$AJ$72,1),despesavariávelconsolidadojul[[#This Row],[TOTAL]]=LARGE($AJ$60:$AJ$72,2),despesavariávelconsolidadojul[[#This Row],[TOTAL]]=LARGE($AJ$60:$AJ$72,3),despesavariávelconsolidadojul[[#This Row],[TOTAL]]=LARGE($AJ$60:$AJ$72,4),despesavariávelconsolidadojul[[#This Row],[TOTAL]]=LARGE($AJ$60:$AJ$72,5)),DADOS!$I$8,""))</f>
        <v/>
      </c>
      <c r="E65" s="148" t="n">
        <f aca="false">SUMIFS(tabela_registros[VALOR],tabela_registros[MÊS],$AE$1,tabela_registros[DIA],jultotal3059718395107[[#Headers],[1]],tabela_registros[REGISTRO],DADOS!$N$4,tabela_registros[TIPO],DADOS!$P$4,tabela_registros[CATEGORIA],despesavariávelconsolidadojul[[#This Row],[DESPESA VARIÁVEL]])</f>
        <v>0</v>
      </c>
      <c r="F65" s="119" t="n">
        <f aca="false">SUMIFS(tabela_registros[VALOR],tabela_registros[MÊS],$AE$1,tabela_registros[DIA],jultotal3059718395107[[#Headers],[2]],tabela_registros[REGISTRO],DADOS!$N$4,tabela_registros[TIPO],DADOS!$P$4,tabela_registros[CATEGORIA],despesavariávelconsolidadojul[[#This Row],[DESPESA VARIÁVEL]])</f>
        <v>0</v>
      </c>
      <c r="G65" s="119" t="n">
        <f aca="false">SUMIFS(tabela_registros[VALOR],tabela_registros[MÊS],$AE$1,tabela_registros[DIA],jultotal3059718395107[[#Headers],[3]],tabela_registros[REGISTRO],DADOS!$N$4,tabela_registros[TIPO],DADOS!$P$4,tabela_registros[CATEGORIA],despesavariávelconsolidadojul[[#This Row],[DESPESA VARIÁVEL]])</f>
        <v>0</v>
      </c>
      <c r="H65" s="119" t="n">
        <f aca="false">SUMIFS(tabela_registros[VALOR],tabela_registros[MÊS],$AE$1,tabela_registros[DIA],jultotal3059718395107[[#Headers],[4]],tabela_registros[REGISTRO],DADOS!$N$4,tabela_registros[TIPO],DADOS!$P$4,tabela_registros[CATEGORIA],despesavariávelconsolidadojul[[#This Row],[DESPESA VARIÁVEL]])</f>
        <v>0</v>
      </c>
      <c r="I65" s="119" t="n">
        <f aca="false">SUMIFS(tabela_registros[VALOR],tabela_registros[MÊS],$AE$1,tabela_registros[DIA],jultotal3059718395107[[#Headers],[5]],tabela_registros[REGISTRO],DADOS!$N$4,tabela_registros[TIPO],DADOS!$P$4,tabela_registros[CATEGORIA],despesavariávelconsolidadojul[[#This Row],[DESPESA VARIÁVEL]])</f>
        <v>0</v>
      </c>
      <c r="J65" s="119" t="n">
        <f aca="false">SUMIFS(tabela_registros[VALOR],tabela_registros[MÊS],$AE$1,tabela_registros[DIA],jultotal3059718395107[[#Headers],[6]],tabela_registros[REGISTRO],DADOS!$N$4,tabela_registros[TIPO],DADOS!$P$4,tabela_registros[CATEGORIA],despesavariávelconsolidadojul[[#This Row],[DESPESA VARIÁVEL]])</f>
        <v>0</v>
      </c>
      <c r="K65" s="119" t="n">
        <f aca="false">SUMIFS(tabela_registros[VALOR],tabela_registros[MÊS],$AE$1,tabela_registros[DIA],jultotal3059718395107[[#Headers],[7]],tabela_registros[REGISTRO],DADOS!$N$4,tabela_registros[TIPO],DADOS!$P$4,tabela_registros[CATEGORIA],despesavariávelconsolidadojul[[#This Row],[DESPESA VARIÁVEL]])</f>
        <v>0</v>
      </c>
      <c r="L65" s="119" t="n">
        <f aca="false">SUMIFS(tabela_registros[VALOR],tabela_registros[MÊS],$AE$1,tabela_registros[DIA],jultotal3059718395107[[#Headers],[8]],tabela_registros[REGISTRO],DADOS!$N$4,tabela_registros[TIPO],DADOS!$P$4,tabela_registros[CATEGORIA],despesavariávelconsolidadojul[[#This Row],[DESPESA VARIÁVEL]])</f>
        <v>0</v>
      </c>
      <c r="M65" s="119" t="n">
        <f aca="false">SUMIFS(tabela_registros[VALOR],tabela_registros[MÊS],$AE$1,tabela_registros[DIA],jultotal3059718395107[[#Headers],[9]],tabela_registros[REGISTRO],DADOS!$N$4,tabela_registros[TIPO],DADOS!$P$4,tabela_registros[CATEGORIA],despesavariávelconsolidadojul[[#This Row],[DESPESA VARIÁVEL]])</f>
        <v>0</v>
      </c>
      <c r="N65" s="119" t="n">
        <f aca="false">SUMIFS(tabela_registros[VALOR],tabela_registros[MÊS],$AE$1,tabela_registros[DIA],jultotal3059718395107[[#Headers],[10]],tabela_registros[REGISTRO],DADOS!$N$4,tabela_registros[TIPO],DADOS!$P$4,tabela_registros[CATEGORIA],despesavariávelconsolidadojul[[#This Row],[DESPESA VARIÁVEL]])</f>
        <v>0</v>
      </c>
      <c r="O65" s="119" t="n">
        <f aca="false">SUMIFS(tabela_registros[VALOR],tabela_registros[MÊS],$AE$1,tabela_registros[DIA],jultotal3059718395107[[#Headers],[11]],tabela_registros[REGISTRO],DADOS!$N$4,tabela_registros[TIPO],DADOS!$P$4,tabela_registros[CATEGORIA],despesavariávelconsolidadojul[[#This Row],[DESPESA VARIÁVEL]])</f>
        <v>0</v>
      </c>
      <c r="P65" s="119" t="n">
        <f aca="false">SUMIFS(tabela_registros[VALOR],tabela_registros[MÊS],$AE$1,tabela_registros[DIA],jultotal3059718395107[[#Headers],[12]],tabela_registros[REGISTRO],DADOS!$N$4,tabela_registros[TIPO],DADOS!$P$4,tabela_registros[CATEGORIA],despesavariávelconsolidadojul[[#This Row],[DESPESA VARIÁVEL]])</f>
        <v>0</v>
      </c>
      <c r="Q65" s="119" t="n">
        <f aca="false">SUMIFS(tabela_registros[VALOR],tabela_registros[MÊS],$AE$1,tabela_registros[DIA],jultotal3059718395107[[#Headers],[13]],tabela_registros[REGISTRO],DADOS!$N$4,tabela_registros[TIPO],DADOS!$P$4,tabela_registros[CATEGORIA],despesavariávelconsolidadojul[[#This Row],[DESPESA VARIÁVEL]])</f>
        <v>0</v>
      </c>
      <c r="R65" s="119" t="n">
        <f aca="false">SUMIFS(tabela_registros[VALOR],tabela_registros[MÊS],$AE$1,tabela_registros[DIA],jultotal3059718395107[[#Headers],[14]],tabela_registros[REGISTRO],DADOS!$N$4,tabela_registros[TIPO],DADOS!$P$4,tabela_registros[CATEGORIA],despesavariávelconsolidadojul[[#This Row],[DESPESA VARIÁVEL]])</f>
        <v>0</v>
      </c>
      <c r="S65" s="119" t="n">
        <f aca="false">SUMIFS(tabela_registros[VALOR],tabela_registros[MÊS],$AE$1,tabela_registros[DIA],jultotal3059718395107[[#Headers],[15]],tabela_registros[REGISTRO],DADOS!$N$4,tabela_registros[TIPO],DADOS!$P$4,tabela_registros[CATEGORIA],despesavariávelconsolidadojul[[#This Row],[DESPESA VARIÁVEL]])</f>
        <v>0</v>
      </c>
      <c r="T65" s="119" t="n">
        <f aca="false">SUMIFS(tabela_registros[VALOR],tabela_registros[MÊS],$AE$1,tabela_registros[DIA],jultotal3059718395107[[#Headers],[16]],tabela_registros[REGISTRO],DADOS!$N$4,tabela_registros[TIPO],DADOS!$P$4,tabela_registros[CATEGORIA],despesavariávelconsolidadojul[[#This Row],[DESPESA VARIÁVEL]])</f>
        <v>0</v>
      </c>
      <c r="U65" s="119" t="n">
        <f aca="false">SUMIFS(tabela_registros[VALOR],tabela_registros[MÊS],$AE$1,tabela_registros[DIA],jultotal3059718395107[[#Headers],[17]],tabela_registros[REGISTRO],DADOS!$N$4,tabela_registros[TIPO],DADOS!$P$4,tabela_registros[CATEGORIA],despesavariávelconsolidadojul[[#This Row],[DESPESA VARIÁVEL]])</f>
        <v>0</v>
      </c>
      <c r="V65" s="119" t="n">
        <f aca="false">SUMIFS(tabela_registros[VALOR],tabela_registros[MÊS],$AE$1,tabela_registros[DIA],jultotal3059718395107[[#Headers],[18]],tabela_registros[REGISTRO],DADOS!$N$4,tabela_registros[TIPO],DADOS!$P$4,tabela_registros[CATEGORIA],despesavariávelconsolidadojul[[#This Row],[DESPESA VARIÁVEL]])</f>
        <v>0</v>
      </c>
      <c r="W65" s="119" t="n">
        <f aca="false">SUMIFS(tabela_registros[VALOR],tabela_registros[MÊS],$AE$1,tabela_registros[DIA],jultotal3059718395107[[#Headers],[19]],tabela_registros[REGISTRO],DADOS!$N$4,tabela_registros[TIPO],DADOS!$P$4,tabela_registros[CATEGORIA],despesavariávelconsolidadojul[[#This Row],[DESPESA VARIÁVEL]])</f>
        <v>0</v>
      </c>
      <c r="X65" s="119" t="n">
        <f aca="false">SUMIFS(tabela_registros[VALOR],tabela_registros[MÊS],$AE$1,tabela_registros[DIA],jultotal3059718395107[[#Headers],[20]],tabela_registros[REGISTRO],DADOS!$N$4,tabela_registros[TIPO],DADOS!$P$4,tabela_registros[CATEGORIA],despesavariávelconsolidadojul[[#This Row],[DESPESA VARIÁVEL]])</f>
        <v>0</v>
      </c>
      <c r="Y65" s="119" t="n">
        <f aca="false">SUMIFS(tabela_registros[VALOR],tabela_registros[MÊS],$AE$1,tabela_registros[DIA],jultotal3059718395107[[#Headers],[21]],tabela_registros[REGISTRO],DADOS!$N$4,tabela_registros[TIPO],DADOS!$P$4,tabela_registros[CATEGORIA],despesavariávelconsolidadojul[[#This Row],[DESPESA VARIÁVEL]])</f>
        <v>0</v>
      </c>
      <c r="Z65" s="119" t="n">
        <f aca="false">SUMIFS(tabela_registros[VALOR],tabela_registros[MÊS],$AE$1,tabela_registros[DIA],jultotal3059718395107[[#Headers],[22]],tabela_registros[REGISTRO],DADOS!$N$4,tabela_registros[TIPO],DADOS!$P$4,tabela_registros[CATEGORIA],despesavariávelconsolidadojul[[#This Row],[DESPESA VARIÁVEL]])</f>
        <v>0</v>
      </c>
      <c r="AA65" s="119" t="n">
        <f aca="false">SUMIFS(tabela_registros[VALOR],tabela_registros[MÊS],$AE$1,tabela_registros[DIA],jultotal3059718395107[[#Headers],[23]],tabela_registros[REGISTRO],DADOS!$N$4,tabela_registros[TIPO],DADOS!$P$4,tabela_registros[CATEGORIA],despesavariávelconsolidadojul[[#This Row],[DESPESA VARIÁVEL]])</f>
        <v>0</v>
      </c>
      <c r="AB65" s="119" t="n">
        <f aca="false">SUMIFS(tabela_registros[VALOR],tabela_registros[MÊS],$AE$1,tabela_registros[DIA],jultotal3059718395107[[#Headers],[24]],tabela_registros[REGISTRO],DADOS!$N$4,tabela_registros[TIPO],DADOS!$P$4,tabela_registros[CATEGORIA],despesavariávelconsolidadojul[[#This Row],[DESPESA VARIÁVEL]])</f>
        <v>0</v>
      </c>
      <c r="AC65" s="119" t="n">
        <f aca="false">SUMIFS(tabela_registros[VALOR],tabela_registros[MÊS],$AE$1,tabela_registros[DIA],jultotal3059718395107[[#Headers],[25]],tabela_registros[REGISTRO],DADOS!$N$4,tabela_registros[TIPO],DADOS!$P$4,tabela_registros[CATEGORIA],despesavariávelconsolidadojul[[#This Row],[DESPESA VARIÁVEL]])</f>
        <v>0</v>
      </c>
      <c r="AD65" s="119" t="n">
        <f aca="false">SUMIFS(tabela_registros[VALOR],tabela_registros[MÊS],$AE$1,tabela_registros[DIA],jultotal3059718395107[[#Headers],[26]],tabela_registros[REGISTRO],DADOS!$N$4,tabela_registros[TIPO],DADOS!$P$4,tabela_registros[CATEGORIA],despesavariávelconsolidadojul[[#This Row],[DESPESA VARIÁVEL]])</f>
        <v>0</v>
      </c>
      <c r="AE65" s="119" t="n">
        <f aca="false">SUMIFS(tabela_registros[VALOR],tabela_registros[MÊS],$AE$1,tabela_registros[DIA],jultotal3059718395107[[#Headers],[27]],tabela_registros[REGISTRO],DADOS!$N$4,tabela_registros[TIPO],DADOS!$P$4,tabela_registros[CATEGORIA],despesavariávelconsolidadojul[[#This Row],[DESPESA VARIÁVEL]])</f>
        <v>0</v>
      </c>
      <c r="AF65" s="119" t="n">
        <f aca="false">SUMIFS(tabela_registros[VALOR],tabela_registros[MÊS],$AE$1,tabela_registros[DIA],jultotal3059718395107[[#Headers],[28]],tabela_registros[REGISTRO],DADOS!$N$4,tabela_registros[TIPO],DADOS!$P$4,tabela_registros[CATEGORIA],despesavariávelconsolidadojul[[#This Row],[DESPESA VARIÁVEL]])</f>
        <v>0</v>
      </c>
      <c r="AG65" s="119" t="n">
        <f aca="false">SUMIFS(tabela_registros[VALOR],tabela_registros[MÊS],$AE$1,tabela_registros[DIA],jultotal3059718395107[[#Headers],[29]],tabela_registros[REGISTRO],DADOS!$N$4,tabela_registros[TIPO],DADOS!$P$4,tabela_registros[CATEGORIA],despesavariávelconsolidadojul[[#This Row],[DESPESA VARIÁVEL]])</f>
        <v>0</v>
      </c>
      <c r="AH65" s="119" t="n">
        <f aca="false">SUMIFS(tabela_registros[VALOR],tabela_registros[MÊS],$AE$1,tabela_registros[DIA],jultotal3059718395107[[#Headers],[30]],tabela_registros[REGISTRO],DADOS!$N$4,tabela_registros[TIPO],DADOS!$P$4,tabela_registros[CATEGORIA],despesavariávelconsolidadojul[[#This Row],[DESPESA VARIÁVEL]])</f>
        <v>0</v>
      </c>
      <c r="AI65" s="217" t="n">
        <f aca="false">SUMIFS(tabela_registros[VALOR],tabela_registros[MÊS],$AE$1,tabela_registros[DIA],jultotal3059718395107[[#Headers],[31]],tabela_registros[REGISTRO],DADOS!$N$4,tabela_registros[TIPO],DADOS!$P$4,tabela_registros[CATEGORIA],despesavariávelconsolidadojul[[#This Row],[DESPESA VARIÁVEL]])</f>
        <v>0</v>
      </c>
      <c r="AJ65" s="149" t="n">
        <f aca="false">SUM(despesavariávelconsolidadojul[[#This Row],[1]:[31]])</f>
        <v>0</v>
      </c>
      <c r="AK65" s="143"/>
    </row>
    <row r="66" customFormat="false" ht="18" hidden="false" customHeight="true" outlineLevel="0" collapsed="false">
      <c r="B66" s="143"/>
      <c r="C66" s="144" t="str">
        <f aca="false">DADOS!$T$9</f>
        <v>🎭 LAZER</v>
      </c>
      <c r="D66" s="145" t="str">
        <f aca="false">IF(despesavariávelconsolidadojul[[#This Row],[TOTAL]]=0,"",IF(OR(despesavariávelconsolidadojul[[#This Row],[TOTAL]]=LARGE($AJ$60:$AJ$72,1),despesavariávelconsolidadojul[[#This Row],[TOTAL]]=LARGE($AJ$60:$AJ$72,2),despesavariávelconsolidadojul[[#This Row],[TOTAL]]=LARGE($AJ$60:$AJ$72,3),despesavariávelconsolidadojul[[#This Row],[TOTAL]]=LARGE($AJ$60:$AJ$72,4),despesavariávelconsolidadojul[[#This Row],[TOTAL]]=LARGE($AJ$60:$AJ$72,5)),DADOS!$I$8,""))</f>
        <v/>
      </c>
      <c r="E66" s="148" t="n">
        <f aca="false">SUMIFS(tabela_registros[VALOR],tabela_registros[MÊS],$AE$1,tabela_registros[DIA],jultotal3059718395107[[#Headers],[1]],tabela_registros[REGISTRO],DADOS!$N$4,tabela_registros[TIPO],DADOS!$P$4,tabela_registros[CATEGORIA],despesavariávelconsolidadojul[[#This Row],[DESPESA VARIÁVEL]])</f>
        <v>0</v>
      </c>
      <c r="F66" s="119" t="n">
        <f aca="false">SUMIFS(tabela_registros[VALOR],tabela_registros[MÊS],$AE$1,tabela_registros[DIA],jultotal3059718395107[[#Headers],[2]],tabela_registros[REGISTRO],DADOS!$N$4,tabela_registros[TIPO],DADOS!$P$4,tabela_registros[CATEGORIA],despesavariávelconsolidadojul[[#This Row],[DESPESA VARIÁVEL]])</f>
        <v>0</v>
      </c>
      <c r="G66" s="119" t="n">
        <f aca="false">SUMIFS(tabela_registros[VALOR],tabela_registros[MÊS],$AE$1,tabela_registros[DIA],jultotal3059718395107[[#Headers],[3]],tabela_registros[REGISTRO],DADOS!$N$4,tabela_registros[TIPO],DADOS!$P$4,tabela_registros[CATEGORIA],despesavariávelconsolidadojul[[#This Row],[DESPESA VARIÁVEL]])</f>
        <v>0</v>
      </c>
      <c r="H66" s="119" t="n">
        <f aca="false">SUMIFS(tabela_registros[VALOR],tabela_registros[MÊS],$AE$1,tabela_registros[DIA],jultotal3059718395107[[#Headers],[4]],tabela_registros[REGISTRO],DADOS!$N$4,tabela_registros[TIPO],DADOS!$P$4,tabela_registros[CATEGORIA],despesavariávelconsolidadojul[[#This Row],[DESPESA VARIÁVEL]])</f>
        <v>0</v>
      </c>
      <c r="I66" s="119" t="n">
        <f aca="false">SUMIFS(tabela_registros[VALOR],tabela_registros[MÊS],$AE$1,tabela_registros[DIA],jultotal3059718395107[[#Headers],[5]],tabela_registros[REGISTRO],DADOS!$N$4,tabela_registros[TIPO],DADOS!$P$4,tabela_registros[CATEGORIA],despesavariávelconsolidadojul[[#This Row],[DESPESA VARIÁVEL]])</f>
        <v>0</v>
      </c>
      <c r="J66" s="119" t="n">
        <f aca="false">SUMIFS(tabela_registros[VALOR],tabela_registros[MÊS],$AE$1,tabela_registros[DIA],jultotal3059718395107[[#Headers],[6]],tabela_registros[REGISTRO],DADOS!$N$4,tabela_registros[TIPO],DADOS!$P$4,tabela_registros[CATEGORIA],despesavariávelconsolidadojul[[#This Row],[DESPESA VARIÁVEL]])</f>
        <v>0</v>
      </c>
      <c r="K66" s="119" t="n">
        <f aca="false">SUMIFS(tabela_registros[VALOR],tabela_registros[MÊS],$AE$1,tabela_registros[DIA],jultotal3059718395107[[#Headers],[7]],tabela_registros[REGISTRO],DADOS!$N$4,tabela_registros[TIPO],DADOS!$P$4,tabela_registros[CATEGORIA],despesavariávelconsolidadojul[[#This Row],[DESPESA VARIÁVEL]])</f>
        <v>0</v>
      </c>
      <c r="L66" s="119" t="n">
        <f aca="false">SUMIFS(tabela_registros[VALOR],tabela_registros[MÊS],$AE$1,tabela_registros[DIA],jultotal3059718395107[[#Headers],[8]],tabela_registros[REGISTRO],DADOS!$N$4,tabela_registros[TIPO],DADOS!$P$4,tabela_registros[CATEGORIA],despesavariávelconsolidadojul[[#This Row],[DESPESA VARIÁVEL]])</f>
        <v>0</v>
      </c>
      <c r="M66" s="119" t="n">
        <f aca="false">SUMIFS(tabela_registros[VALOR],tabela_registros[MÊS],$AE$1,tabela_registros[DIA],jultotal3059718395107[[#Headers],[9]],tabela_registros[REGISTRO],DADOS!$N$4,tabela_registros[TIPO],DADOS!$P$4,tabela_registros[CATEGORIA],despesavariávelconsolidadojul[[#This Row],[DESPESA VARIÁVEL]])</f>
        <v>0</v>
      </c>
      <c r="N66" s="119" t="n">
        <f aca="false">SUMIFS(tabela_registros[VALOR],tabela_registros[MÊS],$AE$1,tabela_registros[DIA],jultotal3059718395107[[#Headers],[10]],tabela_registros[REGISTRO],DADOS!$N$4,tabela_registros[TIPO],DADOS!$P$4,tabela_registros[CATEGORIA],despesavariávelconsolidadojul[[#This Row],[DESPESA VARIÁVEL]])</f>
        <v>0</v>
      </c>
      <c r="O66" s="119" t="n">
        <f aca="false">SUMIFS(tabela_registros[VALOR],tabela_registros[MÊS],$AE$1,tabela_registros[DIA],jultotal3059718395107[[#Headers],[11]],tabela_registros[REGISTRO],DADOS!$N$4,tabela_registros[TIPO],DADOS!$P$4,tabela_registros[CATEGORIA],despesavariávelconsolidadojul[[#This Row],[DESPESA VARIÁVEL]])</f>
        <v>0</v>
      </c>
      <c r="P66" s="119" t="n">
        <f aca="false">SUMIFS(tabela_registros[VALOR],tabela_registros[MÊS],$AE$1,tabela_registros[DIA],jultotal3059718395107[[#Headers],[12]],tabela_registros[REGISTRO],DADOS!$N$4,tabela_registros[TIPO],DADOS!$P$4,tabela_registros[CATEGORIA],despesavariávelconsolidadojul[[#This Row],[DESPESA VARIÁVEL]])</f>
        <v>0</v>
      </c>
      <c r="Q66" s="119" t="n">
        <f aca="false">SUMIFS(tabela_registros[VALOR],tabela_registros[MÊS],$AE$1,tabela_registros[DIA],jultotal3059718395107[[#Headers],[13]],tabela_registros[REGISTRO],DADOS!$N$4,tabela_registros[TIPO],DADOS!$P$4,tabela_registros[CATEGORIA],despesavariávelconsolidadojul[[#This Row],[DESPESA VARIÁVEL]])</f>
        <v>0</v>
      </c>
      <c r="R66" s="119" t="n">
        <f aca="false">SUMIFS(tabela_registros[VALOR],tabela_registros[MÊS],$AE$1,tabela_registros[DIA],jultotal3059718395107[[#Headers],[14]],tabela_registros[REGISTRO],DADOS!$N$4,tabela_registros[TIPO],DADOS!$P$4,tabela_registros[CATEGORIA],despesavariávelconsolidadojul[[#This Row],[DESPESA VARIÁVEL]])</f>
        <v>0</v>
      </c>
      <c r="S66" s="119" t="n">
        <f aca="false">SUMIFS(tabela_registros[VALOR],tabela_registros[MÊS],$AE$1,tabela_registros[DIA],jultotal3059718395107[[#Headers],[15]],tabela_registros[REGISTRO],DADOS!$N$4,tabela_registros[TIPO],DADOS!$P$4,tabela_registros[CATEGORIA],despesavariávelconsolidadojul[[#This Row],[DESPESA VARIÁVEL]])</f>
        <v>0</v>
      </c>
      <c r="T66" s="119" t="n">
        <f aca="false">SUMIFS(tabela_registros[VALOR],tabela_registros[MÊS],$AE$1,tabela_registros[DIA],jultotal3059718395107[[#Headers],[16]],tabela_registros[REGISTRO],DADOS!$N$4,tabela_registros[TIPO],DADOS!$P$4,tabela_registros[CATEGORIA],despesavariávelconsolidadojul[[#This Row],[DESPESA VARIÁVEL]])</f>
        <v>0</v>
      </c>
      <c r="U66" s="119" t="n">
        <f aca="false">SUMIFS(tabela_registros[VALOR],tabela_registros[MÊS],$AE$1,tabela_registros[DIA],jultotal3059718395107[[#Headers],[17]],tabela_registros[REGISTRO],DADOS!$N$4,tabela_registros[TIPO],DADOS!$P$4,tabela_registros[CATEGORIA],despesavariávelconsolidadojul[[#This Row],[DESPESA VARIÁVEL]])</f>
        <v>0</v>
      </c>
      <c r="V66" s="119" t="n">
        <f aca="false">SUMIFS(tabela_registros[VALOR],tabela_registros[MÊS],$AE$1,tabela_registros[DIA],jultotal3059718395107[[#Headers],[18]],tabela_registros[REGISTRO],DADOS!$N$4,tabela_registros[TIPO],DADOS!$P$4,tabela_registros[CATEGORIA],despesavariávelconsolidadojul[[#This Row],[DESPESA VARIÁVEL]])</f>
        <v>0</v>
      </c>
      <c r="W66" s="119" t="n">
        <f aca="false">SUMIFS(tabela_registros[VALOR],tabela_registros[MÊS],$AE$1,tabela_registros[DIA],jultotal3059718395107[[#Headers],[19]],tabela_registros[REGISTRO],DADOS!$N$4,tabela_registros[TIPO],DADOS!$P$4,tabela_registros[CATEGORIA],despesavariávelconsolidadojul[[#This Row],[DESPESA VARIÁVEL]])</f>
        <v>0</v>
      </c>
      <c r="X66" s="119" t="n">
        <f aca="false">SUMIFS(tabela_registros[VALOR],tabela_registros[MÊS],$AE$1,tabela_registros[DIA],jultotal3059718395107[[#Headers],[20]],tabela_registros[REGISTRO],DADOS!$N$4,tabela_registros[TIPO],DADOS!$P$4,tabela_registros[CATEGORIA],despesavariávelconsolidadojul[[#This Row],[DESPESA VARIÁVEL]])</f>
        <v>0</v>
      </c>
      <c r="Y66" s="119" t="n">
        <f aca="false">SUMIFS(tabela_registros[VALOR],tabela_registros[MÊS],$AE$1,tabela_registros[DIA],jultotal3059718395107[[#Headers],[21]],tabela_registros[REGISTRO],DADOS!$N$4,tabela_registros[TIPO],DADOS!$P$4,tabela_registros[CATEGORIA],despesavariávelconsolidadojul[[#This Row],[DESPESA VARIÁVEL]])</f>
        <v>0</v>
      </c>
      <c r="Z66" s="119" t="n">
        <f aca="false">SUMIFS(tabela_registros[VALOR],tabela_registros[MÊS],$AE$1,tabela_registros[DIA],jultotal3059718395107[[#Headers],[22]],tabela_registros[REGISTRO],DADOS!$N$4,tabela_registros[TIPO],DADOS!$P$4,tabela_registros[CATEGORIA],despesavariávelconsolidadojul[[#This Row],[DESPESA VARIÁVEL]])</f>
        <v>0</v>
      </c>
      <c r="AA66" s="119" t="n">
        <f aca="false">SUMIFS(tabela_registros[VALOR],tabela_registros[MÊS],$AE$1,tabela_registros[DIA],jultotal3059718395107[[#Headers],[23]],tabela_registros[REGISTRO],DADOS!$N$4,tabela_registros[TIPO],DADOS!$P$4,tabela_registros[CATEGORIA],despesavariávelconsolidadojul[[#This Row],[DESPESA VARIÁVEL]])</f>
        <v>0</v>
      </c>
      <c r="AB66" s="119" t="n">
        <f aca="false">SUMIFS(tabela_registros[VALOR],tabela_registros[MÊS],$AE$1,tabela_registros[DIA],jultotal3059718395107[[#Headers],[24]],tabela_registros[REGISTRO],DADOS!$N$4,tabela_registros[TIPO],DADOS!$P$4,tabela_registros[CATEGORIA],despesavariávelconsolidadojul[[#This Row],[DESPESA VARIÁVEL]])</f>
        <v>0</v>
      </c>
      <c r="AC66" s="119" t="n">
        <f aca="false">SUMIFS(tabela_registros[VALOR],tabela_registros[MÊS],$AE$1,tabela_registros[DIA],jultotal3059718395107[[#Headers],[25]],tabela_registros[REGISTRO],DADOS!$N$4,tabela_registros[TIPO],DADOS!$P$4,tabela_registros[CATEGORIA],despesavariávelconsolidadojul[[#This Row],[DESPESA VARIÁVEL]])</f>
        <v>0</v>
      </c>
      <c r="AD66" s="119" t="n">
        <f aca="false">SUMIFS(tabela_registros[VALOR],tabela_registros[MÊS],$AE$1,tabela_registros[DIA],jultotal3059718395107[[#Headers],[26]],tabela_registros[REGISTRO],DADOS!$N$4,tabela_registros[TIPO],DADOS!$P$4,tabela_registros[CATEGORIA],despesavariávelconsolidadojul[[#This Row],[DESPESA VARIÁVEL]])</f>
        <v>0</v>
      </c>
      <c r="AE66" s="119" t="n">
        <f aca="false">SUMIFS(tabela_registros[VALOR],tabela_registros[MÊS],$AE$1,tabela_registros[DIA],jultotal3059718395107[[#Headers],[27]],tabela_registros[REGISTRO],DADOS!$N$4,tabela_registros[TIPO],DADOS!$P$4,tabela_registros[CATEGORIA],despesavariávelconsolidadojul[[#This Row],[DESPESA VARIÁVEL]])</f>
        <v>0</v>
      </c>
      <c r="AF66" s="119" t="n">
        <f aca="false">SUMIFS(tabela_registros[VALOR],tabela_registros[MÊS],$AE$1,tabela_registros[DIA],jultotal3059718395107[[#Headers],[28]],tabela_registros[REGISTRO],DADOS!$N$4,tabela_registros[TIPO],DADOS!$P$4,tabela_registros[CATEGORIA],despesavariávelconsolidadojul[[#This Row],[DESPESA VARIÁVEL]])</f>
        <v>0</v>
      </c>
      <c r="AG66" s="119" t="n">
        <f aca="false">SUMIFS(tabela_registros[VALOR],tabela_registros[MÊS],$AE$1,tabela_registros[DIA],jultotal3059718395107[[#Headers],[29]],tabela_registros[REGISTRO],DADOS!$N$4,tabela_registros[TIPO],DADOS!$P$4,tabela_registros[CATEGORIA],despesavariávelconsolidadojul[[#This Row],[DESPESA VARIÁVEL]])</f>
        <v>0</v>
      </c>
      <c r="AH66" s="119" t="n">
        <f aca="false">SUMIFS(tabela_registros[VALOR],tabela_registros[MÊS],$AE$1,tabela_registros[DIA],jultotal3059718395107[[#Headers],[30]],tabela_registros[REGISTRO],DADOS!$N$4,tabela_registros[TIPO],DADOS!$P$4,tabela_registros[CATEGORIA],despesavariávelconsolidadojul[[#This Row],[DESPESA VARIÁVEL]])</f>
        <v>0</v>
      </c>
      <c r="AI66" s="217" t="n">
        <f aca="false">SUMIFS(tabela_registros[VALOR],tabela_registros[MÊS],$AE$1,tabela_registros[DIA],jultotal3059718395107[[#Headers],[31]],tabela_registros[REGISTRO],DADOS!$N$4,tabela_registros[TIPO],DADOS!$P$4,tabela_registros[CATEGORIA],despesavariávelconsolidadojul[[#This Row],[DESPESA VARIÁVEL]])</f>
        <v>0</v>
      </c>
      <c r="AJ66" s="149" t="n">
        <f aca="false">SUM(despesavariávelconsolidadojul[[#This Row],[1]:[31]])</f>
        <v>0</v>
      </c>
      <c r="AK66" s="143"/>
    </row>
    <row r="67" customFormat="false" ht="18" hidden="false" customHeight="true" outlineLevel="0" collapsed="false">
      <c r="B67" s="143"/>
      <c r="C67" s="144" t="str">
        <f aca="false">DADOS!$T$10</f>
        <v>🛒 MERCADO</v>
      </c>
      <c r="D67" s="145" t="str">
        <f aca="false">IF(despesavariávelconsolidadojul[[#This Row],[TOTAL]]=0,"",IF(OR(despesavariávelconsolidadojul[[#This Row],[TOTAL]]=LARGE($AJ$60:$AJ$72,1),despesavariávelconsolidadojul[[#This Row],[TOTAL]]=LARGE($AJ$60:$AJ$72,2),despesavariávelconsolidadojul[[#This Row],[TOTAL]]=LARGE($AJ$60:$AJ$72,3),despesavariávelconsolidadojul[[#This Row],[TOTAL]]=LARGE($AJ$60:$AJ$72,4),despesavariávelconsolidadojul[[#This Row],[TOTAL]]=LARGE($AJ$60:$AJ$72,5)),DADOS!$I$8,""))</f>
        <v/>
      </c>
      <c r="E67" s="148" t="n">
        <f aca="false">SUMIFS(tabela_registros[VALOR],tabela_registros[MÊS],$AE$1,tabela_registros[DIA],jultotal3059718395107[[#Headers],[1]],tabela_registros[REGISTRO],DADOS!$N$4,tabela_registros[TIPO],DADOS!$P$4,tabela_registros[CATEGORIA],despesavariávelconsolidadojul[[#This Row],[DESPESA VARIÁVEL]])</f>
        <v>0</v>
      </c>
      <c r="F67" s="119" t="n">
        <f aca="false">SUMIFS(tabela_registros[VALOR],tabela_registros[MÊS],$AE$1,tabela_registros[DIA],jultotal3059718395107[[#Headers],[2]],tabela_registros[REGISTRO],DADOS!$N$4,tabela_registros[TIPO],DADOS!$P$4,tabela_registros[CATEGORIA],despesavariávelconsolidadojul[[#This Row],[DESPESA VARIÁVEL]])</f>
        <v>0</v>
      </c>
      <c r="G67" s="119" t="n">
        <f aca="false">SUMIFS(tabela_registros[VALOR],tabela_registros[MÊS],$AE$1,tabela_registros[DIA],jultotal3059718395107[[#Headers],[3]],tabela_registros[REGISTRO],DADOS!$N$4,tabela_registros[TIPO],DADOS!$P$4,tabela_registros[CATEGORIA],despesavariávelconsolidadojul[[#This Row],[DESPESA VARIÁVEL]])</f>
        <v>0</v>
      </c>
      <c r="H67" s="119" t="n">
        <f aca="false">SUMIFS(tabela_registros[VALOR],tabela_registros[MÊS],$AE$1,tabela_registros[DIA],jultotal3059718395107[[#Headers],[4]],tabela_registros[REGISTRO],DADOS!$N$4,tabela_registros[TIPO],DADOS!$P$4,tabela_registros[CATEGORIA],despesavariávelconsolidadojul[[#This Row],[DESPESA VARIÁVEL]])</f>
        <v>0</v>
      </c>
      <c r="I67" s="119" t="n">
        <f aca="false">SUMIFS(tabela_registros[VALOR],tabela_registros[MÊS],$AE$1,tabela_registros[DIA],jultotal3059718395107[[#Headers],[5]],tabela_registros[REGISTRO],DADOS!$N$4,tabela_registros[TIPO],DADOS!$P$4,tabela_registros[CATEGORIA],despesavariávelconsolidadojul[[#This Row],[DESPESA VARIÁVEL]])</f>
        <v>0</v>
      </c>
      <c r="J67" s="119" t="n">
        <f aca="false">SUMIFS(tabela_registros[VALOR],tabela_registros[MÊS],$AE$1,tabela_registros[DIA],jultotal3059718395107[[#Headers],[6]],tabela_registros[REGISTRO],DADOS!$N$4,tabela_registros[TIPO],DADOS!$P$4,tabela_registros[CATEGORIA],despesavariávelconsolidadojul[[#This Row],[DESPESA VARIÁVEL]])</f>
        <v>0</v>
      </c>
      <c r="K67" s="119" t="n">
        <f aca="false">SUMIFS(tabela_registros[VALOR],tabela_registros[MÊS],$AE$1,tabela_registros[DIA],jultotal3059718395107[[#Headers],[7]],tabela_registros[REGISTRO],DADOS!$N$4,tabela_registros[TIPO],DADOS!$P$4,tabela_registros[CATEGORIA],despesavariávelconsolidadojul[[#This Row],[DESPESA VARIÁVEL]])</f>
        <v>0</v>
      </c>
      <c r="L67" s="119" t="n">
        <f aca="false">SUMIFS(tabela_registros[VALOR],tabela_registros[MÊS],$AE$1,tabela_registros[DIA],jultotal3059718395107[[#Headers],[8]],tabela_registros[REGISTRO],DADOS!$N$4,tabela_registros[TIPO],DADOS!$P$4,tabela_registros[CATEGORIA],despesavariávelconsolidadojul[[#This Row],[DESPESA VARIÁVEL]])</f>
        <v>0</v>
      </c>
      <c r="M67" s="119" t="n">
        <f aca="false">SUMIFS(tabela_registros[VALOR],tabela_registros[MÊS],$AE$1,tabela_registros[DIA],jultotal3059718395107[[#Headers],[9]],tabela_registros[REGISTRO],DADOS!$N$4,tabela_registros[TIPO],DADOS!$P$4,tabela_registros[CATEGORIA],despesavariávelconsolidadojul[[#This Row],[DESPESA VARIÁVEL]])</f>
        <v>0</v>
      </c>
      <c r="N67" s="119" t="n">
        <f aca="false">SUMIFS(tabela_registros[VALOR],tabela_registros[MÊS],$AE$1,tabela_registros[DIA],jultotal3059718395107[[#Headers],[10]],tabela_registros[REGISTRO],DADOS!$N$4,tabela_registros[TIPO],DADOS!$P$4,tabela_registros[CATEGORIA],despesavariávelconsolidadojul[[#This Row],[DESPESA VARIÁVEL]])</f>
        <v>0</v>
      </c>
      <c r="O67" s="119" t="n">
        <f aca="false">SUMIFS(tabela_registros[VALOR],tabela_registros[MÊS],$AE$1,tabela_registros[DIA],jultotal3059718395107[[#Headers],[11]],tabela_registros[REGISTRO],DADOS!$N$4,tabela_registros[TIPO],DADOS!$P$4,tabela_registros[CATEGORIA],despesavariávelconsolidadojul[[#This Row],[DESPESA VARIÁVEL]])</f>
        <v>0</v>
      </c>
      <c r="P67" s="119" t="n">
        <f aca="false">SUMIFS(tabela_registros[VALOR],tabela_registros[MÊS],$AE$1,tabela_registros[DIA],jultotal3059718395107[[#Headers],[12]],tabela_registros[REGISTRO],DADOS!$N$4,tabela_registros[TIPO],DADOS!$P$4,tabela_registros[CATEGORIA],despesavariávelconsolidadojul[[#This Row],[DESPESA VARIÁVEL]])</f>
        <v>0</v>
      </c>
      <c r="Q67" s="119" t="n">
        <f aca="false">SUMIFS(tabela_registros[VALOR],tabela_registros[MÊS],$AE$1,tabela_registros[DIA],jultotal3059718395107[[#Headers],[13]],tabela_registros[REGISTRO],DADOS!$N$4,tabela_registros[TIPO],DADOS!$P$4,tabela_registros[CATEGORIA],despesavariávelconsolidadojul[[#This Row],[DESPESA VARIÁVEL]])</f>
        <v>0</v>
      </c>
      <c r="R67" s="119" t="n">
        <f aca="false">SUMIFS(tabela_registros[VALOR],tabela_registros[MÊS],$AE$1,tabela_registros[DIA],jultotal3059718395107[[#Headers],[14]],tabela_registros[REGISTRO],DADOS!$N$4,tabela_registros[TIPO],DADOS!$P$4,tabela_registros[CATEGORIA],despesavariávelconsolidadojul[[#This Row],[DESPESA VARIÁVEL]])</f>
        <v>0</v>
      </c>
      <c r="S67" s="119" t="n">
        <f aca="false">SUMIFS(tabela_registros[VALOR],tabela_registros[MÊS],$AE$1,tabela_registros[DIA],jultotal3059718395107[[#Headers],[15]],tabela_registros[REGISTRO],DADOS!$N$4,tabela_registros[TIPO],DADOS!$P$4,tabela_registros[CATEGORIA],despesavariávelconsolidadojul[[#This Row],[DESPESA VARIÁVEL]])</f>
        <v>0</v>
      </c>
      <c r="T67" s="119" t="n">
        <f aca="false">SUMIFS(tabela_registros[VALOR],tabela_registros[MÊS],$AE$1,tabela_registros[DIA],jultotal3059718395107[[#Headers],[16]],tabela_registros[REGISTRO],DADOS!$N$4,tabela_registros[TIPO],DADOS!$P$4,tabela_registros[CATEGORIA],despesavariávelconsolidadojul[[#This Row],[DESPESA VARIÁVEL]])</f>
        <v>0</v>
      </c>
      <c r="U67" s="119" t="n">
        <f aca="false">SUMIFS(tabela_registros[VALOR],tabela_registros[MÊS],$AE$1,tabela_registros[DIA],jultotal3059718395107[[#Headers],[17]],tabela_registros[REGISTRO],DADOS!$N$4,tabela_registros[TIPO],DADOS!$P$4,tabela_registros[CATEGORIA],despesavariávelconsolidadojul[[#This Row],[DESPESA VARIÁVEL]])</f>
        <v>0</v>
      </c>
      <c r="V67" s="119" t="n">
        <f aca="false">SUMIFS(tabela_registros[VALOR],tabela_registros[MÊS],$AE$1,tabela_registros[DIA],jultotal3059718395107[[#Headers],[18]],tabela_registros[REGISTRO],DADOS!$N$4,tabela_registros[TIPO],DADOS!$P$4,tabela_registros[CATEGORIA],despesavariávelconsolidadojul[[#This Row],[DESPESA VARIÁVEL]])</f>
        <v>0</v>
      </c>
      <c r="W67" s="119" t="n">
        <f aca="false">SUMIFS(tabela_registros[VALOR],tabela_registros[MÊS],$AE$1,tabela_registros[DIA],jultotal3059718395107[[#Headers],[19]],tabela_registros[REGISTRO],DADOS!$N$4,tabela_registros[TIPO],DADOS!$P$4,tabela_registros[CATEGORIA],despesavariávelconsolidadojul[[#This Row],[DESPESA VARIÁVEL]])</f>
        <v>0</v>
      </c>
      <c r="X67" s="119" t="n">
        <f aca="false">SUMIFS(tabela_registros[VALOR],tabela_registros[MÊS],$AE$1,tabela_registros[DIA],jultotal3059718395107[[#Headers],[20]],tabela_registros[REGISTRO],DADOS!$N$4,tabela_registros[TIPO],DADOS!$P$4,tabela_registros[CATEGORIA],despesavariávelconsolidadojul[[#This Row],[DESPESA VARIÁVEL]])</f>
        <v>0</v>
      </c>
      <c r="Y67" s="119" t="n">
        <f aca="false">SUMIFS(tabela_registros[VALOR],tabela_registros[MÊS],$AE$1,tabela_registros[DIA],jultotal3059718395107[[#Headers],[21]],tabela_registros[REGISTRO],DADOS!$N$4,tabela_registros[TIPO],DADOS!$P$4,tabela_registros[CATEGORIA],despesavariávelconsolidadojul[[#This Row],[DESPESA VARIÁVEL]])</f>
        <v>0</v>
      </c>
      <c r="Z67" s="119" t="n">
        <f aca="false">SUMIFS(tabela_registros[VALOR],tabela_registros[MÊS],$AE$1,tabela_registros[DIA],jultotal3059718395107[[#Headers],[22]],tabela_registros[REGISTRO],DADOS!$N$4,tabela_registros[TIPO],DADOS!$P$4,tabela_registros[CATEGORIA],despesavariávelconsolidadojul[[#This Row],[DESPESA VARIÁVEL]])</f>
        <v>0</v>
      </c>
      <c r="AA67" s="119" t="n">
        <f aca="false">SUMIFS(tabela_registros[VALOR],tabela_registros[MÊS],$AE$1,tabela_registros[DIA],jultotal3059718395107[[#Headers],[23]],tabela_registros[REGISTRO],DADOS!$N$4,tabela_registros[TIPO],DADOS!$P$4,tabela_registros[CATEGORIA],despesavariávelconsolidadojul[[#This Row],[DESPESA VARIÁVEL]])</f>
        <v>0</v>
      </c>
      <c r="AB67" s="119" t="n">
        <f aca="false">SUMIFS(tabela_registros[VALOR],tabela_registros[MÊS],$AE$1,tabela_registros[DIA],jultotal3059718395107[[#Headers],[24]],tabela_registros[REGISTRO],DADOS!$N$4,tabela_registros[TIPO],DADOS!$P$4,tabela_registros[CATEGORIA],despesavariávelconsolidadojul[[#This Row],[DESPESA VARIÁVEL]])</f>
        <v>0</v>
      </c>
      <c r="AC67" s="119" t="n">
        <f aca="false">SUMIFS(tabela_registros[VALOR],tabela_registros[MÊS],$AE$1,tabela_registros[DIA],jultotal3059718395107[[#Headers],[25]],tabela_registros[REGISTRO],DADOS!$N$4,tabela_registros[TIPO],DADOS!$P$4,tabela_registros[CATEGORIA],despesavariávelconsolidadojul[[#This Row],[DESPESA VARIÁVEL]])</f>
        <v>0</v>
      </c>
      <c r="AD67" s="119" t="n">
        <f aca="false">SUMIFS(tabela_registros[VALOR],tabela_registros[MÊS],$AE$1,tabela_registros[DIA],jultotal3059718395107[[#Headers],[26]],tabela_registros[REGISTRO],DADOS!$N$4,tabela_registros[TIPO],DADOS!$P$4,tabela_registros[CATEGORIA],despesavariávelconsolidadojul[[#This Row],[DESPESA VARIÁVEL]])</f>
        <v>0</v>
      </c>
      <c r="AE67" s="119" t="n">
        <f aca="false">SUMIFS(tabela_registros[VALOR],tabela_registros[MÊS],$AE$1,tabela_registros[DIA],jultotal3059718395107[[#Headers],[27]],tabela_registros[REGISTRO],DADOS!$N$4,tabela_registros[TIPO],DADOS!$P$4,tabela_registros[CATEGORIA],despesavariávelconsolidadojul[[#This Row],[DESPESA VARIÁVEL]])</f>
        <v>0</v>
      </c>
      <c r="AF67" s="119" t="n">
        <f aca="false">SUMIFS(tabela_registros[VALOR],tabela_registros[MÊS],$AE$1,tabela_registros[DIA],jultotal3059718395107[[#Headers],[28]],tabela_registros[REGISTRO],DADOS!$N$4,tabela_registros[TIPO],DADOS!$P$4,tabela_registros[CATEGORIA],despesavariávelconsolidadojul[[#This Row],[DESPESA VARIÁVEL]])</f>
        <v>0</v>
      </c>
      <c r="AG67" s="119" t="n">
        <f aca="false">SUMIFS(tabela_registros[VALOR],tabela_registros[MÊS],$AE$1,tabela_registros[DIA],jultotal3059718395107[[#Headers],[29]],tabela_registros[REGISTRO],DADOS!$N$4,tabela_registros[TIPO],DADOS!$P$4,tabela_registros[CATEGORIA],despesavariávelconsolidadojul[[#This Row],[DESPESA VARIÁVEL]])</f>
        <v>0</v>
      </c>
      <c r="AH67" s="119" t="n">
        <f aca="false">SUMIFS(tabela_registros[VALOR],tabela_registros[MÊS],$AE$1,tabela_registros[DIA],jultotal3059718395107[[#Headers],[30]],tabela_registros[REGISTRO],DADOS!$N$4,tabela_registros[TIPO],DADOS!$P$4,tabela_registros[CATEGORIA],despesavariávelconsolidadojul[[#This Row],[DESPESA VARIÁVEL]])</f>
        <v>0</v>
      </c>
      <c r="AI67" s="217" t="n">
        <f aca="false">SUMIFS(tabela_registros[VALOR],tabela_registros[MÊS],$AE$1,tabela_registros[DIA],jultotal3059718395107[[#Headers],[31]],tabela_registros[REGISTRO],DADOS!$N$4,tabela_registros[TIPO],DADOS!$P$4,tabela_registros[CATEGORIA],despesavariávelconsolidadojul[[#This Row],[DESPESA VARIÁVEL]])</f>
        <v>0</v>
      </c>
      <c r="AJ67" s="149" t="n">
        <f aca="false">SUM(despesavariávelconsolidadojul[[#This Row],[1]:[31]])</f>
        <v>0</v>
      </c>
      <c r="AK67" s="143"/>
    </row>
    <row r="68" customFormat="false" ht="18" hidden="false" customHeight="true" outlineLevel="0" collapsed="false">
      <c r="B68" s="143"/>
      <c r="C68" s="144" t="str">
        <f aca="false">DADOS!$T$11</f>
        <v>🎁 PRESENTES</v>
      </c>
      <c r="D68" s="145" t="str">
        <f aca="false">IF(despesavariávelconsolidadojul[[#This Row],[TOTAL]]=0,"",IF(OR(despesavariávelconsolidadojul[[#This Row],[TOTAL]]=LARGE($AJ$60:$AJ$72,1),despesavariávelconsolidadojul[[#This Row],[TOTAL]]=LARGE($AJ$60:$AJ$72,2),despesavariávelconsolidadojul[[#This Row],[TOTAL]]=LARGE($AJ$60:$AJ$72,3),despesavariávelconsolidadojul[[#This Row],[TOTAL]]=LARGE($AJ$60:$AJ$72,4),despesavariávelconsolidadojul[[#This Row],[TOTAL]]=LARGE($AJ$60:$AJ$72,5)),DADOS!$I$8,""))</f>
        <v/>
      </c>
      <c r="E68" s="148" t="n">
        <f aca="false">SUMIFS(tabela_registros[VALOR],tabela_registros[MÊS],$AE$1,tabela_registros[DIA],jultotal3059718395107[[#Headers],[1]],tabela_registros[REGISTRO],DADOS!$N$4,tabela_registros[TIPO],DADOS!$P$4,tabela_registros[CATEGORIA],despesavariávelconsolidadojul[[#This Row],[DESPESA VARIÁVEL]])</f>
        <v>0</v>
      </c>
      <c r="F68" s="119" t="n">
        <f aca="false">SUMIFS(tabela_registros[VALOR],tabela_registros[MÊS],$AE$1,tabela_registros[DIA],jultotal3059718395107[[#Headers],[2]],tabela_registros[REGISTRO],DADOS!$N$4,tabela_registros[TIPO],DADOS!$P$4,tabela_registros[CATEGORIA],despesavariávelconsolidadojul[[#This Row],[DESPESA VARIÁVEL]])</f>
        <v>0</v>
      </c>
      <c r="G68" s="119" t="n">
        <f aca="false">SUMIFS(tabela_registros[VALOR],tabela_registros[MÊS],$AE$1,tabela_registros[DIA],jultotal3059718395107[[#Headers],[3]],tabela_registros[REGISTRO],DADOS!$N$4,tabela_registros[TIPO],DADOS!$P$4,tabela_registros[CATEGORIA],despesavariávelconsolidadojul[[#This Row],[DESPESA VARIÁVEL]])</f>
        <v>0</v>
      </c>
      <c r="H68" s="119" t="n">
        <f aca="false">SUMIFS(tabela_registros[VALOR],tabela_registros[MÊS],$AE$1,tabela_registros[DIA],jultotal3059718395107[[#Headers],[4]],tabela_registros[REGISTRO],DADOS!$N$4,tabela_registros[TIPO],DADOS!$P$4,tabela_registros[CATEGORIA],despesavariávelconsolidadojul[[#This Row],[DESPESA VARIÁVEL]])</f>
        <v>0</v>
      </c>
      <c r="I68" s="119" t="n">
        <f aca="false">SUMIFS(tabela_registros[VALOR],tabela_registros[MÊS],$AE$1,tabela_registros[DIA],jultotal3059718395107[[#Headers],[5]],tabela_registros[REGISTRO],DADOS!$N$4,tabela_registros[TIPO],DADOS!$P$4,tabela_registros[CATEGORIA],despesavariávelconsolidadojul[[#This Row],[DESPESA VARIÁVEL]])</f>
        <v>0</v>
      </c>
      <c r="J68" s="119" t="n">
        <f aca="false">SUMIFS(tabela_registros[VALOR],tabela_registros[MÊS],$AE$1,tabela_registros[DIA],jultotal3059718395107[[#Headers],[6]],tabela_registros[REGISTRO],DADOS!$N$4,tabela_registros[TIPO],DADOS!$P$4,tabela_registros[CATEGORIA],despesavariávelconsolidadojul[[#This Row],[DESPESA VARIÁVEL]])</f>
        <v>0</v>
      </c>
      <c r="K68" s="119" t="n">
        <f aca="false">SUMIFS(tabela_registros[VALOR],tabela_registros[MÊS],$AE$1,tabela_registros[DIA],jultotal3059718395107[[#Headers],[7]],tabela_registros[REGISTRO],DADOS!$N$4,tabela_registros[TIPO],DADOS!$P$4,tabela_registros[CATEGORIA],despesavariávelconsolidadojul[[#This Row],[DESPESA VARIÁVEL]])</f>
        <v>0</v>
      </c>
      <c r="L68" s="119" t="n">
        <f aca="false">SUMIFS(tabela_registros[VALOR],tabela_registros[MÊS],$AE$1,tabela_registros[DIA],jultotal3059718395107[[#Headers],[8]],tabela_registros[REGISTRO],DADOS!$N$4,tabela_registros[TIPO],DADOS!$P$4,tabela_registros[CATEGORIA],despesavariávelconsolidadojul[[#This Row],[DESPESA VARIÁVEL]])</f>
        <v>0</v>
      </c>
      <c r="M68" s="119" t="n">
        <f aca="false">SUMIFS(tabela_registros[VALOR],tabela_registros[MÊS],$AE$1,tabela_registros[DIA],jultotal3059718395107[[#Headers],[9]],tabela_registros[REGISTRO],DADOS!$N$4,tabela_registros[TIPO],DADOS!$P$4,tabela_registros[CATEGORIA],despesavariávelconsolidadojul[[#This Row],[DESPESA VARIÁVEL]])</f>
        <v>0</v>
      </c>
      <c r="N68" s="119" t="n">
        <f aca="false">SUMIFS(tabela_registros[VALOR],tabela_registros[MÊS],$AE$1,tabela_registros[DIA],jultotal3059718395107[[#Headers],[10]],tabela_registros[REGISTRO],DADOS!$N$4,tabela_registros[TIPO],DADOS!$P$4,tabela_registros[CATEGORIA],despesavariávelconsolidadojul[[#This Row],[DESPESA VARIÁVEL]])</f>
        <v>0</v>
      </c>
      <c r="O68" s="119" t="n">
        <f aca="false">SUMIFS(tabela_registros[VALOR],tabela_registros[MÊS],$AE$1,tabela_registros[DIA],jultotal3059718395107[[#Headers],[11]],tabela_registros[REGISTRO],DADOS!$N$4,tabela_registros[TIPO],DADOS!$P$4,tabela_registros[CATEGORIA],despesavariávelconsolidadojul[[#This Row],[DESPESA VARIÁVEL]])</f>
        <v>0</v>
      </c>
      <c r="P68" s="119" t="n">
        <f aca="false">SUMIFS(tabela_registros[VALOR],tabela_registros[MÊS],$AE$1,tabela_registros[DIA],jultotal3059718395107[[#Headers],[12]],tabela_registros[REGISTRO],DADOS!$N$4,tabela_registros[TIPO],DADOS!$P$4,tabela_registros[CATEGORIA],despesavariávelconsolidadojul[[#This Row],[DESPESA VARIÁVEL]])</f>
        <v>0</v>
      </c>
      <c r="Q68" s="119" t="n">
        <f aca="false">SUMIFS(tabela_registros[VALOR],tabela_registros[MÊS],$AE$1,tabela_registros[DIA],jultotal3059718395107[[#Headers],[13]],tabela_registros[REGISTRO],DADOS!$N$4,tabela_registros[TIPO],DADOS!$P$4,tabela_registros[CATEGORIA],despesavariávelconsolidadojul[[#This Row],[DESPESA VARIÁVEL]])</f>
        <v>0</v>
      </c>
      <c r="R68" s="119" t="n">
        <f aca="false">SUMIFS(tabela_registros[VALOR],tabela_registros[MÊS],$AE$1,tabela_registros[DIA],jultotal3059718395107[[#Headers],[14]],tabela_registros[REGISTRO],DADOS!$N$4,tabela_registros[TIPO],DADOS!$P$4,tabela_registros[CATEGORIA],despesavariávelconsolidadojul[[#This Row],[DESPESA VARIÁVEL]])</f>
        <v>0</v>
      </c>
      <c r="S68" s="119" t="n">
        <f aca="false">SUMIFS(tabela_registros[VALOR],tabela_registros[MÊS],$AE$1,tabela_registros[DIA],jultotal3059718395107[[#Headers],[15]],tabela_registros[REGISTRO],DADOS!$N$4,tabela_registros[TIPO],DADOS!$P$4,tabela_registros[CATEGORIA],despesavariávelconsolidadojul[[#This Row],[DESPESA VARIÁVEL]])</f>
        <v>0</v>
      </c>
      <c r="T68" s="119" t="n">
        <f aca="false">SUMIFS(tabela_registros[VALOR],tabela_registros[MÊS],$AE$1,tabela_registros[DIA],jultotal3059718395107[[#Headers],[16]],tabela_registros[REGISTRO],DADOS!$N$4,tabela_registros[TIPO],DADOS!$P$4,tabela_registros[CATEGORIA],despesavariávelconsolidadojul[[#This Row],[DESPESA VARIÁVEL]])</f>
        <v>0</v>
      </c>
      <c r="U68" s="119" t="n">
        <f aca="false">SUMIFS(tabela_registros[VALOR],tabela_registros[MÊS],$AE$1,tabela_registros[DIA],jultotal3059718395107[[#Headers],[17]],tabela_registros[REGISTRO],DADOS!$N$4,tabela_registros[TIPO],DADOS!$P$4,tabela_registros[CATEGORIA],despesavariávelconsolidadojul[[#This Row],[DESPESA VARIÁVEL]])</f>
        <v>0</v>
      </c>
      <c r="V68" s="119" t="n">
        <f aca="false">SUMIFS(tabela_registros[VALOR],tabela_registros[MÊS],$AE$1,tabela_registros[DIA],jultotal3059718395107[[#Headers],[18]],tabela_registros[REGISTRO],DADOS!$N$4,tabela_registros[TIPO],DADOS!$P$4,tabela_registros[CATEGORIA],despesavariávelconsolidadojul[[#This Row],[DESPESA VARIÁVEL]])</f>
        <v>0</v>
      </c>
      <c r="W68" s="119" t="n">
        <f aca="false">SUMIFS(tabela_registros[VALOR],tabela_registros[MÊS],$AE$1,tabela_registros[DIA],jultotal3059718395107[[#Headers],[19]],tabela_registros[REGISTRO],DADOS!$N$4,tabela_registros[TIPO],DADOS!$P$4,tabela_registros[CATEGORIA],despesavariávelconsolidadojul[[#This Row],[DESPESA VARIÁVEL]])</f>
        <v>0</v>
      </c>
      <c r="X68" s="119" t="n">
        <f aca="false">SUMIFS(tabela_registros[VALOR],tabela_registros[MÊS],$AE$1,tabela_registros[DIA],jultotal3059718395107[[#Headers],[20]],tabela_registros[REGISTRO],DADOS!$N$4,tabela_registros[TIPO],DADOS!$P$4,tabela_registros[CATEGORIA],despesavariávelconsolidadojul[[#This Row],[DESPESA VARIÁVEL]])</f>
        <v>0</v>
      </c>
      <c r="Y68" s="119" t="n">
        <f aca="false">SUMIFS(tabela_registros[VALOR],tabela_registros[MÊS],$AE$1,tabela_registros[DIA],jultotal3059718395107[[#Headers],[21]],tabela_registros[REGISTRO],DADOS!$N$4,tabela_registros[TIPO],DADOS!$P$4,tabela_registros[CATEGORIA],despesavariávelconsolidadojul[[#This Row],[DESPESA VARIÁVEL]])</f>
        <v>0</v>
      </c>
      <c r="Z68" s="119" t="n">
        <f aca="false">SUMIFS(tabela_registros[VALOR],tabela_registros[MÊS],$AE$1,tabela_registros[DIA],jultotal3059718395107[[#Headers],[22]],tabela_registros[REGISTRO],DADOS!$N$4,tabela_registros[TIPO],DADOS!$P$4,tabela_registros[CATEGORIA],despesavariávelconsolidadojul[[#This Row],[DESPESA VARIÁVEL]])</f>
        <v>0</v>
      </c>
      <c r="AA68" s="119" t="n">
        <f aca="false">SUMIFS(tabela_registros[VALOR],tabela_registros[MÊS],$AE$1,tabela_registros[DIA],jultotal3059718395107[[#Headers],[23]],tabela_registros[REGISTRO],DADOS!$N$4,tabela_registros[TIPO],DADOS!$P$4,tabela_registros[CATEGORIA],despesavariávelconsolidadojul[[#This Row],[DESPESA VARIÁVEL]])</f>
        <v>0</v>
      </c>
      <c r="AB68" s="119" t="n">
        <f aca="false">SUMIFS(tabela_registros[VALOR],tabela_registros[MÊS],$AE$1,tabela_registros[DIA],jultotal3059718395107[[#Headers],[24]],tabela_registros[REGISTRO],DADOS!$N$4,tabela_registros[TIPO],DADOS!$P$4,tabela_registros[CATEGORIA],despesavariávelconsolidadojul[[#This Row],[DESPESA VARIÁVEL]])</f>
        <v>0</v>
      </c>
      <c r="AC68" s="119" t="n">
        <f aca="false">SUMIFS(tabela_registros[VALOR],tabela_registros[MÊS],$AE$1,tabela_registros[DIA],jultotal3059718395107[[#Headers],[25]],tabela_registros[REGISTRO],DADOS!$N$4,tabela_registros[TIPO],DADOS!$P$4,tabela_registros[CATEGORIA],despesavariávelconsolidadojul[[#This Row],[DESPESA VARIÁVEL]])</f>
        <v>0</v>
      </c>
      <c r="AD68" s="119" t="n">
        <f aca="false">SUMIFS(tabela_registros[VALOR],tabela_registros[MÊS],$AE$1,tabela_registros[DIA],jultotal3059718395107[[#Headers],[26]],tabela_registros[REGISTRO],DADOS!$N$4,tabela_registros[TIPO],DADOS!$P$4,tabela_registros[CATEGORIA],despesavariávelconsolidadojul[[#This Row],[DESPESA VARIÁVEL]])</f>
        <v>0</v>
      </c>
      <c r="AE68" s="119" t="n">
        <f aca="false">SUMIFS(tabela_registros[VALOR],tabela_registros[MÊS],$AE$1,tabela_registros[DIA],jultotal3059718395107[[#Headers],[27]],tabela_registros[REGISTRO],DADOS!$N$4,tabela_registros[TIPO],DADOS!$P$4,tabela_registros[CATEGORIA],despesavariávelconsolidadojul[[#This Row],[DESPESA VARIÁVEL]])</f>
        <v>0</v>
      </c>
      <c r="AF68" s="119" t="n">
        <f aca="false">SUMIFS(tabela_registros[VALOR],tabela_registros[MÊS],$AE$1,tabela_registros[DIA],jultotal3059718395107[[#Headers],[28]],tabela_registros[REGISTRO],DADOS!$N$4,tabela_registros[TIPO],DADOS!$P$4,tabela_registros[CATEGORIA],despesavariávelconsolidadojul[[#This Row],[DESPESA VARIÁVEL]])</f>
        <v>0</v>
      </c>
      <c r="AG68" s="119" t="n">
        <f aca="false">SUMIFS(tabela_registros[VALOR],tabela_registros[MÊS],$AE$1,tabela_registros[DIA],jultotal3059718395107[[#Headers],[29]],tabela_registros[REGISTRO],DADOS!$N$4,tabela_registros[TIPO],DADOS!$P$4,tabela_registros[CATEGORIA],despesavariávelconsolidadojul[[#This Row],[DESPESA VARIÁVEL]])</f>
        <v>0</v>
      </c>
      <c r="AH68" s="119" t="n">
        <f aca="false">SUMIFS(tabela_registros[VALOR],tabela_registros[MÊS],$AE$1,tabela_registros[DIA],jultotal3059718395107[[#Headers],[30]],tabela_registros[REGISTRO],DADOS!$N$4,tabela_registros[TIPO],DADOS!$P$4,tabela_registros[CATEGORIA],despesavariávelconsolidadojul[[#This Row],[DESPESA VARIÁVEL]])</f>
        <v>0</v>
      </c>
      <c r="AI68" s="217" t="n">
        <f aca="false">SUMIFS(tabela_registros[VALOR],tabela_registros[MÊS],$AE$1,tabela_registros[DIA],jultotal3059718395107[[#Headers],[31]],tabela_registros[REGISTRO],DADOS!$N$4,tabela_registros[TIPO],DADOS!$P$4,tabela_registros[CATEGORIA],despesavariávelconsolidadojul[[#This Row],[DESPESA VARIÁVEL]])</f>
        <v>0</v>
      </c>
      <c r="AJ68" s="149" t="n">
        <f aca="false">SUM(despesavariávelconsolidadojul[[#This Row],[1]:[31]])</f>
        <v>0</v>
      </c>
      <c r="AK68" s="143"/>
    </row>
    <row r="69" customFormat="false" ht="18" hidden="false" customHeight="true" outlineLevel="0" collapsed="false">
      <c r="B69" s="143"/>
      <c r="C69" s="144" t="str">
        <f aca="false">DADOS!$T$12</f>
        <v>💊 SAÚDE</v>
      </c>
      <c r="D69" s="145" t="str">
        <f aca="false">IF(despesavariávelconsolidadojul[[#This Row],[TOTAL]]=0,"",IF(OR(despesavariávelconsolidadojul[[#This Row],[TOTAL]]=LARGE($AJ$60:$AJ$72,1),despesavariávelconsolidadojul[[#This Row],[TOTAL]]=LARGE($AJ$60:$AJ$72,2),despesavariávelconsolidadojul[[#This Row],[TOTAL]]=LARGE($AJ$60:$AJ$72,3),despesavariávelconsolidadojul[[#This Row],[TOTAL]]=LARGE($AJ$60:$AJ$72,4),despesavariávelconsolidadojul[[#This Row],[TOTAL]]=LARGE($AJ$60:$AJ$72,5)),DADOS!$I$8,""))</f>
        <v/>
      </c>
      <c r="E69" s="148" t="n">
        <f aca="false">SUMIFS(tabela_registros[VALOR],tabela_registros[MÊS],$AE$1,tabela_registros[DIA],jultotal3059718395107[[#Headers],[1]],tabela_registros[REGISTRO],DADOS!$N$4,tabela_registros[TIPO],DADOS!$P$4,tabela_registros[CATEGORIA],despesavariávelconsolidadojul[[#This Row],[DESPESA VARIÁVEL]])</f>
        <v>0</v>
      </c>
      <c r="F69" s="119" t="n">
        <f aca="false">SUMIFS(tabela_registros[VALOR],tabela_registros[MÊS],$AE$1,tabela_registros[DIA],jultotal3059718395107[[#Headers],[2]],tabela_registros[REGISTRO],DADOS!$N$4,tabela_registros[TIPO],DADOS!$P$4,tabela_registros[CATEGORIA],despesavariávelconsolidadojul[[#This Row],[DESPESA VARIÁVEL]])</f>
        <v>0</v>
      </c>
      <c r="G69" s="119" t="n">
        <f aca="false">SUMIFS(tabela_registros[VALOR],tabela_registros[MÊS],$AE$1,tabela_registros[DIA],jultotal3059718395107[[#Headers],[3]],tabela_registros[REGISTRO],DADOS!$N$4,tabela_registros[TIPO],DADOS!$P$4,tabela_registros[CATEGORIA],despesavariávelconsolidadojul[[#This Row],[DESPESA VARIÁVEL]])</f>
        <v>0</v>
      </c>
      <c r="H69" s="119" t="n">
        <f aca="false">SUMIFS(tabela_registros[VALOR],tabela_registros[MÊS],$AE$1,tabela_registros[DIA],jultotal3059718395107[[#Headers],[4]],tabela_registros[REGISTRO],DADOS!$N$4,tabela_registros[TIPO],DADOS!$P$4,tabela_registros[CATEGORIA],despesavariávelconsolidadojul[[#This Row],[DESPESA VARIÁVEL]])</f>
        <v>0</v>
      </c>
      <c r="I69" s="119" t="n">
        <f aca="false">SUMIFS(tabela_registros[VALOR],tabela_registros[MÊS],$AE$1,tabela_registros[DIA],jultotal3059718395107[[#Headers],[5]],tabela_registros[REGISTRO],DADOS!$N$4,tabela_registros[TIPO],DADOS!$P$4,tabela_registros[CATEGORIA],despesavariávelconsolidadojul[[#This Row],[DESPESA VARIÁVEL]])</f>
        <v>0</v>
      </c>
      <c r="J69" s="119" t="n">
        <f aca="false">SUMIFS(tabela_registros[VALOR],tabela_registros[MÊS],$AE$1,tabela_registros[DIA],jultotal3059718395107[[#Headers],[6]],tabela_registros[REGISTRO],DADOS!$N$4,tabela_registros[TIPO],DADOS!$P$4,tabela_registros[CATEGORIA],despesavariávelconsolidadojul[[#This Row],[DESPESA VARIÁVEL]])</f>
        <v>0</v>
      </c>
      <c r="K69" s="119" t="n">
        <f aca="false">SUMIFS(tabela_registros[VALOR],tabela_registros[MÊS],$AE$1,tabela_registros[DIA],jultotal3059718395107[[#Headers],[7]],tabela_registros[REGISTRO],DADOS!$N$4,tabela_registros[TIPO],DADOS!$P$4,tabela_registros[CATEGORIA],despesavariávelconsolidadojul[[#This Row],[DESPESA VARIÁVEL]])</f>
        <v>0</v>
      </c>
      <c r="L69" s="119" t="n">
        <f aca="false">SUMIFS(tabela_registros[VALOR],tabela_registros[MÊS],$AE$1,tabela_registros[DIA],jultotal3059718395107[[#Headers],[8]],tabela_registros[REGISTRO],DADOS!$N$4,tabela_registros[TIPO],DADOS!$P$4,tabela_registros[CATEGORIA],despesavariávelconsolidadojul[[#This Row],[DESPESA VARIÁVEL]])</f>
        <v>0</v>
      </c>
      <c r="M69" s="119" t="n">
        <f aca="false">SUMIFS(tabela_registros[VALOR],tabela_registros[MÊS],$AE$1,tabela_registros[DIA],jultotal3059718395107[[#Headers],[9]],tabela_registros[REGISTRO],DADOS!$N$4,tabela_registros[TIPO],DADOS!$P$4,tabela_registros[CATEGORIA],despesavariávelconsolidadojul[[#This Row],[DESPESA VARIÁVEL]])</f>
        <v>0</v>
      </c>
      <c r="N69" s="119" t="n">
        <f aca="false">SUMIFS(tabela_registros[VALOR],tabela_registros[MÊS],$AE$1,tabela_registros[DIA],jultotal3059718395107[[#Headers],[10]],tabela_registros[REGISTRO],DADOS!$N$4,tabela_registros[TIPO],DADOS!$P$4,tabela_registros[CATEGORIA],despesavariávelconsolidadojul[[#This Row],[DESPESA VARIÁVEL]])</f>
        <v>0</v>
      </c>
      <c r="O69" s="119" t="n">
        <f aca="false">SUMIFS(tabela_registros[VALOR],tabela_registros[MÊS],$AE$1,tabela_registros[DIA],jultotal3059718395107[[#Headers],[11]],tabela_registros[REGISTRO],DADOS!$N$4,tabela_registros[TIPO],DADOS!$P$4,tabela_registros[CATEGORIA],despesavariávelconsolidadojul[[#This Row],[DESPESA VARIÁVEL]])</f>
        <v>0</v>
      </c>
      <c r="P69" s="119" t="n">
        <f aca="false">SUMIFS(tabela_registros[VALOR],tabela_registros[MÊS],$AE$1,tabela_registros[DIA],jultotal3059718395107[[#Headers],[12]],tabela_registros[REGISTRO],DADOS!$N$4,tabela_registros[TIPO],DADOS!$P$4,tabela_registros[CATEGORIA],despesavariávelconsolidadojul[[#This Row],[DESPESA VARIÁVEL]])</f>
        <v>0</v>
      </c>
      <c r="Q69" s="119" t="n">
        <f aca="false">SUMIFS(tabela_registros[VALOR],tabela_registros[MÊS],$AE$1,tabela_registros[DIA],jultotal3059718395107[[#Headers],[13]],tabela_registros[REGISTRO],DADOS!$N$4,tabela_registros[TIPO],DADOS!$P$4,tabela_registros[CATEGORIA],despesavariávelconsolidadojul[[#This Row],[DESPESA VARIÁVEL]])</f>
        <v>0</v>
      </c>
      <c r="R69" s="119" t="n">
        <f aca="false">SUMIFS(tabela_registros[VALOR],tabela_registros[MÊS],$AE$1,tabela_registros[DIA],jultotal3059718395107[[#Headers],[14]],tabela_registros[REGISTRO],DADOS!$N$4,tabela_registros[TIPO],DADOS!$P$4,tabela_registros[CATEGORIA],despesavariávelconsolidadojul[[#This Row],[DESPESA VARIÁVEL]])</f>
        <v>0</v>
      </c>
      <c r="S69" s="119" t="n">
        <f aca="false">SUMIFS(tabela_registros[VALOR],tabela_registros[MÊS],$AE$1,tabela_registros[DIA],jultotal3059718395107[[#Headers],[15]],tabela_registros[REGISTRO],DADOS!$N$4,tabela_registros[TIPO],DADOS!$P$4,tabela_registros[CATEGORIA],despesavariávelconsolidadojul[[#This Row],[DESPESA VARIÁVEL]])</f>
        <v>0</v>
      </c>
      <c r="T69" s="119" t="n">
        <f aca="false">SUMIFS(tabela_registros[VALOR],tabela_registros[MÊS],$AE$1,tabela_registros[DIA],jultotal3059718395107[[#Headers],[16]],tabela_registros[REGISTRO],DADOS!$N$4,tabela_registros[TIPO],DADOS!$P$4,tabela_registros[CATEGORIA],despesavariávelconsolidadojul[[#This Row],[DESPESA VARIÁVEL]])</f>
        <v>0</v>
      </c>
      <c r="U69" s="119" t="n">
        <f aca="false">SUMIFS(tabela_registros[VALOR],tabela_registros[MÊS],$AE$1,tabela_registros[DIA],jultotal3059718395107[[#Headers],[17]],tabela_registros[REGISTRO],DADOS!$N$4,tabela_registros[TIPO],DADOS!$P$4,tabela_registros[CATEGORIA],despesavariávelconsolidadojul[[#This Row],[DESPESA VARIÁVEL]])</f>
        <v>0</v>
      </c>
      <c r="V69" s="119" t="n">
        <f aca="false">SUMIFS(tabela_registros[VALOR],tabela_registros[MÊS],$AE$1,tabela_registros[DIA],jultotal3059718395107[[#Headers],[18]],tabela_registros[REGISTRO],DADOS!$N$4,tabela_registros[TIPO],DADOS!$P$4,tabela_registros[CATEGORIA],despesavariávelconsolidadojul[[#This Row],[DESPESA VARIÁVEL]])</f>
        <v>0</v>
      </c>
      <c r="W69" s="119" t="n">
        <f aca="false">SUMIFS(tabela_registros[VALOR],tabela_registros[MÊS],$AE$1,tabela_registros[DIA],jultotal3059718395107[[#Headers],[19]],tabela_registros[REGISTRO],DADOS!$N$4,tabela_registros[TIPO],DADOS!$P$4,tabela_registros[CATEGORIA],despesavariávelconsolidadojul[[#This Row],[DESPESA VARIÁVEL]])</f>
        <v>0</v>
      </c>
      <c r="X69" s="119" t="n">
        <f aca="false">SUMIFS(tabela_registros[VALOR],tabela_registros[MÊS],$AE$1,tabela_registros[DIA],jultotal3059718395107[[#Headers],[20]],tabela_registros[REGISTRO],DADOS!$N$4,tabela_registros[TIPO],DADOS!$P$4,tabela_registros[CATEGORIA],despesavariávelconsolidadojul[[#This Row],[DESPESA VARIÁVEL]])</f>
        <v>0</v>
      </c>
      <c r="Y69" s="119" t="n">
        <f aca="false">SUMIFS(tabela_registros[VALOR],tabela_registros[MÊS],$AE$1,tabela_registros[DIA],jultotal3059718395107[[#Headers],[21]],tabela_registros[REGISTRO],DADOS!$N$4,tabela_registros[TIPO],DADOS!$P$4,tabela_registros[CATEGORIA],despesavariávelconsolidadojul[[#This Row],[DESPESA VARIÁVEL]])</f>
        <v>0</v>
      </c>
      <c r="Z69" s="119" t="n">
        <f aca="false">SUMIFS(tabela_registros[VALOR],tabela_registros[MÊS],$AE$1,tabela_registros[DIA],jultotal3059718395107[[#Headers],[22]],tabela_registros[REGISTRO],DADOS!$N$4,tabela_registros[TIPO],DADOS!$P$4,tabela_registros[CATEGORIA],despesavariávelconsolidadojul[[#This Row],[DESPESA VARIÁVEL]])</f>
        <v>0</v>
      </c>
      <c r="AA69" s="119" t="n">
        <f aca="false">SUMIFS(tabela_registros[VALOR],tabela_registros[MÊS],$AE$1,tabela_registros[DIA],jultotal3059718395107[[#Headers],[23]],tabela_registros[REGISTRO],DADOS!$N$4,tabela_registros[TIPO],DADOS!$P$4,tabela_registros[CATEGORIA],despesavariávelconsolidadojul[[#This Row],[DESPESA VARIÁVEL]])</f>
        <v>0</v>
      </c>
      <c r="AB69" s="119" t="n">
        <f aca="false">SUMIFS(tabela_registros[VALOR],tabela_registros[MÊS],$AE$1,tabela_registros[DIA],jultotal3059718395107[[#Headers],[24]],tabela_registros[REGISTRO],DADOS!$N$4,tabela_registros[TIPO],DADOS!$P$4,tabela_registros[CATEGORIA],despesavariávelconsolidadojul[[#This Row],[DESPESA VARIÁVEL]])</f>
        <v>0</v>
      </c>
      <c r="AC69" s="119" t="n">
        <f aca="false">SUMIFS(tabela_registros[VALOR],tabela_registros[MÊS],$AE$1,tabela_registros[DIA],jultotal3059718395107[[#Headers],[25]],tabela_registros[REGISTRO],DADOS!$N$4,tabela_registros[TIPO],DADOS!$P$4,tabela_registros[CATEGORIA],despesavariávelconsolidadojul[[#This Row],[DESPESA VARIÁVEL]])</f>
        <v>0</v>
      </c>
      <c r="AD69" s="119" t="n">
        <f aca="false">SUMIFS(tabela_registros[VALOR],tabela_registros[MÊS],$AE$1,tabela_registros[DIA],jultotal3059718395107[[#Headers],[26]],tabela_registros[REGISTRO],DADOS!$N$4,tabela_registros[TIPO],DADOS!$P$4,tabela_registros[CATEGORIA],despesavariávelconsolidadojul[[#This Row],[DESPESA VARIÁVEL]])</f>
        <v>0</v>
      </c>
      <c r="AE69" s="119" t="n">
        <f aca="false">SUMIFS(tabela_registros[VALOR],tabela_registros[MÊS],$AE$1,tabela_registros[DIA],jultotal3059718395107[[#Headers],[27]],tabela_registros[REGISTRO],DADOS!$N$4,tabela_registros[TIPO],DADOS!$P$4,tabela_registros[CATEGORIA],despesavariávelconsolidadojul[[#This Row],[DESPESA VARIÁVEL]])</f>
        <v>0</v>
      </c>
      <c r="AF69" s="119" t="n">
        <f aca="false">SUMIFS(tabela_registros[VALOR],tabela_registros[MÊS],$AE$1,tabela_registros[DIA],jultotal3059718395107[[#Headers],[28]],tabela_registros[REGISTRO],DADOS!$N$4,tabela_registros[TIPO],DADOS!$P$4,tabela_registros[CATEGORIA],despesavariávelconsolidadojul[[#This Row],[DESPESA VARIÁVEL]])</f>
        <v>0</v>
      </c>
      <c r="AG69" s="119" t="n">
        <f aca="false">SUMIFS(tabela_registros[VALOR],tabela_registros[MÊS],$AE$1,tabela_registros[DIA],jultotal3059718395107[[#Headers],[29]],tabela_registros[REGISTRO],DADOS!$N$4,tabela_registros[TIPO],DADOS!$P$4,tabela_registros[CATEGORIA],despesavariávelconsolidadojul[[#This Row],[DESPESA VARIÁVEL]])</f>
        <v>0</v>
      </c>
      <c r="AH69" s="119" t="n">
        <f aca="false">SUMIFS(tabela_registros[VALOR],tabela_registros[MÊS],$AE$1,tabela_registros[DIA],jultotal3059718395107[[#Headers],[30]],tabela_registros[REGISTRO],DADOS!$N$4,tabela_registros[TIPO],DADOS!$P$4,tabela_registros[CATEGORIA],despesavariávelconsolidadojul[[#This Row],[DESPESA VARIÁVEL]])</f>
        <v>0</v>
      </c>
      <c r="AI69" s="217" t="n">
        <f aca="false">SUMIFS(tabela_registros[VALOR],tabela_registros[MÊS],$AE$1,tabela_registros[DIA],jultotal3059718395107[[#Headers],[31]],tabela_registros[REGISTRO],DADOS!$N$4,tabela_registros[TIPO],DADOS!$P$4,tabela_registros[CATEGORIA],despesavariávelconsolidadojul[[#This Row],[DESPESA VARIÁVEL]])</f>
        <v>0</v>
      </c>
      <c r="AJ69" s="149" t="n">
        <f aca="false">SUM(despesavariávelconsolidadojul[[#This Row],[1]:[31]])</f>
        <v>0</v>
      </c>
      <c r="AK69" s="143"/>
    </row>
    <row r="70" customFormat="false" ht="18" hidden="false" customHeight="true" outlineLevel="0" collapsed="false">
      <c r="B70" s="143"/>
      <c r="C70" s="144" t="str">
        <f aca="false">DADOS!$T$13</f>
        <v>🚍 TRANSPORTE</v>
      </c>
      <c r="D70" s="145" t="str">
        <f aca="false">IF(despesavariávelconsolidadojul[[#This Row],[TOTAL]]=0,"",IF(OR(despesavariávelconsolidadojul[[#This Row],[TOTAL]]=LARGE($AJ$60:$AJ$72,1),despesavariávelconsolidadojul[[#This Row],[TOTAL]]=LARGE($AJ$60:$AJ$72,2),despesavariávelconsolidadojul[[#This Row],[TOTAL]]=LARGE($AJ$60:$AJ$72,3),despesavariávelconsolidadojul[[#This Row],[TOTAL]]=LARGE($AJ$60:$AJ$72,4),despesavariávelconsolidadojul[[#This Row],[TOTAL]]=LARGE($AJ$60:$AJ$72,5)),DADOS!$I$8,""))</f>
        <v/>
      </c>
      <c r="E70" s="148" t="n">
        <f aca="false">SUMIFS(tabela_registros[VALOR],tabela_registros[MÊS],$AE$1,tabela_registros[DIA],jultotal3059718395107[[#Headers],[1]],tabela_registros[REGISTRO],DADOS!$N$4,tabela_registros[TIPO],DADOS!$P$4,tabela_registros[CATEGORIA],despesavariávelconsolidadojul[[#This Row],[DESPESA VARIÁVEL]])</f>
        <v>0</v>
      </c>
      <c r="F70" s="119" t="n">
        <f aca="false">SUMIFS(tabela_registros[VALOR],tabela_registros[MÊS],$AE$1,tabela_registros[DIA],jultotal3059718395107[[#Headers],[2]],tabela_registros[REGISTRO],DADOS!$N$4,tabela_registros[TIPO],DADOS!$P$4,tabela_registros[CATEGORIA],despesavariávelconsolidadojul[[#This Row],[DESPESA VARIÁVEL]])</f>
        <v>0</v>
      </c>
      <c r="G70" s="119" t="n">
        <f aca="false">SUMIFS(tabela_registros[VALOR],tabela_registros[MÊS],$AE$1,tabela_registros[DIA],jultotal3059718395107[[#Headers],[3]],tabela_registros[REGISTRO],DADOS!$N$4,tabela_registros[TIPO],DADOS!$P$4,tabela_registros[CATEGORIA],despesavariávelconsolidadojul[[#This Row],[DESPESA VARIÁVEL]])</f>
        <v>0</v>
      </c>
      <c r="H70" s="119" t="n">
        <f aca="false">SUMIFS(tabela_registros[VALOR],tabela_registros[MÊS],$AE$1,tabela_registros[DIA],jultotal3059718395107[[#Headers],[4]],tabela_registros[REGISTRO],DADOS!$N$4,tabela_registros[TIPO],DADOS!$P$4,tabela_registros[CATEGORIA],despesavariávelconsolidadojul[[#This Row],[DESPESA VARIÁVEL]])</f>
        <v>0</v>
      </c>
      <c r="I70" s="119" t="n">
        <f aca="false">SUMIFS(tabela_registros[VALOR],tabela_registros[MÊS],$AE$1,tabela_registros[DIA],jultotal3059718395107[[#Headers],[5]],tabela_registros[REGISTRO],DADOS!$N$4,tabela_registros[TIPO],DADOS!$P$4,tabela_registros[CATEGORIA],despesavariávelconsolidadojul[[#This Row],[DESPESA VARIÁVEL]])</f>
        <v>0</v>
      </c>
      <c r="J70" s="119" t="n">
        <f aca="false">SUMIFS(tabela_registros[VALOR],tabela_registros[MÊS],$AE$1,tabela_registros[DIA],jultotal3059718395107[[#Headers],[6]],tabela_registros[REGISTRO],DADOS!$N$4,tabela_registros[TIPO],DADOS!$P$4,tabela_registros[CATEGORIA],despesavariávelconsolidadojul[[#This Row],[DESPESA VARIÁVEL]])</f>
        <v>0</v>
      </c>
      <c r="K70" s="119" t="n">
        <f aca="false">SUMIFS(tabela_registros[VALOR],tabela_registros[MÊS],$AE$1,tabela_registros[DIA],jultotal3059718395107[[#Headers],[7]],tabela_registros[REGISTRO],DADOS!$N$4,tabela_registros[TIPO],DADOS!$P$4,tabela_registros[CATEGORIA],despesavariávelconsolidadojul[[#This Row],[DESPESA VARIÁVEL]])</f>
        <v>0</v>
      </c>
      <c r="L70" s="119" t="n">
        <f aca="false">SUMIFS(tabela_registros[VALOR],tabela_registros[MÊS],$AE$1,tabela_registros[DIA],jultotal3059718395107[[#Headers],[8]],tabela_registros[REGISTRO],DADOS!$N$4,tabela_registros[TIPO],DADOS!$P$4,tabela_registros[CATEGORIA],despesavariávelconsolidadojul[[#This Row],[DESPESA VARIÁVEL]])</f>
        <v>0</v>
      </c>
      <c r="M70" s="119" t="n">
        <f aca="false">SUMIFS(tabela_registros[VALOR],tabela_registros[MÊS],$AE$1,tabela_registros[DIA],jultotal3059718395107[[#Headers],[9]],tabela_registros[REGISTRO],DADOS!$N$4,tabela_registros[TIPO],DADOS!$P$4,tabela_registros[CATEGORIA],despesavariávelconsolidadojul[[#This Row],[DESPESA VARIÁVEL]])</f>
        <v>0</v>
      </c>
      <c r="N70" s="119" t="n">
        <f aca="false">SUMIFS(tabela_registros[VALOR],tabela_registros[MÊS],$AE$1,tabela_registros[DIA],jultotal3059718395107[[#Headers],[10]],tabela_registros[REGISTRO],DADOS!$N$4,tabela_registros[TIPO],DADOS!$P$4,tabela_registros[CATEGORIA],despesavariávelconsolidadojul[[#This Row],[DESPESA VARIÁVEL]])</f>
        <v>0</v>
      </c>
      <c r="O70" s="119" t="n">
        <f aca="false">SUMIFS(tabela_registros[VALOR],tabela_registros[MÊS],$AE$1,tabela_registros[DIA],jultotal3059718395107[[#Headers],[11]],tabela_registros[REGISTRO],DADOS!$N$4,tabela_registros[TIPO],DADOS!$P$4,tabela_registros[CATEGORIA],despesavariávelconsolidadojul[[#This Row],[DESPESA VARIÁVEL]])</f>
        <v>0</v>
      </c>
      <c r="P70" s="119" t="n">
        <f aca="false">SUMIFS(tabela_registros[VALOR],tabela_registros[MÊS],$AE$1,tabela_registros[DIA],jultotal3059718395107[[#Headers],[12]],tabela_registros[REGISTRO],DADOS!$N$4,tabela_registros[TIPO],DADOS!$P$4,tabela_registros[CATEGORIA],despesavariávelconsolidadojul[[#This Row],[DESPESA VARIÁVEL]])</f>
        <v>0</v>
      </c>
      <c r="Q70" s="119" t="n">
        <f aca="false">SUMIFS(tabela_registros[VALOR],tabela_registros[MÊS],$AE$1,tabela_registros[DIA],jultotal3059718395107[[#Headers],[13]],tabela_registros[REGISTRO],DADOS!$N$4,tabela_registros[TIPO],DADOS!$P$4,tabela_registros[CATEGORIA],despesavariávelconsolidadojul[[#This Row],[DESPESA VARIÁVEL]])</f>
        <v>0</v>
      </c>
      <c r="R70" s="119" t="n">
        <f aca="false">SUMIFS(tabela_registros[VALOR],tabela_registros[MÊS],$AE$1,tabela_registros[DIA],jultotal3059718395107[[#Headers],[14]],tabela_registros[REGISTRO],DADOS!$N$4,tabela_registros[TIPO],DADOS!$P$4,tabela_registros[CATEGORIA],despesavariávelconsolidadojul[[#This Row],[DESPESA VARIÁVEL]])</f>
        <v>0</v>
      </c>
      <c r="S70" s="119" t="n">
        <f aca="false">SUMIFS(tabela_registros[VALOR],tabela_registros[MÊS],$AE$1,tabela_registros[DIA],jultotal3059718395107[[#Headers],[15]],tabela_registros[REGISTRO],DADOS!$N$4,tabela_registros[TIPO],DADOS!$P$4,tabela_registros[CATEGORIA],despesavariávelconsolidadojul[[#This Row],[DESPESA VARIÁVEL]])</f>
        <v>0</v>
      </c>
      <c r="T70" s="119" t="n">
        <f aca="false">SUMIFS(tabela_registros[VALOR],tabela_registros[MÊS],$AE$1,tabela_registros[DIA],jultotal3059718395107[[#Headers],[16]],tabela_registros[REGISTRO],DADOS!$N$4,tabela_registros[TIPO],DADOS!$P$4,tabela_registros[CATEGORIA],despesavariávelconsolidadojul[[#This Row],[DESPESA VARIÁVEL]])</f>
        <v>0</v>
      </c>
      <c r="U70" s="119" t="n">
        <f aca="false">SUMIFS(tabela_registros[VALOR],tabela_registros[MÊS],$AE$1,tabela_registros[DIA],jultotal3059718395107[[#Headers],[17]],tabela_registros[REGISTRO],DADOS!$N$4,tabela_registros[TIPO],DADOS!$P$4,tabela_registros[CATEGORIA],despesavariávelconsolidadojul[[#This Row],[DESPESA VARIÁVEL]])</f>
        <v>0</v>
      </c>
      <c r="V70" s="119" t="n">
        <f aca="false">SUMIFS(tabela_registros[VALOR],tabela_registros[MÊS],$AE$1,tabela_registros[DIA],jultotal3059718395107[[#Headers],[18]],tabela_registros[REGISTRO],DADOS!$N$4,tabela_registros[TIPO],DADOS!$P$4,tabela_registros[CATEGORIA],despesavariávelconsolidadojul[[#This Row],[DESPESA VARIÁVEL]])</f>
        <v>0</v>
      </c>
      <c r="W70" s="119" t="n">
        <f aca="false">SUMIFS(tabela_registros[VALOR],tabela_registros[MÊS],$AE$1,tabela_registros[DIA],jultotal3059718395107[[#Headers],[19]],tabela_registros[REGISTRO],DADOS!$N$4,tabela_registros[TIPO],DADOS!$P$4,tabela_registros[CATEGORIA],despesavariávelconsolidadojul[[#This Row],[DESPESA VARIÁVEL]])</f>
        <v>0</v>
      </c>
      <c r="X70" s="119" t="n">
        <f aca="false">SUMIFS(tabela_registros[VALOR],tabela_registros[MÊS],$AE$1,tabela_registros[DIA],jultotal3059718395107[[#Headers],[20]],tabela_registros[REGISTRO],DADOS!$N$4,tabela_registros[TIPO],DADOS!$P$4,tabela_registros[CATEGORIA],despesavariávelconsolidadojul[[#This Row],[DESPESA VARIÁVEL]])</f>
        <v>0</v>
      </c>
      <c r="Y70" s="119" t="n">
        <f aca="false">SUMIFS(tabela_registros[VALOR],tabela_registros[MÊS],$AE$1,tabela_registros[DIA],jultotal3059718395107[[#Headers],[21]],tabela_registros[REGISTRO],DADOS!$N$4,tabela_registros[TIPO],DADOS!$P$4,tabela_registros[CATEGORIA],despesavariávelconsolidadojul[[#This Row],[DESPESA VARIÁVEL]])</f>
        <v>0</v>
      </c>
      <c r="Z70" s="119" t="n">
        <f aca="false">SUMIFS(tabela_registros[VALOR],tabela_registros[MÊS],$AE$1,tabela_registros[DIA],jultotal3059718395107[[#Headers],[22]],tabela_registros[REGISTRO],DADOS!$N$4,tabela_registros[TIPO],DADOS!$P$4,tabela_registros[CATEGORIA],despesavariávelconsolidadojul[[#This Row],[DESPESA VARIÁVEL]])</f>
        <v>0</v>
      </c>
      <c r="AA70" s="119" t="n">
        <f aca="false">SUMIFS(tabela_registros[VALOR],tabela_registros[MÊS],$AE$1,tabela_registros[DIA],jultotal3059718395107[[#Headers],[23]],tabela_registros[REGISTRO],DADOS!$N$4,tabela_registros[TIPO],DADOS!$P$4,tabela_registros[CATEGORIA],despesavariávelconsolidadojul[[#This Row],[DESPESA VARIÁVEL]])</f>
        <v>0</v>
      </c>
      <c r="AB70" s="119" t="n">
        <f aca="false">SUMIFS(tabela_registros[VALOR],tabela_registros[MÊS],$AE$1,tabela_registros[DIA],jultotal3059718395107[[#Headers],[24]],tabela_registros[REGISTRO],DADOS!$N$4,tabela_registros[TIPO],DADOS!$P$4,tabela_registros[CATEGORIA],despesavariávelconsolidadojul[[#This Row],[DESPESA VARIÁVEL]])</f>
        <v>0</v>
      </c>
      <c r="AC70" s="119" t="n">
        <f aca="false">SUMIFS(tabela_registros[VALOR],tabela_registros[MÊS],$AE$1,tabela_registros[DIA],jultotal3059718395107[[#Headers],[25]],tabela_registros[REGISTRO],DADOS!$N$4,tabela_registros[TIPO],DADOS!$P$4,tabela_registros[CATEGORIA],despesavariávelconsolidadojul[[#This Row],[DESPESA VARIÁVEL]])</f>
        <v>0</v>
      </c>
      <c r="AD70" s="119" t="n">
        <f aca="false">SUMIFS(tabela_registros[VALOR],tabela_registros[MÊS],$AE$1,tabela_registros[DIA],jultotal3059718395107[[#Headers],[26]],tabela_registros[REGISTRO],DADOS!$N$4,tabela_registros[TIPO],DADOS!$P$4,tabela_registros[CATEGORIA],despesavariávelconsolidadojul[[#This Row],[DESPESA VARIÁVEL]])</f>
        <v>0</v>
      </c>
      <c r="AE70" s="119" t="n">
        <f aca="false">SUMIFS(tabela_registros[VALOR],tabela_registros[MÊS],$AE$1,tabela_registros[DIA],jultotal3059718395107[[#Headers],[27]],tabela_registros[REGISTRO],DADOS!$N$4,tabela_registros[TIPO],DADOS!$P$4,tabela_registros[CATEGORIA],despesavariávelconsolidadojul[[#This Row],[DESPESA VARIÁVEL]])</f>
        <v>0</v>
      </c>
      <c r="AF70" s="119" t="n">
        <f aca="false">SUMIFS(tabela_registros[VALOR],tabela_registros[MÊS],$AE$1,tabela_registros[DIA],jultotal3059718395107[[#Headers],[28]],tabela_registros[REGISTRO],DADOS!$N$4,tabela_registros[TIPO],DADOS!$P$4,tabela_registros[CATEGORIA],despesavariávelconsolidadojul[[#This Row],[DESPESA VARIÁVEL]])</f>
        <v>0</v>
      </c>
      <c r="AG70" s="119" t="n">
        <f aca="false">SUMIFS(tabela_registros[VALOR],tabela_registros[MÊS],$AE$1,tabela_registros[DIA],jultotal3059718395107[[#Headers],[29]],tabela_registros[REGISTRO],DADOS!$N$4,tabela_registros[TIPO],DADOS!$P$4,tabela_registros[CATEGORIA],despesavariávelconsolidadojul[[#This Row],[DESPESA VARIÁVEL]])</f>
        <v>0</v>
      </c>
      <c r="AH70" s="119" t="n">
        <f aca="false">SUMIFS(tabela_registros[VALOR],tabela_registros[MÊS],$AE$1,tabela_registros[DIA],jultotal3059718395107[[#Headers],[30]],tabela_registros[REGISTRO],DADOS!$N$4,tabela_registros[TIPO],DADOS!$P$4,tabela_registros[CATEGORIA],despesavariávelconsolidadojul[[#This Row],[DESPESA VARIÁVEL]])</f>
        <v>0</v>
      </c>
      <c r="AI70" s="217" t="n">
        <f aca="false">SUMIFS(tabela_registros[VALOR],tabela_registros[MÊS],$AE$1,tabela_registros[DIA],jultotal3059718395107[[#Headers],[31]],tabela_registros[REGISTRO],DADOS!$N$4,tabela_registros[TIPO],DADOS!$P$4,tabela_registros[CATEGORIA],despesavariávelconsolidadojul[[#This Row],[DESPESA VARIÁVEL]])</f>
        <v>0</v>
      </c>
      <c r="AJ70" s="149" t="n">
        <f aca="false">SUM(despesavariávelconsolidadojul[[#This Row],[1]:[31]])</f>
        <v>0</v>
      </c>
      <c r="AK70" s="143"/>
    </row>
    <row r="71" customFormat="false" ht="18" hidden="false" customHeight="true" outlineLevel="0" collapsed="false">
      <c r="B71" s="143"/>
      <c r="C71" s="144" t="str">
        <f aca="false">DADOS!$T$14</f>
        <v>🛍️ VESTUÁRIO</v>
      </c>
      <c r="D71" s="145" t="str">
        <f aca="false">IF(despesavariávelconsolidadojul[[#This Row],[TOTAL]]=0,"",IF(OR(despesavariávelconsolidadojul[[#This Row],[TOTAL]]=LARGE($AJ$60:$AJ$72,1),despesavariávelconsolidadojul[[#This Row],[TOTAL]]=LARGE($AJ$60:$AJ$72,2),despesavariávelconsolidadojul[[#This Row],[TOTAL]]=LARGE($AJ$60:$AJ$72,3),despesavariávelconsolidadojul[[#This Row],[TOTAL]]=LARGE($AJ$60:$AJ$72,4),despesavariávelconsolidadojul[[#This Row],[TOTAL]]=LARGE($AJ$60:$AJ$72,5)),DADOS!$I$8,""))</f>
        <v/>
      </c>
      <c r="E71" s="148" t="n">
        <f aca="false">SUMIFS(tabela_registros[VALOR],tabela_registros[MÊS],$AE$1,tabela_registros[DIA],jultotal3059718395107[[#Headers],[1]],tabela_registros[REGISTRO],DADOS!$N$4,tabela_registros[TIPO],DADOS!$P$4,tabela_registros[CATEGORIA],despesavariávelconsolidadojul[[#This Row],[DESPESA VARIÁVEL]])</f>
        <v>0</v>
      </c>
      <c r="F71" s="119" t="n">
        <f aca="false">SUMIFS(tabela_registros[VALOR],tabela_registros[MÊS],$AE$1,tabela_registros[DIA],jultotal3059718395107[[#Headers],[2]],tabela_registros[REGISTRO],DADOS!$N$4,tabela_registros[TIPO],DADOS!$P$4,tabela_registros[CATEGORIA],despesavariávelconsolidadojul[[#This Row],[DESPESA VARIÁVEL]])</f>
        <v>0</v>
      </c>
      <c r="G71" s="119" t="n">
        <f aca="false">SUMIFS(tabela_registros[VALOR],tabela_registros[MÊS],$AE$1,tabela_registros[DIA],jultotal3059718395107[[#Headers],[3]],tabela_registros[REGISTRO],DADOS!$N$4,tabela_registros[TIPO],DADOS!$P$4,tabela_registros[CATEGORIA],despesavariávelconsolidadojul[[#This Row],[DESPESA VARIÁVEL]])</f>
        <v>0</v>
      </c>
      <c r="H71" s="119" t="n">
        <f aca="false">SUMIFS(tabela_registros[VALOR],tabela_registros[MÊS],$AE$1,tabela_registros[DIA],jultotal3059718395107[[#Headers],[4]],tabela_registros[REGISTRO],DADOS!$N$4,tabela_registros[TIPO],DADOS!$P$4,tabela_registros[CATEGORIA],despesavariávelconsolidadojul[[#This Row],[DESPESA VARIÁVEL]])</f>
        <v>0</v>
      </c>
      <c r="I71" s="119" t="n">
        <f aca="false">SUMIFS(tabela_registros[VALOR],tabela_registros[MÊS],$AE$1,tabela_registros[DIA],jultotal3059718395107[[#Headers],[5]],tabela_registros[REGISTRO],DADOS!$N$4,tabela_registros[TIPO],DADOS!$P$4,tabela_registros[CATEGORIA],despesavariávelconsolidadojul[[#This Row],[DESPESA VARIÁVEL]])</f>
        <v>0</v>
      </c>
      <c r="J71" s="119" t="n">
        <f aca="false">SUMIFS(tabela_registros[VALOR],tabela_registros[MÊS],$AE$1,tabela_registros[DIA],jultotal3059718395107[[#Headers],[6]],tabela_registros[REGISTRO],DADOS!$N$4,tabela_registros[TIPO],DADOS!$P$4,tabela_registros[CATEGORIA],despesavariávelconsolidadojul[[#This Row],[DESPESA VARIÁVEL]])</f>
        <v>0</v>
      </c>
      <c r="K71" s="119" t="n">
        <f aca="false">SUMIFS(tabela_registros[VALOR],tabela_registros[MÊS],$AE$1,tabela_registros[DIA],jultotal3059718395107[[#Headers],[7]],tabela_registros[REGISTRO],DADOS!$N$4,tabela_registros[TIPO],DADOS!$P$4,tabela_registros[CATEGORIA],despesavariávelconsolidadojul[[#This Row],[DESPESA VARIÁVEL]])</f>
        <v>0</v>
      </c>
      <c r="L71" s="119" t="n">
        <f aca="false">SUMIFS(tabela_registros[VALOR],tabela_registros[MÊS],$AE$1,tabela_registros[DIA],jultotal3059718395107[[#Headers],[8]],tabela_registros[REGISTRO],DADOS!$N$4,tabela_registros[TIPO],DADOS!$P$4,tabela_registros[CATEGORIA],despesavariávelconsolidadojul[[#This Row],[DESPESA VARIÁVEL]])</f>
        <v>0</v>
      </c>
      <c r="M71" s="119" t="n">
        <f aca="false">SUMIFS(tabela_registros[VALOR],tabela_registros[MÊS],$AE$1,tabela_registros[DIA],jultotal3059718395107[[#Headers],[9]],tabela_registros[REGISTRO],DADOS!$N$4,tabela_registros[TIPO],DADOS!$P$4,tabela_registros[CATEGORIA],despesavariávelconsolidadojul[[#This Row],[DESPESA VARIÁVEL]])</f>
        <v>0</v>
      </c>
      <c r="N71" s="119" t="n">
        <f aca="false">SUMIFS(tabela_registros[VALOR],tabela_registros[MÊS],$AE$1,tabela_registros[DIA],jultotal3059718395107[[#Headers],[10]],tabela_registros[REGISTRO],DADOS!$N$4,tabela_registros[TIPO],DADOS!$P$4,tabela_registros[CATEGORIA],despesavariávelconsolidadojul[[#This Row],[DESPESA VARIÁVEL]])</f>
        <v>0</v>
      </c>
      <c r="O71" s="119" t="n">
        <f aca="false">SUMIFS(tabela_registros[VALOR],tabela_registros[MÊS],$AE$1,tabela_registros[DIA],jultotal3059718395107[[#Headers],[11]],tabela_registros[REGISTRO],DADOS!$N$4,tabela_registros[TIPO],DADOS!$P$4,tabela_registros[CATEGORIA],despesavariávelconsolidadojul[[#This Row],[DESPESA VARIÁVEL]])</f>
        <v>0</v>
      </c>
      <c r="P71" s="119" t="n">
        <f aca="false">SUMIFS(tabela_registros[VALOR],tabela_registros[MÊS],$AE$1,tabela_registros[DIA],jultotal3059718395107[[#Headers],[12]],tabela_registros[REGISTRO],DADOS!$N$4,tabela_registros[TIPO],DADOS!$P$4,tabela_registros[CATEGORIA],despesavariávelconsolidadojul[[#This Row],[DESPESA VARIÁVEL]])</f>
        <v>0</v>
      </c>
      <c r="Q71" s="119" t="n">
        <f aca="false">SUMIFS(tabela_registros[VALOR],tabela_registros[MÊS],$AE$1,tabela_registros[DIA],jultotal3059718395107[[#Headers],[13]],tabela_registros[REGISTRO],DADOS!$N$4,tabela_registros[TIPO],DADOS!$P$4,tabela_registros[CATEGORIA],despesavariávelconsolidadojul[[#This Row],[DESPESA VARIÁVEL]])</f>
        <v>0</v>
      </c>
      <c r="R71" s="119" t="n">
        <f aca="false">SUMIFS(tabela_registros[VALOR],tabela_registros[MÊS],$AE$1,tabela_registros[DIA],jultotal3059718395107[[#Headers],[14]],tabela_registros[REGISTRO],DADOS!$N$4,tabela_registros[TIPO],DADOS!$P$4,tabela_registros[CATEGORIA],despesavariávelconsolidadojul[[#This Row],[DESPESA VARIÁVEL]])</f>
        <v>0</v>
      </c>
      <c r="S71" s="119" t="n">
        <f aca="false">SUMIFS(tabela_registros[VALOR],tabela_registros[MÊS],$AE$1,tabela_registros[DIA],jultotal3059718395107[[#Headers],[15]],tabela_registros[REGISTRO],DADOS!$N$4,tabela_registros[TIPO],DADOS!$P$4,tabela_registros[CATEGORIA],despesavariávelconsolidadojul[[#This Row],[DESPESA VARIÁVEL]])</f>
        <v>0</v>
      </c>
      <c r="T71" s="119" t="n">
        <f aca="false">SUMIFS(tabela_registros[VALOR],tabela_registros[MÊS],$AE$1,tabela_registros[DIA],jultotal3059718395107[[#Headers],[16]],tabela_registros[REGISTRO],DADOS!$N$4,tabela_registros[TIPO],DADOS!$P$4,tabela_registros[CATEGORIA],despesavariávelconsolidadojul[[#This Row],[DESPESA VARIÁVEL]])</f>
        <v>0</v>
      </c>
      <c r="U71" s="119" t="n">
        <f aca="false">SUMIFS(tabela_registros[VALOR],tabela_registros[MÊS],$AE$1,tabela_registros[DIA],jultotal3059718395107[[#Headers],[17]],tabela_registros[REGISTRO],DADOS!$N$4,tabela_registros[TIPO],DADOS!$P$4,tabela_registros[CATEGORIA],despesavariávelconsolidadojul[[#This Row],[DESPESA VARIÁVEL]])</f>
        <v>0</v>
      </c>
      <c r="V71" s="119" t="n">
        <f aca="false">SUMIFS(tabela_registros[VALOR],tabela_registros[MÊS],$AE$1,tabela_registros[DIA],jultotal3059718395107[[#Headers],[18]],tabela_registros[REGISTRO],DADOS!$N$4,tabela_registros[TIPO],DADOS!$P$4,tabela_registros[CATEGORIA],despesavariávelconsolidadojul[[#This Row],[DESPESA VARIÁVEL]])</f>
        <v>0</v>
      </c>
      <c r="W71" s="119" t="n">
        <f aca="false">SUMIFS(tabela_registros[VALOR],tabela_registros[MÊS],$AE$1,tabela_registros[DIA],jultotal3059718395107[[#Headers],[19]],tabela_registros[REGISTRO],DADOS!$N$4,tabela_registros[TIPO],DADOS!$P$4,tabela_registros[CATEGORIA],despesavariávelconsolidadojul[[#This Row],[DESPESA VARIÁVEL]])</f>
        <v>0</v>
      </c>
      <c r="X71" s="119" t="n">
        <f aca="false">SUMIFS(tabela_registros[VALOR],tabela_registros[MÊS],$AE$1,tabela_registros[DIA],jultotal3059718395107[[#Headers],[20]],tabela_registros[REGISTRO],DADOS!$N$4,tabela_registros[TIPO],DADOS!$P$4,tabela_registros[CATEGORIA],despesavariávelconsolidadojul[[#This Row],[DESPESA VARIÁVEL]])</f>
        <v>0</v>
      </c>
      <c r="Y71" s="119" t="n">
        <f aca="false">SUMIFS(tabela_registros[VALOR],tabela_registros[MÊS],$AE$1,tabela_registros[DIA],jultotal3059718395107[[#Headers],[21]],tabela_registros[REGISTRO],DADOS!$N$4,tabela_registros[TIPO],DADOS!$P$4,tabela_registros[CATEGORIA],despesavariávelconsolidadojul[[#This Row],[DESPESA VARIÁVEL]])</f>
        <v>0</v>
      </c>
      <c r="Z71" s="119" t="n">
        <f aca="false">SUMIFS(tabela_registros[VALOR],tabela_registros[MÊS],$AE$1,tabela_registros[DIA],jultotal3059718395107[[#Headers],[22]],tabela_registros[REGISTRO],DADOS!$N$4,tabela_registros[TIPO],DADOS!$P$4,tabela_registros[CATEGORIA],despesavariávelconsolidadojul[[#This Row],[DESPESA VARIÁVEL]])</f>
        <v>0</v>
      </c>
      <c r="AA71" s="119" t="n">
        <f aca="false">SUMIFS(tabela_registros[VALOR],tabela_registros[MÊS],$AE$1,tabela_registros[DIA],jultotal3059718395107[[#Headers],[23]],tabela_registros[REGISTRO],DADOS!$N$4,tabela_registros[TIPO],DADOS!$P$4,tabela_registros[CATEGORIA],despesavariávelconsolidadojul[[#This Row],[DESPESA VARIÁVEL]])</f>
        <v>0</v>
      </c>
      <c r="AB71" s="119" t="n">
        <f aca="false">SUMIFS(tabela_registros[VALOR],tabela_registros[MÊS],$AE$1,tabela_registros[DIA],jultotal3059718395107[[#Headers],[24]],tabela_registros[REGISTRO],DADOS!$N$4,tabela_registros[TIPO],DADOS!$P$4,tabela_registros[CATEGORIA],despesavariávelconsolidadojul[[#This Row],[DESPESA VARIÁVEL]])</f>
        <v>0</v>
      </c>
      <c r="AC71" s="119" t="n">
        <f aca="false">SUMIFS(tabela_registros[VALOR],tabela_registros[MÊS],$AE$1,tabela_registros[DIA],jultotal3059718395107[[#Headers],[25]],tabela_registros[REGISTRO],DADOS!$N$4,tabela_registros[TIPO],DADOS!$P$4,tabela_registros[CATEGORIA],despesavariávelconsolidadojul[[#This Row],[DESPESA VARIÁVEL]])</f>
        <v>0</v>
      </c>
      <c r="AD71" s="119" t="n">
        <f aca="false">SUMIFS(tabela_registros[VALOR],tabela_registros[MÊS],$AE$1,tabela_registros[DIA],jultotal3059718395107[[#Headers],[26]],tabela_registros[REGISTRO],DADOS!$N$4,tabela_registros[TIPO],DADOS!$P$4,tabela_registros[CATEGORIA],despesavariávelconsolidadojul[[#This Row],[DESPESA VARIÁVEL]])</f>
        <v>0</v>
      </c>
      <c r="AE71" s="119" t="n">
        <f aca="false">SUMIFS(tabela_registros[VALOR],tabela_registros[MÊS],$AE$1,tabela_registros[DIA],jultotal3059718395107[[#Headers],[27]],tabela_registros[REGISTRO],DADOS!$N$4,tabela_registros[TIPO],DADOS!$P$4,tabela_registros[CATEGORIA],despesavariávelconsolidadojul[[#This Row],[DESPESA VARIÁVEL]])</f>
        <v>0</v>
      </c>
      <c r="AF71" s="119" t="n">
        <f aca="false">SUMIFS(tabela_registros[VALOR],tabela_registros[MÊS],$AE$1,tabela_registros[DIA],jultotal3059718395107[[#Headers],[28]],tabela_registros[REGISTRO],DADOS!$N$4,tabela_registros[TIPO],DADOS!$P$4,tabela_registros[CATEGORIA],despesavariávelconsolidadojul[[#This Row],[DESPESA VARIÁVEL]])</f>
        <v>0</v>
      </c>
      <c r="AG71" s="119" t="n">
        <f aca="false">SUMIFS(tabela_registros[VALOR],tabela_registros[MÊS],$AE$1,tabela_registros[DIA],jultotal3059718395107[[#Headers],[29]],tabela_registros[REGISTRO],DADOS!$N$4,tabela_registros[TIPO],DADOS!$P$4,tabela_registros[CATEGORIA],despesavariávelconsolidadojul[[#This Row],[DESPESA VARIÁVEL]])</f>
        <v>0</v>
      </c>
      <c r="AH71" s="119" t="n">
        <f aca="false">SUMIFS(tabela_registros[VALOR],tabela_registros[MÊS],$AE$1,tabela_registros[DIA],jultotal3059718395107[[#Headers],[30]],tabela_registros[REGISTRO],DADOS!$N$4,tabela_registros[TIPO],DADOS!$P$4,tabela_registros[CATEGORIA],despesavariávelconsolidadojul[[#This Row],[DESPESA VARIÁVEL]])</f>
        <v>0</v>
      </c>
      <c r="AI71" s="217" t="n">
        <f aca="false">SUMIFS(tabela_registros[VALOR],tabela_registros[MÊS],$AE$1,tabela_registros[DIA],jultotal3059718395107[[#Headers],[31]],tabela_registros[REGISTRO],DADOS!$N$4,tabela_registros[TIPO],DADOS!$P$4,tabela_registros[CATEGORIA],despesavariávelconsolidadojul[[#This Row],[DESPESA VARIÁVEL]])</f>
        <v>0</v>
      </c>
      <c r="AJ71" s="149" t="n">
        <f aca="false">SUM(despesavariávelconsolidadojul[[#This Row],[1]:[31]])</f>
        <v>0</v>
      </c>
      <c r="AK71" s="143"/>
    </row>
    <row r="72" customFormat="false" ht="18" hidden="false" customHeight="true" outlineLevel="0" collapsed="false">
      <c r="B72" s="143"/>
      <c r="C72" s="144" t="str">
        <f aca="false">DADOS!$T$15</f>
        <v>📎 OUTROS</v>
      </c>
      <c r="D72" s="145" t="str">
        <f aca="false">IF(despesavariávelconsolidadojul[[#This Row],[TOTAL]]=0,"",IF(OR(despesavariávelconsolidadojul[[#This Row],[TOTAL]]=LARGE($AJ$60:$AJ$72,1),despesavariávelconsolidadojul[[#This Row],[TOTAL]]=LARGE($AJ$60:$AJ$72,2),despesavariávelconsolidadojul[[#This Row],[TOTAL]]=LARGE($AJ$60:$AJ$72,3),despesavariávelconsolidadojul[[#This Row],[TOTAL]]=LARGE($AJ$60:$AJ$72,4),despesavariávelconsolidadojul[[#This Row],[TOTAL]]=LARGE($AJ$60:$AJ$72,5)),DADOS!$I$8,""))</f>
        <v/>
      </c>
      <c r="E72" s="148" t="n">
        <f aca="false">SUMIFS(tabela_registros[VALOR],tabela_registros[MÊS],$AE$1,tabela_registros[DIA],jultotal3059718395107[[#Headers],[1]],tabela_registros[REGISTRO],DADOS!$N$4,tabela_registros[TIPO],DADOS!$P$4,tabela_registros[CATEGORIA],despesavariávelconsolidadojul[[#This Row],[DESPESA VARIÁVEL]])</f>
        <v>0</v>
      </c>
      <c r="F72" s="119" t="n">
        <f aca="false">SUMIFS(tabela_registros[VALOR],tabela_registros[MÊS],$AE$1,tabela_registros[DIA],jultotal3059718395107[[#Headers],[2]],tabela_registros[REGISTRO],DADOS!$N$4,tabela_registros[TIPO],DADOS!$P$4,tabela_registros[CATEGORIA],despesavariávelconsolidadojul[[#This Row],[DESPESA VARIÁVEL]])</f>
        <v>0</v>
      </c>
      <c r="G72" s="119" t="n">
        <f aca="false">SUMIFS(tabela_registros[VALOR],tabela_registros[MÊS],$AE$1,tabela_registros[DIA],jultotal3059718395107[[#Headers],[3]],tabela_registros[REGISTRO],DADOS!$N$4,tabela_registros[TIPO],DADOS!$P$4,tabela_registros[CATEGORIA],despesavariávelconsolidadojul[[#This Row],[DESPESA VARIÁVEL]])</f>
        <v>0</v>
      </c>
      <c r="H72" s="119" t="n">
        <f aca="false">SUMIFS(tabela_registros[VALOR],tabela_registros[MÊS],$AE$1,tabela_registros[DIA],jultotal3059718395107[[#Headers],[4]],tabela_registros[REGISTRO],DADOS!$N$4,tabela_registros[TIPO],DADOS!$P$4,tabela_registros[CATEGORIA],despesavariávelconsolidadojul[[#This Row],[DESPESA VARIÁVEL]])</f>
        <v>0</v>
      </c>
      <c r="I72" s="119" t="n">
        <f aca="false">SUMIFS(tabela_registros[VALOR],tabela_registros[MÊS],$AE$1,tabela_registros[DIA],jultotal3059718395107[[#Headers],[5]],tabela_registros[REGISTRO],DADOS!$N$4,tabela_registros[TIPO],DADOS!$P$4,tabela_registros[CATEGORIA],despesavariávelconsolidadojul[[#This Row],[DESPESA VARIÁVEL]])</f>
        <v>0</v>
      </c>
      <c r="J72" s="119" t="n">
        <f aca="false">SUMIFS(tabela_registros[VALOR],tabela_registros[MÊS],$AE$1,tabela_registros[DIA],jultotal3059718395107[[#Headers],[6]],tabela_registros[REGISTRO],DADOS!$N$4,tabela_registros[TIPO],DADOS!$P$4,tabela_registros[CATEGORIA],despesavariávelconsolidadojul[[#This Row],[DESPESA VARIÁVEL]])</f>
        <v>0</v>
      </c>
      <c r="K72" s="119" t="n">
        <f aca="false">SUMIFS(tabela_registros[VALOR],tabela_registros[MÊS],$AE$1,tabela_registros[DIA],jultotal3059718395107[[#Headers],[7]],tabela_registros[REGISTRO],DADOS!$N$4,tabela_registros[TIPO],DADOS!$P$4,tabela_registros[CATEGORIA],despesavariávelconsolidadojul[[#This Row],[DESPESA VARIÁVEL]])</f>
        <v>0</v>
      </c>
      <c r="L72" s="119" t="n">
        <f aca="false">SUMIFS(tabela_registros[VALOR],tabela_registros[MÊS],$AE$1,tabela_registros[DIA],jultotal3059718395107[[#Headers],[8]],tabela_registros[REGISTRO],DADOS!$N$4,tabela_registros[TIPO],DADOS!$P$4,tabela_registros[CATEGORIA],despesavariávelconsolidadojul[[#This Row],[DESPESA VARIÁVEL]])</f>
        <v>0</v>
      </c>
      <c r="M72" s="119" t="n">
        <f aca="false">SUMIFS(tabela_registros[VALOR],tabela_registros[MÊS],$AE$1,tabela_registros[DIA],jultotal3059718395107[[#Headers],[9]],tabela_registros[REGISTRO],DADOS!$N$4,tabela_registros[TIPO],DADOS!$P$4,tabela_registros[CATEGORIA],despesavariávelconsolidadojul[[#This Row],[DESPESA VARIÁVEL]])</f>
        <v>0</v>
      </c>
      <c r="N72" s="119" t="n">
        <f aca="false">SUMIFS(tabela_registros[VALOR],tabela_registros[MÊS],$AE$1,tabela_registros[DIA],jultotal3059718395107[[#Headers],[10]],tabela_registros[REGISTRO],DADOS!$N$4,tabela_registros[TIPO],DADOS!$P$4,tabela_registros[CATEGORIA],despesavariávelconsolidadojul[[#This Row],[DESPESA VARIÁVEL]])</f>
        <v>0</v>
      </c>
      <c r="O72" s="119" t="n">
        <f aca="false">SUMIFS(tabela_registros[VALOR],tabela_registros[MÊS],$AE$1,tabela_registros[DIA],jultotal3059718395107[[#Headers],[11]],tabela_registros[REGISTRO],DADOS!$N$4,tabela_registros[TIPO],DADOS!$P$4,tabela_registros[CATEGORIA],despesavariávelconsolidadojul[[#This Row],[DESPESA VARIÁVEL]])</f>
        <v>0</v>
      </c>
      <c r="P72" s="119" t="n">
        <f aca="false">SUMIFS(tabela_registros[VALOR],tabela_registros[MÊS],$AE$1,tabela_registros[DIA],jultotal3059718395107[[#Headers],[12]],tabela_registros[REGISTRO],DADOS!$N$4,tabela_registros[TIPO],DADOS!$P$4,tabela_registros[CATEGORIA],despesavariávelconsolidadojul[[#This Row],[DESPESA VARIÁVEL]])</f>
        <v>0</v>
      </c>
      <c r="Q72" s="119" t="n">
        <f aca="false">SUMIFS(tabela_registros[VALOR],tabela_registros[MÊS],$AE$1,tabela_registros[DIA],jultotal3059718395107[[#Headers],[13]],tabela_registros[REGISTRO],DADOS!$N$4,tabela_registros[TIPO],DADOS!$P$4,tabela_registros[CATEGORIA],despesavariávelconsolidadojul[[#This Row],[DESPESA VARIÁVEL]])</f>
        <v>0</v>
      </c>
      <c r="R72" s="119" t="n">
        <f aca="false">SUMIFS(tabela_registros[VALOR],tabela_registros[MÊS],$AE$1,tabela_registros[DIA],jultotal3059718395107[[#Headers],[14]],tabela_registros[REGISTRO],DADOS!$N$4,tabela_registros[TIPO],DADOS!$P$4,tabela_registros[CATEGORIA],despesavariávelconsolidadojul[[#This Row],[DESPESA VARIÁVEL]])</f>
        <v>0</v>
      </c>
      <c r="S72" s="119" t="n">
        <f aca="false">SUMIFS(tabela_registros[VALOR],tabela_registros[MÊS],$AE$1,tabela_registros[DIA],jultotal3059718395107[[#Headers],[15]],tabela_registros[REGISTRO],DADOS!$N$4,tabela_registros[TIPO],DADOS!$P$4,tabela_registros[CATEGORIA],despesavariávelconsolidadojul[[#This Row],[DESPESA VARIÁVEL]])</f>
        <v>0</v>
      </c>
      <c r="T72" s="119" t="n">
        <f aca="false">SUMIFS(tabela_registros[VALOR],tabela_registros[MÊS],$AE$1,tabela_registros[DIA],jultotal3059718395107[[#Headers],[16]],tabela_registros[REGISTRO],DADOS!$N$4,tabela_registros[TIPO],DADOS!$P$4,tabela_registros[CATEGORIA],despesavariávelconsolidadojul[[#This Row],[DESPESA VARIÁVEL]])</f>
        <v>0</v>
      </c>
      <c r="U72" s="119" t="n">
        <f aca="false">SUMIFS(tabela_registros[VALOR],tabela_registros[MÊS],$AE$1,tabela_registros[DIA],jultotal3059718395107[[#Headers],[17]],tabela_registros[REGISTRO],DADOS!$N$4,tabela_registros[TIPO],DADOS!$P$4,tabela_registros[CATEGORIA],despesavariávelconsolidadojul[[#This Row],[DESPESA VARIÁVEL]])</f>
        <v>0</v>
      </c>
      <c r="V72" s="119" t="n">
        <f aca="false">SUMIFS(tabela_registros[VALOR],tabela_registros[MÊS],$AE$1,tabela_registros[DIA],jultotal3059718395107[[#Headers],[18]],tabela_registros[REGISTRO],DADOS!$N$4,tabela_registros[TIPO],DADOS!$P$4,tabela_registros[CATEGORIA],despesavariávelconsolidadojul[[#This Row],[DESPESA VARIÁVEL]])</f>
        <v>0</v>
      </c>
      <c r="W72" s="119" t="n">
        <f aca="false">SUMIFS(tabela_registros[VALOR],tabela_registros[MÊS],$AE$1,tabela_registros[DIA],jultotal3059718395107[[#Headers],[19]],tabela_registros[REGISTRO],DADOS!$N$4,tabela_registros[TIPO],DADOS!$P$4,tabela_registros[CATEGORIA],despesavariávelconsolidadojul[[#This Row],[DESPESA VARIÁVEL]])</f>
        <v>0</v>
      </c>
      <c r="X72" s="119" t="n">
        <f aca="false">SUMIFS(tabela_registros[VALOR],tabela_registros[MÊS],$AE$1,tabela_registros[DIA],jultotal3059718395107[[#Headers],[20]],tabela_registros[REGISTRO],DADOS!$N$4,tabela_registros[TIPO],DADOS!$P$4,tabela_registros[CATEGORIA],despesavariávelconsolidadojul[[#This Row],[DESPESA VARIÁVEL]])</f>
        <v>0</v>
      </c>
      <c r="Y72" s="119" t="n">
        <f aca="false">SUMIFS(tabela_registros[VALOR],tabela_registros[MÊS],$AE$1,tabela_registros[DIA],jultotal3059718395107[[#Headers],[21]],tabela_registros[REGISTRO],DADOS!$N$4,tabela_registros[TIPO],DADOS!$P$4,tabela_registros[CATEGORIA],despesavariávelconsolidadojul[[#This Row],[DESPESA VARIÁVEL]])</f>
        <v>0</v>
      </c>
      <c r="Z72" s="119" t="n">
        <f aca="false">SUMIFS(tabela_registros[VALOR],tabela_registros[MÊS],$AE$1,tabela_registros[DIA],jultotal3059718395107[[#Headers],[22]],tabela_registros[REGISTRO],DADOS!$N$4,tabela_registros[TIPO],DADOS!$P$4,tabela_registros[CATEGORIA],despesavariávelconsolidadojul[[#This Row],[DESPESA VARIÁVEL]])</f>
        <v>0</v>
      </c>
      <c r="AA72" s="119" t="n">
        <f aca="false">SUMIFS(tabela_registros[VALOR],tabela_registros[MÊS],$AE$1,tabela_registros[DIA],jultotal3059718395107[[#Headers],[23]],tabela_registros[REGISTRO],DADOS!$N$4,tabela_registros[TIPO],DADOS!$P$4,tabela_registros[CATEGORIA],despesavariávelconsolidadojul[[#This Row],[DESPESA VARIÁVEL]])</f>
        <v>0</v>
      </c>
      <c r="AB72" s="119" t="n">
        <f aca="false">SUMIFS(tabela_registros[VALOR],tabela_registros[MÊS],$AE$1,tabela_registros[DIA],jultotal3059718395107[[#Headers],[24]],tabela_registros[REGISTRO],DADOS!$N$4,tabela_registros[TIPO],DADOS!$P$4,tabela_registros[CATEGORIA],despesavariávelconsolidadojul[[#This Row],[DESPESA VARIÁVEL]])</f>
        <v>0</v>
      </c>
      <c r="AC72" s="119" t="n">
        <f aca="false">SUMIFS(tabela_registros[VALOR],tabela_registros[MÊS],$AE$1,tabela_registros[DIA],jultotal3059718395107[[#Headers],[25]],tabela_registros[REGISTRO],DADOS!$N$4,tabela_registros[TIPO],DADOS!$P$4,tabela_registros[CATEGORIA],despesavariávelconsolidadojul[[#This Row],[DESPESA VARIÁVEL]])</f>
        <v>0</v>
      </c>
      <c r="AD72" s="119" t="n">
        <f aca="false">SUMIFS(tabela_registros[VALOR],tabela_registros[MÊS],$AE$1,tabela_registros[DIA],jultotal3059718395107[[#Headers],[26]],tabela_registros[REGISTRO],DADOS!$N$4,tabela_registros[TIPO],DADOS!$P$4,tabela_registros[CATEGORIA],despesavariávelconsolidadojul[[#This Row],[DESPESA VARIÁVEL]])</f>
        <v>0</v>
      </c>
      <c r="AE72" s="119" t="n">
        <f aca="false">SUMIFS(tabela_registros[VALOR],tabela_registros[MÊS],$AE$1,tabela_registros[DIA],jultotal3059718395107[[#Headers],[27]],tabela_registros[REGISTRO],DADOS!$N$4,tabela_registros[TIPO],DADOS!$P$4,tabela_registros[CATEGORIA],despesavariávelconsolidadojul[[#This Row],[DESPESA VARIÁVEL]])</f>
        <v>0</v>
      </c>
      <c r="AF72" s="119" t="n">
        <f aca="false">SUMIFS(tabela_registros[VALOR],tabela_registros[MÊS],$AE$1,tabela_registros[DIA],jultotal3059718395107[[#Headers],[28]],tabela_registros[REGISTRO],DADOS!$N$4,tabela_registros[TIPO],DADOS!$P$4,tabela_registros[CATEGORIA],despesavariávelconsolidadojul[[#This Row],[DESPESA VARIÁVEL]])</f>
        <v>0</v>
      </c>
      <c r="AG72" s="119" t="n">
        <f aca="false">SUMIFS(tabela_registros[VALOR],tabela_registros[MÊS],$AE$1,tabela_registros[DIA],jultotal3059718395107[[#Headers],[29]],tabela_registros[REGISTRO],DADOS!$N$4,tabela_registros[TIPO],DADOS!$P$4,tabela_registros[CATEGORIA],despesavariávelconsolidadojul[[#This Row],[DESPESA VARIÁVEL]])</f>
        <v>0</v>
      </c>
      <c r="AH72" s="119" t="n">
        <f aca="false">SUMIFS(tabela_registros[VALOR],tabela_registros[MÊS],$AE$1,tabela_registros[DIA],jultotal3059718395107[[#Headers],[30]],tabela_registros[REGISTRO],DADOS!$N$4,tabela_registros[TIPO],DADOS!$P$4,tabela_registros[CATEGORIA],despesavariávelconsolidadojul[[#This Row],[DESPESA VARIÁVEL]])</f>
        <v>0</v>
      </c>
      <c r="AI72" s="218" t="n">
        <f aca="false">SUMIFS(tabela_registros[VALOR],tabela_registros[MÊS],$AE$1,tabela_registros[DIA],jultotal3059718395107[[#Headers],[31]],tabela_registros[REGISTRO],DADOS!$N$4,tabela_registros[TIPO],DADOS!$P$4,tabela_registros[CATEGORIA],despesavariávelconsolidadojul[[#This Row],[DESPESA VARIÁVEL]])</f>
        <v>0</v>
      </c>
      <c r="AJ72" s="149" t="n">
        <f aca="false">SUM(despesavariávelconsolidadojul[[#This Row],[1]:[31]])</f>
        <v>0</v>
      </c>
      <c r="AK72" s="143"/>
    </row>
    <row r="73" s="122" customFormat="true" ht="21" hidden="false" customHeight="true" outlineLevel="0" collapsed="false">
      <c r="B73" s="152"/>
      <c r="C73" s="153" t="s">
        <v>2</v>
      </c>
      <c r="D73" s="154" t="str">
        <f aca="false">IF(despesavariávelconsolidadojul[[#This Row],[TOTAL]]=0,"",IF(OR(despesavariávelconsolidadojul[[#This Row],[TOTAL]]=SMALL(despesavariávelconsolidadojul[TOTAL],1),despesavariávelconsolidadojul[[#This Row],[TOTAL]]=SMALL(despesavariávelconsolidadojul[TOTAL],2),despesavariávelconsolidadojul[[#This Row],[TOTAL]]=SMALL(despesavariávelconsolidadojul[TOTAL],3),despesavariávelconsolidadojul[[#This Row],[TOTAL]]=SMALL(despesavariávelconsolidadojul[TOTAL],4),despesavariávelconsolidadojul[[#This Row],[TOTAL]]=SMALL(despesavariávelconsolidadojul[TOTAL],5)),DADOS!$I$8,""))</f>
        <v/>
      </c>
      <c r="E73" s="155" t="n">
        <f aca="false">SUM(E60:E72)</f>
        <v>0</v>
      </c>
      <c r="F73" s="156" t="n">
        <f aca="false">SUM(F60:F72)+despesavariávelconsolidadojul[[#This Row],[1]]</f>
        <v>0</v>
      </c>
      <c r="G73" s="156" t="n">
        <f aca="false">SUM(G60:G72)+despesavariávelconsolidadojul[[#This Row],[2]]</f>
        <v>0</v>
      </c>
      <c r="H73" s="156" t="n">
        <f aca="false">SUM(H60:H72)+despesavariávelconsolidadojul[[#This Row],[3]]</f>
        <v>0</v>
      </c>
      <c r="I73" s="156" t="n">
        <f aca="false">SUM(I60:I72)+despesavariávelconsolidadojul[[#This Row],[4]]</f>
        <v>0</v>
      </c>
      <c r="J73" s="156" t="n">
        <f aca="false">SUM(J60:J72)+despesavariávelconsolidadojul[[#This Row],[5]]</f>
        <v>0</v>
      </c>
      <c r="K73" s="156" t="n">
        <f aca="false">SUM(K60:K72)+despesavariávelconsolidadojul[[#This Row],[6]]</f>
        <v>0</v>
      </c>
      <c r="L73" s="156" t="n">
        <f aca="false">SUM(L60:L72)+despesavariávelconsolidadojul[[#This Row],[7]]</f>
        <v>0</v>
      </c>
      <c r="M73" s="156" t="n">
        <f aca="false">SUM(M60:M72)+despesavariávelconsolidadojul[[#This Row],[8]]</f>
        <v>0</v>
      </c>
      <c r="N73" s="156" t="n">
        <f aca="false">SUM(N60:N72)+despesavariávelconsolidadojul[[#This Row],[9]]</f>
        <v>0</v>
      </c>
      <c r="O73" s="156" t="n">
        <f aca="false">SUM(O60:O72)+despesavariávelconsolidadojul[[#This Row],[10]]</f>
        <v>0</v>
      </c>
      <c r="P73" s="156" t="n">
        <f aca="false">SUM(P60:P72)+despesavariávelconsolidadojul[[#This Row],[11]]</f>
        <v>0</v>
      </c>
      <c r="Q73" s="156" t="n">
        <f aca="false">SUM(Q60:Q72)+despesavariávelconsolidadojul[[#This Row],[12]]</f>
        <v>0</v>
      </c>
      <c r="R73" s="156" t="n">
        <f aca="false">SUM(R60:R72)+despesavariávelconsolidadojul[[#This Row],[13]]</f>
        <v>0</v>
      </c>
      <c r="S73" s="156" t="n">
        <f aca="false">SUM(S60:S72)+despesavariávelconsolidadojul[[#This Row],[14]]</f>
        <v>0</v>
      </c>
      <c r="T73" s="156" t="n">
        <f aca="false">SUM(T60:T72)+despesavariávelconsolidadojul[[#This Row],[15]]</f>
        <v>0</v>
      </c>
      <c r="U73" s="156" t="n">
        <f aca="false">SUM(U60:U72)+despesavariávelconsolidadojul[[#This Row],[16]]</f>
        <v>0</v>
      </c>
      <c r="V73" s="156" t="n">
        <f aca="false">SUM(V60:V72)+despesavariávelconsolidadojul[[#This Row],[17]]</f>
        <v>0</v>
      </c>
      <c r="W73" s="156" t="n">
        <f aca="false">SUM(W60:W72)+despesavariávelconsolidadojul[[#This Row],[18]]</f>
        <v>0</v>
      </c>
      <c r="X73" s="156" t="n">
        <f aca="false">SUM(X60:X72)+despesavariávelconsolidadojul[[#This Row],[19]]</f>
        <v>0</v>
      </c>
      <c r="Y73" s="156" t="n">
        <f aca="false">SUM(Y60:Y72)+despesavariávelconsolidadojul[[#This Row],[20]]</f>
        <v>0</v>
      </c>
      <c r="Z73" s="156" t="n">
        <f aca="false">SUM(Z60:Z72)+despesavariávelconsolidadojul[[#This Row],[21]]</f>
        <v>0</v>
      </c>
      <c r="AA73" s="156" t="n">
        <f aca="false">SUM(AA60:AA72)+despesavariávelconsolidadojul[[#This Row],[22]]</f>
        <v>0</v>
      </c>
      <c r="AB73" s="156" t="n">
        <f aca="false">SUM(AB60:AB72)+despesavariávelconsolidadojul[[#This Row],[23]]</f>
        <v>0</v>
      </c>
      <c r="AC73" s="156" t="n">
        <f aca="false">SUM(AC60:AC72)+despesavariávelconsolidadojul[[#This Row],[24]]</f>
        <v>0</v>
      </c>
      <c r="AD73" s="156" t="n">
        <f aca="false">SUM(AD60:AD72)+despesavariávelconsolidadojul[[#This Row],[25]]</f>
        <v>0</v>
      </c>
      <c r="AE73" s="156" t="n">
        <f aca="false">SUM(AE60:AE72)+despesavariávelconsolidadojul[[#This Row],[26]]</f>
        <v>0</v>
      </c>
      <c r="AF73" s="156" t="n">
        <f aca="false">SUM(AF60:AF72)+despesavariávelconsolidadojul[[#This Row],[27]]</f>
        <v>0</v>
      </c>
      <c r="AG73" s="156" t="n">
        <f aca="false">SUM(AG60:AG72)+despesavariávelconsolidadojul[[#This Row],[28]]</f>
        <v>0</v>
      </c>
      <c r="AH73" s="156" t="n">
        <f aca="false">SUM(AH60:AH72)+despesavariávelconsolidadojul[[#This Row],[29]]</f>
        <v>0</v>
      </c>
      <c r="AI73" s="223" t="n">
        <f aca="false">SUM(AI60:AI72)+despesavariávelconsolidadojul[[#This Row],[30]]</f>
        <v>0</v>
      </c>
      <c r="AJ73" s="157" t="n">
        <f aca="false">despesavariávelconsolidadojul[[#This Row],[31]]</f>
        <v>0</v>
      </c>
      <c r="AK73" s="158"/>
    </row>
    <row r="74" customFormat="false" ht="6.75" hidden="false" customHeight="true" outlineLevel="0" collapsed="false">
      <c r="B74" s="97"/>
      <c r="C74" s="159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229"/>
      <c r="AJ74" s="97"/>
      <c r="AK74" s="244"/>
    </row>
    <row r="75" s="78" customFormat="true" ht="12.75" hidden="false" customHeight="false" outlineLevel="0" collapsed="false">
      <c r="E75" s="100"/>
    </row>
    <row r="76" s="78" customFormat="true" ht="12" hidden="false" customHeight="false" outlineLevel="0" collapsed="false"/>
    <row r="77" s="78" customFormat="true" ht="12" hidden="false" customHeight="false" outlineLevel="0" collapsed="false"/>
    <row r="78" customFormat="false" ht="39.75" hidden="false" customHeight="true" outlineLevel="0" collapsed="false">
      <c r="C78" s="101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3" t="s">
        <v>2</v>
      </c>
    </row>
    <row r="79" s="78" customFormat="true" ht="12.75" hidden="false" customHeight="false" outlineLevel="0" collapsed="false">
      <c r="B79" s="161"/>
      <c r="AJ79" s="106" t="s">
        <v>64</v>
      </c>
    </row>
    <row r="80" customFormat="false" ht="6.75" hidden="false" customHeight="true" outlineLevel="0" collapsed="false">
      <c r="B80" s="86"/>
      <c r="C80" s="162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233"/>
      <c r="AK80" s="139"/>
    </row>
    <row r="81" customFormat="false" ht="13.5" hidden="true" customHeight="false" outlineLevel="0" collapsed="false">
      <c r="B81" s="86"/>
      <c r="C81" s="109" t="s">
        <v>68</v>
      </c>
      <c r="D81" s="110" t="s">
        <v>69</v>
      </c>
      <c r="E81" s="110" t="s">
        <v>30</v>
      </c>
      <c r="F81" s="110" t="s">
        <v>31</v>
      </c>
      <c r="G81" s="110" t="s">
        <v>32</v>
      </c>
      <c r="H81" s="110" t="s">
        <v>33</v>
      </c>
      <c r="I81" s="110" t="s">
        <v>34</v>
      </c>
      <c r="J81" s="110" t="s">
        <v>35</v>
      </c>
      <c r="K81" s="110" t="s">
        <v>36</v>
      </c>
      <c r="L81" s="110" t="s">
        <v>37</v>
      </c>
      <c r="M81" s="110" t="s">
        <v>38</v>
      </c>
      <c r="N81" s="110" t="s">
        <v>39</v>
      </c>
      <c r="O81" s="110" t="s">
        <v>40</v>
      </c>
      <c r="P81" s="110" t="s">
        <v>41</v>
      </c>
      <c r="Q81" s="110" t="s">
        <v>81</v>
      </c>
      <c r="R81" s="110" t="s">
        <v>82</v>
      </c>
      <c r="S81" s="110" t="s">
        <v>83</v>
      </c>
      <c r="T81" s="110" t="s">
        <v>84</v>
      </c>
      <c r="U81" s="110" t="s">
        <v>85</v>
      </c>
      <c r="V81" s="110" t="s">
        <v>86</v>
      </c>
      <c r="W81" s="110" t="s">
        <v>87</v>
      </c>
      <c r="X81" s="110" t="s">
        <v>88</v>
      </c>
      <c r="Y81" s="110" t="s">
        <v>89</v>
      </c>
      <c r="Z81" s="110" t="s">
        <v>90</v>
      </c>
      <c r="AA81" s="110" t="s">
        <v>91</v>
      </c>
      <c r="AB81" s="110" t="s">
        <v>92</v>
      </c>
      <c r="AC81" s="110" t="s">
        <v>93</v>
      </c>
      <c r="AD81" s="110" t="s">
        <v>94</v>
      </c>
      <c r="AE81" s="110" t="s">
        <v>95</v>
      </c>
      <c r="AF81" s="110" t="s">
        <v>96</v>
      </c>
      <c r="AG81" s="110" t="s">
        <v>97</v>
      </c>
      <c r="AH81" s="110" t="s">
        <v>98</v>
      </c>
      <c r="AI81" s="110" t="s">
        <v>99</v>
      </c>
      <c r="AJ81" s="111" t="s">
        <v>70</v>
      </c>
      <c r="AK81" s="86"/>
    </row>
    <row r="82" customFormat="false" ht="19.5" hidden="false" customHeight="true" outlineLevel="0" collapsed="false">
      <c r="B82" s="143"/>
      <c r="C82" s="144" t="str">
        <f aca="false">DADOS!$X$3</f>
        <v>💵 ALUGUEL</v>
      </c>
      <c r="D82" s="145" t="str">
        <f aca="false">IF(receitasfixasconsolidadojul[[#This Row],[TOTAL (R$)]]=0,"",IF(OR(receitasfixasconsolidadojul[[#This Row],[TOTAL (R$)]]=LARGE($AJ$82:$AJ$86,1),receitasfixasconsolidadojul[[#This Row],[TOTAL (R$)]]=LARGE($AJ$82:$AJ$86,2)),DADOS!$I$9,""))</f>
        <v/>
      </c>
      <c r="E82" s="146" t="n">
        <f aca="false">SUMIFS(tabela_registros[VALOR],tabela_registros[MÊS],$AE$1,tabela_registros[DIA],receitasfixasconsolidadojul[[#Headers],[1]],tabela_registros[REGISTRO],DADOS!$N$3,tabela_registros[TIPO],DADOS!$V$3,tabela_registros[CATEGORIA],receitasfixasconsolidadojul[[#This Row],[ATUAL]])</f>
        <v>0</v>
      </c>
      <c r="F82" s="114" t="n">
        <f aca="false">SUMIFS(tabela_registros[VALOR],tabela_registros[MÊS],$AE$1,tabela_registros[DIA],receitasfixasconsolidadojul[[#Headers],[2]],tabela_registros[REGISTRO],DADOS!$N$3,tabela_registros[TIPO],DADOS!$V$3,tabela_registros[CATEGORIA],receitasfixasconsolidadojul[[#This Row],[ATUAL]])</f>
        <v>0</v>
      </c>
      <c r="G82" s="114" t="n">
        <f aca="false">SUMIFS(tabela_registros[VALOR],tabela_registros[MÊS],$AE$1,tabela_registros[DIA],receitasfixasconsolidadojul[[#Headers],[3]],tabela_registros[REGISTRO],DADOS!$N$3,tabela_registros[TIPO],DADOS!$V$3,tabela_registros[CATEGORIA],receitasfixasconsolidadojul[[#This Row],[ATUAL]])</f>
        <v>0</v>
      </c>
      <c r="H82" s="114" t="n">
        <f aca="false">SUMIFS(tabela_registros[VALOR],tabela_registros[MÊS],$AE$1,tabela_registros[DIA],receitasfixasconsolidadojul[[#Headers],[4]],tabela_registros[REGISTRO],DADOS!$N$3,tabela_registros[TIPO],DADOS!$V$3,tabela_registros[CATEGORIA],receitasfixasconsolidadojul[[#This Row],[ATUAL]])</f>
        <v>0</v>
      </c>
      <c r="I82" s="114" t="n">
        <f aca="false">SUMIFS(tabela_registros[VALOR],tabela_registros[MÊS],$AE$1,tabela_registros[DIA],receitasfixasconsolidadojul[[#Headers],[5]],tabela_registros[REGISTRO],DADOS!$N$3,tabela_registros[TIPO],DADOS!$V$3,tabela_registros[CATEGORIA],receitasfixasconsolidadojul[[#This Row],[ATUAL]])</f>
        <v>0</v>
      </c>
      <c r="J82" s="114" t="n">
        <f aca="false">SUMIFS(tabela_registros[VALOR],tabela_registros[MÊS],$AE$1,tabela_registros[DIA],receitasfixasconsolidadojul[[#Headers],[6]],tabela_registros[REGISTRO],DADOS!$N$3,tabela_registros[TIPO],DADOS!$V$3,tabela_registros[CATEGORIA],receitasfixasconsolidadojul[[#This Row],[ATUAL]])</f>
        <v>0</v>
      </c>
      <c r="K82" s="114" t="n">
        <f aca="false">SUMIFS(tabela_registros[VALOR],tabela_registros[MÊS],$AE$1,tabela_registros[DIA],receitasfixasconsolidadojul[[#Headers],[7]],tabela_registros[REGISTRO],DADOS!$N$3,tabela_registros[TIPO],DADOS!$V$3,tabela_registros[CATEGORIA],receitasfixasconsolidadojul[[#This Row],[ATUAL]])</f>
        <v>0</v>
      </c>
      <c r="L82" s="114" t="n">
        <f aca="false">SUMIFS(tabela_registros[VALOR],tabela_registros[MÊS],$AE$1,tabela_registros[DIA],receitasfixasconsolidadojul[[#Headers],[8]],tabela_registros[REGISTRO],DADOS!$N$3,tabela_registros[TIPO],DADOS!$V$3,tabela_registros[CATEGORIA],receitasfixasconsolidadojul[[#This Row],[ATUAL]])</f>
        <v>0</v>
      </c>
      <c r="M82" s="114" t="n">
        <f aca="false">SUMIFS(tabela_registros[VALOR],tabela_registros[MÊS],$AE$1,tabela_registros[DIA],receitasfixasconsolidadojul[[#Headers],[9]],tabela_registros[REGISTRO],DADOS!$N$3,tabela_registros[TIPO],DADOS!$V$3,tabela_registros[CATEGORIA],receitasfixasconsolidadojul[[#This Row],[ATUAL]])</f>
        <v>0</v>
      </c>
      <c r="N82" s="114" t="n">
        <f aca="false">SUMIFS(tabela_registros[VALOR],tabela_registros[MÊS],$AE$1,tabela_registros[DIA],receitasfixasconsolidadojul[[#Headers],[10]],tabela_registros[REGISTRO],DADOS!$N$3,tabela_registros[TIPO],DADOS!$V$3,tabela_registros[CATEGORIA],receitasfixasconsolidadojul[[#This Row],[ATUAL]])</f>
        <v>0</v>
      </c>
      <c r="O82" s="114" t="n">
        <f aca="false">SUMIFS(tabela_registros[VALOR],tabela_registros[MÊS],$AE$1,tabela_registros[DIA],receitasfixasconsolidadojul[[#Headers],[11]],tabela_registros[REGISTRO],DADOS!$N$3,tabela_registros[TIPO],DADOS!$V$3,tabela_registros[CATEGORIA],receitasfixasconsolidadojul[[#This Row],[ATUAL]])</f>
        <v>0</v>
      </c>
      <c r="P82" s="114" t="n">
        <f aca="false">SUMIFS(tabela_registros[VALOR],tabela_registros[MÊS],$AE$1,tabela_registros[DIA],receitasfixasconsolidadojul[[#Headers],[12]],tabela_registros[REGISTRO],DADOS!$N$3,tabela_registros[TIPO],DADOS!$V$3,tabela_registros[CATEGORIA],receitasfixasconsolidadojul[[#This Row],[ATUAL]])</f>
        <v>0</v>
      </c>
      <c r="Q82" s="114" t="n">
        <f aca="false">SUMIFS(tabela_registros[VALOR],tabela_registros[MÊS],$AE$1,tabela_registros[DIA],receitasfixasconsolidadojul[[#Headers],[13]],tabela_registros[REGISTRO],DADOS!$N$3,tabela_registros[TIPO],DADOS!$V$3,tabela_registros[CATEGORIA],receitasfixasconsolidadojul[[#This Row],[ATUAL]])</f>
        <v>0</v>
      </c>
      <c r="R82" s="114" t="n">
        <f aca="false">SUMIFS(tabela_registros[VALOR],tabela_registros[MÊS],$AE$1,tabela_registros[DIA],receitasfixasconsolidadojul[[#Headers],[14]],tabela_registros[REGISTRO],DADOS!$N$3,tabela_registros[TIPO],DADOS!$V$3,tabela_registros[CATEGORIA],receitasfixasconsolidadojul[[#This Row],[ATUAL]])</f>
        <v>0</v>
      </c>
      <c r="S82" s="114" t="n">
        <f aca="false">SUMIFS(tabela_registros[VALOR],tabela_registros[MÊS],$AE$1,tabela_registros[DIA],receitasfixasconsolidadojul[[#Headers],[15]],tabela_registros[REGISTRO],DADOS!$N$3,tabela_registros[TIPO],DADOS!$V$3,tabela_registros[CATEGORIA],receitasfixasconsolidadojul[[#This Row],[ATUAL]])</f>
        <v>0</v>
      </c>
      <c r="T82" s="114" t="n">
        <f aca="false">SUMIFS(tabela_registros[VALOR],tabela_registros[MÊS],$AE$1,tabela_registros[DIA],receitasfixasconsolidadojul[[#Headers],[16]],tabela_registros[REGISTRO],DADOS!$N$3,tabela_registros[TIPO],DADOS!$V$3,tabela_registros[CATEGORIA],receitasfixasconsolidadojul[[#This Row],[ATUAL]])</f>
        <v>0</v>
      </c>
      <c r="U82" s="114" t="n">
        <f aca="false">SUMIFS(tabela_registros[VALOR],tabela_registros[MÊS],$AE$1,tabela_registros[DIA],receitasfixasconsolidadojul[[#Headers],[17]],tabela_registros[REGISTRO],DADOS!$N$3,tabela_registros[TIPO],DADOS!$V$3,tabela_registros[CATEGORIA],receitasfixasconsolidadojul[[#This Row],[ATUAL]])</f>
        <v>0</v>
      </c>
      <c r="V82" s="114" t="n">
        <f aca="false">SUMIFS(tabela_registros[VALOR],tabela_registros[MÊS],$AE$1,tabela_registros[DIA],receitasfixasconsolidadojul[[#Headers],[18]],tabela_registros[REGISTRO],DADOS!$N$3,tabela_registros[TIPO],DADOS!$V$3,tabela_registros[CATEGORIA],receitasfixasconsolidadojul[[#This Row],[ATUAL]])</f>
        <v>0</v>
      </c>
      <c r="W82" s="114" t="n">
        <f aca="false">SUMIFS(tabela_registros[VALOR],tabela_registros[MÊS],$AE$1,tabela_registros[DIA],receitasfixasconsolidadojul[[#Headers],[19]],tabela_registros[REGISTRO],DADOS!$N$3,tabela_registros[TIPO],DADOS!$V$3,tabela_registros[CATEGORIA],receitasfixasconsolidadojul[[#This Row],[ATUAL]])</f>
        <v>0</v>
      </c>
      <c r="X82" s="114" t="n">
        <f aca="false">SUMIFS(tabela_registros[VALOR],tabela_registros[MÊS],$AE$1,tabela_registros[DIA],receitasfixasconsolidadojul[[#Headers],[20]],tabela_registros[REGISTRO],DADOS!$N$3,tabela_registros[TIPO],DADOS!$V$3,tabela_registros[CATEGORIA],receitasfixasconsolidadojul[[#This Row],[ATUAL]])</f>
        <v>0</v>
      </c>
      <c r="Y82" s="114" t="n">
        <f aca="false">SUMIFS(tabela_registros[VALOR],tabela_registros[MÊS],$AE$1,tabela_registros[DIA],receitasfixasconsolidadojul[[#Headers],[21]],tabela_registros[REGISTRO],DADOS!$N$3,tabela_registros[TIPO],DADOS!$V$3,tabela_registros[CATEGORIA],receitasfixasconsolidadojul[[#This Row],[ATUAL]])</f>
        <v>0</v>
      </c>
      <c r="Z82" s="114" t="n">
        <f aca="false">SUMIFS(tabela_registros[VALOR],tabela_registros[MÊS],$AE$1,tabela_registros[DIA],receitasfixasconsolidadojul[[#Headers],[22]],tabela_registros[REGISTRO],DADOS!$N$3,tabela_registros[TIPO],DADOS!$V$3,tabela_registros[CATEGORIA],receitasfixasconsolidadojul[[#This Row],[ATUAL]])</f>
        <v>0</v>
      </c>
      <c r="AA82" s="114" t="n">
        <f aca="false">SUMIFS(tabela_registros[VALOR],tabela_registros[MÊS],$AE$1,tabela_registros[DIA],receitasfixasconsolidadojul[[#Headers],[23]],tabela_registros[REGISTRO],DADOS!$N$3,tabela_registros[TIPO],DADOS!$V$3,tabela_registros[CATEGORIA],receitasfixasconsolidadojul[[#This Row],[ATUAL]])</f>
        <v>0</v>
      </c>
      <c r="AB82" s="114" t="n">
        <f aca="false">SUMIFS(tabela_registros[VALOR],tabela_registros[MÊS],$AE$1,tabela_registros[DIA],receitasfixasconsolidadojul[[#Headers],[24]],tabela_registros[REGISTRO],DADOS!$N$3,tabela_registros[TIPO],DADOS!$V$3,tabela_registros[CATEGORIA],receitasfixasconsolidadojul[[#This Row],[ATUAL]])</f>
        <v>0</v>
      </c>
      <c r="AC82" s="114" t="n">
        <f aca="false">SUMIFS(tabela_registros[VALOR],tabela_registros[MÊS],$AE$1,tabela_registros[DIA],receitasfixasconsolidadojul[[#Headers],[25]],tabela_registros[REGISTRO],DADOS!$N$3,tabela_registros[TIPO],DADOS!$V$3,tabela_registros[CATEGORIA],receitasfixasconsolidadojul[[#This Row],[ATUAL]])</f>
        <v>0</v>
      </c>
      <c r="AD82" s="114" t="n">
        <f aca="false">SUMIFS(tabela_registros[VALOR],tabela_registros[MÊS],$AE$1,tabela_registros[DIA],receitasfixasconsolidadojul[[#Headers],[26]],tabela_registros[REGISTRO],DADOS!$N$3,tabela_registros[TIPO],DADOS!$V$3,tabela_registros[CATEGORIA],receitasfixasconsolidadojul[[#This Row],[ATUAL]])</f>
        <v>0</v>
      </c>
      <c r="AE82" s="114" t="n">
        <f aca="false">SUMIFS(tabela_registros[VALOR],tabela_registros[MÊS],$AE$1,tabela_registros[DIA],receitasfixasconsolidadojul[[#Headers],[27]],tabela_registros[REGISTRO],DADOS!$N$3,tabela_registros[TIPO],DADOS!$V$3,tabela_registros[CATEGORIA],receitasfixasconsolidadojul[[#This Row],[ATUAL]])</f>
        <v>0</v>
      </c>
      <c r="AF82" s="114" t="n">
        <f aca="false">SUMIFS(tabela_registros[VALOR],tabela_registros[MÊS],$AE$1,tabela_registros[DIA],receitasfixasconsolidadojul[[#Headers],[28]],tabela_registros[REGISTRO],DADOS!$N$3,tabela_registros[TIPO],DADOS!$V$3,tabela_registros[CATEGORIA],receitasfixasconsolidadojul[[#This Row],[ATUAL]])</f>
        <v>0</v>
      </c>
      <c r="AG82" s="114" t="n">
        <f aca="false">SUMIFS(tabela_registros[VALOR],tabela_registros[MÊS],$AE$1,tabela_registros[DIA],receitasfixasconsolidadojul[[#Headers],[29]],tabela_registros[REGISTRO],DADOS!$N$3,tabela_registros[TIPO],DADOS!$V$3,tabela_registros[CATEGORIA],receitasfixasconsolidadojul[[#This Row],[ATUAL]])</f>
        <v>0</v>
      </c>
      <c r="AH82" s="114" t="n">
        <f aca="false">SUMIFS(tabela_registros[VALOR],tabela_registros[MÊS],$AE$1,tabela_registros[DIA],receitasfixasconsolidadojul[[#Headers],[30]],tabela_registros[REGISTRO],DADOS!$N$3,tabela_registros[TIPO],DADOS!$V$3,tabela_registros[CATEGORIA],receitasfixasconsolidadojul[[#This Row],[ATUAL]])</f>
        <v>0</v>
      </c>
      <c r="AI82" s="216" t="n">
        <f aca="false">SUMIFS(tabela_registros[VALOR],tabela_registros[MÊS],$AE$1,tabela_registros[DIA],receitasfixasconsolidadojul[[#Headers],[31]],tabela_registros[REGISTRO],DADOS!$N$3,tabela_registros[TIPO],DADOS!$V$3,tabela_registros[CATEGORIA],receitasfixasconsolidadojul[[#This Row],[ATUAL]])</f>
        <v>0</v>
      </c>
      <c r="AJ82" s="149" t="n">
        <f aca="false">SUM(receitasfixasconsolidadojul[[#This Row],[1]:[31]])</f>
        <v>0</v>
      </c>
      <c r="AK82" s="165"/>
    </row>
    <row r="83" customFormat="false" ht="19.5" hidden="false" customHeight="true" outlineLevel="0" collapsed="false">
      <c r="B83" s="143"/>
      <c r="C83" s="144" t="str">
        <f aca="false">DADOS!$X$4</f>
        <v>💸APOSENTADORIA</v>
      </c>
      <c r="D83" s="145" t="str">
        <f aca="false">IF(receitasfixasconsolidadojul[[#This Row],[TOTAL (R$)]]=0,"",IF(OR(receitasfixasconsolidadojul[[#This Row],[TOTAL (R$)]]=LARGE($AJ$82:$AJ$86,1),receitasfixasconsolidadojul[[#This Row],[TOTAL (R$)]]=LARGE($AJ$82:$AJ$86,2)),DADOS!$I$9,""))</f>
        <v/>
      </c>
      <c r="E83" s="148" t="n">
        <f aca="false">SUMIFS(tabela_registros[VALOR],tabela_registros[MÊS],$AE$1,tabela_registros[DIA],receitasfixasconsolidadojul[[#Headers],[1]],tabela_registros[REGISTRO],DADOS!$N$3,tabela_registros[TIPO],DADOS!$V$3,tabela_registros[CATEGORIA],receitasfixasconsolidadojul[[#This Row],[ATUAL]])</f>
        <v>0</v>
      </c>
      <c r="F83" s="119" t="n">
        <f aca="false">SUMIFS(tabela_registros[VALOR],tabela_registros[MÊS],$AE$1,tabela_registros[DIA],receitasfixasconsolidadojul[[#Headers],[2]],tabela_registros[REGISTRO],DADOS!$N$3,tabela_registros[TIPO],DADOS!$V$3,tabela_registros[CATEGORIA],receitasfixasconsolidadojul[[#This Row],[ATUAL]])</f>
        <v>0</v>
      </c>
      <c r="G83" s="119" t="n">
        <f aca="false">SUMIFS(tabela_registros[VALOR],tabela_registros[MÊS],$AE$1,tabela_registros[DIA],receitasfixasconsolidadojul[[#Headers],[3]],tabela_registros[REGISTRO],DADOS!$N$3,tabela_registros[TIPO],DADOS!$V$3,tabela_registros[CATEGORIA],receitasfixasconsolidadojul[[#This Row],[ATUAL]])</f>
        <v>0</v>
      </c>
      <c r="H83" s="119" t="n">
        <f aca="false">SUMIFS(tabela_registros[VALOR],tabela_registros[MÊS],$AE$1,tabela_registros[DIA],receitasfixasconsolidadojul[[#Headers],[4]],tabela_registros[REGISTRO],DADOS!$N$3,tabela_registros[TIPO],DADOS!$V$3,tabela_registros[CATEGORIA],receitasfixasconsolidadojul[[#This Row],[ATUAL]])</f>
        <v>0</v>
      </c>
      <c r="I83" s="119" t="n">
        <f aca="false">SUMIFS(tabela_registros[VALOR],tabela_registros[MÊS],$AE$1,tabela_registros[DIA],receitasfixasconsolidadojul[[#Headers],[5]],tabela_registros[REGISTRO],DADOS!$N$3,tabela_registros[TIPO],DADOS!$V$3,tabela_registros[CATEGORIA],receitasfixasconsolidadojul[[#This Row],[ATUAL]])</f>
        <v>0</v>
      </c>
      <c r="J83" s="119" t="n">
        <f aca="false">SUMIFS(tabela_registros[VALOR],tabela_registros[MÊS],$AE$1,tabela_registros[DIA],receitasfixasconsolidadojul[[#Headers],[6]],tabela_registros[REGISTRO],DADOS!$N$3,tabela_registros[TIPO],DADOS!$V$3,tabela_registros[CATEGORIA],receitasfixasconsolidadojul[[#This Row],[ATUAL]])</f>
        <v>0</v>
      </c>
      <c r="K83" s="119" t="n">
        <f aca="false">SUMIFS(tabela_registros[VALOR],tabela_registros[MÊS],$AE$1,tabela_registros[DIA],receitasfixasconsolidadojul[[#Headers],[7]],tabela_registros[REGISTRO],DADOS!$N$3,tabela_registros[TIPO],DADOS!$V$3,tabela_registros[CATEGORIA],receitasfixasconsolidadojul[[#This Row],[ATUAL]])</f>
        <v>0</v>
      </c>
      <c r="L83" s="119" t="n">
        <f aca="false">SUMIFS(tabela_registros[VALOR],tabela_registros[MÊS],$AE$1,tabela_registros[DIA],receitasfixasconsolidadojul[[#Headers],[8]],tabela_registros[REGISTRO],DADOS!$N$3,tabela_registros[TIPO],DADOS!$V$3,tabela_registros[CATEGORIA],receitasfixasconsolidadojul[[#This Row],[ATUAL]])</f>
        <v>0</v>
      </c>
      <c r="M83" s="119" t="n">
        <f aca="false">SUMIFS(tabela_registros[VALOR],tabela_registros[MÊS],$AE$1,tabela_registros[DIA],receitasfixasconsolidadojul[[#Headers],[9]],tabela_registros[REGISTRO],DADOS!$N$3,tabela_registros[TIPO],DADOS!$V$3,tabela_registros[CATEGORIA],receitasfixasconsolidadojul[[#This Row],[ATUAL]])</f>
        <v>0</v>
      </c>
      <c r="N83" s="119" t="n">
        <f aca="false">SUMIFS(tabela_registros[VALOR],tabela_registros[MÊS],$AE$1,tabela_registros[DIA],receitasfixasconsolidadojul[[#Headers],[10]],tabela_registros[REGISTRO],DADOS!$N$3,tabela_registros[TIPO],DADOS!$V$3,tabela_registros[CATEGORIA],receitasfixasconsolidadojul[[#This Row],[ATUAL]])</f>
        <v>0</v>
      </c>
      <c r="O83" s="119" t="n">
        <f aca="false">SUMIFS(tabela_registros[VALOR],tabela_registros[MÊS],$AE$1,tabela_registros[DIA],receitasfixasconsolidadojul[[#Headers],[11]],tabela_registros[REGISTRO],DADOS!$N$3,tabela_registros[TIPO],DADOS!$V$3,tabela_registros[CATEGORIA],receitasfixasconsolidadojul[[#This Row],[ATUAL]])</f>
        <v>0</v>
      </c>
      <c r="P83" s="119" t="n">
        <f aca="false">SUMIFS(tabela_registros[VALOR],tabela_registros[MÊS],$AE$1,tabela_registros[DIA],receitasfixasconsolidadojul[[#Headers],[12]],tabela_registros[REGISTRO],DADOS!$N$3,tabela_registros[TIPO],DADOS!$V$3,tabela_registros[CATEGORIA],receitasfixasconsolidadojul[[#This Row],[ATUAL]])</f>
        <v>0</v>
      </c>
      <c r="Q83" s="119" t="n">
        <f aca="false">SUMIFS(tabela_registros[VALOR],tabela_registros[MÊS],$AE$1,tabela_registros[DIA],receitasfixasconsolidadojul[[#Headers],[13]],tabela_registros[REGISTRO],DADOS!$N$3,tabela_registros[TIPO],DADOS!$V$3,tabela_registros[CATEGORIA],receitasfixasconsolidadojul[[#This Row],[ATUAL]])</f>
        <v>0</v>
      </c>
      <c r="R83" s="119" t="n">
        <f aca="false">SUMIFS(tabela_registros[VALOR],tabela_registros[MÊS],$AE$1,tabela_registros[DIA],receitasfixasconsolidadojul[[#Headers],[14]],tabela_registros[REGISTRO],DADOS!$N$3,tabela_registros[TIPO],DADOS!$V$3,tabela_registros[CATEGORIA],receitasfixasconsolidadojul[[#This Row],[ATUAL]])</f>
        <v>0</v>
      </c>
      <c r="S83" s="119" t="n">
        <f aca="false">SUMIFS(tabela_registros[VALOR],tabela_registros[MÊS],$AE$1,tabela_registros[DIA],receitasfixasconsolidadojul[[#Headers],[15]],tabela_registros[REGISTRO],DADOS!$N$3,tabela_registros[TIPO],DADOS!$V$3,tabela_registros[CATEGORIA],receitasfixasconsolidadojul[[#This Row],[ATUAL]])</f>
        <v>0</v>
      </c>
      <c r="T83" s="119" t="n">
        <f aca="false">SUMIFS(tabela_registros[VALOR],tabela_registros[MÊS],$AE$1,tabela_registros[DIA],receitasfixasconsolidadojul[[#Headers],[16]],tabela_registros[REGISTRO],DADOS!$N$3,tabela_registros[TIPO],DADOS!$V$3,tabela_registros[CATEGORIA],receitasfixasconsolidadojul[[#This Row],[ATUAL]])</f>
        <v>0</v>
      </c>
      <c r="U83" s="119" t="n">
        <f aca="false">SUMIFS(tabela_registros[VALOR],tabela_registros[MÊS],$AE$1,tabela_registros[DIA],receitasfixasconsolidadojul[[#Headers],[17]],tabela_registros[REGISTRO],DADOS!$N$3,tabela_registros[TIPO],DADOS!$V$3,tabela_registros[CATEGORIA],receitasfixasconsolidadojul[[#This Row],[ATUAL]])</f>
        <v>0</v>
      </c>
      <c r="V83" s="119" t="n">
        <f aca="false">SUMIFS(tabela_registros[VALOR],tabela_registros[MÊS],$AE$1,tabela_registros[DIA],receitasfixasconsolidadojul[[#Headers],[18]],tabela_registros[REGISTRO],DADOS!$N$3,tabela_registros[TIPO],DADOS!$V$3,tabela_registros[CATEGORIA],receitasfixasconsolidadojul[[#This Row],[ATUAL]])</f>
        <v>0</v>
      </c>
      <c r="W83" s="119" t="n">
        <f aca="false">SUMIFS(tabela_registros[VALOR],tabela_registros[MÊS],$AE$1,tabela_registros[DIA],receitasfixasconsolidadojul[[#Headers],[19]],tabela_registros[REGISTRO],DADOS!$N$3,tabela_registros[TIPO],DADOS!$V$3,tabela_registros[CATEGORIA],receitasfixasconsolidadojul[[#This Row],[ATUAL]])</f>
        <v>0</v>
      </c>
      <c r="X83" s="119" t="n">
        <f aca="false">SUMIFS(tabela_registros[VALOR],tabela_registros[MÊS],$AE$1,tabela_registros[DIA],receitasfixasconsolidadojul[[#Headers],[20]],tabela_registros[REGISTRO],DADOS!$N$3,tabela_registros[TIPO],DADOS!$V$3,tabela_registros[CATEGORIA],receitasfixasconsolidadojul[[#This Row],[ATUAL]])</f>
        <v>0</v>
      </c>
      <c r="Y83" s="119" t="n">
        <f aca="false">SUMIFS(tabela_registros[VALOR],tabela_registros[MÊS],$AE$1,tabela_registros[DIA],receitasfixasconsolidadojul[[#Headers],[21]],tabela_registros[REGISTRO],DADOS!$N$3,tabela_registros[TIPO],DADOS!$V$3,tabela_registros[CATEGORIA],receitasfixasconsolidadojul[[#This Row],[ATUAL]])</f>
        <v>0</v>
      </c>
      <c r="Z83" s="119" t="n">
        <f aca="false">SUMIFS(tabela_registros[VALOR],tabela_registros[MÊS],$AE$1,tabela_registros[DIA],receitasfixasconsolidadojul[[#Headers],[22]],tabela_registros[REGISTRO],DADOS!$N$3,tabela_registros[TIPO],DADOS!$V$3,tabela_registros[CATEGORIA],receitasfixasconsolidadojul[[#This Row],[ATUAL]])</f>
        <v>0</v>
      </c>
      <c r="AA83" s="119" t="n">
        <f aca="false">SUMIFS(tabela_registros[VALOR],tabela_registros[MÊS],$AE$1,tabela_registros[DIA],receitasfixasconsolidadojul[[#Headers],[23]],tabela_registros[REGISTRO],DADOS!$N$3,tabela_registros[TIPO],DADOS!$V$3,tabela_registros[CATEGORIA],receitasfixasconsolidadojul[[#This Row],[ATUAL]])</f>
        <v>0</v>
      </c>
      <c r="AB83" s="119" t="n">
        <f aca="false">SUMIFS(tabela_registros[VALOR],tabela_registros[MÊS],$AE$1,tabela_registros[DIA],receitasfixasconsolidadojul[[#Headers],[24]],tabela_registros[REGISTRO],DADOS!$N$3,tabela_registros[TIPO],DADOS!$V$3,tabela_registros[CATEGORIA],receitasfixasconsolidadojul[[#This Row],[ATUAL]])</f>
        <v>0</v>
      </c>
      <c r="AC83" s="119" t="n">
        <f aca="false">SUMIFS(tabela_registros[VALOR],tabela_registros[MÊS],$AE$1,tabela_registros[DIA],receitasfixasconsolidadojul[[#Headers],[25]],tabela_registros[REGISTRO],DADOS!$N$3,tabela_registros[TIPO],DADOS!$V$3,tabela_registros[CATEGORIA],receitasfixasconsolidadojul[[#This Row],[ATUAL]])</f>
        <v>0</v>
      </c>
      <c r="AD83" s="119" t="n">
        <f aca="false">SUMIFS(tabela_registros[VALOR],tabela_registros[MÊS],$AE$1,tabela_registros[DIA],receitasfixasconsolidadojul[[#Headers],[26]],tabela_registros[REGISTRO],DADOS!$N$3,tabela_registros[TIPO],DADOS!$V$3,tabela_registros[CATEGORIA],receitasfixasconsolidadojul[[#This Row],[ATUAL]])</f>
        <v>0</v>
      </c>
      <c r="AE83" s="119" t="n">
        <f aca="false">SUMIFS(tabela_registros[VALOR],tabela_registros[MÊS],$AE$1,tabela_registros[DIA],receitasfixasconsolidadojul[[#Headers],[27]],tabela_registros[REGISTRO],DADOS!$N$3,tabela_registros[TIPO],DADOS!$V$3,tabela_registros[CATEGORIA],receitasfixasconsolidadojul[[#This Row],[ATUAL]])</f>
        <v>0</v>
      </c>
      <c r="AF83" s="119" t="n">
        <f aca="false">SUMIFS(tabela_registros[VALOR],tabela_registros[MÊS],$AE$1,tabela_registros[DIA],receitasfixasconsolidadojul[[#Headers],[28]],tabela_registros[REGISTRO],DADOS!$N$3,tabela_registros[TIPO],DADOS!$V$3,tabela_registros[CATEGORIA],receitasfixasconsolidadojul[[#This Row],[ATUAL]])</f>
        <v>0</v>
      </c>
      <c r="AG83" s="119" t="n">
        <f aca="false">SUMIFS(tabela_registros[VALOR],tabela_registros[MÊS],$AE$1,tabela_registros[DIA],receitasfixasconsolidadojul[[#Headers],[29]],tabela_registros[REGISTRO],DADOS!$N$3,tabela_registros[TIPO],DADOS!$V$3,tabela_registros[CATEGORIA],receitasfixasconsolidadojul[[#This Row],[ATUAL]])</f>
        <v>0</v>
      </c>
      <c r="AH83" s="119" t="n">
        <f aca="false">SUMIFS(tabela_registros[VALOR],tabela_registros[MÊS],$AE$1,tabela_registros[DIA],receitasfixasconsolidadojul[[#Headers],[30]],tabela_registros[REGISTRO],DADOS!$N$3,tabela_registros[TIPO],DADOS!$V$3,tabela_registros[CATEGORIA],receitasfixasconsolidadojul[[#This Row],[ATUAL]])</f>
        <v>0</v>
      </c>
      <c r="AI83" s="217" t="n">
        <f aca="false">SUMIFS(tabela_registros[VALOR],tabela_registros[MÊS],$AE$1,tabela_registros[DIA],receitasfixasconsolidadojul[[#Headers],[31]],tabela_registros[REGISTRO],DADOS!$N$3,tabela_registros[TIPO],DADOS!$V$3,tabela_registros[CATEGORIA],receitasfixasconsolidadojul[[#This Row],[ATUAL]])</f>
        <v>0</v>
      </c>
      <c r="AJ83" s="149" t="n">
        <f aca="false">SUM(receitasfixasconsolidadojul[[#This Row],[1]:[31]])</f>
        <v>0</v>
      </c>
      <c r="AK83" s="165"/>
    </row>
    <row r="84" customFormat="false" ht="19.5" hidden="false" customHeight="true" outlineLevel="0" collapsed="false">
      <c r="B84" s="143"/>
      <c r="C84" s="144" t="str">
        <f aca="false">DADOS!$X$5</f>
        <v>🎀 MESADA</v>
      </c>
      <c r="D84" s="145" t="str">
        <f aca="false">IF(receitasfixasconsolidadojul[[#This Row],[TOTAL (R$)]]=0,"",IF(OR(receitasfixasconsolidadojul[[#This Row],[TOTAL (R$)]]=LARGE($AJ$82:$AJ$86,1),receitasfixasconsolidadojul[[#This Row],[TOTAL (R$)]]=LARGE($AJ$82:$AJ$86,2)),DADOS!$I$9,""))</f>
        <v/>
      </c>
      <c r="E84" s="148" t="n">
        <f aca="false">SUMIFS(tabela_registros[VALOR],tabela_registros[MÊS],$AE$1,tabela_registros[DIA],receitasfixasconsolidadojul[[#Headers],[1]],tabela_registros[REGISTRO],DADOS!$N$3,tabela_registros[TIPO],DADOS!$V$3,tabela_registros[CATEGORIA],receitasfixasconsolidadojul[[#This Row],[ATUAL]])</f>
        <v>0</v>
      </c>
      <c r="F84" s="119" t="n">
        <f aca="false">SUMIFS(tabela_registros[VALOR],tabela_registros[MÊS],$AE$1,tabela_registros[DIA],receitasfixasconsolidadojul[[#Headers],[2]],tabela_registros[REGISTRO],DADOS!$N$3,tabela_registros[TIPO],DADOS!$V$3,tabela_registros[CATEGORIA],receitasfixasconsolidadojul[[#This Row],[ATUAL]])</f>
        <v>0</v>
      </c>
      <c r="G84" s="119" t="n">
        <f aca="false">SUMIFS(tabela_registros[VALOR],tabela_registros[MÊS],$AE$1,tabela_registros[DIA],receitasfixasconsolidadojul[[#Headers],[3]],tabela_registros[REGISTRO],DADOS!$N$3,tabela_registros[TIPO],DADOS!$V$3,tabela_registros[CATEGORIA],receitasfixasconsolidadojul[[#This Row],[ATUAL]])</f>
        <v>0</v>
      </c>
      <c r="H84" s="119" t="n">
        <f aca="false">SUMIFS(tabela_registros[VALOR],tabela_registros[MÊS],$AE$1,tabela_registros[DIA],receitasfixasconsolidadojul[[#Headers],[4]],tabela_registros[REGISTRO],DADOS!$N$3,tabela_registros[TIPO],DADOS!$V$3,tabela_registros[CATEGORIA],receitasfixasconsolidadojul[[#This Row],[ATUAL]])</f>
        <v>0</v>
      </c>
      <c r="I84" s="119" t="n">
        <f aca="false">SUMIFS(tabela_registros[VALOR],tabela_registros[MÊS],$AE$1,tabela_registros[DIA],receitasfixasconsolidadojul[[#Headers],[5]],tabela_registros[REGISTRO],DADOS!$N$3,tabela_registros[TIPO],DADOS!$V$3,tabela_registros[CATEGORIA],receitasfixasconsolidadojul[[#This Row],[ATUAL]])</f>
        <v>0</v>
      </c>
      <c r="J84" s="119" t="n">
        <f aca="false">SUMIFS(tabela_registros[VALOR],tabela_registros[MÊS],$AE$1,tabela_registros[DIA],receitasfixasconsolidadojul[[#Headers],[6]],tabela_registros[REGISTRO],DADOS!$N$3,tabela_registros[TIPO],DADOS!$V$3,tabela_registros[CATEGORIA],receitasfixasconsolidadojul[[#This Row],[ATUAL]])</f>
        <v>0</v>
      </c>
      <c r="K84" s="119" t="n">
        <f aca="false">SUMIFS(tabela_registros[VALOR],tabela_registros[MÊS],$AE$1,tabela_registros[DIA],receitasfixasconsolidadojul[[#Headers],[7]],tabela_registros[REGISTRO],DADOS!$N$3,tabela_registros[TIPO],DADOS!$V$3,tabela_registros[CATEGORIA],receitasfixasconsolidadojul[[#This Row],[ATUAL]])</f>
        <v>0</v>
      </c>
      <c r="L84" s="119" t="n">
        <f aca="false">SUMIFS(tabela_registros[VALOR],tabela_registros[MÊS],$AE$1,tabela_registros[DIA],receitasfixasconsolidadojul[[#Headers],[8]],tabela_registros[REGISTRO],DADOS!$N$3,tabela_registros[TIPO],DADOS!$V$3,tabela_registros[CATEGORIA],receitasfixasconsolidadojul[[#This Row],[ATUAL]])</f>
        <v>0</v>
      </c>
      <c r="M84" s="119" t="n">
        <f aca="false">SUMIFS(tabela_registros[VALOR],tabela_registros[MÊS],$AE$1,tabela_registros[DIA],receitasfixasconsolidadojul[[#Headers],[9]],tabela_registros[REGISTRO],DADOS!$N$3,tabela_registros[TIPO],DADOS!$V$3,tabela_registros[CATEGORIA],receitasfixasconsolidadojul[[#This Row],[ATUAL]])</f>
        <v>0</v>
      </c>
      <c r="N84" s="119" t="n">
        <f aca="false">SUMIFS(tabela_registros[VALOR],tabela_registros[MÊS],$AE$1,tabela_registros[DIA],receitasfixasconsolidadojul[[#Headers],[10]],tabela_registros[REGISTRO],DADOS!$N$3,tabela_registros[TIPO],DADOS!$V$3,tabela_registros[CATEGORIA],receitasfixasconsolidadojul[[#This Row],[ATUAL]])</f>
        <v>0</v>
      </c>
      <c r="O84" s="119" t="n">
        <f aca="false">SUMIFS(tabela_registros[VALOR],tabela_registros[MÊS],$AE$1,tabela_registros[DIA],receitasfixasconsolidadojul[[#Headers],[11]],tabela_registros[REGISTRO],DADOS!$N$3,tabela_registros[TIPO],DADOS!$V$3,tabela_registros[CATEGORIA],receitasfixasconsolidadojul[[#This Row],[ATUAL]])</f>
        <v>0</v>
      </c>
      <c r="P84" s="119" t="n">
        <f aca="false">SUMIFS(tabela_registros[VALOR],tabela_registros[MÊS],$AE$1,tabela_registros[DIA],receitasfixasconsolidadojul[[#Headers],[12]],tabela_registros[REGISTRO],DADOS!$N$3,tabela_registros[TIPO],DADOS!$V$3,tabela_registros[CATEGORIA],receitasfixasconsolidadojul[[#This Row],[ATUAL]])</f>
        <v>0</v>
      </c>
      <c r="Q84" s="119" t="n">
        <f aca="false">SUMIFS(tabela_registros[VALOR],tabela_registros[MÊS],$AE$1,tabela_registros[DIA],receitasfixasconsolidadojul[[#Headers],[13]],tabela_registros[REGISTRO],DADOS!$N$3,tabela_registros[TIPO],DADOS!$V$3,tabela_registros[CATEGORIA],receitasfixasconsolidadojul[[#This Row],[ATUAL]])</f>
        <v>0</v>
      </c>
      <c r="R84" s="119" t="n">
        <f aca="false">SUMIFS(tabela_registros[VALOR],tabela_registros[MÊS],$AE$1,tabela_registros[DIA],receitasfixasconsolidadojul[[#Headers],[14]],tabela_registros[REGISTRO],DADOS!$N$3,tabela_registros[TIPO],DADOS!$V$3,tabela_registros[CATEGORIA],receitasfixasconsolidadojul[[#This Row],[ATUAL]])</f>
        <v>0</v>
      </c>
      <c r="S84" s="119" t="n">
        <f aca="false">SUMIFS(tabela_registros[VALOR],tabela_registros[MÊS],$AE$1,tabela_registros[DIA],receitasfixasconsolidadojul[[#Headers],[15]],tabela_registros[REGISTRO],DADOS!$N$3,tabela_registros[TIPO],DADOS!$V$3,tabela_registros[CATEGORIA],receitasfixasconsolidadojul[[#This Row],[ATUAL]])</f>
        <v>0</v>
      </c>
      <c r="T84" s="119" t="n">
        <f aca="false">SUMIFS(tabela_registros[VALOR],tabela_registros[MÊS],$AE$1,tabela_registros[DIA],receitasfixasconsolidadojul[[#Headers],[16]],tabela_registros[REGISTRO],DADOS!$N$3,tabela_registros[TIPO],DADOS!$V$3,tabela_registros[CATEGORIA],receitasfixasconsolidadojul[[#This Row],[ATUAL]])</f>
        <v>0</v>
      </c>
      <c r="U84" s="119" t="n">
        <f aca="false">SUMIFS(tabela_registros[VALOR],tabela_registros[MÊS],$AE$1,tabela_registros[DIA],receitasfixasconsolidadojul[[#Headers],[17]],tabela_registros[REGISTRO],DADOS!$N$3,tabela_registros[TIPO],DADOS!$V$3,tabela_registros[CATEGORIA],receitasfixasconsolidadojul[[#This Row],[ATUAL]])</f>
        <v>0</v>
      </c>
      <c r="V84" s="119" t="n">
        <f aca="false">SUMIFS(tabela_registros[VALOR],tabela_registros[MÊS],$AE$1,tabela_registros[DIA],receitasfixasconsolidadojul[[#Headers],[18]],tabela_registros[REGISTRO],DADOS!$N$3,tabela_registros[TIPO],DADOS!$V$3,tabela_registros[CATEGORIA],receitasfixasconsolidadojul[[#This Row],[ATUAL]])</f>
        <v>0</v>
      </c>
      <c r="W84" s="119" t="n">
        <f aca="false">SUMIFS(tabela_registros[VALOR],tabela_registros[MÊS],$AE$1,tabela_registros[DIA],receitasfixasconsolidadojul[[#Headers],[19]],tabela_registros[REGISTRO],DADOS!$N$3,tabela_registros[TIPO],DADOS!$V$3,tabela_registros[CATEGORIA],receitasfixasconsolidadojul[[#This Row],[ATUAL]])</f>
        <v>0</v>
      </c>
      <c r="X84" s="119" t="n">
        <f aca="false">SUMIFS(tabela_registros[VALOR],tabela_registros[MÊS],$AE$1,tabela_registros[DIA],receitasfixasconsolidadojul[[#Headers],[20]],tabela_registros[REGISTRO],DADOS!$N$3,tabela_registros[TIPO],DADOS!$V$3,tabela_registros[CATEGORIA],receitasfixasconsolidadojul[[#This Row],[ATUAL]])</f>
        <v>0</v>
      </c>
      <c r="Y84" s="119" t="n">
        <f aca="false">SUMIFS(tabela_registros[VALOR],tabela_registros[MÊS],$AE$1,tabela_registros[DIA],receitasfixasconsolidadojul[[#Headers],[21]],tabela_registros[REGISTRO],DADOS!$N$3,tabela_registros[TIPO],DADOS!$V$3,tabela_registros[CATEGORIA],receitasfixasconsolidadojul[[#This Row],[ATUAL]])</f>
        <v>0</v>
      </c>
      <c r="Z84" s="119" t="n">
        <f aca="false">SUMIFS(tabela_registros[VALOR],tabela_registros[MÊS],$AE$1,tabela_registros[DIA],receitasfixasconsolidadojul[[#Headers],[22]],tabela_registros[REGISTRO],DADOS!$N$3,tabela_registros[TIPO],DADOS!$V$3,tabela_registros[CATEGORIA],receitasfixasconsolidadojul[[#This Row],[ATUAL]])</f>
        <v>0</v>
      </c>
      <c r="AA84" s="119" t="n">
        <f aca="false">SUMIFS(tabela_registros[VALOR],tabela_registros[MÊS],$AE$1,tabela_registros[DIA],receitasfixasconsolidadojul[[#Headers],[23]],tabela_registros[REGISTRO],DADOS!$N$3,tabela_registros[TIPO],DADOS!$V$3,tabela_registros[CATEGORIA],receitasfixasconsolidadojul[[#This Row],[ATUAL]])</f>
        <v>0</v>
      </c>
      <c r="AB84" s="119" t="n">
        <f aca="false">SUMIFS(tabela_registros[VALOR],tabela_registros[MÊS],$AE$1,tabela_registros[DIA],receitasfixasconsolidadojul[[#Headers],[24]],tabela_registros[REGISTRO],DADOS!$N$3,tabela_registros[TIPO],DADOS!$V$3,tabela_registros[CATEGORIA],receitasfixasconsolidadojul[[#This Row],[ATUAL]])</f>
        <v>0</v>
      </c>
      <c r="AC84" s="119" t="n">
        <f aca="false">SUMIFS(tabela_registros[VALOR],tabela_registros[MÊS],$AE$1,tabela_registros[DIA],receitasfixasconsolidadojul[[#Headers],[25]],tabela_registros[REGISTRO],DADOS!$N$3,tabela_registros[TIPO],DADOS!$V$3,tabela_registros[CATEGORIA],receitasfixasconsolidadojul[[#This Row],[ATUAL]])</f>
        <v>0</v>
      </c>
      <c r="AD84" s="119" t="n">
        <f aca="false">SUMIFS(tabela_registros[VALOR],tabela_registros[MÊS],$AE$1,tabela_registros[DIA],receitasfixasconsolidadojul[[#Headers],[26]],tabela_registros[REGISTRO],DADOS!$N$3,tabela_registros[TIPO],DADOS!$V$3,tabela_registros[CATEGORIA],receitasfixasconsolidadojul[[#This Row],[ATUAL]])</f>
        <v>0</v>
      </c>
      <c r="AE84" s="119" t="n">
        <f aca="false">SUMIFS(tabela_registros[VALOR],tabela_registros[MÊS],$AE$1,tabela_registros[DIA],receitasfixasconsolidadojul[[#Headers],[27]],tabela_registros[REGISTRO],DADOS!$N$3,tabela_registros[TIPO],DADOS!$V$3,tabela_registros[CATEGORIA],receitasfixasconsolidadojul[[#This Row],[ATUAL]])</f>
        <v>0</v>
      </c>
      <c r="AF84" s="119" t="n">
        <f aca="false">SUMIFS(tabela_registros[VALOR],tabela_registros[MÊS],$AE$1,tabela_registros[DIA],receitasfixasconsolidadojul[[#Headers],[28]],tabela_registros[REGISTRO],DADOS!$N$3,tabela_registros[TIPO],DADOS!$V$3,tabela_registros[CATEGORIA],receitasfixasconsolidadojul[[#This Row],[ATUAL]])</f>
        <v>0</v>
      </c>
      <c r="AG84" s="119" t="n">
        <f aca="false">SUMIFS(tabela_registros[VALOR],tabela_registros[MÊS],$AE$1,tabela_registros[DIA],receitasfixasconsolidadojul[[#Headers],[29]],tabela_registros[REGISTRO],DADOS!$N$3,tabela_registros[TIPO],DADOS!$V$3,tabela_registros[CATEGORIA],receitasfixasconsolidadojul[[#This Row],[ATUAL]])</f>
        <v>0</v>
      </c>
      <c r="AH84" s="119" t="n">
        <f aca="false">SUMIFS(tabela_registros[VALOR],tabela_registros[MÊS],$AE$1,tabela_registros[DIA],receitasfixasconsolidadojul[[#Headers],[30]],tabela_registros[REGISTRO],DADOS!$N$3,tabela_registros[TIPO],DADOS!$V$3,tabela_registros[CATEGORIA],receitasfixasconsolidadojul[[#This Row],[ATUAL]])</f>
        <v>0</v>
      </c>
      <c r="AI84" s="217" t="n">
        <f aca="false">SUMIFS(tabela_registros[VALOR],tabela_registros[MÊS],$AE$1,tabela_registros[DIA],receitasfixasconsolidadojul[[#Headers],[31]],tabela_registros[REGISTRO],DADOS!$N$3,tabela_registros[TIPO],DADOS!$V$3,tabela_registros[CATEGORIA],receitasfixasconsolidadojul[[#This Row],[ATUAL]])</f>
        <v>0</v>
      </c>
      <c r="AJ84" s="149" t="n">
        <f aca="false">SUM(receitasfixasconsolidadojul[[#This Row],[1]:[31]])</f>
        <v>0</v>
      </c>
      <c r="AK84" s="165"/>
    </row>
    <row r="85" customFormat="false" ht="19.5" hidden="false" customHeight="true" outlineLevel="0" collapsed="false">
      <c r="B85" s="143"/>
      <c r="C85" s="144" t="str">
        <f aca="false">DADOS!$X$6</f>
        <v>💰 SALÁRIO</v>
      </c>
      <c r="D85" s="145" t="str">
        <f aca="false">IF(receitasfixasconsolidadojul[[#This Row],[TOTAL (R$)]]=0,"",IF(OR(receitasfixasconsolidadojul[[#This Row],[TOTAL (R$)]]=LARGE($AJ$82:$AJ$86,1),receitasfixasconsolidadojul[[#This Row],[TOTAL (R$)]]=LARGE($AJ$82:$AJ$86,2)),DADOS!$I$9,""))</f>
        <v/>
      </c>
      <c r="E85" s="148" t="n">
        <f aca="false">SUMIFS(tabela_registros[VALOR],tabela_registros[MÊS],$AE$1,tabela_registros[DIA],receitasfixasconsolidadojul[[#Headers],[1]],tabela_registros[REGISTRO],DADOS!$N$3,tabela_registros[TIPO],DADOS!$V$3,tabela_registros[CATEGORIA],receitasfixasconsolidadojul[[#This Row],[ATUAL]])</f>
        <v>0</v>
      </c>
      <c r="F85" s="119" t="n">
        <f aca="false">SUMIFS(tabela_registros[VALOR],tabela_registros[MÊS],$AE$1,tabela_registros[DIA],receitasfixasconsolidadojul[[#Headers],[2]],tabela_registros[REGISTRO],DADOS!$N$3,tabela_registros[TIPO],DADOS!$V$3,tabela_registros[CATEGORIA],receitasfixasconsolidadojul[[#This Row],[ATUAL]])</f>
        <v>0</v>
      </c>
      <c r="G85" s="119" t="n">
        <f aca="false">SUMIFS(tabela_registros[VALOR],tabela_registros[MÊS],$AE$1,tabela_registros[DIA],receitasfixasconsolidadojul[[#Headers],[3]],tabela_registros[REGISTRO],DADOS!$N$3,tabela_registros[TIPO],DADOS!$V$3,tabela_registros[CATEGORIA],receitasfixasconsolidadojul[[#This Row],[ATUAL]])</f>
        <v>0</v>
      </c>
      <c r="H85" s="119" t="n">
        <f aca="false">SUMIFS(tabela_registros[VALOR],tabela_registros[MÊS],$AE$1,tabela_registros[DIA],receitasfixasconsolidadojul[[#Headers],[4]],tabela_registros[REGISTRO],DADOS!$N$3,tabela_registros[TIPO],DADOS!$V$3,tabela_registros[CATEGORIA],receitasfixasconsolidadojul[[#This Row],[ATUAL]])</f>
        <v>0</v>
      </c>
      <c r="I85" s="119" t="n">
        <f aca="false">SUMIFS(tabela_registros[VALOR],tabela_registros[MÊS],$AE$1,tabela_registros[DIA],receitasfixasconsolidadojul[[#Headers],[5]],tabela_registros[REGISTRO],DADOS!$N$3,tabela_registros[TIPO],DADOS!$V$3,tabela_registros[CATEGORIA],receitasfixasconsolidadojul[[#This Row],[ATUAL]])</f>
        <v>0</v>
      </c>
      <c r="J85" s="119" t="n">
        <f aca="false">SUMIFS(tabela_registros[VALOR],tabela_registros[MÊS],$AE$1,tabela_registros[DIA],receitasfixasconsolidadojul[[#Headers],[6]],tabela_registros[REGISTRO],DADOS!$N$3,tabela_registros[TIPO],DADOS!$V$3,tabela_registros[CATEGORIA],receitasfixasconsolidadojul[[#This Row],[ATUAL]])</f>
        <v>0</v>
      </c>
      <c r="K85" s="119" t="n">
        <f aca="false">SUMIFS(tabela_registros[VALOR],tabela_registros[MÊS],$AE$1,tabela_registros[DIA],receitasfixasconsolidadojul[[#Headers],[7]],tabela_registros[REGISTRO],DADOS!$N$3,tabela_registros[TIPO],DADOS!$V$3,tabela_registros[CATEGORIA],receitasfixasconsolidadojul[[#This Row],[ATUAL]])</f>
        <v>0</v>
      </c>
      <c r="L85" s="119" t="n">
        <f aca="false">SUMIFS(tabela_registros[VALOR],tabela_registros[MÊS],$AE$1,tabela_registros[DIA],receitasfixasconsolidadojul[[#Headers],[8]],tabela_registros[REGISTRO],DADOS!$N$3,tabela_registros[TIPO],DADOS!$V$3,tabela_registros[CATEGORIA],receitasfixasconsolidadojul[[#This Row],[ATUAL]])</f>
        <v>0</v>
      </c>
      <c r="M85" s="119" t="n">
        <f aca="false">SUMIFS(tabela_registros[VALOR],tabela_registros[MÊS],$AE$1,tabela_registros[DIA],receitasfixasconsolidadojul[[#Headers],[9]],tabela_registros[REGISTRO],DADOS!$N$3,tabela_registros[TIPO],DADOS!$V$3,tabela_registros[CATEGORIA],receitasfixasconsolidadojul[[#This Row],[ATUAL]])</f>
        <v>0</v>
      </c>
      <c r="N85" s="119" t="n">
        <f aca="false">SUMIFS(tabela_registros[VALOR],tabela_registros[MÊS],$AE$1,tabela_registros[DIA],receitasfixasconsolidadojul[[#Headers],[10]],tabela_registros[REGISTRO],DADOS!$N$3,tabela_registros[TIPO],DADOS!$V$3,tabela_registros[CATEGORIA],receitasfixasconsolidadojul[[#This Row],[ATUAL]])</f>
        <v>0</v>
      </c>
      <c r="O85" s="119" t="n">
        <f aca="false">SUMIFS(tabela_registros[VALOR],tabela_registros[MÊS],$AE$1,tabela_registros[DIA],receitasfixasconsolidadojul[[#Headers],[11]],tabela_registros[REGISTRO],DADOS!$N$3,tabela_registros[TIPO],DADOS!$V$3,tabela_registros[CATEGORIA],receitasfixasconsolidadojul[[#This Row],[ATUAL]])</f>
        <v>0</v>
      </c>
      <c r="P85" s="119" t="n">
        <f aca="false">SUMIFS(tabela_registros[VALOR],tabela_registros[MÊS],$AE$1,tabela_registros[DIA],receitasfixasconsolidadojul[[#Headers],[12]],tabela_registros[REGISTRO],DADOS!$N$3,tabela_registros[TIPO],DADOS!$V$3,tabela_registros[CATEGORIA],receitasfixasconsolidadojul[[#This Row],[ATUAL]])</f>
        <v>0</v>
      </c>
      <c r="Q85" s="119" t="n">
        <f aca="false">SUMIFS(tabela_registros[VALOR],tabela_registros[MÊS],$AE$1,tabela_registros[DIA],receitasfixasconsolidadojul[[#Headers],[13]],tabela_registros[REGISTRO],DADOS!$N$3,tabela_registros[TIPO],DADOS!$V$3,tabela_registros[CATEGORIA],receitasfixasconsolidadojul[[#This Row],[ATUAL]])</f>
        <v>0</v>
      </c>
      <c r="R85" s="119" t="n">
        <f aca="false">SUMIFS(tabela_registros[VALOR],tabela_registros[MÊS],$AE$1,tabela_registros[DIA],receitasfixasconsolidadojul[[#Headers],[14]],tabela_registros[REGISTRO],DADOS!$N$3,tabela_registros[TIPO],DADOS!$V$3,tabela_registros[CATEGORIA],receitasfixasconsolidadojul[[#This Row],[ATUAL]])</f>
        <v>0</v>
      </c>
      <c r="S85" s="119" t="n">
        <f aca="false">SUMIFS(tabela_registros[VALOR],tabela_registros[MÊS],$AE$1,tabela_registros[DIA],receitasfixasconsolidadojul[[#Headers],[15]],tabela_registros[REGISTRO],DADOS!$N$3,tabela_registros[TIPO],DADOS!$V$3,tabela_registros[CATEGORIA],receitasfixasconsolidadojul[[#This Row],[ATUAL]])</f>
        <v>0</v>
      </c>
      <c r="T85" s="119" t="n">
        <f aca="false">SUMIFS(tabela_registros[VALOR],tabela_registros[MÊS],$AE$1,tabela_registros[DIA],receitasfixasconsolidadojul[[#Headers],[16]],tabela_registros[REGISTRO],DADOS!$N$3,tabela_registros[TIPO],DADOS!$V$3,tabela_registros[CATEGORIA],receitasfixasconsolidadojul[[#This Row],[ATUAL]])</f>
        <v>0</v>
      </c>
      <c r="U85" s="119" t="n">
        <f aca="false">SUMIFS(tabela_registros[VALOR],tabela_registros[MÊS],$AE$1,tabela_registros[DIA],receitasfixasconsolidadojul[[#Headers],[17]],tabela_registros[REGISTRO],DADOS!$N$3,tabela_registros[TIPO],DADOS!$V$3,tabela_registros[CATEGORIA],receitasfixasconsolidadojul[[#This Row],[ATUAL]])</f>
        <v>0</v>
      </c>
      <c r="V85" s="119" t="n">
        <f aca="false">SUMIFS(tabela_registros[VALOR],tabela_registros[MÊS],$AE$1,tabela_registros[DIA],receitasfixasconsolidadojul[[#Headers],[18]],tabela_registros[REGISTRO],DADOS!$N$3,tabela_registros[TIPO],DADOS!$V$3,tabela_registros[CATEGORIA],receitasfixasconsolidadojul[[#This Row],[ATUAL]])</f>
        <v>0</v>
      </c>
      <c r="W85" s="119" t="n">
        <f aca="false">SUMIFS(tabela_registros[VALOR],tabela_registros[MÊS],$AE$1,tabela_registros[DIA],receitasfixasconsolidadojul[[#Headers],[19]],tabela_registros[REGISTRO],DADOS!$N$3,tabela_registros[TIPO],DADOS!$V$3,tabela_registros[CATEGORIA],receitasfixasconsolidadojul[[#This Row],[ATUAL]])</f>
        <v>0</v>
      </c>
      <c r="X85" s="119" t="n">
        <f aca="false">SUMIFS(tabela_registros[VALOR],tabela_registros[MÊS],$AE$1,tabela_registros[DIA],receitasfixasconsolidadojul[[#Headers],[20]],tabela_registros[REGISTRO],DADOS!$N$3,tabela_registros[TIPO],DADOS!$V$3,tabela_registros[CATEGORIA],receitasfixasconsolidadojul[[#This Row],[ATUAL]])</f>
        <v>0</v>
      </c>
      <c r="Y85" s="119" t="n">
        <f aca="false">SUMIFS(tabela_registros[VALOR],tabela_registros[MÊS],$AE$1,tabela_registros[DIA],receitasfixasconsolidadojul[[#Headers],[21]],tabela_registros[REGISTRO],DADOS!$N$3,tabela_registros[TIPO],DADOS!$V$3,tabela_registros[CATEGORIA],receitasfixasconsolidadojul[[#This Row],[ATUAL]])</f>
        <v>0</v>
      </c>
      <c r="Z85" s="119" t="n">
        <f aca="false">SUMIFS(tabela_registros[VALOR],tabela_registros[MÊS],$AE$1,tabela_registros[DIA],receitasfixasconsolidadojul[[#Headers],[22]],tabela_registros[REGISTRO],DADOS!$N$3,tabela_registros[TIPO],DADOS!$V$3,tabela_registros[CATEGORIA],receitasfixasconsolidadojul[[#This Row],[ATUAL]])</f>
        <v>0</v>
      </c>
      <c r="AA85" s="119" t="n">
        <f aca="false">SUMIFS(tabela_registros[VALOR],tabela_registros[MÊS],$AE$1,tabela_registros[DIA],receitasfixasconsolidadojul[[#Headers],[23]],tabela_registros[REGISTRO],DADOS!$N$3,tabela_registros[TIPO],DADOS!$V$3,tabela_registros[CATEGORIA],receitasfixasconsolidadojul[[#This Row],[ATUAL]])</f>
        <v>0</v>
      </c>
      <c r="AB85" s="119" t="n">
        <f aca="false">SUMIFS(tabela_registros[VALOR],tabela_registros[MÊS],$AE$1,tabela_registros[DIA],receitasfixasconsolidadojul[[#Headers],[24]],tabela_registros[REGISTRO],DADOS!$N$3,tabela_registros[TIPO],DADOS!$V$3,tabela_registros[CATEGORIA],receitasfixasconsolidadojul[[#This Row],[ATUAL]])</f>
        <v>0</v>
      </c>
      <c r="AC85" s="119" t="n">
        <f aca="false">SUMIFS(tabela_registros[VALOR],tabela_registros[MÊS],$AE$1,tabela_registros[DIA],receitasfixasconsolidadojul[[#Headers],[25]],tabela_registros[REGISTRO],DADOS!$N$3,tabela_registros[TIPO],DADOS!$V$3,tabela_registros[CATEGORIA],receitasfixasconsolidadojul[[#This Row],[ATUAL]])</f>
        <v>0</v>
      </c>
      <c r="AD85" s="119" t="n">
        <f aca="false">SUMIFS(tabela_registros[VALOR],tabela_registros[MÊS],$AE$1,tabela_registros[DIA],receitasfixasconsolidadojul[[#Headers],[26]],tabela_registros[REGISTRO],DADOS!$N$3,tabela_registros[TIPO],DADOS!$V$3,tabela_registros[CATEGORIA],receitasfixasconsolidadojul[[#This Row],[ATUAL]])</f>
        <v>0</v>
      </c>
      <c r="AE85" s="119" t="n">
        <f aca="false">SUMIFS(tabela_registros[VALOR],tabela_registros[MÊS],$AE$1,tabela_registros[DIA],receitasfixasconsolidadojul[[#Headers],[27]],tabela_registros[REGISTRO],DADOS!$N$3,tabela_registros[TIPO],DADOS!$V$3,tabela_registros[CATEGORIA],receitasfixasconsolidadojul[[#This Row],[ATUAL]])</f>
        <v>0</v>
      </c>
      <c r="AF85" s="119" t="n">
        <f aca="false">SUMIFS(tabela_registros[VALOR],tabela_registros[MÊS],$AE$1,tabela_registros[DIA],receitasfixasconsolidadojul[[#Headers],[28]],tabela_registros[REGISTRO],DADOS!$N$3,tabela_registros[TIPO],DADOS!$V$3,tabela_registros[CATEGORIA],receitasfixasconsolidadojul[[#This Row],[ATUAL]])</f>
        <v>0</v>
      </c>
      <c r="AG85" s="119" t="n">
        <f aca="false">SUMIFS(tabela_registros[VALOR],tabela_registros[MÊS],$AE$1,tabela_registros[DIA],receitasfixasconsolidadojul[[#Headers],[29]],tabela_registros[REGISTRO],DADOS!$N$3,tabela_registros[TIPO],DADOS!$V$3,tabela_registros[CATEGORIA],receitasfixasconsolidadojul[[#This Row],[ATUAL]])</f>
        <v>0</v>
      </c>
      <c r="AH85" s="119" t="n">
        <f aca="false">SUMIFS(tabela_registros[VALOR],tabela_registros[MÊS],$AE$1,tabela_registros[DIA],receitasfixasconsolidadojul[[#Headers],[30]],tabela_registros[REGISTRO],DADOS!$N$3,tabela_registros[TIPO],DADOS!$V$3,tabela_registros[CATEGORIA],receitasfixasconsolidadojul[[#This Row],[ATUAL]])</f>
        <v>0</v>
      </c>
      <c r="AI85" s="217" t="n">
        <f aca="false">SUMIFS(tabela_registros[VALOR],tabela_registros[MÊS],$AE$1,tabela_registros[DIA],receitasfixasconsolidadojul[[#Headers],[31]],tabela_registros[REGISTRO],DADOS!$N$3,tabela_registros[TIPO],DADOS!$V$3,tabela_registros[CATEGORIA],receitasfixasconsolidadojul[[#This Row],[ATUAL]])</f>
        <v>0</v>
      </c>
      <c r="AJ85" s="149" t="n">
        <f aca="false">SUM(receitasfixasconsolidadojul[[#This Row],[1]:[31]])</f>
        <v>0</v>
      </c>
      <c r="AK85" s="165"/>
    </row>
    <row r="86" customFormat="false" ht="18" hidden="false" customHeight="true" outlineLevel="0" collapsed="false">
      <c r="B86" s="143"/>
      <c r="C86" s="144" t="str">
        <f aca="false">DADOS!$X$7</f>
        <v>📎 OUTROS</v>
      </c>
      <c r="D86" s="145" t="str">
        <f aca="false">IF(receitasfixasconsolidadojul[[#This Row],[TOTAL (R$)]]=0,"",IF(OR(receitasfixasconsolidadojul[[#This Row],[TOTAL (R$)]]=LARGE($AJ$82:$AJ$86,1),receitasfixasconsolidadojul[[#This Row],[TOTAL (R$)]]=LARGE($AJ$82:$AJ$86,2)),DADOS!$I$9,""))</f>
        <v/>
      </c>
      <c r="E86" s="148" t="n">
        <f aca="false">SUMIFS(tabela_registros[VALOR],tabela_registros[MÊS],$AE$1,tabela_registros[DIA],receitasfixasconsolidadojul[[#Headers],[1]],tabela_registros[REGISTRO],DADOS!$N$3,tabela_registros[TIPO],DADOS!$V$3,tabela_registros[CATEGORIA],receitasfixasconsolidadojul[[#This Row],[ATUAL]])</f>
        <v>0</v>
      </c>
      <c r="F86" s="119" t="n">
        <f aca="false">SUMIFS(tabela_registros[VALOR],tabela_registros[MÊS],$AE$1,tabela_registros[DIA],receitasfixasconsolidadojul[[#Headers],[2]],tabela_registros[REGISTRO],DADOS!$N$3,tabela_registros[TIPO],DADOS!$V$3,tabela_registros[CATEGORIA],receitasfixasconsolidadojul[[#This Row],[ATUAL]])</f>
        <v>0</v>
      </c>
      <c r="G86" s="119" t="n">
        <f aca="false">SUMIFS(tabela_registros[VALOR],tabela_registros[MÊS],$AE$1,tabela_registros[DIA],receitasfixasconsolidadojul[[#Headers],[3]],tabela_registros[REGISTRO],DADOS!$N$3,tabela_registros[TIPO],DADOS!$V$3,tabela_registros[CATEGORIA],receitasfixasconsolidadojul[[#This Row],[ATUAL]])</f>
        <v>0</v>
      </c>
      <c r="H86" s="119" t="n">
        <f aca="false">SUMIFS(tabela_registros[VALOR],tabela_registros[MÊS],$AE$1,tabela_registros[DIA],receitasfixasconsolidadojul[[#Headers],[4]],tabela_registros[REGISTRO],DADOS!$N$3,tabela_registros[TIPO],DADOS!$V$3,tabela_registros[CATEGORIA],receitasfixasconsolidadojul[[#This Row],[ATUAL]])</f>
        <v>0</v>
      </c>
      <c r="I86" s="119" t="n">
        <f aca="false">SUMIFS(tabela_registros[VALOR],tabela_registros[MÊS],$AE$1,tabela_registros[DIA],receitasfixasconsolidadojul[[#Headers],[5]],tabela_registros[REGISTRO],DADOS!$N$3,tabela_registros[TIPO],DADOS!$V$3,tabela_registros[CATEGORIA],receitasfixasconsolidadojul[[#This Row],[ATUAL]])</f>
        <v>0</v>
      </c>
      <c r="J86" s="119" t="n">
        <f aca="false">SUMIFS(tabela_registros[VALOR],tabela_registros[MÊS],$AE$1,tabela_registros[DIA],receitasfixasconsolidadojul[[#Headers],[6]],tabela_registros[REGISTRO],DADOS!$N$3,tabela_registros[TIPO],DADOS!$V$3,tabela_registros[CATEGORIA],receitasfixasconsolidadojul[[#This Row],[ATUAL]])</f>
        <v>0</v>
      </c>
      <c r="K86" s="119" t="n">
        <f aca="false">SUMIFS(tabela_registros[VALOR],tabela_registros[MÊS],$AE$1,tabela_registros[DIA],receitasfixasconsolidadojul[[#Headers],[7]],tabela_registros[REGISTRO],DADOS!$N$3,tabela_registros[TIPO],DADOS!$V$3,tabela_registros[CATEGORIA],receitasfixasconsolidadojul[[#This Row],[ATUAL]])</f>
        <v>0</v>
      </c>
      <c r="L86" s="119" t="n">
        <f aca="false">SUMIFS(tabela_registros[VALOR],tabela_registros[MÊS],$AE$1,tabela_registros[DIA],receitasfixasconsolidadojul[[#Headers],[8]],tabela_registros[REGISTRO],DADOS!$N$3,tabela_registros[TIPO],DADOS!$V$3,tabela_registros[CATEGORIA],receitasfixasconsolidadojul[[#This Row],[ATUAL]])</f>
        <v>0</v>
      </c>
      <c r="M86" s="119" t="n">
        <f aca="false">SUMIFS(tabela_registros[VALOR],tabela_registros[MÊS],$AE$1,tabela_registros[DIA],receitasfixasconsolidadojul[[#Headers],[9]],tabela_registros[REGISTRO],DADOS!$N$3,tabela_registros[TIPO],DADOS!$V$3,tabela_registros[CATEGORIA],receitasfixasconsolidadojul[[#This Row],[ATUAL]])</f>
        <v>0</v>
      </c>
      <c r="N86" s="119" t="n">
        <f aca="false">SUMIFS(tabela_registros[VALOR],tabela_registros[MÊS],$AE$1,tabela_registros[DIA],receitasfixasconsolidadojul[[#Headers],[10]],tabela_registros[REGISTRO],DADOS!$N$3,tabela_registros[TIPO],DADOS!$V$3,tabela_registros[CATEGORIA],receitasfixasconsolidadojul[[#This Row],[ATUAL]])</f>
        <v>0</v>
      </c>
      <c r="O86" s="119" t="n">
        <f aca="false">SUMIFS(tabela_registros[VALOR],tabela_registros[MÊS],$AE$1,tabela_registros[DIA],receitasfixasconsolidadojul[[#Headers],[11]],tabela_registros[REGISTRO],DADOS!$N$3,tabela_registros[TIPO],DADOS!$V$3,tabela_registros[CATEGORIA],receitasfixasconsolidadojul[[#This Row],[ATUAL]])</f>
        <v>0</v>
      </c>
      <c r="P86" s="119" t="n">
        <f aca="false">SUMIFS(tabela_registros[VALOR],tabela_registros[MÊS],$AE$1,tabela_registros[DIA],receitasfixasconsolidadojul[[#Headers],[12]],tabela_registros[REGISTRO],DADOS!$N$3,tabela_registros[TIPO],DADOS!$V$3,tabela_registros[CATEGORIA],receitasfixasconsolidadojul[[#This Row],[ATUAL]])</f>
        <v>0</v>
      </c>
      <c r="Q86" s="119" t="n">
        <f aca="false">SUMIFS(tabela_registros[VALOR],tabela_registros[MÊS],$AE$1,tabela_registros[DIA],receitasfixasconsolidadojul[[#Headers],[13]],tabela_registros[REGISTRO],DADOS!$N$3,tabela_registros[TIPO],DADOS!$V$3,tabela_registros[CATEGORIA],receitasfixasconsolidadojul[[#This Row],[ATUAL]])</f>
        <v>0</v>
      </c>
      <c r="R86" s="119" t="n">
        <f aca="false">SUMIFS(tabela_registros[VALOR],tabela_registros[MÊS],$AE$1,tabela_registros[DIA],receitasfixasconsolidadojul[[#Headers],[14]],tabela_registros[REGISTRO],DADOS!$N$3,tabela_registros[TIPO],DADOS!$V$3,tabela_registros[CATEGORIA],receitasfixasconsolidadojul[[#This Row],[ATUAL]])</f>
        <v>0</v>
      </c>
      <c r="S86" s="119" t="n">
        <f aca="false">SUMIFS(tabela_registros[VALOR],tabela_registros[MÊS],$AE$1,tabela_registros[DIA],receitasfixasconsolidadojul[[#Headers],[15]],tabela_registros[REGISTRO],DADOS!$N$3,tabela_registros[TIPO],DADOS!$V$3,tabela_registros[CATEGORIA],receitasfixasconsolidadojul[[#This Row],[ATUAL]])</f>
        <v>0</v>
      </c>
      <c r="T86" s="119" t="n">
        <f aca="false">SUMIFS(tabela_registros[VALOR],tabela_registros[MÊS],$AE$1,tabela_registros[DIA],receitasfixasconsolidadojul[[#Headers],[16]],tabela_registros[REGISTRO],DADOS!$N$3,tabela_registros[TIPO],DADOS!$V$3,tabela_registros[CATEGORIA],receitasfixasconsolidadojul[[#This Row],[ATUAL]])</f>
        <v>0</v>
      </c>
      <c r="U86" s="119" t="n">
        <f aca="false">SUMIFS(tabela_registros[VALOR],tabela_registros[MÊS],$AE$1,tabela_registros[DIA],receitasfixasconsolidadojul[[#Headers],[17]],tabela_registros[REGISTRO],DADOS!$N$3,tabela_registros[TIPO],DADOS!$V$3,tabela_registros[CATEGORIA],receitasfixasconsolidadojul[[#This Row],[ATUAL]])</f>
        <v>0</v>
      </c>
      <c r="V86" s="119" t="n">
        <f aca="false">SUMIFS(tabela_registros[VALOR],tabela_registros[MÊS],$AE$1,tabela_registros[DIA],receitasfixasconsolidadojul[[#Headers],[18]],tabela_registros[REGISTRO],DADOS!$N$3,tabela_registros[TIPO],DADOS!$V$3,tabela_registros[CATEGORIA],receitasfixasconsolidadojul[[#This Row],[ATUAL]])</f>
        <v>0</v>
      </c>
      <c r="W86" s="119" t="n">
        <f aca="false">SUMIFS(tabela_registros[VALOR],tabela_registros[MÊS],$AE$1,tabela_registros[DIA],receitasfixasconsolidadojul[[#Headers],[19]],tabela_registros[REGISTRO],DADOS!$N$3,tabela_registros[TIPO],DADOS!$V$3,tabela_registros[CATEGORIA],receitasfixasconsolidadojul[[#This Row],[ATUAL]])</f>
        <v>0</v>
      </c>
      <c r="X86" s="119" t="n">
        <f aca="false">SUMIFS(tabela_registros[VALOR],tabela_registros[MÊS],$AE$1,tabela_registros[DIA],receitasfixasconsolidadojul[[#Headers],[20]],tabela_registros[REGISTRO],DADOS!$N$3,tabela_registros[TIPO],DADOS!$V$3,tabela_registros[CATEGORIA],receitasfixasconsolidadojul[[#This Row],[ATUAL]])</f>
        <v>0</v>
      </c>
      <c r="Y86" s="119" t="n">
        <f aca="false">SUMIFS(tabela_registros[VALOR],tabela_registros[MÊS],$AE$1,tabela_registros[DIA],receitasfixasconsolidadojul[[#Headers],[21]],tabela_registros[REGISTRO],DADOS!$N$3,tabela_registros[TIPO],DADOS!$V$3,tabela_registros[CATEGORIA],receitasfixasconsolidadojul[[#This Row],[ATUAL]])</f>
        <v>0</v>
      </c>
      <c r="Z86" s="119" t="n">
        <f aca="false">SUMIFS(tabela_registros[VALOR],tabela_registros[MÊS],$AE$1,tabela_registros[DIA],receitasfixasconsolidadojul[[#Headers],[22]],tabela_registros[REGISTRO],DADOS!$N$3,tabela_registros[TIPO],DADOS!$V$3,tabela_registros[CATEGORIA],receitasfixasconsolidadojul[[#This Row],[ATUAL]])</f>
        <v>0</v>
      </c>
      <c r="AA86" s="119" t="n">
        <f aca="false">SUMIFS(tabela_registros[VALOR],tabela_registros[MÊS],$AE$1,tabela_registros[DIA],receitasfixasconsolidadojul[[#Headers],[23]],tabela_registros[REGISTRO],DADOS!$N$3,tabela_registros[TIPO],DADOS!$V$3,tabela_registros[CATEGORIA],receitasfixasconsolidadojul[[#This Row],[ATUAL]])</f>
        <v>0</v>
      </c>
      <c r="AB86" s="119" t="n">
        <f aca="false">SUMIFS(tabela_registros[VALOR],tabela_registros[MÊS],$AE$1,tabela_registros[DIA],receitasfixasconsolidadojul[[#Headers],[24]],tabela_registros[REGISTRO],DADOS!$N$3,tabela_registros[TIPO],DADOS!$V$3,tabela_registros[CATEGORIA],receitasfixasconsolidadojul[[#This Row],[ATUAL]])</f>
        <v>0</v>
      </c>
      <c r="AC86" s="119" t="n">
        <f aca="false">SUMIFS(tabela_registros[VALOR],tabela_registros[MÊS],$AE$1,tabela_registros[DIA],receitasfixasconsolidadojul[[#Headers],[25]],tabela_registros[REGISTRO],DADOS!$N$3,tabela_registros[TIPO],DADOS!$V$3,tabela_registros[CATEGORIA],receitasfixasconsolidadojul[[#This Row],[ATUAL]])</f>
        <v>0</v>
      </c>
      <c r="AD86" s="119" t="n">
        <f aca="false">SUMIFS(tabela_registros[VALOR],tabela_registros[MÊS],$AE$1,tabela_registros[DIA],receitasfixasconsolidadojul[[#Headers],[26]],tabela_registros[REGISTRO],DADOS!$N$3,tabela_registros[TIPO],DADOS!$V$3,tabela_registros[CATEGORIA],receitasfixasconsolidadojul[[#This Row],[ATUAL]])</f>
        <v>0</v>
      </c>
      <c r="AE86" s="119" t="n">
        <f aca="false">SUMIFS(tabela_registros[VALOR],tabela_registros[MÊS],$AE$1,tabela_registros[DIA],receitasfixasconsolidadojul[[#Headers],[27]],tabela_registros[REGISTRO],DADOS!$N$3,tabela_registros[TIPO],DADOS!$V$3,tabela_registros[CATEGORIA],receitasfixasconsolidadojul[[#This Row],[ATUAL]])</f>
        <v>0</v>
      </c>
      <c r="AF86" s="119" t="n">
        <f aca="false">SUMIFS(tabela_registros[VALOR],tabela_registros[MÊS],$AE$1,tabela_registros[DIA],receitasfixasconsolidadojul[[#Headers],[28]],tabela_registros[REGISTRO],DADOS!$N$3,tabela_registros[TIPO],DADOS!$V$3,tabela_registros[CATEGORIA],receitasfixasconsolidadojul[[#This Row],[ATUAL]])</f>
        <v>0</v>
      </c>
      <c r="AG86" s="119" t="n">
        <f aca="false">SUMIFS(tabela_registros[VALOR],tabela_registros[MÊS],$AE$1,tabela_registros[DIA],receitasfixasconsolidadojul[[#Headers],[29]],tabela_registros[REGISTRO],DADOS!$N$3,tabela_registros[TIPO],DADOS!$V$3,tabela_registros[CATEGORIA],receitasfixasconsolidadojul[[#This Row],[ATUAL]])</f>
        <v>0</v>
      </c>
      <c r="AH86" s="119" t="n">
        <f aca="false">SUMIFS(tabela_registros[VALOR],tabela_registros[MÊS],$AE$1,tabela_registros[DIA],receitasfixasconsolidadojul[[#Headers],[30]],tabela_registros[REGISTRO],DADOS!$N$3,tabela_registros[TIPO],DADOS!$V$3,tabela_registros[CATEGORIA],receitasfixasconsolidadojul[[#This Row],[ATUAL]])</f>
        <v>0</v>
      </c>
      <c r="AI86" s="218" t="n">
        <f aca="false">SUMIFS(tabela_registros[VALOR],tabela_registros[MÊS],$AE$1,tabela_registros[DIA],receitasfixasconsolidadojul[[#Headers],[31]],tabela_registros[REGISTRO],DADOS!$N$3,tabela_registros[TIPO],DADOS!$V$3,tabela_registros[CATEGORIA],receitasfixasconsolidadojul[[#This Row],[ATUAL]])</f>
        <v>0</v>
      </c>
      <c r="AJ86" s="149" t="n">
        <f aca="false">SUM(receitasfixasconsolidadojul[[#This Row],[1]:[31]])</f>
        <v>0</v>
      </c>
      <c r="AK86" s="165"/>
    </row>
    <row r="87" s="122" customFormat="true" ht="21" hidden="false" customHeight="true" outlineLevel="0" collapsed="false">
      <c r="B87" s="152"/>
      <c r="C87" s="153" t="s">
        <v>2</v>
      </c>
      <c r="D87" s="166"/>
      <c r="E87" s="155" t="n">
        <f aca="false">SUM(E82:E86)</f>
        <v>0</v>
      </c>
      <c r="F87" s="156" t="n">
        <f aca="false">SUM(F82:F86)+receitasfixasconsolidadojul[[#This Row],[1]]</f>
        <v>0</v>
      </c>
      <c r="G87" s="156" t="n">
        <f aca="false">SUM(G82:G86)+receitasfixasconsolidadojul[[#This Row],[2]]</f>
        <v>0</v>
      </c>
      <c r="H87" s="156" t="n">
        <f aca="false">SUM(H82:H86)+receitasfixasconsolidadojul[[#This Row],[3]]</f>
        <v>0</v>
      </c>
      <c r="I87" s="156" t="n">
        <f aca="false">SUM(I82:I86)+receitasfixasconsolidadojul[[#This Row],[4]]</f>
        <v>0</v>
      </c>
      <c r="J87" s="156" t="n">
        <f aca="false">SUM(J82:J86)+receitasfixasconsolidadojul[[#This Row],[5]]</f>
        <v>0</v>
      </c>
      <c r="K87" s="156" t="n">
        <f aca="false">SUM(K82:K86)+receitasfixasconsolidadojul[[#This Row],[6]]</f>
        <v>0</v>
      </c>
      <c r="L87" s="156" t="n">
        <f aca="false">SUM(L82:L86)+receitasfixasconsolidadojul[[#This Row],[7]]</f>
        <v>0</v>
      </c>
      <c r="M87" s="156" t="n">
        <f aca="false">SUM(M82:M86)+receitasfixasconsolidadojul[[#This Row],[8]]</f>
        <v>0</v>
      </c>
      <c r="N87" s="156" t="n">
        <f aca="false">SUM(N82:N86)+receitasfixasconsolidadojul[[#This Row],[9]]</f>
        <v>0</v>
      </c>
      <c r="O87" s="156" t="n">
        <f aca="false">SUM(O82:O86)+receitasfixasconsolidadojul[[#This Row],[10]]</f>
        <v>0</v>
      </c>
      <c r="P87" s="156" t="n">
        <f aca="false">SUM(P82:P86)+receitasfixasconsolidadojul[[#This Row],[11]]</f>
        <v>0</v>
      </c>
      <c r="Q87" s="156" t="n">
        <f aca="false">SUM(Q82:Q86)+receitasfixasconsolidadojul[[#This Row],[12]]</f>
        <v>0</v>
      </c>
      <c r="R87" s="156" t="n">
        <f aca="false">SUM(R82:R86)+receitasfixasconsolidadojul[[#This Row],[13]]</f>
        <v>0</v>
      </c>
      <c r="S87" s="156" t="n">
        <f aca="false">SUM(S82:S86)+receitasfixasconsolidadojul[[#This Row],[14]]</f>
        <v>0</v>
      </c>
      <c r="T87" s="156" t="n">
        <f aca="false">SUM(T82:T86)+receitasfixasconsolidadojul[[#This Row],[15]]</f>
        <v>0</v>
      </c>
      <c r="U87" s="156" t="n">
        <f aca="false">SUM(U82:U86)+receitasfixasconsolidadojul[[#This Row],[16]]</f>
        <v>0</v>
      </c>
      <c r="V87" s="156" t="n">
        <f aca="false">SUM(V82:V86)+receitasfixasconsolidadojul[[#This Row],[17]]</f>
        <v>0</v>
      </c>
      <c r="W87" s="156" t="n">
        <f aca="false">SUM(W82:W86)+receitasfixasconsolidadojul[[#This Row],[18]]</f>
        <v>0</v>
      </c>
      <c r="X87" s="156" t="n">
        <f aca="false">SUM(X82:X86)+receitasfixasconsolidadojul[[#This Row],[19]]</f>
        <v>0</v>
      </c>
      <c r="Y87" s="156" t="n">
        <f aca="false">SUM(Y82:Y86)+receitasfixasconsolidadojul[[#This Row],[20]]</f>
        <v>0</v>
      </c>
      <c r="Z87" s="156" t="n">
        <f aca="false">SUM(Z82:Z86)+receitasfixasconsolidadojul[[#This Row],[21]]</f>
        <v>0</v>
      </c>
      <c r="AA87" s="156" t="n">
        <f aca="false">SUM(AA82:AA86)+receitasfixasconsolidadojul[[#This Row],[22]]</f>
        <v>0</v>
      </c>
      <c r="AB87" s="156" t="n">
        <f aca="false">SUM(AB82:AB86)+receitasfixasconsolidadojul[[#This Row],[23]]</f>
        <v>0</v>
      </c>
      <c r="AC87" s="156" t="n">
        <f aca="false">SUM(AC82:AC86)+receitasfixasconsolidadojul[[#This Row],[24]]</f>
        <v>0</v>
      </c>
      <c r="AD87" s="156" t="n">
        <f aca="false">SUM(AD82:AD86)+receitasfixasconsolidadojul[[#This Row],[25]]</f>
        <v>0</v>
      </c>
      <c r="AE87" s="156" t="n">
        <f aca="false">SUM(AE82:AE86)+receitasfixasconsolidadojul[[#This Row],[26]]</f>
        <v>0</v>
      </c>
      <c r="AF87" s="156" t="n">
        <f aca="false">SUM(AF82:AF86)+receitasfixasconsolidadojul[[#This Row],[27]]</f>
        <v>0</v>
      </c>
      <c r="AG87" s="156" t="n">
        <f aca="false">SUM(AG82:AG86)+receitasfixasconsolidadojul[[#This Row],[28]]</f>
        <v>0</v>
      </c>
      <c r="AH87" s="156" t="n">
        <f aca="false">SUM(AH82:AH86)+receitasfixasconsolidadojul[[#This Row],[29]]</f>
        <v>0</v>
      </c>
      <c r="AI87" s="223" t="n">
        <f aca="false">SUM(AI82:AI86)+receitasfixasconsolidadojul[[#This Row],[30]]</f>
        <v>0</v>
      </c>
      <c r="AJ87" s="157" t="n">
        <f aca="false">receitasfixasconsolidadojul[[#This Row],[31]]</f>
        <v>0</v>
      </c>
      <c r="AK87" s="158"/>
    </row>
    <row r="88" customFormat="false" ht="6.75" hidden="false" customHeight="true" outlineLevel="0" collapsed="false">
      <c r="B88" s="97"/>
      <c r="C88" s="162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233"/>
      <c r="AJ88" s="164"/>
      <c r="AK88" s="244"/>
    </row>
    <row r="89" s="78" customFormat="true" ht="12.75" hidden="false" customHeight="false" outlineLevel="0" collapsed="false">
      <c r="E89" s="100"/>
    </row>
    <row r="90" s="78" customFormat="true" ht="12" hidden="false" customHeight="false" outlineLevel="0" collapsed="false"/>
    <row r="91" s="78" customFormat="true" ht="12" hidden="false" customHeight="false" outlineLevel="0" collapsed="false"/>
    <row r="92" customFormat="false" ht="39.75" hidden="false" customHeight="true" outlineLevel="0" collapsed="false">
      <c r="C92" s="101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3" t="s">
        <v>2</v>
      </c>
    </row>
    <row r="93" s="78" customFormat="true" ht="12.75" hidden="false" customHeight="false" outlineLevel="0" collapsed="false">
      <c r="B93" s="161"/>
      <c r="AJ93" s="106" t="s">
        <v>64</v>
      </c>
    </row>
    <row r="94" customFormat="false" ht="6.75" hidden="false" customHeight="true" outlineLevel="0" collapsed="false">
      <c r="B94" s="86"/>
      <c r="C94" s="162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233"/>
      <c r="AK94" s="139"/>
    </row>
    <row r="95" customFormat="false" ht="13.5" hidden="true" customHeight="false" outlineLevel="0" collapsed="false">
      <c r="B95" s="86"/>
      <c r="C95" s="109" t="s">
        <v>68</v>
      </c>
      <c r="D95" s="110" t="s">
        <v>69</v>
      </c>
      <c r="E95" s="110" t="s">
        <v>30</v>
      </c>
      <c r="F95" s="110" t="s">
        <v>31</v>
      </c>
      <c r="G95" s="110" t="s">
        <v>32</v>
      </c>
      <c r="H95" s="110" t="s">
        <v>33</v>
      </c>
      <c r="I95" s="110" t="s">
        <v>34</v>
      </c>
      <c r="J95" s="110" t="s">
        <v>35</v>
      </c>
      <c r="K95" s="110" t="s">
        <v>36</v>
      </c>
      <c r="L95" s="110" t="s">
        <v>37</v>
      </c>
      <c r="M95" s="110" t="s">
        <v>38</v>
      </c>
      <c r="N95" s="110" t="s">
        <v>39</v>
      </c>
      <c r="O95" s="110" t="s">
        <v>40</v>
      </c>
      <c r="P95" s="110" t="s">
        <v>41</v>
      </c>
      <c r="Q95" s="110" t="s">
        <v>81</v>
      </c>
      <c r="R95" s="110" t="s">
        <v>82</v>
      </c>
      <c r="S95" s="110" t="s">
        <v>83</v>
      </c>
      <c r="T95" s="110" t="s">
        <v>84</v>
      </c>
      <c r="U95" s="110" t="s">
        <v>85</v>
      </c>
      <c r="V95" s="110" t="s">
        <v>86</v>
      </c>
      <c r="W95" s="110" t="s">
        <v>87</v>
      </c>
      <c r="X95" s="110" t="s">
        <v>88</v>
      </c>
      <c r="Y95" s="110" t="s">
        <v>89</v>
      </c>
      <c r="Z95" s="110" t="s">
        <v>90</v>
      </c>
      <c r="AA95" s="110" t="s">
        <v>91</v>
      </c>
      <c r="AB95" s="110" t="s">
        <v>92</v>
      </c>
      <c r="AC95" s="110" t="s">
        <v>93</v>
      </c>
      <c r="AD95" s="110" t="s">
        <v>94</v>
      </c>
      <c r="AE95" s="110" t="s">
        <v>95</v>
      </c>
      <c r="AF95" s="110" t="s">
        <v>96</v>
      </c>
      <c r="AG95" s="110" t="s">
        <v>97</v>
      </c>
      <c r="AH95" s="110" t="s">
        <v>98</v>
      </c>
      <c r="AI95" s="110" t="s">
        <v>99</v>
      </c>
      <c r="AJ95" s="111" t="s">
        <v>70</v>
      </c>
      <c r="AK95" s="86"/>
    </row>
    <row r="96" customFormat="false" ht="19.5" hidden="false" customHeight="true" outlineLevel="0" collapsed="false">
      <c r="B96" s="143"/>
      <c r="C96" s="144" t="str">
        <f aca="false">DADOS!$Z$3</f>
        <v>🏅 BÔNUS</v>
      </c>
      <c r="D96" s="145" t="str">
        <f aca="false">IF(receitasvariáveisconsolidadojul[[#This Row],[TOTAL (R$)]]=0,"",IF(OR(receitasvariáveisconsolidadojul[[#This Row],[TOTAL (R$)]]=LARGE($AJ$96:$AJ$103,1),receitasvariáveisconsolidadojul[[#This Row],[TOTAL (R$)]]=LARGE($AJ$96:$AJ$103,2)),DADOS!$I$9,""))</f>
        <v/>
      </c>
      <c r="E96" s="148" t="n">
        <f aca="false">SUMIFS(tabela_registros[VALOR],tabela_registros[MÊS],$AE$1,tabela_registros[DIA],receitasvariáveisconsolidadojul[[#Headers],[1]],tabela_registros[REGISTRO],DADOS!$N$3,tabela_registros[TIPO],DADOS!$V$4,tabela_registros[CATEGORIA],receitasvariáveisconsolidadojul[[#This Row],[ATUAL]])</f>
        <v>0</v>
      </c>
      <c r="F96" s="119" t="n">
        <f aca="false">SUMIFS(tabela_registros[VALOR],tabela_registros[MÊS],$AE$1,tabela_registros[DIA],receitasvariáveisconsolidadojul[[#Headers],[2]],tabela_registros[REGISTRO],DADOS!$N$3,tabela_registros[TIPO],DADOS!$V$4,tabela_registros[CATEGORIA],receitasvariáveisconsolidadojul[[#This Row],[ATUAL]])</f>
        <v>0</v>
      </c>
      <c r="G96" s="119" t="n">
        <f aca="false">SUMIFS(tabela_registros[VALOR],tabela_registros[MÊS],$AE$1,tabela_registros[DIA],receitasvariáveisconsolidadojul[[#Headers],[3]],tabela_registros[REGISTRO],DADOS!$N$3,tabela_registros[TIPO],DADOS!$V$4,tabela_registros[CATEGORIA],receitasvariáveisconsolidadojul[[#This Row],[ATUAL]])</f>
        <v>0</v>
      </c>
      <c r="H96" s="119" t="n">
        <f aca="false">SUMIFS(tabela_registros[VALOR],tabela_registros[MÊS],$AE$1,tabela_registros[DIA],receitasvariáveisconsolidadojul[[#Headers],[4]],tabela_registros[REGISTRO],DADOS!$N$3,tabela_registros[TIPO],DADOS!$V$4,tabela_registros[CATEGORIA],receitasvariáveisconsolidadojul[[#This Row],[ATUAL]])</f>
        <v>0</v>
      </c>
      <c r="I96" s="119" t="n">
        <f aca="false">SUMIFS(tabela_registros[VALOR],tabela_registros[MÊS],$AE$1,tabela_registros[DIA],receitasvariáveisconsolidadojul[[#Headers],[5]],tabela_registros[REGISTRO],DADOS!$N$3,tabela_registros[TIPO],DADOS!$V$4,tabela_registros[CATEGORIA],receitasvariáveisconsolidadojul[[#This Row],[ATUAL]])</f>
        <v>0</v>
      </c>
      <c r="J96" s="119" t="n">
        <f aca="false">SUMIFS(tabela_registros[VALOR],tabela_registros[MÊS],$AE$1,tabela_registros[DIA],receitasvariáveisconsolidadojul[[#Headers],[6]],tabela_registros[REGISTRO],DADOS!$N$3,tabela_registros[TIPO],DADOS!$V$4,tabela_registros[CATEGORIA],receitasvariáveisconsolidadojul[[#This Row],[ATUAL]])</f>
        <v>0</v>
      </c>
      <c r="K96" s="119" t="n">
        <f aca="false">SUMIFS(tabela_registros[VALOR],tabela_registros[MÊS],$AE$1,tabela_registros[DIA],receitasvariáveisconsolidadojul[[#Headers],[7]],tabela_registros[REGISTRO],DADOS!$N$3,tabela_registros[TIPO],DADOS!$V$4,tabela_registros[CATEGORIA],receitasvariáveisconsolidadojul[[#This Row],[ATUAL]])</f>
        <v>0</v>
      </c>
      <c r="L96" s="119" t="n">
        <f aca="false">SUMIFS(tabela_registros[VALOR],tabela_registros[MÊS],$AE$1,tabela_registros[DIA],receitasvariáveisconsolidadojul[[#Headers],[8]],tabela_registros[REGISTRO],DADOS!$N$3,tabela_registros[TIPO],DADOS!$V$4,tabela_registros[CATEGORIA],receitasvariáveisconsolidadojul[[#This Row],[ATUAL]])</f>
        <v>0</v>
      </c>
      <c r="M96" s="119" t="n">
        <f aca="false">SUMIFS(tabela_registros[VALOR],tabela_registros[MÊS],$AE$1,tabela_registros[DIA],receitasvariáveisconsolidadojul[[#Headers],[9]],tabela_registros[REGISTRO],DADOS!$N$3,tabela_registros[TIPO],DADOS!$V$4,tabela_registros[CATEGORIA],receitasvariáveisconsolidadojul[[#This Row],[ATUAL]])</f>
        <v>0</v>
      </c>
      <c r="N96" s="119" t="n">
        <f aca="false">SUMIFS(tabela_registros[VALOR],tabela_registros[MÊS],$AE$1,tabela_registros[DIA],receitasvariáveisconsolidadojul[[#Headers],[10]],tabela_registros[REGISTRO],DADOS!$N$3,tabela_registros[TIPO],DADOS!$V$4,tabela_registros[CATEGORIA],receitasvariáveisconsolidadojul[[#This Row],[ATUAL]])</f>
        <v>0</v>
      </c>
      <c r="O96" s="119" t="n">
        <f aca="false">SUMIFS(tabela_registros[VALOR],tabela_registros[MÊS],$AE$1,tabela_registros[DIA],receitasvariáveisconsolidadojul[[#Headers],[11]],tabela_registros[REGISTRO],DADOS!$N$3,tabela_registros[TIPO],DADOS!$V$4,tabela_registros[CATEGORIA],receitasvariáveisconsolidadojul[[#This Row],[ATUAL]])</f>
        <v>0</v>
      </c>
      <c r="P96" s="119" t="n">
        <f aca="false">SUMIFS(tabela_registros[VALOR],tabela_registros[MÊS],$AE$1,tabela_registros[DIA],receitasvariáveisconsolidadojul[[#Headers],[12]],tabela_registros[REGISTRO],DADOS!$N$3,tabela_registros[TIPO],DADOS!$V$4,tabela_registros[CATEGORIA],receitasvariáveisconsolidadojul[[#This Row],[ATUAL]])</f>
        <v>0</v>
      </c>
      <c r="Q96" s="119" t="n">
        <f aca="false">SUMIFS(tabela_registros[VALOR],tabela_registros[MÊS],$AE$1,tabela_registros[DIA],receitasvariáveisconsolidadojul[[#Headers],[13]],tabela_registros[REGISTRO],DADOS!$N$3,tabela_registros[TIPO],DADOS!$V$4,tabela_registros[CATEGORIA],receitasvariáveisconsolidadojul[[#This Row],[ATUAL]])</f>
        <v>0</v>
      </c>
      <c r="R96" s="119" t="n">
        <f aca="false">SUMIFS(tabela_registros[VALOR],tabela_registros[MÊS],$AE$1,tabela_registros[DIA],receitasvariáveisconsolidadojul[[#Headers],[14]],tabela_registros[REGISTRO],DADOS!$N$3,tabela_registros[TIPO],DADOS!$V$4,tabela_registros[CATEGORIA],receitasvariáveisconsolidadojul[[#This Row],[ATUAL]])</f>
        <v>0</v>
      </c>
      <c r="S96" s="119" t="n">
        <f aca="false">SUMIFS(tabela_registros[VALOR],tabela_registros[MÊS],$AE$1,tabela_registros[DIA],receitasvariáveisconsolidadojul[[#Headers],[15]],tabela_registros[REGISTRO],DADOS!$N$3,tabela_registros[TIPO],DADOS!$V$4,tabela_registros[CATEGORIA],receitasvariáveisconsolidadojul[[#This Row],[ATUAL]])</f>
        <v>0</v>
      </c>
      <c r="T96" s="119" t="n">
        <f aca="false">SUMIFS(tabela_registros[VALOR],tabela_registros[MÊS],$AE$1,tabela_registros[DIA],receitasvariáveisconsolidadojul[[#Headers],[16]],tabela_registros[REGISTRO],DADOS!$N$3,tabela_registros[TIPO],DADOS!$V$4,tabela_registros[CATEGORIA],receitasvariáveisconsolidadojul[[#This Row],[ATUAL]])</f>
        <v>0</v>
      </c>
      <c r="U96" s="119" t="n">
        <f aca="false">SUMIFS(tabela_registros[VALOR],tabela_registros[MÊS],$AE$1,tabela_registros[DIA],receitasvariáveisconsolidadojul[[#Headers],[17]],tabela_registros[REGISTRO],DADOS!$N$3,tabela_registros[TIPO],DADOS!$V$4,tabela_registros[CATEGORIA],receitasvariáveisconsolidadojul[[#This Row],[ATUAL]])</f>
        <v>0</v>
      </c>
      <c r="V96" s="119" t="n">
        <f aca="false">SUMIFS(tabela_registros[VALOR],tabela_registros[MÊS],$AE$1,tabela_registros[DIA],receitasvariáveisconsolidadojul[[#Headers],[18]],tabela_registros[REGISTRO],DADOS!$N$3,tabela_registros[TIPO],DADOS!$V$4,tabela_registros[CATEGORIA],receitasvariáveisconsolidadojul[[#This Row],[ATUAL]])</f>
        <v>0</v>
      </c>
      <c r="W96" s="119" t="n">
        <f aca="false">SUMIFS(tabela_registros[VALOR],tabela_registros[MÊS],$AE$1,tabela_registros[DIA],receitasvariáveisconsolidadojul[[#Headers],[19]],tabela_registros[REGISTRO],DADOS!$N$3,tabela_registros[TIPO],DADOS!$V$4,tabela_registros[CATEGORIA],receitasvariáveisconsolidadojul[[#This Row],[ATUAL]])</f>
        <v>0</v>
      </c>
      <c r="X96" s="119" t="n">
        <f aca="false">SUMIFS(tabela_registros[VALOR],tabela_registros[MÊS],$AE$1,tabela_registros[DIA],receitasvariáveisconsolidadojul[[#Headers],[20]],tabela_registros[REGISTRO],DADOS!$N$3,tabela_registros[TIPO],DADOS!$V$4,tabela_registros[CATEGORIA],receitasvariáveisconsolidadojul[[#This Row],[ATUAL]])</f>
        <v>0</v>
      </c>
      <c r="Y96" s="119" t="n">
        <f aca="false">SUMIFS(tabela_registros[VALOR],tabela_registros[MÊS],$AE$1,tabela_registros[DIA],receitasvariáveisconsolidadojul[[#Headers],[21]],tabela_registros[REGISTRO],DADOS!$N$3,tabela_registros[TIPO],DADOS!$V$4,tabela_registros[CATEGORIA],receitasvariáveisconsolidadojul[[#This Row],[ATUAL]])</f>
        <v>0</v>
      </c>
      <c r="Z96" s="119" t="n">
        <f aca="false">SUMIFS(tabela_registros[VALOR],tabela_registros[MÊS],$AE$1,tabela_registros[DIA],receitasvariáveisconsolidadojul[[#Headers],[22]],tabela_registros[REGISTRO],DADOS!$N$3,tabela_registros[TIPO],DADOS!$V$4,tabela_registros[CATEGORIA],receitasvariáveisconsolidadojul[[#This Row],[ATUAL]])</f>
        <v>0</v>
      </c>
      <c r="AA96" s="119" t="n">
        <f aca="false">SUMIFS(tabela_registros[VALOR],tabela_registros[MÊS],$AE$1,tabela_registros[DIA],receitasvariáveisconsolidadojul[[#Headers],[23]],tabela_registros[REGISTRO],DADOS!$N$3,tabela_registros[TIPO],DADOS!$V$4,tabela_registros[CATEGORIA],receitasvariáveisconsolidadojul[[#This Row],[ATUAL]])</f>
        <v>0</v>
      </c>
      <c r="AB96" s="119" t="n">
        <f aca="false">SUMIFS(tabela_registros[VALOR],tabela_registros[MÊS],$AE$1,tabela_registros[DIA],receitasvariáveisconsolidadojul[[#Headers],[24]],tabela_registros[REGISTRO],DADOS!$N$3,tabela_registros[TIPO],DADOS!$V$4,tabela_registros[CATEGORIA],receitasvariáveisconsolidadojul[[#This Row],[ATUAL]])</f>
        <v>0</v>
      </c>
      <c r="AC96" s="119" t="n">
        <f aca="false">SUMIFS(tabela_registros[VALOR],tabela_registros[MÊS],$AE$1,tabela_registros[DIA],receitasvariáveisconsolidadojul[[#Headers],[25]],tabela_registros[REGISTRO],DADOS!$N$3,tabela_registros[TIPO],DADOS!$V$4,tabela_registros[CATEGORIA],receitasvariáveisconsolidadojul[[#This Row],[ATUAL]])</f>
        <v>0</v>
      </c>
      <c r="AD96" s="119" t="n">
        <f aca="false">SUMIFS(tabela_registros[VALOR],tabela_registros[MÊS],$AE$1,tabela_registros[DIA],receitasvariáveisconsolidadojul[[#Headers],[26]],tabela_registros[REGISTRO],DADOS!$N$3,tabela_registros[TIPO],DADOS!$V$4,tabela_registros[CATEGORIA],receitasvariáveisconsolidadojul[[#This Row],[ATUAL]])</f>
        <v>0</v>
      </c>
      <c r="AE96" s="119" t="n">
        <f aca="false">SUMIFS(tabela_registros[VALOR],tabela_registros[MÊS],$AE$1,tabela_registros[DIA],receitasvariáveisconsolidadojul[[#Headers],[27]],tabela_registros[REGISTRO],DADOS!$N$3,tabela_registros[TIPO],DADOS!$V$4,tabela_registros[CATEGORIA],receitasvariáveisconsolidadojul[[#This Row],[ATUAL]])</f>
        <v>0</v>
      </c>
      <c r="AF96" s="119" t="n">
        <f aca="false">SUMIFS(tabela_registros[VALOR],tabela_registros[MÊS],$AE$1,tabela_registros[DIA],receitasvariáveisconsolidadojul[[#Headers],[28]],tabela_registros[REGISTRO],DADOS!$N$3,tabela_registros[TIPO],DADOS!$V$4,tabela_registros[CATEGORIA],receitasvariáveisconsolidadojul[[#This Row],[ATUAL]])</f>
        <v>0</v>
      </c>
      <c r="AG96" s="119" t="n">
        <f aca="false">SUMIFS(tabela_registros[VALOR],tabela_registros[MÊS],$AE$1,tabela_registros[DIA],receitasvariáveisconsolidadojul[[#Headers],[29]],tabela_registros[REGISTRO],DADOS!$N$3,tabela_registros[TIPO],DADOS!$V$4,tabela_registros[CATEGORIA],receitasvariáveisconsolidadojul[[#This Row],[ATUAL]])</f>
        <v>0</v>
      </c>
      <c r="AH96" s="119" t="n">
        <f aca="false">SUMIFS(tabela_registros[VALOR],tabela_registros[MÊS],$AE$1,tabela_registros[DIA],receitasvariáveisconsolidadojul[[#Headers],[30]],tabela_registros[REGISTRO],DADOS!$N$3,tabela_registros[TIPO],DADOS!$V$4,tabela_registros[CATEGORIA],receitasvariáveisconsolidadojul[[#This Row],[ATUAL]])</f>
        <v>0</v>
      </c>
      <c r="AI96" s="217" t="n">
        <f aca="false">SUMIFS(tabela_registros[VALOR],tabela_registros[MÊS],$AE$1,tabela_registros[DIA],receitasvariáveisconsolidadojul[[#Headers],[31]],tabela_registros[REGISTRO],DADOS!$N$3,tabela_registros[TIPO],DADOS!$V$4,tabela_registros[CATEGORIA],receitasvariáveisconsolidadojul[[#This Row],[ATUAL]])</f>
        <v>0</v>
      </c>
      <c r="AJ96" s="149" t="n">
        <f aca="false">SUM(receitasvariáveisconsolidadojul[[#This Row],[1]:[31]])</f>
        <v>0</v>
      </c>
      <c r="AK96" s="165"/>
    </row>
    <row r="97" customFormat="false" ht="19.5" hidden="false" customHeight="true" outlineLevel="0" collapsed="false">
      <c r="B97" s="143"/>
      <c r="C97" s="144" t="str">
        <f aca="false">DADOS!$Z$4</f>
        <v>🤑 COMISSÃO</v>
      </c>
      <c r="D97" s="145" t="str">
        <f aca="false">IF(receitasvariáveisconsolidadojul[[#This Row],[TOTAL (R$)]]=0,"",IF(OR(receitasvariáveisconsolidadojul[[#This Row],[TOTAL (R$)]]=LARGE($AJ$96:$AJ$103,1),receitasvariáveisconsolidadojul[[#This Row],[TOTAL (R$)]]=LARGE($AJ$96:$AJ$103,2)),DADOS!$I$9,""))</f>
        <v/>
      </c>
      <c r="E97" s="148" t="n">
        <f aca="false">SUMIFS(tabela_registros[VALOR],tabela_registros[MÊS],$AE$1,tabela_registros[DIA],receitasvariáveisconsolidadojul[[#Headers],[1]],tabela_registros[REGISTRO],DADOS!$N$3,tabela_registros[TIPO],DADOS!$V$4,tabela_registros[CATEGORIA],receitasvariáveisconsolidadojul[[#This Row],[ATUAL]])</f>
        <v>0</v>
      </c>
      <c r="F97" s="119" t="n">
        <f aca="false">SUMIFS(tabela_registros[VALOR],tabela_registros[MÊS],$AE$1,tabela_registros[DIA],receitasvariáveisconsolidadojul[[#Headers],[2]],tabela_registros[REGISTRO],DADOS!$N$3,tabela_registros[TIPO],DADOS!$V$4,tabela_registros[CATEGORIA],receitasvariáveisconsolidadojul[[#This Row],[ATUAL]])</f>
        <v>0</v>
      </c>
      <c r="G97" s="119" t="n">
        <f aca="false">SUMIFS(tabela_registros[VALOR],tabela_registros[MÊS],$AE$1,tabela_registros[DIA],receitasvariáveisconsolidadojul[[#Headers],[3]],tabela_registros[REGISTRO],DADOS!$N$3,tabela_registros[TIPO],DADOS!$V$4,tabela_registros[CATEGORIA],receitasvariáveisconsolidadojul[[#This Row],[ATUAL]])</f>
        <v>0</v>
      </c>
      <c r="H97" s="119" t="n">
        <f aca="false">SUMIFS(tabela_registros[VALOR],tabela_registros[MÊS],$AE$1,tabela_registros[DIA],receitasvariáveisconsolidadojul[[#Headers],[4]],tabela_registros[REGISTRO],DADOS!$N$3,tabela_registros[TIPO],DADOS!$V$4,tabela_registros[CATEGORIA],receitasvariáveisconsolidadojul[[#This Row],[ATUAL]])</f>
        <v>0</v>
      </c>
      <c r="I97" s="119" t="n">
        <f aca="false">SUMIFS(tabela_registros[VALOR],tabela_registros[MÊS],$AE$1,tabela_registros[DIA],receitasvariáveisconsolidadojul[[#Headers],[5]],tabela_registros[REGISTRO],DADOS!$N$3,tabela_registros[TIPO],DADOS!$V$4,tabela_registros[CATEGORIA],receitasvariáveisconsolidadojul[[#This Row],[ATUAL]])</f>
        <v>0</v>
      </c>
      <c r="J97" s="119" t="n">
        <f aca="false">SUMIFS(tabela_registros[VALOR],tabela_registros[MÊS],$AE$1,tabela_registros[DIA],receitasvariáveisconsolidadojul[[#Headers],[6]],tabela_registros[REGISTRO],DADOS!$N$3,tabela_registros[TIPO],DADOS!$V$4,tabela_registros[CATEGORIA],receitasvariáveisconsolidadojul[[#This Row],[ATUAL]])</f>
        <v>0</v>
      </c>
      <c r="K97" s="119" t="n">
        <f aca="false">SUMIFS(tabela_registros[VALOR],tabela_registros[MÊS],$AE$1,tabela_registros[DIA],receitasvariáveisconsolidadojul[[#Headers],[7]],tabela_registros[REGISTRO],DADOS!$N$3,tabela_registros[TIPO],DADOS!$V$4,tabela_registros[CATEGORIA],receitasvariáveisconsolidadojul[[#This Row],[ATUAL]])</f>
        <v>0</v>
      </c>
      <c r="L97" s="119" t="n">
        <f aca="false">SUMIFS(tabela_registros[VALOR],tabela_registros[MÊS],$AE$1,tabela_registros[DIA],receitasvariáveisconsolidadojul[[#Headers],[8]],tabela_registros[REGISTRO],DADOS!$N$3,tabela_registros[TIPO],DADOS!$V$4,tabela_registros[CATEGORIA],receitasvariáveisconsolidadojul[[#This Row],[ATUAL]])</f>
        <v>0</v>
      </c>
      <c r="M97" s="119" t="n">
        <f aca="false">SUMIFS(tabela_registros[VALOR],tabela_registros[MÊS],$AE$1,tabela_registros[DIA],receitasvariáveisconsolidadojul[[#Headers],[9]],tabela_registros[REGISTRO],DADOS!$N$3,tabela_registros[TIPO],DADOS!$V$4,tabela_registros[CATEGORIA],receitasvariáveisconsolidadojul[[#This Row],[ATUAL]])</f>
        <v>0</v>
      </c>
      <c r="N97" s="119" t="n">
        <f aca="false">SUMIFS(tabela_registros[VALOR],tabela_registros[MÊS],$AE$1,tabela_registros[DIA],receitasvariáveisconsolidadojul[[#Headers],[10]],tabela_registros[REGISTRO],DADOS!$N$3,tabela_registros[TIPO],DADOS!$V$4,tabela_registros[CATEGORIA],receitasvariáveisconsolidadojul[[#This Row],[ATUAL]])</f>
        <v>0</v>
      </c>
      <c r="O97" s="119" t="n">
        <f aca="false">SUMIFS(tabela_registros[VALOR],tabela_registros[MÊS],$AE$1,tabela_registros[DIA],receitasvariáveisconsolidadojul[[#Headers],[11]],tabela_registros[REGISTRO],DADOS!$N$3,tabela_registros[TIPO],DADOS!$V$4,tabela_registros[CATEGORIA],receitasvariáveisconsolidadojul[[#This Row],[ATUAL]])</f>
        <v>0</v>
      </c>
      <c r="P97" s="119" t="n">
        <f aca="false">SUMIFS(tabela_registros[VALOR],tabela_registros[MÊS],$AE$1,tabela_registros[DIA],receitasvariáveisconsolidadojul[[#Headers],[12]],tabela_registros[REGISTRO],DADOS!$N$3,tabela_registros[TIPO],DADOS!$V$4,tabela_registros[CATEGORIA],receitasvariáveisconsolidadojul[[#This Row],[ATUAL]])</f>
        <v>0</v>
      </c>
      <c r="Q97" s="119" t="n">
        <f aca="false">SUMIFS(tabela_registros[VALOR],tabela_registros[MÊS],$AE$1,tabela_registros[DIA],receitasvariáveisconsolidadojul[[#Headers],[13]],tabela_registros[REGISTRO],DADOS!$N$3,tabela_registros[TIPO],DADOS!$V$4,tabela_registros[CATEGORIA],receitasvariáveisconsolidadojul[[#This Row],[ATUAL]])</f>
        <v>0</v>
      </c>
      <c r="R97" s="119" t="n">
        <f aca="false">SUMIFS(tabela_registros[VALOR],tabela_registros[MÊS],$AE$1,tabela_registros[DIA],receitasvariáveisconsolidadojul[[#Headers],[14]],tabela_registros[REGISTRO],DADOS!$N$3,tabela_registros[TIPO],DADOS!$V$4,tabela_registros[CATEGORIA],receitasvariáveisconsolidadojul[[#This Row],[ATUAL]])</f>
        <v>0</v>
      </c>
      <c r="S97" s="119" t="n">
        <f aca="false">SUMIFS(tabela_registros[VALOR],tabela_registros[MÊS],$AE$1,tabela_registros[DIA],receitasvariáveisconsolidadojul[[#Headers],[15]],tabela_registros[REGISTRO],DADOS!$N$3,tabela_registros[TIPO],DADOS!$V$4,tabela_registros[CATEGORIA],receitasvariáveisconsolidadojul[[#This Row],[ATUAL]])</f>
        <v>0</v>
      </c>
      <c r="T97" s="119" t="n">
        <f aca="false">SUMIFS(tabela_registros[VALOR],tabela_registros[MÊS],$AE$1,tabela_registros[DIA],receitasvariáveisconsolidadojul[[#Headers],[16]],tabela_registros[REGISTRO],DADOS!$N$3,tabela_registros[TIPO],DADOS!$V$4,tabela_registros[CATEGORIA],receitasvariáveisconsolidadojul[[#This Row],[ATUAL]])</f>
        <v>0</v>
      </c>
      <c r="U97" s="119" t="n">
        <f aca="false">SUMIFS(tabela_registros[VALOR],tabela_registros[MÊS],$AE$1,tabela_registros[DIA],receitasvariáveisconsolidadojul[[#Headers],[17]],tabela_registros[REGISTRO],DADOS!$N$3,tabela_registros[TIPO],DADOS!$V$4,tabela_registros[CATEGORIA],receitasvariáveisconsolidadojul[[#This Row],[ATUAL]])</f>
        <v>0</v>
      </c>
      <c r="V97" s="119" t="n">
        <f aca="false">SUMIFS(tabela_registros[VALOR],tabela_registros[MÊS],$AE$1,tabela_registros[DIA],receitasvariáveisconsolidadojul[[#Headers],[18]],tabela_registros[REGISTRO],DADOS!$N$3,tabela_registros[TIPO],DADOS!$V$4,tabela_registros[CATEGORIA],receitasvariáveisconsolidadojul[[#This Row],[ATUAL]])</f>
        <v>0</v>
      </c>
      <c r="W97" s="119" t="n">
        <f aca="false">SUMIFS(tabela_registros[VALOR],tabela_registros[MÊS],$AE$1,tabela_registros[DIA],receitasvariáveisconsolidadojul[[#Headers],[19]],tabela_registros[REGISTRO],DADOS!$N$3,tabela_registros[TIPO],DADOS!$V$4,tabela_registros[CATEGORIA],receitasvariáveisconsolidadojul[[#This Row],[ATUAL]])</f>
        <v>0</v>
      </c>
      <c r="X97" s="119" t="n">
        <f aca="false">SUMIFS(tabela_registros[VALOR],tabela_registros[MÊS],$AE$1,tabela_registros[DIA],receitasvariáveisconsolidadojul[[#Headers],[20]],tabela_registros[REGISTRO],DADOS!$N$3,tabela_registros[TIPO],DADOS!$V$4,tabela_registros[CATEGORIA],receitasvariáveisconsolidadojul[[#This Row],[ATUAL]])</f>
        <v>0</v>
      </c>
      <c r="Y97" s="119" t="n">
        <f aca="false">SUMIFS(tabela_registros[VALOR],tabela_registros[MÊS],$AE$1,tabela_registros[DIA],receitasvariáveisconsolidadojul[[#Headers],[21]],tabela_registros[REGISTRO],DADOS!$N$3,tabela_registros[TIPO],DADOS!$V$4,tabela_registros[CATEGORIA],receitasvariáveisconsolidadojul[[#This Row],[ATUAL]])</f>
        <v>0</v>
      </c>
      <c r="Z97" s="119" t="n">
        <f aca="false">SUMIFS(tabela_registros[VALOR],tabela_registros[MÊS],$AE$1,tabela_registros[DIA],receitasvariáveisconsolidadojul[[#Headers],[22]],tabela_registros[REGISTRO],DADOS!$N$3,tabela_registros[TIPO],DADOS!$V$4,tabela_registros[CATEGORIA],receitasvariáveisconsolidadojul[[#This Row],[ATUAL]])</f>
        <v>0</v>
      </c>
      <c r="AA97" s="119" t="n">
        <f aca="false">SUMIFS(tabela_registros[VALOR],tabela_registros[MÊS],$AE$1,tabela_registros[DIA],receitasvariáveisconsolidadojul[[#Headers],[23]],tabela_registros[REGISTRO],DADOS!$N$3,tabela_registros[TIPO],DADOS!$V$4,tabela_registros[CATEGORIA],receitasvariáveisconsolidadojul[[#This Row],[ATUAL]])</f>
        <v>0</v>
      </c>
      <c r="AB97" s="119" t="n">
        <f aca="false">SUMIFS(tabela_registros[VALOR],tabela_registros[MÊS],$AE$1,tabela_registros[DIA],receitasvariáveisconsolidadojul[[#Headers],[24]],tabela_registros[REGISTRO],DADOS!$N$3,tabela_registros[TIPO],DADOS!$V$4,tabela_registros[CATEGORIA],receitasvariáveisconsolidadojul[[#This Row],[ATUAL]])</f>
        <v>0</v>
      </c>
      <c r="AC97" s="119" t="n">
        <f aca="false">SUMIFS(tabela_registros[VALOR],tabela_registros[MÊS],$AE$1,tabela_registros[DIA],receitasvariáveisconsolidadojul[[#Headers],[25]],tabela_registros[REGISTRO],DADOS!$N$3,tabela_registros[TIPO],DADOS!$V$4,tabela_registros[CATEGORIA],receitasvariáveisconsolidadojul[[#This Row],[ATUAL]])</f>
        <v>0</v>
      </c>
      <c r="AD97" s="119" t="n">
        <f aca="false">SUMIFS(tabela_registros[VALOR],tabela_registros[MÊS],$AE$1,tabela_registros[DIA],receitasvariáveisconsolidadojul[[#Headers],[26]],tabela_registros[REGISTRO],DADOS!$N$3,tabela_registros[TIPO],DADOS!$V$4,tabela_registros[CATEGORIA],receitasvariáveisconsolidadojul[[#This Row],[ATUAL]])</f>
        <v>0</v>
      </c>
      <c r="AE97" s="119" t="n">
        <f aca="false">SUMIFS(tabela_registros[VALOR],tabela_registros[MÊS],$AE$1,tabela_registros[DIA],receitasvariáveisconsolidadojul[[#Headers],[27]],tabela_registros[REGISTRO],DADOS!$N$3,tabela_registros[TIPO],DADOS!$V$4,tabela_registros[CATEGORIA],receitasvariáveisconsolidadojul[[#This Row],[ATUAL]])</f>
        <v>0</v>
      </c>
      <c r="AF97" s="119" t="n">
        <f aca="false">SUMIFS(tabela_registros[VALOR],tabela_registros[MÊS],$AE$1,tabela_registros[DIA],receitasvariáveisconsolidadojul[[#Headers],[28]],tabela_registros[REGISTRO],DADOS!$N$3,tabela_registros[TIPO],DADOS!$V$4,tabela_registros[CATEGORIA],receitasvariáveisconsolidadojul[[#This Row],[ATUAL]])</f>
        <v>0</v>
      </c>
      <c r="AG97" s="119" t="n">
        <f aca="false">SUMIFS(tabela_registros[VALOR],tabela_registros[MÊS],$AE$1,tabela_registros[DIA],receitasvariáveisconsolidadojul[[#Headers],[29]],tabela_registros[REGISTRO],DADOS!$N$3,tabela_registros[TIPO],DADOS!$V$4,tabela_registros[CATEGORIA],receitasvariáveisconsolidadojul[[#This Row],[ATUAL]])</f>
        <v>0</v>
      </c>
      <c r="AH97" s="119" t="n">
        <f aca="false">SUMIFS(tabela_registros[VALOR],tabela_registros[MÊS],$AE$1,tabela_registros[DIA],receitasvariáveisconsolidadojul[[#Headers],[30]],tabela_registros[REGISTRO],DADOS!$N$3,tabela_registros[TIPO],DADOS!$V$4,tabela_registros[CATEGORIA],receitasvariáveisconsolidadojul[[#This Row],[ATUAL]])</f>
        <v>0</v>
      </c>
      <c r="AI97" s="217" t="n">
        <f aca="false">SUMIFS(tabela_registros[VALOR],tabela_registros[MÊS],$AE$1,tabela_registros[DIA],receitasvariáveisconsolidadojul[[#Headers],[31]],tabela_registros[REGISTRO],DADOS!$N$3,tabela_registros[TIPO],DADOS!$V$4,tabela_registros[CATEGORIA],receitasvariáveisconsolidadojul[[#This Row],[ATUAL]])</f>
        <v>0</v>
      </c>
      <c r="AJ97" s="149" t="n">
        <f aca="false">SUM(receitasvariáveisconsolidadojul[[#This Row],[1]:[31]])</f>
        <v>0</v>
      </c>
      <c r="AK97" s="165"/>
    </row>
    <row r="98" customFormat="false" ht="19.5" hidden="false" customHeight="true" outlineLevel="0" collapsed="false">
      <c r="B98" s="143"/>
      <c r="C98" s="144" t="str">
        <f aca="false">DADOS!$Z$5</f>
        <v>🎗️ HERANÇA</v>
      </c>
      <c r="D98" s="145" t="str">
        <f aca="false">IF(receitasvariáveisconsolidadojul[[#This Row],[TOTAL (R$)]]=0,"",IF(OR(receitasvariáveisconsolidadojul[[#This Row],[TOTAL (R$)]]=LARGE($AJ$96:$AJ$103,1),receitasvariáveisconsolidadojul[[#This Row],[TOTAL (R$)]]=LARGE($AJ$96:$AJ$103,2)),DADOS!$I$9,""))</f>
        <v/>
      </c>
      <c r="E98" s="148" t="n">
        <f aca="false">SUMIFS(tabela_registros[VALOR],tabela_registros[MÊS],$AE$1,tabela_registros[DIA],receitasvariáveisconsolidadojul[[#Headers],[1]],tabela_registros[REGISTRO],DADOS!$N$3,tabela_registros[TIPO],DADOS!$V$4,tabela_registros[CATEGORIA],receitasvariáveisconsolidadojul[[#This Row],[ATUAL]])</f>
        <v>0</v>
      </c>
      <c r="F98" s="119" t="n">
        <f aca="false">SUMIFS(tabela_registros[VALOR],tabela_registros[MÊS],$AE$1,tabela_registros[DIA],receitasvariáveisconsolidadojul[[#Headers],[2]],tabela_registros[REGISTRO],DADOS!$N$3,tabela_registros[TIPO],DADOS!$V$4,tabela_registros[CATEGORIA],receitasvariáveisconsolidadojul[[#This Row],[ATUAL]])</f>
        <v>0</v>
      </c>
      <c r="G98" s="119" t="n">
        <f aca="false">SUMIFS(tabela_registros[VALOR],tabela_registros[MÊS],$AE$1,tabela_registros[DIA],receitasvariáveisconsolidadojul[[#Headers],[3]],tabela_registros[REGISTRO],DADOS!$N$3,tabela_registros[TIPO],DADOS!$V$4,tabela_registros[CATEGORIA],receitasvariáveisconsolidadojul[[#This Row],[ATUAL]])</f>
        <v>0</v>
      </c>
      <c r="H98" s="119" t="n">
        <f aca="false">SUMIFS(tabela_registros[VALOR],tabela_registros[MÊS],$AE$1,tabela_registros[DIA],receitasvariáveisconsolidadojul[[#Headers],[4]],tabela_registros[REGISTRO],DADOS!$N$3,tabela_registros[TIPO],DADOS!$V$4,tabela_registros[CATEGORIA],receitasvariáveisconsolidadojul[[#This Row],[ATUAL]])</f>
        <v>0</v>
      </c>
      <c r="I98" s="119" t="n">
        <f aca="false">SUMIFS(tabela_registros[VALOR],tabela_registros[MÊS],$AE$1,tabela_registros[DIA],receitasvariáveisconsolidadojul[[#Headers],[5]],tabela_registros[REGISTRO],DADOS!$N$3,tabela_registros[TIPO],DADOS!$V$4,tabela_registros[CATEGORIA],receitasvariáveisconsolidadojul[[#This Row],[ATUAL]])</f>
        <v>0</v>
      </c>
      <c r="J98" s="119" t="n">
        <f aca="false">SUMIFS(tabela_registros[VALOR],tabela_registros[MÊS],$AE$1,tabela_registros[DIA],receitasvariáveisconsolidadojul[[#Headers],[6]],tabela_registros[REGISTRO],DADOS!$N$3,tabela_registros[TIPO],DADOS!$V$4,tabela_registros[CATEGORIA],receitasvariáveisconsolidadojul[[#This Row],[ATUAL]])</f>
        <v>0</v>
      </c>
      <c r="K98" s="119" t="n">
        <f aca="false">SUMIFS(tabela_registros[VALOR],tabela_registros[MÊS],$AE$1,tabela_registros[DIA],receitasvariáveisconsolidadojul[[#Headers],[7]],tabela_registros[REGISTRO],DADOS!$N$3,tabela_registros[TIPO],DADOS!$V$4,tabela_registros[CATEGORIA],receitasvariáveisconsolidadojul[[#This Row],[ATUAL]])</f>
        <v>0</v>
      </c>
      <c r="L98" s="119" t="n">
        <f aca="false">SUMIFS(tabela_registros[VALOR],tabela_registros[MÊS],$AE$1,tabela_registros[DIA],receitasvariáveisconsolidadojul[[#Headers],[8]],tabela_registros[REGISTRO],DADOS!$N$3,tabela_registros[TIPO],DADOS!$V$4,tabela_registros[CATEGORIA],receitasvariáveisconsolidadojul[[#This Row],[ATUAL]])</f>
        <v>0</v>
      </c>
      <c r="M98" s="119" t="n">
        <f aca="false">SUMIFS(tabela_registros[VALOR],tabela_registros[MÊS],$AE$1,tabela_registros[DIA],receitasvariáveisconsolidadojul[[#Headers],[9]],tabela_registros[REGISTRO],DADOS!$N$3,tabela_registros[TIPO],DADOS!$V$4,tabela_registros[CATEGORIA],receitasvariáveisconsolidadojul[[#This Row],[ATUAL]])</f>
        <v>0</v>
      </c>
      <c r="N98" s="119" t="n">
        <f aca="false">SUMIFS(tabela_registros[VALOR],tabela_registros[MÊS],$AE$1,tabela_registros[DIA],receitasvariáveisconsolidadojul[[#Headers],[10]],tabela_registros[REGISTRO],DADOS!$N$3,tabela_registros[TIPO],DADOS!$V$4,tabela_registros[CATEGORIA],receitasvariáveisconsolidadojul[[#This Row],[ATUAL]])</f>
        <v>0</v>
      </c>
      <c r="O98" s="119" t="n">
        <f aca="false">SUMIFS(tabela_registros[VALOR],tabela_registros[MÊS],$AE$1,tabela_registros[DIA],receitasvariáveisconsolidadojul[[#Headers],[11]],tabela_registros[REGISTRO],DADOS!$N$3,tabela_registros[TIPO],DADOS!$V$4,tabela_registros[CATEGORIA],receitasvariáveisconsolidadojul[[#This Row],[ATUAL]])</f>
        <v>0</v>
      </c>
      <c r="P98" s="119" t="n">
        <f aca="false">SUMIFS(tabela_registros[VALOR],tabela_registros[MÊS],$AE$1,tabela_registros[DIA],receitasvariáveisconsolidadojul[[#Headers],[12]],tabela_registros[REGISTRO],DADOS!$N$3,tabela_registros[TIPO],DADOS!$V$4,tabela_registros[CATEGORIA],receitasvariáveisconsolidadojul[[#This Row],[ATUAL]])</f>
        <v>0</v>
      </c>
      <c r="Q98" s="119" t="n">
        <f aca="false">SUMIFS(tabela_registros[VALOR],tabela_registros[MÊS],$AE$1,tabela_registros[DIA],receitasvariáveisconsolidadojul[[#Headers],[13]],tabela_registros[REGISTRO],DADOS!$N$3,tabela_registros[TIPO],DADOS!$V$4,tabela_registros[CATEGORIA],receitasvariáveisconsolidadojul[[#This Row],[ATUAL]])</f>
        <v>0</v>
      </c>
      <c r="R98" s="119" t="n">
        <f aca="false">SUMIFS(tabela_registros[VALOR],tabela_registros[MÊS],$AE$1,tabela_registros[DIA],receitasvariáveisconsolidadojul[[#Headers],[14]],tabela_registros[REGISTRO],DADOS!$N$3,tabela_registros[TIPO],DADOS!$V$4,tabela_registros[CATEGORIA],receitasvariáveisconsolidadojul[[#This Row],[ATUAL]])</f>
        <v>0</v>
      </c>
      <c r="S98" s="119" t="n">
        <f aca="false">SUMIFS(tabela_registros[VALOR],tabela_registros[MÊS],$AE$1,tabela_registros[DIA],receitasvariáveisconsolidadojul[[#Headers],[15]],tabela_registros[REGISTRO],DADOS!$N$3,tabela_registros[TIPO],DADOS!$V$4,tabela_registros[CATEGORIA],receitasvariáveisconsolidadojul[[#This Row],[ATUAL]])</f>
        <v>0</v>
      </c>
      <c r="T98" s="119" t="n">
        <f aca="false">SUMIFS(tabela_registros[VALOR],tabela_registros[MÊS],$AE$1,tabela_registros[DIA],receitasvariáveisconsolidadojul[[#Headers],[16]],tabela_registros[REGISTRO],DADOS!$N$3,tabela_registros[TIPO],DADOS!$V$4,tabela_registros[CATEGORIA],receitasvariáveisconsolidadojul[[#This Row],[ATUAL]])</f>
        <v>0</v>
      </c>
      <c r="U98" s="119" t="n">
        <f aca="false">SUMIFS(tabela_registros[VALOR],tabela_registros[MÊS],$AE$1,tabela_registros[DIA],receitasvariáveisconsolidadojul[[#Headers],[17]],tabela_registros[REGISTRO],DADOS!$N$3,tabela_registros[TIPO],DADOS!$V$4,tabela_registros[CATEGORIA],receitasvariáveisconsolidadojul[[#This Row],[ATUAL]])</f>
        <v>0</v>
      </c>
      <c r="V98" s="119" t="n">
        <f aca="false">SUMIFS(tabela_registros[VALOR],tabela_registros[MÊS],$AE$1,tabela_registros[DIA],receitasvariáveisconsolidadojul[[#Headers],[18]],tabela_registros[REGISTRO],DADOS!$N$3,tabela_registros[TIPO],DADOS!$V$4,tabela_registros[CATEGORIA],receitasvariáveisconsolidadojul[[#This Row],[ATUAL]])</f>
        <v>0</v>
      </c>
      <c r="W98" s="119" t="n">
        <f aca="false">SUMIFS(tabela_registros[VALOR],tabela_registros[MÊS],$AE$1,tabela_registros[DIA],receitasvariáveisconsolidadojul[[#Headers],[19]],tabela_registros[REGISTRO],DADOS!$N$3,tabela_registros[TIPO],DADOS!$V$4,tabela_registros[CATEGORIA],receitasvariáveisconsolidadojul[[#This Row],[ATUAL]])</f>
        <v>0</v>
      </c>
      <c r="X98" s="119" t="n">
        <f aca="false">SUMIFS(tabela_registros[VALOR],tabela_registros[MÊS],$AE$1,tabela_registros[DIA],receitasvariáveisconsolidadojul[[#Headers],[20]],tabela_registros[REGISTRO],DADOS!$N$3,tabela_registros[TIPO],DADOS!$V$4,tabela_registros[CATEGORIA],receitasvariáveisconsolidadojul[[#This Row],[ATUAL]])</f>
        <v>0</v>
      </c>
      <c r="Y98" s="119" t="n">
        <f aca="false">SUMIFS(tabela_registros[VALOR],tabela_registros[MÊS],$AE$1,tabela_registros[DIA],receitasvariáveisconsolidadojul[[#Headers],[21]],tabela_registros[REGISTRO],DADOS!$N$3,tabela_registros[TIPO],DADOS!$V$4,tabela_registros[CATEGORIA],receitasvariáveisconsolidadojul[[#This Row],[ATUAL]])</f>
        <v>0</v>
      </c>
      <c r="Z98" s="119" t="n">
        <f aca="false">SUMIFS(tabela_registros[VALOR],tabela_registros[MÊS],$AE$1,tabela_registros[DIA],receitasvariáveisconsolidadojul[[#Headers],[22]],tabela_registros[REGISTRO],DADOS!$N$3,tabela_registros[TIPO],DADOS!$V$4,tabela_registros[CATEGORIA],receitasvariáveisconsolidadojul[[#This Row],[ATUAL]])</f>
        <v>0</v>
      </c>
      <c r="AA98" s="119" t="n">
        <f aca="false">SUMIFS(tabela_registros[VALOR],tabela_registros[MÊS],$AE$1,tabela_registros[DIA],receitasvariáveisconsolidadojul[[#Headers],[23]],tabela_registros[REGISTRO],DADOS!$N$3,tabela_registros[TIPO],DADOS!$V$4,tabela_registros[CATEGORIA],receitasvariáveisconsolidadojul[[#This Row],[ATUAL]])</f>
        <v>0</v>
      </c>
      <c r="AB98" s="119" t="n">
        <f aca="false">SUMIFS(tabela_registros[VALOR],tabela_registros[MÊS],$AE$1,tabela_registros[DIA],receitasvariáveisconsolidadojul[[#Headers],[24]],tabela_registros[REGISTRO],DADOS!$N$3,tabela_registros[TIPO],DADOS!$V$4,tabela_registros[CATEGORIA],receitasvariáveisconsolidadojul[[#This Row],[ATUAL]])</f>
        <v>0</v>
      </c>
      <c r="AC98" s="119" t="n">
        <f aca="false">SUMIFS(tabela_registros[VALOR],tabela_registros[MÊS],$AE$1,tabela_registros[DIA],receitasvariáveisconsolidadojul[[#Headers],[25]],tabela_registros[REGISTRO],DADOS!$N$3,tabela_registros[TIPO],DADOS!$V$4,tabela_registros[CATEGORIA],receitasvariáveisconsolidadojul[[#This Row],[ATUAL]])</f>
        <v>0</v>
      </c>
      <c r="AD98" s="119" t="n">
        <f aca="false">SUMIFS(tabela_registros[VALOR],tabela_registros[MÊS],$AE$1,tabela_registros[DIA],receitasvariáveisconsolidadojul[[#Headers],[26]],tabela_registros[REGISTRO],DADOS!$N$3,tabela_registros[TIPO],DADOS!$V$4,tabela_registros[CATEGORIA],receitasvariáveisconsolidadojul[[#This Row],[ATUAL]])</f>
        <v>0</v>
      </c>
      <c r="AE98" s="119" t="n">
        <f aca="false">SUMIFS(tabela_registros[VALOR],tabela_registros[MÊS],$AE$1,tabela_registros[DIA],receitasvariáveisconsolidadojul[[#Headers],[27]],tabela_registros[REGISTRO],DADOS!$N$3,tabela_registros[TIPO],DADOS!$V$4,tabela_registros[CATEGORIA],receitasvariáveisconsolidadojul[[#This Row],[ATUAL]])</f>
        <v>0</v>
      </c>
      <c r="AF98" s="119" t="n">
        <f aca="false">SUMIFS(tabela_registros[VALOR],tabela_registros[MÊS],$AE$1,tabela_registros[DIA],receitasvariáveisconsolidadojul[[#Headers],[28]],tabela_registros[REGISTRO],DADOS!$N$3,tabela_registros[TIPO],DADOS!$V$4,tabela_registros[CATEGORIA],receitasvariáveisconsolidadojul[[#This Row],[ATUAL]])</f>
        <v>0</v>
      </c>
      <c r="AG98" s="119" t="n">
        <f aca="false">SUMIFS(tabela_registros[VALOR],tabela_registros[MÊS],$AE$1,tabela_registros[DIA],receitasvariáveisconsolidadojul[[#Headers],[29]],tabela_registros[REGISTRO],DADOS!$N$3,tabela_registros[TIPO],DADOS!$V$4,tabela_registros[CATEGORIA],receitasvariáveisconsolidadojul[[#This Row],[ATUAL]])</f>
        <v>0</v>
      </c>
      <c r="AH98" s="119" t="n">
        <f aca="false">SUMIFS(tabela_registros[VALOR],tabela_registros[MÊS],$AE$1,tabela_registros[DIA],receitasvariáveisconsolidadojul[[#Headers],[30]],tabela_registros[REGISTRO],DADOS!$N$3,tabela_registros[TIPO],DADOS!$V$4,tabela_registros[CATEGORIA],receitasvariáveisconsolidadojul[[#This Row],[ATUAL]])</f>
        <v>0</v>
      </c>
      <c r="AI98" s="217" t="n">
        <f aca="false">SUMIFS(tabela_registros[VALOR],tabela_registros[MÊS],$AE$1,tabela_registros[DIA],receitasvariáveisconsolidadojul[[#Headers],[31]],tabela_registros[REGISTRO],DADOS!$N$3,tabela_registros[TIPO],DADOS!$V$4,tabela_registros[CATEGORIA],receitasvariáveisconsolidadojul[[#This Row],[ATUAL]])</f>
        <v>0</v>
      </c>
      <c r="AJ98" s="149" t="n">
        <f aca="false">SUM(receitasvariáveisconsolidadojul[[#This Row],[1]:[31]])</f>
        <v>0</v>
      </c>
      <c r="AK98" s="165"/>
    </row>
    <row r="99" customFormat="false" ht="19.5" hidden="false" customHeight="true" outlineLevel="0" collapsed="false">
      <c r="B99" s="143"/>
      <c r="C99" s="144" t="str">
        <f aca="false">DADOS!$Z$6</f>
        <v>💲 INVESTIMENTOS</v>
      </c>
      <c r="D99" s="145" t="str">
        <f aca="false">IF(receitasvariáveisconsolidadojul[[#This Row],[TOTAL (R$)]]=0,"",IF(OR(receitasvariáveisconsolidadojul[[#This Row],[TOTAL (R$)]]=LARGE($AJ$96:$AJ$103,1),receitasvariáveisconsolidadojul[[#This Row],[TOTAL (R$)]]=LARGE($AJ$96:$AJ$103,2)),DADOS!$I$9,""))</f>
        <v/>
      </c>
      <c r="E99" s="148" t="n">
        <f aca="false">SUMIFS(tabela_registros[VALOR],tabela_registros[MÊS],$AE$1,tabela_registros[DIA],receitasvariáveisconsolidadojul[[#Headers],[1]],tabela_registros[REGISTRO],DADOS!$N$3,tabela_registros[TIPO],DADOS!$V$4,tabela_registros[CATEGORIA],receitasvariáveisconsolidadojul[[#This Row],[ATUAL]])</f>
        <v>0</v>
      </c>
      <c r="F99" s="119" t="n">
        <f aca="false">SUMIFS(tabela_registros[VALOR],tabela_registros[MÊS],$AE$1,tabela_registros[DIA],receitasvariáveisconsolidadojul[[#Headers],[2]],tabela_registros[REGISTRO],DADOS!$N$3,tabela_registros[TIPO],DADOS!$V$4,tabela_registros[CATEGORIA],receitasvariáveisconsolidadojul[[#This Row],[ATUAL]])</f>
        <v>0</v>
      </c>
      <c r="G99" s="119" t="n">
        <f aca="false">SUMIFS(tabela_registros[VALOR],tabela_registros[MÊS],$AE$1,tabela_registros[DIA],receitasvariáveisconsolidadojul[[#Headers],[3]],tabela_registros[REGISTRO],DADOS!$N$3,tabela_registros[TIPO],DADOS!$V$4,tabela_registros[CATEGORIA],receitasvariáveisconsolidadojul[[#This Row],[ATUAL]])</f>
        <v>0</v>
      </c>
      <c r="H99" s="119" t="n">
        <f aca="false">SUMIFS(tabela_registros[VALOR],tabela_registros[MÊS],$AE$1,tabela_registros[DIA],receitasvariáveisconsolidadojul[[#Headers],[4]],tabela_registros[REGISTRO],DADOS!$N$3,tabela_registros[TIPO],DADOS!$V$4,tabela_registros[CATEGORIA],receitasvariáveisconsolidadojul[[#This Row],[ATUAL]])</f>
        <v>0</v>
      </c>
      <c r="I99" s="119" t="n">
        <f aca="false">SUMIFS(tabela_registros[VALOR],tabela_registros[MÊS],$AE$1,tabela_registros[DIA],receitasvariáveisconsolidadojul[[#Headers],[5]],tabela_registros[REGISTRO],DADOS!$N$3,tabela_registros[TIPO],DADOS!$V$4,tabela_registros[CATEGORIA],receitasvariáveisconsolidadojul[[#This Row],[ATUAL]])</f>
        <v>0</v>
      </c>
      <c r="J99" s="119" t="n">
        <f aca="false">SUMIFS(tabela_registros[VALOR],tabela_registros[MÊS],$AE$1,tabela_registros[DIA],receitasvariáveisconsolidadojul[[#Headers],[6]],tabela_registros[REGISTRO],DADOS!$N$3,tabela_registros[TIPO],DADOS!$V$4,tabela_registros[CATEGORIA],receitasvariáveisconsolidadojul[[#This Row],[ATUAL]])</f>
        <v>0</v>
      </c>
      <c r="K99" s="119" t="n">
        <f aca="false">SUMIFS(tabela_registros[VALOR],tabela_registros[MÊS],$AE$1,tabela_registros[DIA],receitasvariáveisconsolidadojul[[#Headers],[7]],tabela_registros[REGISTRO],DADOS!$N$3,tabela_registros[TIPO],DADOS!$V$4,tabela_registros[CATEGORIA],receitasvariáveisconsolidadojul[[#This Row],[ATUAL]])</f>
        <v>0</v>
      </c>
      <c r="L99" s="119" t="n">
        <f aca="false">SUMIFS(tabela_registros[VALOR],tabela_registros[MÊS],$AE$1,tabela_registros[DIA],receitasvariáveisconsolidadojul[[#Headers],[8]],tabela_registros[REGISTRO],DADOS!$N$3,tabela_registros[TIPO],DADOS!$V$4,tabela_registros[CATEGORIA],receitasvariáveisconsolidadojul[[#This Row],[ATUAL]])</f>
        <v>0</v>
      </c>
      <c r="M99" s="119" t="n">
        <f aca="false">SUMIFS(tabela_registros[VALOR],tabela_registros[MÊS],$AE$1,tabela_registros[DIA],receitasvariáveisconsolidadojul[[#Headers],[9]],tabela_registros[REGISTRO],DADOS!$N$3,tabela_registros[TIPO],DADOS!$V$4,tabela_registros[CATEGORIA],receitasvariáveisconsolidadojul[[#This Row],[ATUAL]])</f>
        <v>0</v>
      </c>
      <c r="N99" s="119" t="n">
        <f aca="false">SUMIFS(tabela_registros[VALOR],tabela_registros[MÊS],$AE$1,tabela_registros[DIA],receitasvariáveisconsolidadojul[[#Headers],[10]],tabela_registros[REGISTRO],DADOS!$N$3,tabela_registros[TIPO],DADOS!$V$4,tabela_registros[CATEGORIA],receitasvariáveisconsolidadojul[[#This Row],[ATUAL]])</f>
        <v>0</v>
      </c>
      <c r="O99" s="119" t="n">
        <f aca="false">SUMIFS(tabela_registros[VALOR],tabela_registros[MÊS],$AE$1,tabela_registros[DIA],receitasvariáveisconsolidadojul[[#Headers],[11]],tabela_registros[REGISTRO],DADOS!$N$3,tabela_registros[TIPO],DADOS!$V$4,tabela_registros[CATEGORIA],receitasvariáveisconsolidadojul[[#This Row],[ATUAL]])</f>
        <v>0</v>
      </c>
      <c r="P99" s="119" t="n">
        <f aca="false">SUMIFS(tabela_registros[VALOR],tabela_registros[MÊS],$AE$1,tabela_registros[DIA],receitasvariáveisconsolidadojul[[#Headers],[12]],tabela_registros[REGISTRO],DADOS!$N$3,tabela_registros[TIPO],DADOS!$V$4,tabela_registros[CATEGORIA],receitasvariáveisconsolidadojul[[#This Row],[ATUAL]])</f>
        <v>0</v>
      </c>
      <c r="Q99" s="119" t="n">
        <f aca="false">SUMIFS(tabela_registros[VALOR],tabela_registros[MÊS],$AE$1,tabela_registros[DIA],receitasvariáveisconsolidadojul[[#Headers],[13]],tabela_registros[REGISTRO],DADOS!$N$3,tabela_registros[TIPO],DADOS!$V$4,tabela_registros[CATEGORIA],receitasvariáveisconsolidadojul[[#This Row],[ATUAL]])</f>
        <v>0</v>
      </c>
      <c r="R99" s="119" t="n">
        <f aca="false">SUMIFS(tabela_registros[VALOR],tabela_registros[MÊS],$AE$1,tabela_registros[DIA],receitasvariáveisconsolidadojul[[#Headers],[14]],tabela_registros[REGISTRO],DADOS!$N$3,tabela_registros[TIPO],DADOS!$V$4,tabela_registros[CATEGORIA],receitasvariáveisconsolidadojul[[#This Row],[ATUAL]])</f>
        <v>0</v>
      </c>
      <c r="S99" s="119" t="n">
        <f aca="false">SUMIFS(tabela_registros[VALOR],tabela_registros[MÊS],$AE$1,tabela_registros[DIA],receitasvariáveisconsolidadojul[[#Headers],[15]],tabela_registros[REGISTRO],DADOS!$N$3,tabela_registros[TIPO],DADOS!$V$4,tabela_registros[CATEGORIA],receitasvariáveisconsolidadojul[[#This Row],[ATUAL]])</f>
        <v>0</v>
      </c>
      <c r="T99" s="119" t="n">
        <f aca="false">SUMIFS(tabela_registros[VALOR],tabela_registros[MÊS],$AE$1,tabela_registros[DIA],receitasvariáveisconsolidadojul[[#Headers],[16]],tabela_registros[REGISTRO],DADOS!$N$3,tabela_registros[TIPO],DADOS!$V$4,tabela_registros[CATEGORIA],receitasvariáveisconsolidadojul[[#This Row],[ATUAL]])</f>
        <v>0</v>
      </c>
      <c r="U99" s="119" t="n">
        <f aca="false">SUMIFS(tabela_registros[VALOR],tabela_registros[MÊS],$AE$1,tabela_registros[DIA],receitasvariáveisconsolidadojul[[#Headers],[17]],tabela_registros[REGISTRO],DADOS!$N$3,tabela_registros[TIPO],DADOS!$V$4,tabela_registros[CATEGORIA],receitasvariáveisconsolidadojul[[#This Row],[ATUAL]])</f>
        <v>0</v>
      </c>
      <c r="V99" s="119" t="n">
        <f aca="false">SUMIFS(tabela_registros[VALOR],tabela_registros[MÊS],$AE$1,tabela_registros[DIA],receitasvariáveisconsolidadojul[[#Headers],[18]],tabela_registros[REGISTRO],DADOS!$N$3,tabela_registros[TIPO],DADOS!$V$4,tabela_registros[CATEGORIA],receitasvariáveisconsolidadojul[[#This Row],[ATUAL]])</f>
        <v>0</v>
      </c>
      <c r="W99" s="119" t="n">
        <f aca="false">SUMIFS(tabela_registros[VALOR],tabela_registros[MÊS],$AE$1,tabela_registros[DIA],receitasvariáveisconsolidadojul[[#Headers],[19]],tabela_registros[REGISTRO],DADOS!$N$3,tabela_registros[TIPO],DADOS!$V$4,tabela_registros[CATEGORIA],receitasvariáveisconsolidadojul[[#This Row],[ATUAL]])</f>
        <v>0</v>
      </c>
      <c r="X99" s="119" t="n">
        <f aca="false">SUMIFS(tabela_registros[VALOR],tabela_registros[MÊS],$AE$1,tabela_registros[DIA],receitasvariáveisconsolidadojul[[#Headers],[20]],tabela_registros[REGISTRO],DADOS!$N$3,tabela_registros[TIPO],DADOS!$V$4,tabela_registros[CATEGORIA],receitasvariáveisconsolidadojul[[#This Row],[ATUAL]])</f>
        <v>0</v>
      </c>
      <c r="Y99" s="119" t="n">
        <f aca="false">SUMIFS(tabela_registros[VALOR],tabela_registros[MÊS],$AE$1,tabela_registros[DIA],receitasvariáveisconsolidadojul[[#Headers],[21]],tabela_registros[REGISTRO],DADOS!$N$3,tabela_registros[TIPO],DADOS!$V$4,tabela_registros[CATEGORIA],receitasvariáveisconsolidadojul[[#This Row],[ATUAL]])</f>
        <v>0</v>
      </c>
      <c r="Z99" s="119" t="n">
        <f aca="false">SUMIFS(tabela_registros[VALOR],tabela_registros[MÊS],$AE$1,tabela_registros[DIA],receitasvariáveisconsolidadojul[[#Headers],[22]],tabela_registros[REGISTRO],DADOS!$N$3,tabela_registros[TIPO],DADOS!$V$4,tabela_registros[CATEGORIA],receitasvariáveisconsolidadojul[[#This Row],[ATUAL]])</f>
        <v>0</v>
      </c>
      <c r="AA99" s="119" t="n">
        <f aca="false">SUMIFS(tabela_registros[VALOR],tabela_registros[MÊS],$AE$1,tabela_registros[DIA],receitasvariáveisconsolidadojul[[#Headers],[23]],tabela_registros[REGISTRO],DADOS!$N$3,tabela_registros[TIPO],DADOS!$V$4,tabela_registros[CATEGORIA],receitasvariáveisconsolidadojul[[#This Row],[ATUAL]])</f>
        <v>0</v>
      </c>
      <c r="AB99" s="119" t="n">
        <f aca="false">SUMIFS(tabela_registros[VALOR],tabela_registros[MÊS],$AE$1,tabela_registros[DIA],receitasvariáveisconsolidadojul[[#Headers],[24]],tabela_registros[REGISTRO],DADOS!$N$3,tabela_registros[TIPO],DADOS!$V$4,tabela_registros[CATEGORIA],receitasvariáveisconsolidadojul[[#This Row],[ATUAL]])</f>
        <v>0</v>
      </c>
      <c r="AC99" s="119" t="n">
        <f aca="false">SUMIFS(tabela_registros[VALOR],tabela_registros[MÊS],$AE$1,tabela_registros[DIA],receitasvariáveisconsolidadojul[[#Headers],[25]],tabela_registros[REGISTRO],DADOS!$N$3,tabela_registros[TIPO],DADOS!$V$4,tabela_registros[CATEGORIA],receitasvariáveisconsolidadojul[[#This Row],[ATUAL]])</f>
        <v>0</v>
      </c>
      <c r="AD99" s="119" t="n">
        <f aca="false">SUMIFS(tabela_registros[VALOR],tabela_registros[MÊS],$AE$1,tabela_registros[DIA],receitasvariáveisconsolidadojul[[#Headers],[26]],tabela_registros[REGISTRO],DADOS!$N$3,tabela_registros[TIPO],DADOS!$V$4,tabela_registros[CATEGORIA],receitasvariáveisconsolidadojul[[#This Row],[ATUAL]])</f>
        <v>0</v>
      </c>
      <c r="AE99" s="119" t="n">
        <f aca="false">SUMIFS(tabela_registros[VALOR],tabela_registros[MÊS],$AE$1,tabela_registros[DIA],receitasvariáveisconsolidadojul[[#Headers],[27]],tabela_registros[REGISTRO],DADOS!$N$3,tabela_registros[TIPO],DADOS!$V$4,tabela_registros[CATEGORIA],receitasvariáveisconsolidadojul[[#This Row],[ATUAL]])</f>
        <v>0</v>
      </c>
      <c r="AF99" s="119" t="n">
        <f aca="false">SUMIFS(tabela_registros[VALOR],tabela_registros[MÊS],$AE$1,tabela_registros[DIA],receitasvariáveisconsolidadojul[[#Headers],[28]],tabela_registros[REGISTRO],DADOS!$N$3,tabela_registros[TIPO],DADOS!$V$4,tabela_registros[CATEGORIA],receitasvariáveisconsolidadojul[[#This Row],[ATUAL]])</f>
        <v>0</v>
      </c>
      <c r="AG99" s="119" t="n">
        <f aca="false">SUMIFS(tabela_registros[VALOR],tabela_registros[MÊS],$AE$1,tabela_registros[DIA],receitasvariáveisconsolidadojul[[#Headers],[29]],tabela_registros[REGISTRO],DADOS!$N$3,tabela_registros[TIPO],DADOS!$V$4,tabela_registros[CATEGORIA],receitasvariáveisconsolidadojul[[#This Row],[ATUAL]])</f>
        <v>0</v>
      </c>
      <c r="AH99" s="119" t="n">
        <f aca="false">SUMIFS(tabela_registros[VALOR],tabela_registros[MÊS],$AE$1,tabela_registros[DIA],receitasvariáveisconsolidadojul[[#Headers],[30]],tabela_registros[REGISTRO],DADOS!$N$3,tabela_registros[TIPO],DADOS!$V$4,tabela_registros[CATEGORIA],receitasvariáveisconsolidadojul[[#This Row],[ATUAL]])</f>
        <v>0</v>
      </c>
      <c r="AI99" s="217" t="n">
        <f aca="false">SUMIFS(tabela_registros[VALOR],tabela_registros[MÊS],$AE$1,tabela_registros[DIA],receitasvariáveisconsolidadojul[[#Headers],[31]],tabela_registros[REGISTRO],DADOS!$N$3,tabela_registros[TIPO],DADOS!$V$4,tabela_registros[CATEGORIA],receitasvariáveisconsolidadojul[[#This Row],[ATUAL]])</f>
        <v>0</v>
      </c>
      <c r="AJ99" s="149" t="n">
        <f aca="false">SUM(receitasvariáveisconsolidadojul[[#This Row],[1]:[31]])</f>
        <v>0</v>
      </c>
      <c r="AK99" s="165"/>
    </row>
    <row r="100" customFormat="false" ht="19.5" hidden="false" customHeight="true" outlineLevel="0" collapsed="false">
      <c r="B100" s="143"/>
      <c r="C100" s="144" t="str">
        <f aca="false">DADOS!$Z$7</f>
        <v>🧾 NOTA DE SERVIÇO</v>
      </c>
      <c r="D100" s="145" t="str">
        <f aca="false">IF(receitasvariáveisconsolidadojul[[#This Row],[TOTAL (R$)]]=0,"",IF(OR(receitasvariáveisconsolidadojul[[#This Row],[TOTAL (R$)]]=LARGE($AJ$96:$AJ$103,1),receitasvariáveisconsolidadojul[[#This Row],[TOTAL (R$)]]=LARGE($AJ$96:$AJ$103,2)),DADOS!$I$9,""))</f>
        <v/>
      </c>
      <c r="E100" s="148" t="n">
        <f aca="false">SUMIFS(tabela_registros[VALOR],tabela_registros[MÊS],$AE$1,tabela_registros[DIA],receitasvariáveisconsolidadojul[[#Headers],[1]],tabela_registros[REGISTRO],DADOS!$N$3,tabela_registros[TIPO],DADOS!$V$4,tabela_registros[CATEGORIA],receitasvariáveisconsolidadojul[[#This Row],[ATUAL]])</f>
        <v>0</v>
      </c>
      <c r="F100" s="119" t="n">
        <f aca="false">SUMIFS(tabela_registros[VALOR],tabela_registros[MÊS],$AE$1,tabela_registros[DIA],receitasvariáveisconsolidadojul[[#Headers],[2]],tabela_registros[REGISTRO],DADOS!$N$3,tabela_registros[TIPO],DADOS!$V$4,tabela_registros[CATEGORIA],receitasvariáveisconsolidadojul[[#This Row],[ATUAL]])</f>
        <v>0</v>
      </c>
      <c r="G100" s="119" t="n">
        <f aca="false">SUMIFS(tabela_registros[VALOR],tabela_registros[MÊS],$AE$1,tabela_registros[DIA],receitasvariáveisconsolidadojul[[#Headers],[3]],tabela_registros[REGISTRO],DADOS!$N$3,tabela_registros[TIPO],DADOS!$V$4,tabela_registros[CATEGORIA],receitasvariáveisconsolidadojul[[#This Row],[ATUAL]])</f>
        <v>0</v>
      </c>
      <c r="H100" s="119" t="n">
        <f aca="false">SUMIFS(tabela_registros[VALOR],tabela_registros[MÊS],$AE$1,tabela_registros[DIA],receitasvariáveisconsolidadojul[[#Headers],[4]],tabela_registros[REGISTRO],DADOS!$N$3,tabela_registros[TIPO],DADOS!$V$4,tabela_registros[CATEGORIA],receitasvariáveisconsolidadojul[[#This Row],[ATUAL]])</f>
        <v>0</v>
      </c>
      <c r="I100" s="119" t="n">
        <f aca="false">SUMIFS(tabela_registros[VALOR],tabela_registros[MÊS],$AE$1,tabela_registros[DIA],receitasvariáveisconsolidadojul[[#Headers],[5]],tabela_registros[REGISTRO],DADOS!$N$3,tabela_registros[TIPO],DADOS!$V$4,tabela_registros[CATEGORIA],receitasvariáveisconsolidadojul[[#This Row],[ATUAL]])</f>
        <v>0</v>
      </c>
      <c r="J100" s="119" t="n">
        <f aca="false">SUMIFS(tabela_registros[VALOR],tabela_registros[MÊS],$AE$1,tabela_registros[DIA],receitasvariáveisconsolidadojul[[#Headers],[6]],tabela_registros[REGISTRO],DADOS!$N$3,tabela_registros[TIPO],DADOS!$V$4,tabela_registros[CATEGORIA],receitasvariáveisconsolidadojul[[#This Row],[ATUAL]])</f>
        <v>0</v>
      </c>
      <c r="K100" s="119" t="n">
        <f aca="false">SUMIFS(tabela_registros[VALOR],tabela_registros[MÊS],$AE$1,tabela_registros[DIA],receitasvariáveisconsolidadojul[[#Headers],[7]],tabela_registros[REGISTRO],DADOS!$N$3,tabela_registros[TIPO],DADOS!$V$4,tabela_registros[CATEGORIA],receitasvariáveisconsolidadojul[[#This Row],[ATUAL]])</f>
        <v>0</v>
      </c>
      <c r="L100" s="119" t="n">
        <f aca="false">SUMIFS(tabela_registros[VALOR],tabela_registros[MÊS],$AE$1,tabela_registros[DIA],receitasvariáveisconsolidadojul[[#Headers],[8]],tabela_registros[REGISTRO],DADOS!$N$3,tabela_registros[TIPO],DADOS!$V$4,tabela_registros[CATEGORIA],receitasvariáveisconsolidadojul[[#This Row],[ATUAL]])</f>
        <v>0</v>
      </c>
      <c r="M100" s="119" t="n">
        <f aca="false">SUMIFS(tabela_registros[VALOR],tabela_registros[MÊS],$AE$1,tabela_registros[DIA],receitasvariáveisconsolidadojul[[#Headers],[9]],tabela_registros[REGISTRO],DADOS!$N$3,tabela_registros[TIPO],DADOS!$V$4,tabela_registros[CATEGORIA],receitasvariáveisconsolidadojul[[#This Row],[ATUAL]])</f>
        <v>0</v>
      </c>
      <c r="N100" s="119" t="n">
        <f aca="false">SUMIFS(tabela_registros[VALOR],tabela_registros[MÊS],$AE$1,tabela_registros[DIA],receitasvariáveisconsolidadojul[[#Headers],[10]],tabela_registros[REGISTRO],DADOS!$N$3,tabela_registros[TIPO],DADOS!$V$4,tabela_registros[CATEGORIA],receitasvariáveisconsolidadojul[[#This Row],[ATUAL]])</f>
        <v>0</v>
      </c>
      <c r="O100" s="119" t="n">
        <f aca="false">SUMIFS(tabela_registros[VALOR],tabela_registros[MÊS],$AE$1,tabela_registros[DIA],receitasvariáveisconsolidadojul[[#Headers],[11]],tabela_registros[REGISTRO],DADOS!$N$3,tabela_registros[TIPO],DADOS!$V$4,tabela_registros[CATEGORIA],receitasvariáveisconsolidadojul[[#This Row],[ATUAL]])</f>
        <v>0</v>
      </c>
      <c r="P100" s="119" t="n">
        <f aca="false">SUMIFS(tabela_registros[VALOR],tabela_registros[MÊS],$AE$1,tabela_registros[DIA],receitasvariáveisconsolidadojul[[#Headers],[12]],tabela_registros[REGISTRO],DADOS!$N$3,tabela_registros[TIPO],DADOS!$V$4,tabela_registros[CATEGORIA],receitasvariáveisconsolidadojul[[#This Row],[ATUAL]])</f>
        <v>0</v>
      </c>
      <c r="Q100" s="119" t="n">
        <f aca="false">SUMIFS(tabela_registros[VALOR],tabela_registros[MÊS],$AE$1,tabela_registros[DIA],receitasvariáveisconsolidadojul[[#Headers],[13]],tabela_registros[REGISTRO],DADOS!$N$3,tabela_registros[TIPO],DADOS!$V$4,tabela_registros[CATEGORIA],receitasvariáveisconsolidadojul[[#This Row],[ATUAL]])</f>
        <v>0</v>
      </c>
      <c r="R100" s="119" t="n">
        <f aca="false">SUMIFS(tabela_registros[VALOR],tabela_registros[MÊS],$AE$1,tabela_registros[DIA],receitasvariáveisconsolidadojul[[#Headers],[14]],tabela_registros[REGISTRO],DADOS!$N$3,tabela_registros[TIPO],DADOS!$V$4,tabela_registros[CATEGORIA],receitasvariáveisconsolidadojul[[#This Row],[ATUAL]])</f>
        <v>0</v>
      </c>
      <c r="S100" s="119" t="n">
        <f aca="false">SUMIFS(tabela_registros[VALOR],tabela_registros[MÊS],$AE$1,tabela_registros[DIA],receitasvariáveisconsolidadojul[[#Headers],[15]],tabela_registros[REGISTRO],DADOS!$N$3,tabela_registros[TIPO],DADOS!$V$4,tabela_registros[CATEGORIA],receitasvariáveisconsolidadojul[[#This Row],[ATUAL]])</f>
        <v>0</v>
      </c>
      <c r="T100" s="119" t="n">
        <f aca="false">SUMIFS(tabela_registros[VALOR],tabela_registros[MÊS],$AE$1,tabela_registros[DIA],receitasvariáveisconsolidadojul[[#Headers],[16]],tabela_registros[REGISTRO],DADOS!$N$3,tabela_registros[TIPO],DADOS!$V$4,tabela_registros[CATEGORIA],receitasvariáveisconsolidadojul[[#This Row],[ATUAL]])</f>
        <v>0</v>
      </c>
      <c r="U100" s="119" t="n">
        <f aca="false">SUMIFS(tabela_registros[VALOR],tabela_registros[MÊS],$AE$1,tabela_registros[DIA],receitasvariáveisconsolidadojul[[#Headers],[17]],tabela_registros[REGISTRO],DADOS!$N$3,tabela_registros[TIPO],DADOS!$V$4,tabela_registros[CATEGORIA],receitasvariáveisconsolidadojul[[#This Row],[ATUAL]])</f>
        <v>0</v>
      </c>
      <c r="V100" s="119" t="n">
        <f aca="false">SUMIFS(tabela_registros[VALOR],tabela_registros[MÊS],$AE$1,tabela_registros[DIA],receitasvariáveisconsolidadojul[[#Headers],[18]],tabela_registros[REGISTRO],DADOS!$N$3,tabela_registros[TIPO],DADOS!$V$4,tabela_registros[CATEGORIA],receitasvariáveisconsolidadojul[[#This Row],[ATUAL]])</f>
        <v>0</v>
      </c>
      <c r="W100" s="119" t="n">
        <f aca="false">SUMIFS(tabela_registros[VALOR],tabela_registros[MÊS],$AE$1,tabela_registros[DIA],receitasvariáveisconsolidadojul[[#Headers],[19]],tabela_registros[REGISTRO],DADOS!$N$3,tabela_registros[TIPO],DADOS!$V$4,tabela_registros[CATEGORIA],receitasvariáveisconsolidadojul[[#This Row],[ATUAL]])</f>
        <v>0</v>
      </c>
      <c r="X100" s="119" t="n">
        <f aca="false">SUMIFS(tabela_registros[VALOR],tabela_registros[MÊS],$AE$1,tabela_registros[DIA],receitasvariáveisconsolidadojul[[#Headers],[20]],tabela_registros[REGISTRO],DADOS!$N$3,tabela_registros[TIPO],DADOS!$V$4,tabela_registros[CATEGORIA],receitasvariáveisconsolidadojul[[#This Row],[ATUAL]])</f>
        <v>0</v>
      </c>
      <c r="Y100" s="119" t="n">
        <f aca="false">SUMIFS(tabela_registros[VALOR],tabela_registros[MÊS],$AE$1,tabela_registros[DIA],receitasvariáveisconsolidadojul[[#Headers],[21]],tabela_registros[REGISTRO],DADOS!$N$3,tabela_registros[TIPO],DADOS!$V$4,tabela_registros[CATEGORIA],receitasvariáveisconsolidadojul[[#This Row],[ATUAL]])</f>
        <v>0</v>
      </c>
      <c r="Z100" s="119" t="n">
        <f aca="false">SUMIFS(tabela_registros[VALOR],tabela_registros[MÊS],$AE$1,tabela_registros[DIA],receitasvariáveisconsolidadojul[[#Headers],[22]],tabela_registros[REGISTRO],DADOS!$N$3,tabela_registros[TIPO],DADOS!$V$4,tabela_registros[CATEGORIA],receitasvariáveisconsolidadojul[[#This Row],[ATUAL]])</f>
        <v>0</v>
      </c>
      <c r="AA100" s="119" t="n">
        <f aca="false">SUMIFS(tabela_registros[VALOR],tabela_registros[MÊS],$AE$1,tabela_registros[DIA],receitasvariáveisconsolidadojul[[#Headers],[23]],tabela_registros[REGISTRO],DADOS!$N$3,tabela_registros[TIPO],DADOS!$V$4,tabela_registros[CATEGORIA],receitasvariáveisconsolidadojul[[#This Row],[ATUAL]])</f>
        <v>0</v>
      </c>
      <c r="AB100" s="119" t="n">
        <f aca="false">SUMIFS(tabela_registros[VALOR],tabela_registros[MÊS],$AE$1,tabela_registros[DIA],receitasvariáveisconsolidadojul[[#Headers],[24]],tabela_registros[REGISTRO],DADOS!$N$3,tabela_registros[TIPO],DADOS!$V$4,tabela_registros[CATEGORIA],receitasvariáveisconsolidadojul[[#This Row],[ATUAL]])</f>
        <v>0</v>
      </c>
      <c r="AC100" s="119" t="n">
        <f aca="false">SUMIFS(tabela_registros[VALOR],tabela_registros[MÊS],$AE$1,tabela_registros[DIA],receitasvariáveisconsolidadojul[[#Headers],[25]],tabela_registros[REGISTRO],DADOS!$N$3,tabela_registros[TIPO],DADOS!$V$4,tabela_registros[CATEGORIA],receitasvariáveisconsolidadojul[[#This Row],[ATUAL]])</f>
        <v>0</v>
      </c>
      <c r="AD100" s="119" t="n">
        <f aca="false">SUMIFS(tabela_registros[VALOR],tabela_registros[MÊS],$AE$1,tabela_registros[DIA],receitasvariáveisconsolidadojul[[#Headers],[26]],tabela_registros[REGISTRO],DADOS!$N$3,tabela_registros[TIPO],DADOS!$V$4,tabela_registros[CATEGORIA],receitasvariáveisconsolidadojul[[#This Row],[ATUAL]])</f>
        <v>0</v>
      </c>
      <c r="AE100" s="119" t="n">
        <f aca="false">SUMIFS(tabela_registros[VALOR],tabela_registros[MÊS],$AE$1,tabela_registros[DIA],receitasvariáveisconsolidadojul[[#Headers],[27]],tabela_registros[REGISTRO],DADOS!$N$3,tabela_registros[TIPO],DADOS!$V$4,tabela_registros[CATEGORIA],receitasvariáveisconsolidadojul[[#This Row],[ATUAL]])</f>
        <v>0</v>
      </c>
      <c r="AF100" s="119" t="n">
        <f aca="false">SUMIFS(tabela_registros[VALOR],tabela_registros[MÊS],$AE$1,tabela_registros[DIA],receitasvariáveisconsolidadojul[[#Headers],[28]],tabela_registros[REGISTRO],DADOS!$N$3,tabela_registros[TIPO],DADOS!$V$4,tabela_registros[CATEGORIA],receitasvariáveisconsolidadojul[[#This Row],[ATUAL]])</f>
        <v>0</v>
      </c>
      <c r="AG100" s="119" t="n">
        <f aca="false">SUMIFS(tabela_registros[VALOR],tabela_registros[MÊS],$AE$1,tabela_registros[DIA],receitasvariáveisconsolidadojul[[#Headers],[29]],tabela_registros[REGISTRO],DADOS!$N$3,tabela_registros[TIPO],DADOS!$V$4,tabela_registros[CATEGORIA],receitasvariáveisconsolidadojul[[#This Row],[ATUAL]])</f>
        <v>0</v>
      </c>
      <c r="AH100" s="119" t="n">
        <f aca="false">SUMIFS(tabela_registros[VALOR],tabela_registros[MÊS],$AE$1,tabela_registros[DIA],receitasvariáveisconsolidadojul[[#Headers],[30]],tabela_registros[REGISTRO],DADOS!$N$3,tabela_registros[TIPO],DADOS!$V$4,tabela_registros[CATEGORIA],receitasvariáveisconsolidadojul[[#This Row],[ATUAL]])</f>
        <v>0</v>
      </c>
      <c r="AI100" s="217" t="n">
        <f aca="false">SUMIFS(tabela_registros[VALOR],tabela_registros[MÊS],$AE$1,tabela_registros[DIA],receitasvariáveisconsolidadojul[[#Headers],[31]],tabela_registros[REGISTRO],DADOS!$N$3,tabela_registros[TIPO],DADOS!$V$4,tabela_registros[CATEGORIA],receitasvariáveisconsolidadojul[[#This Row],[ATUAL]])</f>
        <v>0</v>
      </c>
      <c r="AJ100" s="237" t="n">
        <f aca="false">SUM(receitasvariáveisconsolidadojul[[#This Row],[1]:[31]])</f>
        <v>0</v>
      </c>
      <c r="AK100" s="165"/>
    </row>
    <row r="101" customFormat="false" ht="19.5" hidden="false" customHeight="true" outlineLevel="0" collapsed="false">
      <c r="B101" s="143"/>
      <c r="C101" s="144" t="str">
        <f aca="false">DADOS!$Z$8</f>
        <v>🎁 PRESENTE</v>
      </c>
      <c r="D101" s="145" t="str">
        <f aca="false">IF(receitasvariáveisconsolidadojul[[#This Row],[TOTAL (R$)]]=0,"",IF(OR(receitasvariáveisconsolidadojul[[#This Row],[TOTAL (R$)]]=LARGE($AJ$96:$AJ$103,1),receitasvariáveisconsolidadojul[[#This Row],[TOTAL (R$)]]=LARGE($AJ$96:$AJ$103,2)),DADOS!$I$9,""))</f>
        <v/>
      </c>
      <c r="E101" s="148" t="n">
        <f aca="false">SUMIFS(tabela_registros[VALOR],tabela_registros[MÊS],$AE$1,tabela_registros[DIA],receitasvariáveisconsolidadojul[[#Headers],[1]],tabela_registros[REGISTRO],DADOS!$N$3,tabela_registros[TIPO],DADOS!$V$4,tabela_registros[CATEGORIA],receitasvariáveisconsolidadojul[[#This Row],[ATUAL]])</f>
        <v>0</v>
      </c>
      <c r="F101" s="119" t="n">
        <f aca="false">SUMIFS(tabela_registros[VALOR],tabela_registros[MÊS],$AE$1,tabela_registros[DIA],receitasvariáveisconsolidadojul[[#Headers],[2]],tabela_registros[REGISTRO],DADOS!$N$3,tabela_registros[TIPO],DADOS!$V$4,tabela_registros[CATEGORIA],receitasvariáveisconsolidadojul[[#This Row],[ATUAL]])</f>
        <v>0</v>
      </c>
      <c r="G101" s="119" t="n">
        <f aca="false">SUMIFS(tabela_registros[VALOR],tabela_registros[MÊS],$AE$1,tabela_registros[DIA],receitasvariáveisconsolidadojul[[#Headers],[3]],tabela_registros[REGISTRO],DADOS!$N$3,tabela_registros[TIPO],DADOS!$V$4,tabela_registros[CATEGORIA],receitasvariáveisconsolidadojul[[#This Row],[ATUAL]])</f>
        <v>0</v>
      </c>
      <c r="H101" s="119" t="n">
        <f aca="false">SUMIFS(tabela_registros[VALOR],tabela_registros[MÊS],$AE$1,tabela_registros[DIA],receitasvariáveisconsolidadojul[[#Headers],[4]],tabela_registros[REGISTRO],DADOS!$N$3,tabela_registros[TIPO],DADOS!$V$4,tabela_registros[CATEGORIA],receitasvariáveisconsolidadojul[[#This Row],[ATUAL]])</f>
        <v>0</v>
      </c>
      <c r="I101" s="119" t="n">
        <f aca="false">SUMIFS(tabela_registros[VALOR],tabela_registros[MÊS],$AE$1,tabela_registros[DIA],receitasvariáveisconsolidadojul[[#Headers],[5]],tabela_registros[REGISTRO],DADOS!$N$3,tabela_registros[TIPO],DADOS!$V$4,tabela_registros[CATEGORIA],receitasvariáveisconsolidadojul[[#This Row],[ATUAL]])</f>
        <v>0</v>
      </c>
      <c r="J101" s="119" t="n">
        <f aca="false">SUMIFS(tabela_registros[VALOR],tabela_registros[MÊS],$AE$1,tabela_registros[DIA],receitasvariáveisconsolidadojul[[#Headers],[6]],tabela_registros[REGISTRO],DADOS!$N$3,tabela_registros[TIPO],DADOS!$V$4,tabela_registros[CATEGORIA],receitasvariáveisconsolidadojul[[#This Row],[ATUAL]])</f>
        <v>0</v>
      </c>
      <c r="K101" s="119" t="n">
        <f aca="false">SUMIFS(tabela_registros[VALOR],tabela_registros[MÊS],$AE$1,tabela_registros[DIA],receitasvariáveisconsolidadojul[[#Headers],[7]],tabela_registros[REGISTRO],DADOS!$N$3,tabela_registros[TIPO],DADOS!$V$4,tabela_registros[CATEGORIA],receitasvariáveisconsolidadojul[[#This Row],[ATUAL]])</f>
        <v>0</v>
      </c>
      <c r="L101" s="119" t="n">
        <f aca="false">SUMIFS(tabela_registros[VALOR],tabela_registros[MÊS],$AE$1,tabela_registros[DIA],receitasvariáveisconsolidadojul[[#Headers],[8]],tabela_registros[REGISTRO],DADOS!$N$3,tabela_registros[TIPO],DADOS!$V$4,tabela_registros[CATEGORIA],receitasvariáveisconsolidadojul[[#This Row],[ATUAL]])</f>
        <v>0</v>
      </c>
      <c r="M101" s="119" t="n">
        <f aca="false">SUMIFS(tabela_registros[VALOR],tabela_registros[MÊS],$AE$1,tabela_registros[DIA],receitasvariáveisconsolidadojul[[#Headers],[9]],tabela_registros[REGISTRO],DADOS!$N$3,tabela_registros[TIPO],DADOS!$V$4,tabela_registros[CATEGORIA],receitasvariáveisconsolidadojul[[#This Row],[ATUAL]])</f>
        <v>0</v>
      </c>
      <c r="N101" s="119" t="n">
        <f aca="false">SUMIFS(tabela_registros[VALOR],tabela_registros[MÊS],$AE$1,tabela_registros[DIA],receitasvariáveisconsolidadojul[[#Headers],[10]],tabela_registros[REGISTRO],DADOS!$N$3,tabela_registros[TIPO],DADOS!$V$4,tabela_registros[CATEGORIA],receitasvariáveisconsolidadojul[[#This Row],[ATUAL]])</f>
        <v>0</v>
      </c>
      <c r="O101" s="119" t="n">
        <f aca="false">SUMIFS(tabela_registros[VALOR],tabela_registros[MÊS],$AE$1,tabela_registros[DIA],receitasvariáveisconsolidadojul[[#Headers],[11]],tabela_registros[REGISTRO],DADOS!$N$3,tabela_registros[TIPO],DADOS!$V$4,tabela_registros[CATEGORIA],receitasvariáveisconsolidadojul[[#This Row],[ATUAL]])</f>
        <v>0</v>
      </c>
      <c r="P101" s="119" t="n">
        <f aca="false">SUMIFS(tabela_registros[VALOR],tabela_registros[MÊS],$AE$1,tabela_registros[DIA],receitasvariáveisconsolidadojul[[#Headers],[12]],tabela_registros[REGISTRO],DADOS!$N$3,tabela_registros[TIPO],DADOS!$V$4,tabela_registros[CATEGORIA],receitasvariáveisconsolidadojul[[#This Row],[ATUAL]])</f>
        <v>0</v>
      </c>
      <c r="Q101" s="119" t="n">
        <f aca="false">SUMIFS(tabela_registros[VALOR],tabela_registros[MÊS],$AE$1,tabela_registros[DIA],receitasvariáveisconsolidadojul[[#Headers],[13]],tabela_registros[REGISTRO],DADOS!$N$3,tabela_registros[TIPO],DADOS!$V$4,tabela_registros[CATEGORIA],receitasvariáveisconsolidadojul[[#This Row],[ATUAL]])</f>
        <v>0</v>
      </c>
      <c r="R101" s="119" t="n">
        <f aca="false">SUMIFS(tabela_registros[VALOR],tabela_registros[MÊS],$AE$1,tabela_registros[DIA],receitasvariáveisconsolidadojul[[#Headers],[14]],tabela_registros[REGISTRO],DADOS!$N$3,tabela_registros[TIPO],DADOS!$V$4,tabela_registros[CATEGORIA],receitasvariáveisconsolidadojul[[#This Row],[ATUAL]])</f>
        <v>0</v>
      </c>
      <c r="S101" s="119" t="n">
        <f aca="false">SUMIFS(tabela_registros[VALOR],tabela_registros[MÊS],$AE$1,tabela_registros[DIA],receitasvariáveisconsolidadojul[[#Headers],[15]],tabela_registros[REGISTRO],DADOS!$N$3,tabela_registros[TIPO],DADOS!$V$4,tabela_registros[CATEGORIA],receitasvariáveisconsolidadojul[[#This Row],[ATUAL]])</f>
        <v>0</v>
      </c>
      <c r="T101" s="119" t="n">
        <f aca="false">SUMIFS(tabela_registros[VALOR],tabela_registros[MÊS],$AE$1,tabela_registros[DIA],receitasvariáveisconsolidadojul[[#Headers],[16]],tabela_registros[REGISTRO],DADOS!$N$3,tabela_registros[TIPO],DADOS!$V$4,tabela_registros[CATEGORIA],receitasvariáveisconsolidadojul[[#This Row],[ATUAL]])</f>
        <v>0</v>
      </c>
      <c r="U101" s="119" t="n">
        <f aca="false">SUMIFS(tabela_registros[VALOR],tabela_registros[MÊS],$AE$1,tabela_registros[DIA],receitasvariáveisconsolidadojul[[#Headers],[17]],tabela_registros[REGISTRO],DADOS!$N$3,tabela_registros[TIPO],DADOS!$V$4,tabela_registros[CATEGORIA],receitasvariáveisconsolidadojul[[#This Row],[ATUAL]])</f>
        <v>0</v>
      </c>
      <c r="V101" s="119" t="n">
        <f aca="false">SUMIFS(tabela_registros[VALOR],tabela_registros[MÊS],$AE$1,tabela_registros[DIA],receitasvariáveisconsolidadojul[[#Headers],[18]],tabela_registros[REGISTRO],DADOS!$N$3,tabela_registros[TIPO],DADOS!$V$4,tabela_registros[CATEGORIA],receitasvariáveisconsolidadojul[[#This Row],[ATUAL]])</f>
        <v>0</v>
      </c>
      <c r="W101" s="119" t="n">
        <f aca="false">SUMIFS(tabela_registros[VALOR],tabela_registros[MÊS],$AE$1,tabela_registros[DIA],receitasvariáveisconsolidadojul[[#Headers],[19]],tabela_registros[REGISTRO],DADOS!$N$3,tabela_registros[TIPO],DADOS!$V$4,tabela_registros[CATEGORIA],receitasvariáveisconsolidadojul[[#This Row],[ATUAL]])</f>
        <v>0</v>
      </c>
      <c r="X101" s="119" t="n">
        <f aca="false">SUMIFS(tabela_registros[VALOR],tabela_registros[MÊS],$AE$1,tabela_registros[DIA],receitasvariáveisconsolidadojul[[#Headers],[20]],tabela_registros[REGISTRO],DADOS!$N$3,tabela_registros[TIPO],DADOS!$V$4,tabela_registros[CATEGORIA],receitasvariáveisconsolidadojul[[#This Row],[ATUAL]])</f>
        <v>0</v>
      </c>
      <c r="Y101" s="119" t="n">
        <f aca="false">SUMIFS(tabela_registros[VALOR],tabela_registros[MÊS],$AE$1,tabela_registros[DIA],receitasvariáveisconsolidadojul[[#Headers],[21]],tabela_registros[REGISTRO],DADOS!$N$3,tabela_registros[TIPO],DADOS!$V$4,tabela_registros[CATEGORIA],receitasvariáveisconsolidadojul[[#This Row],[ATUAL]])</f>
        <v>0</v>
      </c>
      <c r="Z101" s="119" t="n">
        <f aca="false">SUMIFS(tabela_registros[VALOR],tabela_registros[MÊS],$AE$1,tabela_registros[DIA],receitasvariáveisconsolidadojul[[#Headers],[22]],tabela_registros[REGISTRO],DADOS!$N$3,tabela_registros[TIPO],DADOS!$V$4,tabela_registros[CATEGORIA],receitasvariáveisconsolidadojul[[#This Row],[ATUAL]])</f>
        <v>0</v>
      </c>
      <c r="AA101" s="119" t="n">
        <f aca="false">SUMIFS(tabela_registros[VALOR],tabela_registros[MÊS],$AE$1,tabela_registros[DIA],receitasvariáveisconsolidadojul[[#Headers],[23]],tabela_registros[REGISTRO],DADOS!$N$3,tabela_registros[TIPO],DADOS!$V$4,tabela_registros[CATEGORIA],receitasvariáveisconsolidadojul[[#This Row],[ATUAL]])</f>
        <v>0</v>
      </c>
      <c r="AB101" s="119" t="n">
        <f aca="false">SUMIFS(tabela_registros[VALOR],tabela_registros[MÊS],$AE$1,tabela_registros[DIA],receitasvariáveisconsolidadojul[[#Headers],[24]],tabela_registros[REGISTRO],DADOS!$N$3,tabela_registros[TIPO],DADOS!$V$4,tabela_registros[CATEGORIA],receitasvariáveisconsolidadojul[[#This Row],[ATUAL]])</f>
        <v>0</v>
      </c>
      <c r="AC101" s="119" t="n">
        <f aca="false">SUMIFS(tabela_registros[VALOR],tabela_registros[MÊS],$AE$1,tabela_registros[DIA],receitasvariáveisconsolidadojul[[#Headers],[25]],tabela_registros[REGISTRO],DADOS!$N$3,tabela_registros[TIPO],DADOS!$V$4,tabela_registros[CATEGORIA],receitasvariáveisconsolidadojul[[#This Row],[ATUAL]])</f>
        <v>0</v>
      </c>
      <c r="AD101" s="119" t="n">
        <f aca="false">SUMIFS(tabela_registros[VALOR],tabela_registros[MÊS],$AE$1,tabela_registros[DIA],receitasvariáveisconsolidadojul[[#Headers],[26]],tabela_registros[REGISTRO],DADOS!$N$3,tabela_registros[TIPO],DADOS!$V$4,tabela_registros[CATEGORIA],receitasvariáveisconsolidadojul[[#This Row],[ATUAL]])</f>
        <v>0</v>
      </c>
      <c r="AE101" s="119" t="n">
        <f aca="false">SUMIFS(tabela_registros[VALOR],tabela_registros[MÊS],$AE$1,tabela_registros[DIA],receitasvariáveisconsolidadojul[[#Headers],[27]],tabela_registros[REGISTRO],DADOS!$N$3,tabela_registros[TIPO],DADOS!$V$4,tabela_registros[CATEGORIA],receitasvariáveisconsolidadojul[[#This Row],[ATUAL]])</f>
        <v>0</v>
      </c>
      <c r="AF101" s="119" t="n">
        <f aca="false">SUMIFS(tabela_registros[VALOR],tabela_registros[MÊS],$AE$1,tabela_registros[DIA],receitasvariáveisconsolidadojul[[#Headers],[28]],tabela_registros[REGISTRO],DADOS!$N$3,tabela_registros[TIPO],DADOS!$V$4,tabela_registros[CATEGORIA],receitasvariáveisconsolidadojul[[#This Row],[ATUAL]])</f>
        <v>0</v>
      </c>
      <c r="AG101" s="119" t="n">
        <f aca="false">SUMIFS(tabela_registros[VALOR],tabela_registros[MÊS],$AE$1,tabela_registros[DIA],receitasvariáveisconsolidadojul[[#Headers],[29]],tabela_registros[REGISTRO],DADOS!$N$3,tabela_registros[TIPO],DADOS!$V$4,tabela_registros[CATEGORIA],receitasvariáveisconsolidadojul[[#This Row],[ATUAL]])</f>
        <v>0</v>
      </c>
      <c r="AH101" s="119" t="n">
        <f aca="false">SUMIFS(tabela_registros[VALOR],tabela_registros[MÊS],$AE$1,tabela_registros[DIA],receitasvariáveisconsolidadojul[[#Headers],[30]],tabela_registros[REGISTRO],DADOS!$N$3,tabela_registros[TIPO],DADOS!$V$4,tabela_registros[CATEGORIA],receitasvariáveisconsolidadojul[[#This Row],[ATUAL]])</f>
        <v>0</v>
      </c>
      <c r="AI101" s="217" t="n">
        <f aca="false">SUMIFS(tabela_registros[VALOR],tabela_registros[MÊS],$AE$1,tabela_registros[DIA],receitasvariáveisconsolidadojul[[#Headers],[31]],tabela_registros[REGISTRO],DADOS!$N$3,tabela_registros[TIPO],DADOS!$V$4,tabela_registros[CATEGORIA],receitasvariáveisconsolidadojul[[#This Row],[ATUAL]])</f>
        <v>0</v>
      </c>
      <c r="AJ101" s="237" t="n">
        <f aca="false">SUM(receitasvariáveisconsolidadojul[[#This Row],[1]:[31]])</f>
        <v>0</v>
      </c>
      <c r="AK101" s="165"/>
    </row>
    <row r="102" customFormat="false" ht="19.5" hidden="false" customHeight="true" outlineLevel="0" collapsed="false">
      <c r="B102" s="143"/>
      <c r="C102" s="144" t="str">
        <f aca="false">DADOS!$Z$9</f>
        <v>👷‍♀️ TRABALHO TEMPORÁRIO</v>
      </c>
      <c r="D102" s="145" t="str">
        <f aca="false">IF(receitasvariáveisconsolidadojul[[#This Row],[TOTAL (R$)]]=0,"",IF(OR(receitasvariáveisconsolidadojul[[#This Row],[TOTAL (R$)]]=LARGE($AJ$96:$AJ$103,1),receitasvariáveisconsolidadojul[[#This Row],[TOTAL (R$)]]=LARGE($AJ$96:$AJ$103,2)),DADOS!$I$9,""))</f>
        <v/>
      </c>
      <c r="E102" s="148" t="n">
        <f aca="false">SUMIFS(tabela_registros[VALOR],tabela_registros[MÊS],$AE$1,tabela_registros[DIA],receitasvariáveisconsolidadojul[[#Headers],[1]],tabela_registros[REGISTRO],DADOS!$N$3,tabela_registros[TIPO],DADOS!$V$4,tabela_registros[CATEGORIA],receitasvariáveisconsolidadojul[[#This Row],[ATUAL]])</f>
        <v>0</v>
      </c>
      <c r="F102" s="119" t="n">
        <f aca="false">SUMIFS(tabela_registros[VALOR],tabela_registros[MÊS],$AE$1,tabela_registros[DIA],receitasvariáveisconsolidadojul[[#Headers],[2]],tabela_registros[REGISTRO],DADOS!$N$3,tabela_registros[TIPO],DADOS!$V$4,tabela_registros[CATEGORIA],receitasvariáveisconsolidadojul[[#This Row],[ATUAL]])</f>
        <v>0</v>
      </c>
      <c r="G102" s="119" t="n">
        <f aca="false">SUMIFS(tabela_registros[VALOR],tabela_registros[MÊS],$AE$1,tabela_registros[DIA],receitasvariáveisconsolidadojul[[#Headers],[3]],tabela_registros[REGISTRO],DADOS!$N$3,tabela_registros[TIPO],DADOS!$V$4,tabela_registros[CATEGORIA],receitasvariáveisconsolidadojul[[#This Row],[ATUAL]])</f>
        <v>0</v>
      </c>
      <c r="H102" s="119" t="n">
        <f aca="false">SUMIFS(tabela_registros[VALOR],tabela_registros[MÊS],$AE$1,tabela_registros[DIA],receitasvariáveisconsolidadojul[[#Headers],[4]],tabela_registros[REGISTRO],DADOS!$N$3,tabela_registros[TIPO],DADOS!$V$4,tabela_registros[CATEGORIA],receitasvariáveisconsolidadojul[[#This Row],[ATUAL]])</f>
        <v>0</v>
      </c>
      <c r="I102" s="119" t="n">
        <f aca="false">SUMIFS(tabela_registros[VALOR],tabela_registros[MÊS],$AE$1,tabela_registros[DIA],receitasvariáveisconsolidadojul[[#Headers],[5]],tabela_registros[REGISTRO],DADOS!$N$3,tabela_registros[TIPO],DADOS!$V$4,tabela_registros[CATEGORIA],receitasvariáveisconsolidadojul[[#This Row],[ATUAL]])</f>
        <v>0</v>
      </c>
      <c r="J102" s="119" t="n">
        <f aca="false">SUMIFS(tabela_registros[VALOR],tabela_registros[MÊS],$AE$1,tabela_registros[DIA],receitasvariáveisconsolidadojul[[#Headers],[6]],tabela_registros[REGISTRO],DADOS!$N$3,tabela_registros[TIPO],DADOS!$V$4,tabela_registros[CATEGORIA],receitasvariáveisconsolidadojul[[#This Row],[ATUAL]])</f>
        <v>0</v>
      </c>
      <c r="K102" s="119" t="n">
        <f aca="false">SUMIFS(tabela_registros[VALOR],tabela_registros[MÊS],$AE$1,tabela_registros[DIA],receitasvariáveisconsolidadojul[[#Headers],[7]],tabela_registros[REGISTRO],DADOS!$N$3,tabela_registros[TIPO],DADOS!$V$4,tabela_registros[CATEGORIA],receitasvariáveisconsolidadojul[[#This Row],[ATUAL]])</f>
        <v>0</v>
      </c>
      <c r="L102" s="119" t="n">
        <f aca="false">SUMIFS(tabela_registros[VALOR],tabela_registros[MÊS],$AE$1,tabela_registros[DIA],receitasvariáveisconsolidadojul[[#Headers],[8]],tabela_registros[REGISTRO],DADOS!$N$3,tabela_registros[TIPO],DADOS!$V$4,tabela_registros[CATEGORIA],receitasvariáveisconsolidadojul[[#This Row],[ATUAL]])</f>
        <v>0</v>
      </c>
      <c r="M102" s="119" t="n">
        <f aca="false">SUMIFS(tabela_registros[VALOR],tabela_registros[MÊS],$AE$1,tabela_registros[DIA],receitasvariáveisconsolidadojul[[#Headers],[9]],tabela_registros[REGISTRO],DADOS!$N$3,tabela_registros[TIPO],DADOS!$V$4,tabela_registros[CATEGORIA],receitasvariáveisconsolidadojul[[#This Row],[ATUAL]])</f>
        <v>0</v>
      </c>
      <c r="N102" s="119" t="n">
        <f aca="false">SUMIFS(tabela_registros[VALOR],tabela_registros[MÊS],$AE$1,tabela_registros[DIA],receitasvariáveisconsolidadojul[[#Headers],[10]],tabela_registros[REGISTRO],DADOS!$N$3,tabela_registros[TIPO],DADOS!$V$4,tabela_registros[CATEGORIA],receitasvariáveisconsolidadojul[[#This Row],[ATUAL]])</f>
        <v>0</v>
      </c>
      <c r="O102" s="119" t="n">
        <f aca="false">SUMIFS(tabela_registros[VALOR],tabela_registros[MÊS],$AE$1,tabela_registros[DIA],receitasvariáveisconsolidadojul[[#Headers],[11]],tabela_registros[REGISTRO],DADOS!$N$3,tabela_registros[TIPO],DADOS!$V$4,tabela_registros[CATEGORIA],receitasvariáveisconsolidadojul[[#This Row],[ATUAL]])</f>
        <v>0</v>
      </c>
      <c r="P102" s="119" t="n">
        <f aca="false">SUMIFS(tabela_registros[VALOR],tabela_registros[MÊS],$AE$1,tabela_registros[DIA],receitasvariáveisconsolidadojul[[#Headers],[12]],tabela_registros[REGISTRO],DADOS!$N$3,tabela_registros[TIPO],DADOS!$V$4,tabela_registros[CATEGORIA],receitasvariáveisconsolidadojul[[#This Row],[ATUAL]])</f>
        <v>0</v>
      </c>
      <c r="Q102" s="119" t="n">
        <f aca="false">SUMIFS(tabela_registros[VALOR],tabela_registros[MÊS],$AE$1,tabela_registros[DIA],receitasvariáveisconsolidadojul[[#Headers],[13]],tabela_registros[REGISTRO],DADOS!$N$3,tabela_registros[TIPO],DADOS!$V$4,tabela_registros[CATEGORIA],receitasvariáveisconsolidadojul[[#This Row],[ATUAL]])</f>
        <v>0</v>
      </c>
      <c r="R102" s="119" t="n">
        <f aca="false">SUMIFS(tabela_registros[VALOR],tabela_registros[MÊS],$AE$1,tabela_registros[DIA],receitasvariáveisconsolidadojul[[#Headers],[14]],tabela_registros[REGISTRO],DADOS!$N$3,tabela_registros[TIPO],DADOS!$V$4,tabela_registros[CATEGORIA],receitasvariáveisconsolidadojul[[#This Row],[ATUAL]])</f>
        <v>0</v>
      </c>
      <c r="S102" s="119" t="n">
        <f aca="false">SUMIFS(tabela_registros[VALOR],tabela_registros[MÊS],$AE$1,tabela_registros[DIA],receitasvariáveisconsolidadojul[[#Headers],[15]],tabela_registros[REGISTRO],DADOS!$N$3,tabela_registros[TIPO],DADOS!$V$4,tabela_registros[CATEGORIA],receitasvariáveisconsolidadojul[[#This Row],[ATUAL]])</f>
        <v>0</v>
      </c>
      <c r="T102" s="119" t="n">
        <f aca="false">SUMIFS(tabela_registros[VALOR],tabela_registros[MÊS],$AE$1,tabela_registros[DIA],receitasvariáveisconsolidadojul[[#Headers],[16]],tabela_registros[REGISTRO],DADOS!$N$3,tabela_registros[TIPO],DADOS!$V$4,tabela_registros[CATEGORIA],receitasvariáveisconsolidadojul[[#This Row],[ATUAL]])</f>
        <v>0</v>
      </c>
      <c r="U102" s="119" t="n">
        <f aca="false">SUMIFS(tabela_registros[VALOR],tabela_registros[MÊS],$AE$1,tabela_registros[DIA],receitasvariáveisconsolidadojul[[#Headers],[17]],tabela_registros[REGISTRO],DADOS!$N$3,tabela_registros[TIPO],DADOS!$V$4,tabela_registros[CATEGORIA],receitasvariáveisconsolidadojul[[#This Row],[ATUAL]])</f>
        <v>0</v>
      </c>
      <c r="V102" s="119" t="n">
        <f aca="false">SUMIFS(tabela_registros[VALOR],tabela_registros[MÊS],$AE$1,tabela_registros[DIA],receitasvariáveisconsolidadojul[[#Headers],[18]],tabela_registros[REGISTRO],DADOS!$N$3,tabela_registros[TIPO],DADOS!$V$4,tabela_registros[CATEGORIA],receitasvariáveisconsolidadojul[[#This Row],[ATUAL]])</f>
        <v>0</v>
      </c>
      <c r="W102" s="119" t="n">
        <f aca="false">SUMIFS(tabela_registros[VALOR],tabela_registros[MÊS],$AE$1,tabela_registros[DIA],receitasvariáveisconsolidadojul[[#Headers],[19]],tabela_registros[REGISTRO],DADOS!$N$3,tabela_registros[TIPO],DADOS!$V$4,tabela_registros[CATEGORIA],receitasvariáveisconsolidadojul[[#This Row],[ATUAL]])</f>
        <v>0</v>
      </c>
      <c r="X102" s="119" t="n">
        <f aca="false">SUMIFS(tabela_registros[VALOR],tabela_registros[MÊS],$AE$1,tabela_registros[DIA],receitasvariáveisconsolidadojul[[#Headers],[20]],tabela_registros[REGISTRO],DADOS!$N$3,tabela_registros[TIPO],DADOS!$V$4,tabela_registros[CATEGORIA],receitasvariáveisconsolidadojul[[#This Row],[ATUAL]])</f>
        <v>0</v>
      </c>
      <c r="Y102" s="119" t="n">
        <f aca="false">SUMIFS(tabela_registros[VALOR],tabela_registros[MÊS],$AE$1,tabela_registros[DIA],receitasvariáveisconsolidadojul[[#Headers],[21]],tabela_registros[REGISTRO],DADOS!$N$3,tabela_registros[TIPO],DADOS!$V$4,tabela_registros[CATEGORIA],receitasvariáveisconsolidadojul[[#This Row],[ATUAL]])</f>
        <v>0</v>
      </c>
      <c r="Z102" s="119" t="n">
        <f aca="false">SUMIFS(tabela_registros[VALOR],tabela_registros[MÊS],$AE$1,tabela_registros[DIA],receitasvariáveisconsolidadojul[[#Headers],[22]],tabela_registros[REGISTRO],DADOS!$N$3,tabela_registros[TIPO],DADOS!$V$4,tabela_registros[CATEGORIA],receitasvariáveisconsolidadojul[[#This Row],[ATUAL]])</f>
        <v>0</v>
      </c>
      <c r="AA102" s="119" t="n">
        <f aca="false">SUMIFS(tabela_registros[VALOR],tabela_registros[MÊS],$AE$1,tabela_registros[DIA],receitasvariáveisconsolidadojul[[#Headers],[23]],tabela_registros[REGISTRO],DADOS!$N$3,tabela_registros[TIPO],DADOS!$V$4,tabela_registros[CATEGORIA],receitasvariáveisconsolidadojul[[#This Row],[ATUAL]])</f>
        <v>0</v>
      </c>
      <c r="AB102" s="119" t="n">
        <f aca="false">SUMIFS(tabela_registros[VALOR],tabela_registros[MÊS],$AE$1,tabela_registros[DIA],receitasvariáveisconsolidadojul[[#Headers],[24]],tabela_registros[REGISTRO],DADOS!$N$3,tabela_registros[TIPO],DADOS!$V$4,tabela_registros[CATEGORIA],receitasvariáveisconsolidadojul[[#This Row],[ATUAL]])</f>
        <v>0</v>
      </c>
      <c r="AC102" s="119" t="n">
        <f aca="false">SUMIFS(tabela_registros[VALOR],tabela_registros[MÊS],$AE$1,tabela_registros[DIA],receitasvariáveisconsolidadojul[[#Headers],[25]],tabela_registros[REGISTRO],DADOS!$N$3,tabela_registros[TIPO],DADOS!$V$4,tabela_registros[CATEGORIA],receitasvariáveisconsolidadojul[[#This Row],[ATUAL]])</f>
        <v>0</v>
      </c>
      <c r="AD102" s="119" t="n">
        <f aca="false">SUMIFS(tabela_registros[VALOR],tabela_registros[MÊS],$AE$1,tabela_registros[DIA],receitasvariáveisconsolidadojul[[#Headers],[26]],tabela_registros[REGISTRO],DADOS!$N$3,tabela_registros[TIPO],DADOS!$V$4,tabela_registros[CATEGORIA],receitasvariáveisconsolidadojul[[#This Row],[ATUAL]])</f>
        <v>0</v>
      </c>
      <c r="AE102" s="119" t="n">
        <f aca="false">SUMIFS(tabela_registros[VALOR],tabela_registros[MÊS],$AE$1,tabela_registros[DIA],receitasvariáveisconsolidadojul[[#Headers],[27]],tabela_registros[REGISTRO],DADOS!$N$3,tabela_registros[TIPO],DADOS!$V$4,tabela_registros[CATEGORIA],receitasvariáveisconsolidadojul[[#This Row],[ATUAL]])</f>
        <v>0</v>
      </c>
      <c r="AF102" s="119" t="n">
        <f aca="false">SUMIFS(tabela_registros[VALOR],tabela_registros[MÊS],$AE$1,tabela_registros[DIA],receitasvariáveisconsolidadojul[[#Headers],[28]],tabela_registros[REGISTRO],DADOS!$N$3,tabela_registros[TIPO],DADOS!$V$4,tabela_registros[CATEGORIA],receitasvariáveisconsolidadojul[[#This Row],[ATUAL]])</f>
        <v>0</v>
      </c>
      <c r="AG102" s="119" t="n">
        <f aca="false">SUMIFS(tabela_registros[VALOR],tabela_registros[MÊS],$AE$1,tabela_registros[DIA],receitasvariáveisconsolidadojul[[#Headers],[29]],tabela_registros[REGISTRO],DADOS!$N$3,tabela_registros[TIPO],DADOS!$V$4,tabela_registros[CATEGORIA],receitasvariáveisconsolidadojul[[#This Row],[ATUAL]])</f>
        <v>0</v>
      </c>
      <c r="AH102" s="119" t="n">
        <f aca="false">SUMIFS(tabela_registros[VALOR],tabela_registros[MÊS],$AE$1,tabela_registros[DIA],receitasvariáveisconsolidadojul[[#Headers],[30]],tabela_registros[REGISTRO],DADOS!$N$3,tabela_registros[TIPO],DADOS!$V$4,tabela_registros[CATEGORIA],receitasvariáveisconsolidadojul[[#This Row],[ATUAL]])</f>
        <v>0</v>
      </c>
      <c r="AI102" s="217" t="n">
        <f aca="false">SUMIFS(tabela_registros[VALOR],tabela_registros[MÊS],$AE$1,tabela_registros[DIA],receitasvariáveisconsolidadojul[[#Headers],[31]],tabela_registros[REGISTRO],DADOS!$N$3,tabela_registros[TIPO],DADOS!$V$4,tabela_registros[CATEGORIA],receitasvariáveisconsolidadojul[[#This Row],[ATUAL]])</f>
        <v>0</v>
      </c>
      <c r="AJ102" s="237" t="n">
        <f aca="false">SUM(receitasvariáveisconsolidadojul[[#This Row],[1]:[31]])</f>
        <v>0</v>
      </c>
      <c r="AK102" s="165"/>
    </row>
    <row r="103" customFormat="false" ht="18" hidden="false" customHeight="true" outlineLevel="0" collapsed="false">
      <c r="B103" s="143"/>
      <c r="C103" s="144" t="str">
        <f aca="false">DADOS!$Z$10</f>
        <v>📎 OUTROS</v>
      </c>
      <c r="D103" s="145" t="str">
        <f aca="false">IF(receitasvariáveisconsolidadojul[[#This Row],[TOTAL (R$)]]=0,"",IF(OR(receitasvariáveisconsolidadojul[[#This Row],[TOTAL (R$)]]=LARGE($AJ$96:$AJ$103,1),receitasvariáveisconsolidadojul[[#This Row],[TOTAL (R$)]]=LARGE($AJ$96:$AJ$103,2)),DADOS!$I$9,""))</f>
        <v/>
      </c>
      <c r="E103" s="148" t="n">
        <f aca="false">SUMIFS(tabela_registros[VALOR],tabela_registros[MÊS],$AE$1,tabela_registros[DIA],receitasvariáveisconsolidadojul[[#Headers],[1]],tabela_registros[REGISTRO],DADOS!$N$3,tabela_registros[TIPO],DADOS!$V$4,tabela_registros[CATEGORIA],receitasvariáveisconsolidadojul[[#This Row],[ATUAL]])</f>
        <v>0</v>
      </c>
      <c r="F103" s="119" t="n">
        <f aca="false">SUMIFS(tabela_registros[VALOR],tabela_registros[MÊS],$AE$1,tabela_registros[DIA],receitasvariáveisconsolidadojul[[#Headers],[2]],tabela_registros[REGISTRO],DADOS!$N$3,tabela_registros[TIPO],DADOS!$V$4,tabela_registros[CATEGORIA],receitasvariáveisconsolidadojul[[#This Row],[ATUAL]])</f>
        <v>0</v>
      </c>
      <c r="G103" s="119" t="n">
        <f aca="false">SUMIFS(tabela_registros[VALOR],tabela_registros[MÊS],$AE$1,tabela_registros[DIA],receitasvariáveisconsolidadojul[[#Headers],[3]],tabela_registros[REGISTRO],DADOS!$N$3,tabela_registros[TIPO],DADOS!$V$4,tabela_registros[CATEGORIA],receitasvariáveisconsolidadojul[[#This Row],[ATUAL]])</f>
        <v>0</v>
      </c>
      <c r="H103" s="119" t="n">
        <f aca="false">SUMIFS(tabela_registros[VALOR],tabela_registros[MÊS],$AE$1,tabela_registros[DIA],receitasvariáveisconsolidadojul[[#Headers],[4]],tabela_registros[REGISTRO],DADOS!$N$3,tabela_registros[TIPO],DADOS!$V$4,tabela_registros[CATEGORIA],receitasvariáveisconsolidadojul[[#This Row],[ATUAL]])</f>
        <v>0</v>
      </c>
      <c r="I103" s="119" t="n">
        <f aca="false">SUMIFS(tabela_registros[VALOR],tabela_registros[MÊS],$AE$1,tabela_registros[DIA],receitasvariáveisconsolidadojul[[#Headers],[5]],tabela_registros[REGISTRO],DADOS!$N$3,tabela_registros[TIPO],DADOS!$V$4,tabela_registros[CATEGORIA],receitasvariáveisconsolidadojul[[#This Row],[ATUAL]])</f>
        <v>0</v>
      </c>
      <c r="J103" s="119" t="n">
        <f aca="false">SUMIFS(tabela_registros[VALOR],tabela_registros[MÊS],$AE$1,tabela_registros[DIA],receitasvariáveisconsolidadojul[[#Headers],[6]],tabela_registros[REGISTRO],DADOS!$N$3,tabela_registros[TIPO],DADOS!$V$4,tabela_registros[CATEGORIA],receitasvariáveisconsolidadojul[[#This Row],[ATUAL]])</f>
        <v>0</v>
      </c>
      <c r="K103" s="119" t="n">
        <f aca="false">SUMIFS(tabela_registros[VALOR],tabela_registros[MÊS],$AE$1,tabela_registros[DIA],receitasvariáveisconsolidadojul[[#Headers],[7]],tabela_registros[REGISTRO],DADOS!$N$3,tabela_registros[TIPO],DADOS!$V$4,tabela_registros[CATEGORIA],receitasvariáveisconsolidadojul[[#This Row],[ATUAL]])</f>
        <v>0</v>
      </c>
      <c r="L103" s="119" t="n">
        <f aca="false">SUMIFS(tabela_registros[VALOR],tabela_registros[MÊS],$AE$1,tabela_registros[DIA],receitasvariáveisconsolidadojul[[#Headers],[8]],tabela_registros[REGISTRO],DADOS!$N$3,tabela_registros[TIPO],DADOS!$V$4,tabela_registros[CATEGORIA],receitasvariáveisconsolidadojul[[#This Row],[ATUAL]])</f>
        <v>0</v>
      </c>
      <c r="M103" s="119" t="n">
        <f aca="false">SUMIFS(tabela_registros[VALOR],tabela_registros[MÊS],$AE$1,tabela_registros[DIA],receitasvariáveisconsolidadojul[[#Headers],[9]],tabela_registros[REGISTRO],DADOS!$N$3,tabela_registros[TIPO],DADOS!$V$4,tabela_registros[CATEGORIA],receitasvariáveisconsolidadojul[[#This Row],[ATUAL]])</f>
        <v>0</v>
      </c>
      <c r="N103" s="119" t="n">
        <f aca="false">SUMIFS(tabela_registros[VALOR],tabela_registros[MÊS],$AE$1,tabela_registros[DIA],receitasvariáveisconsolidadojul[[#Headers],[10]],tabela_registros[REGISTRO],DADOS!$N$3,tabela_registros[TIPO],DADOS!$V$4,tabela_registros[CATEGORIA],receitasvariáveisconsolidadojul[[#This Row],[ATUAL]])</f>
        <v>0</v>
      </c>
      <c r="O103" s="119" t="n">
        <f aca="false">SUMIFS(tabela_registros[VALOR],tabela_registros[MÊS],$AE$1,tabela_registros[DIA],receitasvariáveisconsolidadojul[[#Headers],[11]],tabela_registros[REGISTRO],DADOS!$N$3,tabela_registros[TIPO],DADOS!$V$4,tabela_registros[CATEGORIA],receitasvariáveisconsolidadojul[[#This Row],[ATUAL]])</f>
        <v>0</v>
      </c>
      <c r="P103" s="119" t="n">
        <f aca="false">SUMIFS(tabela_registros[VALOR],tabela_registros[MÊS],$AE$1,tabela_registros[DIA],receitasvariáveisconsolidadojul[[#Headers],[12]],tabela_registros[REGISTRO],DADOS!$N$3,tabela_registros[TIPO],DADOS!$V$4,tabela_registros[CATEGORIA],receitasvariáveisconsolidadojul[[#This Row],[ATUAL]])</f>
        <v>0</v>
      </c>
      <c r="Q103" s="119" t="n">
        <f aca="false">SUMIFS(tabela_registros[VALOR],tabela_registros[MÊS],$AE$1,tabela_registros[DIA],receitasvariáveisconsolidadojul[[#Headers],[13]],tabela_registros[REGISTRO],DADOS!$N$3,tabela_registros[TIPO],DADOS!$V$4,tabela_registros[CATEGORIA],receitasvariáveisconsolidadojul[[#This Row],[ATUAL]])</f>
        <v>0</v>
      </c>
      <c r="R103" s="119" t="n">
        <f aca="false">SUMIFS(tabela_registros[VALOR],tabela_registros[MÊS],$AE$1,tabela_registros[DIA],receitasvariáveisconsolidadojul[[#Headers],[14]],tabela_registros[REGISTRO],DADOS!$N$3,tabela_registros[TIPO],DADOS!$V$4,tabela_registros[CATEGORIA],receitasvariáveisconsolidadojul[[#This Row],[ATUAL]])</f>
        <v>0</v>
      </c>
      <c r="S103" s="119" t="n">
        <f aca="false">SUMIFS(tabela_registros[VALOR],tabela_registros[MÊS],$AE$1,tabela_registros[DIA],receitasvariáveisconsolidadojul[[#Headers],[15]],tabela_registros[REGISTRO],DADOS!$N$3,tabela_registros[TIPO],DADOS!$V$4,tabela_registros[CATEGORIA],receitasvariáveisconsolidadojul[[#This Row],[ATUAL]])</f>
        <v>0</v>
      </c>
      <c r="T103" s="119" t="n">
        <f aca="false">SUMIFS(tabela_registros[VALOR],tabela_registros[MÊS],$AE$1,tabela_registros[DIA],receitasvariáveisconsolidadojul[[#Headers],[16]],tabela_registros[REGISTRO],DADOS!$N$3,tabela_registros[TIPO],DADOS!$V$4,tabela_registros[CATEGORIA],receitasvariáveisconsolidadojul[[#This Row],[ATUAL]])</f>
        <v>0</v>
      </c>
      <c r="U103" s="119" t="n">
        <f aca="false">SUMIFS(tabela_registros[VALOR],tabela_registros[MÊS],$AE$1,tabela_registros[DIA],receitasvariáveisconsolidadojul[[#Headers],[17]],tabela_registros[REGISTRO],DADOS!$N$3,tabela_registros[TIPO],DADOS!$V$4,tabela_registros[CATEGORIA],receitasvariáveisconsolidadojul[[#This Row],[ATUAL]])</f>
        <v>0</v>
      </c>
      <c r="V103" s="119" t="n">
        <f aca="false">SUMIFS(tabela_registros[VALOR],tabela_registros[MÊS],$AE$1,tabela_registros[DIA],receitasvariáveisconsolidadojul[[#Headers],[18]],tabela_registros[REGISTRO],DADOS!$N$3,tabela_registros[TIPO],DADOS!$V$4,tabela_registros[CATEGORIA],receitasvariáveisconsolidadojul[[#This Row],[ATUAL]])</f>
        <v>0</v>
      </c>
      <c r="W103" s="119" t="n">
        <f aca="false">SUMIFS(tabela_registros[VALOR],tabela_registros[MÊS],$AE$1,tabela_registros[DIA],receitasvariáveisconsolidadojul[[#Headers],[19]],tabela_registros[REGISTRO],DADOS!$N$3,tabela_registros[TIPO],DADOS!$V$4,tabela_registros[CATEGORIA],receitasvariáveisconsolidadojul[[#This Row],[ATUAL]])</f>
        <v>0</v>
      </c>
      <c r="X103" s="119" t="n">
        <f aca="false">SUMIFS(tabela_registros[VALOR],tabela_registros[MÊS],$AE$1,tabela_registros[DIA],receitasvariáveisconsolidadojul[[#Headers],[20]],tabela_registros[REGISTRO],DADOS!$N$3,tabela_registros[TIPO],DADOS!$V$4,tabela_registros[CATEGORIA],receitasvariáveisconsolidadojul[[#This Row],[ATUAL]])</f>
        <v>0</v>
      </c>
      <c r="Y103" s="119" t="n">
        <f aca="false">SUMIFS(tabela_registros[VALOR],tabela_registros[MÊS],$AE$1,tabela_registros[DIA],receitasvariáveisconsolidadojul[[#Headers],[21]],tabela_registros[REGISTRO],DADOS!$N$3,tabela_registros[TIPO],DADOS!$V$4,tabela_registros[CATEGORIA],receitasvariáveisconsolidadojul[[#This Row],[ATUAL]])</f>
        <v>0</v>
      </c>
      <c r="Z103" s="119" t="n">
        <f aca="false">SUMIFS(tabela_registros[VALOR],tabela_registros[MÊS],$AE$1,tabela_registros[DIA],receitasvariáveisconsolidadojul[[#Headers],[22]],tabela_registros[REGISTRO],DADOS!$N$3,tabela_registros[TIPO],DADOS!$V$4,tabela_registros[CATEGORIA],receitasvariáveisconsolidadojul[[#This Row],[ATUAL]])</f>
        <v>0</v>
      </c>
      <c r="AA103" s="119" t="n">
        <f aca="false">SUMIFS(tabela_registros[VALOR],tabela_registros[MÊS],$AE$1,tabela_registros[DIA],receitasvariáveisconsolidadojul[[#Headers],[23]],tabela_registros[REGISTRO],DADOS!$N$3,tabela_registros[TIPO],DADOS!$V$4,tabela_registros[CATEGORIA],receitasvariáveisconsolidadojul[[#This Row],[ATUAL]])</f>
        <v>0</v>
      </c>
      <c r="AB103" s="119" t="n">
        <f aca="false">SUMIFS(tabela_registros[VALOR],tabela_registros[MÊS],$AE$1,tabela_registros[DIA],receitasvariáveisconsolidadojul[[#Headers],[24]],tabela_registros[REGISTRO],DADOS!$N$3,tabela_registros[TIPO],DADOS!$V$4,tabela_registros[CATEGORIA],receitasvariáveisconsolidadojul[[#This Row],[ATUAL]])</f>
        <v>0</v>
      </c>
      <c r="AC103" s="119" t="n">
        <f aca="false">SUMIFS(tabela_registros[VALOR],tabela_registros[MÊS],$AE$1,tabela_registros[DIA],receitasvariáveisconsolidadojul[[#Headers],[25]],tabela_registros[REGISTRO],DADOS!$N$3,tabela_registros[TIPO],DADOS!$V$4,tabela_registros[CATEGORIA],receitasvariáveisconsolidadojul[[#This Row],[ATUAL]])</f>
        <v>0</v>
      </c>
      <c r="AD103" s="119" t="n">
        <f aca="false">SUMIFS(tabela_registros[VALOR],tabela_registros[MÊS],$AE$1,tabela_registros[DIA],receitasvariáveisconsolidadojul[[#Headers],[26]],tabela_registros[REGISTRO],DADOS!$N$3,tabela_registros[TIPO],DADOS!$V$4,tabela_registros[CATEGORIA],receitasvariáveisconsolidadojul[[#This Row],[ATUAL]])</f>
        <v>0</v>
      </c>
      <c r="AE103" s="119" t="n">
        <f aca="false">SUMIFS(tabela_registros[VALOR],tabela_registros[MÊS],$AE$1,tabela_registros[DIA],receitasvariáveisconsolidadojul[[#Headers],[27]],tabela_registros[REGISTRO],DADOS!$N$3,tabela_registros[TIPO],DADOS!$V$4,tabela_registros[CATEGORIA],receitasvariáveisconsolidadojul[[#This Row],[ATUAL]])</f>
        <v>0</v>
      </c>
      <c r="AF103" s="119" t="n">
        <f aca="false">SUMIFS(tabela_registros[VALOR],tabela_registros[MÊS],$AE$1,tabela_registros[DIA],receitasvariáveisconsolidadojul[[#Headers],[28]],tabela_registros[REGISTRO],DADOS!$N$3,tabela_registros[TIPO],DADOS!$V$4,tabela_registros[CATEGORIA],receitasvariáveisconsolidadojul[[#This Row],[ATUAL]])</f>
        <v>0</v>
      </c>
      <c r="AG103" s="119" t="n">
        <f aca="false">SUMIFS(tabela_registros[VALOR],tabela_registros[MÊS],$AE$1,tabela_registros[DIA],receitasvariáveisconsolidadojul[[#Headers],[29]],tabela_registros[REGISTRO],DADOS!$N$3,tabela_registros[TIPO],DADOS!$V$4,tabela_registros[CATEGORIA],receitasvariáveisconsolidadojul[[#This Row],[ATUAL]])</f>
        <v>0</v>
      </c>
      <c r="AH103" s="119" t="n">
        <f aca="false">SUMIFS(tabela_registros[VALOR],tabela_registros[MÊS],$AE$1,tabela_registros[DIA],receitasvariáveisconsolidadojul[[#Headers],[30]],tabela_registros[REGISTRO],DADOS!$N$3,tabela_registros[TIPO],DADOS!$V$4,tabela_registros[CATEGORIA],receitasvariáveisconsolidadojul[[#This Row],[ATUAL]])</f>
        <v>0</v>
      </c>
      <c r="AI103" s="218" t="n">
        <f aca="false">SUMIFS(tabela_registros[VALOR],tabela_registros[MÊS],$AE$1,tabela_registros[DIA],receitasvariáveisconsolidadojul[[#Headers],[31]],tabela_registros[REGISTRO],DADOS!$N$3,tabela_registros[TIPO],DADOS!$V$4,tabela_registros[CATEGORIA],receitasvariáveisconsolidadojul[[#This Row],[ATUAL]])</f>
        <v>0</v>
      </c>
      <c r="AJ103" s="149" t="n">
        <f aca="false">SUM(receitasvariáveisconsolidadojul[[#This Row],[1]:[31]])</f>
        <v>0</v>
      </c>
      <c r="AK103" s="165"/>
    </row>
    <row r="104" s="122" customFormat="true" ht="21" hidden="false" customHeight="true" outlineLevel="0" collapsed="false">
      <c r="B104" s="152"/>
      <c r="C104" s="153" t="s">
        <v>2</v>
      </c>
      <c r="D104" s="166"/>
      <c r="E104" s="155" t="n">
        <f aca="false">SUM(E96:E103)</f>
        <v>0</v>
      </c>
      <c r="F104" s="156" t="n">
        <f aca="false">SUM(F96:F103)+receitasvariáveisconsolidadojul[[#This Row],[1]]</f>
        <v>0</v>
      </c>
      <c r="G104" s="156" t="n">
        <f aca="false">SUM(G96:G103)+receitasvariáveisconsolidadojul[[#This Row],[2]]</f>
        <v>0</v>
      </c>
      <c r="H104" s="156" t="n">
        <f aca="false">SUM(H96:H103)+receitasvariáveisconsolidadojul[[#This Row],[3]]</f>
        <v>0</v>
      </c>
      <c r="I104" s="156" t="n">
        <f aca="false">SUM(I96:I103)+receitasvariáveisconsolidadojul[[#This Row],[4]]</f>
        <v>0</v>
      </c>
      <c r="J104" s="156" t="n">
        <f aca="false">SUM(J96:J103)+receitasvariáveisconsolidadojul[[#This Row],[5]]</f>
        <v>0</v>
      </c>
      <c r="K104" s="156" t="n">
        <f aca="false">SUM(K96:K103)+receitasvariáveisconsolidadojul[[#This Row],[6]]</f>
        <v>0</v>
      </c>
      <c r="L104" s="156" t="n">
        <f aca="false">SUM(L96:L103)+receitasvariáveisconsolidadojul[[#This Row],[7]]</f>
        <v>0</v>
      </c>
      <c r="M104" s="156" t="n">
        <f aca="false">SUM(M96:M103)+receitasvariáveisconsolidadojul[[#This Row],[8]]</f>
        <v>0</v>
      </c>
      <c r="N104" s="156" t="n">
        <f aca="false">SUM(N96:N103)+receitasvariáveisconsolidadojul[[#This Row],[9]]</f>
        <v>0</v>
      </c>
      <c r="O104" s="156" t="n">
        <f aca="false">SUM(O96:O103)+receitasvariáveisconsolidadojul[[#This Row],[10]]</f>
        <v>0</v>
      </c>
      <c r="P104" s="156" t="n">
        <f aca="false">SUM(P96:P103)+receitasvariáveisconsolidadojul[[#This Row],[11]]</f>
        <v>0</v>
      </c>
      <c r="Q104" s="156" t="n">
        <f aca="false">SUM(Q96:Q103)+receitasvariáveisconsolidadojul[[#This Row],[12]]</f>
        <v>0</v>
      </c>
      <c r="R104" s="156" t="n">
        <f aca="false">SUM(R96:R103)+receitasvariáveisconsolidadojul[[#This Row],[13]]</f>
        <v>0</v>
      </c>
      <c r="S104" s="156" t="n">
        <f aca="false">SUM(S96:S103)+receitasvariáveisconsolidadojul[[#This Row],[14]]</f>
        <v>0</v>
      </c>
      <c r="T104" s="156" t="n">
        <f aca="false">SUM(T96:T103)+receitasvariáveisconsolidadojul[[#This Row],[15]]</f>
        <v>0</v>
      </c>
      <c r="U104" s="156" t="n">
        <f aca="false">SUM(U96:U103)+receitasvariáveisconsolidadojul[[#This Row],[16]]</f>
        <v>0</v>
      </c>
      <c r="V104" s="156" t="n">
        <f aca="false">SUM(V96:V103)+receitasvariáveisconsolidadojul[[#This Row],[17]]</f>
        <v>0</v>
      </c>
      <c r="W104" s="156" t="n">
        <f aca="false">SUM(W96:W103)+receitasvariáveisconsolidadojul[[#This Row],[18]]</f>
        <v>0</v>
      </c>
      <c r="X104" s="156" t="n">
        <f aca="false">SUM(X96:X103)+receitasvariáveisconsolidadojul[[#This Row],[19]]</f>
        <v>0</v>
      </c>
      <c r="Y104" s="156" t="n">
        <f aca="false">SUM(Y96:Y103)+receitasvariáveisconsolidadojul[[#This Row],[20]]</f>
        <v>0</v>
      </c>
      <c r="Z104" s="156" t="n">
        <f aca="false">SUM(Z96:Z103)+receitasvariáveisconsolidadojul[[#This Row],[21]]</f>
        <v>0</v>
      </c>
      <c r="AA104" s="156" t="n">
        <f aca="false">SUM(AA96:AA103)+receitasvariáveisconsolidadojul[[#This Row],[22]]</f>
        <v>0</v>
      </c>
      <c r="AB104" s="156" t="n">
        <f aca="false">SUM(AB96:AB103)+receitasvariáveisconsolidadojul[[#This Row],[23]]</f>
        <v>0</v>
      </c>
      <c r="AC104" s="156" t="n">
        <f aca="false">SUM(AC96:AC103)+receitasvariáveisconsolidadojul[[#This Row],[24]]</f>
        <v>0</v>
      </c>
      <c r="AD104" s="156" t="n">
        <f aca="false">SUM(AD96:AD103)+receitasvariáveisconsolidadojul[[#This Row],[25]]</f>
        <v>0</v>
      </c>
      <c r="AE104" s="156" t="n">
        <f aca="false">SUM(AE96:AE103)+receitasvariáveisconsolidadojul[[#This Row],[26]]</f>
        <v>0</v>
      </c>
      <c r="AF104" s="156" t="n">
        <f aca="false">SUM(AF96:AF103)+receitasvariáveisconsolidadojul[[#This Row],[27]]</f>
        <v>0</v>
      </c>
      <c r="AG104" s="156" t="n">
        <f aca="false">SUM(AG96:AG103)+receitasvariáveisconsolidadojul[[#This Row],[28]]</f>
        <v>0</v>
      </c>
      <c r="AH104" s="156" t="n">
        <f aca="false">SUM(AH96:AH103)+receitasvariáveisconsolidadojul[[#This Row],[29]]</f>
        <v>0</v>
      </c>
      <c r="AI104" s="223" t="n">
        <f aca="false">SUM(AI96:AI103)+receitasvariáveisconsolidadojul[[#This Row],[30]]</f>
        <v>0</v>
      </c>
      <c r="AJ104" s="157" t="n">
        <f aca="false">receitasvariáveisconsolidadojul[[#This Row],[31]]</f>
        <v>0</v>
      </c>
      <c r="AK104" s="158"/>
    </row>
    <row r="105" customFormat="false" ht="6.75" hidden="false" customHeight="true" outlineLevel="0" collapsed="false">
      <c r="B105" s="97"/>
      <c r="C105" s="162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233"/>
      <c r="AJ105" s="164"/>
      <c r="AK105" s="244"/>
    </row>
    <row r="106" s="78" customFormat="true" ht="12.75" hidden="false" customHeight="false" outlineLevel="0" collapsed="false">
      <c r="E106" s="100"/>
    </row>
    <row r="107" s="78" customFormat="true" ht="12" hidden="false" customHeight="false" outlineLevel="0" collapsed="false"/>
    <row r="108" s="78" customFormat="true" ht="12" hidden="false" customHeight="false" outlineLevel="0" collapsed="false"/>
    <row r="109" customFormat="false" ht="39.75" hidden="false" customHeight="true" outlineLevel="0" collapsed="false">
      <c r="C109" s="101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3" t="s">
        <v>2</v>
      </c>
    </row>
    <row r="110" s="78" customFormat="true" ht="12.75" hidden="false" customHeight="false" outlineLevel="0" collapsed="false">
      <c r="B110" s="161"/>
      <c r="AJ110" s="106" t="s">
        <v>64</v>
      </c>
    </row>
    <row r="111" customFormat="false" ht="6.75" hidden="false" customHeight="true" outlineLevel="0" collapsed="false">
      <c r="B111" s="86"/>
      <c r="C111" s="162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233"/>
      <c r="AK111" s="139"/>
    </row>
    <row r="112" customFormat="false" ht="13.5" hidden="true" customHeight="false" outlineLevel="0" collapsed="false">
      <c r="B112" s="86"/>
      <c r="C112" s="109" t="s">
        <v>68</v>
      </c>
      <c r="D112" s="110" t="s">
        <v>69</v>
      </c>
      <c r="E112" s="110" t="s">
        <v>30</v>
      </c>
      <c r="F112" s="110" t="s">
        <v>31</v>
      </c>
      <c r="G112" s="110" t="s">
        <v>32</v>
      </c>
      <c r="H112" s="110" t="s">
        <v>33</v>
      </c>
      <c r="I112" s="110" t="s">
        <v>34</v>
      </c>
      <c r="J112" s="110" t="s">
        <v>35</v>
      </c>
      <c r="K112" s="110" t="s">
        <v>36</v>
      </c>
      <c r="L112" s="110" t="s">
        <v>37</v>
      </c>
      <c r="M112" s="110" t="s">
        <v>38</v>
      </c>
      <c r="N112" s="110" t="s">
        <v>39</v>
      </c>
      <c r="O112" s="110" t="s">
        <v>40</v>
      </c>
      <c r="P112" s="110" t="s">
        <v>41</v>
      </c>
      <c r="Q112" s="110" t="s">
        <v>81</v>
      </c>
      <c r="R112" s="110" t="s">
        <v>82</v>
      </c>
      <c r="S112" s="110" t="s">
        <v>83</v>
      </c>
      <c r="T112" s="110" t="s">
        <v>84</v>
      </c>
      <c r="U112" s="110" t="s">
        <v>85</v>
      </c>
      <c r="V112" s="110" t="s">
        <v>86</v>
      </c>
      <c r="W112" s="110" t="s">
        <v>87</v>
      </c>
      <c r="X112" s="110" t="s">
        <v>88</v>
      </c>
      <c r="Y112" s="110" t="s">
        <v>89</v>
      </c>
      <c r="Z112" s="110" t="s">
        <v>90</v>
      </c>
      <c r="AA112" s="110" t="s">
        <v>91</v>
      </c>
      <c r="AB112" s="110" t="s">
        <v>92</v>
      </c>
      <c r="AC112" s="110" t="s">
        <v>93</v>
      </c>
      <c r="AD112" s="110" t="s">
        <v>94</v>
      </c>
      <c r="AE112" s="110" t="s">
        <v>95</v>
      </c>
      <c r="AF112" s="110" t="s">
        <v>96</v>
      </c>
      <c r="AG112" s="110" t="s">
        <v>97</v>
      </c>
      <c r="AH112" s="110" t="s">
        <v>98</v>
      </c>
      <c r="AI112" s="110" t="s">
        <v>99</v>
      </c>
      <c r="AJ112" s="111" t="s">
        <v>70</v>
      </c>
      <c r="AK112" s="86"/>
    </row>
    <row r="113" customFormat="false" ht="19.5" hidden="false" customHeight="true" outlineLevel="0" collapsed="false">
      <c r="B113" s="143"/>
      <c r="C113" s="144" t="str">
        <f aca="false">DADOS!$AD$3</f>
        <v>📝 CDB</v>
      </c>
      <c r="D113" s="145" t="str">
        <f aca="false">IF(investirrendafixaconsolidadojul[[#This Row],[TOTAL (R$)]]=0,"",IF(OR(investirrendafixaconsolidadojul[[#This Row],[TOTAL (R$)]]=LARGE($AJ$113:$AJ$122,1),investirrendafixaconsolidadojul[[#This Row],[TOTAL (R$)]]=LARGE($AJ$113:$AJ$122,2)),DADOS!$I$10,""))</f>
        <v/>
      </c>
      <c r="E113" s="148" t="n">
        <f aca="false">SUMIFS(tabela_registros[VALOR],tabela_registros[MÊS],$AE$1,tabela_registros[DIA],investirrendafixaconsolidadojul[[#Headers],[1]],tabela_registros[REGISTRO],DADOS!$N$5,tabela_registros[TIPO],DADOS!$AB$3,tabela_registros[CATEGORIA],investirrendafixaconsolidadojul[[#This Row],[ATUAL]])</f>
        <v>0</v>
      </c>
      <c r="F113" s="119" t="n">
        <f aca="false">SUMIFS(tabela_registros[VALOR],tabela_registros[MÊS],$AE$1,tabela_registros[DIA],investirrendafixaconsolidadojul[[#Headers],[2]],tabela_registros[REGISTRO],DADOS!$N$5,tabela_registros[TIPO],DADOS!$AB$3,tabela_registros[CATEGORIA],investirrendafixaconsolidadojul[[#This Row],[ATUAL]])</f>
        <v>0</v>
      </c>
      <c r="G113" s="119" t="n">
        <f aca="false">SUMIFS(tabela_registros[VALOR],tabela_registros[MÊS],$AE$1,tabela_registros[DIA],investirrendafixaconsolidadojul[[#Headers],[3]],tabela_registros[REGISTRO],DADOS!$N$5,tabela_registros[TIPO],DADOS!$AB$3,tabela_registros[CATEGORIA],investirrendafixaconsolidadojul[[#This Row],[ATUAL]])</f>
        <v>0</v>
      </c>
      <c r="H113" s="119" t="n">
        <f aca="false">SUMIFS(tabela_registros[VALOR],tabela_registros[MÊS],$AE$1,tabela_registros[DIA],investirrendafixaconsolidadojul[[#Headers],[4]],tabela_registros[REGISTRO],DADOS!$N$5,tabela_registros[TIPO],DADOS!$AB$3,tabela_registros[CATEGORIA],investirrendafixaconsolidadojul[[#This Row],[ATUAL]])</f>
        <v>0</v>
      </c>
      <c r="I113" s="119" t="n">
        <f aca="false">SUMIFS(tabela_registros[VALOR],tabela_registros[MÊS],$AE$1,tabela_registros[DIA],investirrendafixaconsolidadojul[[#Headers],[5]],tabela_registros[REGISTRO],DADOS!$N$5,tabela_registros[TIPO],DADOS!$AB$3,tabela_registros[CATEGORIA],investirrendafixaconsolidadojul[[#This Row],[ATUAL]])</f>
        <v>0</v>
      </c>
      <c r="J113" s="119" t="n">
        <f aca="false">SUMIFS(tabela_registros[VALOR],tabela_registros[MÊS],$AE$1,tabela_registros[DIA],investirrendafixaconsolidadojul[[#Headers],[6]],tabela_registros[REGISTRO],DADOS!$N$5,tabela_registros[TIPO],DADOS!$AB$3,tabela_registros[CATEGORIA],investirrendafixaconsolidadojul[[#This Row],[ATUAL]])</f>
        <v>0</v>
      </c>
      <c r="K113" s="119" t="n">
        <f aca="false">SUMIFS(tabela_registros[VALOR],tabela_registros[MÊS],$AE$1,tabela_registros[DIA],investirrendafixaconsolidadojul[[#Headers],[7]],tabela_registros[REGISTRO],DADOS!$N$5,tabela_registros[TIPO],DADOS!$AB$3,tabela_registros[CATEGORIA],investirrendafixaconsolidadojul[[#This Row],[ATUAL]])</f>
        <v>0</v>
      </c>
      <c r="L113" s="119" t="n">
        <f aca="false">SUMIFS(tabela_registros[VALOR],tabela_registros[MÊS],$AE$1,tabela_registros[DIA],investirrendafixaconsolidadojul[[#Headers],[8]],tabela_registros[REGISTRO],DADOS!$N$5,tabela_registros[TIPO],DADOS!$AB$3,tabela_registros[CATEGORIA],investirrendafixaconsolidadojul[[#This Row],[ATUAL]])</f>
        <v>0</v>
      </c>
      <c r="M113" s="119" t="n">
        <f aca="false">SUMIFS(tabela_registros[VALOR],tabela_registros[MÊS],$AE$1,tabela_registros[DIA],investirrendafixaconsolidadojul[[#Headers],[9]],tabela_registros[REGISTRO],DADOS!$N$5,tabela_registros[TIPO],DADOS!$AB$3,tabela_registros[CATEGORIA],investirrendafixaconsolidadojul[[#This Row],[ATUAL]])</f>
        <v>0</v>
      </c>
      <c r="N113" s="119" t="n">
        <f aca="false">SUMIFS(tabela_registros[VALOR],tabela_registros[MÊS],$AE$1,tabela_registros[DIA],investirrendafixaconsolidadojul[[#Headers],[10]],tabela_registros[REGISTRO],DADOS!$N$5,tabela_registros[TIPO],DADOS!$AB$3,tabela_registros[CATEGORIA],investirrendafixaconsolidadojul[[#This Row],[ATUAL]])</f>
        <v>0</v>
      </c>
      <c r="O113" s="119" t="n">
        <f aca="false">SUMIFS(tabela_registros[VALOR],tabela_registros[MÊS],$AE$1,tabela_registros[DIA],investirrendafixaconsolidadojul[[#Headers],[11]],tabela_registros[REGISTRO],DADOS!$N$5,tabela_registros[TIPO],DADOS!$AB$3,tabela_registros[CATEGORIA],investirrendafixaconsolidadojul[[#This Row],[ATUAL]])</f>
        <v>0</v>
      </c>
      <c r="P113" s="119" t="n">
        <f aca="false">SUMIFS(tabela_registros[VALOR],tabela_registros[MÊS],$AE$1,tabela_registros[DIA],investirrendafixaconsolidadojul[[#Headers],[12]],tabela_registros[REGISTRO],DADOS!$N$5,tabela_registros[TIPO],DADOS!$AB$3,tabela_registros[CATEGORIA],investirrendafixaconsolidadojul[[#This Row],[ATUAL]])</f>
        <v>0</v>
      </c>
      <c r="Q113" s="119" t="n">
        <f aca="false">SUMIFS(tabela_registros[VALOR],tabela_registros[MÊS],$AE$1,tabela_registros[DIA],investirrendafixaconsolidadojul[[#Headers],[13]],tabela_registros[REGISTRO],DADOS!$N$5,tabela_registros[TIPO],DADOS!$AB$3,tabela_registros[CATEGORIA],investirrendafixaconsolidadojul[[#This Row],[ATUAL]])</f>
        <v>0</v>
      </c>
      <c r="R113" s="119" t="n">
        <f aca="false">SUMIFS(tabela_registros[VALOR],tabela_registros[MÊS],$AE$1,tabela_registros[DIA],investirrendafixaconsolidadojul[[#Headers],[14]],tabela_registros[REGISTRO],DADOS!$N$5,tabela_registros[TIPO],DADOS!$AB$3,tabela_registros[CATEGORIA],investirrendafixaconsolidadojul[[#This Row],[ATUAL]])</f>
        <v>0</v>
      </c>
      <c r="S113" s="119" t="n">
        <f aca="false">SUMIFS(tabela_registros[VALOR],tabela_registros[MÊS],$AE$1,tabela_registros[DIA],investirrendafixaconsolidadojul[[#Headers],[15]],tabela_registros[REGISTRO],DADOS!$N$5,tabela_registros[TIPO],DADOS!$AB$3,tabela_registros[CATEGORIA],investirrendafixaconsolidadojul[[#This Row],[ATUAL]])</f>
        <v>0</v>
      </c>
      <c r="T113" s="119" t="n">
        <f aca="false">SUMIFS(tabela_registros[VALOR],tabela_registros[MÊS],$AE$1,tabela_registros[DIA],investirrendafixaconsolidadojul[[#Headers],[16]],tabela_registros[REGISTRO],DADOS!$N$5,tabela_registros[TIPO],DADOS!$AB$3,tabela_registros[CATEGORIA],investirrendafixaconsolidadojul[[#This Row],[ATUAL]])</f>
        <v>0</v>
      </c>
      <c r="U113" s="119" t="n">
        <f aca="false">SUMIFS(tabela_registros[VALOR],tabela_registros[MÊS],$AE$1,tabela_registros[DIA],investirrendafixaconsolidadojul[[#Headers],[17]],tabela_registros[REGISTRO],DADOS!$N$5,tabela_registros[TIPO],DADOS!$AB$3,tabela_registros[CATEGORIA],investirrendafixaconsolidadojul[[#This Row],[ATUAL]])</f>
        <v>0</v>
      </c>
      <c r="V113" s="119" t="n">
        <f aca="false">SUMIFS(tabela_registros[VALOR],tabela_registros[MÊS],$AE$1,tabela_registros[DIA],investirrendafixaconsolidadojul[[#Headers],[18]],tabela_registros[REGISTRO],DADOS!$N$5,tabela_registros[TIPO],DADOS!$AB$3,tabela_registros[CATEGORIA],investirrendafixaconsolidadojul[[#This Row],[ATUAL]])</f>
        <v>0</v>
      </c>
      <c r="W113" s="119" t="n">
        <f aca="false">SUMIFS(tabela_registros[VALOR],tabela_registros[MÊS],$AE$1,tabela_registros[DIA],investirrendafixaconsolidadojul[[#Headers],[19]],tabela_registros[REGISTRO],DADOS!$N$5,tabela_registros[TIPO],DADOS!$AB$3,tabela_registros[CATEGORIA],investirrendafixaconsolidadojul[[#This Row],[ATUAL]])</f>
        <v>0</v>
      </c>
      <c r="X113" s="119" t="n">
        <f aca="false">SUMIFS(tabela_registros[VALOR],tabela_registros[MÊS],$AE$1,tabela_registros[DIA],investirrendafixaconsolidadojul[[#Headers],[20]],tabela_registros[REGISTRO],DADOS!$N$5,tabela_registros[TIPO],DADOS!$AB$3,tabela_registros[CATEGORIA],investirrendafixaconsolidadojul[[#This Row],[ATUAL]])</f>
        <v>0</v>
      </c>
      <c r="Y113" s="119" t="n">
        <f aca="false">SUMIFS(tabela_registros[VALOR],tabela_registros[MÊS],$AE$1,tabela_registros[DIA],investirrendafixaconsolidadojul[[#Headers],[21]],tabela_registros[REGISTRO],DADOS!$N$5,tabela_registros[TIPO],DADOS!$AB$3,tabela_registros[CATEGORIA],investirrendafixaconsolidadojul[[#This Row],[ATUAL]])</f>
        <v>0</v>
      </c>
      <c r="Z113" s="119" t="n">
        <f aca="false">SUMIFS(tabela_registros[VALOR],tabela_registros[MÊS],$AE$1,tabela_registros[DIA],investirrendafixaconsolidadojul[[#Headers],[22]],tabela_registros[REGISTRO],DADOS!$N$5,tabela_registros[TIPO],DADOS!$AB$3,tabela_registros[CATEGORIA],investirrendafixaconsolidadojul[[#This Row],[ATUAL]])</f>
        <v>0</v>
      </c>
      <c r="AA113" s="119" t="n">
        <f aca="false">SUMIFS(tabela_registros[VALOR],tabela_registros[MÊS],$AE$1,tabela_registros[DIA],investirrendafixaconsolidadojul[[#Headers],[23]],tabela_registros[REGISTRO],DADOS!$N$5,tabela_registros[TIPO],DADOS!$AB$3,tabela_registros[CATEGORIA],investirrendafixaconsolidadojul[[#This Row],[ATUAL]])</f>
        <v>0</v>
      </c>
      <c r="AB113" s="119" t="n">
        <f aca="false">SUMIFS(tabela_registros[VALOR],tabela_registros[MÊS],$AE$1,tabela_registros[DIA],investirrendafixaconsolidadojul[[#Headers],[24]],tabela_registros[REGISTRO],DADOS!$N$5,tabela_registros[TIPO],DADOS!$AB$3,tabela_registros[CATEGORIA],investirrendafixaconsolidadojul[[#This Row],[ATUAL]])</f>
        <v>0</v>
      </c>
      <c r="AC113" s="119" t="n">
        <f aca="false">SUMIFS(tabela_registros[VALOR],tabela_registros[MÊS],$AE$1,tabela_registros[DIA],investirrendafixaconsolidadojul[[#Headers],[25]],tabela_registros[REGISTRO],DADOS!$N$5,tabela_registros[TIPO],DADOS!$AB$3,tabela_registros[CATEGORIA],investirrendafixaconsolidadojul[[#This Row],[ATUAL]])</f>
        <v>0</v>
      </c>
      <c r="AD113" s="119" t="n">
        <f aca="false">SUMIFS(tabela_registros[VALOR],tabela_registros[MÊS],$AE$1,tabela_registros[DIA],investirrendafixaconsolidadojul[[#Headers],[26]],tabela_registros[REGISTRO],DADOS!$N$5,tabela_registros[TIPO],DADOS!$AB$3,tabela_registros[CATEGORIA],investirrendafixaconsolidadojul[[#This Row],[ATUAL]])</f>
        <v>0</v>
      </c>
      <c r="AE113" s="119" t="n">
        <f aca="false">SUMIFS(tabela_registros[VALOR],tabela_registros[MÊS],$AE$1,tabela_registros[DIA],investirrendafixaconsolidadojul[[#Headers],[27]],tabela_registros[REGISTRO],DADOS!$N$5,tabela_registros[TIPO],DADOS!$AB$3,tabela_registros[CATEGORIA],investirrendafixaconsolidadojul[[#This Row],[ATUAL]])</f>
        <v>0</v>
      </c>
      <c r="AF113" s="119" t="n">
        <f aca="false">SUMIFS(tabela_registros[VALOR],tabela_registros[MÊS],$AE$1,tabela_registros[DIA],investirrendafixaconsolidadojul[[#Headers],[28]],tabela_registros[REGISTRO],DADOS!$N$5,tabela_registros[TIPO],DADOS!$AB$3,tabela_registros[CATEGORIA],investirrendafixaconsolidadojul[[#This Row],[ATUAL]])</f>
        <v>0</v>
      </c>
      <c r="AG113" s="119" t="n">
        <f aca="false">SUMIFS(tabela_registros[VALOR],tabela_registros[MÊS],$AE$1,tabela_registros[DIA],investirrendafixaconsolidadojul[[#Headers],[29]],tabela_registros[REGISTRO],DADOS!$N$5,tabela_registros[TIPO],DADOS!$AB$3,tabela_registros[CATEGORIA],investirrendafixaconsolidadojul[[#This Row],[ATUAL]])</f>
        <v>0</v>
      </c>
      <c r="AH113" s="119" t="n">
        <f aca="false">SUMIFS(tabela_registros[VALOR],tabela_registros[MÊS],$AE$1,tabela_registros[DIA],investirrendafixaconsolidadojul[[#Headers],[30]],tabela_registros[REGISTRO],DADOS!$N$5,tabela_registros[TIPO],DADOS!$AB$3,tabela_registros[CATEGORIA],investirrendafixaconsolidadojul[[#This Row],[ATUAL]])</f>
        <v>0</v>
      </c>
      <c r="AI113" s="217" t="n">
        <f aca="false">SUMIFS(tabela_registros[VALOR],tabela_registros[MÊS],$AE$1,tabela_registros[DIA],investirrendafixaconsolidadojul[[#Headers],[31]],tabela_registros[REGISTRO],DADOS!$N$5,tabela_registros[TIPO],DADOS!$AB$3,tabela_registros[CATEGORIA],investirrendafixaconsolidadojul[[#This Row],[ATUAL]])</f>
        <v>0</v>
      </c>
      <c r="AJ113" s="149" t="n">
        <f aca="false">SUM(investirrendafixaconsolidadojul[[#This Row],[1]:[31]])</f>
        <v>0</v>
      </c>
      <c r="AK113" s="165"/>
    </row>
    <row r="114" customFormat="false" ht="19.5" hidden="false" customHeight="true" outlineLevel="0" collapsed="false">
      <c r="B114" s="143"/>
      <c r="C114" s="144" t="str">
        <f aca="false">DADOS!$AD$4</f>
        <v>📝 CRA</v>
      </c>
      <c r="D114" s="145" t="str">
        <f aca="false">IF(investirrendafixaconsolidadojul[[#This Row],[TOTAL (R$)]]=0,"",IF(OR(investirrendafixaconsolidadojul[[#This Row],[TOTAL (R$)]]=LARGE($AJ$113:$AJ$122,1),investirrendafixaconsolidadojul[[#This Row],[TOTAL (R$)]]=LARGE($AJ$113:$AJ$122,2)),DADOS!$I$10,""))</f>
        <v/>
      </c>
      <c r="E114" s="148" t="n">
        <f aca="false">SUMIFS(tabela_registros[VALOR],tabela_registros[MÊS],$AE$1,tabela_registros[DIA],investirrendafixaconsolidadojul[[#Headers],[1]],tabela_registros[REGISTRO],DADOS!$N$5,tabela_registros[TIPO],DADOS!$AB$3,tabela_registros[CATEGORIA],investirrendafixaconsolidadojul[[#This Row],[ATUAL]])</f>
        <v>0</v>
      </c>
      <c r="F114" s="119" t="n">
        <f aca="false">SUMIFS(tabela_registros[VALOR],tabela_registros[MÊS],$AE$1,tabela_registros[DIA],investirrendafixaconsolidadojul[[#Headers],[2]],tabela_registros[REGISTRO],DADOS!$N$5,tabela_registros[TIPO],DADOS!$AB$3,tabela_registros[CATEGORIA],investirrendafixaconsolidadojul[[#This Row],[ATUAL]])</f>
        <v>0</v>
      </c>
      <c r="G114" s="119" t="n">
        <f aca="false">SUMIFS(tabela_registros[VALOR],tabela_registros[MÊS],$AE$1,tabela_registros[DIA],investirrendafixaconsolidadojul[[#Headers],[3]],tabela_registros[REGISTRO],DADOS!$N$5,tabela_registros[TIPO],DADOS!$AB$3,tabela_registros[CATEGORIA],investirrendafixaconsolidadojul[[#This Row],[ATUAL]])</f>
        <v>0</v>
      </c>
      <c r="H114" s="119" t="n">
        <f aca="false">SUMIFS(tabela_registros[VALOR],tabela_registros[MÊS],$AE$1,tabela_registros[DIA],investirrendafixaconsolidadojul[[#Headers],[4]],tabela_registros[REGISTRO],DADOS!$N$5,tabela_registros[TIPO],DADOS!$AB$3,tabela_registros[CATEGORIA],investirrendafixaconsolidadojul[[#This Row],[ATUAL]])</f>
        <v>0</v>
      </c>
      <c r="I114" s="119" t="n">
        <f aca="false">SUMIFS(tabela_registros[VALOR],tabela_registros[MÊS],$AE$1,tabela_registros[DIA],investirrendafixaconsolidadojul[[#Headers],[5]],tabela_registros[REGISTRO],DADOS!$N$5,tabela_registros[TIPO],DADOS!$AB$3,tabela_registros[CATEGORIA],investirrendafixaconsolidadojul[[#This Row],[ATUAL]])</f>
        <v>0</v>
      </c>
      <c r="J114" s="119" t="n">
        <f aca="false">SUMIFS(tabela_registros[VALOR],tabela_registros[MÊS],$AE$1,tabela_registros[DIA],investirrendafixaconsolidadojul[[#Headers],[6]],tabela_registros[REGISTRO],DADOS!$N$5,tabela_registros[TIPO],DADOS!$AB$3,tabela_registros[CATEGORIA],investirrendafixaconsolidadojul[[#This Row],[ATUAL]])</f>
        <v>0</v>
      </c>
      <c r="K114" s="119" t="n">
        <f aca="false">SUMIFS(tabela_registros[VALOR],tabela_registros[MÊS],$AE$1,tabela_registros[DIA],investirrendafixaconsolidadojul[[#Headers],[7]],tabela_registros[REGISTRO],DADOS!$N$5,tabela_registros[TIPO],DADOS!$AB$3,tabela_registros[CATEGORIA],investirrendafixaconsolidadojul[[#This Row],[ATUAL]])</f>
        <v>0</v>
      </c>
      <c r="L114" s="119" t="n">
        <f aca="false">SUMIFS(tabela_registros[VALOR],tabela_registros[MÊS],$AE$1,tabela_registros[DIA],investirrendafixaconsolidadojul[[#Headers],[8]],tabela_registros[REGISTRO],DADOS!$N$5,tabela_registros[TIPO],DADOS!$AB$3,tabela_registros[CATEGORIA],investirrendafixaconsolidadojul[[#This Row],[ATUAL]])</f>
        <v>0</v>
      </c>
      <c r="M114" s="119" t="n">
        <f aca="false">SUMIFS(tabela_registros[VALOR],tabela_registros[MÊS],$AE$1,tabela_registros[DIA],investirrendafixaconsolidadojul[[#Headers],[9]],tabela_registros[REGISTRO],DADOS!$N$5,tabela_registros[TIPO],DADOS!$AB$3,tabela_registros[CATEGORIA],investirrendafixaconsolidadojul[[#This Row],[ATUAL]])</f>
        <v>0</v>
      </c>
      <c r="N114" s="119" t="n">
        <f aca="false">SUMIFS(tabela_registros[VALOR],tabela_registros[MÊS],$AE$1,tabela_registros[DIA],investirrendafixaconsolidadojul[[#Headers],[10]],tabela_registros[REGISTRO],DADOS!$N$5,tabela_registros[TIPO],DADOS!$AB$3,tabela_registros[CATEGORIA],investirrendafixaconsolidadojul[[#This Row],[ATUAL]])</f>
        <v>0</v>
      </c>
      <c r="O114" s="119" t="n">
        <f aca="false">SUMIFS(tabela_registros[VALOR],tabela_registros[MÊS],$AE$1,tabela_registros[DIA],investirrendafixaconsolidadojul[[#Headers],[11]],tabela_registros[REGISTRO],DADOS!$N$5,tabela_registros[TIPO],DADOS!$AB$3,tabela_registros[CATEGORIA],investirrendafixaconsolidadojul[[#This Row],[ATUAL]])</f>
        <v>0</v>
      </c>
      <c r="P114" s="119" t="n">
        <f aca="false">SUMIFS(tabela_registros[VALOR],tabela_registros[MÊS],$AE$1,tabela_registros[DIA],investirrendafixaconsolidadojul[[#Headers],[12]],tabela_registros[REGISTRO],DADOS!$N$5,tabela_registros[TIPO],DADOS!$AB$3,tabela_registros[CATEGORIA],investirrendafixaconsolidadojul[[#This Row],[ATUAL]])</f>
        <v>0</v>
      </c>
      <c r="Q114" s="119" t="n">
        <f aca="false">SUMIFS(tabela_registros[VALOR],tabela_registros[MÊS],$AE$1,tabela_registros[DIA],investirrendafixaconsolidadojul[[#Headers],[13]],tabela_registros[REGISTRO],DADOS!$N$5,tabela_registros[TIPO],DADOS!$AB$3,tabela_registros[CATEGORIA],investirrendafixaconsolidadojul[[#This Row],[ATUAL]])</f>
        <v>0</v>
      </c>
      <c r="R114" s="119" t="n">
        <f aca="false">SUMIFS(tabela_registros[VALOR],tabela_registros[MÊS],$AE$1,tabela_registros[DIA],investirrendafixaconsolidadojul[[#Headers],[14]],tabela_registros[REGISTRO],DADOS!$N$5,tabela_registros[TIPO],DADOS!$AB$3,tabela_registros[CATEGORIA],investirrendafixaconsolidadojul[[#This Row],[ATUAL]])</f>
        <v>0</v>
      </c>
      <c r="S114" s="119" t="n">
        <f aca="false">SUMIFS(tabela_registros[VALOR],tabela_registros[MÊS],$AE$1,tabela_registros[DIA],investirrendafixaconsolidadojul[[#Headers],[15]],tabela_registros[REGISTRO],DADOS!$N$5,tabela_registros[TIPO],DADOS!$AB$3,tabela_registros[CATEGORIA],investirrendafixaconsolidadojul[[#This Row],[ATUAL]])</f>
        <v>0</v>
      </c>
      <c r="T114" s="119" t="n">
        <f aca="false">SUMIFS(tabela_registros[VALOR],tabela_registros[MÊS],$AE$1,tabela_registros[DIA],investirrendafixaconsolidadojul[[#Headers],[16]],tabela_registros[REGISTRO],DADOS!$N$5,tabela_registros[TIPO],DADOS!$AB$3,tabela_registros[CATEGORIA],investirrendafixaconsolidadojul[[#This Row],[ATUAL]])</f>
        <v>0</v>
      </c>
      <c r="U114" s="119" t="n">
        <f aca="false">SUMIFS(tabela_registros[VALOR],tabela_registros[MÊS],$AE$1,tabela_registros[DIA],investirrendafixaconsolidadojul[[#Headers],[17]],tabela_registros[REGISTRO],DADOS!$N$5,tabela_registros[TIPO],DADOS!$AB$3,tabela_registros[CATEGORIA],investirrendafixaconsolidadojul[[#This Row],[ATUAL]])</f>
        <v>0</v>
      </c>
      <c r="V114" s="119" t="n">
        <f aca="false">SUMIFS(tabela_registros[VALOR],tabela_registros[MÊS],$AE$1,tabela_registros[DIA],investirrendafixaconsolidadojul[[#Headers],[18]],tabela_registros[REGISTRO],DADOS!$N$5,tabela_registros[TIPO],DADOS!$AB$3,tabela_registros[CATEGORIA],investirrendafixaconsolidadojul[[#This Row],[ATUAL]])</f>
        <v>0</v>
      </c>
      <c r="W114" s="119" t="n">
        <f aca="false">SUMIFS(tabela_registros[VALOR],tabela_registros[MÊS],$AE$1,tabela_registros[DIA],investirrendafixaconsolidadojul[[#Headers],[19]],tabela_registros[REGISTRO],DADOS!$N$5,tabela_registros[TIPO],DADOS!$AB$3,tabela_registros[CATEGORIA],investirrendafixaconsolidadojul[[#This Row],[ATUAL]])</f>
        <v>0</v>
      </c>
      <c r="X114" s="119" t="n">
        <f aca="false">SUMIFS(tabela_registros[VALOR],tabela_registros[MÊS],$AE$1,tabela_registros[DIA],investirrendafixaconsolidadojul[[#Headers],[20]],tabela_registros[REGISTRO],DADOS!$N$5,tabela_registros[TIPO],DADOS!$AB$3,tabela_registros[CATEGORIA],investirrendafixaconsolidadojul[[#This Row],[ATUAL]])</f>
        <v>0</v>
      </c>
      <c r="Y114" s="119" t="n">
        <f aca="false">SUMIFS(tabela_registros[VALOR],tabela_registros[MÊS],$AE$1,tabela_registros[DIA],investirrendafixaconsolidadojul[[#Headers],[21]],tabela_registros[REGISTRO],DADOS!$N$5,tabela_registros[TIPO],DADOS!$AB$3,tabela_registros[CATEGORIA],investirrendafixaconsolidadojul[[#This Row],[ATUAL]])</f>
        <v>0</v>
      </c>
      <c r="Z114" s="119" t="n">
        <f aca="false">SUMIFS(tabela_registros[VALOR],tabela_registros[MÊS],$AE$1,tabela_registros[DIA],investirrendafixaconsolidadojul[[#Headers],[22]],tabela_registros[REGISTRO],DADOS!$N$5,tabela_registros[TIPO],DADOS!$AB$3,tabela_registros[CATEGORIA],investirrendafixaconsolidadojul[[#This Row],[ATUAL]])</f>
        <v>0</v>
      </c>
      <c r="AA114" s="119" t="n">
        <f aca="false">SUMIFS(tabela_registros[VALOR],tabela_registros[MÊS],$AE$1,tabela_registros[DIA],investirrendafixaconsolidadojul[[#Headers],[23]],tabela_registros[REGISTRO],DADOS!$N$5,tabela_registros[TIPO],DADOS!$AB$3,tabela_registros[CATEGORIA],investirrendafixaconsolidadojul[[#This Row],[ATUAL]])</f>
        <v>0</v>
      </c>
      <c r="AB114" s="119" t="n">
        <f aca="false">SUMIFS(tabela_registros[VALOR],tabela_registros[MÊS],$AE$1,tabela_registros[DIA],investirrendafixaconsolidadojul[[#Headers],[24]],tabela_registros[REGISTRO],DADOS!$N$5,tabela_registros[TIPO],DADOS!$AB$3,tabela_registros[CATEGORIA],investirrendafixaconsolidadojul[[#This Row],[ATUAL]])</f>
        <v>0</v>
      </c>
      <c r="AC114" s="119" t="n">
        <f aca="false">SUMIFS(tabela_registros[VALOR],tabela_registros[MÊS],$AE$1,tabela_registros[DIA],investirrendafixaconsolidadojul[[#Headers],[25]],tabela_registros[REGISTRO],DADOS!$N$5,tabela_registros[TIPO],DADOS!$AB$3,tabela_registros[CATEGORIA],investirrendafixaconsolidadojul[[#This Row],[ATUAL]])</f>
        <v>0</v>
      </c>
      <c r="AD114" s="119" t="n">
        <f aca="false">SUMIFS(tabela_registros[VALOR],tabela_registros[MÊS],$AE$1,tabela_registros[DIA],investirrendafixaconsolidadojul[[#Headers],[26]],tabela_registros[REGISTRO],DADOS!$N$5,tabela_registros[TIPO],DADOS!$AB$3,tabela_registros[CATEGORIA],investirrendafixaconsolidadojul[[#This Row],[ATUAL]])</f>
        <v>0</v>
      </c>
      <c r="AE114" s="119" t="n">
        <f aca="false">SUMIFS(tabela_registros[VALOR],tabela_registros[MÊS],$AE$1,tabela_registros[DIA],investirrendafixaconsolidadojul[[#Headers],[27]],tabela_registros[REGISTRO],DADOS!$N$5,tabela_registros[TIPO],DADOS!$AB$3,tabela_registros[CATEGORIA],investirrendafixaconsolidadojul[[#This Row],[ATUAL]])</f>
        <v>0</v>
      </c>
      <c r="AF114" s="119" t="n">
        <f aca="false">SUMIFS(tabela_registros[VALOR],tabela_registros[MÊS],$AE$1,tabela_registros[DIA],investirrendafixaconsolidadojul[[#Headers],[28]],tabela_registros[REGISTRO],DADOS!$N$5,tabela_registros[TIPO],DADOS!$AB$3,tabela_registros[CATEGORIA],investirrendafixaconsolidadojul[[#This Row],[ATUAL]])</f>
        <v>0</v>
      </c>
      <c r="AG114" s="119" t="n">
        <f aca="false">SUMIFS(tabela_registros[VALOR],tabela_registros[MÊS],$AE$1,tabela_registros[DIA],investirrendafixaconsolidadojul[[#Headers],[29]],tabela_registros[REGISTRO],DADOS!$N$5,tabela_registros[TIPO],DADOS!$AB$3,tabela_registros[CATEGORIA],investirrendafixaconsolidadojul[[#This Row],[ATUAL]])</f>
        <v>0</v>
      </c>
      <c r="AH114" s="119" t="n">
        <f aca="false">SUMIFS(tabela_registros[VALOR],tabela_registros[MÊS],$AE$1,tabela_registros[DIA],investirrendafixaconsolidadojul[[#Headers],[30]],tabela_registros[REGISTRO],DADOS!$N$5,tabela_registros[TIPO],DADOS!$AB$3,tabela_registros[CATEGORIA],investirrendafixaconsolidadojul[[#This Row],[ATUAL]])</f>
        <v>0</v>
      </c>
      <c r="AI114" s="217" t="n">
        <f aca="false">SUMIFS(tabela_registros[VALOR],tabela_registros[MÊS],$AE$1,tabela_registros[DIA],investirrendafixaconsolidadojul[[#Headers],[31]],tabela_registros[REGISTRO],DADOS!$N$5,tabela_registros[TIPO],DADOS!$AB$3,tabela_registros[CATEGORIA],investirrendafixaconsolidadojul[[#This Row],[ATUAL]])</f>
        <v>0</v>
      </c>
      <c r="AJ114" s="149" t="n">
        <f aca="false">SUM(investirrendafixaconsolidadojul[[#This Row],[1]:[31]])</f>
        <v>0</v>
      </c>
      <c r="AK114" s="165"/>
    </row>
    <row r="115" customFormat="false" ht="19.5" hidden="false" customHeight="true" outlineLevel="0" collapsed="false">
      <c r="B115" s="143"/>
      <c r="C115" s="144" t="str">
        <f aca="false">DADOS!$AD$5</f>
        <v>📝 CRI</v>
      </c>
      <c r="D115" s="145" t="str">
        <f aca="false">IF(investirrendafixaconsolidadojul[[#This Row],[TOTAL (R$)]]=0,"",IF(OR(investirrendafixaconsolidadojul[[#This Row],[TOTAL (R$)]]=LARGE($AJ$113:$AJ$122,1),investirrendafixaconsolidadojul[[#This Row],[TOTAL (R$)]]=LARGE($AJ$113:$AJ$122,2)),DADOS!$I$10,""))</f>
        <v/>
      </c>
      <c r="E115" s="148" t="n">
        <f aca="false">SUMIFS(tabela_registros[VALOR],tabela_registros[MÊS],$AE$1,tabela_registros[DIA],investirrendafixaconsolidadojul[[#Headers],[1]],tabela_registros[REGISTRO],DADOS!$N$5,tabela_registros[TIPO],DADOS!$AB$3,tabela_registros[CATEGORIA],investirrendafixaconsolidadojul[[#This Row],[ATUAL]])</f>
        <v>0</v>
      </c>
      <c r="F115" s="119" t="n">
        <f aca="false">SUMIFS(tabela_registros[VALOR],tabela_registros[MÊS],$AE$1,tabela_registros[DIA],investirrendafixaconsolidadojul[[#Headers],[2]],tabela_registros[REGISTRO],DADOS!$N$5,tabela_registros[TIPO],DADOS!$AB$3,tabela_registros[CATEGORIA],investirrendafixaconsolidadojul[[#This Row],[ATUAL]])</f>
        <v>0</v>
      </c>
      <c r="G115" s="119" t="n">
        <f aca="false">SUMIFS(tabela_registros[VALOR],tabela_registros[MÊS],$AE$1,tabela_registros[DIA],investirrendafixaconsolidadojul[[#Headers],[3]],tabela_registros[REGISTRO],DADOS!$N$5,tabela_registros[TIPO],DADOS!$AB$3,tabela_registros[CATEGORIA],investirrendafixaconsolidadojul[[#This Row],[ATUAL]])</f>
        <v>0</v>
      </c>
      <c r="H115" s="119" t="n">
        <f aca="false">SUMIFS(tabela_registros[VALOR],tabela_registros[MÊS],$AE$1,tabela_registros[DIA],investirrendafixaconsolidadojul[[#Headers],[4]],tabela_registros[REGISTRO],DADOS!$N$5,tabela_registros[TIPO],DADOS!$AB$3,tabela_registros[CATEGORIA],investirrendafixaconsolidadojul[[#This Row],[ATUAL]])</f>
        <v>0</v>
      </c>
      <c r="I115" s="119" t="n">
        <f aca="false">SUMIFS(tabela_registros[VALOR],tabela_registros[MÊS],$AE$1,tabela_registros[DIA],investirrendafixaconsolidadojul[[#Headers],[5]],tabela_registros[REGISTRO],DADOS!$N$5,tabela_registros[TIPO],DADOS!$AB$3,tabela_registros[CATEGORIA],investirrendafixaconsolidadojul[[#This Row],[ATUAL]])</f>
        <v>0</v>
      </c>
      <c r="J115" s="119" t="n">
        <f aca="false">SUMIFS(tabela_registros[VALOR],tabela_registros[MÊS],$AE$1,tabela_registros[DIA],investirrendafixaconsolidadojul[[#Headers],[6]],tabela_registros[REGISTRO],DADOS!$N$5,tabela_registros[TIPO],DADOS!$AB$3,tabela_registros[CATEGORIA],investirrendafixaconsolidadojul[[#This Row],[ATUAL]])</f>
        <v>0</v>
      </c>
      <c r="K115" s="119" t="n">
        <f aca="false">SUMIFS(tabela_registros[VALOR],tabela_registros[MÊS],$AE$1,tabela_registros[DIA],investirrendafixaconsolidadojul[[#Headers],[7]],tabela_registros[REGISTRO],DADOS!$N$5,tabela_registros[TIPO],DADOS!$AB$3,tabela_registros[CATEGORIA],investirrendafixaconsolidadojul[[#This Row],[ATUAL]])</f>
        <v>0</v>
      </c>
      <c r="L115" s="119" t="n">
        <f aca="false">SUMIFS(tabela_registros[VALOR],tabela_registros[MÊS],$AE$1,tabela_registros[DIA],investirrendafixaconsolidadojul[[#Headers],[8]],tabela_registros[REGISTRO],DADOS!$N$5,tabela_registros[TIPO],DADOS!$AB$3,tabela_registros[CATEGORIA],investirrendafixaconsolidadojul[[#This Row],[ATUAL]])</f>
        <v>0</v>
      </c>
      <c r="M115" s="119" t="n">
        <f aca="false">SUMIFS(tabela_registros[VALOR],tabela_registros[MÊS],$AE$1,tabela_registros[DIA],investirrendafixaconsolidadojul[[#Headers],[9]],tabela_registros[REGISTRO],DADOS!$N$5,tabela_registros[TIPO],DADOS!$AB$3,tabela_registros[CATEGORIA],investirrendafixaconsolidadojul[[#This Row],[ATUAL]])</f>
        <v>0</v>
      </c>
      <c r="N115" s="119" t="n">
        <f aca="false">SUMIFS(tabela_registros[VALOR],tabela_registros[MÊS],$AE$1,tabela_registros[DIA],investirrendafixaconsolidadojul[[#Headers],[10]],tabela_registros[REGISTRO],DADOS!$N$5,tabela_registros[TIPO],DADOS!$AB$3,tabela_registros[CATEGORIA],investirrendafixaconsolidadojul[[#This Row],[ATUAL]])</f>
        <v>0</v>
      </c>
      <c r="O115" s="119" t="n">
        <f aca="false">SUMIFS(tabela_registros[VALOR],tabela_registros[MÊS],$AE$1,tabela_registros[DIA],investirrendafixaconsolidadojul[[#Headers],[11]],tabela_registros[REGISTRO],DADOS!$N$5,tabela_registros[TIPO],DADOS!$AB$3,tabela_registros[CATEGORIA],investirrendafixaconsolidadojul[[#This Row],[ATUAL]])</f>
        <v>0</v>
      </c>
      <c r="P115" s="119" t="n">
        <f aca="false">SUMIFS(tabela_registros[VALOR],tabela_registros[MÊS],$AE$1,tabela_registros[DIA],investirrendafixaconsolidadojul[[#Headers],[12]],tabela_registros[REGISTRO],DADOS!$N$5,tabela_registros[TIPO],DADOS!$AB$3,tabela_registros[CATEGORIA],investirrendafixaconsolidadojul[[#This Row],[ATUAL]])</f>
        <v>0</v>
      </c>
      <c r="Q115" s="119" t="n">
        <f aca="false">SUMIFS(tabela_registros[VALOR],tabela_registros[MÊS],$AE$1,tabela_registros[DIA],investirrendafixaconsolidadojul[[#Headers],[13]],tabela_registros[REGISTRO],DADOS!$N$5,tabela_registros[TIPO],DADOS!$AB$3,tabela_registros[CATEGORIA],investirrendafixaconsolidadojul[[#This Row],[ATUAL]])</f>
        <v>0</v>
      </c>
      <c r="R115" s="119" t="n">
        <f aca="false">SUMIFS(tabela_registros[VALOR],tabela_registros[MÊS],$AE$1,tabela_registros[DIA],investirrendafixaconsolidadojul[[#Headers],[14]],tabela_registros[REGISTRO],DADOS!$N$5,tabela_registros[TIPO],DADOS!$AB$3,tabela_registros[CATEGORIA],investirrendafixaconsolidadojul[[#This Row],[ATUAL]])</f>
        <v>0</v>
      </c>
      <c r="S115" s="119" t="n">
        <f aca="false">SUMIFS(tabela_registros[VALOR],tabela_registros[MÊS],$AE$1,tabela_registros[DIA],investirrendafixaconsolidadojul[[#Headers],[15]],tabela_registros[REGISTRO],DADOS!$N$5,tabela_registros[TIPO],DADOS!$AB$3,tabela_registros[CATEGORIA],investirrendafixaconsolidadojul[[#This Row],[ATUAL]])</f>
        <v>0</v>
      </c>
      <c r="T115" s="119" t="n">
        <f aca="false">SUMIFS(tabela_registros[VALOR],tabela_registros[MÊS],$AE$1,tabela_registros[DIA],investirrendafixaconsolidadojul[[#Headers],[16]],tabela_registros[REGISTRO],DADOS!$N$5,tabela_registros[TIPO],DADOS!$AB$3,tabela_registros[CATEGORIA],investirrendafixaconsolidadojul[[#This Row],[ATUAL]])</f>
        <v>0</v>
      </c>
      <c r="U115" s="119" t="n">
        <f aca="false">SUMIFS(tabela_registros[VALOR],tabela_registros[MÊS],$AE$1,tabela_registros[DIA],investirrendafixaconsolidadojul[[#Headers],[17]],tabela_registros[REGISTRO],DADOS!$N$5,tabela_registros[TIPO],DADOS!$AB$3,tabela_registros[CATEGORIA],investirrendafixaconsolidadojul[[#This Row],[ATUAL]])</f>
        <v>0</v>
      </c>
      <c r="V115" s="119" t="n">
        <f aca="false">SUMIFS(tabela_registros[VALOR],tabela_registros[MÊS],$AE$1,tabela_registros[DIA],investirrendafixaconsolidadojul[[#Headers],[18]],tabela_registros[REGISTRO],DADOS!$N$5,tabela_registros[TIPO],DADOS!$AB$3,tabela_registros[CATEGORIA],investirrendafixaconsolidadojul[[#This Row],[ATUAL]])</f>
        <v>0</v>
      </c>
      <c r="W115" s="119" t="n">
        <f aca="false">SUMIFS(tabela_registros[VALOR],tabela_registros[MÊS],$AE$1,tabela_registros[DIA],investirrendafixaconsolidadojul[[#Headers],[19]],tabela_registros[REGISTRO],DADOS!$N$5,tabela_registros[TIPO],DADOS!$AB$3,tabela_registros[CATEGORIA],investirrendafixaconsolidadojul[[#This Row],[ATUAL]])</f>
        <v>0</v>
      </c>
      <c r="X115" s="119" t="n">
        <f aca="false">SUMIFS(tabela_registros[VALOR],tabela_registros[MÊS],$AE$1,tabela_registros[DIA],investirrendafixaconsolidadojul[[#Headers],[20]],tabela_registros[REGISTRO],DADOS!$N$5,tabela_registros[TIPO],DADOS!$AB$3,tabela_registros[CATEGORIA],investirrendafixaconsolidadojul[[#This Row],[ATUAL]])</f>
        <v>0</v>
      </c>
      <c r="Y115" s="119" t="n">
        <f aca="false">SUMIFS(tabela_registros[VALOR],tabela_registros[MÊS],$AE$1,tabela_registros[DIA],investirrendafixaconsolidadojul[[#Headers],[21]],tabela_registros[REGISTRO],DADOS!$N$5,tabela_registros[TIPO],DADOS!$AB$3,tabela_registros[CATEGORIA],investirrendafixaconsolidadojul[[#This Row],[ATUAL]])</f>
        <v>0</v>
      </c>
      <c r="Z115" s="119" t="n">
        <f aca="false">SUMIFS(tabela_registros[VALOR],tabela_registros[MÊS],$AE$1,tabela_registros[DIA],investirrendafixaconsolidadojul[[#Headers],[22]],tabela_registros[REGISTRO],DADOS!$N$5,tabela_registros[TIPO],DADOS!$AB$3,tabela_registros[CATEGORIA],investirrendafixaconsolidadojul[[#This Row],[ATUAL]])</f>
        <v>0</v>
      </c>
      <c r="AA115" s="119" t="n">
        <f aca="false">SUMIFS(tabela_registros[VALOR],tabela_registros[MÊS],$AE$1,tabela_registros[DIA],investirrendafixaconsolidadojul[[#Headers],[23]],tabela_registros[REGISTRO],DADOS!$N$5,tabela_registros[TIPO],DADOS!$AB$3,tabela_registros[CATEGORIA],investirrendafixaconsolidadojul[[#This Row],[ATUAL]])</f>
        <v>0</v>
      </c>
      <c r="AB115" s="119" t="n">
        <f aca="false">SUMIFS(tabela_registros[VALOR],tabela_registros[MÊS],$AE$1,tabela_registros[DIA],investirrendafixaconsolidadojul[[#Headers],[24]],tabela_registros[REGISTRO],DADOS!$N$5,tabela_registros[TIPO],DADOS!$AB$3,tabela_registros[CATEGORIA],investirrendafixaconsolidadojul[[#This Row],[ATUAL]])</f>
        <v>0</v>
      </c>
      <c r="AC115" s="119" t="n">
        <f aca="false">SUMIFS(tabela_registros[VALOR],tabela_registros[MÊS],$AE$1,tabela_registros[DIA],investirrendafixaconsolidadojul[[#Headers],[25]],tabela_registros[REGISTRO],DADOS!$N$5,tabela_registros[TIPO],DADOS!$AB$3,tabela_registros[CATEGORIA],investirrendafixaconsolidadojul[[#This Row],[ATUAL]])</f>
        <v>0</v>
      </c>
      <c r="AD115" s="119" t="n">
        <f aca="false">SUMIFS(tabela_registros[VALOR],tabela_registros[MÊS],$AE$1,tabela_registros[DIA],investirrendafixaconsolidadojul[[#Headers],[26]],tabela_registros[REGISTRO],DADOS!$N$5,tabela_registros[TIPO],DADOS!$AB$3,tabela_registros[CATEGORIA],investirrendafixaconsolidadojul[[#This Row],[ATUAL]])</f>
        <v>0</v>
      </c>
      <c r="AE115" s="119" t="n">
        <f aca="false">SUMIFS(tabela_registros[VALOR],tabela_registros[MÊS],$AE$1,tabela_registros[DIA],investirrendafixaconsolidadojul[[#Headers],[27]],tabela_registros[REGISTRO],DADOS!$N$5,tabela_registros[TIPO],DADOS!$AB$3,tabela_registros[CATEGORIA],investirrendafixaconsolidadojul[[#This Row],[ATUAL]])</f>
        <v>0</v>
      </c>
      <c r="AF115" s="119" t="n">
        <f aca="false">SUMIFS(tabela_registros[VALOR],tabela_registros[MÊS],$AE$1,tabela_registros[DIA],investirrendafixaconsolidadojul[[#Headers],[28]],tabela_registros[REGISTRO],DADOS!$N$5,tabela_registros[TIPO],DADOS!$AB$3,tabela_registros[CATEGORIA],investirrendafixaconsolidadojul[[#This Row],[ATUAL]])</f>
        <v>0</v>
      </c>
      <c r="AG115" s="119" t="n">
        <f aca="false">SUMIFS(tabela_registros[VALOR],tabela_registros[MÊS],$AE$1,tabela_registros[DIA],investirrendafixaconsolidadojul[[#Headers],[29]],tabela_registros[REGISTRO],DADOS!$N$5,tabela_registros[TIPO],DADOS!$AB$3,tabela_registros[CATEGORIA],investirrendafixaconsolidadojul[[#This Row],[ATUAL]])</f>
        <v>0</v>
      </c>
      <c r="AH115" s="119" t="n">
        <f aca="false">SUMIFS(tabela_registros[VALOR],tabela_registros[MÊS],$AE$1,tabela_registros[DIA],investirrendafixaconsolidadojul[[#Headers],[30]],tabela_registros[REGISTRO],DADOS!$N$5,tabela_registros[TIPO],DADOS!$AB$3,tabela_registros[CATEGORIA],investirrendafixaconsolidadojul[[#This Row],[ATUAL]])</f>
        <v>0</v>
      </c>
      <c r="AI115" s="217" t="n">
        <f aca="false">SUMIFS(tabela_registros[VALOR],tabela_registros[MÊS],$AE$1,tabela_registros[DIA],investirrendafixaconsolidadojul[[#Headers],[31]],tabela_registros[REGISTRO],DADOS!$N$5,tabela_registros[TIPO],DADOS!$AB$3,tabela_registros[CATEGORIA],investirrendafixaconsolidadojul[[#This Row],[ATUAL]])</f>
        <v>0</v>
      </c>
      <c r="AJ115" s="149" t="n">
        <f aca="false">SUM(investirrendafixaconsolidadojul[[#This Row],[1]:[31]])</f>
        <v>0</v>
      </c>
      <c r="AK115" s="165"/>
    </row>
    <row r="116" customFormat="false" ht="19.5" hidden="false" customHeight="true" outlineLevel="0" collapsed="false">
      <c r="B116" s="143"/>
      <c r="C116" s="144" t="str">
        <f aca="false">DADOS!$AD$6</f>
        <v>📝 DEBÊNTURE</v>
      </c>
      <c r="D116" s="145" t="str">
        <f aca="false">IF(investirrendafixaconsolidadojul[[#This Row],[TOTAL (R$)]]=0,"",IF(OR(investirrendafixaconsolidadojul[[#This Row],[TOTAL (R$)]]=LARGE($AJ$113:$AJ$122,1),investirrendafixaconsolidadojul[[#This Row],[TOTAL (R$)]]=LARGE($AJ$113:$AJ$122,2)),DADOS!$I$10,""))</f>
        <v/>
      </c>
      <c r="E116" s="148" t="n">
        <f aca="false">SUMIFS(tabela_registros[VALOR],tabela_registros[MÊS],$AE$1,tabela_registros[DIA],investirrendafixaconsolidadojul[[#Headers],[1]],tabela_registros[REGISTRO],DADOS!$N$5,tabela_registros[TIPO],DADOS!$AB$3,tabela_registros[CATEGORIA],investirrendafixaconsolidadojul[[#This Row],[ATUAL]])</f>
        <v>0</v>
      </c>
      <c r="F116" s="119" t="n">
        <f aca="false">SUMIFS(tabela_registros[VALOR],tabela_registros[MÊS],$AE$1,tabela_registros[DIA],investirrendafixaconsolidadojul[[#Headers],[2]],tabela_registros[REGISTRO],DADOS!$N$5,tabela_registros[TIPO],DADOS!$AB$3,tabela_registros[CATEGORIA],investirrendafixaconsolidadojul[[#This Row],[ATUAL]])</f>
        <v>0</v>
      </c>
      <c r="G116" s="119" t="n">
        <f aca="false">SUMIFS(tabela_registros[VALOR],tabela_registros[MÊS],$AE$1,tabela_registros[DIA],investirrendafixaconsolidadojul[[#Headers],[3]],tabela_registros[REGISTRO],DADOS!$N$5,tabela_registros[TIPO],DADOS!$AB$3,tabela_registros[CATEGORIA],investirrendafixaconsolidadojul[[#This Row],[ATUAL]])</f>
        <v>0</v>
      </c>
      <c r="H116" s="119" t="n">
        <f aca="false">SUMIFS(tabela_registros[VALOR],tabela_registros[MÊS],$AE$1,tabela_registros[DIA],investirrendafixaconsolidadojul[[#Headers],[4]],tabela_registros[REGISTRO],DADOS!$N$5,tabela_registros[TIPO],DADOS!$AB$3,tabela_registros[CATEGORIA],investirrendafixaconsolidadojul[[#This Row],[ATUAL]])</f>
        <v>0</v>
      </c>
      <c r="I116" s="119" t="n">
        <f aca="false">SUMIFS(tabela_registros[VALOR],tabela_registros[MÊS],$AE$1,tabela_registros[DIA],investirrendafixaconsolidadojul[[#Headers],[5]],tabela_registros[REGISTRO],DADOS!$N$5,tabela_registros[TIPO],DADOS!$AB$3,tabela_registros[CATEGORIA],investirrendafixaconsolidadojul[[#This Row],[ATUAL]])</f>
        <v>0</v>
      </c>
      <c r="J116" s="119" t="n">
        <f aca="false">SUMIFS(tabela_registros[VALOR],tabela_registros[MÊS],$AE$1,tabela_registros[DIA],investirrendafixaconsolidadojul[[#Headers],[6]],tabela_registros[REGISTRO],DADOS!$N$5,tabela_registros[TIPO],DADOS!$AB$3,tabela_registros[CATEGORIA],investirrendafixaconsolidadojul[[#This Row],[ATUAL]])</f>
        <v>0</v>
      </c>
      <c r="K116" s="119" t="n">
        <f aca="false">SUMIFS(tabela_registros[VALOR],tabela_registros[MÊS],$AE$1,tabela_registros[DIA],investirrendafixaconsolidadojul[[#Headers],[7]],tabela_registros[REGISTRO],DADOS!$N$5,tabela_registros[TIPO],DADOS!$AB$3,tabela_registros[CATEGORIA],investirrendafixaconsolidadojul[[#This Row],[ATUAL]])</f>
        <v>0</v>
      </c>
      <c r="L116" s="119" t="n">
        <f aca="false">SUMIFS(tabela_registros[VALOR],tabela_registros[MÊS],$AE$1,tabela_registros[DIA],investirrendafixaconsolidadojul[[#Headers],[8]],tabela_registros[REGISTRO],DADOS!$N$5,tabela_registros[TIPO],DADOS!$AB$3,tabela_registros[CATEGORIA],investirrendafixaconsolidadojul[[#This Row],[ATUAL]])</f>
        <v>0</v>
      </c>
      <c r="M116" s="119" t="n">
        <f aca="false">SUMIFS(tabela_registros[VALOR],tabela_registros[MÊS],$AE$1,tabela_registros[DIA],investirrendafixaconsolidadojul[[#Headers],[9]],tabela_registros[REGISTRO],DADOS!$N$5,tabela_registros[TIPO],DADOS!$AB$3,tabela_registros[CATEGORIA],investirrendafixaconsolidadojul[[#This Row],[ATUAL]])</f>
        <v>0</v>
      </c>
      <c r="N116" s="119" t="n">
        <f aca="false">SUMIFS(tabela_registros[VALOR],tabela_registros[MÊS],$AE$1,tabela_registros[DIA],investirrendafixaconsolidadojul[[#Headers],[10]],tabela_registros[REGISTRO],DADOS!$N$5,tabela_registros[TIPO],DADOS!$AB$3,tabela_registros[CATEGORIA],investirrendafixaconsolidadojul[[#This Row],[ATUAL]])</f>
        <v>0</v>
      </c>
      <c r="O116" s="119" t="n">
        <f aca="false">SUMIFS(tabela_registros[VALOR],tabela_registros[MÊS],$AE$1,tabela_registros[DIA],investirrendafixaconsolidadojul[[#Headers],[11]],tabela_registros[REGISTRO],DADOS!$N$5,tabela_registros[TIPO],DADOS!$AB$3,tabela_registros[CATEGORIA],investirrendafixaconsolidadojul[[#This Row],[ATUAL]])</f>
        <v>0</v>
      </c>
      <c r="P116" s="119" t="n">
        <f aca="false">SUMIFS(tabela_registros[VALOR],tabela_registros[MÊS],$AE$1,tabela_registros[DIA],investirrendafixaconsolidadojul[[#Headers],[12]],tabela_registros[REGISTRO],DADOS!$N$5,tabela_registros[TIPO],DADOS!$AB$3,tabela_registros[CATEGORIA],investirrendafixaconsolidadojul[[#This Row],[ATUAL]])</f>
        <v>0</v>
      </c>
      <c r="Q116" s="119" t="n">
        <f aca="false">SUMIFS(tabela_registros[VALOR],tabela_registros[MÊS],$AE$1,tabela_registros[DIA],investirrendafixaconsolidadojul[[#Headers],[13]],tabela_registros[REGISTRO],DADOS!$N$5,tabela_registros[TIPO],DADOS!$AB$3,tabela_registros[CATEGORIA],investirrendafixaconsolidadojul[[#This Row],[ATUAL]])</f>
        <v>0</v>
      </c>
      <c r="R116" s="119" t="n">
        <f aca="false">SUMIFS(tabela_registros[VALOR],tabela_registros[MÊS],$AE$1,tabela_registros[DIA],investirrendafixaconsolidadojul[[#Headers],[14]],tabela_registros[REGISTRO],DADOS!$N$5,tabela_registros[TIPO],DADOS!$AB$3,tabela_registros[CATEGORIA],investirrendafixaconsolidadojul[[#This Row],[ATUAL]])</f>
        <v>0</v>
      </c>
      <c r="S116" s="119" t="n">
        <f aca="false">SUMIFS(tabela_registros[VALOR],tabela_registros[MÊS],$AE$1,tabela_registros[DIA],investirrendafixaconsolidadojul[[#Headers],[15]],tabela_registros[REGISTRO],DADOS!$N$5,tabela_registros[TIPO],DADOS!$AB$3,tabela_registros[CATEGORIA],investirrendafixaconsolidadojul[[#This Row],[ATUAL]])</f>
        <v>0</v>
      </c>
      <c r="T116" s="119" t="n">
        <f aca="false">SUMIFS(tabela_registros[VALOR],tabela_registros[MÊS],$AE$1,tabela_registros[DIA],investirrendafixaconsolidadojul[[#Headers],[16]],tabela_registros[REGISTRO],DADOS!$N$5,tabela_registros[TIPO],DADOS!$AB$3,tabela_registros[CATEGORIA],investirrendafixaconsolidadojul[[#This Row],[ATUAL]])</f>
        <v>0</v>
      </c>
      <c r="U116" s="119" t="n">
        <f aca="false">SUMIFS(tabela_registros[VALOR],tabela_registros[MÊS],$AE$1,tabela_registros[DIA],investirrendafixaconsolidadojul[[#Headers],[17]],tabela_registros[REGISTRO],DADOS!$N$5,tabela_registros[TIPO],DADOS!$AB$3,tabela_registros[CATEGORIA],investirrendafixaconsolidadojul[[#This Row],[ATUAL]])</f>
        <v>0</v>
      </c>
      <c r="V116" s="119" t="n">
        <f aca="false">SUMIFS(tabela_registros[VALOR],tabela_registros[MÊS],$AE$1,tabela_registros[DIA],investirrendafixaconsolidadojul[[#Headers],[18]],tabela_registros[REGISTRO],DADOS!$N$5,tabela_registros[TIPO],DADOS!$AB$3,tabela_registros[CATEGORIA],investirrendafixaconsolidadojul[[#This Row],[ATUAL]])</f>
        <v>0</v>
      </c>
      <c r="W116" s="119" t="n">
        <f aca="false">SUMIFS(tabela_registros[VALOR],tabela_registros[MÊS],$AE$1,tabela_registros[DIA],investirrendafixaconsolidadojul[[#Headers],[19]],tabela_registros[REGISTRO],DADOS!$N$5,tabela_registros[TIPO],DADOS!$AB$3,tabela_registros[CATEGORIA],investirrendafixaconsolidadojul[[#This Row],[ATUAL]])</f>
        <v>0</v>
      </c>
      <c r="X116" s="119" t="n">
        <f aca="false">SUMIFS(tabela_registros[VALOR],tabela_registros[MÊS],$AE$1,tabela_registros[DIA],investirrendafixaconsolidadojul[[#Headers],[20]],tabela_registros[REGISTRO],DADOS!$N$5,tabela_registros[TIPO],DADOS!$AB$3,tabela_registros[CATEGORIA],investirrendafixaconsolidadojul[[#This Row],[ATUAL]])</f>
        <v>0</v>
      </c>
      <c r="Y116" s="119" t="n">
        <f aca="false">SUMIFS(tabela_registros[VALOR],tabela_registros[MÊS],$AE$1,tabela_registros[DIA],investirrendafixaconsolidadojul[[#Headers],[21]],tabela_registros[REGISTRO],DADOS!$N$5,tabela_registros[TIPO],DADOS!$AB$3,tabela_registros[CATEGORIA],investirrendafixaconsolidadojul[[#This Row],[ATUAL]])</f>
        <v>0</v>
      </c>
      <c r="Z116" s="119" t="n">
        <f aca="false">SUMIFS(tabela_registros[VALOR],tabela_registros[MÊS],$AE$1,tabela_registros[DIA],investirrendafixaconsolidadojul[[#Headers],[22]],tabela_registros[REGISTRO],DADOS!$N$5,tabela_registros[TIPO],DADOS!$AB$3,tabela_registros[CATEGORIA],investirrendafixaconsolidadojul[[#This Row],[ATUAL]])</f>
        <v>0</v>
      </c>
      <c r="AA116" s="119" t="n">
        <f aca="false">SUMIFS(tabela_registros[VALOR],tabela_registros[MÊS],$AE$1,tabela_registros[DIA],investirrendafixaconsolidadojul[[#Headers],[23]],tabela_registros[REGISTRO],DADOS!$N$5,tabela_registros[TIPO],DADOS!$AB$3,tabela_registros[CATEGORIA],investirrendafixaconsolidadojul[[#This Row],[ATUAL]])</f>
        <v>0</v>
      </c>
      <c r="AB116" s="119" t="n">
        <f aca="false">SUMIFS(tabela_registros[VALOR],tabela_registros[MÊS],$AE$1,tabela_registros[DIA],investirrendafixaconsolidadojul[[#Headers],[24]],tabela_registros[REGISTRO],DADOS!$N$5,tabela_registros[TIPO],DADOS!$AB$3,tabela_registros[CATEGORIA],investirrendafixaconsolidadojul[[#This Row],[ATUAL]])</f>
        <v>0</v>
      </c>
      <c r="AC116" s="119" t="n">
        <f aca="false">SUMIFS(tabela_registros[VALOR],tabela_registros[MÊS],$AE$1,tabela_registros[DIA],investirrendafixaconsolidadojul[[#Headers],[25]],tabela_registros[REGISTRO],DADOS!$N$5,tabela_registros[TIPO],DADOS!$AB$3,tabela_registros[CATEGORIA],investirrendafixaconsolidadojul[[#This Row],[ATUAL]])</f>
        <v>0</v>
      </c>
      <c r="AD116" s="119" t="n">
        <f aca="false">SUMIFS(tabela_registros[VALOR],tabela_registros[MÊS],$AE$1,tabela_registros[DIA],investirrendafixaconsolidadojul[[#Headers],[26]],tabela_registros[REGISTRO],DADOS!$N$5,tabela_registros[TIPO],DADOS!$AB$3,tabela_registros[CATEGORIA],investirrendafixaconsolidadojul[[#This Row],[ATUAL]])</f>
        <v>0</v>
      </c>
      <c r="AE116" s="119" t="n">
        <f aca="false">SUMIFS(tabela_registros[VALOR],tabela_registros[MÊS],$AE$1,tabela_registros[DIA],investirrendafixaconsolidadojul[[#Headers],[27]],tabela_registros[REGISTRO],DADOS!$N$5,tabela_registros[TIPO],DADOS!$AB$3,tabela_registros[CATEGORIA],investirrendafixaconsolidadojul[[#This Row],[ATUAL]])</f>
        <v>0</v>
      </c>
      <c r="AF116" s="119" t="n">
        <f aca="false">SUMIFS(tabela_registros[VALOR],tabela_registros[MÊS],$AE$1,tabela_registros[DIA],investirrendafixaconsolidadojul[[#Headers],[28]],tabela_registros[REGISTRO],DADOS!$N$5,tabela_registros[TIPO],DADOS!$AB$3,tabela_registros[CATEGORIA],investirrendafixaconsolidadojul[[#This Row],[ATUAL]])</f>
        <v>0</v>
      </c>
      <c r="AG116" s="119" t="n">
        <f aca="false">SUMIFS(tabela_registros[VALOR],tabela_registros[MÊS],$AE$1,tabela_registros[DIA],investirrendafixaconsolidadojul[[#Headers],[29]],tabela_registros[REGISTRO],DADOS!$N$5,tabela_registros[TIPO],DADOS!$AB$3,tabela_registros[CATEGORIA],investirrendafixaconsolidadojul[[#This Row],[ATUAL]])</f>
        <v>0</v>
      </c>
      <c r="AH116" s="119" t="n">
        <f aca="false">SUMIFS(tabela_registros[VALOR],tabela_registros[MÊS],$AE$1,tabela_registros[DIA],investirrendafixaconsolidadojul[[#Headers],[30]],tabela_registros[REGISTRO],DADOS!$N$5,tabela_registros[TIPO],DADOS!$AB$3,tabela_registros[CATEGORIA],investirrendafixaconsolidadojul[[#This Row],[ATUAL]])</f>
        <v>0</v>
      </c>
      <c r="AI116" s="217" t="n">
        <f aca="false">SUMIFS(tabela_registros[VALOR],tabela_registros[MÊS],$AE$1,tabela_registros[DIA],investirrendafixaconsolidadojul[[#Headers],[31]],tabela_registros[REGISTRO],DADOS!$N$5,tabela_registros[TIPO],DADOS!$AB$3,tabela_registros[CATEGORIA],investirrendafixaconsolidadojul[[#This Row],[ATUAL]])</f>
        <v>0</v>
      </c>
      <c r="AJ116" s="149" t="n">
        <f aca="false">SUM(investirrendafixaconsolidadojul[[#This Row],[1]:[31]])</f>
        <v>0</v>
      </c>
      <c r="AK116" s="165"/>
    </row>
    <row r="117" customFormat="false" ht="19.5" hidden="false" customHeight="true" outlineLevel="0" collapsed="false">
      <c r="B117" s="143"/>
      <c r="C117" s="144" t="str">
        <f aca="false">DADOS!$AD$7</f>
        <v>📝 EXTERIOR</v>
      </c>
      <c r="D117" s="145" t="str">
        <f aca="false">IF(investirrendafixaconsolidadojul[[#This Row],[TOTAL (R$)]]=0,"",IF(OR(investirrendafixaconsolidadojul[[#This Row],[TOTAL (R$)]]=LARGE($AJ$113:$AJ$122,1),investirrendafixaconsolidadojul[[#This Row],[TOTAL (R$)]]=LARGE($AJ$113:$AJ$122,2)),DADOS!$I$10,""))</f>
        <v/>
      </c>
      <c r="E117" s="148" t="n">
        <f aca="false">SUMIFS(tabela_registros[VALOR],tabela_registros[MÊS],$AE$1,tabela_registros[DIA],investirrendafixaconsolidadojul[[#Headers],[1]],tabela_registros[REGISTRO],DADOS!$N$5,tabela_registros[TIPO],DADOS!$AB$3,tabela_registros[CATEGORIA],investirrendafixaconsolidadojul[[#This Row],[ATUAL]])</f>
        <v>0</v>
      </c>
      <c r="F117" s="119" t="n">
        <f aca="false">SUMIFS(tabela_registros[VALOR],tabela_registros[MÊS],$AE$1,tabela_registros[DIA],investirrendafixaconsolidadojul[[#Headers],[2]],tabela_registros[REGISTRO],DADOS!$N$5,tabela_registros[TIPO],DADOS!$AB$3,tabela_registros[CATEGORIA],investirrendafixaconsolidadojul[[#This Row],[ATUAL]])</f>
        <v>0</v>
      </c>
      <c r="G117" s="119" t="n">
        <f aca="false">SUMIFS(tabela_registros[VALOR],tabela_registros[MÊS],$AE$1,tabela_registros[DIA],investirrendafixaconsolidadojul[[#Headers],[3]],tabela_registros[REGISTRO],DADOS!$N$5,tabela_registros[TIPO],DADOS!$AB$3,tabela_registros[CATEGORIA],investirrendafixaconsolidadojul[[#This Row],[ATUAL]])</f>
        <v>0</v>
      </c>
      <c r="H117" s="119" t="n">
        <f aca="false">SUMIFS(tabela_registros[VALOR],tabela_registros[MÊS],$AE$1,tabela_registros[DIA],investirrendafixaconsolidadojul[[#Headers],[4]],tabela_registros[REGISTRO],DADOS!$N$5,tabela_registros[TIPO],DADOS!$AB$3,tabela_registros[CATEGORIA],investirrendafixaconsolidadojul[[#This Row],[ATUAL]])</f>
        <v>0</v>
      </c>
      <c r="I117" s="119" t="n">
        <f aca="false">SUMIFS(tabela_registros[VALOR],tabela_registros[MÊS],$AE$1,tabela_registros[DIA],investirrendafixaconsolidadojul[[#Headers],[5]],tabela_registros[REGISTRO],DADOS!$N$5,tabela_registros[TIPO],DADOS!$AB$3,tabela_registros[CATEGORIA],investirrendafixaconsolidadojul[[#This Row],[ATUAL]])</f>
        <v>0</v>
      </c>
      <c r="J117" s="119" t="n">
        <f aca="false">SUMIFS(tabela_registros[VALOR],tabela_registros[MÊS],$AE$1,tabela_registros[DIA],investirrendafixaconsolidadojul[[#Headers],[6]],tabela_registros[REGISTRO],DADOS!$N$5,tabela_registros[TIPO],DADOS!$AB$3,tabela_registros[CATEGORIA],investirrendafixaconsolidadojul[[#This Row],[ATUAL]])</f>
        <v>0</v>
      </c>
      <c r="K117" s="119" t="n">
        <f aca="false">SUMIFS(tabela_registros[VALOR],tabela_registros[MÊS],$AE$1,tabela_registros[DIA],investirrendafixaconsolidadojul[[#Headers],[7]],tabela_registros[REGISTRO],DADOS!$N$5,tabela_registros[TIPO],DADOS!$AB$3,tabela_registros[CATEGORIA],investirrendafixaconsolidadojul[[#This Row],[ATUAL]])</f>
        <v>0</v>
      </c>
      <c r="L117" s="119" t="n">
        <f aca="false">SUMIFS(tabela_registros[VALOR],tabela_registros[MÊS],$AE$1,tabela_registros[DIA],investirrendafixaconsolidadojul[[#Headers],[8]],tabela_registros[REGISTRO],DADOS!$N$5,tabela_registros[TIPO],DADOS!$AB$3,tabela_registros[CATEGORIA],investirrendafixaconsolidadojul[[#This Row],[ATUAL]])</f>
        <v>0</v>
      </c>
      <c r="M117" s="119" t="n">
        <f aca="false">SUMIFS(tabela_registros[VALOR],tabela_registros[MÊS],$AE$1,tabela_registros[DIA],investirrendafixaconsolidadojul[[#Headers],[9]],tabela_registros[REGISTRO],DADOS!$N$5,tabela_registros[TIPO],DADOS!$AB$3,tabela_registros[CATEGORIA],investirrendafixaconsolidadojul[[#This Row],[ATUAL]])</f>
        <v>0</v>
      </c>
      <c r="N117" s="119" t="n">
        <f aca="false">SUMIFS(tabela_registros[VALOR],tabela_registros[MÊS],$AE$1,tabela_registros[DIA],investirrendafixaconsolidadojul[[#Headers],[10]],tabela_registros[REGISTRO],DADOS!$N$5,tabela_registros[TIPO],DADOS!$AB$3,tabela_registros[CATEGORIA],investirrendafixaconsolidadojul[[#This Row],[ATUAL]])</f>
        <v>0</v>
      </c>
      <c r="O117" s="119" t="n">
        <f aca="false">SUMIFS(tabela_registros[VALOR],tabela_registros[MÊS],$AE$1,tabela_registros[DIA],investirrendafixaconsolidadojul[[#Headers],[11]],tabela_registros[REGISTRO],DADOS!$N$5,tabela_registros[TIPO],DADOS!$AB$3,tabela_registros[CATEGORIA],investirrendafixaconsolidadojul[[#This Row],[ATUAL]])</f>
        <v>0</v>
      </c>
      <c r="P117" s="119" t="n">
        <f aca="false">SUMIFS(tabela_registros[VALOR],tabela_registros[MÊS],$AE$1,tabela_registros[DIA],investirrendafixaconsolidadojul[[#Headers],[12]],tabela_registros[REGISTRO],DADOS!$N$5,tabela_registros[TIPO],DADOS!$AB$3,tabela_registros[CATEGORIA],investirrendafixaconsolidadojul[[#This Row],[ATUAL]])</f>
        <v>0</v>
      </c>
      <c r="Q117" s="119" t="n">
        <f aca="false">SUMIFS(tabela_registros[VALOR],tabela_registros[MÊS],$AE$1,tabela_registros[DIA],investirrendafixaconsolidadojul[[#Headers],[13]],tabela_registros[REGISTRO],DADOS!$N$5,tabela_registros[TIPO],DADOS!$AB$3,tabela_registros[CATEGORIA],investirrendafixaconsolidadojul[[#This Row],[ATUAL]])</f>
        <v>0</v>
      </c>
      <c r="R117" s="119" t="n">
        <f aca="false">SUMIFS(tabela_registros[VALOR],tabela_registros[MÊS],$AE$1,tabela_registros[DIA],investirrendafixaconsolidadojul[[#Headers],[14]],tabela_registros[REGISTRO],DADOS!$N$5,tabela_registros[TIPO],DADOS!$AB$3,tabela_registros[CATEGORIA],investirrendafixaconsolidadojul[[#This Row],[ATUAL]])</f>
        <v>0</v>
      </c>
      <c r="S117" s="119" t="n">
        <f aca="false">SUMIFS(tabela_registros[VALOR],tabela_registros[MÊS],$AE$1,tabela_registros[DIA],investirrendafixaconsolidadojul[[#Headers],[15]],tabela_registros[REGISTRO],DADOS!$N$5,tabela_registros[TIPO],DADOS!$AB$3,tabela_registros[CATEGORIA],investirrendafixaconsolidadojul[[#This Row],[ATUAL]])</f>
        <v>0</v>
      </c>
      <c r="T117" s="119" t="n">
        <f aca="false">SUMIFS(tabela_registros[VALOR],tabela_registros[MÊS],$AE$1,tabela_registros[DIA],investirrendafixaconsolidadojul[[#Headers],[16]],tabela_registros[REGISTRO],DADOS!$N$5,tabela_registros[TIPO],DADOS!$AB$3,tabela_registros[CATEGORIA],investirrendafixaconsolidadojul[[#This Row],[ATUAL]])</f>
        <v>0</v>
      </c>
      <c r="U117" s="119" t="n">
        <f aca="false">SUMIFS(tabela_registros[VALOR],tabela_registros[MÊS],$AE$1,tabela_registros[DIA],investirrendafixaconsolidadojul[[#Headers],[17]],tabela_registros[REGISTRO],DADOS!$N$5,tabela_registros[TIPO],DADOS!$AB$3,tabela_registros[CATEGORIA],investirrendafixaconsolidadojul[[#This Row],[ATUAL]])</f>
        <v>0</v>
      </c>
      <c r="V117" s="119" t="n">
        <f aca="false">SUMIFS(tabela_registros[VALOR],tabela_registros[MÊS],$AE$1,tabela_registros[DIA],investirrendafixaconsolidadojul[[#Headers],[18]],tabela_registros[REGISTRO],DADOS!$N$5,tabela_registros[TIPO],DADOS!$AB$3,tabela_registros[CATEGORIA],investirrendafixaconsolidadojul[[#This Row],[ATUAL]])</f>
        <v>0</v>
      </c>
      <c r="W117" s="119" t="n">
        <f aca="false">SUMIFS(tabela_registros[VALOR],tabela_registros[MÊS],$AE$1,tabela_registros[DIA],investirrendafixaconsolidadojul[[#Headers],[19]],tabela_registros[REGISTRO],DADOS!$N$5,tabela_registros[TIPO],DADOS!$AB$3,tabela_registros[CATEGORIA],investirrendafixaconsolidadojul[[#This Row],[ATUAL]])</f>
        <v>0</v>
      </c>
      <c r="X117" s="119" t="n">
        <f aca="false">SUMIFS(tabela_registros[VALOR],tabela_registros[MÊS],$AE$1,tabela_registros[DIA],investirrendafixaconsolidadojul[[#Headers],[20]],tabela_registros[REGISTRO],DADOS!$N$5,tabela_registros[TIPO],DADOS!$AB$3,tabela_registros[CATEGORIA],investirrendafixaconsolidadojul[[#This Row],[ATUAL]])</f>
        <v>0</v>
      </c>
      <c r="Y117" s="119" t="n">
        <f aca="false">SUMIFS(tabela_registros[VALOR],tabela_registros[MÊS],$AE$1,tabela_registros[DIA],investirrendafixaconsolidadojul[[#Headers],[21]],tabela_registros[REGISTRO],DADOS!$N$5,tabela_registros[TIPO],DADOS!$AB$3,tabela_registros[CATEGORIA],investirrendafixaconsolidadojul[[#This Row],[ATUAL]])</f>
        <v>0</v>
      </c>
      <c r="Z117" s="119" t="n">
        <f aca="false">SUMIFS(tabela_registros[VALOR],tabela_registros[MÊS],$AE$1,tabela_registros[DIA],investirrendafixaconsolidadojul[[#Headers],[22]],tabela_registros[REGISTRO],DADOS!$N$5,tabela_registros[TIPO],DADOS!$AB$3,tabela_registros[CATEGORIA],investirrendafixaconsolidadojul[[#This Row],[ATUAL]])</f>
        <v>0</v>
      </c>
      <c r="AA117" s="119" t="n">
        <f aca="false">SUMIFS(tabela_registros[VALOR],tabela_registros[MÊS],$AE$1,tabela_registros[DIA],investirrendafixaconsolidadojul[[#Headers],[23]],tabela_registros[REGISTRO],DADOS!$N$5,tabela_registros[TIPO],DADOS!$AB$3,tabela_registros[CATEGORIA],investirrendafixaconsolidadojul[[#This Row],[ATUAL]])</f>
        <v>0</v>
      </c>
      <c r="AB117" s="119" t="n">
        <f aca="false">SUMIFS(tabela_registros[VALOR],tabela_registros[MÊS],$AE$1,tabela_registros[DIA],investirrendafixaconsolidadojul[[#Headers],[24]],tabela_registros[REGISTRO],DADOS!$N$5,tabela_registros[TIPO],DADOS!$AB$3,tabela_registros[CATEGORIA],investirrendafixaconsolidadojul[[#This Row],[ATUAL]])</f>
        <v>0</v>
      </c>
      <c r="AC117" s="119" t="n">
        <f aca="false">SUMIFS(tabela_registros[VALOR],tabela_registros[MÊS],$AE$1,tabela_registros[DIA],investirrendafixaconsolidadojul[[#Headers],[25]],tabela_registros[REGISTRO],DADOS!$N$5,tabela_registros[TIPO],DADOS!$AB$3,tabela_registros[CATEGORIA],investirrendafixaconsolidadojul[[#This Row],[ATUAL]])</f>
        <v>0</v>
      </c>
      <c r="AD117" s="119" t="n">
        <f aca="false">SUMIFS(tabela_registros[VALOR],tabela_registros[MÊS],$AE$1,tabela_registros[DIA],investirrendafixaconsolidadojul[[#Headers],[26]],tabela_registros[REGISTRO],DADOS!$N$5,tabela_registros[TIPO],DADOS!$AB$3,tabela_registros[CATEGORIA],investirrendafixaconsolidadojul[[#This Row],[ATUAL]])</f>
        <v>0</v>
      </c>
      <c r="AE117" s="119" t="n">
        <f aca="false">SUMIFS(tabela_registros[VALOR],tabela_registros[MÊS],$AE$1,tabela_registros[DIA],investirrendafixaconsolidadojul[[#Headers],[27]],tabela_registros[REGISTRO],DADOS!$N$5,tabela_registros[TIPO],DADOS!$AB$3,tabela_registros[CATEGORIA],investirrendafixaconsolidadojul[[#This Row],[ATUAL]])</f>
        <v>0</v>
      </c>
      <c r="AF117" s="119" t="n">
        <f aca="false">SUMIFS(tabela_registros[VALOR],tabela_registros[MÊS],$AE$1,tabela_registros[DIA],investirrendafixaconsolidadojul[[#Headers],[28]],tabela_registros[REGISTRO],DADOS!$N$5,tabela_registros[TIPO],DADOS!$AB$3,tabela_registros[CATEGORIA],investirrendafixaconsolidadojul[[#This Row],[ATUAL]])</f>
        <v>0</v>
      </c>
      <c r="AG117" s="119" t="n">
        <f aca="false">SUMIFS(tabela_registros[VALOR],tabela_registros[MÊS],$AE$1,tabela_registros[DIA],investirrendafixaconsolidadojul[[#Headers],[29]],tabela_registros[REGISTRO],DADOS!$N$5,tabela_registros[TIPO],DADOS!$AB$3,tabela_registros[CATEGORIA],investirrendafixaconsolidadojul[[#This Row],[ATUAL]])</f>
        <v>0</v>
      </c>
      <c r="AH117" s="119" t="n">
        <f aca="false">SUMIFS(tabela_registros[VALOR],tabela_registros[MÊS],$AE$1,tabela_registros[DIA],investirrendafixaconsolidadojul[[#Headers],[30]],tabela_registros[REGISTRO],DADOS!$N$5,tabela_registros[TIPO],DADOS!$AB$3,tabela_registros[CATEGORIA],investirrendafixaconsolidadojul[[#This Row],[ATUAL]])</f>
        <v>0</v>
      </c>
      <c r="AI117" s="217" t="n">
        <f aca="false">SUMIFS(tabela_registros[VALOR],tabela_registros[MÊS],$AE$1,tabela_registros[DIA],investirrendafixaconsolidadojul[[#Headers],[31]],tabela_registros[REGISTRO],DADOS!$N$5,tabela_registros[TIPO],DADOS!$AB$3,tabela_registros[CATEGORIA],investirrendafixaconsolidadojul[[#This Row],[ATUAL]])</f>
        <v>0</v>
      </c>
      <c r="AJ117" s="149" t="n">
        <f aca="false">SUM(investirrendafixaconsolidadojul[[#This Row],[1]:[31]])</f>
        <v>0</v>
      </c>
      <c r="AK117" s="165"/>
    </row>
    <row r="118" customFormat="false" ht="19.5" hidden="false" customHeight="true" outlineLevel="0" collapsed="false">
      <c r="B118" s="143"/>
      <c r="C118" s="144" t="str">
        <f aca="false">DADOS!$AD$8</f>
        <v>📝 LC</v>
      </c>
      <c r="D118" s="145" t="str">
        <f aca="false">IF(investirrendafixaconsolidadojul[[#This Row],[TOTAL (R$)]]=0,"",IF(OR(investirrendafixaconsolidadojul[[#This Row],[TOTAL (R$)]]=LARGE($AJ$113:$AJ$122,1),investirrendafixaconsolidadojul[[#This Row],[TOTAL (R$)]]=LARGE($AJ$113:$AJ$122,2)),DADOS!$I$10,""))</f>
        <v/>
      </c>
      <c r="E118" s="148" t="n">
        <f aca="false">SUMIFS(tabela_registros[VALOR],tabela_registros[MÊS],$AE$1,tabela_registros[DIA],investirrendafixaconsolidadojul[[#Headers],[1]],tabela_registros[REGISTRO],DADOS!$N$5,tabela_registros[TIPO],DADOS!$AB$3,tabela_registros[CATEGORIA],investirrendafixaconsolidadojul[[#This Row],[ATUAL]])</f>
        <v>0</v>
      </c>
      <c r="F118" s="119" t="n">
        <f aca="false">SUMIFS(tabela_registros[VALOR],tabela_registros[MÊS],$AE$1,tabela_registros[DIA],investirrendafixaconsolidadojul[[#Headers],[2]],tabela_registros[REGISTRO],DADOS!$N$5,tabela_registros[TIPO],DADOS!$AB$3,tabela_registros[CATEGORIA],investirrendafixaconsolidadojul[[#This Row],[ATUAL]])</f>
        <v>0</v>
      </c>
      <c r="G118" s="119" t="n">
        <f aca="false">SUMIFS(tabela_registros[VALOR],tabela_registros[MÊS],$AE$1,tabela_registros[DIA],investirrendafixaconsolidadojul[[#Headers],[3]],tabela_registros[REGISTRO],DADOS!$N$5,tabela_registros[TIPO],DADOS!$AB$3,tabela_registros[CATEGORIA],investirrendafixaconsolidadojul[[#This Row],[ATUAL]])</f>
        <v>0</v>
      </c>
      <c r="H118" s="119" t="n">
        <f aca="false">SUMIFS(tabela_registros[VALOR],tabela_registros[MÊS],$AE$1,tabela_registros[DIA],investirrendafixaconsolidadojul[[#Headers],[4]],tabela_registros[REGISTRO],DADOS!$N$5,tabela_registros[TIPO],DADOS!$AB$3,tabela_registros[CATEGORIA],investirrendafixaconsolidadojul[[#This Row],[ATUAL]])</f>
        <v>0</v>
      </c>
      <c r="I118" s="119" t="n">
        <f aca="false">SUMIFS(tabela_registros[VALOR],tabela_registros[MÊS],$AE$1,tabela_registros[DIA],investirrendafixaconsolidadojul[[#Headers],[5]],tabela_registros[REGISTRO],DADOS!$N$5,tabela_registros[TIPO],DADOS!$AB$3,tabela_registros[CATEGORIA],investirrendafixaconsolidadojul[[#This Row],[ATUAL]])</f>
        <v>0</v>
      </c>
      <c r="J118" s="119" t="n">
        <f aca="false">SUMIFS(tabela_registros[VALOR],tabela_registros[MÊS],$AE$1,tabela_registros[DIA],investirrendafixaconsolidadojul[[#Headers],[6]],tabela_registros[REGISTRO],DADOS!$N$5,tabela_registros[TIPO],DADOS!$AB$3,tabela_registros[CATEGORIA],investirrendafixaconsolidadojul[[#This Row],[ATUAL]])</f>
        <v>0</v>
      </c>
      <c r="K118" s="119" t="n">
        <f aca="false">SUMIFS(tabela_registros[VALOR],tabela_registros[MÊS],$AE$1,tabela_registros[DIA],investirrendafixaconsolidadojul[[#Headers],[7]],tabela_registros[REGISTRO],DADOS!$N$5,tabela_registros[TIPO],DADOS!$AB$3,tabela_registros[CATEGORIA],investirrendafixaconsolidadojul[[#This Row],[ATUAL]])</f>
        <v>0</v>
      </c>
      <c r="L118" s="119" t="n">
        <f aca="false">SUMIFS(tabela_registros[VALOR],tabela_registros[MÊS],$AE$1,tabela_registros[DIA],investirrendafixaconsolidadojul[[#Headers],[8]],tabela_registros[REGISTRO],DADOS!$N$5,tabela_registros[TIPO],DADOS!$AB$3,tabela_registros[CATEGORIA],investirrendafixaconsolidadojul[[#This Row],[ATUAL]])</f>
        <v>0</v>
      </c>
      <c r="M118" s="119" t="n">
        <f aca="false">SUMIFS(tabela_registros[VALOR],tabela_registros[MÊS],$AE$1,tabela_registros[DIA],investirrendafixaconsolidadojul[[#Headers],[9]],tabela_registros[REGISTRO],DADOS!$N$5,tabela_registros[TIPO],DADOS!$AB$3,tabela_registros[CATEGORIA],investirrendafixaconsolidadojul[[#This Row],[ATUAL]])</f>
        <v>0</v>
      </c>
      <c r="N118" s="119" t="n">
        <f aca="false">SUMIFS(tabela_registros[VALOR],tabela_registros[MÊS],$AE$1,tabela_registros[DIA],investirrendafixaconsolidadojul[[#Headers],[10]],tabela_registros[REGISTRO],DADOS!$N$5,tabela_registros[TIPO],DADOS!$AB$3,tabela_registros[CATEGORIA],investirrendafixaconsolidadojul[[#This Row],[ATUAL]])</f>
        <v>0</v>
      </c>
      <c r="O118" s="119" t="n">
        <f aca="false">SUMIFS(tabela_registros[VALOR],tabela_registros[MÊS],$AE$1,tabela_registros[DIA],investirrendafixaconsolidadojul[[#Headers],[11]],tabela_registros[REGISTRO],DADOS!$N$5,tabela_registros[TIPO],DADOS!$AB$3,tabela_registros[CATEGORIA],investirrendafixaconsolidadojul[[#This Row],[ATUAL]])</f>
        <v>0</v>
      </c>
      <c r="P118" s="119" t="n">
        <f aca="false">SUMIFS(tabela_registros[VALOR],tabela_registros[MÊS],$AE$1,tabela_registros[DIA],investirrendafixaconsolidadojul[[#Headers],[12]],tabela_registros[REGISTRO],DADOS!$N$5,tabela_registros[TIPO],DADOS!$AB$3,tabela_registros[CATEGORIA],investirrendafixaconsolidadojul[[#This Row],[ATUAL]])</f>
        <v>0</v>
      </c>
      <c r="Q118" s="119" t="n">
        <f aca="false">SUMIFS(tabela_registros[VALOR],tabela_registros[MÊS],$AE$1,tabela_registros[DIA],investirrendafixaconsolidadojul[[#Headers],[13]],tabela_registros[REGISTRO],DADOS!$N$5,tabela_registros[TIPO],DADOS!$AB$3,tabela_registros[CATEGORIA],investirrendafixaconsolidadojul[[#This Row],[ATUAL]])</f>
        <v>0</v>
      </c>
      <c r="R118" s="119" t="n">
        <f aca="false">SUMIFS(tabela_registros[VALOR],tabela_registros[MÊS],$AE$1,tabela_registros[DIA],investirrendafixaconsolidadojul[[#Headers],[14]],tabela_registros[REGISTRO],DADOS!$N$5,tabela_registros[TIPO],DADOS!$AB$3,tabela_registros[CATEGORIA],investirrendafixaconsolidadojul[[#This Row],[ATUAL]])</f>
        <v>0</v>
      </c>
      <c r="S118" s="119" t="n">
        <f aca="false">SUMIFS(tabela_registros[VALOR],tabela_registros[MÊS],$AE$1,tabela_registros[DIA],investirrendafixaconsolidadojul[[#Headers],[15]],tabela_registros[REGISTRO],DADOS!$N$5,tabela_registros[TIPO],DADOS!$AB$3,tabela_registros[CATEGORIA],investirrendafixaconsolidadojul[[#This Row],[ATUAL]])</f>
        <v>0</v>
      </c>
      <c r="T118" s="119" t="n">
        <f aca="false">SUMIFS(tabela_registros[VALOR],tabela_registros[MÊS],$AE$1,tabela_registros[DIA],investirrendafixaconsolidadojul[[#Headers],[16]],tabela_registros[REGISTRO],DADOS!$N$5,tabela_registros[TIPO],DADOS!$AB$3,tabela_registros[CATEGORIA],investirrendafixaconsolidadojul[[#This Row],[ATUAL]])</f>
        <v>0</v>
      </c>
      <c r="U118" s="119" t="n">
        <f aca="false">SUMIFS(tabela_registros[VALOR],tabela_registros[MÊS],$AE$1,tabela_registros[DIA],investirrendafixaconsolidadojul[[#Headers],[17]],tabela_registros[REGISTRO],DADOS!$N$5,tabela_registros[TIPO],DADOS!$AB$3,tabela_registros[CATEGORIA],investirrendafixaconsolidadojul[[#This Row],[ATUAL]])</f>
        <v>0</v>
      </c>
      <c r="V118" s="119" t="n">
        <f aca="false">SUMIFS(tabela_registros[VALOR],tabela_registros[MÊS],$AE$1,tabela_registros[DIA],investirrendafixaconsolidadojul[[#Headers],[18]],tabela_registros[REGISTRO],DADOS!$N$5,tabela_registros[TIPO],DADOS!$AB$3,tabela_registros[CATEGORIA],investirrendafixaconsolidadojul[[#This Row],[ATUAL]])</f>
        <v>0</v>
      </c>
      <c r="W118" s="119" t="n">
        <f aca="false">SUMIFS(tabela_registros[VALOR],tabela_registros[MÊS],$AE$1,tabela_registros[DIA],investirrendafixaconsolidadojul[[#Headers],[19]],tabela_registros[REGISTRO],DADOS!$N$5,tabela_registros[TIPO],DADOS!$AB$3,tabela_registros[CATEGORIA],investirrendafixaconsolidadojul[[#This Row],[ATUAL]])</f>
        <v>0</v>
      </c>
      <c r="X118" s="119" t="n">
        <f aca="false">SUMIFS(tabela_registros[VALOR],tabela_registros[MÊS],$AE$1,tabela_registros[DIA],investirrendafixaconsolidadojul[[#Headers],[20]],tabela_registros[REGISTRO],DADOS!$N$5,tabela_registros[TIPO],DADOS!$AB$3,tabela_registros[CATEGORIA],investirrendafixaconsolidadojul[[#This Row],[ATUAL]])</f>
        <v>0</v>
      </c>
      <c r="Y118" s="119" t="n">
        <f aca="false">SUMIFS(tabela_registros[VALOR],tabela_registros[MÊS],$AE$1,tabela_registros[DIA],investirrendafixaconsolidadojul[[#Headers],[21]],tabela_registros[REGISTRO],DADOS!$N$5,tabela_registros[TIPO],DADOS!$AB$3,tabela_registros[CATEGORIA],investirrendafixaconsolidadojul[[#This Row],[ATUAL]])</f>
        <v>0</v>
      </c>
      <c r="Z118" s="119" t="n">
        <f aca="false">SUMIFS(tabela_registros[VALOR],tabela_registros[MÊS],$AE$1,tabela_registros[DIA],investirrendafixaconsolidadojul[[#Headers],[22]],tabela_registros[REGISTRO],DADOS!$N$5,tabela_registros[TIPO],DADOS!$AB$3,tabela_registros[CATEGORIA],investirrendafixaconsolidadojul[[#This Row],[ATUAL]])</f>
        <v>0</v>
      </c>
      <c r="AA118" s="119" t="n">
        <f aca="false">SUMIFS(tabela_registros[VALOR],tabela_registros[MÊS],$AE$1,tabela_registros[DIA],investirrendafixaconsolidadojul[[#Headers],[23]],tabela_registros[REGISTRO],DADOS!$N$5,tabela_registros[TIPO],DADOS!$AB$3,tabela_registros[CATEGORIA],investirrendafixaconsolidadojul[[#This Row],[ATUAL]])</f>
        <v>0</v>
      </c>
      <c r="AB118" s="119" t="n">
        <f aca="false">SUMIFS(tabela_registros[VALOR],tabela_registros[MÊS],$AE$1,tabela_registros[DIA],investirrendafixaconsolidadojul[[#Headers],[24]],tabela_registros[REGISTRO],DADOS!$N$5,tabela_registros[TIPO],DADOS!$AB$3,tabela_registros[CATEGORIA],investirrendafixaconsolidadojul[[#This Row],[ATUAL]])</f>
        <v>0</v>
      </c>
      <c r="AC118" s="119" t="n">
        <f aca="false">SUMIFS(tabela_registros[VALOR],tabela_registros[MÊS],$AE$1,tabela_registros[DIA],investirrendafixaconsolidadojul[[#Headers],[25]],tabela_registros[REGISTRO],DADOS!$N$5,tabela_registros[TIPO],DADOS!$AB$3,tabela_registros[CATEGORIA],investirrendafixaconsolidadojul[[#This Row],[ATUAL]])</f>
        <v>0</v>
      </c>
      <c r="AD118" s="119" t="n">
        <f aca="false">SUMIFS(tabela_registros[VALOR],tabela_registros[MÊS],$AE$1,tabela_registros[DIA],investirrendafixaconsolidadojul[[#Headers],[26]],tabela_registros[REGISTRO],DADOS!$N$5,tabela_registros[TIPO],DADOS!$AB$3,tabela_registros[CATEGORIA],investirrendafixaconsolidadojul[[#This Row],[ATUAL]])</f>
        <v>0</v>
      </c>
      <c r="AE118" s="119" t="n">
        <f aca="false">SUMIFS(tabela_registros[VALOR],tabela_registros[MÊS],$AE$1,tabela_registros[DIA],investirrendafixaconsolidadojul[[#Headers],[27]],tabela_registros[REGISTRO],DADOS!$N$5,tabela_registros[TIPO],DADOS!$AB$3,tabela_registros[CATEGORIA],investirrendafixaconsolidadojul[[#This Row],[ATUAL]])</f>
        <v>0</v>
      </c>
      <c r="AF118" s="119" t="n">
        <f aca="false">SUMIFS(tabela_registros[VALOR],tabela_registros[MÊS],$AE$1,tabela_registros[DIA],investirrendafixaconsolidadojul[[#Headers],[28]],tabela_registros[REGISTRO],DADOS!$N$5,tabela_registros[TIPO],DADOS!$AB$3,tabela_registros[CATEGORIA],investirrendafixaconsolidadojul[[#This Row],[ATUAL]])</f>
        <v>0</v>
      </c>
      <c r="AG118" s="119" t="n">
        <f aca="false">SUMIFS(tabela_registros[VALOR],tabela_registros[MÊS],$AE$1,tabela_registros[DIA],investirrendafixaconsolidadojul[[#Headers],[29]],tabela_registros[REGISTRO],DADOS!$N$5,tabela_registros[TIPO],DADOS!$AB$3,tabela_registros[CATEGORIA],investirrendafixaconsolidadojul[[#This Row],[ATUAL]])</f>
        <v>0</v>
      </c>
      <c r="AH118" s="119" t="n">
        <f aca="false">SUMIFS(tabela_registros[VALOR],tabela_registros[MÊS],$AE$1,tabela_registros[DIA],investirrendafixaconsolidadojul[[#Headers],[30]],tabela_registros[REGISTRO],DADOS!$N$5,tabela_registros[TIPO],DADOS!$AB$3,tabela_registros[CATEGORIA],investirrendafixaconsolidadojul[[#This Row],[ATUAL]])</f>
        <v>0</v>
      </c>
      <c r="AI118" s="217" t="n">
        <f aca="false">SUMIFS(tabela_registros[VALOR],tabela_registros[MÊS],$AE$1,tabela_registros[DIA],investirrendafixaconsolidadojul[[#Headers],[31]],tabela_registros[REGISTRO],DADOS!$N$5,tabela_registros[TIPO],DADOS!$AB$3,tabela_registros[CATEGORIA],investirrendafixaconsolidadojul[[#This Row],[ATUAL]])</f>
        <v>0</v>
      </c>
      <c r="AJ118" s="149" t="n">
        <f aca="false">SUM(investirrendafixaconsolidadojul[[#This Row],[1]:[31]])</f>
        <v>0</v>
      </c>
      <c r="AK118" s="165"/>
    </row>
    <row r="119" customFormat="false" ht="19.5" hidden="false" customHeight="true" outlineLevel="0" collapsed="false">
      <c r="B119" s="143"/>
      <c r="C119" s="144" t="str">
        <f aca="false">DADOS!$AD$9</f>
        <v>📝 LCA</v>
      </c>
      <c r="D119" s="145" t="str">
        <f aca="false">IF(investirrendafixaconsolidadojul[[#This Row],[TOTAL (R$)]]=0,"",IF(OR(investirrendafixaconsolidadojul[[#This Row],[TOTAL (R$)]]=LARGE($AJ$113:$AJ$122,1),investirrendafixaconsolidadojul[[#This Row],[TOTAL (R$)]]=LARGE($AJ$113:$AJ$122,2)),DADOS!$I$10,""))</f>
        <v/>
      </c>
      <c r="E119" s="148" t="n">
        <f aca="false">SUMIFS(tabela_registros[VALOR],tabela_registros[MÊS],$AE$1,tabela_registros[DIA],investirrendafixaconsolidadojul[[#Headers],[1]],tabela_registros[REGISTRO],DADOS!$N$5,tabela_registros[TIPO],DADOS!$AB$3,tabela_registros[CATEGORIA],investirrendafixaconsolidadojul[[#This Row],[ATUAL]])</f>
        <v>0</v>
      </c>
      <c r="F119" s="119" t="n">
        <f aca="false">SUMIFS(tabela_registros[VALOR],tabela_registros[MÊS],$AE$1,tabela_registros[DIA],investirrendafixaconsolidadojul[[#Headers],[2]],tabela_registros[REGISTRO],DADOS!$N$5,tabela_registros[TIPO],DADOS!$AB$3,tabela_registros[CATEGORIA],investirrendafixaconsolidadojul[[#This Row],[ATUAL]])</f>
        <v>0</v>
      </c>
      <c r="G119" s="119" t="n">
        <f aca="false">SUMIFS(tabela_registros[VALOR],tabela_registros[MÊS],$AE$1,tabela_registros[DIA],investirrendafixaconsolidadojul[[#Headers],[3]],tabela_registros[REGISTRO],DADOS!$N$5,tabela_registros[TIPO],DADOS!$AB$3,tabela_registros[CATEGORIA],investirrendafixaconsolidadojul[[#This Row],[ATUAL]])</f>
        <v>0</v>
      </c>
      <c r="H119" s="119" t="n">
        <f aca="false">SUMIFS(tabela_registros[VALOR],tabela_registros[MÊS],$AE$1,tabela_registros[DIA],investirrendafixaconsolidadojul[[#Headers],[4]],tabela_registros[REGISTRO],DADOS!$N$5,tabela_registros[TIPO],DADOS!$AB$3,tabela_registros[CATEGORIA],investirrendafixaconsolidadojul[[#This Row],[ATUAL]])</f>
        <v>0</v>
      </c>
      <c r="I119" s="119" t="n">
        <f aca="false">SUMIFS(tabela_registros[VALOR],tabela_registros[MÊS],$AE$1,tabela_registros[DIA],investirrendafixaconsolidadojul[[#Headers],[5]],tabela_registros[REGISTRO],DADOS!$N$5,tabela_registros[TIPO],DADOS!$AB$3,tabela_registros[CATEGORIA],investirrendafixaconsolidadojul[[#This Row],[ATUAL]])</f>
        <v>0</v>
      </c>
      <c r="J119" s="119" t="n">
        <f aca="false">SUMIFS(tabela_registros[VALOR],tabela_registros[MÊS],$AE$1,tabela_registros[DIA],investirrendafixaconsolidadojul[[#Headers],[6]],tabela_registros[REGISTRO],DADOS!$N$5,tabela_registros[TIPO],DADOS!$AB$3,tabela_registros[CATEGORIA],investirrendafixaconsolidadojul[[#This Row],[ATUAL]])</f>
        <v>0</v>
      </c>
      <c r="K119" s="119" t="n">
        <f aca="false">SUMIFS(tabela_registros[VALOR],tabela_registros[MÊS],$AE$1,tabela_registros[DIA],investirrendafixaconsolidadojul[[#Headers],[7]],tabela_registros[REGISTRO],DADOS!$N$5,tabela_registros[TIPO],DADOS!$AB$3,tabela_registros[CATEGORIA],investirrendafixaconsolidadojul[[#This Row],[ATUAL]])</f>
        <v>0</v>
      </c>
      <c r="L119" s="119" t="n">
        <f aca="false">SUMIFS(tabela_registros[VALOR],tabela_registros[MÊS],$AE$1,tabela_registros[DIA],investirrendafixaconsolidadojul[[#Headers],[8]],tabela_registros[REGISTRO],DADOS!$N$5,tabela_registros[TIPO],DADOS!$AB$3,tabela_registros[CATEGORIA],investirrendafixaconsolidadojul[[#This Row],[ATUAL]])</f>
        <v>0</v>
      </c>
      <c r="M119" s="119" t="n">
        <f aca="false">SUMIFS(tabela_registros[VALOR],tabela_registros[MÊS],$AE$1,tabela_registros[DIA],investirrendafixaconsolidadojul[[#Headers],[9]],tabela_registros[REGISTRO],DADOS!$N$5,tabela_registros[TIPO],DADOS!$AB$3,tabela_registros[CATEGORIA],investirrendafixaconsolidadojul[[#This Row],[ATUAL]])</f>
        <v>0</v>
      </c>
      <c r="N119" s="119" t="n">
        <f aca="false">SUMIFS(tabela_registros[VALOR],tabela_registros[MÊS],$AE$1,tabela_registros[DIA],investirrendafixaconsolidadojul[[#Headers],[10]],tabela_registros[REGISTRO],DADOS!$N$5,tabela_registros[TIPO],DADOS!$AB$3,tabela_registros[CATEGORIA],investirrendafixaconsolidadojul[[#This Row],[ATUAL]])</f>
        <v>0</v>
      </c>
      <c r="O119" s="119" t="n">
        <f aca="false">SUMIFS(tabela_registros[VALOR],tabela_registros[MÊS],$AE$1,tabela_registros[DIA],investirrendafixaconsolidadojul[[#Headers],[11]],tabela_registros[REGISTRO],DADOS!$N$5,tabela_registros[TIPO],DADOS!$AB$3,tabela_registros[CATEGORIA],investirrendafixaconsolidadojul[[#This Row],[ATUAL]])</f>
        <v>0</v>
      </c>
      <c r="P119" s="119" t="n">
        <f aca="false">SUMIFS(tabela_registros[VALOR],tabela_registros[MÊS],$AE$1,tabela_registros[DIA],investirrendafixaconsolidadojul[[#Headers],[12]],tabela_registros[REGISTRO],DADOS!$N$5,tabela_registros[TIPO],DADOS!$AB$3,tabela_registros[CATEGORIA],investirrendafixaconsolidadojul[[#This Row],[ATUAL]])</f>
        <v>0</v>
      </c>
      <c r="Q119" s="119" t="n">
        <f aca="false">SUMIFS(tabela_registros[VALOR],tabela_registros[MÊS],$AE$1,tabela_registros[DIA],investirrendafixaconsolidadojul[[#Headers],[13]],tabela_registros[REGISTRO],DADOS!$N$5,tabela_registros[TIPO],DADOS!$AB$3,tabela_registros[CATEGORIA],investirrendafixaconsolidadojul[[#This Row],[ATUAL]])</f>
        <v>0</v>
      </c>
      <c r="R119" s="119" t="n">
        <f aca="false">SUMIFS(tabela_registros[VALOR],tabela_registros[MÊS],$AE$1,tabela_registros[DIA],investirrendafixaconsolidadojul[[#Headers],[14]],tabela_registros[REGISTRO],DADOS!$N$5,tabela_registros[TIPO],DADOS!$AB$3,tabela_registros[CATEGORIA],investirrendafixaconsolidadojul[[#This Row],[ATUAL]])</f>
        <v>0</v>
      </c>
      <c r="S119" s="119" t="n">
        <f aca="false">SUMIFS(tabela_registros[VALOR],tabela_registros[MÊS],$AE$1,tabela_registros[DIA],investirrendafixaconsolidadojul[[#Headers],[15]],tabela_registros[REGISTRO],DADOS!$N$5,tabela_registros[TIPO],DADOS!$AB$3,tabela_registros[CATEGORIA],investirrendafixaconsolidadojul[[#This Row],[ATUAL]])</f>
        <v>0</v>
      </c>
      <c r="T119" s="119" t="n">
        <f aca="false">SUMIFS(tabela_registros[VALOR],tabela_registros[MÊS],$AE$1,tabela_registros[DIA],investirrendafixaconsolidadojul[[#Headers],[16]],tabela_registros[REGISTRO],DADOS!$N$5,tabela_registros[TIPO],DADOS!$AB$3,tabela_registros[CATEGORIA],investirrendafixaconsolidadojul[[#This Row],[ATUAL]])</f>
        <v>0</v>
      </c>
      <c r="U119" s="119" t="n">
        <f aca="false">SUMIFS(tabela_registros[VALOR],tabela_registros[MÊS],$AE$1,tabela_registros[DIA],investirrendafixaconsolidadojul[[#Headers],[17]],tabela_registros[REGISTRO],DADOS!$N$5,tabela_registros[TIPO],DADOS!$AB$3,tabela_registros[CATEGORIA],investirrendafixaconsolidadojul[[#This Row],[ATUAL]])</f>
        <v>0</v>
      </c>
      <c r="V119" s="119" t="n">
        <f aca="false">SUMIFS(tabela_registros[VALOR],tabela_registros[MÊS],$AE$1,tabela_registros[DIA],investirrendafixaconsolidadojul[[#Headers],[18]],tabela_registros[REGISTRO],DADOS!$N$5,tabela_registros[TIPO],DADOS!$AB$3,tabela_registros[CATEGORIA],investirrendafixaconsolidadojul[[#This Row],[ATUAL]])</f>
        <v>0</v>
      </c>
      <c r="W119" s="119" t="n">
        <f aca="false">SUMIFS(tabela_registros[VALOR],tabela_registros[MÊS],$AE$1,tabela_registros[DIA],investirrendafixaconsolidadojul[[#Headers],[19]],tabela_registros[REGISTRO],DADOS!$N$5,tabela_registros[TIPO],DADOS!$AB$3,tabela_registros[CATEGORIA],investirrendafixaconsolidadojul[[#This Row],[ATUAL]])</f>
        <v>0</v>
      </c>
      <c r="X119" s="119" t="n">
        <f aca="false">SUMIFS(tabela_registros[VALOR],tabela_registros[MÊS],$AE$1,tabela_registros[DIA],investirrendafixaconsolidadojul[[#Headers],[20]],tabela_registros[REGISTRO],DADOS!$N$5,tabela_registros[TIPO],DADOS!$AB$3,tabela_registros[CATEGORIA],investirrendafixaconsolidadojul[[#This Row],[ATUAL]])</f>
        <v>0</v>
      </c>
      <c r="Y119" s="119" t="n">
        <f aca="false">SUMIFS(tabela_registros[VALOR],tabela_registros[MÊS],$AE$1,tabela_registros[DIA],investirrendafixaconsolidadojul[[#Headers],[21]],tabela_registros[REGISTRO],DADOS!$N$5,tabela_registros[TIPO],DADOS!$AB$3,tabela_registros[CATEGORIA],investirrendafixaconsolidadojul[[#This Row],[ATUAL]])</f>
        <v>0</v>
      </c>
      <c r="Z119" s="119" t="n">
        <f aca="false">SUMIFS(tabela_registros[VALOR],tabela_registros[MÊS],$AE$1,tabela_registros[DIA],investirrendafixaconsolidadojul[[#Headers],[22]],tabela_registros[REGISTRO],DADOS!$N$5,tabela_registros[TIPO],DADOS!$AB$3,tabela_registros[CATEGORIA],investirrendafixaconsolidadojul[[#This Row],[ATUAL]])</f>
        <v>0</v>
      </c>
      <c r="AA119" s="119" t="n">
        <f aca="false">SUMIFS(tabela_registros[VALOR],tabela_registros[MÊS],$AE$1,tabela_registros[DIA],investirrendafixaconsolidadojul[[#Headers],[23]],tabela_registros[REGISTRO],DADOS!$N$5,tabela_registros[TIPO],DADOS!$AB$3,tabela_registros[CATEGORIA],investirrendafixaconsolidadojul[[#This Row],[ATUAL]])</f>
        <v>0</v>
      </c>
      <c r="AB119" s="119" t="n">
        <f aca="false">SUMIFS(tabela_registros[VALOR],tabela_registros[MÊS],$AE$1,tabela_registros[DIA],investirrendafixaconsolidadojul[[#Headers],[24]],tabela_registros[REGISTRO],DADOS!$N$5,tabela_registros[TIPO],DADOS!$AB$3,tabela_registros[CATEGORIA],investirrendafixaconsolidadojul[[#This Row],[ATUAL]])</f>
        <v>0</v>
      </c>
      <c r="AC119" s="119" t="n">
        <f aca="false">SUMIFS(tabela_registros[VALOR],tabela_registros[MÊS],$AE$1,tabela_registros[DIA],investirrendafixaconsolidadojul[[#Headers],[25]],tabela_registros[REGISTRO],DADOS!$N$5,tabela_registros[TIPO],DADOS!$AB$3,tabela_registros[CATEGORIA],investirrendafixaconsolidadojul[[#This Row],[ATUAL]])</f>
        <v>0</v>
      </c>
      <c r="AD119" s="119" t="n">
        <f aca="false">SUMIFS(tabela_registros[VALOR],tabela_registros[MÊS],$AE$1,tabela_registros[DIA],investirrendafixaconsolidadojul[[#Headers],[26]],tabela_registros[REGISTRO],DADOS!$N$5,tabela_registros[TIPO],DADOS!$AB$3,tabela_registros[CATEGORIA],investirrendafixaconsolidadojul[[#This Row],[ATUAL]])</f>
        <v>0</v>
      </c>
      <c r="AE119" s="119" t="n">
        <f aca="false">SUMIFS(tabela_registros[VALOR],tabela_registros[MÊS],$AE$1,tabela_registros[DIA],investirrendafixaconsolidadojul[[#Headers],[27]],tabela_registros[REGISTRO],DADOS!$N$5,tabela_registros[TIPO],DADOS!$AB$3,tabela_registros[CATEGORIA],investirrendafixaconsolidadojul[[#This Row],[ATUAL]])</f>
        <v>0</v>
      </c>
      <c r="AF119" s="119" t="n">
        <f aca="false">SUMIFS(tabela_registros[VALOR],tabela_registros[MÊS],$AE$1,tabela_registros[DIA],investirrendafixaconsolidadojul[[#Headers],[28]],tabela_registros[REGISTRO],DADOS!$N$5,tabela_registros[TIPO],DADOS!$AB$3,tabela_registros[CATEGORIA],investirrendafixaconsolidadojul[[#This Row],[ATUAL]])</f>
        <v>0</v>
      </c>
      <c r="AG119" s="119" t="n">
        <f aca="false">SUMIFS(tabela_registros[VALOR],tabela_registros[MÊS],$AE$1,tabela_registros[DIA],investirrendafixaconsolidadojul[[#Headers],[29]],tabela_registros[REGISTRO],DADOS!$N$5,tabela_registros[TIPO],DADOS!$AB$3,tabela_registros[CATEGORIA],investirrendafixaconsolidadojul[[#This Row],[ATUAL]])</f>
        <v>0</v>
      </c>
      <c r="AH119" s="119" t="n">
        <f aca="false">SUMIFS(tabela_registros[VALOR],tabela_registros[MÊS],$AE$1,tabela_registros[DIA],investirrendafixaconsolidadojul[[#Headers],[30]],tabela_registros[REGISTRO],DADOS!$N$5,tabela_registros[TIPO],DADOS!$AB$3,tabela_registros[CATEGORIA],investirrendafixaconsolidadojul[[#This Row],[ATUAL]])</f>
        <v>0</v>
      </c>
      <c r="AI119" s="217" t="n">
        <f aca="false">SUMIFS(tabela_registros[VALOR],tabela_registros[MÊS],$AE$1,tabela_registros[DIA],investirrendafixaconsolidadojul[[#Headers],[31]],tabela_registros[REGISTRO],DADOS!$N$5,tabela_registros[TIPO],DADOS!$AB$3,tabela_registros[CATEGORIA],investirrendafixaconsolidadojul[[#This Row],[ATUAL]])</f>
        <v>0</v>
      </c>
      <c r="AJ119" s="149" t="n">
        <f aca="false">SUM(investirrendafixaconsolidadojul[[#This Row],[1]:[31]])</f>
        <v>0</v>
      </c>
      <c r="AK119" s="165"/>
    </row>
    <row r="120" customFormat="false" ht="19.5" hidden="false" customHeight="true" outlineLevel="0" collapsed="false">
      <c r="B120" s="143"/>
      <c r="C120" s="144" t="str">
        <f aca="false">DADOS!$AD$10</f>
        <v>📝 LCI</v>
      </c>
      <c r="D120" s="145" t="str">
        <f aca="false">IF(investirrendafixaconsolidadojul[[#This Row],[TOTAL (R$)]]=0,"",IF(OR(investirrendafixaconsolidadojul[[#This Row],[TOTAL (R$)]]=LARGE($AJ$113:$AJ$122,1),investirrendafixaconsolidadojul[[#This Row],[TOTAL (R$)]]=LARGE($AJ$113:$AJ$122,2)),DADOS!$I$10,""))</f>
        <v/>
      </c>
      <c r="E120" s="148" t="n">
        <f aca="false">SUMIFS(tabela_registros[VALOR],tabela_registros[MÊS],$AE$1,tabela_registros[DIA],investirrendafixaconsolidadojul[[#Headers],[1]],tabela_registros[REGISTRO],DADOS!$N$5,tabela_registros[TIPO],DADOS!$AB$3,tabela_registros[CATEGORIA],investirrendafixaconsolidadojul[[#This Row],[ATUAL]])</f>
        <v>0</v>
      </c>
      <c r="F120" s="119" t="n">
        <f aca="false">SUMIFS(tabela_registros[VALOR],tabela_registros[MÊS],$AE$1,tabela_registros[DIA],investirrendafixaconsolidadojul[[#Headers],[2]],tabela_registros[REGISTRO],DADOS!$N$5,tabela_registros[TIPO],DADOS!$AB$3,tabela_registros[CATEGORIA],investirrendafixaconsolidadojul[[#This Row],[ATUAL]])</f>
        <v>0</v>
      </c>
      <c r="G120" s="119" t="n">
        <f aca="false">SUMIFS(tabela_registros[VALOR],tabela_registros[MÊS],$AE$1,tabela_registros[DIA],investirrendafixaconsolidadojul[[#Headers],[3]],tabela_registros[REGISTRO],DADOS!$N$5,tabela_registros[TIPO],DADOS!$AB$3,tabela_registros[CATEGORIA],investirrendafixaconsolidadojul[[#This Row],[ATUAL]])</f>
        <v>0</v>
      </c>
      <c r="H120" s="119" t="n">
        <f aca="false">SUMIFS(tabela_registros[VALOR],tabela_registros[MÊS],$AE$1,tabela_registros[DIA],investirrendafixaconsolidadojul[[#Headers],[4]],tabela_registros[REGISTRO],DADOS!$N$5,tabela_registros[TIPO],DADOS!$AB$3,tabela_registros[CATEGORIA],investirrendafixaconsolidadojul[[#This Row],[ATUAL]])</f>
        <v>0</v>
      </c>
      <c r="I120" s="119" t="n">
        <f aca="false">SUMIFS(tabela_registros[VALOR],tabela_registros[MÊS],$AE$1,tabela_registros[DIA],investirrendafixaconsolidadojul[[#Headers],[5]],tabela_registros[REGISTRO],DADOS!$N$5,tabela_registros[TIPO],DADOS!$AB$3,tabela_registros[CATEGORIA],investirrendafixaconsolidadojul[[#This Row],[ATUAL]])</f>
        <v>0</v>
      </c>
      <c r="J120" s="119" t="n">
        <f aca="false">SUMIFS(tabela_registros[VALOR],tabela_registros[MÊS],$AE$1,tabela_registros[DIA],investirrendafixaconsolidadojul[[#Headers],[6]],tabela_registros[REGISTRO],DADOS!$N$5,tabela_registros[TIPO],DADOS!$AB$3,tabela_registros[CATEGORIA],investirrendafixaconsolidadojul[[#This Row],[ATUAL]])</f>
        <v>0</v>
      </c>
      <c r="K120" s="119" t="n">
        <f aca="false">SUMIFS(tabela_registros[VALOR],tabela_registros[MÊS],$AE$1,tabela_registros[DIA],investirrendafixaconsolidadojul[[#Headers],[7]],tabela_registros[REGISTRO],DADOS!$N$5,tabela_registros[TIPO],DADOS!$AB$3,tabela_registros[CATEGORIA],investirrendafixaconsolidadojul[[#This Row],[ATUAL]])</f>
        <v>0</v>
      </c>
      <c r="L120" s="119" t="n">
        <f aca="false">SUMIFS(tabela_registros[VALOR],tabela_registros[MÊS],$AE$1,tabela_registros[DIA],investirrendafixaconsolidadojul[[#Headers],[8]],tabela_registros[REGISTRO],DADOS!$N$5,tabela_registros[TIPO],DADOS!$AB$3,tabela_registros[CATEGORIA],investirrendafixaconsolidadojul[[#This Row],[ATUAL]])</f>
        <v>0</v>
      </c>
      <c r="M120" s="119" t="n">
        <f aca="false">SUMIFS(tabela_registros[VALOR],tabela_registros[MÊS],$AE$1,tabela_registros[DIA],investirrendafixaconsolidadojul[[#Headers],[9]],tabela_registros[REGISTRO],DADOS!$N$5,tabela_registros[TIPO],DADOS!$AB$3,tabela_registros[CATEGORIA],investirrendafixaconsolidadojul[[#This Row],[ATUAL]])</f>
        <v>0</v>
      </c>
      <c r="N120" s="119" t="n">
        <f aca="false">SUMIFS(tabela_registros[VALOR],tabela_registros[MÊS],$AE$1,tabela_registros[DIA],investirrendafixaconsolidadojul[[#Headers],[10]],tabela_registros[REGISTRO],DADOS!$N$5,tabela_registros[TIPO],DADOS!$AB$3,tabela_registros[CATEGORIA],investirrendafixaconsolidadojul[[#This Row],[ATUAL]])</f>
        <v>0</v>
      </c>
      <c r="O120" s="119" t="n">
        <f aca="false">SUMIFS(tabela_registros[VALOR],tabela_registros[MÊS],$AE$1,tabela_registros[DIA],investirrendafixaconsolidadojul[[#Headers],[11]],tabela_registros[REGISTRO],DADOS!$N$5,tabela_registros[TIPO],DADOS!$AB$3,tabela_registros[CATEGORIA],investirrendafixaconsolidadojul[[#This Row],[ATUAL]])</f>
        <v>0</v>
      </c>
      <c r="P120" s="119" t="n">
        <f aca="false">SUMIFS(tabela_registros[VALOR],tabela_registros[MÊS],$AE$1,tabela_registros[DIA],investirrendafixaconsolidadojul[[#Headers],[12]],tabela_registros[REGISTRO],DADOS!$N$5,tabela_registros[TIPO],DADOS!$AB$3,tabela_registros[CATEGORIA],investirrendafixaconsolidadojul[[#This Row],[ATUAL]])</f>
        <v>0</v>
      </c>
      <c r="Q120" s="119" t="n">
        <f aca="false">SUMIFS(tabela_registros[VALOR],tabela_registros[MÊS],$AE$1,tabela_registros[DIA],investirrendafixaconsolidadojul[[#Headers],[13]],tabela_registros[REGISTRO],DADOS!$N$5,tabela_registros[TIPO],DADOS!$AB$3,tabela_registros[CATEGORIA],investirrendafixaconsolidadojul[[#This Row],[ATUAL]])</f>
        <v>0</v>
      </c>
      <c r="R120" s="119" t="n">
        <f aca="false">SUMIFS(tabela_registros[VALOR],tabela_registros[MÊS],$AE$1,tabela_registros[DIA],investirrendafixaconsolidadojul[[#Headers],[14]],tabela_registros[REGISTRO],DADOS!$N$5,tabela_registros[TIPO],DADOS!$AB$3,tabela_registros[CATEGORIA],investirrendafixaconsolidadojul[[#This Row],[ATUAL]])</f>
        <v>0</v>
      </c>
      <c r="S120" s="119" t="n">
        <f aca="false">SUMIFS(tabela_registros[VALOR],tabela_registros[MÊS],$AE$1,tabela_registros[DIA],investirrendafixaconsolidadojul[[#Headers],[15]],tabela_registros[REGISTRO],DADOS!$N$5,tabela_registros[TIPO],DADOS!$AB$3,tabela_registros[CATEGORIA],investirrendafixaconsolidadojul[[#This Row],[ATUAL]])</f>
        <v>0</v>
      </c>
      <c r="T120" s="119" t="n">
        <f aca="false">SUMIFS(tabela_registros[VALOR],tabela_registros[MÊS],$AE$1,tabela_registros[DIA],investirrendafixaconsolidadojul[[#Headers],[16]],tabela_registros[REGISTRO],DADOS!$N$5,tabela_registros[TIPO],DADOS!$AB$3,tabela_registros[CATEGORIA],investirrendafixaconsolidadojul[[#This Row],[ATUAL]])</f>
        <v>0</v>
      </c>
      <c r="U120" s="119" t="n">
        <f aca="false">SUMIFS(tabela_registros[VALOR],tabela_registros[MÊS],$AE$1,tabela_registros[DIA],investirrendafixaconsolidadojul[[#Headers],[17]],tabela_registros[REGISTRO],DADOS!$N$5,tabela_registros[TIPO],DADOS!$AB$3,tabela_registros[CATEGORIA],investirrendafixaconsolidadojul[[#This Row],[ATUAL]])</f>
        <v>0</v>
      </c>
      <c r="V120" s="119" t="n">
        <f aca="false">SUMIFS(tabela_registros[VALOR],tabela_registros[MÊS],$AE$1,tabela_registros[DIA],investirrendafixaconsolidadojul[[#Headers],[18]],tabela_registros[REGISTRO],DADOS!$N$5,tabela_registros[TIPO],DADOS!$AB$3,tabela_registros[CATEGORIA],investirrendafixaconsolidadojul[[#This Row],[ATUAL]])</f>
        <v>0</v>
      </c>
      <c r="W120" s="119" t="n">
        <f aca="false">SUMIFS(tabela_registros[VALOR],tabela_registros[MÊS],$AE$1,tabela_registros[DIA],investirrendafixaconsolidadojul[[#Headers],[19]],tabela_registros[REGISTRO],DADOS!$N$5,tabela_registros[TIPO],DADOS!$AB$3,tabela_registros[CATEGORIA],investirrendafixaconsolidadojul[[#This Row],[ATUAL]])</f>
        <v>0</v>
      </c>
      <c r="X120" s="119" t="n">
        <f aca="false">SUMIFS(tabela_registros[VALOR],tabela_registros[MÊS],$AE$1,tabela_registros[DIA],investirrendafixaconsolidadojul[[#Headers],[20]],tabela_registros[REGISTRO],DADOS!$N$5,tabela_registros[TIPO],DADOS!$AB$3,tabela_registros[CATEGORIA],investirrendafixaconsolidadojul[[#This Row],[ATUAL]])</f>
        <v>0</v>
      </c>
      <c r="Y120" s="119" t="n">
        <f aca="false">SUMIFS(tabela_registros[VALOR],tabela_registros[MÊS],$AE$1,tabela_registros[DIA],investirrendafixaconsolidadojul[[#Headers],[21]],tabela_registros[REGISTRO],DADOS!$N$5,tabela_registros[TIPO],DADOS!$AB$3,tabela_registros[CATEGORIA],investirrendafixaconsolidadojul[[#This Row],[ATUAL]])</f>
        <v>0</v>
      </c>
      <c r="Z120" s="119" t="n">
        <f aca="false">SUMIFS(tabela_registros[VALOR],tabela_registros[MÊS],$AE$1,tabela_registros[DIA],investirrendafixaconsolidadojul[[#Headers],[22]],tabela_registros[REGISTRO],DADOS!$N$5,tabela_registros[TIPO],DADOS!$AB$3,tabela_registros[CATEGORIA],investirrendafixaconsolidadojul[[#This Row],[ATUAL]])</f>
        <v>0</v>
      </c>
      <c r="AA120" s="119" t="n">
        <f aca="false">SUMIFS(tabela_registros[VALOR],tabela_registros[MÊS],$AE$1,tabela_registros[DIA],investirrendafixaconsolidadojul[[#Headers],[23]],tabela_registros[REGISTRO],DADOS!$N$5,tabela_registros[TIPO],DADOS!$AB$3,tabela_registros[CATEGORIA],investirrendafixaconsolidadojul[[#This Row],[ATUAL]])</f>
        <v>0</v>
      </c>
      <c r="AB120" s="119" t="n">
        <f aca="false">SUMIFS(tabela_registros[VALOR],tabela_registros[MÊS],$AE$1,tabela_registros[DIA],investirrendafixaconsolidadojul[[#Headers],[24]],tabela_registros[REGISTRO],DADOS!$N$5,tabela_registros[TIPO],DADOS!$AB$3,tabela_registros[CATEGORIA],investirrendafixaconsolidadojul[[#This Row],[ATUAL]])</f>
        <v>0</v>
      </c>
      <c r="AC120" s="119" t="n">
        <f aca="false">SUMIFS(tabela_registros[VALOR],tabela_registros[MÊS],$AE$1,tabela_registros[DIA],investirrendafixaconsolidadojul[[#Headers],[25]],tabela_registros[REGISTRO],DADOS!$N$5,tabela_registros[TIPO],DADOS!$AB$3,tabela_registros[CATEGORIA],investirrendafixaconsolidadojul[[#This Row],[ATUAL]])</f>
        <v>0</v>
      </c>
      <c r="AD120" s="119" t="n">
        <f aca="false">SUMIFS(tabela_registros[VALOR],tabela_registros[MÊS],$AE$1,tabela_registros[DIA],investirrendafixaconsolidadojul[[#Headers],[26]],tabela_registros[REGISTRO],DADOS!$N$5,tabela_registros[TIPO],DADOS!$AB$3,tabela_registros[CATEGORIA],investirrendafixaconsolidadojul[[#This Row],[ATUAL]])</f>
        <v>0</v>
      </c>
      <c r="AE120" s="119" t="n">
        <f aca="false">SUMIFS(tabela_registros[VALOR],tabela_registros[MÊS],$AE$1,tabela_registros[DIA],investirrendafixaconsolidadojul[[#Headers],[27]],tabela_registros[REGISTRO],DADOS!$N$5,tabela_registros[TIPO],DADOS!$AB$3,tabela_registros[CATEGORIA],investirrendafixaconsolidadojul[[#This Row],[ATUAL]])</f>
        <v>0</v>
      </c>
      <c r="AF120" s="119" t="n">
        <f aca="false">SUMIFS(tabela_registros[VALOR],tabela_registros[MÊS],$AE$1,tabela_registros[DIA],investirrendafixaconsolidadojul[[#Headers],[28]],tabela_registros[REGISTRO],DADOS!$N$5,tabela_registros[TIPO],DADOS!$AB$3,tabela_registros[CATEGORIA],investirrendafixaconsolidadojul[[#This Row],[ATUAL]])</f>
        <v>0</v>
      </c>
      <c r="AG120" s="119" t="n">
        <f aca="false">SUMIFS(tabela_registros[VALOR],tabela_registros[MÊS],$AE$1,tabela_registros[DIA],investirrendafixaconsolidadojul[[#Headers],[29]],tabela_registros[REGISTRO],DADOS!$N$5,tabela_registros[TIPO],DADOS!$AB$3,tabela_registros[CATEGORIA],investirrendafixaconsolidadojul[[#This Row],[ATUAL]])</f>
        <v>0</v>
      </c>
      <c r="AH120" s="119" t="n">
        <f aca="false">SUMIFS(tabela_registros[VALOR],tabela_registros[MÊS],$AE$1,tabela_registros[DIA],investirrendafixaconsolidadojul[[#Headers],[30]],tabela_registros[REGISTRO],DADOS!$N$5,tabela_registros[TIPO],DADOS!$AB$3,tabela_registros[CATEGORIA],investirrendafixaconsolidadojul[[#This Row],[ATUAL]])</f>
        <v>0</v>
      </c>
      <c r="AI120" s="217" t="n">
        <f aca="false">SUMIFS(tabela_registros[VALOR],tabela_registros[MÊS],$AE$1,tabela_registros[DIA],investirrendafixaconsolidadojul[[#Headers],[31]],tabela_registros[REGISTRO],DADOS!$N$5,tabela_registros[TIPO],DADOS!$AB$3,tabela_registros[CATEGORIA],investirrendafixaconsolidadojul[[#This Row],[ATUAL]])</f>
        <v>0</v>
      </c>
      <c r="AJ120" s="149" t="n">
        <f aca="false">SUM(investirrendafixaconsolidadojul[[#This Row],[1]:[31]])</f>
        <v>0</v>
      </c>
      <c r="AK120" s="165"/>
    </row>
    <row r="121" customFormat="false" ht="19.5" hidden="false" customHeight="true" outlineLevel="0" collapsed="false">
      <c r="B121" s="143"/>
      <c r="C121" s="144" t="str">
        <f aca="false">DADOS!$AD$11</f>
        <v>📝 TESOURO DIRETO</v>
      </c>
      <c r="D121" s="145" t="str">
        <f aca="false">IF(investirrendafixaconsolidadojul[[#This Row],[TOTAL (R$)]]=0,"",IF(OR(investirrendafixaconsolidadojul[[#This Row],[TOTAL (R$)]]=LARGE($AJ$113:$AJ$122,1),investirrendafixaconsolidadojul[[#This Row],[TOTAL (R$)]]=LARGE($AJ$113:$AJ$122,2)),DADOS!$I$10,""))</f>
        <v/>
      </c>
      <c r="E121" s="148" t="n">
        <f aca="false">SUMIFS(tabela_registros[VALOR],tabela_registros[MÊS],$AE$1,tabela_registros[DIA],investirrendafixaconsolidadojul[[#Headers],[1]],tabela_registros[REGISTRO],DADOS!$N$5,tabela_registros[TIPO],DADOS!$AB$3,tabela_registros[CATEGORIA],investirrendafixaconsolidadojul[[#This Row],[ATUAL]])</f>
        <v>0</v>
      </c>
      <c r="F121" s="119" t="n">
        <f aca="false">SUMIFS(tabela_registros[VALOR],tabela_registros[MÊS],$AE$1,tabela_registros[DIA],investirrendafixaconsolidadojul[[#Headers],[2]],tabela_registros[REGISTRO],DADOS!$N$5,tabela_registros[TIPO],DADOS!$AB$3,tabela_registros[CATEGORIA],investirrendafixaconsolidadojul[[#This Row],[ATUAL]])</f>
        <v>0</v>
      </c>
      <c r="G121" s="119" t="n">
        <f aca="false">SUMIFS(tabela_registros[VALOR],tabela_registros[MÊS],$AE$1,tabela_registros[DIA],investirrendafixaconsolidadojul[[#Headers],[3]],tabela_registros[REGISTRO],DADOS!$N$5,tabela_registros[TIPO],DADOS!$AB$3,tabela_registros[CATEGORIA],investirrendafixaconsolidadojul[[#This Row],[ATUAL]])</f>
        <v>0</v>
      </c>
      <c r="H121" s="119" t="n">
        <f aca="false">SUMIFS(tabela_registros[VALOR],tabela_registros[MÊS],$AE$1,tabela_registros[DIA],investirrendafixaconsolidadojul[[#Headers],[4]],tabela_registros[REGISTRO],DADOS!$N$5,tabela_registros[TIPO],DADOS!$AB$3,tabela_registros[CATEGORIA],investirrendafixaconsolidadojul[[#This Row],[ATUAL]])</f>
        <v>0</v>
      </c>
      <c r="I121" s="119" t="n">
        <f aca="false">SUMIFS(tabela_registros[VALOR],tabela_registros[MÊS],$AE$1,tabela_registros[DIA],investirrendafixaconsolidadojul[[#Headers],[5]],tabela_registros[REGISTRO],DADOS!$N$5,tabela_registros[TIPO],DADOS!$AB$3,tabela_registros[CATEGORIA],investirrendafixaconsolidadojul[[#This Row],[ATUAL]])</f>
        <v>0</v>
      </c>
      <c r="J121" s="119" t="n">
        <f aca="false">SUMIFS(tabela_registros[VALOR],tabela_registros[MÊS],$AE$1,tabela_registros[DIA],investirrendafixaconsolidadojul[[#Headers],[6]],tabela_registros[REGISTRO],DADOS!$N$5,tabela_registros[TIPO],DADOS!$AB$3,tabela_registros[CATEGORIA],investirrendafixaconsolidadojul[[#This Row],[ATUAL]])</f>
        <v>0</v>
      </c>
      <c r="K121" s="119" t="n">
        <f aca="false">SUMIFS(tabela_registros[VALOR],tabela_registros[MÊS],$AE$1,tabela_registros[DIA],investirrendafixaconsolidadojul[[#Headers],[7]],tabela_registros[REGISTRO],DADOS!$N$5,tabela_registros[TIPO],DADOS!$AB$3,tabela_registros[CATEGORIA],investirrendafixaconsolidadojul[[#This Row],[ATUAL]])</f>
        <v>0</v>
      </c>
      <c r="L121" s="119" t="n">
        <f aca="false">SUMIFS(tabela_registros[VALOR],tabela_registros[MÊS],$AE$1,tabela_registros[DIA],investirrendafixaconsolidadojul[[#Headers],[8]],tabela_registros[REGISTRO],DADOS!$N$5,tabela_registros[TIPO],DADOS!$AB$3,tabela_registros[CATEGORIA],investirrendafixaconsolidadojul[[#This Row],[ATUAL]])</f>
        <v>0</v>
      </c>
      <c r="M121" s="119" t="n">
        <f aca="false">SUMIFS(tabela_registros[VALOR],tabela_registros[MÊS],$AE$1,tabela_registros[DIA],investirrendafixaconsolidadojul[[#Headers],[9]],tabela_registros[REGISTRO],DADOS!$N$5,tabela_registros[TIPO],DADOS!$AB$3,tabela_registros[CATEGORIA],investirrendafixaconsolidadojul[[#This Row],[ATUAL]])</f>
        <v>0</v>
      </c>
      <c r="N121" s="119" t="n">
        <f aca="false">SUMIFS(tabela_registros[VALOR],tabela_registros[MÊS],$AE$1,tabela_registros[DIA],investirrendafixaconsolidadojul[[#Headers],[10]],tabela_registros[REGISTRO],DADOS!$N$5,tabela_registros[TIPO],DADOS!$AB$3,tabela_registros[CATEGORIA],investirrendafixaconsolidadojul[[#This Row],[ATUAL]])</f>
        <v>0</v>
      </c>
      <c r="O121" s="119" t="n">
        <f aca="false">SUMIFS(tabela_registros[VALOR],tabela_registros[MÊS],$AE$1,tabela_registros[DIA],investirrendafixaconsolidadojul[[#Headers],[11]],tabela_registros[REGISTRO],DADOS!$N$5,tabela_registros[TIPO],DADOS!$AB$3,tabela_registros[CATEGORIA],investirrendafixaconsolidadojul[[#This Row],[ATUAL]])</f>
        <v>0</v>
      </c>
      <c r="P121" s="119" t="n">
        <f aca="false">SUMIFS(tabela_registros[VALOR],tabela_registros[MÊS],$AE$1,tabela_registros[DIA],investirrendafixaconsolidadojul[[#Headers],[12]],tabela_registros[REGISTRO],DADOS!$N$5,tabela_registros[TIPO],DADOS!$AB$3,tabela_registros[CATEGORIA],investirrendafixaconsolidadojul[[#This Row],[ATUAL]])</f>
        <v>0</v>
      </c>
      <c r="Q121" s="119" t="n">
        <f aca="false">SUMIFS(tabela_registros[VALOR],tabela_registros[MÊS],$AE$1,tabela_registros[DIA],investirrendafixaconsolidadojul[[#Headers],[13]],tabela_registros[REGISTRO],DADOS!$N$5,tabela_registros[TIPO],DADOS!$AB$3,tabela_registros[CATEGORIA],investirrendafixaconsolidadojul[[#This Row],[ATUAL]])</f>
        <v>0</v>
      </c>
      <c r="R121" s="119" t="n">
        <f aca="false">SUMIFS(tabela_registros[VALOR],tabela_registros[MÊS],$AE$1,tabela_registros[DIA],investirrendafixaconsolidadojul[[#Headers],[14]],tabela_registros[REGISTRO],DADOS!$N$5,tabela_registros[TIPO],DADOS!$AB$3,tabela_registros[CATEGORIA],investirrendafixaconsolidadojul[[#This Row],[ATUAL]])</f>
        <v>0</v>
      </c>
      <c r="S121" s="119" t="n">
        <f aca="false">SUMIFS(tabela_registros[VALOR],tabela_registros[MÊS],$AE$1,tabela_registros[DIA],investirrendafixaconsolidadojul[[#Headers],[15]],tabela_registros[REGISTRO],DADOS!$N$5,tabela_registros[TIPO],DADOS!$AB$3,tabela_registros[CATEGORIA],investirrendafixaconsolidadojul[[#This Row],[ATUAL]])</f>
        <v>0</v>
      </c>
      <c r="T121" s="119" t="n">
        <f aca="false">SUMIFS(tabela_registros[VALOR],tabela_registros[MÊS],$AE$1,tabela_registros[DIA],investirrendafixaconsolidadojul[[#Headers],[16]],tabela_registros[REGISTRO],DADOS!$N$5,tabela_registros[TIPO],DADOS!$AB$3,tabela_registros[CATEGORIA],investirrendafixaconsolidadojul[[#This Row],[ATUAL]])</f>
        <v>0</v>
      </c>
      <c r="U121" s="119" t="n">
        <f aca="false">SUMIFS(tabela_registros[VALOR],tabela_registros[MÊS],$AE$1,tabela_registros[DIA],investirrendafixaconsolidadojul[[#Headers],[17]],tabela_registros[REGISTRO],DADOS!$N$5,tabela_registros[TIPO],DADOS!$AB$3,tabela_registros[CATEGORIA],investirrendafixaconsolidadojul[[#This Row],[ATUAL]])</f>
        <v>0</v>
      </c>
      <c r="V121" s="119" t="n">
        <f aca="false">SUMIFS(tabela_registros[VALOR],tabela_registros[MÊS],$AE$1,tabela_registros[DIA],investirrendafixaconsolidadojul[[#Headers],[18]],tabela_registros[REGISTRO],DADOS!$N$5,tabela_registros[TIPO],DADOS!$AB$3,tabela_registros[CATEGORIA],investirrendafixaconsolidadojul[[#This Row],[ATUAL]])</f>
        <v>0</v>
      </c>
      <c r="W121" s="119" t="n">
        <f aca="false">SUMIFS(tabela_registros[VALOR],tabela_registros[MÊS],$AE$1,tabela_registros[DIA],investirrendafixaconsolidadojul[[#Headers],[19]],tabela_registros[REGISTRO],DADOS!$N$5,tabela_registros[TIPO],DADOS!$AB$3,tabela_registros[CATEGORIA],investirrendafixaconsolidadojul[[#This Row],[ATUAL]])</f>
        <v>0</v>
      </c>
      <c r="X121" s="119" t="n">
        <f aca="false">SUMIFS(tabela_registros[VALOR],tabela_registros[MÊS],$AE$1,tabela_registros[DIA],investirrendafixaconsolidadojul[[#Headers],[20]],tabela_registros[REGISTRO],DADOS!$N$5,tabela_registros[TIPO],DADOS!$AB$3,tabela_registros[CATEGORIA],investirrendafixaconsolidadojul[[#This Row],[ATUAL]])</f>
        <v>0</v>
      </c>
      <c r="Y121" s="119" t="n">
        <f aca="false">SUMIFS(tabela_registros[VALOR],tabela_registros[MÊS],$AE$1,tabela_registros[DIA],investirrendafixaconsolidadojul[[#Headers],[21]],tabela_registros[REGISTRO],DADOS!$N$5,tabela_registros[TIPO],DADOS!$AB$3,tabela_registros[CATEGORIA],investirrendafixaconsolidadojul[[#This Row],[ATUAL]])</f>
        <v>0</v>
      </c>
      <c r="Z121" s="119" t="n">
        <f aca="false">SUMIFS(tabela_registros[VALOR],tabela_registros[MÊS],$AE$1,tabela_registros[DIA],investirrendafixaconsolidadojul[[#Headers],[22]],tabela_registros[REGISTRO],DADOS!$N$5,tabela_registros[TIPO],DADOS!$AB$3,tabela_registros[CATEGORIA],investirrendafixaconsolidadojul[[#This Row],[ATUAL]])</f>
        <v>0</v>
      </c>
      <c r="AA121" s="119" t="n">
        <f aca="false">SUMIFS(tabela_registros[VALOR],tabela_registros[MÊS],$AE$1,tabela_registros[DIA],investirrendafixaconsolidadojul[[#Headers],[23]],tabela_registros[REGISTRO],DADOS!$N$5,tabela_registros[TIPO],DADOS!$AB$3,tabela_registros[CATEGORIA],investirrendafixaconsolidadojul[[#This Row],[ATUAL]])</f>
        <v>0</v>
      </c>
      <c r="AB121" s="119" t="n">
        <f aca="false">SUMIFS(tabela_registros[VALOR],tabela_registros[MÊS],$AE$1,tabela_registros[DIA],investirrendafixaconsolidadojul[[#Headers],[24]],tabela_registros[REGISTRO],DADOS!$N$5,tabela_registros[TIPO],DADOS!$AB$3,tabela_registros[CATEGORIA],investirrendafixaconsolidadojul[[#This Row],[ATUAL]])</f>
        <v>0</v>
      </c>
      <c r="AC121" s="119" t="n">
        <f aca="false">SUMIFS(tabela_registros[VALOR],tabela_registros[MÊS],$AE$1,tabela_registros[DIA],investirrendafixaconsolidadojul[[#Headers],[25]],tabela_registros[REGISTRO],DADOS!$N$5,tabela_registros[TIPO],DADOS!$AB$3,tabela_registros[CATEGORIA],investirrendafixaconsolidadojul[[#This Row],[ATUAL]])</f>
        <v>0</v>
      </c>
      <c r="AD121" s="119" t="n">
        <f aca="false">SUMIFS(tabela_registros[VALOR],tabela_registros[MÊS],$AE$1,tabela_registros[DIA],investirrendafixaconsolidadojul[[#Headers],[26]],tabela_registros[REGISTRO],DADOS!$N$5,tabela_registros[TIPO],DADOS!$AB$3,tabela_registros[CATEGORIA],investirrendafixaconsolidadojul[[#This Row],[ATUAL]])</f>
        <v>0</v>
      </c>
      <c r="AE121" s="119" t="n">
        <f aca="false">SUMIFS(tabela_registros[VALOR],tabela_registros[MÊS],$AE$1,tabela_registros[DIA],investirrendafixaconsolidadojul[[#Headers],[27]],tabela_registros[REGISTRO],DADOS!$N$5,tabela_registros[TIPO],DADOS!$AB$3,tabela_registros[CATEGORIA],investirrendafixaconsolidadojul[[#This Row],[ATUAL]])</f>
        <v>0</v>
      </c>
      <c r="AF121" s="119" t="n">
        <f aca="false">SUMIFS(tabela_registros[VALOR],tabela_registros[MÊS],$AE$1,tabela_registros[DIA],investirrendafixaconsolidadojul[[#Headers],[28]],tabela_registros[REGISTRO],DADOS!$N$5,tabela_registros[TIPO],DADOS!$AB$3,tabela_registros[CATEGORIA],investirrendafixaconsolidadojul[[#This Row],[ATUAL]])</f>
        <v>0</v>
      </c>
      <c r="AG121" s="119" t="n">
        <f aca="false">SUMIFS(tabela_registros[VALOR],tabela_registros[MÊS],$AE$1,tabela_registros[DIA],investirrendafixaconsolidadojul[[#Headers],[29]],tabela_registros[REGISTRO],DADOS!$N$5,tabela_registros[TIPO],DADOS!$AB$3,tabela_registros[CATEGORIA],investirrendafixaconsolidadojul[[#This Row],[ATUAL]])</f>
        <v>0</v>
      </c>
      <c r="AH121" s="119" t="n">
        <f aca="false">SUMIFS(tabela_registros[VALOR],tabela_registros[MÊS],$AE$1,tabela_registros[DIA],investirrendafixaconsolidadojul[[#Headers],[30]],tabela_registros[REGISTRO],DADOS!$N$5,tabela_registros[TIPO],DADOS!$AB$3,tabela_registros[CATEGORIA],investirrendafixaconsolidadojul[[#This Row],[ATUAL]])</f>
        <v>0</v>
      </c>
      <c r="AI121" s="217" t="n">
        <f aca="false">SUMIFS(tabela_registros[VALOR],tabela_registros[MÊS],$AE$1,tabela_registros[DIA],investirrendafixaconsolidadojul[[#Headers],[31]],tabela_registros[REGISTRO],DADOS!$N$5,tabela_registros[TIPO],DADOS!$AB$3,tabela_registros[CATEGORIA],investirrendafixaconsolidadojul[[#This Row],[ATUAL]])</f>
        <v>0</v>
      </c>
      <c r="AJ121" s="149" t="n">
        <f aca="false">SUM(investirrendafixaconsolidadojul[[#This Row],[1]:[31]])</f>
        <v>0</v>
      </c>
      <c r="AK121" s="165"/>
    </row>
    <row r="122" customFormat="false" ht="19.5" hidden="false" customHeight="true" outlineLevel="0" collapsed="false">
      <c r="B122" s="143"/>
      <c r="C122" s="144" t="str">
        <f aca="false">DADOS!$AD$12</f>
        <v>📎 OUTROS</v>
      </c>
      <c r="D122" s="145" t="str">
        <f aca="false">IF(investirrendafixaconsolidadojul[[#This Row],[TOTAL (R$)]]=0,"",IF(OR(investirrendafixaconsolidadojul[[#This Row],[TOTAL (R$)]]=LARGE($AJ$113:$AJ$122,1),investirrendafixaconsolidadojul[[#This Row],[TOTAL (R$)]]=LARGE($AJ$113:$AJ$122,2)),DADOS!$I$10,""))</f>
        <v/>
      </c>
      <c r="E122" s="148" t="n">
        <f aca="false">SUMIFS(tabela_registros[VALOR],tabela_registros[MÊS],$AE$1,tabela_registros[DIA],investirrendafixaconsolidadojul[[#Headers],[1]],tabela_registros[REGISTRO],DADOS!$N$5,tabela_registros[TIPO],DADOS!$AB$3,tabela_registros[CATEGORIA],investirrendafixaconsolidadojul[[#This Row],[ATUAL]])</f>
        <v>0</v>
      </c>
      <c r="F122" s="119" t="n">
        <f aca="false">SUMIFS(tabela_registros[VALOR],tabela_registros[MÊS],$AE$1,tabela_registros[DIA],investirrendafixaconsolidadojul[[#Headers],[2]],tabela_registros[REGISTRO],DADOS!$N$5,tabela_registros[TIPO],DADOS!$AB$3,tabela_registros[CATEGORIA],investirrendafixaconsolidadojul[[#This Row],[ATUAL]])</f>
        <v>0</v>
      </c>
      <c r="G122" s="119" t="n">
        <f aca="false">SUMIFS(tabela_registros[VALOR],tabela_registros[MÊS],$AE$1,tabela_registros[DIA],investirrendafixaconsolidadojul[[#Headers],[3]],tabela_registros[REGISTRO],DADOS!$N$5,tabela_registros[TIPO],DADOS!$AB$3,tabela_registros[CATEGORIA],investirrendafixaconsolidadojul[[#This Row],[ATUAL]])</f>
        <v>0</v>
      </c>
      <c r="H122" s="119" t="n">
        <f aca="false">SUMIFS(tabela_registros[VALOR],tabela_registros[MÊS],$AE$1,tabela_registros[DIA],investirrendafixaconsolidadojul[[#Headers],[4]],tabela_registros[REGISTRO],DADOS!$N$5,tabela_registros[TIPO],DADOS!$AB$3,tabela_registros[CATEGORIA],investirrendafixaconsolidadojul[[#This Row],[ATUAL]])</f>
        <v>0</v>
      </c>
      <c r="I122" s="119" t="n">
        <f aca="false">SUMIFS(tabela_registros[VALOR],tabela_registros[MÊS],$AE$1,tabela_registros[DIA],investirrendafixaconsolidadojul[[#Headers],[5]],tabela_registros[REGISTRO],DADOS!$N$5,tabela_registros[TIPO],DADOS!$AB$3,tabela_registros[CATEGORIA],investirrendafixaconsolidadojul[[#This Row],[ATUAL]])</f>
        <v>0</v>
      </c>
      <c r="J122" s="119" t="n">
        <f aca="false">SUMIFS(tabela_registros[VALOR],tabela_registros[MÊS],$AE$1,tabela_registros[DIA],investirrendafixaconsolidadojul[[#Headers],[6]],tabela_registros[REGISTRO],DADOS!$N$5,tabela_registros[TIPO],DADOS!$AB$3,tabela_registros[CATEGORIA],investirrendafixaconsolidadojul[[#This Row],[ATUAL]])</f>
        <v>0</v>
      </c>
      <c r="K122" s="119" t="n">
        <f aca="false">SUMIFS(tabela_registros[VALOR],tabela_registros[MÊS],$AE$1,tabela_registros[DIA],investirrendafixaconsolidadojul[[#Headers],[7]],tabela_registros[REGISTRO],DADOS!$N$5,tabela_registros[TIPO],DADOS!$AB$3,tabela_registros[CATEGORIA],investirrendafixaconsolidadojul[[#This Row],[ATUAL]])</f>
        <v>0</v>
      </c>
      <c r="L122" s="119" t="n">
        <f aca="false">SUMIFS(tabela_registros[VALOR],tabela_registros[MÊS],$AE$1,tabela_registros[DIA],investirrendafixaconsolidadojul[[#Headers],[8]],tabela_registros[REGISTRO],DADOS!$N$5,tabela_registros[TIPO],DADOS!$AB$3,tabela_registros[CATEGORIA],investirrendafixaconsolidadojul[[#This Row],[ATUAL]])</f>
        <v>0</v>
      </c>
      <c r="M122" s="119" t="n">
        <f aca="false">SUMIFS(tabela_registros[VALOR],tabela_registros[MÊS],$AE$1,tabela_registros[DIA],investirrendafixaconsolidadojul[[#Headers],[9]],tabela_registros[REGISTRO],DADOS!$N$5,tabela_registros[TIPO],DADOS!$AB$3,tabela_registros[CATEGORIA],investirrendafixaconsolidadojul[[#This Row],[ATUAL]])</f>
        <v>0</v>
      </c>
      <c r="N122" s="119" t="n">
        <f aca="false">SUMIFS(tabela_registros[VALOR],tabela_registros[MÊS],$AE$1,tabela_registros[DIA],investirrendafixaconsolidadojul[[#Headers],[10]],tabela_registros[REGISTRO],DADOS!$N$5,tabela_registros[TIPO],DADOS!$AB$3,tabela_registros[CATEGORIA],investirrendafixaconsolidadojul[[#This Row],[ATUAL]])</f>
        <v>0</v>
      </c>
      <c r="O122" s="119" t="n">
        <f aca="false">SUMIFS(tabela_registros[VALOR],tabela_registros[MÊS],$AE$1,tabela_registros[DIA],investirrendafixaconsolidadojul[[#Headers],[11]],tabela_registros[REGISTRO],DADOS!$N$5,tabela_registros[TIPO],DADOS!$AB$3,tabela_registros[CATEGORIA],investirrendafixaconsolidadojul[[#This Row],[ATUAL]])</f>
        <v>0</v>
      </c>
      <c r="P122" s="119" t="n">
        <f aca="false">SUMIFS(tabela_registros[VALOR],tabela_registros[MÊS],$AE$1,tabela_registros[DIA],investirrendafixaconsolidadojul[[#Headers],[12]],tabela_registros[REGISTRO],DADOS!$N$5,tabela_registros[TIPO],DADOS!$AB$3,tabela_registros[CATEGORIA],investirrendafixaconsolidadojul[[#This Row],[ATUAL]])</f>
        <v>0</v>
      </c>
      <c r="Q122" s="119" t="n">
        <f aca="false">SUMIFS(tabela_registros[VALOR],tabela_registros[MÊS],$AE$1,tabela_registros[DIA],investirrendafixaconsolidadojul[[#Headers],[13]],tabela_registros[REGISTRO],DADOS!$N$5,tabela_registros[TIPO],DADOS!$AB$3,tabela_registros[CATEGORIA],investirrendafixaconsolidadojul[[#This Row],[ATUAL]])</f>
        <v>0</v>
      </c>
      <c r="R122" s="119" t="n">
        <f aca="false">SUMIFS(tabela_registros[VALOR],tabela_registros[MÊS],$AE$1,tabela_registros[DIA],investirrendafixaconsolidadojul[[#Headers],[14]],tabela_registros[REGISTRO],DADOS!$N$5,tabela_registros[TIPO],DADOS!$AB$3,tabela_registros[CATEGORIA],investirrendafixaconsolidadojul[[#This Row],[ATUAL]])</f>
        <v>0</v>
      </c>
      <c r="S122" s="119" t="n">
        <f aca="false">SUMIFS(tabela_registros[VALOR],tabela_registros[MÊS],$AE$1,tabela_registros[DIA],investirrendafixaconsolidadojul[[#Headers],[15]],tabela_registros[REGISTRO],DADOS!$N$5,tabela_registros[TIPO],DADOS!$AB$3,tabela_registros[CATEGORIA],investirrendafixaconsolidadojul[[#This Row],[ATUAL]])</f>
        <v>0</v>
      </c>
      <c r="T122" s="119" t="n">
        <f aca="false">SUMIFS(tabela_registros[VALOR],tabela_registros[MÊS],$AE$1,tabela_registros[DIA],investirrendafixaconsolidadojul[[#Headers],[16]],tabela_registros[REGISTRO],DADOS!$N$5,tabela_registros[TIPO],DADOS!$AB$3,tabela_registros[CATEGORIA],investirrendafixaconsolidadojul[[#This Row],[ATUAL]])</f>
        <v>0</v>
      </c>
      <c r="U122" s="119" t="n">
        <f aca="false">SUMIFS(tabela_registros[VALOR],tabela_registros[MÊS],$AE$1,tabela_registros[DIA],investirrendafixaconsolidadojul[[#Headers],[17]],tabela_registros[REGISTRO],DADOS!$N$5,tabela_registros[TIPO],DADOS!$AB$3,tabela_registros[CATEGORIA],investirrendafixaconsolidadojul[[#This Row],[ATUAL]])</f>
        <v>0</v>
      </c>
      <c r="V122" s="119" t="n">
        <f aca="false">SUMIFS(tabela_registros[VALOR],tabela_registros[MÊS],$AE$1,tabela_registros[DIA],investirrendafixaconsolidadojul[[#Headers],[18]],tabela_registros[REGISTRO],DADOS!$N$5,tabela_registros[TIPO],DADOS!$AB$3,tabela_registros[CATEGORIA],investirrendafixaconsolidadojul[[#This Row],[ATUAL]])</f>
        <v>0</v>
      </c>
      <c r="W122" s="119" t="n">
        <f aca="false">SUMIFS(tabela_registros[VALOR],tabela_registros[MÊS],$AE$1,tabela_registros[DIA],investirrendafixaconsolidadojul[[#Headers],[19]],tabela_registros[REGISTRO],DADOS!$N$5,tabela_registros[TIPO],DADOS!$AB$3,tabela_registros[CATEGORIA],investirrendafixaconsolidadojul[[#This Row],[ATUAL]])</f>
        <v>0</v>
      </c>
      <c r="X122" s="119" t="n">
        <f aca="false">SUMIFS(tabela_registros[VALOR],tabela_registros[MÊS],$AE$1,tabela_registros[DIA],investirrendafixaconsolidadojul[[#Headers],[20]],tabela_registros[REGISTRO],DADOS!$N$5,tabela_registros[TIPO],DADOS!$AB$3,tabela_registros[CATEGORIA],investirrendafixaconsolidadojul[[#This Row],[ATUAL]])</f>
        <v>0</v>
      </c>
      <c r="Y122" s="119" t="n">
        <f aca="false">SUMIFS(tabela_registros[VALOR],tabela_registros[MÊS],$AE$1,tabela_registros[DIA],investirrendafixaconsolidadojul[[#Headers],[21]],tabela_registros[REGISTRO],DADOS!$N$5,tabela_registros[TIPO],DADOS!$AB$3,tabela_registros[CATEGORIA],investirrendafixaconsolidadojul[[#This Row],[ATUAL]])</f>
        <v>0</v>
      </c>
      <c r="Z122" s="119" t="n">
        <f aca="false">SUMIFS(tabela_registros[VALOR],tabela_registros[MÊS],$AE$1,tabela_registros[DIA],investirrendafixaconsolidadojul[[#Headers],[22]],tabela_registros[REGISTRO],DADOS!$N$5,tabela_registros[TIPO],DADOS!$AB$3,tabela_registros[CATEGORIA],investirrendafixaconsolidadojul[[#This Row],[ATUAL]])</f>
        <v>0</v>
      </c>
      <c r="AA122" s="119" t="n">
        <f aca="false">SUMIFS(tabela_registros[VALOR],tabela_registros[MÊS],$AE$1,tabela_registros[DIA],investirrendafixaconsolidadojul[[#Headers],[23]],tabela_registros[REGISTRO],DADOS!$N$5,tabela_registros[TIPO],DADOS!$AB$3,tabela_registros[CATEGORIA],investirrendafixaconsolidadojul[[#This Row],[ATUAL]])</f>
        <v>0</v>
      </c>
      <c r="AB122" s="119" t="n">
        <f aca="false">SUMIFS(tabela_registros[VALOR],tabela_registros[MÊS],$AE$1,tabela_registros[DIA],investirrendafixaconsolidadojul[[#Headers],[24]],tabela_registros[REGISTRO],DADOS!$N$5,tabela_registros[TIPO],DADOS!$AB$3,tabela_registros[CATEGORIA],investirrendafixaconsolidadojul[[#This Row],[ATUAL]])</f>
        <v>0</v>
      </c>
      <c r="AC122" s="119" t="n">
        <f aca="false">SUMIFS(tabela_registros[VALOR],tabela_registros[MÊS],$AE$1,tabela_registros[DIA],investirrendafixaconsolidadojul[[#Headers],[25]],tabela_registros[REGISTRO],DADOS!$N$5,tabela_registros[TIPO],DADOS!$AB$3,tabela_registros[CATEGORIA],investirrendafixaconsolidadojul[[#This Row],[ATUAL]])</f>
        <v>0</v>
      </c>
      <c r="AD122" s="119" t="n">
        <f aca="false">SUMIFS(tabela_registros[VALOR],tabela_registros[MÊS],$AE$1,tabela_registros[DIA],investirrendafixaconsolidadojul[[#Headers],[26]],tabela_registros[REGISTRO],DADOS!$N$5,tabela_registros[TIPO],DADOS!$AB$3,tabela_registros[CATEGORIA],investirrendafixaconsolidadojul[[#This Row],[ATUAL]])</f>
        <v>0</v>
      </c>
      <c r="AE122" s="119" t="n">
        <f aca="false">SUMIFS(tabela_registros[VALOR],tabela_registros[MÊS],$AE$1,tabela_registros[DIA],investirrendafixaconsolidadojul[[#Headers],[27]],tabela_registros[REGISTRO],DADOS!$N$5,tabela_registros[TIPO],DADOS!$AB$3,tabela_registros[CATEGORIA],investirrendafixaconsolidadojul[[#This Row],[ATUAL]])</f>
        <v>0</v>
      </c>
      <c r="AF122" s="119" t="n">
        <f aca="false">SUMIFS(tabela_registros[VALOR],tabela_registros[MÊS],$AE$1,tabela_registros[DIA],investirrendafixaconsolidadojul[[#Headers],[28]],tabela_registros[REGISTRO],DADOS!$N$5,tabela_registros[TIPO],DADOS!$AB$3,tabela_registros[CATEGORIA],investirrendafixaconsolidadojul[[#This Row],[ATUAL]])</f>
        <v>0</v>
      </c>
      <c r="AG122" s="119" t="n">
        <f aca="false">SUMIFS(tabela_registros[VALOR],tabela_registros[MÊS],$AE$1,tabela_registros[DIA],investirrendafixaconsolidadojul[[#Headers],[29]],tabela_registros[REGISTRO],DADOS!$N$5,tabela_registros[TIPO],DADOS!$AB$3,tabela_registros[CATEGORIA],investirrendafixaconsolidadojul[[#This Row],[ATUAL]])</f>
        <v>0</v>
      </c>
      <c r="AH122" s="119" t="n">
        <f aca="false">SUMIFS(tabela_registros[VALOR],tabela_registros[MÊS],$AE$1,tabela_registros[DIA],investirrendafixaconsolidadojul[[#Headers],[30]],tabela_registros[REGISTRO],DADOS!$N$5,tabela_registros[TIPO],DADOS!$AB$3,tabela_registros[CATEGORIA],investirrendafixaconsolidadojul[[#This Row],[ATUAL]])</f>
        <v>0</v>
      </c>
      <c r="AI122" s="218" t="n">
        <f aca="false">SUMIFS(tabela_registros[VALOR],tabela_registros[MÊS],$AE$1,tabela_registros[DIA],investirrendafixaconsolidadojul[[#Headers],[31]],tabela_registros[REGISTRO],DADOS!$N$5,tabela_registros[TIPO],DADOS!$AB$3,tabela_registros[CATEGORIA],investirrendafixaconsolidadojul[[#This Row],[ATUAL]])</f>
        <v>0</v>
      </c>
      <c r="AJ122" s="149" t="n">
        <f aca="false">SUM(investirrendafixaconsolidadojul[[#This Row],[1]:[31]])</f>
        <v>0</v>
      </c>
      <c r="AK122" s="165"/>
    </row>
    <row r="123" s="122" customFormat="true" ht="21" hidden="false" customHeight="true" outlineLevel="0" collapsed="false">
      <c r="B123" s="152"/>
      <c r="C123" s="153" t="s">
        <v>2</v>
      </c>
      <c r="D123" s="166"/>
      <c r="E123" s="155" t="n">
        <f aca="false">SUM(E113:E122)</f>
        <v>0</v>
      </c>
      <c r="F123" s="156" t="n">
        <f aca="false">SUM(F113:F122)+investirrendafixaconsolidadojul[[#This Row],[1]]</f>
        <v>0</v>
      </c>
      <c r="G123" s="156" t="n">
        <f aca="false">SUM(G113:G122)+investirrendafixaconsolidadojul[[#This Row],[2]]</f>
        <v>0</v>
      </c>
      <c r="H123" s="156" t="n">
        <f aca="false">SUM(H113:H122)+investirrendafixaconsolidadojul[[#This Row],[3]]</f>
        <v>0</v>
      </c>
      <c r="I123" s="156" t="n">
        <f aca="false">SUM(I113:I122)+investirrendafixaconsolidadojul[[#This Row],[4]]</f>
        <v>0</v>
      </c>
      <c r="J123" s="156" t="n">
        <f aca="false">SUM(J113:J122)+investirrendafixaconsolidadojul[[#This Row],[5]]</f>
        <v>0</v>
      </c>
      <c r="K123" s="156" t="n">
        <f aca="false">SUM(K113:K122)+investirrendafixaconsolidadojul[[#This Row],[6]]</f>
        <v>0</v>
      </c>
      <c r="L123" s="156" t="n">
        <f aca="false">SUM(L113:L122)+investirrendafixaconsolidadojul[[#This Row],[7]]</f>
        <v>0</v>
      </c>
      <c r="M123" s="156" t="n">
        <f aca="false">SUM(M113:M122)+investirrendafixaconsolidadojul[[#This Row],[8]]</f>
        <v>0</v>
      </c>
      <c r="N123" s="156" t="n">
        <f aca="false">SUM(N113:N122)+investirrendafixaconsolidadojul[[#This Row],[9]]</f>
        <v>0</v>
      </c>
      <c r="O123" s="156" t="n">
        <f aca="false">SUM(O113:O122)+investirrendafixaconsolidadojul[[#This Row],[10]]</f>
        <v>0</v>
      </c>
      <c r="P123" s="156" t="n">
        <f aca="false">SUM(P113:P122)+investirrendafixaconsolidadojul[[#This Row],[11]]</f>
        <v>0</v>
      </c>
      <c r="Q123" s="156" t="n">
        <f aca="false">SUM(Q113:Q122)+investirrendafixaconsolidadojul[[#This Row],[12]]</f>
        <v>0</v>
      </c>
      <c r="R123" s="156" t="n">
        <f aca="false">SUM(R113:R122)+investirrendafixaconsolidadojul[[#This Row],[13]]</f>
        <v>0</v>
      </c>
      <c r="S123" s="156" t="n">
        <f aca="false">SUM(S113:S122)+investirrendafixaconsolidadojul[[#This Row],[14]]</f>
        <v>0</v>
      </c>
      <c r="T123" s="156" t="n">
        <f aca="false">SUM(T113:T122)+investirrendafixaconsolidadojul[[#This Row],[15]]</f>
        <v>0</v>
      </c>
      <c r="U123" s="156" t="n">
        <f aca="false">SUM(U113:U122)+investirrendafixaconsolidadojul[[#This Row],[16]]</f>
        <v>0</v>
      </c>
      <c r="V123" s="156" t="n">
        <f aca="false">SUM(V113:V122)+investirrendafixaconsolidadojul[[#This Row],[17]]</f>
        <v>0</v>
      </c>
      <c r="W123" s="156" t="n">
        <f aca="false">SUM(W113:W122)+investirrendafixaconsolidadojul[[#This Row],[18]]</f>
        <v>0</v>
      </c>
      <c r="X123" s="156" t="n">
        <f aca="false">SUM(X113:X122)+investirrendafixaconsolidadojul[[#This Row],[19]]</f>
        <v>0</v>
      </c>
      <c r="Y123" s="156" t="n">
        <f aca="false">SUM(Y113:Y122)+investirrendafixaconsolidadojul[[#This Row],[20]]</f>
        <v>0</v>
      </c>
      <c r="Z123" s="156" t="n">
        <f aca="false">SUM(Z113:Z122)+investirrendafixaconsolidadojul[[#This Row],[21]]</f>
        <v>0</v>
      </c>
      <c r="AA123" s="156" t="n">
        <f aca="false">SUM(AA113:AA122)+investirrendafixaconsolidadojul[[#This Row],[22]]</f>
        <v>0</v>
      </c>
      <c r="AB123" s="156" t="n">
        <f aca="false">SUM(AB113:AB122)+investirrendafixaconsolidadojul[[#This Row],[23]]</f>
        <v>0</v>
      </c>
      <c r="AC123" s="156" t="n">
        <f aca="false">SUM(AC113:AC122)+investirrendafixaconsolidadojul[[#This Row],[24]]</f>
        <v>0</v>
      </c>
      <c r="AD123" s="156" t="n">
        <f aca="false">SUM(AD113:AD122)+investirrendafixaconsolidadojul[[#This Row],[25]]</f>
        <v>0</v>
      </c>
      <c r="AE123" s="156" t="n">
        <f aca="false">SUM(AE113:AE122)+investirrendafixaconsolidadojul[[#This Row],[26]]</f>
        <v>0</v>
      </c>
      <c r="AF123" s="156" t="n">
        <f aca="false">SUM(AF113:AF122)+investirrendafixaconsolidadojul[[#This Row],[27]]</f>
        <v>0</v>
      </c>
      <c r="AG123" s="156" t="n">
        <f aca="false">SUM(AG113:AG122)+investirrendafixaconsolidadojul[[#This Row],[28]]</f>
        <v>0</v>
      </c>
      <c r="AH123" s="156" t="n">
        <f aca="false">SUM(AH113:AH122)+investirrendafixaconsolidadojul[[#This Row],[29]]</f>
        <v>0</v>
      </c>
      <c r="AI123" s="223" t="n">
        <f aca="false">SUM(AI113:AI122)+investirrendafixaconsolidadojul[[#This Row],[30]]</f>
        <v>0</v>
      </c>
      <c r="AJ123" s="157" t="n">
        <f aca="false">investirrendafixaconsolidadojul[[#This Row],[31]]</f>
        <v>0</v>
      </c>
      <c r="AK123" s="158"/>
    </row>
    <row r="124" customFormat="false" ht="6.75" hidden="false" customHeight="true" outlineLevel="0" collapsed="false">
      <c r="B124" s="97"/>
      <c r="C124" s="162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233"/>
      <c r="AJ124" s="164"/>
      <c r="AK124" s="244"/>
    </row>
    <row r="125" s="78" customFormat="true" ht="12.75" hidden="false" customHeight="false" outlineLevel="0" collapsed="false">
      <c r="E125" s="100"/>
    </row>
    <row r="126" s="78" customFormat="true" ht="12" hidden="false" customHeight="false" outlineLevel="0" collapsed="false"/>
    <row r="127" s="78" customFormat="true" ht="12" hidden="false" customHeight="false" outlineLevel="0" collapsed="false"/>
    <row r="128" customFormat="false" ht="39.75" hidden="false" customHeight="true" outlineLevel="0" collapsed="false">
      <c r="C128" s="101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3" t="s">
        <v>2</v>
      </c>
    </row>
    <row r="129" s="78" customFormat="true" ht="12.75" hidden="false" customHeight="false" outlineLevel="0" collapsed="false">
      <c r="B129" s="161"/>
      <c r="AJ129" s="106" t="s">
        <v>64</v>
      </c>
    </row>
    <row r="130" customFormat="false" ht="6.75" hidden="false" customHeight="true" outlineLevel="0" collapsed="false">
      <c r="B130" s="86"/>
      <c r="C130" s="162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233"/>
      <c r="AK130" s="139"/>
    </row>
    <row r="131" customFormat="false" ht="13.5" hidden="true" customHeight="false" outlineLevel="0" collapsed="false">
      <c r="B131" s="86"/>
      <c r="C131" s="109" t="s">
        <v>68</v>
      </c>
      <c r="D131" s="110" t="s">
        <v>69</v>
      </c>
      <c r="E131" s="110" t="s">
        <v>30</v>
      </c>
      <c r="F131" s="110" t="s">
        <v>31</v>
      </c>
      <c r="G131" s="110" t="s">
        <v>32</v>
      </c>
      <c r="H131" s="110" t="s">
        <v>33</v>
      </c>
      <c r="I131" s="110" t="s">
        <v>34</v>
      </c>
      <c r="J131" s="110" t="s">
        <v>35</v>
      </c>
      <c r="K131" s="110" t="s">
        <v>36</v>
      </c>
      <c r="L131" s="110" t="s">
        <v>37</v>
      </c>
      <c r="M131" s="110" t="s">
        <v>38</v>
      </c>
      <c r="N131" s="110" t="s">
        <v>39</v>
      </c>
      <c r="O131" s="110" t="s">
        <v>40</v>
      </c>
      <c r="P131" s="110" t="s">
        <v>41</v>
      </c>
      <c r="Q131" s="110" t="s">
        <v>81</v>
      </c>
      <c r="R131" s="110" t="s">
        <v>82</v>
      </c>
      <c r="S131" s="110" t="s">
        <v>83</v>
      </c>
      <c r="T131" s="110" t="s">
        <v>84</v>
      </c>
      <c r="U131" s="110" t="s">
        <v>85</v>
      </c>
      <c r="V131" s="110" t="s">
        <v>86</v>
      </c>
      <c r="W131" s="110" t="s">
        <v>87</v>
      </c>
      <c r="X131" s="110" t="s">
        <v>88</v>
      </c>
      <c r="Y131" s="110" t="s">
        <v>89</v>
      </c>
      <c r="Z131" s="110" t="s">
        <v>90</v>
      </c>
      <c r="AA131" s="110" t="s">
        <v>91</v>
      </c>
      <c r="AB131" s="110" t="s">
        <v>92</v>
      </c>
      <c r="AC131" s="110" t="s">
        <v>93</v>
      </c>
      <c r="AD131" s="110" t="s">
        <v>94</v>
      </c>
      <c r="AE131" s="110" t="s">
        <v>95</v>
      </c>
      <c r="AF131" s="110" t="s">
        <v>96</v>
      </c>
      <c r="AG131" s="110" t="s">
        <v>97</v>
      </c>
      <c r="AH131" s="110" t="s">
        <v>98</v>
      </c>
      <c r="AI131" s="110" t="s">
        <v>99</v>
      </c>
      <c r="AJ131" s="111" t="s">
        <v>70</v>
      </c>
      <c r="AK131" s="86"/>
    </row>
    <row r="132" customFormat="false" ht="19.5" hidden="false" customHeight="true" outlineLevel="0" collapsed="false">
      <c r="B132" s="143"/>
      <c r="C132" s="144" t="str">
        <f aca="false">DADOS!$AF$3</f>
        <v>📝 AÇÃO</v>
      </c>
      <c r="D132" s="145" t="str">
        <f aca="false">IF(investirrendavariávelconsolidadojul[[#This Row],[TOTAL (R$)]]=0,"",IF(OR(investirrendavariávelconsolidadojul[[#This Row],[TOTAL (R$)]]=LARGE($AJ$132:$AJ$141,1),investirrendavariávelconsolidadojul[[#This Row],[TOTAL (R$)]]=LARGE($AJ$132:$AJ$141,2)),DADOS!$I$10,""))</f>
        <v/>
      </c>
      <c r="E132" s="148" t="n">
        <f aca="false">SUMIFS(tabela_registros[VALOR],tabela_registros[MÊS],$AE$1,tabela_registros[DIA],investirrendavariávelconsolidadojul[[#Headers],[1]],tabela_registros[REGISTRO],DADOS!$N$5,tabela_registros[TIPO],DADOS!$AB$4,tabela_registros[CATEGORIA],investirrendavariávelconsolidadojul[[#This Row],[ATUAL]])</f>
        <v>0</v>
      </c>
      <c r="F132" s="119" t="n">
        <f aca="false">SUMIFS(tabela_registros[VALOR],tabela_registros[MÊS],$AE$1,tabela_registros[DIA],investirrendavariávelconsolidadojul[[#Headers],[2]],tabela_registros[REGISTRO],DADOS!$N$5,tabela_registros[TIPO],DADOS!$AB$4,tabela_registros[CATEGORIA],investirrendavariávelconsolidadojul[[#This Row],[ATUAL]])</f>
        <v>0</v>
      </c>
      <c r="G132" s="119" t="n">
        <f aca="false">SUMIFS(tabela_registros[VALOR],tabela_registros[MÊS],$AE$1,tabela_registros[DIA],investirrendavariávelconsolidadojul[[#Headers],[3]],tabela_registros[REGISTRO],DADOS!$N$5,tabela_registros[TIPO],DADOS!$AB$4,tabela_registros[CATEGORIA],investirrendavariávelconsolidadojul[[#This Row],[ATUAL]])</f>
        <v>0</v>
      </c>
      <c r="H132" s="119" t="n">
        <f aca="false">SUMIFS(tabela_registros[VALOR],tabela_registros[MÊS],$AE$1,tabela_registros[DIA],investirrendavariávelconsolidadojul[[#Headers],[4]],tabela_registros[REGISTRO],DADOS!$N$5,tabela_registros[TIPO],DADOS!$AB$4,tabela_registros[CATEGORIA],investirrendavariávelconsolidadojul[[#This Row],[ATUAL]])</f>
        <v>0</v>
      </c>
      <c r="I132" s="119" t="n">
        <f aca="false">SUMIFS(tabela_registros[VALOR],tabela_registros[MÊS],$AE$1,tabela_registros[DIA],investirrendavariávelconsolidadojul[[#Headers],[5]],tabela_registros[REGISTRO],DADOS!$N$5,tabela_registros[TIPO],DADOS!$AB$4,tabela_registros[CATEGORIA],investirrendavariávelconsolidadojul[[#This Row],[ATUAL]])</f>
        <v>0</v>
      </c>
      <c r="J132" s="119" t="n">
        <f aca="false">SUMIFS(tabela_registros[VALOR],tabela_registros[MÊS],$AE$1,tabela_registros[DIA],investirrendavariávelconsolidadojul[[#Headers],[6]],tabela_registros[REGISTRO],DADOS!$N$5,tabela_registros[TIPO],DADOS!$AB$4,tabela_registros[CATEGORIA],investirrendavariávelconsolidadojul[[#This Row],[ATUAL]])</f>
        <v>0</v>
      </c>
      <c r="K132" s="119" t="n">
        <f aca="false">SUMIFS(tabela_registros[VALOR],tabela_registros[MÊS],$AE$1,tabela_registros[DIA],investirrendavariávelconsolidadojul[[#Headers],[7]],tabela_registros[REGISTRO],DADOS!$N$5,tabela_registros[TIPO],DADOS!$AB$4,tabela_registros[CATEGORIA],investirrendavariávelconsolidadojul[[#This Row],[ATUAL]])</f>
        <v>0</v>
      </c>
      <c r="L132" s="119" t="n">
        <f aca="false">SUMIFS(tabela_registros[VALOR],tabela_registros[MÊS],$AE$1,tabela_registros[DIA],investirrendavariávelconsolidadojul[[#Headers],[8]],tabela_registros[REGISTRO],DADOS!$N$5,tabela_registros[TIPO],DADOS!$AB$4,tabela_registros[CATEGORIA],investirrendavariávelconsolidadojul[[#This Row],[ATUAL]])</f>
        <v>0</v>
      </c>
      <c r="M132" s="119" t="n">
        <f aca="false">SUMIFS(tabela_registros[VALOR],tabela_registros[MÊS],$AE$1,tabela_registros[DIA],investirrendavariávelconsolidadojul[[#Headers],[9]],tabela_registros[REGISTRO],DADOS!$N$5,tabela_registros[TIPO],DADOS!$AB$4,tabela_registros[CATEGORIA],investirrendavariávelconsolidadojul[[#This Row],[ATUAL]])</f>
        <v>0</v>
      </c>
      <c r="N132" s="119" t="n">
        <f aca="false">SUMIFS(tabela_registros[VALOR],tabela_registros[MÊS],$AE$1,tabela_registros[DIA],investirrendavariávelconsolidadojul[[#Headers],[10]],tabela_registros[REGISTRO],DADOS!$N$5,tabela_registros[TIPO],DADOS!$AB$4,tabela_registros[CATEGORIA],investirrendavariávelconsolidadojul[[#This Row],[ATUAL]])</f>
        <v>0</v>
      </c>
      <c r="O132" s="119" t="n">
        <f aca="false">SUMIFS(tabela_registros[VALOR],tabela_registros[MÊS],$AE$1,tabela_registros[DIA],investirrendavariávelconsolidadojul[[#Headers],[11]],tabela_registros[REGISTRO],DADOS!$N$5,tabela_registros[TIPO],DADOS!$AB$4,tabela_registros[CATEGORIA],investirrendavariávelconsolidadojul[[#This Row],[ATUAL]])</f>
        <v>0</v>
      </c>
      <c r="P132" s="119" t="n">
        <f aca="false">SUMIFS(tabela_registros[VALOR],tabela_registros[MÊS],$AE$1,tabela_registros[DIA],investirrendavariávelconsolidadojul[[#Headers],[12]],tabela_registros[REGISTRO],DADOS!$N$5,tabela_registros[TIPO],DADOS!$AB$4,tabela_registros[CATEGORIA],investirrendavariávelconsolidadojul[[#This Row],[ATUAL]])</f>
        <v>0</v>
      </c>
      <c r="Q132" s="119" t="n">
        <f aca="false">SUMIFS(tabela_registros[VALOR],tabela_registros[MÊS],$AE$1,tabela_registros[DIA],investirrendavariávelconsolidadojul[[#Headers],[13]],tabela_registros[REGISTRO],DADOS!$N$5,tabela_registros[TIPO],DADOS!$AB$4,tabela_registros[CATEGORIA],investirrendavariávelconsolidadojul[[#This Row],[ATUAL]])</f>
        <v>0</v>
      </c>
      <c r="R132" s="119" t="n">
        <f aca="false">SUMIFS(tabela_registros[VALOR],tabela_registros[MÊS],$AE$1,tabela_registros[DIA],investirrendavariávelconsolidadojul[[#Headers],[14]],tabela_registros[REGISTRO],DADOS!$N$5,tabela_registros[TIPO],DADOS!$AB$4,tabela_registros[CATEGORIA],investirrendavariávelconsolidadojul[[#This Row],[ATUAL]])</f>
        <v>0</v>
      </c>
      <c r="S132" s="119" t="n">
        <f aca="false">SUMIFS(tabela_registros[VALOR],tabela_registros[MÊS],$AE$1,tabela_registros[DIA],investirrendavariávelconsolidadojul[[#Headers],[15]],tabela_registros[REGISTRO],DADOS!$N$5,tabela_registros[TIPO],DADOS!$AB$4,tabela_registros[CATEGORIA],investirrendavariávelconsolidadojul[[#This Row],[ATUAL]])</f>
        <v>0</v>
      </c>
      <c r="T132" s="119" t="n">
        <f aca="false">SUMIFS(tabela_registros[VALOR],tabela_registros[MÊS],$AE$1,tabela_registros[DIA],investirrendavariávelconsolidadojul[[#Headers],[16]],tabela_registros[REGISTRO],DADOS!$N$5,tabela_registros[TIPO],DADOS!$AB$4,tabela_registros[CATEGORIA],investirrendavariávelconsolidadojul[[#This Row],[ATUAL]])</f>
        <v>0</v>
      </c>
      <c r="U132" s="119" t="n">
        <f aca="false">SUMIFS(tabela_registros[VALOR],tabela_registros[MÊS],$AE$1,tabela_registros[DIA],investirrendavariávelconsolidadojul[[#Headers],[17]],tabela_registros[REGISTRO],DADOS!$N$5,tabela_registros[TIPO],DADOS!$AB$4,tabela_registros[CATEGORIA],investirrendavariávelconsolidadojul[[#This Row],[ATUAL]])</f>
        <v>0</v>
      </c>
      <c r="V132" s="119" t="n">
        <f aca="false">SUMIFS(tabela_registros[VALOR],tabela_registros[MÊS],$AE$1,tabela_registros[DIA],investirrendavariávelconsolidadojul[[#Headers],[18]],tabela_registros[REGISTRO],DADOS!$N$5,tabela_registros[TIPO],DADOS!$AB$4,tabela_registros[CATEGORIA],investirrendavariávelconsolidadojul[[#This Row],[ATUAL]])</f>
        <v>0</v>
      </c>
      <c r="W132" s="119" t="n">
        <f aca="false">SUMIFS(tabela_registros[VALOR],tabela_registros[MÊS],$AE$1,tabela_registros[DIA],investirrendavariávelconsolidadojul[[#Headers],[19]],tabela_registros[REGISTRO],DADOS!$N$5,tabela_registros[TIPO],DADOS!$AB$4,tabela_registros[CATEGORIA],investirrendavariávelconsolidadojul[[#This Row],[ATUAL]])</f>
        <v>0</v>
      </c>
      <c r="X132" s="119" t="n">
        <f aca="false">SUMIFS(tabela_registros[VALOR],tabela_registros[MÊS],$AE$1,tabela_registros[DIA],investirrendavariávelconsolidadojul[[#Headers],[20]],tabela_registros[REGISTRO],DADOS!$N$5,tabela_registros[TIPO],DADOS!$AB$4,tabela_registros[CATEGORIA],investirrendavariávelconsolidadojul[[#This Row],[ATUAL]])</f>
        <v>0</v>
      </c>
      <c r="Y132" s="119" t="n">
        <f aca="false">SUMIFS(tabela_registros[VALOR],tabela_registros[MÊS],$AE$1,tabela_registros[DIA],investirrendavariávelconsolidadojul[[#Headers],[21]],tabela_registros[REGISTRO],DADOS!$N$5,tabela_registros[TIPO],DADOS!$AB$4,tabela_registros[CATEGORIA],investirrendavariávelconsolidadojul[[#This Row],[ATUAL]])</f>
        <v>0</v>
      </c>
      <c r="Z132" s="119" t="n">
        <f aca="false">SUMIFS(tabela_registros[VALOR],tabela_registros[MÊS],$AE$1,tabela_registros[DIA],investirrendavariávelconsolidadojul[[#Headers],[22]],tabela_registros[REGISTRO],DADOS!$N$5,tabela_registros[TIPO],DADOS!$AB$4,tabela_registros[CATEGORIA],investirrendavariávelconsolidadojul[[#This Row],[ATUAL]])</f>
        <v>0</v>
      </c>
      <c r="AA132" s="119" t="n">
        <f aca="false">SUMIFS(tabela_registros[VALOR],tabela_registros[MÊS],$AE$1,tabela_registros[DIA],investirrendavariávelconsolidadojul[[#Headers],[23]],tabela_registros[REGISTRO],DADOS!$N$5,tabela_registros[TIPO],DADOS!$AB$4,tabela_registros[CATEGORIA],investirrendavariávelconsolidadojul[[#This Row],[ATUAL]])</f>
        <v>0</v>
      </c>
      <c r="AB132" s="119" t="n">
        <f aca="false">SUMIFS(tabela_registros[VALOR],tabela_registros[MÊS],$AE$1,tabela_registros[DIA],investirrendavariávelconsolidadojul[[#Headers],[24]],tabela_registros[REGISTRO],DADOS!$N$5,tabela_registros[TIPO],DADOS!$AB$4,tabela_registros[CATEGORIA],investirrendavariávelconsolidadojul[[#This Row],[ATUAL]])</f>
        <v>0</v>
      </c>
      <c r="AC132" s="119" t="n">
        <f aca="false">SUMIFS(tabela_registros[VALOR],tabela_registros[MÊS],$AE$1,tabela_registros[DIA],investirrendavariávelconsolidadojul[[#Headers],[25]],tabela_registros[REGISTRO],DADOS!$N$5,tabela_registros[TIPO],DADOS!$AB$4,tabela_registros[CATEGORIA],investirrendavariávelconsolidadojul[[#This Row],[ATUAL]])</f>
        <v>0</v>
      </c>
      <c r="AD132" s="119" t="n">
        <f aca="false">SUMIFS(tabela_registros[VALOR],tabela_registros[MÊS],$AE$1,tabela_registros[DIA],investirrendavariávelconsolidadojul[[#Headers],[26]],tabela_registros[REGISTRO],DADOS!$N$5,tabela_registros[TIPO],DADOS!$AB$4,tabela_registros[CATEGORIA],investirrendavariávelconsolidadojul[[#This Row],[ATUAL]])</f>
        <v>0</v>
      </c>
      <c r="AE132" s="119" t="n">
        <f aca="false">SUMIFS(tabela_registros[VALOR],tabela_registros[MÊS],$AE$1,tabela_registros[DIA],investirrendavariávelconsolidadojul[[#Headers],[27]],tabela_registros[REGISTRO],DADOS!$N$5,tabela_registros[TIPO],DADOS!$AB$4,tabela_registros[CATEGORIA],investirrendavariávelconsolidadojul[[#This Row],[ATUAL]])</f>
        <v>0</v>
      </c>
      <c r="AF132" s="119" t="n">
        <f aca="false">SUMIFS(tabela_registros[VALOR],tabela_registros[MÊS],$AE$1,tabela_registros[DIA],investirrendavariávelconsolidadojul[[#Headers],[28]],tabela_registros[REGISTRO],DADOS!$N$5,tabela_registros[TIPO],DADOS!$AB$4,tabela_registros[CATEGORIA],investirrendavariávelconsolidadojul[[#This Row],[ATUAL]])</f>
        <v>0</v>
      </c>
      <c r="AG132" s="119" t="n">
        <f aca="false">SUMIFS(tabela_registros[VALOR],tabela_registros[MÊS],$AE$1,tabela_registros[DIA],investirrendavariávelconsolidadojul[[#Headers],[29]],tabela_registros[REGISTRO],DADOS!$N$5,tabela_registros[TIPO],DADOS!$AB$4,tabela_registros[CATEGORIA],investirrendavariávelconsolidadojul[[#This Row],[ATUAL]])</f>
        <v>0</v>
      </c>
      <c r="AH132" s="119" t="n">
        <f aca="false">SUMIFS(tabela_registros[VALOR],tabela_registros[MÊS],$AE$1,tabela_registros[DIA],investirrendavariávelconsolidadojul[[#Headers],[30]],tabela_registros[REGISTRO],DADOS!$N$5,tabela_registros[TIPO],DADOS!$AB$4,tabela_registros[CATEGORIA],investirrendavariávelconsolidadojul[[#This Row],[ATUAL]])</f>
        <v>0</v>
      </c>
      <c r="AI132" s="217" t="n">
        <f aca="false">SUMIFS(tabela_registros[VALOR],tabela_registros[MÊS],$AE$1,tabela_registros[DIA],investirrendavariávelconsolidadojul[[#Headers],[31]],tabela_registros[REGISTRO],DADOS!$N$5,tabela_registros[TIPO],DADOS!$AB$4,tabela_registros[CATEGORIA],investirrendavariávelconsolidadojul[[#This Row],[ATUAL]])</f>
        <v>0</v>
      </c>
      <c r="AJ132" s="149" t="n">
        <f aca="false">SUM(investirrendavariávelconsolidadojul[[#This Row],[1]:[31]])</f>
        <v>0</v>
      </c>
      <c r="AK132" s="165"/>
    </row>
    <row r="133" customFormat="false" ht="19.5" hidden="false" customHeight="true" outlineLevel="0" collapsed="false">
      <c r="B133" s="143"/>
      <c r="C133" s="144" t="str">
        <f aca="false">DADOS!$AF$4</f>
        <v>📝 COMÓDITE</v>
      </c>
      <c r="D133" s="145" t="str">
        <f aca="false">IF(investirrendavariávelconsolidadojul[[#This Row],[TOTAL (R$)]]=0,"",IF(OR(investirrendavariávelconsolidadojul[[#This Row],[TOTAL (R$)]]=LARGE($AJ$132:$AJ$141,1),investirrendavariávelconsolidadojul[[#This Row],[TOTAL (R$)]]=LARGE($AJ$132:$AJ$141,2)),DADOS!$I$10,""))</f>
        <v/>
      </c>
      <c r="E133" s="148" t="n">
        <f aca="false">SUMIFS(tabela_registros[VALOR],tabela_registros[MÊS],$AE$1,tabela_registros[DIA],investirrendavariávelconsolidadojul[[#Headers],[1]],tabela_registros[REGISTRO],DADOS!$N$5,tabela_registros[TIPO],DADOS!$AB$4,tabela_registros[CATEGORIA],investirrendavariávelconsolidadojul[[#This Row],[ATUAL]])</f>
        <v>0</v>
      </c>
      <c r="F133" s="119" t="n">
        <f aca="false">SUMIFS(tabela_registros[VALOR],tabela_registros[MÊS],$AE$1,tabela_registros[DIA],investirrendavariávelconsolidadojul[[#Headers],[2]],tabela_registros[REGISTRO],DADOS!$N$5,tabela_registros[TIPO],DADOS!$AB$4,tabela_registros[CATEGORIA],investirrendavariávelconsolidadojul[[#This Row],[ATUAL]])</f>
        <v>0</v>
      </c>
      <c r="G133" s="119" t="n">
        <f aca="false">SUMIFS(tabela_registros[VALOR],tabela_registros[MÊS],$AE$1,tabela_registros[DIA],investirrendavariávelconsolidadojul[[#Headers],[3]],tabela_registros[REGISTRO],DADOS!$N$5,tabela_registros[TIPO],DADOS!$AB$4,tabela_registros[CATEGORIA],investirrendavariávelconsolidadojul[[#This Row],[ATUAL]])</f>
        <v>0</v>
      </c>
      <c r="H133" s="119" t="n">
        <f aca="false">SUMIFS(tabela_registros[VALOR],tabela_registros[MÊS],$AE$1,tabela_registros[DIA],investirrendavariávelconsolidadojul[[#Headers],[4]],tabela_registros[REGISTRO],DADOS!$N$5,tabela_registros[TIPO],DADOS!$AB$4,tabela_registros[CATEGORIA],investirrendavariávelconsolidadojul[[#This Row],[ATUAL]])</f>
        <v>0</v>
      </c>
      <c r="I133" s="119" t="n">
        <f aca="false">SUMIFS(tabela_registros[VALOR],tabela_registros[MÊS],$AE$1,tabela_registros[DIA],investirrendavariávelconsolidadojul[[#Headers],[5]],tabela_registros[REGISTRO],DADOS!$N$5,tabela_registros[TIPO],DADOS!$AB$4,tabela_registros[CATEGORIA],investirrendavariávelconsolidadojul[[#This Row],[ATUAL]])</f>
        <v>0</v>
      </c>
      <c r="J133" s="119" t="n">
        <f aca="false">SUMIFS(tabela_registros[VALOR],tabela_registros[MÊS],$AE$1,tabela_registros[DIA],investirrendavariávelconsolidadojul[[#Headers],[6]],tabela_registros[REGISTRO],DADOS!$N$5,tabela_registros[TIPO],DADOS!$AB$4,tabela_registros[CATEGORIA],investirrendavariávelconsolidadojul[[#This Row],[ATUAL]])</f>
        <v>0</v>
      </c>
      <c r="K133" s="119" t="n">
        <f aca="false">SUMIFS(tabela_registros[VALOR],tabela_registros[MÊS],$AE$1,tabela_registros[DIA],investirrendavariávelconsolidadojul[[#Headers],[7]],tabela_registros[REGISTRO],DADOS!$N$5,tabela_registros[TIPO],DADOS!$AB$4,tabela_registros[CATEGORIA],investirrendavariávelconsolidadojul[[#This Row],[ATUAL]])</f>
        <v>0</v>
      </c>
      <c r="L133" s="119" t="n">
        <f aca="false">SUMIFS(tabela_registros[VALOR],tabela_registros[MÊS],$AE$1,tabela_registros[DIA],investirrendavariávelconsolidadojul[[#Headers],[8]],tabela_registros[REGISTRO],DADOS!$N$5,tabela_registros[TIPO],DADOS!$AB$4,tabela_registros[CATEGORIA],investirrendavariávelconsolidadojul[[#This Row],[ATUAL]])</f>
        <v>0</v>
      </c>
      <c r="M133" s="119" t="n">
        <f aca="false">SUMIFS(tabela_registros[VALOR],tabela_registros[MÊS],$AE$1,tabela_registros[DIA],investirrendavariávelconsolidadojul[[#Headers],[9]],tabela_registros[REGISTRO],DADOS!$N$5,tabela_registros[TIPO],DADOS!$AB$4,tabela_registros[CATEGORIA],investirrendavariávelconsolidadojul[[#This Row],[ATUAL]])</f>
        <v>0</v>
      </c>
      <c r="N133" s="119" t="n">
        <f aca="false">SUMIFS(tabela_registros[VALOR],tabela_registros[MÊS],$AE$1,tabela_registros[DIA],investirrendavariávelconsolidadojul[[#Headers],[10]],tabela_registros[REGISTRO],DADOS!$N$5,tabela_registros[TIPO],DADOS!$AB$4,tabela_registros[CATEGORIA],investirrendavariávelconsolidadojul[[#This Row],[ATUAL]])</f>
        <v>0</v>
      </c>
      <c r="O133" s="119" t="n">
        <f aca="false">SUMIFS(tabela_registros[VALOR],tabela_registros[MÊS],$AE$1,tabela_registros[DIA],investirrendavariávelconsolidadojul[[#Headers],[11]],tabela_registros[REGISTRO],DADOS!$N$5,tabela_registros[TIPO],DADOS!$AB$4,tabela_registros[CATEGORIA],investirrendavariávelconsolidadojul[[#This Row],[ATUAL]])</f>
        <v>0</v>
      </c>
      <c r="P133" s="119" t="n">
        <f aca="false">SUMIFS(tabela_registros[VALOR],tabela_registros[MÊS],$AE$1,tabela_registros[DIA],investirrendavariávelconsolidadojul[[#Headers],[12]],tabela_registros[REGISTRO],DADOS!$N$5,tabela_registros[TIPO],DADOS!$AB$4,tabela_registros[CATEGORIA],investirrendavariávelconsolidadojul[[#This Row],[ATUAL]])</f>
        <v>0</v>
      </c>
      <c r="Q133" s="119" t="n">
        <f aca="false">SUMIFS(tabela_registros[VALOR],tabela_registros[MÊS],$AE$1,tabela_registros[DIA],investirrendavariávelconsolidadojul[[#Headers],[13]],tabela_registros[REGISTRO],DADOS!$N$5,tabela_registros[TIPO],DADOS!$AB$4,tabela_registros[CATEGORIA],investirrendavariávelconsolidadojul[[#This Row],[ATUAL]])</f>
        <v>0</v>
      </c>
      <c r="R133" s="119" t="n">
        <f aca="false">SUMIFS(tabela_registros[VALOR],tabela_registros[MÊS],$AE$1,tabela_registros[DIA],investirrendavariávelconsolidadojul[[#Headers],[14]],tabela_registros[REGISTRO],DADOS!$N$5,tabela_registros[TIPO],DADOS!$AB$4,tabela_registros[CATEGORIA],investirrendavariávelconsolidadojul[[#This Row],[ATUAL]])</f>
        <v>0</v>
      </c>
      <c r="S133" s="119" t="n">
        <f aca="false">SUMIFS(tabela_registros[VALOR],tabela_registros[MÊS],$AE$1,tabela_registros[DIA],investirrendavariávelconsolidadojul[[#Headers],[15]],tabela_registros[REGISTRO],DADOS!$N$5,tabela_registros[TIPO],DADOS!$AB$4,tabela_registros[CATEGORIA],investirrendavariávelconsolidadojul[[#This Row],[ATUAL]])</f>
        <v>0</v>
      </c>
      <c r="T133" s="119" t="n">
        <f aca="false">SUMIFS(tabela_registros[VALOR],tabela_registros[MÊS],$AE$1,tabela_registros[DIA],investirrendavariávelconsolidadojul[[#Headers],[16]],tabela_registros[REGISTRO],DADOS!$N$5,tabela_registros[TIPO],DADOS!$AB$4,tabela_registros[CATEGORIA],investirrendavariávelconsolidadojul[[#This Row],[ATUAL]])</f>
        <v>0</v>
      </c>
      <c r="U133" s="119" t="n">
        <f aca="false">SUMIFS(tabela_registros[VALOR],tabela_registros[MÊS],$AE$1,tabela_registros[DIA],investirrendavariávelconsolidadojul[[#Headers],[17]],tabela_registros[REGISTRO],DADOS!$N$5,tabela_registros[TIPO],DADOS!$AB$4,tabela_registros[CATEGORIA],investirrendavariávelconsolidadojul[[#This Row],[ATUAL]])</f>
        <v>0</v>
      </c>
      <c r="V133" s="119" t="n">
        <f aca="false">SUMIFS(tabela_registros[VALOR],tabela_registros[MÊS],$AE$1,tabela_registros[DIA],investirrendavariávelconsolidadojul[[#Headers],[18]],tabela_registros[REGISTRO],DADOS!$N$5,tabela_registros[TIPO],DADOS!$AB$4,tabela_registros[CATEGORIA],investirrendavariávelconsolidadojul[[#This Row],[ATUAL]])</f>
        <v>0</v>
      </c>
      <c r="W133" s="119" t="n">
        <f aca="false">SUMIFS(tabela_registros[VALOR],tabela_registros[MÊS],$AE$1,tabela_registros[DIA],investirrendavariávelconsolidadojul[[#Headers],[19]],tabela_registros[REGISTRO],DADOS!$N$5,tabela_registros[TIPO],DADOS!$AB$4,tabela_registros[CATEGORIA],investirrendavariávelconsolidadojul[[#This Row],[ATUAL]])</f>
        <v>0</v>
      </c>
      <c r="X133" s="119" t="n">
        <f aca="false">SUMIFS(tabela_registros[VALOR],tabela_registros[MÊS],$AE$1,tabela_registros[DIA],investirrendavariávelconsolidadojul[[#Headers],[20]],tabela_registros[REGISTRO],DADOS!$N$5,tabela_registros[TIPO],DADOS!$AB$4,tabela_registros[CATEGORIA],investirrendavariávelconsolidadojul[[#This Row],[ATUAL]])</f>
        <v>0</v>
      </c>
      <c r="Y133" s="119" t="n">
        <f aca="false">SUMIFS(tabela_registros[VALOR],tabela_registros[MÊS],$AE$1,tabela_registros[DIA],investirrendavariávelconsolidadojul[[#Headers],[21]],tabela_registros[REGISTRO],DADOS!$N$5,tabela_registros[TIPO],DADOS!$AB$4,tabela_registros[CATEGORIA],investirrendavariávelconsolidadojul[[#This Row],[ATUAL]])</f>
        <v>0</v>
      </c>
      <c r="Z133" s="119" t="n">
        <f aca="false">SUMIFS(tabela_registros[VALOR],tabela_registros[MÊS],$AE$1,tabela_registros[DIA],investirrendavariávelconsolidadojul[[#Headers],[22]],tabela_registros[REGISTRO],DADOS!$N$5,tabela_registros[TIPO],DADOS!$AB$4,tabela_registros[CATEGORIA],investirrendavariávelconsolidadojul[[#This Row],[ATUAL]])</f>
        <v>0</v>
      </c>
      <c r="AA133" s="119" t="n">
        <f aca="false">SUMIFS(tabela_registros[VALOR],tabela_registros[MÊS],$AE$1,tabela_registros[DIA],investirrendavariávelconsolidadojul[[#Headers],[23]],tabela_registros[REGISTRO],DADOS!$N$5,tabela_registros[TIPO],DADOS!$AB$4,tabela_registros[CATEGORIA],investirrendavariávelconsolidadojul[[#This Row],[ATUAL]])</f>
        <v>0</v>
      </c>
      <c r="AB133" s="119" t="n">
        <f aca="false">SUMIFS(tabela_registros[VALOR],tabela_registros[MÊS],$AE$1,tabela_registros[DIA],investirrendavariávelconsolidadojul[[#Headers],[24]],tabela_registros[REGISTRO],DADOS!$N$5,tabela_registros[TIPO],DADOS!$AB$4,tabela_registros[CATEGORIA],investirrendavariávelconsolidadojul[[#This Row],[ATUAL]])</f>
        <v>0</v>
      </c>
      <c r="AC133" s="119" t="n">
        <f aca="false">SUMIFS(tabela_registros[VALOR],tabela_registros[MÊS],$AE$1,tabela_registros[DIA],investirrendavariávelconsolidadojul[[#Headers],[25]],tabela_registros[REGISTRO],DADOS!$N$5,tabela_registros[TIPO],DADOS!$AB$4,tabela_registros[CATEGORIA],investirrendavariávelconsolidadojul[[#This Row],[ATUAL]])</f>
        <v>0</v>
      </c>
      <c r="AD133" s="119" t="n">
        <f aca="false">SUMIFS(tabela_registros[VALOR],tabela_registros[MÊS],$AE$1,tabela_registros[DIA],investirrendavariávelconsolidadojul[[#Headers],[26]],tabela_registros[REGISTRO],DADOS!$N$5,tabela_registros[TIPO],DADOS!$AB$4,tabela_registros[CATEGORIA],investirrendavariávelconsolidadojul[[#This Row],[ATUAL]])</f>
        <v>0</v>
      </c>
      <c r="AE133" s="119" t="n">
        <f aca="false">SUMIFS(tabela_registros[VALOR],tabela_registros[MÊS],$AE$1,tabela_registros[DIA],investirrendavariávelconsolidadojul[[#Headers],[27]],tabela_registros[REGISTRO],DADOS!$N$5,tabela_registros[TIPO],DADOS!$AB$4,tabela_registros[CATEGORIA],investirrendavariávelconsolidadojul[[#This Row],[ATUAL]])</f>
        <v>0</v>
      </c>
      <c r="AF133" s="119" t="n">
        <f aca="false">SUMIFS(tabela_registros[VALOR],tabela_registros[MÊS],$AE$1,tabela_registros[DIA],investirrendavariávelconsolidadojul[[#Headers],[28]],tabela_registros[REGISTRO],DADOS!$N$5,tabela_registros[TIPO],DADOS!$AB$4,tabela_registros[CATEGORIA],investirrendavariávelconsolidadojul[[#This Row],[ATUAL]])</f>
        <v>0</v>
      </c>
      <c r="AG133" s="119" t="n">
        <f aca="false">SUMIFS(tabela_registros[VALOR],tabela_registros[MÊS],$AE$1,tabela_registros[DIA],investirrendavariávelconsolidadojul[[#Headers],[29]],tabela_registros[REGISTRO],DADOS!$N$5,tabela_registros[TIPO],DADOS!$AB$4,tabela_registros[CATEGORIA],investirrendavariávelconsolidadojul[[#This Row],[ATUAL]])</f>
        <v>0</v>
      </c>
      <c r="AH133" s="119" t="n">
        <f aca="false">SUMIFS(tabela_registros[VALOR],tabela_registros[MÊS],$AE$1,tabela_registros[DIA],investirrendavariávelconsolidadojul[[#Headers],[30]],tabela_registros[REGISTRO],DADOS!$N$5,tabela_registros[TIPO],DADOS!$AB$4,tabela_registros[CATEGORIA],investirrendavariávelconsolidadojul[[#This Row],[ATUAL]])</f>
        <v>0</v>
      </c>
      <c r="AI133" s="217" t="n">
        <f aca="false">SUMIFS(tabela_registros[VALOR],tabela_registros[MÊS],$AE$1,tabela_registros[DIA],investirrendavariávelconsolidadojul[[#Headers],[31]],tabela_registros[REGISTRO],DADOS!$N$5,tabela_registros[TIPO],DADOS!$AB$4,tabela_registros[CATEGORIA],investirrendavariávelconsolidadojul[[#This Row],[ATUAL]])</f>
        <v>0</v>
      </c>
      <c r="AJ133" s="149" t="n">
        <f aca="false">SUM(investirrendavariávelconsolidadojul[[#This Row],[1]:[31]])</f>
        <v>0</v>
      </c>
      <c r="AK133" s="165"/>
    </row>
    <row r="134" customFormat="false" ht="19.5" hidden="false" customHeight="true" outlineLevel="0" collapsed="false">
      <c r="B134" s="143"/>
      <c r="C134" s="144" t="str">
        <f aca="false">DADOS!$AF$5</f>
        <v>📝 CONTRATO DE FUTUROS</v>
      </c>
      <c r="D134" s="145" t="str">
        <f aca="false">IF(investirrendavariávelconsolidadojul[[#This Row],[TOTAL (R$)]]=0,"",IF(OR(investirrendavariávelconsolidadojul[[#This Row],[TOTAL (R$)]]=LARGE($AJ$132:$AJ$141,1),investirrendavariávelconsolidadojul[[#This Row],[TOTAL (R$)]]=LARGE($AJ$132:$AJ$141,2)),DADOS!$I$10,""))</f>
        <v/>
      </c>
      <c r="E134" s="148" t="n">
        <f aca="false">SUMIFS(tabela_registros[VALOR],tabela_registros[MÊS],$AE$1,tabela_registros[DIA],investirrendavariávelconsolidadojul[[#Headers],[1]],tabela_registros[REGISTRO],DADOS!$N$5,tabela_registros[TIPO],DADOS!$AB$4,tabela_registros[CATEGORIA],investirrendavariávelconsolidadojul[[#This Row],[ATUAL]])</f>
        <v>0</v>
      </c>
      <c r="F134" s="119" t="n">
        <f aca="false">SUMIFS(tabela_registros[VALOR],tabela_registros[MÊS],$AE$1,tabela_registros[DIA],investirrendavariávelconsolidadojul[[#Headers],[2]],tabela_registros[REGISTRO],DADOS!$N$5,tabela_registros[TIPO],DADOS!$AB$4,tabela_registros[CATEGORIA],investirrendavariávelconsolidadojul[[#This Row],[ATUAL]])</f>
        <v>0</v>
      </c>
      <c r="G134" s="119" t="n">
        <f aca="false">SUMIFS(tabela_registros[VALOR],tabela_registros[MÊS],$AE$1,tabela_registros[DIA],investirrendavariávelconsolidadojul[[#Headers],[3]],tabela_registros[REGISTRO],DADOS!$N$5,tabela_registros[TIPO],DADOS!$AB$4,tabela_registros[CATEGORIA],investirrendavariávelconsolidadojul[[#This Row],[ATUAL]])</f>
        <v>0</v>
      </c>
      <c r="H134" s="119" t="n">
        <f aca="false">SUMIFS(tabela_registros[VALOR],tabela_registros[MÊS],$AE$1,tabela_registros[DIA],investirrendavariávelconsolidadojul[[#Headers],[4]],tabela_registros[REGISTRO],DADOS!$N$5,tabela_registros[TIPO],DADOS!$AB$4,tabela_registros[CATEGORIA],investirrendavariávelconsolidadojul[[#This Row],[ATUAL]])</f>
        <v>0</v>
      </c>
      <c r="I134" s="119" t="n">
        <f aca="false">SUMIFS(tabela_registros[VALOR],tabela_registros[MÊS],$AE$1,tabela_registros[DIA],investirrendavariávelconsolidadojul[[#Headers],[5]],tabela_registros[REGISTRO],DADOS!$N$5,tabela_registros[TIPO],DADOS!$AB$4,tabela_registros[CATEGORIA],investirrendavariávelconsolidadojul[[#This Row],[ATUAL]])</f>
        <v>0</v>
      </c>
      <c r="J134" s="119" t="n">
        <f aca="false">SUMIFS(tabela_registros[VALOR],tabela_registros[MÊS],$AE$1,tabela_registros[DIA],investirrendavariávelconsolidadojul[[#Headers],[6]],tabela_registros[REGISTRO],DADOS!$N$5,tabela_registros[TIPO],DADOS!$AB$4,tabela_registros[CATEGORIA],investirrendavariávelconsolidadojul[[#This Row],[ATUAL]])</f>
        <v>0</v>
      </c>
      <c r="K134" s="119" t="n">
        <f aca="false">SUMIFS(tabela_registros[VALOR],tabela_registros[MÊS],$AE$1,tabela_registros[DIA],investirrendavariávelconsolidadojul[[#Headers],[7]],tabela_registros[REGISTRO],DADOS!$N$5,tabela_registros[TIPO],DADOS!$AB$4,tabela_registros[CATEGORIA],investirrendavariávelconsolidadojul[[#This Row],[ATUAL]])</f>
        <v>0</v>
      </c>
      <c r="L134" s="119" t="n">
        <f aca="false">SUMIFS(tabela_registros[VALOR],tabela_registros[MÊS],$AE$1,tabela_registros[DIA],investirrendavariávelconsolidadojul[[#Headers],[8]],tabela_registros[REGISTRO],DADOS!$N$5,tabela_registros[TIPO],DADOS!$AB$4,tabela_registros[CATEGORIA],investirrendavariávelconsolidadojul[[#This Row],[ATUAL]])</f>
        <v>0</v>
      </c>
      <c r="M134" s="119" t="n">
        <f aca="false">SUMIFS(tabela_registros[VALOR],tabela_registros[MÊS],$AE$1,tabela_registros[DIA],investirrendavariávelconsolidadojul[[#Headers],[9]],tabela_registros[REGISTRO],DADOS!$N$5,tabela_registros[TIPO],DADOS!$AB$4,tabela_registros[CATEGORIA],investirrendavariávelconsolidadojul[[#This Row],[ATUAL]])</f>
        <v>0</v>
      </c>
      <c r="N134" s="119" t="n">
        <f aca="false">SUMIFS(tabela_registros[VALOR],tabela_registros[MÊS],$AE$1,tabela_registros[DIA],investirrendavariávelconsolidadojul[[#Headers],[10]],tabela_registros[REGISTRO],DADOS!$N$5,tabela_registros[TIPO],DADOS!$AB$4,tabela_registros[CATEGORIA],investirrendavariávelconsolidadojul[[#This Row],[ATUAL]])</f>
        <v>0</v>
      </c>
      <c r="O134" s="119" t="n">
        <f aca="false">SUMIFS(tabela_registros[VALOR],tabela_registros[MÊS],$AE$1,tabela_registros[DIA],investirrendavariávelconsolidadojul[[#Headers],[11]],tabela_registros[REGISTRO],DADOS!$N$5,tabela_registros[TIPO],DADOS!$AB$4,tabela_registros[CATEGORIA],investirrendavariávelconsolidadojul[[#This Row],[ATUAL]])</f>
        <v>0</v>
      </c>
      <c r="P134" s="119" t="n">
        <f aca="false">SUMIFS(tabela_registros[VALOR],tabela_registros[MÊS],$AE$1,tabela_registros[DIA],investirrendavariávelconsolidadojul[[#Headers],[12]],tabela_registros[REGISTRO],DADOS!$N$5,tabela_registros[TIPO],DADOS!$AB$4,tabela_registros[CATEGORIA],investirrendavariávelconsolidadojul[[#This Row],[ATUAL]])</f>
        <v>0</v>
      </c>
      <c r="Q134" s="119" t="n">
        <f aca="false">SUMIFS(tabela_registros[VALOR],tabela_registros[MÊS],$AE$1,tabela_registros[DIA],investirrendavariávelconsolidadojul[[#Headers],[13]],tabela_registros[REGISTRO],DADOS!$N$5,tabela_registros[TIPO],DADOS!$AB$4,tabela_registros[CATEGORIA],investirrendavariávelconsolidadojul[[#This Row],[ATUAL]])</f>
        <v>0</v>
      </c>
      <c r="R134" s="119" t="n">
        <f aca="false">SUMIFS(tabela_registros[VALOR],tabela_registros[MÊS],$AE$1,tabela_registros[DIA],investirrendavariávelconsolidadojul[[#Headers],[14]],tabela_registros[REGISTRO],DADOS!$N$5,tabela_registros[TIPO],DADOS!$AB$4,tabela_registros[CATEGORIA],investirrendavariávelconsolidadojul[[#This Row],[ATUAL]])</f>
        <v>0</v>
      </c>
      <c r="S134" s="119" t="n">
        <f aca="false">SUMIFS(tabela_registros[VALOR],tabela_registros[MÊS],$AE$1,tabela_registros[DIA],investirrendavariávelconsolidadojul[[#Headers],[15]],tabela_registros[REGISTRO],DADOS!$N$5,tabela_registros[TIPO],DADOS!$AB$4,tabela_registros[CATEGORIA],investirrendavariávelconsolidadojul[[#This Row],[ATUAL]])</f>
        <v>0</v>
      </c>
      <c r="T134" s="119" t="n">
        <f aca="false">SUMIFS(tabela_registros[VALOR],tabela_registros[MÊS],$AE$1,tabela_registros[DIA],investirrendavariávelconsolidadojul[[#Headers],[16]],tabela_registros[REGISTRO],DADOS!$N$5,tabela_registros[TIPO],DADOS!$AB$4,tabela_registros[CATEGORIA],investirrendavariávelconsolidadojul[[#This Row],[ATUAL]])</f>
        <v>0</v>
      </c>
      <c r="U134" s="119" t="n">
        <f aca="false">SUMIFS(tabela_registros[VALOR],tabela_registros[MÊS],$AE$1,tabela_registros[DIA],investirrendavariávelconsolidadojul[[#Headers],[17]],tabela_registros[REGISTRO],DADOS!$N$5,tabela_registros[TIPO],DADOS!$AB$4,tabela_registros[CATEGORIA],investirrendavariávelconsolidadojul[[#This Row],[ATUAL]])</f>
        <v>0</v>
      </c>
      <c r="V134" s="119" t="n">
        <f aca="false">SUMIFS(tabela_registros[VALOR],tabela_registros[MÊS],$AE$1,tabela_registros[DIA],investirrendavariávelconsolidadojul[[#Headers],[18]],tabela_registros[REGISTRO],DADOS!$N$5,tabela_registros[TIPO],DADOS!$AB$4,tabela_registros[CATEGORIA],investirrendavariávelconsolidadojul[[#This Row],[ATUAL]])</f>
        <v>0</v>
      </c>
      <c r="W134" s="119" t="n">
        <f aca="false">SUMIFS(tabela_registros[VALOR],tabela_registros[MÊS],$AE$1,tabela_registros[DIA],investirrendavariávelconsolidadojul[[#Headers],[19]],tabela_registros[REGISTRO],DADOS!$N$5,tabela_registros[TIPO],DADOS!$AB$4,tabela_registros[CATEGORIA],investirrendavariávelconsolidadojul[[#This Row],[ATUAL]])</f>
        <v>0</v>
      </c>
      <c r="X134" s="119" t="n">
        <f aca="false">SUMIFS(tabela_registros[VALOR],tabela_registros[MÊS],$AE$1,tabela_registros[DIA],investirrendavariávelconsolidadojul[[#Headers],[20]],tabela_registros[REGISTRO],DADOS!$N$5,tabela_registros[TIPO],DADOS!$AB$4,tabela_registros[CATEGORIA],investirrendavariávelconsolidadojul[[#This Row],[ATUAL]])</f>
        <v>0</v>
      </c>
      <c r="Y134" s="119" t="n">
        <f aca="false">SUMIFS(tabela_registros[VALOR],tabela_registros[MÊS],$AE$1,tabela_registros[DIA],investirrendavariávelconsolidadojul[[#Headers],[21]],tabela_registros[REGISTRO],DADOS!$N$5,tabela_registros[TIPO],DADOS!$AB$4,tabela_registros[CATEGORIA],investirrendavariávelconsolidadojul[[#This Row],[ATUAL]])</f>
        <v>0</v>
      </c>
      <c r="Z134" s="119" t="n">
        <f aca="false">SUMIFS(tabela_registros[VALOR],tabela_registros[MÊS],$AE$1,tabela_registros[DIA],investirrendavariávelconsolidadojul[[#Headers],[22]],tabela_registros[REGISTRO],DADOS!$N$5,tabela_registros[TIPO],DADOS!$AB$4,tabela_registros[CATEGORIA],investirrendavariávelconsolidadojul[[#This Row],[ATUAL]])</f>
        <v>0</v>
      </c>
      <c r="AA134" s="119" t="n">
        <f aca="false">SUMIFS(tabela_registros[VALOR],tabela_registros[MÊS],$AE$1,tabela_registros[DIA],investirrendavariávelconsolidadojul[[#Headers],[23]],tabela_registros[REGISTRO],DADOS!$N$5,tabela_registros[TIPO],DADOS!$AB$4,tabela_registros[CATEGORIA],investirrendavariávelconsolidadojul[[#This Row],[ATUAL]])</f>
        <v>0</v>
      </c>
      <c r="AB134" s="119" t="n">
        <f aca="false">SUMIFS(tabela_registros[VALOR],tabela_registros[MÊS],$AE$1,tabela_registros[DIA],investirrendavariávelconsolidadojul[[#Headers],[24]],tabela_registros[REGISTRO],DADOS!$N$5,tabela_registros[TIPO],DADOS!$AB$4,tabela_registros[CATEGORIA],investirrendavariávelconsolidadojul[[#This Row],[ATUAL]])</f>
        <v>0</v>
      </c>
      <c r="AC134" s="119" t="n">
        <f aca="false">SUMIFS(tabela_registros[VALOR],tabela_registros[MÊS],$AE$1,tabela_registros[DIA],investirrendavariávelconsolidadojul[[#Headers],[25]],tabela_registros[REGISTRO],DADOS!$N$5,tabela_registros[TIPO],DADOS!$AB$4,tabela_registros[CATEGORIA],investirrendavariávelconsolidadojul[[#This Row],[ATUAL]])</f>
        <v>0</v>
      </c>
      <c r="AD134" s="119" t="n">
        <f aca="false">SUMIFS(tabela_registros[VALOR],tabela_registros[MÊS],$AE$1,tabela_registros[DIA],investirrendavariávelconsolidadojul[[#Headers],[26]],tabela_registros[REGISTRO],DADOS!$N$5,tabela_registros[TIPO],DADOS!$AB$4,tabela_registros[CATEGORIA],investirrendavariávelconsolidadojul[[#This Row],[ATUAL]])</f>
        <v>0</v>
      </c>
      <c r="AE134" s="119" t="n">
        <f aca="false">SUMIFS(tabela_registros[VALOR],tabela_registros[MÊS],$AE$1,tabela_registros[DIA],investirrendavariávelconsolidadojul[[#Headers],[27]],tabela_registros[REGISTRO],DADOS!$N$5,tabela_registros[TIPO],DADOS!$AB$4,tabela_registros[CATEGORIA],investirrendavariávelconsolidadojul[[#This Row],[ATUAL]])</f>
        <v>0</v>
      </c>
      <c r="AF134" s="119" t="n">
        <f aca="false">SUMIFS(tabela_registros[VALOR],tabela_registros[MÊS],$AE$1,tabela_registros[DIA],investirrendavariávelconsolidadojul[[#Headers],[28]],tabela_registros[REGISTRO],DADOS!$N$5,tabela_registros[TIPO],DADOS!$AB$4,tabela_registros[CATEGORIA],investirrendavariávelconsolidadojul[[#This Row],[ATUAL]])</f>
        <v>0</v>
      </c>
      <c r="AG134" s="119" t="n">
        <f aca="false">SUMIFS(tabela_registros[VALOR],tabela_registros[MÊS],$AE$1,tabela_registros[DIA],investirrendavariávelconsolidadojul[[#Headers],[29]],tabela_registros[REGISTRO],DADOS!$N$5,tabela_registros[TIPO],DADOS!$AB$4,tabela_registros[CATEGORIA],investirrendavariávelconsolidadojul[[#This Row],[ATUAL]])</f>
        <v>0</v>
      </c>
      <c r="AH134" s="119" t="n">
        <f aca="false">SUMIFS(tabela_registros[VALOR],tabela_registros[MÊS],$AE$1,tabela_registros[DIA],investirrendavariávelconsolidadojul[[#Headers],[30]],tabela_registros[REGISTRO],DADOS!$N$5,tabela_registros[TIPO],DADOS!$AB$4,tabela_registros[CATEGORIA],investirrendavariávelconsolidadojul[[#This Row],[ATUAL]])</f>
        <v>0</v>
      </c>
      <c r="AI134" s="217" t="n">
        <f aca="false">SUMIFS(tabela_registros[VALOR],tabela_registros[MÊS],$AE$1,tabela_registros[DIA],investirrendavariávelconsolidadojul[[#Headers],[31]],tabela_registros[REGISTRO],DADOS!$N$5,tabela_registros[TIPO],DADOS!$AB$4,tabela_registros[CATEGORIA],investirrendavariávelconsolidadojul[[#This Row],[ATUAL]])</f>
        <v>0</v>
      </c>
      <c r="AJ134" s="149" t="n">
        <f aca="false">SUM(investirrendavariávelconsolidadojul[[#This Row],[1]:[31]])</f>
        <v>0</v>
      </c>
      <c r="AK134" s="165"/>
    </row>
    <row r="135" customFormat="false" ht="19.5" hidden="false" customHeight="true" outlineLevel="0" collapsed="false">
      <c r="B135" s="143"/>
      <c r="C135" s="144" t="str">
        <f aca="false">DADOS!$AF$6</f>
        <v>📝 CONTRATO DE OPÇÕES</v>
      </c>
      <c r="D135" s="145" t="str">
        <f aca="false">IF(investirrendavariávelconsolidadojul[[#This Row],[TOTAL (R$)]]=0,"",IF(OR(investirrendavariávelconsolidadojul[[#This Row],[TOTAL (R$)]]=LARGE($AJ$132:$AJ$141,1),investirrendavariávelconsolidadojul[[#This Row],[TOTAL (R$)]]=LARGE($AJ$132:$AJ$141,2)),DADOS!$I$10,""))</f>
        <v/>
      </c>
      <c r="E135" s="148" t="n">
        <f aca="false">SUMIFS(tabela_registros[VALOR],tabela_registros[MÊS],$AE$1,tabela_registros[DIA],investirrendavariávelconsolidadojul[[#Headers],[1]],tabela_registros[REGISTRO],DADOS!$N$5,tabela_registros[TIPO],DADOS!$AB$4,tabela_registros[CATEGORIA],investirrendavariávelconsolidadojul[[#This Row],[ATUAL]])</f>
        <v>0</v>
      </c>
      <c r="F135" s="119" t="n">
        <f aca="false">SUMIFS(tabela_registros[VALOR],tabela_registros[MÊS],$AE$1,tabela_registros[DIA],investirrendavariávelconsolidadojul[[#Headers],[2]],tabela_registros[REGISTRO],DADOS!$N$5,tabela_registros[TIPO],DADOS!$AB$4,tabela_registros[CATEGORIA],investirrendavariávelconsolidadojul[[#This Row],[ATUAL]])</f>
        <v>0</v>
      </c>
      <c r="G135" s="119" t="n">
        <f aca="false">SUMIFS(tabela_registros[VALOR],tabela_registros[MÊS],$AE$1,tabela_registros[DIA],investirrendavariávelconsolidadojul[[#Headers],[3]],tabela_registros[REGISTRO],DADOS!$N$5,tabela_registros[TIPO],DADOS!$AB$4,tabela_registros[CATEGORIA],investirrendavariávelconsolidadojul[[#This Row],[ATUAL]])</f>
        <v>0</v>
      </c>
      <c r="H135" s="119" t="n">
        <f aca="false">SUMIFS(tabela_registros[VALOR],tabela_registros[MÊS],$AE$1,tabela_registros[DIA],investirrendavariávelconsolidadojul[[#Headers],[4]],tabela_registros[REGISTRO],DADOS!$N$5,tabela_registros[TIPO],DADOS!$AB$4,tabela_registros[CATEGORIA],investirrendavariávelconsolidadojul[[#This Row],[ATUAL]])</f>
        <v>0</v>
      </c>
      <c r="I135" s="119" t="n">
        <f aca="false">SUMIFS(tabela_registros[VALOR],tabela_registros[MÊS],$AE$1,tabela_registros[DIA],investirrendavariávelconsolidadojul[[#Headers],[5]],tabela_registros[REGISTRO],DADOS!$N$5,tabela_registros[TIPO],DADOS!$AB$4,tabela_registros[CATEGORIA],investirrendavariávelconsolidadojul[[#This Row],[ATUAL]])</f>
        <v>0</v>
      </c>
      <c r="J135" s="119" t="n">
        <f aca="false">SUMIFS(tabela_registros[VALOR],tabela_registros[MÊS],$AE$1,tabela_registros[DIA],investirrendavariávelconsolidadojul[[#Headers],[6]],tabela_registros[REGISTRO],DADOS!$N$5,tabela_registros[TIPO],DADOS!$AB$4,tabela_registros[CATEGORIA],investirrendavariávelconsolidadojul[[#This Row],[ATUAL]])</f>
        <v>0</v>
      </c>
      <c r="K135" s="119" t="n">
        <f aca="false">SUMIFS(tabela_registros[VALOR],tabela_registros[MÊS],$AE$1,tabela_registros[DIA],investirrendavariávelconsolidadojul[[#Headers],[7]],tabela_registros[REGISTRO],DADOS!$N$5,tabela_registros[TIPO],DADOS!$AB$4,tabela_registros[CATEGORIA],investirrendavariávelconsolidadojul[[#This Row],[ATUAL]])</f>
        <v>0</v>
      </c>
      <c r="L135" s="119" t="n">
        <f aca="false">SUMIFS(tabela_registros[VALOR],tabela_registros[MÊS],$AE$1,tabela_registros[DIA],investirrendavariávelconsolidadojul[[#Headers],[8]],tabela_registros[REGISTRO],DADOS!$N$5,tabela_registros[TIPO],DADOS!$AB$4,tabela_registros[CATEGORIA],investirrendavariávelconsolidadojul[[#This Row],[ATUAL]])</f>
        <v>0</v>
      </c>
      <c r="M135" s="119" t="n">
        <f aca="false">SUMIFS(tabela_registros[VALOR],tabela_registros[MÊS],$AE$1,tabela_registros[DIA],investirrendavariávelconsolidadojul[[#Headers],[9]],tabela_registros[REGISTRO],DADOS!$N$5,tabela_registros[TIPO],DADOS!$AB$4,tabela_registros[CATEGORIA],investirrendavariávelconsolidadojul[[#This Row],[ATUAL]])</f>
        <v>0</v>
      </c>
      <c r="N135" s="119" t="n">
        <f aca="false">SUMIFS(tabela_registros[VALOR],tabela_registros[MÊS],$AE$1,tabela_registros[DIA],investirrendavariávelconsolidadojul[[#Headers],[10]],tabela_registros[REGISTRO],DADOS!$N$5,tabela_registros[TIPO],DADOS!$AB$4,tabela_registros[CATEGORIA],investirrendavariávelconsolidadojul[[#This Row],[ATUAL]])</f>
        <v>0</v>
      </c>
      <c r="O135" s="119" t="n">
        <f aca="false">SUMIFS(tabela_registros[VALOR],tabela_registros[MÊS],$AE$1,tabela_registros[DIA],investirrendavariávelconsolidadojul[[#Headers],[11]],tabela_registros[REGISTRO],DADOS!$N$5,tabela_registros[TIPO],DADOS!$AB$4,tabela_registros[CATEGORIA],investirrendavariávelconsolidadojul[[#This Row],[ATUAL]])</f>
        <v>0</v>
      </c>
      <c r="P135" s="119" t="n">
        <f aca="false">SUMIFS(tabela_registros[VALOR],tabela_registros[MÊS],$AE$1,tabela_registros[DIA],investirrendavariávelconsolidadojul[[#Headers],[12]],tabela_registros[REGISTRO],DADOS!$N$5,tabela_registros[TIPO],DADOS!$AB$4,tabela_registros[CATEGORIA],investirrendavariávelconsolidadojul[[#This Row],[ATUAL]])</f>
        <v>0</v>
      </c>
      <c r="Q135" s="119" t="n">
        <f aca="false">SUMIFS(tabela_registros[VALOR],tabela_registros[MÊS],$AE$1,tabela_registros[DIA],investirrendavariávelconsolidadojul[[#Headers],[13]],tabela_registros[REGISTRO],DADOS!$N$5,tabela_registros[TIPO],DADOS!$AB$4,tabela_registros[CATEGORIA],investirrendavariávelconsolidadojul[[#This Row],[ATUAL]])</f>
        <v>0</v>
      </c>
      <c r="R135" s="119" t="n">
        <f aca="false">SUMIFS(tabela_registros[VALOR],tabela_registros[MÊS],$AE$1,tabela_registros[DIA],investirrendavariávelconsolidadojul[[#Headers],[14]],tabela_registros[REGISTRO],DADOS!$N$5,tabela_registros[TIPO],DADOS!$AB$4,tabela_registros[CATEGORIA],investirrendavariávelconsolidadojul[[#This Row],[ATUAL]])</f>
        <v>0</v>
      </c>
      <c r="S135" s="119" t="n">
        <f aca="false">SUMIFS(tabela_registros[VALOR],tabela_registros[MÊS],$AE$1,tabela_registros[DIA],investirrendavariávelconsolidadojul[[#Headers],[15]],tabela_registros[REGISTRO],DADOS!$N$5,tabela_registros[TIPO],DADOS!$AB$4,tabela_registros[CATEGORIA],investirrendavariávelconsolidadojul[[#This Row],[ATUAL]])</f>
        <v>0</v>
      </c>
      <c r="T135" s="119" t="n">
        <f aca="false">SUMIFS(tabela_registros[VALOR],tabela_registros[MÊS],$AE$1,tabela_registros[DIA],investirrendavariávelconsolidadojul[[#Headers],[16]],tabela_registros[REGISTRO],DADOS!$N$5,tabela_registros[TIPO],DADOS!$AB$4,tabela_registros[CATEGORIA],investirrendavariávelconsolidadojul[[#This Row],[ATUAL]])</f>
        <v>0</v>
      </c>
      <c r="U135" s="119" t="n">
        <f aca="false">SUMIFS(tabela_registros[VALOR],tabela_registros[MÊS],$AE$1,tabela_registros[DIA],investirrendavariávelconsolidadojul[[#Headers],[17]],tabela_registros[REGISTRO],DADOS!$N$5,tabela_registros[TIPO],DADOS!$AB$4,tabela_registros[CATEGORIA],investirrendavariávelconsolidadojul[[#This Row],[ATUAL]])</f>
        <v>0</v>
      </c>
      <c r="V135" s="119" t="n">
        <f aca="false">SUMIFS(tabela_registros[VALOR],tabela_registros[MÊS],$AE$1,tabela_registros[DIA],investirrendavariávelconsolidadojul[[#Headers],[18]],tabela_registros[REGISTRO],DADOS!$N$5,tabela_registros[TIPO],DADOS!$AB$4,tabela_registros[CATEGORIA],investirrendavariávelconsolidadojul[[#This Row],[ATUAL]])</f>
        <v>0</v>
      </c>
      <c r="W135" s="119" t="n">
        <f aca="false">SUMIFS(tabela_registros[VALOR],tabela_registros[MÊS],$AE$1,tabela_registros[DIA],investirrendavariávelconsolidadojul[[#Headers],[19]],tabela_registros[REGISTRO],DADOS!$N$5,tabela_registros[TIPO],DADOS!$AB$4,tabela_registros[CATEGORIA],investirrendavariávelconsolidadojul[[#This Row],[ATUAL]])</f>
        <v>0</v>
      </c>
      <c r="X135" s="119" t="n">
        <f aca="false">SUMIFS(tabela_registros[VALOR],tabela_registros[MÊS],$AE$1,tabela_registros[DIA],investirrendavariávelconsolidadojul[[#Headers],[20]],tabela_registros[REGISTRO],DADOS!$N$5,tabela_registros[TIPO],DADOS!$AB$4,tabela_registros[CATEGORIA],investirrendavariávelconsolidadojul[[#This Row],[ATUAL]])</f>
        <v>0</v>
      </c>
      <c r="Y135" s="119" t="n">
        <f aca="false">SUMIFS(tabela_registros[VALOR],tabela_registros[MÊS],$AE$1,tabela_registros[DIA],investirrendavariávelconsolidadojul[[#Headers],[21]],tabela_registros[REGISTRO],DADOS!$N$5,tabela_registros[TIPO],DADOS!$AB$4,tabela_registros[CATEGORIA],investirrendavariávelconsolidadojul[[#This Row],[ATUAL]])</f>
        <v>0</v>
      </c>
      <c r="Z135" s="119" t="n">
        <f aca="false">SUMIFS(tabela_registros[VALOR],tabela_registros[MÊS],$AE$1,tabela_registros[DIA],investirrendavariávelconsolidadojul[[#Headers],[22]],tabela_registros[REGISTRO],DADOS!$N$5,tabela_registros[TIPO],DADOS!$AB$4,tabela_registros[CATEGORIA],investirrendavariávelconsolidadojul[[#This Row],[ATUAL]])</f>
        <v>0</v>
      </c>
      <c r="AA135" s="119" t="n">
        <f aca="false">SUMIFS(tabela_registros[VALOR],tabela_registros[MÊS],$AE$1,tabela_registros[DIA],investirrendavariávelconsolidadojul[[#Headers],[23]],tabela_registros[REGISTRO],DADOS!$N$5,tabela_registros[TIPO],DADOS!$AB$4,tabela_registros[CATEGORIA],investirrendavariávelconsolidadojul[[#This Row],[ATUAL]])</f>
        <v>0</v>
      </c>
      <c r="AB135" s="119" t="n">
        <f aca="false">SUMIFS(tabela_registros[VALOR],tabela_registros[MÊS],$AE$1,tabela_registros[DIA],investirrendavariávelconsolidadojul[[#Headers],[24]],tabela_registros[REGISTRO],DADOS!$N$5,tabela_registros[TIPO],DADOS!$AB$4,tabela_registros[CATEGORIA],investirrendavariávelconsolidadojul[[#This Row],[ATUAL]])</f>
        <v>0</v>
      </c>
      <c r="AC135" s="119" t="n">
        <f aca="false">SUMIFS(tabela_registros[VALOR],tabela_registros[MÊS],$AE$1,tabela_registros[DIA],investirrendavariávelconsolidadojul[[#Headers],[25]],tabela_registros[REGISTRO],DADOS!$N$5,tabela_registros[TIPO],DADOS!$AB$4,tabela_registros[CATEGORIA],investirrendavariávelconsolidadojul[[#This Row],[ATUAL]])</f>
        <v>0</v>
      </c>
      <c r="AD135" s="119" t="n">
        <f aca="false">SUMIFS(tabela_registros[VALOR],tabela_registros[MÊS],$AE$1,tabela_registros[DIA],investirrendavariávelconsolidadojul[[#Headers],[26]],tabela_registros[REGISTRO],DADOS!$N$5,tabela_registros[TIPO],DADOS!$AB$4,tabela_registros[CATEGORIA],investirrendavariávelconsolidadojul[[#This Row],[ATUAL]])</f>
        <v>0</v>
      </c>
      <c r="AE135" s="119" t="n">
        <f aca="false">SUMIFS(tabela_registros[VALOR],tabela_registros[MÊS],$AE$1,tabela_registros[DIA],investirrendavariávelconsolidadojul[[#Headers],[27]],tabela_registros[REGISTRO],DADOS!$N$5,tabela_registros[TIPO],DADOS!$AB$4,tabela_registros[CATEGORIA],investirrendavariávelconsolidadojul[[#This Row],[ATUAL]])</f>
        <v>0</v>
      </c>
      <c r="AF135" s="119" t="n">
        <f aca="false">SUMIFS(tabela_registros[VALOR],tabela_registros[MÊS],$AE$1,tabela_registros[DIA],investirrendavariávelconsolidadojul[[#Headers],[28]],tabela_registros[REGISTRO],DADOS!$N$5,tabela_registros[TIPO],DADOS!$AB$4,tabela_registros[CATEGORIA],investirrendavariávelconsolidadojul[[#This Row],[ATUAL]])</f>
        <v>0</v>
      </c>
      <c r="AG135" s="119" t="n">
        <f aca="false">SUMIFS(tabela_registros[VALOR],tabela_registros[MÊS],$AE$1,tabela_registros[DIA],investirrendavariávelconsolidadojul[[#Headers],[29]],tabela_registros[REGISTRO],DADOS!$N$5,tabela_registros[TIPO],DADOS!$AB$4,tabela_registros[CATEGORIA],investirrendavariávelconsolidadojul[[#This Row],[ATUAL]])</f>
        <v>0</v>
      </c>
      <c r="AH135" s="119" t="n">
        <f aca="false">SUMIFS(tabela_registros[VALOR],tabela_registros[MÊS],$AE$1,tabela_registros[DIA],investirrendavariávelconsolidadojul[[#Headers],[30]],tabela_registros[REGISTRO],DADOS!$N$5,tabela_registros[TIPO],DADOS!$AB$4,tabela_registros[CATEGORIA],investirrendavariávelconsolidadojul[[#This Row],[ATUAL]])</f>
        <v>0</v>
      </c>
      <c r="AI135" s="217" t="n">
        <f aca="false">SUMIFS(tabela_registros[VALOR],tabela_registros[MÊS],$AE$1,tabela_registros[DIA],investirrendavariávelconsolidadojul[[#Headers],[31]],tabela_registros[REGISTRO],DADOS!$N$5,tabela_registros[TIPO],DADOS!$AB$4,tabela_registros[CATEGORIA],investirrendavariávelconsolidadojul[[#This Row],[ATUAL]])</f>
        <v>0</v>
      </c>
      <c r="AJ135" s="149" t="n">
        <f aca="false">SUM(investirrendavariávelconsolidadojul[[#This Row],[1]:[31]])</f>
        <v>0</v>
      </c>
      <c r="AK135" s="165"/>
    </row>
    <row r="136" customFormat="false" ht="19.5" hidden="false" customHeight="true" outlineLevel="0" collapsed="false">
      <c r="B136" s="143"/>
      <c r="C136" s="144" t="str">
        <f aca="false">DADOS!$AF$7</f>
        <v>📝 CRIPTOMOEDA</v>
      </c>
      <c r="D136" s="145" t="str">
        <f aca="false">IF(investirrendavariávelconsolidadojul[[#This Row],[TOTAL (R$)]]=0,"",IF(OR(investirrendavariávelconsolidadojul[[#This Row],[TOTAL (R$)]]=LARGE($AJ$132:$AJ$141,1),investirrendavariávelconsolidadojul[[#This Row],[TOTAL (R$)]]=LARGE($AJ$132:$AJ$141,2)),DADOS!$I$10,""))</f>
        <v/>
      </c>
      <c r="E136" s="148" t="n">
        <f aca="false">SUMIFS(tabela_registros[VALOR],tabela_registros[MÊS],$AE$1,tabela_registros[DIA],investirrendavariávelconsolidadojul[[#Headers],[1]],tabela_registros[REGISTRO],DADOS!$N$5,tabela_registros[TIPO],DADOS!$AB$4,tabela_registros[CATEGORIA],investirrendavariávelconsolidadojul[[#This Row],[ATUAL]])</f>
        <v>0</v>
      </c>
      <c r="F136" s="119" t="n">
        <f aca="false">SUMIFS(tabela_registros[VALOR],tabela_registros[MÊS],$AE$1,tabela_registros[DIA],investirrendavariávelconsolidadojul[[#Headers],[2]],tabela_registros[REGISTRO],DADOS!$N$5,tabela_registros[TIPO],DADOS!$AB$4,tabela_registros[CATEGORIA],investirrendavariávelconsolidadojul[[#This Row],[ATUAL]])</f>
        <v>0</v>
      </c>
      <c r="G136" s="119" t="n">
        <f aca="false">SUMIFS(tabela_registros[VALOR],tabela_registros[MÊS],$AE$1,tabela_registros[DIA],investirrendavariávelconsolidadojul[[#Headers],[3]],tabela_registros[REGISTRO],DADOS!$N$5,tabela_registros[TIPO],DADOS!$AB$4,tabela_registros[CATEGORIA],investirrendavariávelconsolidadojul[[#This Row],[ATUAL]])</f>
        <v>0</v>
      </c>
      <c r="H136" s="119" t="n">
        <f aca="false">SUMIFS(tabela_registros[VALOR],tabela_registros[MÊS],$AE$1,tabela_registros[DIA],investirrendavariávelconsolidadojul[[#Headers],[4]],tabela_registros[REGISTRO],DADOS!$N$5,tabela_registros[TIPO],DADOS!$AB$4,tabela_registros[CATEGORIA],investirrendavariávelconsolidadojul[[#This Row],[ATUAL]])</f>
        <v>0</v>
      </c>
      <c r="I136" s="119" t="n">
        <f aca="false">SUMIFS(tabela_registros[VALOR],tabela_registros[MÊS],$AE$1,tabela_registros[DIA],investirrendavariávelconsolidadojul[[#Headers],[5]],tabela_registros[REGISTRO],DADOS!$N$5,tabela_registros[TIPO],DADOS!$AB$4,tabela_registros[CATEGORIA],investirrendavariávelconsolidadojul[[#This Row],[ATUAL]])</f>
        <v>0</v>
      </c>
      <c r="J136" s="119" t="n">
        <f aca="false">SUMIFS(tabela_registros[VALOR],tabela_registros[MÊS],$AE$1,tabela_registros[DIA],investirrendavariávelconsolidadojul[[#Headers],[6]],tabela_registros[REGISTRO],DADOS!$N$5,tabela_registros[TIPO],DADOS!$AB$4,tabela_registros[CATEGORIA],investirrendavariávelconsolidadojul[[#This Row],[ATUAL]])</f>
        <v>0</v>
      </c>
      <c r="K136" s="119" t="n">
        <f aca="false">SUMIFS(tabela_registros[VALOR],tabela_registros[MÊS],$AE$1,tabela_registros[DIA],investirrendavariávelconsolidadojul[[#Headers],[7]],tabela_registros[REGISTRO],DADOS!$N$5,tabela_registros[TIPO],DADOS!$AB$4,tabela_registros[CATEGORIA],investirrendavariávelconsolidadojul[[#This Row],[ATUAL]])</f>
        <v>0</v>
      </c>
      <c r="L136" s="119" t="n">
        <f aca="false">SUMIFS(tabela_registros[VALOR],tabela_registros[MÊS],$AE$1,tabela_registros[DIA],investirrendavariávelconsolidadojul[[#Headers],[8]],tabela_registros[REGISTRO],DADOS!$N$5,tabela_registros[TIPO],DADOS!$AB$4,tabela_registros[CATEGORIA],investirrendavariávelconsolidadojul[[#This Row],[ATUAL]])</f>
        <v>0</v>
      </c>
      <c r="M136" s="119" t="n">
        <f aca="false">SUMIFS(tabela_registros[VALOR],tabela_registros[MÊS],$AE$1,tabela_registros[DIA],investirrendavariávelconsolidadojul[[#Headers],[9]],tabela_registros[REGISTRO],DADOS!$N$5,tabela_registros[TIPO],DADOS!$AB$4,tabela_registros[CATEGORIA],investirrendavariávelconsolidadojul[[#This Row],[ATUAL]])</f>
        <v>0</v>
      </c>
      <c r="N136" s="119" t="n">
        <f aca="false">SUMIFS(tabela_registros[VALOR],tabela_registros[MÊS],$AE$1,tabela_registros[DIA],investirrendavariávelconsolidadojul[[#Headers],[10]],tabela_registros[REGISTRO],DADOS!$N$5,tabela_registros[TIPO],DADOS!$AB$4,tabela_registros[CATEGORIA],investirrendavariávelconsolidadojul[[#This Row],[ATUAL]])</f>
        <v>0</v>
      </c>
      <c r="O136" s="119" t="n">
        <f aca="false">SUMIFS(tabela_registros[VALOR],tabela_registros[MÊS],$AE$1,tabela_registros[DIA],investirrendavariávelconsolidadojul[[#Headers],[11]],tabela_registros[REGISTRO],DADOS!$N$5,tabela_registros[TIPO],DADOS!$AB$4,tabela_registros[CATEGORIA],investirrendavariávelconsolidadojul[[#This Row],[ATUAL]])</f>
        <v>0</v>
      </c>
      <c r="P136" s="119" t="n">
        <f aca="false">SUMIFS(tabela_registros[VALOR],tabela_registros[MÊS],$AE$1,tabela_registros[DIA],investirrendavariávelconsolidadojul[[#Headers],[12]],tabela_registros[REGISTRO],DADOS!$N$5,tabela_registros[TIPO],DADOS!$AB$4,tabela_registros[CATEGORIA],investirrendavariávelconsolidadojul[[#This Row],[ATUAL]])</f>
        <v>0</v>
      </c>
      <c r="Q136" s="119" t="n">
        <f aca="false">SUMIFS(tabela_registros[VALOR],tabela_registros[MÊS],$AE$1,tabela_registros[DIA],investirrendavariávelconsolidadojul[[#Headers],[13]],tabela_registros[REGISTRO],DADOS!$N$5,tabela_registros[TIPO],DADOS!$AB$4,tabela_registros[CATEGORIA],investirrendavariávelconsolidadojul[[#This Row],[ATUAL]])</f>
        <v>0</v>
      </c>
      <c r="R136" s="119" t="n">
        <f aca="false">SUMIFS(tabela_registros[VALOR],tabela_registros[MÊS],$AE$1,tabela_registros[DIA],investirrendavariávelconsolidadojul[[#Headers],[14]],tabela_registros[REGISTRO],DADOS!$N$5,tabela_registros[TIPO],DADOS!$AB$4,tabela_registros[CATEGORIA],investirrendavariávelconsolidadojul[[#This Row],[ATUAL]])</f>
        <v>0</v>
      </c>
      <c r="S136" s="119" t="n">
        <f aca="false">SUMIFS(tabela_registros[VALOR],tabela_registros[MÊS],$AE$1,tabela_registros[DIA],investirrendavariávelconsolidadojul[[#Headers],[15]],tabela_registros[REGISTRO],DADOS!$N$5,tabela_registros[TIPO],DADOS!$AB$4,tabela_registros[CATEGORIA],investirrendavariávelconsolidadojul[[#This Row],[ATUAL]])</f>
        <v>0</v>
      </c>
      <c r="T136" s="119" t="n">
        <f aca="false">SUMIFS(tabela_registros[VALOR],tabela_registros[MÊS],$AE$1,tabela_registros[DIA],investirrendavariávelconsolidadojul[[#Headers],[16]],tabela_registros[REGISTRO],DADOS!$N$5,tabela_registros[TIPO],DADOS!$AB$4,tabela_registros[CATEGORIA],investirrendavariávelconsolidadojul[[#This Row],[ATUAL]])</f>
        <v>0</v>
      </c>
      <c r="U136" s="119" t="n">
        <f aca="false">SUMIFS(tabela_registros[VALOR],tabela_registros[MÊS],$AE$1,tabela_registros[DIA],investirrendavariávelconsolidadojul[[#Headers],[17]],tabela_registros[REGISTRO],DADOS!$N$5,tabela_registros[TIPO],DADOS!$AB$4,tabela_registros[CATEGORIA],investirrendavariávelconsolidadojul[[#This Row],[ATUAL]])</f>
        <v>0</v>
      </c>
      <c r="V136" s="119" t="n">
        <f aca="false">SUMIFS(tabela_registros[VALOR],tabela_registros[MÊS],$AE$1,tabela_registros[DIA],investirrendavariávelconsolidadojul[[#Headers],[18]],tabela_registros[REGISTRO],DADOS!$N$5,tabela_registros[TIPO],DADOS!$AB$4,tabela_registros[CATEGORIA],investirrendavariávelconsolidadojul[[#This Row],[ATUAL]])</f>
        <v>0</v>
      </c>
      <c r="W136" s="119" t="n">
        <f aca="false">SUMIFS(tabela_registros[VALOR],tabela_registros[MÊS],$AE$1,tabela_registros[DIA],investirrendavariávelconsolidadojul[[#Headers],[19]],tabela_registros[REGISTRO],DADOS!$N$5,tabela_registros[TIPO],DADOS!$AB$4,tabela_registros[CATEGORIA],investirrendavariávelconsolidadojul[[#This Row],[ATUAL]])</f>
        <v>0</v>
      </c>
      <c r="X136" s="119" t="n">
        <f aca="false">SUMIFS(tabela_registros[VALOR],tabela_registros[MÊS],$AE$1,tabela_registros[DIA],investirrendavariávelconsolidadojul[[#Headers],[20]],tabela_registros[REGISTRO],DADOS!$N$5,tabela_registros[TIPO],DADOS!$AB$4,tabela_registros[CATEGORIA],investirrendavariávelconsolidadojul[[#This Row],[ATUAL]])</f>
        <v>0</v>
      </c>
      <c r="Y136" s="119" t="n">
        <f aca="false">SUMIFS(tabela_registros[VALOR],tabela_registros[MÊS],$AE$1,tabela_registros[DIA],investirrendavariávelconsolidadojul[[#Headers],[21]],tabela_registros[REGISTRO],DADOS!$N$5,tabela_registros[TIPO],DADOS!$AB$4,tabela_registros[CATEGORIA],investirrendavariávelconsolidadojul[[#This Row],[ATUAL]])</f>
        <v>0</v>
      </c>
      <c r="Z136" s="119" t="n">
        <f aca="false">SUMIFS(tabela_registros[VALOR],tabela_registros[MÊS],$AE$1,tabela_registros[DIA],investirrendavariávelconsolidadojul[[#Headers],[22]],tabela_registros[REGISTRO],DADOS!$N$5,tabela_registros[TIPO],DADOS!$AB$4,tabela_registros[CATEGORIA],investirrendavariávelconsolidadojul[[#This Row],[ATUAL]])</f>
        <v>0</v>
      </c>
      <c r="AA136" s="119" t="n">
        <f aca="false">SUMIFS(tabela_registros[VALOR],tabela_registros[MÊS],$AE$1,tabela_registros[DIA],investirrendavariávelconsolidadojul[[#Headers],[23]],tabela_registros[REGISTRO],DADOS!$N$5,tabela_registros[TIPO],DADOS!$AB$4,tabela_registros[CATEGORIA],investirrendavariávelconsolidadojul[[#This Row],[ATUAL]])</f>
        <v>0</v>
      </c>
      <c r="AB136" s="119" t="n">
        <f aca="false">SUMIFS(tabela_registros[VALOR],tabela_registros[MÊS],$AE$1,tabela_registros[DIA],investirrendavariávelconsolidadojul[[#Headers],[24]],tabela_registros[REGISTRO],DADOS!$N$5,tabela_registros[TIPO],DADOS!$AB$4,tabela_registros[CATEGORIA],investirrendavariávelconsolidadojul[[#This Row],[ATUAL]])</f>
        <v>0</v>
      </c>
      <c r="AC136" s="119" t="n">
        <f aca="false">SUMIFS(tabela_registros[VALOR],tabela_registros[MÊS],$AE$1,tabela_registros[DIA],investirrendavariávelconsolidadojul[[#Headers],[25]],tabela_registros[REGISTRO],DADOS!$N$5,tabela_registros[TIPO],DADOS!$AB$4,tabela_registros[CATEGORIA],investirrendavariávelconsolidadojul[[#This Row],[ATUAL]])</f>
        <v>0</v>
      </c>
      <c r="AD136" s="119" t="n">
        <f aca="false">SUMIFS(tabela_registros[VALOR],tabela_registros[MÊS],$AE$1,tabela_registros[DIA],investirrendavariávelconsolidadojul[[#Headers],[26]],tabela_registros[REGISTRO],DADOS!$N$5,tabela_registros[TIPO],DADOS!$AB$4,tabela_registros[CATEGORIA],investirrendavariávelconsolidadojul[[#This Row],[ATUAL]])</f>
        <v>0</v>
      </c>
      <c r="AE136" s="119" t="n">
        <f aca="false">SUMIFS(tabela_registros[VALOR],tabela_registros[MÊS],$AE$1,tabela_registros[DIA],investirrendavariávelconsolidadojul[[#Headers],[27]],tabela_registros[REGISTRO],DADOS!$N$5,tabela_registros[TIPO],DADOS!$AB$4,tabela_registros[CATEGORIA],investirrendavariávelconsolidadojul[[#This Row],[ATUAL]])</f>
        <v>0</v>
      </c>
      <c r="AF136" s="119" t="n">
        <f aca="false">SUMIFS(tabela_registros[VALOR],tabela_registros[MÊS],$AE$1,tabela_registros[DIA],investirrendavariávelconsolidadojul[[#Headers],[28]],tabela_registros[REGISTRO],DADOS!$N$5,tabela_registros[TIPO],DADOS!$AB$4,tabela_registros[CATEGORIA],investirrendavariávelconsolidadojul[[#This Row],[ATUAL]])</f>
        <v>0</v>
      </c>
      <c r="AG136" s="119" t="n">
        <f aca="false">SUMIFS(tabela_registros[VALOR],tabela_registros[MÊS],$AE$1,tabela_registros[DIA],investirrendavariávelconsolidadojul[[#Headers],[29]],tabela_registros[REGISTRO],DADOS!$N$5,tabela_registros[TIPO],DADOS!$AB$4,tabela_registros[CATEGORIA],investirrendavariávelconsolidadojul[[#This Row],[ATUAL]])</f>
        <v>0</v>
      </c>
      <c r="AH136" s="119" t="n">
        <f aca="false">SUMIFS(tabela_registros[VALOR],tabela_registros[MÊS],$AE$1,tabela_registros[DIA],investirrendavariávelconsolidadojul[[#Headers],[30]],tabela_registros[REGISTRO],DADOS!$N$5,tabela_registros[TIPO],DADOS!$AB$4,tabela_registros[CATEGORIA],investirrendavariávelconsolidadojul[[#This Row],[ATUAL]])</f>
        <v>0</v>
      </c>
      <c r="AI136" s="217" t="n">
        <f aca="false">SUMIFS(tabela_registros[VALOR],tabela_registros[MÊS],$AE$1,tabela_registros[DIA],investirrendavariávelconsolidadojul[[#Headers],[31]],tabela_registros[REGISTRO],DADOS!$N$5,tabela_registros[TIPO],DADOS!$AB$4,tabela_registros[CATEGORIA],investirrendavariávelconsolidadojul[[#This Row],[ATUAL]])</f>
        <v>0</v>
      </c>
      <c r="AJ136" s="237" t="n">
        <f aca="false">SUM(investirrendavariávelconsolidadojul[[#This Row],[1]:[31]])</f>
        <v>0</v>
      </c>
      <c r="AK136" s="165"/>
    </row>
    <row r="137" customFormat="false" ht="19.5" hidden="false" customHeight="true" outlineLevel="0" collapsed="false">
      <c r="B137" s="143"/>
      <c r="C137" s="144" t="str">
        <f aca="false">DADOS!$AF$8</f>
        <v>📝 ETF</v>
      </c>
      <c r="D137" s="145" t="str">
        <f aca="false">IF(investirrendavariávelconsolidadojul[[#This Row],[TOTAL (R$)]]=0,"",IF(OR(investirrendavariávelconsolidadojul[[#This Row],[TOTAL (R$)]]=LARGE($AJ$132:$AJ$141,1),investirrendavariávelconsolidadojul[[#This Row],[TOTAL (R$)]]=LARGE($AJ$132:$AJ$141,2)),DADOS!$I$10,""))</f>
        <v/>
      </c>
      <c r="E137" s="148" t="n">
        <f aca="false">SUMIFS(tabela_registros[VALOR],tabela_registros[MÊS],$AE$1,tabela_registros[DIA],investirrendavariávelconsolidadojul[[#Headers],[1]],tabela_registros[REGISTRO],DADOS!$N$5,tabela_registros[TIPO],DADOS!$AB$4,tabela_registros[CATEGORIA],investirrendavariávelconsolidadojul[[#This Row],[ATUAL]])</f>
        <v>0</v>
      </c>
      <c r="F137" s="119" t="n">
        <f aca="false">SUMIFS(tabela_registros[VALOR],tabela_registros[MÊS],$AE$1,tabela_registros[DIA],investirrendavariávelconsolidadojul[[#Headers],[2]],tabela_registros[REGISTRO],DADOS!$N$5,tabela_registros[TIPO],DADOS!$AB$4,tabela_registros[CATEGORIA],investirrendavariávelconsolidadojul[[#This Row],[ATUAL]])</f>
        <v>0</v>
      </c>
      <c r="G137" s="119" t="n">
        <f aca="false">SUMIFS(tabela_registros[VALOR],tabela_registros[MÊS],$AE$1,tabela_registros[DIA],investirrendavariávelconsolidadojul[[#Headers],[3]],tabela_registros[REGISTRO],DADOS!$N$5,tabela_registros[TIPO],DADOS!$AB$4,tabela_registros[CATEGORIA],investirrendavariávelconsolidadojul[[#This Row],[ATUAL]])</f>
        <v>0</v>
      </c>
      <c r="H137" s="119" t="n">
        <f aca="false">SUMIFS(tabela_registros[VALOR],tabela_registros[MÊS],$AE$1,tabela_registros[DIA],investirrendavariávelconsolidadojul[[#Headers],[4]],tabela_registros[REGISTRO],DADOS!$N$5,tabela_registros[TIPO],DADOS!$AB$4,tabela_registros[CATEGORIA],investirrendavariávelconsolidadojul[[#This Row],[ATUAL]])</f>
        <v>0</v>
      </c>
      <c r="I137" s="119" t="n">
        <f aca="false">SUMIFS(tabela_registros[VALOR],tabela_registros[MÊS],$AE$1,tabela_registros[DIA],investirrendavariávelconsolidadojul[[#Headers],[5]],tabela_registros[REGISTRO],DADOS!$N$5,tabela_registros[TIPO],DADOS!$AB$4,tabela_registros[CATEGORIA],investirrendavariávelconsolidadojul[[#This Row],[ATUAL]])</f>
        <v>0</v>
      </c>
      <c r="J137" s="119" t="n">
        <f aca="false">SUMIFS(tabela_registros[VALOR],tabela_registros[MÊS],$AE$1,tabela_registros[DIA],investirrendavariávelconsolidadojul[[#Headers],[6]],tabela_registros[REGISTRO],DADOS!$N$5,tabela_registros[TIPO],DADOS!$AB$4,tabela_registros[CATEGORIA],investirrendavariávelconsolidadojul[[#This Row],[ATUAL]])</f>
        <v>0</v>
      </c>
      <c r="K137" s="119" t="n">
        <f aca="false">SUMIFS(tabela_registros[VALOR],tabela_registros[MÊS],$AE$1,tabela_registros[DIA],investirrendavariávelconsolidadojul[[#Headers],[7]],tabela_registros[REGISTRO],DADOS!$N$5,tabela_registros[TIPO],DADOS!$AB$4,tabela_registros[CATEGORIA],investirrendavariávelconsolidadojul[[#This Row],[ATUAL]])</f>
        <v>0</v>
      </c>
      <c r="L137" s="119" t="n">
        <f aca="false">SUMIFS(tabela_registros[VALOR],tabela_registros[MÊS],$AE$1,tabela_registros[DIA],investirrendavariávelconsolidadojul[[#Headers],[8]],tabela_registros[REGISTRO],DADOS!$N$5,tabela_registros[TIPO],DADOS!$AB$4,tabela_registros[CATEGORIA],investirrendavariávelconsolidadojul[[#This Row],[ATUAL]])</f>
        <v>0</v>
      </c>
      <c r="M137" s="119" t="n">
        <f aca="false">SUMIFS(tabela_registros[VALOR],tabela_registros[MÊS],$AE$1,tabela_registros[DIA],investirrendavariávelconsolidadojul[[#Headers],[9]],tabela_registros[REGISTRO],DADOS!$N$5,tabela_registros[TIPO],DADOS!$AB$4,tabela_registros[CATEGORIA],investirrendavariávelconsolidadojul[[#This Row],[ATUAL]])</f>
        <v>0</v>
      </c>
      <c r="N137" s="119" t="n">
        <f aca="false">SUMIFS(tabela_registros[VALOR],tabela_registros[MÊS],$AE$1,tabela_registros[DIA],investirrendavariávelconsolidadojul[[#Headers],[10]],tabela_registros[REGISTRO],DADOS!$N$5,tabela_registros[TIPO],DADOS!$AB$4,tabela_registros[CATEGORIA],investirrendavariávelconsolidadojul[[#This Row],[ATUAL]])</f>
        <v>0</v>
      </c>
      <c r="O137" s="119" t="n">
        <f aca="false">SUMIFS(tabela_registros[VALOR],tabela_registros[MÊS],$AE$1,tabela_registros[DIA],investirrendavariávelconsolidadojul[[#Headers],[11]],tabela_registros[REGISTRO],DADOS!$N$5,tabela_registros[TIPO],DADOS!$AB$4,tabela_registros[CATEGORIA],investirrendavariávelconsolidadojul[[#This Row],[ATUAL]])</f>
        <v>0</v>
      </c>
      <c r="P137" s="119" t="n">
        <f aca="false">SUMIFS(tabela_registros[VALOR],tabela_registros[MÊS],$AE$1,tabela_registros[DIA],investirrendavariávelconsolidadojul[[#Headers],[12]],tabela_registros[REGISTRO],DADOS!$N$5,tabela_registros[TIPO],DADOS!$AB$4,tabela_registros[CATEGORIA],investirrendavariávelconsolidadojul[[#This Row],[ATUAL]])</f>
        <v>0</v>
      </c>
      <c r="Q137" s="119" t="n">
        <f aca="false">SUMIFS(tabela_registros[VALOR],tabela_registros[MÊS],$AE$1,tabela_registros[DIA],investirrendavariávelconsolidadojul[[#Headers],[13]],tabela_registros[REGISTRO],DADOS!$N$5,tabela_registros[TIPO],DADOS!$AB$4,tabela_registros[CATEGORIA],investirrendavariávelconsolidadojul[[#This Row],[ATUAL]])</f>
        <v>0</v>
      </c>
      <c r="R137" s="119" t="n">
        <f aca="false">SUMIFS(tabela_registros[VALOR],tabela_registros[MÊS],$AE$1,tabela_registros[DIA],investirrendavariávelconsolidadojul[[#Headers],[14]],tabela_registros[REGISTRO],DADOS!$N$5,tabela_registros[TIPO],DADOS!$AB$4,tabela_registros[CATEGORIA],investirrendavariávelconsolidadojul[[#This Row],[ATUAL]])</f>
        <v>0</v>
      </c>
      <c r="S137" s="119" t="n">
        <f aca="false">SUMIFS(tabela_registros[VALOR],tabela_registros[MÊS],$AE$1,tabela_registros[DIA],investirrendavariávelconsolidadojul[[#Headers],[15]],tabela_registros[REGISTRO],DADOS!$N$5,tabela_registros[TIPO],DADOS!$AB$4,tabela_registros[CATEGORIA],investirrendavariávelconsolidadojul[[#This Row],[ATUAL]])</f>
        <v>0</v>
      </c>
      <c r="T137" s="119" t="n">
        <f aca="false">SUMIFS(tabela_registros[VALOR],tabela_registros[MÊS],$AE$1,tabela_registros[DIA],investirrendavariávelconsolidadojul[[#Headers],[16]],tabela_registros[REGISTRO],DADOS!$N$5,tabela_registros[TIPO],DADOS!$AB$4,tabela_registros[CATEGORIA],investirrendavariávelconsolidadojul[[#This Row],[ATUAL]])</f>
        <v>0</v>
      </c>
      <c r="U137" s="119" t="n">
        <f aca="false">SUMIFS(tabela_registros[VALOR],tabela_registros[MÊS],$AE$1,tabela_registros[DIA],investirrendavariávelconsolidadojul[[#Headers],[17]],tabela_registros[REGISTRO],DADOS!$N$5,tabela_registros[TIPO],DADOS!$AB$4,tabela_registros[CATEGORIA],investirrendavariávelconsolidadojul[[#This Row],[ATUAL]])</f>
        <v>0</v>
      </c>
      <c r="V137" s="119" t="n">
        <f aca="false">SUMIFS(tabela_registros[VALOR],tabela_registros[MÊS],$AE$1,tabela_registros[DIA],investirrendavariávelconsolidadojul[[#Headers],[18]],tabela_registros[REGISTRO],DADOS!$N$5,tabela_registros[TIPO],DADOS!$AB$4,tabela_registros[CATEGORIA],investirrendavariávelconsolidadojul[[#This Row],[ATUAL]])</f>
        <v>0</v>
      </c>
      <c r="W137" s="119" t="n">
        <f aca="false">SUMIFS(tabela_registros[VALOR],tabela_registros[MÊS],$AE$1,tabela_registros[DIA],investirrendavariávelconsolidadojul[[#Headers],[19]],tabela_registros[REGISTRO],DADOS!$N$5,tabela_registros[TIPO],DADOS!$AB$4,tabela_registros[CATEGORIA],investirrendavariávelconsolidadojul[[#This Row],[ATUAL]])</f>
        <v>0</v>
      </c>
      <c r="X137" s="119" t="n">
        <f aca="false">SUMIFS(tabela_registros[VALOR],tabela_registros[MÊS],$AE$1,tabela_registros[DIA],investirrendavariávelconsolidadojul[[#Headers],[20]],tabela_registros[REGISTRO],DADOS!$N$5,tabela_registros[TIPO],DADOS!$AB$4,tabela_registros[CATEGORIA],investirrendavariávelconsolidadojul[[#This Row],[ATUAL]])</f>
        <v>0</v>
      </c>
      <c r="Y137" s="119" t="n">
        <f aca="false">SUMIFS(tabela_registros[VALOR],tabela_registros[MÊS],$AE$1,tabela_registros[DIA],investirrendavariávelconsolidadojul[[#Headers],[21]],tabela_registros[REGISTRO],DADOS!$N$5,tabela_registros[TIPO],DADOS!$AB$4,tabela_registros[CATEGORIA],investirrendavariávelconsolidadojul[[#This Row],[ATUAL]])</f>
        <v>0</v>
      </c>
      <c r="Z137" s="119" t="n">
        <f aca="false">SUMIFS(tabela_registros[VALOR],tabela_registros[MÊS],$AE$1,tabela_registros[DIA],investirrendavariávelconsolidadojul[[#Headers],[22]],tabela_registros[REGISTRO],DADOS!$N$5,tabela_registros[TIPO],DADOS!$AB$4,tabela_registros[CATEGORIA],investirrendavariávelconsolidadojul[[#This Row],[ATUAL]])</f>
        <v>0</v>
      </c>
      <c r="AA137" s="119" t="n">
        <f aca="false">SUMIFS(tabela_registros[VALOR],tabela_registros[MÊS],$AE$1,tabela_registros[DIA],investirrendavariávelconsolidadojul[[#Headers],[23]],tabela_registros[REGISTRO],DADOS!$N$5,tabela_registros[TIPO],DADOS!$AB$4,tabela_registros[CATEGORIA],investirrendavariávelconsolidadojul[[#This Row],[ATUAL]])</f>
        <v>0</v>
      </c>
      <c r="AB137" s="119" t="n">
        <f aca="false">SUMIFS(tabela_registros[VALOR],tabela_registros[MÊS],$AE$1,tabela_registros[DIA],investirrendavariávelconsolidadojul[[#Headers],[24]],tabela_registros[REGISTRO],DADOS!$N$5,tabela_registros[TIPO],DADOS!$AB$4,tabela_registros[CATEGORIA],investirrendavariávelconsolidadojul[[#This Row],[ATUAL]])</f>
        <v>0</v>
      </c>
      <c r="AC137" s="119" t="n">
        <f aca="false">SUMIFS(tabela_registros[VALOR],tabela_registros[MÊS],$AE$1,tabela_registros[DIA],investirrendavariávelconsolidadojul[[#Headers],[25]],tabela_registros[REGISTRO],DADOS!$N$5,tabela_registros[TIPO],DADOS!$AB$4,tabela_registros[CATEGORIA],investirrendavariávelconsolidadojul[[#This Row],[ATUAL]])</f>
        <v>0</v>
      </c>
      <c r="AD137" s="119" t="n">
        <f aca="false">SUMIFS(tabela_registros[VALOR],tabela_registros[MÊS],$AE$1,tabela_registros[DIA],investirrendavariávelconsolidadojul[[#Headers],[26]],tabela_registros[REGISTRO],DADOS!$N$5,tabela_registros[TIPO],DADOS!$AB$4,tabela_registros[CATEGORIA],investirrendavariávelconsolidadojul[[#This Row],[ATUAL]])</f>
        <v>0</v>
      </c>
      <c r="AE137" s="119" t="n">
        <f aca="false">SUMIFS(tabela_registros[VALOR],tabela_registros[MÊS],$AE$1,tabela_registros[DIA],investirrendavariávelconsolidadojul[[#Headers],[27]],tabela_registros[REGISTRO],DADOS!$N$5,tabela_registros[TIPO],DADOS!$AB$4,tabela_registros[CATEGORIA],investirrendavariávelconsolidadojul[[#This Row],[ATUAL]])</f>
        <v>0</v>
      </c>
      <c r="AF137" s="119" t="n">
        <f aca="false">SUMIFS(tabela_registros[VALOR],tabela_registros[MÊS],$AE$1,tabela_registros[DIA],investirrendavariávelconsolidadojul[[#Headers],[28]],tabela_registros[REGISTRO],DADOS!$N$5,tabela_registros[TIPO],DADOS!$AB$4,tabela_registros[CATEGORIA],investirrendavariávelconsolidadojul[[#This Row],[ATUAL]])</f>
        <v>0</v>
      </c>
      <c r="AG137" s="119" t="n">
        <f aca="false">SUMIFS(tabela_registros[VALOR],tabela_registros[MÊS],$AE$1,tabela_registros[DIA],investirrendavariávelconsolidadojul[[#Headers],[29]],tabela_registros[REGISTRO],DADOS!$N$5,tabela_registros[TIPO],DADOS!$AB$4,tabela_registros[CATEGORIA],investirrendavariávelconsolidadojul[[#This Row],[ATUAL]])</f>
        <v>0</v>
      </c>
      <c r="AH137" s="119" t="n">
        <f aca="false">SUMIFS(tabela_registros[VALOR],tabela_registros[MÊS],$AE$1,tabela_registros[DIA],investirrendavariávelconsolidadojul[[#Headers],[30]],tabela_registros[REGISTRO],DADOS!$N$5,tabela_registros[TIPO],DADOS!$AB$4,tabela_registros[CATEGORIA],investirrendavariávelconsolidadojul[[#This Row],[ATUAL]])</f>
        <v>0</v>
      </c>
      <c r="AI137" s="217" t="n">
        <f aca="false">SUMIFS(tabela_registros[VALOR],tabela_registros[MÊS],$AE$1,tabela_registros[DIA],investirrendavariávelconsolidadojul[[#Headers],[31]],tabela_registros[REGISTRO],DADOS!$N$5,tabela_registros[TIPO],DADOS!$AB$4,tabela_registros[CATEGORIA],investirrendavariávelconsolidadojul[[#This Row],[ATUAL]])</f>
        <v>0</v>
      </c>
      <c r="AJ137" s="237" t="n">
        <f aca="false">SUM(investirrendavariávelconsolidadojul[[#This Row],[1]:[31]])</f>
        <v>0</v>
      </c>
      <c r="AK137" s="165"/>
    </row>
    <row r="138" customFormat="false" ht="19.5" hidden="false" customHeight="true" outlineLevel="0" collapsed="false">
      <c r="B138" s="143"/>
      <c r="C138" s="144" t="str">
        <f aca="false">DADOS!$AF$9</f>
        <v>📝 EXTERIOR</v>
      </c>
      <c r="D138" s="145" t="str">
        <f aca="false">IF(investirrendavariávelconsolidadojul[[#This Row],[TOTAL (R$)]]=0,"",IF(OR(investirrendavariávelconsolidadojul[[#This Row],[TOTAL (R$)]]=LARGE($AJ$132:$AJ$141,1),investirrendavariávelconsolidadojul[[#This Row],[TOTAL (R$)]]=LARGE($AJ$132:$AJ$141,2)),DADOS!$I$10,""))</f>
        <v/>
      </c>
      <c r="E138" s="148" t="n">
        <f aca="false">SUMIFS(tabela_registros[VALOR],tabela_registros[MÊS],$AE$1,tabela_registros[DIA],investirrendavariávelconsolidadojul[[#Headers],[1]],tabela_registros[REGISTRO],DADOS!$N$5,tabela_registros[TIPO],DADOS!$AB$4,tabela_registros[CATEGORIA],investirrendavariávelconsolidadojul[[#This Row],[ATUAL]])</f>
        <v>0</v>
      </c>
      <c r="F138" s="119" t="n">
        <f aca="false">SUMIFS(tabela_registros[VALOR],tabela_registros[MÊS],$AE$1,tabela_registros[DIA],investirrendavariávelconsolidadojul[[#Headers],[2]],tabela_registros[REGISTRO],DADOS!$N$5,tabela_registros[TIPO],DADOS!$AB$4,tabela_registros[CATEGORIA],investirrendavariávelconsolidadojul[[#This Row],[ATUAL]])</f>
        <v>0</v>
      </c>
      <c r="G138" s="119" t="n">
        <f aca="false">SUMIFS(tabela_registros[VALOR],tabela_registros[MÊS],$AE$1,tabela_registros[DIA],investirrendavariávelconsolidadojul[[#Headers],[3]],tabela_registros[REGISTRO],DADOS!$N$5,tabela_registros[TIPO],DADOS!$AB$4,tabela_registros[CATEGORIA],investirrendavariávelconsolidadojul[[#This Row],[ATUAL]])</f>
        <v>0</v>
      </c>
      <c r="H138" s="119" t="n">
        <f aca="false">SUMIFS(tabela_registros[VALOR],tabela_registros[MÊS],$AE$1,tabela_registros[DIA],investirrendavariávelconsolidadojul[[#Headers],[4]],tabela_registros[REGISTRO],DADOS!$N$5,tabela_registros[TIPO],DADOS!$AB$4,tabela_registros[CATEGORIA],investirrendavariávelconsolidadojul[[#This Row],[ATUAL]])</f>
        <v>0</v>
      </c>
      <c r="I138" s="119" t="n">
        <f aca="false">SUMIFS(tabela_registros[VALOR],tabela_registros[MÊS],$AE$1,tabela_registros[DIA],investirrendavariávelconsolidadojul[[#Headers],[5]],tabela_registros[REGISTRO],DADOS!$N$5,tabela_registros[TIPO],DADOS!$AB$4,tabela_registros[CATEGORIA],investirrendavariávelconsolidadojul[[#This Row],[ATUAL]])</f>
        <v>0</v>
      </c>
      <c r="J138" s="119" t="n">
        <f aca="false">SUMIFS(tabela_registros[VALOR],tabela_registros[MÊS],$AE$1,tabela_registros[DIA],investirrendavariávelconsolidadojul[[#Headers],[6]],tabela_registros[REGISTRO],DADOS!$N$5,tabela_registros[TIPO],DADOS!$AB$4,tabela_registros[CATEGORIA],investirrendavariávelconsolidadojul[[#This Row],[ATUAL]])</f>
        <v>0</v>
      </c>
      <c r="K138" s="119" t="n">
        <f aca="false">SUMIFS(tabela_registros[VALOR],tabela_registros[MÊS],$AE$1,tabela_registros[DIA],investirrendavariávelconsolidadojul[[#Headers],[7]],tabela_registros[REGISTRO],DADOS!$N$5,tabela_registros[TIPO],DADOS!$AB$4,tabela_registros[CATEGORIA],investirrendavariávelconsolidadojul[[#This Row],[ATUAL]])</f>
        <v>0</v>
      </c>
      <c r="L138" s="119" t="n">
        <f aca="false">SUMIFS(tabela_registros[VALOR],tabela_registros[MÊS],$AE$1,tabela_registros[DIA],investirrendavariávelconsolidadojul[[#Headers],[8]],tabela_registros[REGISTRO],DADOS!$N$5,tabela_registros[TIPO],DADOS!$AB$4,tabela_registros[CATEGORIA],investirrendavariávelconsolidadojul[[#This Row],[ATUAL]])</f>
        <v>0</v>
      </c>
      <c r="M138" s="119" t="n">
        <f aca="false">SUMIFS(tabela_registros[VALOR],tabela_registros[MÊS],$AE$1,tabela_registros[DIA],investirrendavariávelconsolidadojul[[#Headers],[9]],tabela_registros[REGISTRO],DADOS!$N$5,tabela_registros[TIPO],DADOS!$AB$4,tabela_registros[CATEGORIA],investirrendavariávelconsolidadojul[[#This Row],[ATUAL]])</f>
        <v>0</v>
      </c>
      <c r="N138" s="119" t="n">
        <f aca="false">SUMIFS(tabela_registros[VALOR],tabela_registros[MÊS],$AE$1,tabela_registros[DIA],investirrendavariávelconsolidadojul[[#Headers],[10]],tabela_registros[REGISTRO],DADOS!$N$5,tabela_registros[TIPO],DADOS!$AB$4,tabela_registros[CATEGORIA],investirrendavariávelconsolidadojul[[#This Row],[ATUAL]])</f>
        <v>0</v>
      </c>
      <c r="O138" s="119" t="n">
        <f aca="false">SUMIFS(tabela_registros[VALOR],tabela_registros[MÊS],$AE$1,tabela_registros[DIA],investirrendavariávelconsolidadojul[[#Headers],[11]],tabela_registros[REGISTRO],DADOS!$N$5,tabela_registros[TIPO],DADOS!$AB$4,tabela_registros[CATEGORIA],investirrendavariávelconsolidadojul[[#This Row],[ATUAL]])</f>
        <v>0</v>
      </c>
      <c r="P138" s="119" t="n">
        <f aca="false">SUMIFS(tabela_registros[VALOR],tabela_registros[MÊS],$AE$1,tabela_registros[DIA],investirrendavariávelconsolidadojul[[#Headers],[12]],tabela_registros[REGISTRO],DADOS!$N$5,tabela_registros[TIPO],DADOS!$AB$4,tabela_registros[CATEGORIA],investirrendavariávelconsolidadojul[[#This Row],[ATUAL]])</f>
        <v>0</v>
      </c>
      <c r="Q138" s="119" t="n">
        <f aca="false">SUMIFS(tabela_registros[VALOR],tabela_registros[MÊS],$AE$1,tabela_registros[DIA],investirrendavariávelconsolidadojul[[#Headers],[13]],tabela_registros[REGISTRO],DADOS!$N$5,tabela_registros[TIPO],DADOS!$AB$4,tabela_registros[CATEGORIA],investirrendavariávelconsolidadojul[[#This Row],[ATUAL]])</f>
        <v>0</v>
      </c>
      <c r="R138" s="119" t="n">
        <f aca="false">SUMIFS(tabela_registros[VALOR],tabela_registros[MÊS],$AE$1,tabela_registros[DIA],investirrendavariávelconsolidadojul[[#Headers],[14]],tabela_registros[REGISTRO],DADOS!$N$5,tabela_registros[TIPO],DADOS!$AB$4,tabela_registros[CATEGORIA],investirrendavariávelconsolidadojul[[#This Row],[ATUAL]])</f>
        <v>0</v>
      </c>
      <c r="S138" s="119" t="n">
        <f aca="false">SUMIFS(tabela_registros[VALOR],tabela_registros[MÊS],$AE$1,tabela_registros[DIA],investirrendavariávelconsolidadojul[[#Headers],[15]],tabela_registros[REGISTRO],DADOS!$N$5,tabela_registros[TIPO],DADOS!$AB$4,tabela_registros[CATEGORIA],investirrendavariávelconsolidadojul[[#This Row],[ATUAL]])</f>
        <v>0</v>
      </c>
      <c r="T138" s="119" t="n">
        <f aca="false">SUMIFS(tabela_registros[VALOR],tabela_registros[MÊS],$AE$1,tabela_registros[DIA],investirrendavariávelconsolidadojul[[#Headers],[16]],tabela_registros[REGISTRO],DADOS!$N$5,tabela_registros[TIPO],DADOS!$AB$4,tabela_registros[CATEGORIA],investirrendavariávelconsolidadojul[[#This Row],[ATUAL]])</f>
        <v>0</v>
      </c>
      <c r="U138" s="119" t="n">
        <f aca="false">SUMIFS(tabela_registros[VALOR],tabela_registros[MÊS],$AE$1,tabela_registros[DIA],investirrendavariávelconsolidadojul[[#Headers],[17]],tabela_registros[REGISTRO],DADOS!$N$5,tabela_registros[TIPO],DADOS!$AB$4,tabela_registros[CATEGORIA],investirrendavariávelconsolidadojul[[#This Row],[ATUAL]])</f>
        <v>0</v>
      </c>
      <c r="V138" s="119" t="n">
        <f aca="false">SUMIFS(tabela_registros[VALOR],tabela_registros[MÊS],$AE$1,tabela_registros[DIA],investirrendavariávelconsolidadojul[[#Headers],[18]],tabela_registros[REGISTRO],DADOS!$N$5,tabela_registros[TIPO],DADOS!$AB$4,tabela_registros[CATEGORIA],investirrendavariávelconsolidadojul[[#This Row],[ATUAL]])</f>
        <v>0</v>
      </c>
      <c r="W138" s="119" t="n">
        <f aca="false">SUMIFS(tabela_registros[VALOR],tabela_registros[MÊS],$AE$1,tabela_registros[DIA],investirrendavariávelconsolidadojul[[#Headers],[19]],tabela_registros[REGISTRO],DADOS!$N$5,tabela_registros[TIPO],DADOS!$AB$4,tabela_registros[CATEGORIA],investirrendavariávelconsolidadojul[[#This Row],[ATUAL]])</f>
        <v>0</v>
      </c>
      <c r="X138" s="119" t="n">
        <f aca="false">SUMIFS(tabela_registros[VALOR],tabela_registros[MÊS],$AE$1,tabela_registros[DIA],investirrendavariávelconsolidadojul[[#Headers],[20]],tabela_registros[REGISTRO],DADOS!$N$5,tabela_registros[TIPO],DADOS!$AB$4,tabela_registros[CATEGORIA],investirrendavariávelconsolidadojul[[#This Row],[ATUAL]])</f>
        <v>0</v>
      </c>
      <c r="Y138" s="119" t="n">
        <f aca="false">SUMIFS(tabela_registros[VALOR],tabela_registros[MÊS],$AE$1,tabela_registros[DIA],investirrendavariávelconsolidadojul[[#Headers],[21]],tabela_registros[REGISTRO],DADOS!$N$5,tabela_registros[TIPO],DADOS!$AB$4,tabela_registros[CATEGORIA],investirrendavariávelconsolidadojul[[#This Row],[ATUAL]])</f>
        <v>0</v>
      </c>
      <c r="Z138" s="119" t="n">
        <f aca="false">SUMIFS(tabela_registros[VALOR],tabela_registros[MÊS],$AE$1,tabela_registros[DIA],investirrendavariávelconsolidadojul[[#Headers],[22]],tabela_registros[REGISTRO],DADOS!$N$5,tabela_registros[TIPO],DADOS!$AB$4,tabela_registros[CATEGORIA],investirrendavariávelconsolidadojul[[#This Row],[ATUAL]])</f>
        <v>0</v>
      </c>
      <c r="AA138" s="119" t="n">
        <f aca="false">SUMIFS(tabela_registros[VALOR],tabela_registros[MÊS],$AE$1,tabela_registros[DIA],investirrendavariávelconsolidadojul[[#Headers],[23]],tabela_registros[REGISTRO],DADOS!$N$5,tabela_registros[TIPO],DADOS!$AB$4,tabela_registros[CATEGORIA],investirrendavariávelconsolidadojul[[#This Row],[ATUAL]])</f>
        <v>0</v>
      </c>
      <c r="AB138" s="119" t="n">
        <f aca="false">SUMIFS(tabela_registros[VALOR],tabela_registros[MÊS],$AE$1,tabela_registros[DIA],investirrendavariávelconsolidadojul[[#Headers],[24]],tabela_registros[REGISTRO],DADOS!$N$5,tabela_registros[TIPO],DADOS!$AB$4,tabela_registros[CATEGORIA],investirrendavariávelconsolidadojul[[#This Row],[ATUAL]])</f>
        <v>0</v>
      </c>
      <c r="AC138" s="119" t="n">
        <f aca="false">SUMIFS(tabela_registros[VALOR],tabela_registros[MÊS],$AE$1,tabela_registros[DIA],investirrendavariávelconsolidadojul[[#Headers],[25]],tabela_registros[REGISTRO],DADOS!$N$5,tabela_registros[TIPO],DADOS!$AB$4,tabela_registros[CATEGORIA],investirrendavariávelconsolidadojul[[#This Row],[ATUAL]])</f>
        <v>0</v>
      </c>
      <c r="AD138" s="119" t="n">
        <f aca="false">SUMIFS(tabela_registros[VALOR],tabela_registros[MÊS],$AE$1,tabela_registros[DIA],investirrendavariávelconsolidadojul[[#Headers],[26]],tabela_registros[REGISTRO],DADOS!$N$5,tabela_registros[TIPO],DADOS!$AB$4,tabela_registros[CATEGORIA],investirrendavariávelconsolidadojul[[#This Row],[ATUAL]])</f>
        <v>0</v>
      </c>
      <c r="AE138" s="119" t="n">
        <f aca="false">SUMIFS(tabela_registros[VALOR],tabela_registros[MÊS],$AE$1,tabela_registros[DIA],investirrendavariávelconsolidadojul[[#Headers],[27]],tabela_registros[REGISTRO],DADOS!$N$5,tabela_registros[TIPO],DADOS!$AB$4,tabela_registros[CATEGORIA],investirrendavariávelconsolidadojul[[#This Row],[ATUAL]])</f>
        <v>0</v>
      </c>
      <c r="AF138" s="119" t="n">
        <f aca="false">SUMIFS(tabela_registros[VALOR],tabela_registros[MÊS],$AE$1,tabela_registros[DIA],investirrendavariávelconsolidadojul[[#Headers],[28]],tabela_registros[REGISTRO],DADOS!$N$5,tabela_registros[TIPO],DADOS!$AB$4,tabela_registros[CATEGORIA],investirrendavariávelconsolidadojul[[#This Row],[ATUAL]])</f>
        <v>0</v>
      </c>
      <c r="AG138" s="119" t="n">
        <f aca="false">SUMIFS(tabela_registros[VALOR],tabela_registros[MÊS],$AE$1,tabela_registros[DIA],investirrendavariávelconsolidadojul[[#Headers],[29]],tabela_registros[REGISTRO],DADOS!$N$5,tabela_registros[TIPO],DADOS!$AB$4,tabela_registros[CATEGORIA],investirrendavariávelconsolidadojul[[#This Row],[ATUAL]])</f>
        <v>0</v>
      </c>
      <c r="AH138" s="119" t="n">
        <f aca="false">SUMIFS(tabela_registros[VALOR],tabela_registros[MÊS],$AE$1,tabela_registros[DIA],investirrendavariávelconsolidadojul[[#Headers],[30]],tabela_registros[REGISTRO],DADOS!$N$5,tabela_registros[TIPO],DADOS!$AB$4,tabela_registros[CATEGORIA],investirrendavariávelconsolidadojul[[#This Row],[ATUAL]])</f>
        <v>0</v>
      </c>
      <c r="AI138" s="217" t="n">
        <f aca="false">SUMIFS(tabela_registros[VALOR],tabela_registros[MÊS],$AE$1,tabela_registros[DIA],investirrendavariávelconsolidadojul[[#Headers],[31]],tabela_registros[REGISTRO],DADOS!$N$5,tabela_registros[TIPO],DADOS!$AB$4,tabela_registros[CATEGORIA],investirrendavariávelconsolidadojul[[#This Row],[ATUAL]])</f>
        <v>0</v>
      </c>
      <c r="AJ138" s="237" t="n">
        <f aca="false">SUM(investirrendavariávelconsolidadojul[[#This Row],[1]:[31]])</f>
        <v>0</v>
      </c>
      <c r="AK138" s="165"/>
    </row>
    <row r="139" customFormat="false" ht="19.5" hidden="false" customHeight="true" outlineLevel="0" collapsed="false">
      <c r="B139" s="143"/>
      <c r="C139" s="144" t="str">
        <f aca="false">DADOS!$AF$10</f>
        <v>📝 FII</v>
      </c>
      <c r="D139" s="145" t="str">
        <f aca="false">IF(investirrendavariávelconsolidadojul[[#This Row],[TOTAL (R$)]]=0,"",IF(OR(investirrendavariávelconsolidadojul[[#This Row],[TOTAL (R$)]]=LARGE($AJ$132:$AJ$141,1),investirrendavariávelconsolidadojul[[#This Row],[TOTAL (R$)]]=LARGE($AJ$132:$AJ$141,2)),DADOS!$I$10,""))</f>
        <v/>
      </c>
      <c r="E139" s="148" t="n">
        <f aca="false">SUMIFS(tabela_registros[VALOR],tabela_registros[MÊS],$AE$1,tabela_registros[DIA],investirrendavariávelconsolidadojul[[#Headers],[1]],tabela_registros[REGISTRO],DADOS!$N$5,tabela_registros[TIPO],DADOS!$AB$4,tabela_registros[CATEGORIA],investirrendavariávelconsolidadojul[[#This Row],[ATUAL]])</f>
        <v>0</v>
      </c>
      <c r="F139" s="119" t="n">
        <f aca="false">SUMIFS(tabela_registros[VALOR],tabela_registros[MÊS],$AE$1,tabela_registros[DIA],investirrendavariávelconsolidadojul[[#Headers],[2]],tabela_registros[REGISTRO],DADOS!$N$5,tabela_registros[TIPO],DADOS!$AB$4,tabela_registros[CATEGORIA],investirrendavariávelconsolidadojul[[#This Row],[ATUAL]])</f>
        <v>0</v>
      </c>
      <c r="G139" s="119" t="n">
        <f aca="false">SUMIFS(tabela_registros[VALOR],tabela_registros[MÊS],$AE$1,tabela_registros[DIA],investirrendavariávelconsolidadojul[[#Headers],[3]],tabela_registros[REGISTRO],DADOS!$N$5,tabela_registros[TIPO],DADOS!$AB$4,tabela_registros[CATEGORIA],investirrendavariávelconsolidadojul[[#This Row],[ATUAL]])</f>
        <v>0</v>
      </c>
      <c r="H139" s="119" t="n">
        <f aca="false">SUMIFS(tabela_registros[VALOR],tabela_registros[MÊS],$AE$1,tabela_registros[DIA],investirrendavariávelconsolidadojul[[#Headers],[4]],tabela_registros[REGISTRO],DADOS!$N$5,tabela_registros[TIPO],DADOS!$AB$4,tabela_registros[CATEGORIA],investirrendavariávelconsolidadojul[[#This Row],[ATUAL]])</f>
        <v>0</v>
      </c>
      <c r="I139" s="119" t="n">
        <f aca="false">SUMIFS(tabela_registros[VALOR],tabela_registros[MÊS],$AE$1,tabela_registros[DIA],investirrendavariávelconsolidadojul[[#Headers],[5]],tabela_registros[REGISTRO],DADOS!$N$5,tabela_registros[TIPO],DADOS!$AB$4,tabela_registros[CATEGORIA],investirrendavariávelconsolidadojul[[#This Row],[ATUAL]])</f>
        <v>0</v>
      </c>
      <c r="J139" s="119" t="n">
        <f aca="false">SUMIFS(tabela_registros[VALOR],tabela_registros[MÊS],$AE$1,tabela_registros[DIA],investirrendavariávelconsolidadojul[[#Headers],[6]],tabela_registros[REGISTRO],DADOS!$N$5,tabela_registros[TIPO],DADOS!$AB$4,tabela_registros[CATEGORIA],investirrendavariávelconsolidadojul[[#This Row],[ATUAL]])</f>
        <v>0</v>
      </c>
      <c r="K139" s="119" t="n">
        <f aca="false">SUMIFS(tabela_registros[VALOR],tabela_registros[MÊS],$AE$1,tabela_registros[DIA],investirrendavariávelconsolidadojul[[#Headers],[7]],tabela_registros[REGISTRO],DADOS!$N$5,tabela_registros[TIPO],DADOS!$AB$4,tabela_registros[CATEGORIA],investirrendavariávelconsolidadojul[[#This Row],[ATUAL]])</f>
        <v>0</v>
      </c>
      <c r="L139" s="119" t="n">
        <f aca="false">SUMIFS(tabela_registros[VALOR],tabela_registros[MÊS],$AE$1,tabela_registros[DIA],investirrendavariávelconsolidadojul[[#Headers],[8]],tabela_registros[REGISTRO],DADOS!$N$5,tabela_registros[TIPO],DADOS!$AB$4,tabela_registros[CATEGORIA],investirrendavariávelconsolidadojul[[#This Row],[ATUAL]])</f>
        <v>0</v>
      </c>
      <c r="M139" s="119" t="n">
        <f aca="false">SUMIFS(tabela_registros[VALOR],tabela_registros[MÊS],$AE$1,tabela_registros[DIA],investirrendavariávelconsolidadojul[[#Headers],[9]],tabela_registros[REGISTRO],DADOS!$N$5,tabela_registros[TIPO],DADOS!$AB$4,tabela_registros[CATEGORIA],investirrendavariávelconsolidadojul[[#This Row],[ATUAL]])</f>
        <v>0</v>
      </c>
      <c r="N139" s="119" t="n">
        <f aca="false">SUMIFS(tabela_registros[VALOR],tabela_registros[MÊS],$AE$1,tabela_registros[DIA],investirrendavariávelconsolidadojul[[#Headers],[10]],tabela_registros[REGISTRO],DADOS!$N$5,tabela_registros[TIPO],DADOS!$AB$4,tabela_registros[CATEGORIA],investirrendavariávelconsolidadojul[[#This Row],[ATUAL]])</f>
        <v>0</v>
      </c>
      <c r="O139" s="119" t="n">
        <f aca="false">SUMIFS(tabela_registros[VALOR],tabela_registros[MÊS],$AE$1,tabela_registros[DIA],investirrendavariávelconsolidadojul[[#Headers],[11]],tabela_registros[REGISTRO],DADOS!$N$5,tabela_registros[TIPO],DADOS!$AB$4,tabela_registros[CATEGORIA],investirrendavariávelconsolidadojul[[#This Row],[ATUAL]])</f>
        <v>0</v>
      </c>
      <c r="P139" s="119" t="n">
        <f aca="false">SUMIFS(tabela_registros[VALOR],tabela_registros[MÊS],$AE$1,tabela_registros[DIA],investirrendavariávelconsolidadojul[[#Headers],[12]],tabela_registros[REGISTRO],DADOS!$N$5,tabela_registros[TIPO],DADOS!$AB$4,tabela_registros[CATEGORIA],investirrendavariávelconsolidadojul[[#This Row],[ATUAL]])</f>
        <v>0</v>
      </c>
      <c r="Q139" s="119" t="n">
        <f aca="false">SUMIFS(tabela_registros[VALOR],tabela_registros[MÊS],$AE$1,tabela_registros[DIA],investirrendavariávelconsolidadojul[[#Headers],[13]],tabela_registros[REGISTRO],DADOS!$N$5,tabela_registros[TIPO],DADOS!$AB$4,tabela_registros[CATEGORIA],investirrendavariávelconsolidadojul[[#This Row],[ATUAL]])</f>
        <v>0</v>
      </c>
      <c r="R139" s="119" t="n">
        <f aca="false">SUMIFS(tabela_registros[VALOR],tabela_registros[MÊS],$AE$1,tabela_registros[DIA],investirrendavariávelconsolidadojul[[#Headers],[14]],tabela_registros[REGISTRO],DADOS!$N$5,tabela_registros[TIPO],DADOS!$AB$4,tabela_registros[CATEGORIA],investirrendavariávelconsolidadojul[[#This Row],[ATUAL]])</f>
        <v>0</v>
      </c>
      <c r="S139" s="119" t="n">
        <f aca="false">SUMIFS(tabela_registros[VALOR],tabela_registros[MÊS],$AE$1,tabela_registros[DIA],investirrendavariávelconsolidadojul[[#Headers],[15]],tabela_registros[REGISTRO],DADOS!$N$5,tabela_registros[TIPO],DADOS!$AB$4,tabela_registros[CATEGORIA],investirrendavariávelconsolidadojul[[#This Row],[ATUAL]])</f>
        <v>0</v>
      </c>
      <c r="T139" s="119" t="n">
        <f aca="false">SUMIFS(tabela_registros[VALOR],tabela_registros[MÊS],$AE$1,tabela_registros[DIA],investirrendavariávelconsolidadojul[[#Headers],[16]],tabela_registros[REGISTRO],DADOS!$N$5,tabela_registros[TIPO],DADOS!$AB$4,tabela_registros[CATEGORIA],investirrendavariávelconsolidadojul[[#This Row],[ATUAL]])</f>
        <v>0</v>
      </c>
      <c r="U139" s="119" t="n">
        <f aca="false">SUMIFS(tabela_registros[VALOR],tabela_registros[MÊS],$AE$1,tabela_registros[DIA],investirrendavariávelconsolidadojul[[#Headers],[17]],tabela_registros[REGISTRO],DADOS!$N$5,tabela_registros[TIPO],DADOS!$AB$4,tabela_registros[CATEGORIA],investirrendavariávelconsolidadojul[[#This Row],[ATUAL]])</f>
        <v>0</v>
      </c>
      <c r="V139" s="119" t="n">
        <f aca="false">SUMIFS(tabela_registros[VALOR],tabela_registros[MÊS],$AE$1,tabela_registros[DIA],investirrendavariávelconsolidadojul[[#Headers],[18]],tabela_registros[REGISTRO],DADOS!$N$5,tabela_registros[TIPO],DADOS!$AB$4,tabela_registros[CATEGORIA],investirrendavariávelconsolidadojul[[#This Row],[ATUAL]])</f>
        <v>0</v>
      </c>
      <c r="W139" s="119" t="n">
        <f aca="false">SUMIFS(tabela_registros[VALOR],tabela_registros[MÊS],$AE$1,tabela_registros[DIA],investirrendavariávelconsolidadojul[[#Headers],[19]],tabela_registros[REGISTRO],DADOS!$N$5,tabela_registros[TIPO],DADOS!$AB$4,tabela_registros[CATEGORIA],investirrendavariávelconsolidadojul[[#This Row],[ATUAL]])</f>
        <v>0</v>
      </c>
      <c r="X139" s="119" t="n">
        <f aca="false">SUMIFS(tabela_registros[VALOR],tabela_registros[MÊS],$AE$1,tabela_registros[DIA],investirrendavariávelconsolidadojul[[#Headers],[20]],tabela_registros[REGISTRO],DADOS!$N$5,tabela_registros[TIPO],DADOS!$AB$4,tabela_registros[CATEGORIA],investirrendavariávelconsolidadojul[[#This Row],[ATUAL]])</f>
        <v>0</v>
      </c>
      <c r="Y139" s="119" t="n">
        <f aca="false">SUMIFS(tabela_registros[VALOR],tabela_registros[MÊS],$AE$1,tabela_registros[DIA],investirrendavariávelconsolidadojul[[#Headers],[21]],tabela_registros[REGISTRO],DADOS!$N$5,tabela_registros[TIPO],DADOS!$AB$4,tabela_registros[CATEGORIA],investirrendavariávelconsolidadojul[[#This Row],[ATUAL]])</f>
        <v>0</v>
      </c>
      <c r="Z139" s="119" t="n">
        <f aca="false">SUMIFS(tabela_registros[VALOR],tabela_registros[MÊS],$AE$1,tabela_registros[DIA],investirrendavariávelconsolidadojul[[#Headers],[22]],tabela_registros[REGISTRO],DADOS!$N$5,tabela_registros[TIPO],DADOS!$AB$4,tabela_registros[CATEGORIA],investirrendavariávelconsolidadojul[[#This Row],[ATUAL]])</f>
        <v>0</v>
      </c>
      <c r="AA139" s="119" t="n">
        <f aca="false">SUMIFS(tabela_registros[VALOR],tabela_registros[MÊS],$AE$1,tabela_registros[DIA],investirrendavariávelconsolidadojul[[#Headers],[23]],tabela_registros[REGISTRO],DADOS!$N$5,tabela_registros[TIPO],DADOS!$AB$4,tabela_registros[CATEGORIA],investirrendavariávelconsolidadojul[[#This Row],[ATUAL]])</f>
        <v>0</v>
      </c>
      <c r="AB139" s="119" t="n">
        <f aca="false">SUMIFS(tabela_registros[VALOR],tabela_registros[MÊS],$AE$1,tabela_registros[DIA],investirrendavariávelconsolidadojul[[#Headers],[24]],tabela_registros[REGISTRO],DADOS!$N$5,tabela_registros[TIPO],DADOS!$AB$4,tabela_registros[CATEGORIA],investirrendavariávelconsolidadojul[[#This Row],[ATUAL]])</f>
        <v>0</v>
      </c>
      <c r="AC139" s="119" t="n">
        <f aca="false">SUMIFS(tabela_registros[VALOR],tabela_registros[MÊS],$AE$1,tabela_registros[DIA],investirrendavariávelconsolidadojul[[#Headers],[25]],tabela_registros[REGISTRO],DADOS!$N$5,tabela_registros[TIPO],DADOS!$AB$4,tabela_registros[CATEGORIA],investirrendavariávelconsolidadojul[[#This Row],[ATUAL]])</f>
        <v>0</v>
      </c>
      <c r="AD139" s="119" t="n">
        <f aca="false">SUMIFS(tabela_registros[VALOR],tabela_registros[MÊS],$AE$1,tabela_registros[DIA],investirrendavariávelconsolidadojul[[#Headers],[26]],tabela_registros[REGISTRO],DADOS!$N$5,tabela_registros[TIPO],DADOS!$AB$4,tabela_registros[CATEGORIA],investirrendavariávelconsolidadojul[[#This Row],[ATUAL]])</f>
        <v>0</v>
      </c>
      <c r="AE139" s="119" t="n">
        <f aca="false">SUMIFS(tabela_registros[VALOR],tabela_registros[MÊS],$AE$1,tabela_registros[DIA],investirrendavariávelconsolidadojul[[#Headers],[27]],tabela_registros[REGISTRO],DADOS!$N$5,tabela_registros[TIPO],DADOS!$AB$4,tabela_registros[CATEGORIA],investirrendavariávelconsolidadojul[[#This Row],[ATUAL]])</f>
        <v>0</v>
      </c>
      <c r="AF139" s="119" t="n">
        <f aca="false">SUMIFS(tabela_registros[VALOR],tabela_registros[MÊS],$AE$1,tabela_registros[DIA],investirrendavariávelconsolidadojul[[#Headers],[28]],tabela_registros[REGISTRO],DADOS!$N$5,tabela_registros[TIPO],DADOS!$AB$4,tabela_registros[CATEGORIA],investirrendavariávelconsolidadojul[[#This Row],[ATUAL]])</f>
        <v>0</v>
      </c>
      <c r="AG139" s="119" t="n">
        <f aca="false">SUMIFS(tabela_registros[VALOR],tabela_registros[MÊS],$AE$1,tabela_registros[DIA],investirrendavariávelconsolidadojul[[#Headers],[29]],tabela_registros[REGISTRO],DADOS!$N$5,tabela_registros[TIPO],DADOS!$AB$4,tabela_registros[CATEGORIA],investirrendavariávelconsolidadojul[[#This Row],[ATUAL]])</f>
        <v>0</v>
      </c>
      <c r="AH139" s="119" t="n">
        <f aca="false">SUMIFS(tabela_registros[VALOR],tabela_registros[MÊS],$AE$1,tabela_registros[DIA],investirrendavariávelconsolidadojul[[#Headers],[30]],tabela_registros[REGISTRO],DADOS!$N$5,tabela_registros[TIPO],DADOS!$AB$4,tabela_registros[CATEGORIA],investirrendavariávelconsolidadojul[[#This Row],[ATUAL]])</f>
        <v>0</v>
      </c>
      <c r="AI139" s="217" t="n">
        <f aca="false">SUMIFS(tabela_registros[VALOR],tabela_registros[MÊS],$AE$1,tabela_registros[DIA],investirrendavariávelconsolidadojul[[#Headers],[31]],tabela_registros[REGISTRO],DADOS!$N$5,tabela_registros[TIPO],DADOS!$AB$4,tabela_registros[CATEGORIA],investirrendavariávelconsolidadojul[[#This Row],[ATUAL]])</f>
        <v>0</v>
      </c>
      <c r="AJ139" s="237" t="n">
        <f aca="false">SUM(investirrendavariávelconsolidadojul[[#This Row],[1]:[31]])</f>
        <v>0</v>
      </c>
      <c r="AK139" s="165"/>
    </row>
    <row r="140" customFormat="false" ht="19.5" hidden="false" customHeight="true" outlineLevel="0" collapsed="false">
      <c r="B140" s="143"/>
      <c r="C140" s="144" t="str">
        <f aca="false">DADOS!$AF$11</f>
        <v>📝 MOEDA</v>
      </c>
      <c r="D140" s="145" t="str">
        <f aca="false">IF(investirrendavariávelconsolidadojul[[#This Row],[TOTAL (R$)]]=0,"",IF(OR(investirrendavariávelconsolidadojul[[#This Row],[TOTAL (R$)]]=LARGE($AJ$132:$AJ$141,1),investirrendavariávelconsolidadojul[[#This Row],[TOTAL (R$)]]=LARGE($AJ$132:$AJ$141,2)),DADOS!$I$10,""))</f>
        <v/>
      </c>
      <c r="E140" s="148" t="n">
        <f aca="false">SUMIFS(tabela_registros[VALOR],tabela_registros[MÊS],$AE$1,tabela_registros[DIA],investirrendavariávelconsolidadojul[[#Headers],[1]],tabela_registros[REGISTRO],DADOS!$N$5,tabela_registros[TIPO],DADOS!$AB$4,tabela_registros[CATEGORIA],investirrendavariávelconsolidadojul[[#This Row],[ATUAL]])</f>
        <v>0</v>
      </c>
      <c r="F140" s="119" t="n">
        <f aca="false">SUMIFS(tabela_registros[VALOR],tabela_registros[MÊS],$AE$1,tabela_registros[DIA],investirrendavariávelconsolidadojul[[#Headers],[2]],tabela_registros[REGISTRO],DADOS!$N$5,tabela_registros[TIPO],DADOS!$AB$4,tabela_registros[CATEGORIA],investirrendavariávelconsolidadojul[[#This Row],[ATUAL]])</f>
        <v>0</v>
      </c>
      <c r="G140" s="119" t="n">
        <f aca="false">SUMIFS(tabela_registros[VALOR],tabela_registros[MÊS],$AE$1,tabela_registros[DIA],investirrendavariávelconsolidadojul[[#Headers],[3]],tabela_registros[REGISTRO],DADOS!$N$5,tabela_registros[TIPO],DADOS!$AB$4,tabela_registros[CATEGORIA],investirrendavariávelconsolidadojul[[#This Row],[ATUAL]])</f>
        <v>0</v>
      </c>
      <c r="H140" s="119" t="n">
        <f aca="false">SUMIFS(tabela_registros[VALOR],tabela_registros[MÊS],$AE$1,tabela_registros[DIA],investirrendavariávelconsolidadojul[[#Headers],[4]],tabela_registros[REGISTRO],DADOS!$N$5,tabela_registros[TIPO],DADOS!$AB$4,tabela_registros[CATEGORIA],investirrendavariávelconsolidadojul[[#This Row],[ATUAL]])</f>
        <v>0</v>
      </c>
      <c r="I140" s="119" t="n">
        <f aca="false">SUMIFS(tabela_registros[VALOR],tabela_registros[MÊS],$AE$1,tabela_registros[DIA],investirrendavariávelconsolidadojul[[#Headers],[5]],tabela_registros[REGISTRO],DADOS!$N$5,tabela_registros[TIPO],DADOS!$AB$4,tabela_registros[CATEGORIA],investirrendavariávelconsolidadojul[[#This Row],[ATUAL]])</f>
        <v>0</v>
      </c>
      <c r="J140" s="119" t="n">
        <f aca="false">SUMIFS(tabela_registros[VALOR],tabela_registros[MÊS],$AE$1,tabela_registros[DIA],investirrendavariávelconsolidadojul[[#Headers],[6]],tabela_registros[REGISTRO],DADOS!$N$5,tabela_registros[TIPO],DADOS!$AB$4,tabela_registros[CATEGORIA],investirrendavariávelconsolidadojul[[#This Row],[ATUAL]])</f>
        <v>0</v>
      </c>
      <c r="K140" s="119" t="n">
        <f aca="false">SUMIFS(tabela_registros[VALOR],tabela_registros[MÊS],$AE$1,tabela_registros[DIA],investirrendavariávelconsolidadojul[[#Headers],[7]],tabela_registros[REGISTRO],DADOS!$N$5,tabela_registros[TIPO],DADOS!$AB$4,tabela_registros[CATEGORIA],investirrendavariávelconsolidadojul[[#This Row],[ATUAL]])</f>
        <v>0</v>
      </c>
      <c r="L140" s="119" t="n">
        <f aca="false">SUMIFS(tabela_registros[VALOR],tabela_registros[MÊS],$AE$1,tabela_registros[DIA],investirrendavariávelconsolidadojul[[#Headers],[8]],tabela_registros[REGISTRO],DADOS!$N$5,tabela_registros[TIPO],DADOS!$AB$4,tabela_registros[CATEGORIA],investirrendavariávelconsolidadojul[[#This Row],[ATUAL]])</f>
        <v>0</v>
      </c>
      <c r="M140" s="119" t="n">
        <f aca="false">SUMIFS(tabela_registros[VALOR],tabela_registros[MÊS],$AE$1,tabela_registros[DIA],investirrendavariávelconsolidadojul[[#Headers],[9]],tabela_registros[REGISTRO],DADOS!$N$5,tabela_registros[TIPO],DADOS!$AB$4,tabela_registros[CATEGORIA],investirrendavariávelconsolidadojul[[#This Row],[ATUAL]])</f>
        <v>0</v>
      </c>
      <c r="N140" s="119" t="n">
        <f aca="false">SUMIFS(tabela_registros[VALOR],tabela_registros[MÊS],$AE$1,tabela_registros[DIA],investirrendavariávelconsolidadojul[[#Headers],[10]],tabela_registros[REGISTRO],DADOS!$N$5,tabela_registros[TIPO],DADOS!$AB$4,tabela_registros[CATEGORIA],investirrendavariávelconsolidadojul[[#This Row],[ATUAL]])</f>
        <v>0</v>
      </c>
      <c r="O140" s="119" t="n">
        <f aca="false">SUMIFS(tabela_registros[VALOR],tabela_registros[MÊS],$AE$1,tabela_registros[DIA],investirrendavariávelconsolidadojul[[#Headers],[11]],tabela_registros[REGISTRO],DADOS!$N$5,tabela_registros[TIPO],DADOS!$AB$4,tabela_registros[CATEGORIA],investirrendavariávelconsolidadojul[[#This Row],[ATUAL]])</f>
        <v>0</v>
      </c>
      <c r="P140" s="119" t="n">
        <f aca="false">SUMIFS(tabela_registros[VALOR],tabela_registros[MÊS],$AE$1,tabela_registros[DIA],investirrendavariávelconsolidadojul[[#Headers],[12]],tabela_registros[REGISTRO],DADOS!$N$5,tabela_registros[TIPO],DADOS!$AB$4,tabela_registros[CATEGORIA],investirrendavariávelconsolidadojul[[#This Row],[ATUAL]])</f>
        <v>0</v>
      </c>
      <c r="Q140" s="119" t="n">
        <f aca="false">SUMIFS(tabela_registros[VALOR],tabela_registros[MÊS],$AE$1,tabela_registros[DIA],investirrendavariávelconsolidadojul[[#Headers],[13]],tabela_registros[REGISTRO],DADOS!$N$5,tabela_registros[TIPO],DADOS!$AB$4,tabela_registros[CATEGORIA],investirrendavariávelconsolidadojul[[#This Row],[ATUAL]])</f>
        <v>0</v>
      </c>
      <c r="R140" s="119" t="n">
        <f aca="false">SUMIFS(tabela_registros[VALOR],tabela_registros[MÊS],$AE$1,tabela_registros[DIA],investirrendavariávelconsolidadojul[[#Headers],[14]],tabela_registros[REGISTRO],DADOS!$N$5,tabela_registros[TIPO],DADOS!$AB$4,tabela_registros[CATEGORIA],investirrendavariávelconsolidadojul[[#This Row],[ATUAL]])</f>
        <v>0</v>
      </c>
      <c r="S140" s="119" t="n">
        <f aca="false">SUMIFS(tabela_registros[VALOR],tabela_registros[MÊS],$AE$1,tabela_registros[DIA],investirrendavariávelconsolidadojul[[#Headers],[15]],tabela_registros[REGISTRO],DADOS!$N$5,tabela_registros[TIPO],DADOS!$AB$4,tabela_registros[CATEGORIA],investirrendavariávelconsolidadojul[[#This Row],[ATUAL]])</f>
        <v>0</v>
      </c>
      <c r="T140" s="119" t="n">
        <f aca="false">SUMIFS(tabela_registros[VALOR],tabela_registros[MÊS],$AE$1,tabela_registros[DIA],investirrendavariávelconsolidadojul[[#Headers],[16]],tabela_registros[REGISTRO],DADOS!$N$5,tabela_registros[TIPO],DADOS!$AB$4,tabela_registros[CATEGORIA],investirrendavariávelconsolidadojul[[#This Row],[ATUAL]])</f>
        <v>0</v>
      </c>
      <c r="U140" s="119" t="n">
        <f aca="false">SUMIFS(tabela_registros[VALOR],tabela_registros[MÊS],$AE$1,tabela_registros[DIA],investirrendavariávelconsolidadojul[[#Headers],[17]],tabela_registros[REGISTRO],DADOS!$N$5,tabela_registros[TIPO],DADOS!$AB$4,tabela_registros[CATEGORIA],investirrendavariávelconsolidadojul[[#This Row],[ATUAL]])</f>
        <v>0</v>
      </c>
      <c r="V140" s="119" t="n">
        <f aca="false">SUMIFS(tabela_registros[VALOR],tabela_registros[MÊS],$AE$1,tabela_registros[DIA],investirrendavariávelconsolidadojul[[#Headers],[18]],tabela_registros[REGISTRO],DADOS!$N$5,tabela_registros[TIPO],DADOS!$AB$4,tabela_registros[CATEGORIA],investirrendavariávelconsolidadojul[[#This Row],[ATUAL]])</f>
        <v>0</v>
      </c>
      <c r="W140" s="119" t="n">
        <f aca="false">SUMIFS(tabela_registros[VALOR],tabela_registros[MÊS],$AE$1,tabela_registros[DIA],investirrendavariávelconsolidadojul[[#Headers],[19]],tabela_registros[REGISTRO],DADOS!$N$5,tabela_registros[TIPO],DADOS!$AB$4,tabela_registros[CATEGORIA],investirrendavariávelconsolidadojul[[#This Row],[ATUAL]])</f>
        <v>0</v>
      </c>
      <c r="X140" s="119" t="n">
        <f aca="false">SUMIFS(tabela_registros[VALOR],tabela_registros[MÊS],$AE$1,tabela_registros[DIA],investirrendavariávelconsolidadojul[[#Headers],[20]],tabela_registros[REGISTRO],DADOS!$N$5,tabela_registros[TIPO],DADOS!$AB$4,tabela_registros[CATEGORIA],investirrendavariávelconsolidadojul[[#This Row],[ATUAL]])</f>
        <v>0</v>
      </c>
      <c r="Y140" s="119" t="n">
        <f aca="false">SUMIFS(tabela_registros[VALOR],tabela_registros[MÊS],$AE$1,tabela_registros[DIA],investirrendavariávelconsolidadojul[[#Headers],[21]],tabela_registros[REGISTRO],DADOS!$N$5,tabela_registros[TIPO],DADOS!$AB$4,tabela_registros[CATEGORIA],investirrendavariávelconsolidadojul[[#This Row],[ATUAL]])</f>
        <v>0</v>
      </c>
      <c r="Z140" s="119" t="n">
        <f aca="false">SUMIFS(tabela_registros[VALOR],tabela_registros[MÊS],$AE$1,tabela_registros[DIA],investirrendavariávelconsolidadojul[[#Headers],[22]],tabela_registros[REGISTRO],DADOS!$N$5,tabela_registros[TIPO],DADOS!$AB$4,tabela_registros[CATEGORIA],investirrendavariávelconsolidadojul[[#This Row],[ATUAL]])</f>
        <v>0</v>
      </c>
      <c r="AA140" s="119" t="n">
        <f aca="false">SUMIFS(tabela_registros[VALOR],tabela_registros[MÊS],$AE$1,tabela_registros[DIA],investirrendavariávelconsolidadojul[[#Headers],[23]],tabela_registros[REGISTRO],DADOS!$N$5,tabela_registros[TIPO],DADOS!$AB$4,tabela_registros[CATEGORIA],investirrendavariávelconsolidadojul[[#This Row],[ATUAL]])</f>
        <v>0</v>
      </c>
      <c r="AB140" s="119" t="n">
        <f aca="false">SUMIFS(tabela_registros[VALOR],tabela_registros[MÊS],$AE$1,tabela_registros[DIA],investirrendavariávelconsolidadojul[[#Headers],[24]],tabela_registros[REGISTRO],DADOS!$N$5,tabela_registros[TIPO],DADOS!$AB$4,tabela_registros[CATEGORIA],investirrendavariávelconsolidadojul[[#This Row],[ATUAL]])</f>
        <v>0</v>
      </c>
      <c r="AC140" s="119" t="n">
        <f aca="false">SUMIFS(tabela_registros[VALOR],tabela_registros[MÊS],$AE$1,tabela_registros[DIA],investirrendavariávelconsolidadojul[[#Headers],[25]],tabela_registros[REGISTRO],DADOS!$N$5,tabela_registros[TIPO],DADOS!$AB$4,tabela_registros[CATEGORIA],investirrendavariávelconsolidadojul[[#This Row],[ATUAL]])</f>
        <v>0</v>
      </c>
      <c r="AD140" s="119" t="n">
        <f aca="false">SUMIFS(tabela_registros[VALOR],tabela_registros[MÊS],$AE$1,tabela_registros[DIA],investirrendavariávelconsolidadojul[[#Headers],[26]],tabela_registros[REGISTRO],DADOS!$N$5,tabela_registros[TIPO],DADOS!$AB$4,tabela_registros[CATEGORIA],investirrendavariávelconsolidadojul[[#This Row],[ATUAL]])</f>
        <v>0</v>
      </c>
      <c r="AE140" s="119" t="n">
        <f aca="false">SUMIFS(tabela_registros[VALOR],tabela_registros[MÊS],$AE$1,tabela_registros[DIA],investirrendavariávelconsolidadojul[[#Headers],[27]],tabela_registros[REGISTRO],DADOS!$N$5,tabela_registros[TIPO],DADOS!$AB$4,tabela_registros[CATEGORIA],investirrendavariávelconsolidadojul[[#This Row],[ATUAL]])</f>
        <v>0</v>
      </c>
      <c r="AF140" s="119" t="n">
        <f aca="false">SUMIFS(tabela_registros[VALOR],tabela_registros[MÊS],$AE$1,tabela_registros[DIA],investirrendavariávelconsolidadojul[[#Headers],[28]],tabela_registros[REGISTRO],DADOS!$N$5,tabela_registros[TIPO],DADOS!$AB$4,tabela_registros[CATEGORIA],investirrendavariávelconsolidadojul[[#This Row],[ATUAL]])</f>
        <v>0</v>
      </c>
      <c r="AG140" s="119" t="n">
        <f aca="false">SUMIFS(tabela_registros[VALOR],tabela_registros[MÊS],$AE$1,tabela_registros[DIA],investirrendavariávelconsolidadojul[[#Headers],[29]],tabela_registros[REGISTRO],DADOS!$N$5,tabela_registros[TIPO],DADOS!$AB$4,tabela_registros[CATEGORIA],investirrendavariávelconsolidadojul[[#This Row],[ATUAL]])</f>
        <v>0</v>
      </c>
      <c r="AH140" s="119" t="n">
        <f aca="false">SUMIFS(tabela_registros[VALOR],tabela_registros[MÊS],$AE$1,tabela_registros[DIA],investirrendavariávelconsolidadojul[[#Headers],[30]],tabela_registros[REGISTRO],DADOS!$N$5,tabela_registros[TIPO],DADOS!$AB$4,tabela_registros[CATEGORIA],investirrendavariávelconsolidadojul[[#This Row],[ATUAL]])</f>
        <v>0</v>
      </c>
      <c r="AI140" s="217" t="n">
        <f aca="false">SUMIFS(tabela_registros[VALOR],tabela_registros[MÊS],$AE$1,tabela_registros[DIA],investirrendavariávelconsolidadojul[[#Headers],[31]],tabela_registros[REGISTRO],DADOS!$N$5,tabela_registros[TIPO],DADOS!$AB$4,tabela_registros[CATEGORIA],investirrendavariávelconsolidadojul[[#This Row],[ATUAL]])</f>
        <v>0</v>
      </c>
      <c r="AJ140" s="237" t="n">
        <f aca="false">SUM(investirrendavariávelconsolidadojul[[#This Row],[1]:[31]])</f>
        <v>0</v>
      </c>
      <c r="AK140" s="165"/>
    </row>
    <row r="141" customFormat="false" ht="19.5" hidden="false" customHeight="true" outlineLevel="0" collapsed="false">
      <c r="B141" s="143"/>
      <c r="C141" s="144" t="str">
        <f aca="false">DADOS!$AF$12</f>
        <v>📎 OUTROS</v>
      </c>
      <c r="D141" s="145" t="str">
        <f aca="false">IF(investirrendavariávelconsolidadojul[[#This Row],[TOTAL (R$)]]=0,"",IF(OR(investirrendavariávelconsolidadojul[[#This Row],[TOTAL (R$)]]=LARGE($AJ$132:$AJ$141,1),investirrendavariávelconsolidadojul[[#This Row],[TOTAL (R$)]]=LARGE($AJ$132:$AJ$141,2)),DADOS!$I$10,""))</f>
        <v/>
      </c>
      <c r="E141" s="148" t="n">
        <f aca="false">SUMIFS(tabela_registros[VALOR],tabela_registros[MÊS],$AE$1,tabela_registros[DIA],investirrendavariávelconsolidadojul[[#Headers],[1]],tabela_registros[REGISTRO],DADOS!$N$5,tabela_registros[TIPO],DADOS!$AB$4,tabela_registros[CATEGORIA],investirrendavariávelconsolidadojul[[#This Row],[ATUAL]])</f>
        <v>0</v>
      </c>
      <c r="F141" s="119" t="n">
        <f aca="false">SUMIFS(tabela_registros[VALOR],tabela_registros[MÊS],$AE$1,tabela_registros[DIA],investirrendavariávelconsolidadojul[[#Headers],[2]],tabela_registros[REGISTRO],DADOS!$N$5,tabela_registros[TIPO],DADOS!$AB$4,tabela_registros[CATEGORIA],investirrendavariávelconsolidadojul[[#This Row],[ATUAL]])</f>
        <v>0</v>
      </c>
      <c r="G141" s="119" t="n">
        <f aca="false">SUMIFS(tabela_registros[VALOR],tabela_registros[MÊS],$AE$1,tabela_registros[DIA],investirrendavariávelconsolidadojul[[#Headers],[3]],tabela_registros[REGISTRO],DADOS!$N$5,tabela_registros[TIPO],DADOS!$AB$4,tabela_registros[CATEGORIA],investirrendavariávelconsolidadojul[[#This Row],[ATUAL]])</f>
        <v>0</v>
      </c>
      <c r="H141" s="119" t="n">
        <f aca="false">SUMIFS(tabela_registros[VALOR],tabela_registros[MÊS],$AE$1,tabela_registros[DIA],investirrendavariávelconsolidadojul[[#Headers],[4]],tabela_registros[REGISTRO],DADOS!$N$5,tabela_registros[TIPO],DADOS!$AB$4,tabela_registros[CATEGORIA],investirrendavariávelconsolidadojul[[#This Row],[ATUAL]])</f>
        <v>0</v>
      </c>
      <c r="I141" s="119" t="n">
        <f aca="false">SUMIFS(tabela_registros[VALOR],tabela_registros[MÊS],$AE$1,tabela_registros[DIA],investirrendavariávelconsolidadojul[[#Headers],[5]],tabela_registros[REGISTRO],DADOS!$N$5,tabela_registros[TIPO],DADOS!$AB$4,tabela_registros[CATEGORIA],investirrendavariávelconsolidadojul[[#This Row],[ATUAL]])</f>
        <v>0</v>
      </c>
      <c r="J141" s="119" t="n">
        <f aca="false">SUMIFS(tabela_registros[VALOR],tabela_registros[MÊS],$AE$1,tabela_registros[DIA],investirrendavariávelconsolidadojul[[#Headers],[6]],tabela_registros[REGISTRO],DADOS!$N$5,tabela_registros[TIPO],DADOS!$AB$4,tabela_registros[CATEGORIA],investirrendavariávelconsolidadojul[[#This Row],[ATUAL]])</f>
        <v>0</v>
      </c>
      <c r="K141" s="119" t="n">
        <f aca="false">SUMIFS(tabela_registros[VALOR],tabela_registros[MÊS],$AE$1,tabela_registros[DIA],investirrendavariávelconsolidadojul[[#Headers],[7]],tabela_registros[REGISTRO],DADOS!$N$5,tabela_registros[TIPO],DADOS!$AB$4,tabela_registros[CATEGORIA],investirrendavariávelconsolidadojul[[#This Row],[ATUAL]])</f>
        <v>0</v>
      </c>
      <c r="L141" s="119" t="n">
        <f aca="false">SUMIFS(tabela_registros[VALOR],tabela_registros[MÊS],$AE$1,tabela_registros[DIA],investirrendavariávelconsolidadojul[[#Headers],[8]],tabela_registros[REGISTRO],DADOS!$N$5,tabela_registros[TIPO],DADOS!$AB$4,tabela_registros[CATEGORIA],investirrendavariávelconsolidadojul[[#This Row],[ATUAL]])</f>
        <v>0</v>
      </c>
      <c r="M141" s="119" t="n">
        <f aca="false">SUMIFS(tabela_registros[VALOR],tabela_registros[MÊS],$AE$1,tabela_registros[DIA],investirrendavariávelconsolidadojul[[#Headers],[9]],tabela_registros[REGISTRO],DADOS!$N$5,tabela_registros[TIPO],DADOS!$AB$4,tabela_registros[CATEGORIA],investirrendavariávelconsolidadojul[[#This Row],[ATUAL]])</f>
        <v>0</v>
      </c>
      <c r="N141" s="119" t="n">
        <f aca="false">SUMIFS(tabela_registros[VALOR],tabela_registros[MÊS],$AE$1,tabela_registros[DIA],investirrendavariávelconsolidadojul[[#Headers],[10]],tabela_registros[REGISTRO],DADOS!$N$5,tabela_registros[TIPO],DADOS!$AB$4,tabela_registros[CATEGORIA],investirrendavariávelconsolidadojul[[#This Row],[ATUAL]])</f>
        <v>0</v>
      </c>
      <c r="O141" s="119" t="n">
        <f aca="false">SUMIFS(tabela_registros[VALOR],tabela_registros[MÊS],$AE$1,tabela_registros[DIA],investirrendavariávelconsolidadojul[[#Headers],[11]],tabela_registros[REGISTRO],DADOS!$N$5,tabela_registros[TIPO],DADOS!$AB$4,tabela_registros[CATEGORIA],investirrendavariávelconsolidadojul[[#This Row],[ATUAL]])</f>
        <v>0</v>
      </c>
      <c r="P141" s="119" t="n">
        <f aca="false">SUMIFS(tabela_registros[VALOR],tabela_registros[MÊS],$AE$1,tabela_registros[DIA],investirrendavariávelconsolidadojul[[#Headers],[12]],tabela_registros[REGISTRO],DADOS!$N$5,tabela_registros[TIPO],DADOS!$AB$4,tabela_registros[CATEGORIA],investirrendavariávelconsolidadojul[[#This Row],[ATUAL]])</f>
        <v>0</v>
      </c>
      <c r="Q141" s="119" t="n">
        <f aca="false">SUMIFS(tabela_registros[VALOR],tabela_registros[MÊS],$AE$1,tabela_registros[DIA],investirrendavariávelconsolidadojul[[#Headers],[13]],tabela_registros[REGISTRO],DADOS!$N$5,tabela_registros[TIPO],DADOS!$AB$4,tabela_registros[CATEGORIA],investirrendavariávelconsolidadojul[[#This Row],[ATUAL]])</f>
        <v>0</v>
      </c>
      <c r="R141" s="119" t="n">
        <f aca="false">SUMIFS(tabela_registros[VALOR],tabela_registros[MÊS],$AE$1,tabela_registros[DIA],investirrendavariávelconsolidadojul[[#Headers],[14]],tabela_registros[REGISTRO],DADOS!$N$5,tabela_registros[TIPO],DADOS!$AB$4,tabela_registros[CATEGORIA],investirrendavariávelconsolidadojul[[#This Row],[ATUAL]])</f>
        <v>0</v>
      </c>
      <c r="S141" s="119" t="n">
        <f aca="false">SUMIFS(tabela_registros[VALOR],tabela_registros[MÊS],$AE$1,tabela_registros[DIA],investirrendavariávelconsolidadojul[[#Headers],[15]],tabela_registros[REGISTRO],DADOS!$N$5,tabela_registros[TIPO],DADOS!$AB$4,tabela_registros[CATEGORIA],investirrendavariávelconsolidadojul[[#This Row],[ATUAL]])</f>
        <v>0</v>
      </c>
      <c r="T141" s="119" t="n">
        <f aca="false">SUMIFS(tabela_registros[VALOR],tabela_registros[MÊS],$AE$1,tabela_registros[DIA],investirrendavariávelconsolidadojul[[#Headers],[16]],tabela_registros[REGISTRO],DADOS!$N$5,tabela_registros[TIPO],DADOS!$AB$4,tabela_registros[CATEGORIA],investirrendavariávelconsolidadojul[[#This Row],[ATUAL]])</f>
        <v>0</v>
      </c>
      <c r="U141" s="119" t="n">
        <f aca="false">SUMIFS(tabela_registros[VALOR],tabela_registros[MÊS],$AE$1,tabela_registros[DIA],investirrendavariávelconsolidadojul[[#Headers],[17]],tabela_registros[REGISTRO],DADOS!$N$5,tabela_registros[TIPO],DADOS!$AB$4,tabela_registros[CATEGORIA],investirrendavariávelconsolidadojul[[#This Row],[ATUAL]])</f>
        <v>0</v>
      </c>
      <c r="V141" s="119" t="n">
        <f aca="false">SUMIFS(tabela_registros[VALOR],tabela_registros[MÊS],$AE$1,tabela_registros[DIA],investirrendavariávelconsolidadojul[[#Headers],[18]],tabela_registros[REGISTRO],DADOS!$N$5,tabela_registros[TIPO],DADOS!$AB$4,tabela_registros[CATEGORIA],investirrendavariávelconsolidadojul[[#This Row],[ATUAL]])</f>
        <v>0</v>
      </c>
      <c r="W141" s="119" t="n">
        <f aca="false">SUMIFS(tabela_registros[VALOR],tabela_registros[MÊS],$AE$1,tabela_registros[DIA],investirrendavariávelconsolidadojul[[#Headers],[19]],tabela_registros[REGISTRO],DADOS!$N$5,tabela_registros[TIPO],DADOS!$AB$4,tabela_registros[CATEGORIA],investirrendavariávelconsolidadojul[[#This Row],[ATUAL]])</f>
        <v>0</v>
      </c>
      <c r="X141" s="119" t="n">
        <f aca="false">SUMIFS(tabela_registros[VALOR],tabela_registros[MÊS],$AE$1,tabela_registros[DIA],investirrendavariávelconsolidadojul[[#Headers],[20]],tabela_registros[REGISTRO],DADOS!$N$5,tabela_registros[TIPO],DADOS!$AB$4,tabela_registros[CATEGORIA],investirrendavariávelconsolidadojul[[#This Row],[ATUAL]])</f>
        <v>0</v>
      </c>
      <c r="Y141" s="119" t="n">
        <f aca="false">SUMIFS(tabela_registros[VALOR],tabela_registros[MÊS],$AE$1,tabela_registros[DIA],investirrendavariávelconsolidadojul[[#Headers],[21]],tabela_registros[REGISTRO],DADOS!$N$5,tabela_registros[TIPO],DADOS!$AB$4,tabela_registros[CATEGORIA],investirrendavariávelconsolidadojul[[#This Row],[ATUAL]])</f>
        <v>0</v>
      </c>
      <c r="Z141" s="119" t="n">
        <f aca="false">SUMIFS(tabela_registros[VALOR],tabela_registros[MÊS],$AE$1,tabela_registros[DIA],investirrendavariávelconsolidadojul[[#Headers],[22]],tabela_registros[REGISTRO],DADOS!$N$5,tabela_registros[TIPO],DADOS!$AB$4,tabela_registros[CATEGORIA],investirrendavariávelconsolidadojul[[#This Row],[ATUAL]])</f>
        <v>0</v>
      </c>
      <c r="AA141" s="119" t="n">
        <f aca="false">SUMIFS(tabela_registros[VALOR],tabela_registros[MÊS],$AE$1,tabela_registros[DIA],investirrendavariávelconsolidadojul[[#Headers],[23]],tabela_registros[REGISTRO],DADOS!$N$5,tabela_registros[TIPO],DADOS!$AB$4,tabela_registros[CATEGORIA],investirrendavariávelconsolidadojul[[#This Row],[ATUAL]])</f>
        <v>0</v>
      </c>
      <c r="AB141" s="119" t="n">
        <f aca="false">SUMIFS(tabela_registros[VALOR],tabela_registros[MÊS],$AE$1,tabela_registros[DIA],investirrendavariávelconsolidadojul[[#Headers],[24]],tabela_registros[REGISTRO],DADOS!$N$5,tabela_registros[TIPO],DADOS!$AB$4,tabela_registros[CATEGORIA],investirrendavariávelconsolidadojul[[#This Row],[ATUAL]])</f>
        <v>0</v>
      </c>
      <c r="AC141" s="119" t="n">
        <f aca="false">SUMIFS(tabela_registros[VALOR],tabela_registros[MÊS],$AE$1,tabela_registros[DIA],investirrendavariávelconsolidadojul[[#Headers],[25]],tabela_registros[REGISTRO],DADOS!$N$5,tabela_registros[TIPO],DADOS!$AB$4,tabela_registros[CATEGORIA],investirrendavariávelconsolidadojul[[#This Row],[ATUAL]])</f>
        <v>0</v>
      </c>
      <c r="AD141" s="119" t="n">
        <f aca="false">SUMIFS(tabela_registros[VALOR],tabela_registros[MÊS],$AE$1,tabela_registros[DIA],investirrendavariávelconsolidadojul[[#Headers],[26]],tabela_registros[REGISTRO],DADOS!$N$5,tabela_registros[TIPO],DADOS!$AB$4,tabela_registros[CATEGORIA],investirrendavariávelconsolidadojul[[#This Row],[ATUAL]])</f>
        <v>0</v>
      </c>
      <c r="AE141" s="119" t="n">
        <f aca="false">SUMIFS(tabela_registros[VALOR],tabela_registros[MÊS],$AE$1,tabela_registros[DIA],investirrendavariávelconsolidadojul[[#Headers],[27]],tabela_registros[REGISTRO],DADOS!$N$5,tabela_registros[TIPO],DADOS!$AB$4,tabela_registros[CATEGORIA],investirrendavariávelconsolidadojul[[#This Row],[ATUAL]])</f>
        <v>0</v>
      </c>
      <c r="AF141" s="119" t="n">
        <f aca="false">SUMIFS(tabela_registros[VALOR],tabela_registros[MÊS],$AE$1,tabela_registros[DIA],investirrendavariávelconsolidadojul[[#Headers],[28]],tabela_registros[REGISTRO],DADOS!$N$5,tabela_registros[TIPO],DADOS!$AB$4,tabela_registros[CATEGORIA],investirrendavariávelconsolidadojul[[#This Row],[ATUAL]])</f>
        <v>0</v>
      </c>
      <c r="AG141" s="119" t="n">
        <f aca="false">SUMIFS(tabela_registros[VALOR],tabela_registros[MÊS],$AE$1,tabela_registros[DIA],investirrendavariávelconsolidadojul[[#Headers],[29]],tabela_registros[REGISTRO],DADOS!$N$5,tabela_registros[TIPO],DADOS!$AB$4,tabela_registros[CATEGORIA],investirrendavariávelconsolidadojul[[#This Row],[ATUAL]])</f>
        <v>0</v>
      </c>
      <c r="AH141" s="119" t="n">
        <f aca="false">SUMIFS(tabela_registros[VALOR],tabela_registros[MÊS],$AE$1,tabela_registros[DIA],investirrendavariávelconsolidadojul[[#Headers],[30]],tabela_registros[REGISTRO],DADOS!$N$5,tabela_registros[TIPO],DADOS!$AB$4,tabela_registros[CATEGORIA],investirrendavariávelconsolidadojul[[#This Row],[ATUAL]])</f>
        <v>0</v>
      </c>
      <c r="AI141" s="218" t="n">
        <f aca="false">SUMIFS(tabela_registros[VALOR],tabela_registros[MÊS],$AE$1,tabela_registros[DIA],investirrendavariávelconsolidadojul[[#Headers],[31]],tabela_registros[REGISTRO],DADOS!$N$5,tabela_registros[TIPO],DADOS!$AB$4,tabela_registros[CATEGORIA],investirrendavariávelconsolidadojul[[#This Row],[ATUAL]])</f>
        <v>0</v>
      </c>
      <c r="AJ141" s="149" t="n">
        <f aca="false">SUM(investirrendavariávelconsolidadojul[[#This Row],[1]:[31]])</f>
        <v>0</v>
      </c>
      <c r="AK141" s="165"/>
    </row>
    <row r="142" s="122" customFormat="true" ht="21" hidden="false" customHeight="true" outlineLevel="0" collapsed="false">
      <c r="B142" s="152"/>
      <c r="C142" s="153" t="s">
        <v>2</v>
      </c>
      <c r="D142" s="166"/>
      <c r="E142" s="155" t="n">
        <f aca="false">SUM(E132:E141)</f>
        <v>0</v>
      </c>
      <c r="F142" s="156" t="n">
        <f aca="false">SUM(F132:F141)+investirrendavariávelconsolidadojul[[#This Row],[1]]</f>
        <v>0</v>
      </c>
      <c r="G142" s="156" t="n">
        <f aca="false">SUM(G132:G141)+investirrendavariávelconsolidadojul[[#This Row],[2]]</f>
        <v>0</v>
      </c>
      <c r="H142" s="156" t="n">
        <f aca="false">SUM(H132:H141)+investirrendavariávelconsolidadojul[[#This Row],[3]]</f>
        <v>0</v>
      </c>
      <c r="I142" s="156" t="n">
        <f aca="false">SUM(I132:I141)+investirrendavariávelconsolidadojul[[#This Row],[4]]</f>
        <v>0</v>
      </c>
      <c r="J142" s="156" t="n">
        <f aca="false">SUM(J132:J141)+investirrendavariávelconsolidadojul[[#This Row],[5]]</f>
        <v>0</v>
      </c>
      <c r="K142" s="156" t="n">
        <f aca="false">SUM(K132:K141)+investirrendavariávelconsolidadojul[[#This Row],[6]]</f>
        <v>0</v>
      </c>
      <c r="L142" s="156" t="n">
        <f aca="false">SUM(L132:L141)+investirrendavariávelconsolidadojul[[#This Row],[7]]</f>
        <v>0</v>
      </c>
      <c r="M142" s="156" t="n">
        <f aca="false">SUM(M132:M141)+investirrendavariávelconsolidadojul[[#This Row],[8]]</f>
        <v>0</v>
      </c>
      <c r="N142" s="156" t="n">
        <f aca="false">SUM(N132:N141)+investirrendavariávelconsolidadojul[[#This Row],[9]]</f>
        <v>0</v>
      </c>
      <c r="O142" s="156" t="n">
        <f aca="false">SUM(O132:O141)+investirrendavariávelconsolidadojul[[#This Row],[10]]</f>
        <v>0</v>
      </c>
      <c r="P142" s="156" t="n">
        <f aca="false">SUM(P132:P141)+investirrendavariávelconsolidadojul[[#This Row],[11]]</f>
        <v>0</v>
      </c>
      <c r="Q142" s="156" t="n">
        <f aca="false">SUM(Q132:Q141)+investirrendavariávelconsolidadojul[[#This Row],[12]]</f>
        <v>0</v>
      </c>
      <c r="R142" s="156" t="n">
        <f aca="false">SUM(R132:R141)+investirrendavariávelconsolidadojul[[#This Row],[13]]</f>
        <v>0</v>
      </c>
      <c r="S142" s="156" t="n">
        <f aca="false">SUM(S132:S141)+investirrendavariávelconsolidadojul[[#This Row],[14]]</f>
        <v>0</v>
      </c>
      <c r="T142" s="156" t="n">
        <f aca="false">SUM(T132:T141)+investirrendavariávelconsolidadojul[[#This Row],[15]]</f>
        <v>0</v>
      </c>
      <c r="U142" s="156" t="n">
        <f aca="false">SUM(U132:U141)+investirrendavariávelconsolidadojul[[#This Row],[16]]</f>
        <v>0</v>
      </c>
      <c r="V142" s="156" t="n">
        <f aca="false">SUM(V132:V141)+investirrendavariávelconsolidadojul[[#This Row],[17]]</f>
        <v>0</v>
      </c>
      <c r="W142" s="156" t="n">
        <f aca="false">SUM(W132:W141)+investirrendavariávelconsolidadojul[[#This Row],[18]]</f>
        <v>0</v>
      </c>
      <c r="X142" s="156" t="n">
        <f aca="false">SUM(X132:X141)+investirrendavariávelconsolidadojul[[#This Row],[19]]</f>
        <v>0</v>
      </c>
      <c r="Y142" s="156" t="n">
        <f aca="false">SUM(Y132:Y141)+investirrendavariávelconsolidadojul[[#This Row],[20]]</f>
        <v>0</v>
      </c>
      <c r="Z142" s="156" t="n">
        <f aca="false">SUM(Z132:Z141)+investirrendavariávelconsolidadojul[[#This Row],[21]]</f>
        <v>0</v>
      </c>
      <c r="AA142" s="156" t="n">
        <f aca="false">SUM(AA132:AA141)+investirrendavariávelconsolidadojul[[#This Row],[22]]</f>
        <v>0</v>
      </c>
      <c r="AB142" s="156" t="n">
        <f aca="false">SUM(AB132:AB141)+investirrendavariávelconsolidadojul[[#This Row],[23]]</f>
        <v>0</v>
      </c>
      <c r="AC142" s="156" t="n">
        <f aca="false">SUM(AC132:AC141)+investirrendavariávelconsolidadojul[[#This Row],[24]]</f>
        <v>0</v>
      </c>
      <c r="AD142" s="156" t="n">
        <f aca="false">SUM(AD132:AD141)+investirrendavariávelconsolidadojul[[#This Row],[25]]</f>
        <v>0</v>
      </c>
      <c r="AE142" s="156" t="n">
        <f aca="false">SUM(AE132:AE141)+investirrendavariávelconsolidadojul[[#This Row],[26]]</f>
        <v>0</v>
      </c>
      <c r="AF142" s="156" t="n">
        <f aca="false">SUM(AF132:AF141)+investirrendavariávelconsolidadojul[[#This Row],[27]]</f>
        <v>0</v>
      </c>
      <c r="AG142" s="156" t="n">
        <f aca="false">SUM(AG132:AG141)+investirrendavariávelconsolidadojul[[#This Row],[28]]</f>
        <v>0</v>
      </c>
      <c r="AH142" s="156" t="n">
        <f aca="false">SUM(AH132:AH141)+investirrendavariávelconsolidadojul[[#This Row],[29]]</f>
        <v>0</v>
      </c>
      <c r="AI142" s="223" t="n">
        <f aca="false">SUM(AI132:AI141)+investirrendavariávelconsolidadojul[[#This Row],[30]]</f>
        <v>0</v>
      </c>
      <c r="AJ142" s="157" t="n">
        <f aca="false">investirrendavariávelconsolidadojul[[#This Row],[31]]</f>
        <v>0</v>
      </c>
      <c r="AK142" s="158"/>
    </row>
    <row r="143" customFormat="false" ht="6.75" hidden="false" customHeight="true" outlineLevel="0" collapsed="false">
      <c r="B143" s="97"/>
      <c r="C143" s="162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233"/>
      <c r="AJ143" s="164"/>
      <c r="AK143" s="244"/>
    </row>
    <row r="144" s="78" customFormat="true" ht="12.75" hidden="false" customHeight="false" outlineLevel="0" collapsed="false">
      <c r="E144" s="100"/>
    </row>
    <row r="145" s="78" customFormat="true" ht="12" hidden="false" customHeight="false" outlineLevel="0" collapsed="false"/>
    <row r="146" s="78" customFormat="true" ht="12" hidden="false" customHeight="false" outlineLevel="0" collapsed="false"/>
    <row r="147" customFormat="false" ht="39.75" hidden="false" customHeight="true" outlineLevel="0" collapsed="false">
      <c r="C147" s="101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3" t="s">
        <v>2</v>
      </c>
    </row>
    <row r="148" s="78" customFormat="true" ht="12.75" hidden="false" customHeight="false" outlineLevel="0" collapsed="false">
      <c r="B148" s="161"/>
      <c r="AJ148" s="106" t="s">
        <v>64</v>
      </c>
    </row>
    <row r="149" customFormat="false" ht="6.75" hidden="false" customHeight="true" outlineLevel="0" collapsed="false">
      <c r="B149" s="86"/>
      <c r="C149" s="162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233"/>
      <c r="AK149" s="139"/>
    </row>
    <row r="150" customFormat="false" ht="13.5" hidden="true" customHeight="false" outlineLevel="0" collapsed="false">
      <c r="B150" s="86"/>
      <c r="C150" s="109" t="s">
        <v>68</v>
      </c>
      <c r="D150" s="110" t="s">
        <v>69</v>
      </c>
      <c r="E150" s="110" t="s">
        <v>30</v>
      </c>
      <c r="F150" s="110" t="s">
        <v>31</v>
      </c>
      <c r="G150" s="110" t="s">
        <v>32</v>
      </c>
      <c r="H150" s="110" t="s">
        <v>33</v>
      </c>
      <c r="I150" s="110" t="s">
        <v>34</v>
      </c>
      <c r="J150" s="110" t="s">
        <v>35</v>
      </c>
      <c r="K150" s="110" t="s">
        <v>36</v>
      </c>
      <c r="L150" s="110" t="s">
        <v>37</v>
      </c>
      <c r="M150" s="110" t="s">
        <v>38</v>
      </c>
      <c r="N150" s="110" t="s">
        <v>39</v>
      </c>
      <c r="O150" s="110" t="s">
        <v>40</v>
      </c>
      <c r="P150" s="110" t="s">
        <v>41</v>
      </c>
      <c r="Q150" s="110" t="s">
        <v>81</v>
      </c>
      <c r="R150" s="110" t="s">
        <v>82</v>
      </c>
      <c r="S150" s="110" t="s">
        <v>83</v>
      </c>
      <c r="T150" s="110" t="s">
        <v>84</v>
      </c>
      <c r="U150" s="110" t="s">
        <v>85</v>
      </c>
      <c r="V150" s="110" t="s">
        <v>86</v>
      </c>
      <c r="W150" s="110" t="s">
        <v>87</v>
      </c>
      <c r="X150" s="110" t="s">
        <v>88</v>
      </c>
      <c r="Y150" s="110" t="s">
        <v>89</v>
      </c>
      <c r="Z150" s="110" t="s">
        <v>90</v>
      </c>
      <c r="AA150" s="110" t="s">
        <v>91</v>
      </c>
      <c r="AB150" s="110" t="s">
        <v>92</v>
      </c>
      <c r="AC150" s="110" t="s">
        <v>93</v>
      </c>
      <c r="AD150" s="110" t="s">
        <v>94</v>
      </c>
      <c r="AE150" s="110" t="s">
        <v>95</v>
      </c>
      <c r="AF150" s="110" t="s">
        <v>96</v>
      </c>
      <c r="AG150" s="110" t="s">
        <v>97</v>
      </c>
      <c r="AH150" s="110" t="s">
        <v>98</v>
      </c>
      <c r="AI150" s="110" t="s">
        <v>99</v>
      </c>
      <c r="AJ150" s="111" t="s">
        <v>70</v>
      </c>
      <c r="AK150" s="86"/>
    </row>
    <row r="151" customFormat="false" ht="19.5" hidden="false" customHeight="true" outlineLevel="0" collapsed="false">
      <c r="B151" s="143"/>
      <c r="C151" s="144" t="str">
        <f aca="false">DADOS!$AH$3</f>
        <v>📝 COE</v>
      </c>
      <c r="D151" s="145" t="str">
        <f aca="false">IF(investiroutrosconsolidadojul[[#This Row],[TOTAL (R$)]]=0,"",IF(OR(investiroutrosconsolidadojul[[#This Row],[TOTAL (R$)]]=LARGE($AJ$151:$AJ$158,1),investiroutrosconsolidadojul[[#This Row],[TOTAL (R$)]]=LARGE($AJ$151:$AJ$158,2)),DADOS!$I$10,""))</f>
        <v/>
      </c>
      <c r="E151" s="148" t="n">
        <f aca="false">SUMIFS(tabela_registros[VALOR],tabela_registros[MÊS],$AE$1,tabela_registros[DIA],investiroutrosconsolidadojul[[#Headers],[1]],tabela_registros[REGISTRO],DADOS!$N$5,tabela_registros[TIPO],DADOS!$AB$5,tabela_registros[CATEGORIA],investiroutrosconsolidadojul[[#This Row],[ATUAL]])</f>
        <v>0</v>
      </c>
      <c r="F151" s="119" t="n">
        <f aca="false">SUMIFS(tabela_registros[VALOR],tabela_registros[MÊS],$AE$1,tabela_registros[DIA],investiroutrosconsolidadojul[[#Headers],[2]],tabela_registros[REGISTRO],DADOS!$N$5,tabela_registros[TIPO],DADOS!$AB$5,tabela_registros[CATEGORIA],investiroutrosconsolidadojul[[#This Row],[ATUAL]])</f>
        <v>0</v>
      </c>
      <c r="G151" s="119" t="n">
        <f aca="false">SUMIFS(tabela_registros[VALOR],tabela_registros[MÊS],$AE$1,tabela_registros[DIA],investiroutrosconsolidadojul[[#Headers],[3]],tabela_registros[REGISTRO],DADOS!$N$5,tabela_registros[TIPO],DADOS!$AB$5,tabela_registros[CATEGORIA],investiroutrosconsolidadojul[[#This Row],[ATUAL]])</f>
        <v>0</v>
      </c>
      <c r="H151" s="119" t="n">
        <f aca="false">SUMIFS(tabela_registros[VALOR],tabela_registros[MÊS],$AE$1,tabela_registros[DIA],investiroutrosconsolidadojul[[#Headers],[4]],tabela_registros[REGISTRO],DADOS!$N$5,tabela_registros[TIPO],DADOS!$AB$5,tabela_registros[CATEGORIA],investiroutrosconsolidadojul[[#This Row],[ATUAL]])</f>
        <v>0</v>
      </c>
      <c r="I151" s="119" t="n">
        <f aca="false">SUMIFS(tabela_registros[VALOR],tabela_registros[MÊS],$AE$1,tabela_registros[DIA],investiroutrosconsolidadojul[[#Headers],[5]],tabela_registros[REGISTRO],DADOS!$N$5,tabela_registros[TIPO],DADOS!$AB$5,tabela_registros[CATEGORIA],investiroutrosconsolidadojul[[#This Row],[ATUAL]])</f>
        <v>0</v>
      </c>
      <c r="J151" s="119" t="n">
        <f aca="false">SUMIFS(tabela_registros[VALOR],tabela_registros[MÊS],$AE$1,tabela_registros[DIA],investiroutrosconsolidadojul[[#Headers],[6]],tabela_registros[REGISTRO],DADOS!$N$5,tabela_registros[TIPO],DADOS!$AB$5,tabela_registros[CATEGORIA],investiroutrosconsolidadojul[[#This Row],[ATUAL]])</f>
        <v>0</v>
      </c>
      <c r="K151" s="119" t="n">
        <f aca="false">SUMIFS(tabela_registros[VALOR],tabela_registros[MÊS],$AE$1,tabela_registros[DIA],investiroutrosconsolidadojul[[#Headers],[7]],tabela_registros[REGISTRO],DADOS!$N$5,tabela_registros[TIPO],DADOS!$AB$5,tabela_registros[CATEGORIA],investiroutrosconsolidadojul[[#This Row],[ATUAL]])</f>
        <v>0</v>
      </c>
      <c r="L151" s="119" t="n">
        <f aca="false">SUMIFS(tabela_registros[VALOR],tabela_registros[MÊS],$AE$1,tabela_registros[DIA],investiroutrosconsolidadojul[[#Headers],[8]],tabela_registros[REGISTRO],DADOS!$N$5,tabela_registros[TIPO],DADOS!$AB$5,tabela_registros[CATEGORIA],investiroutrosconsolidadojul[[#This Row],[ATUAL]])</f>
        <v>0</v>
      </c>
      <c r="M151" s="119" t="n">
        <f aca="false">SUMIFS(tabela_registros[VALOR],tabela_registros[MÊS],$AE$1,tabela_registros[DIA],investiroutrosconsolidadojul[[#Headers],[9]],tabela_registros[REGISTRO],DADOS!$N$5,tabela_registros[TIPO],DADOS!$AB$5,tabela_registros[CATEGORIA],investiroutrosconsolidadojul[[#This Row],[ATUAL]])</f>
        <v>0</v>
      </c>
      <c r="N151" s="119" t="n">
        <f aca="false">SUMIFS(tabela_registros[VALOR],tabela_registros[MÊS],$AE$1,tabela_registros[DIA],investiroutrosconsolidadojul[[#Headers],[10]],tabela_registros[REGISTRO],DADOS!$N$5,tabela_registros[TIPO],DADOS!$AB$5,tabela_registros[CATEGORIA],investiroutrosconsolidadojul[[#This Row],[ATUAL]])</f>
        <v>0</v>
      </c>
      <c r="O151" s="119" t="n">
        <f aca="false">SUMIFS(tabela_registros[VALOR],tabela_registros[MÊS],$AE$1,tabela_registros[DIA],investiroutrosconsolidadojul[[#Headers],[11]],tabela_registros[REGISTRO],DADOS!$N$5,tabela_registros[TIPO],DADOS!$AB$5,tabela_registros[CATEGORIA],investiroutrosconsolidadojul[[#This Row],[ATUAL]])</f>
        <v>0</v>
      </c>
      <c r="P151" s="119" t="n">
        <f aca="false">SUMIFS(tabela_registros[VALOR],tabela_registros[MÊS],$AE$1,tabela_registros[DIA],investiroutrosconsolidadojul[[#Headers],[12]],tabela_registros[REGISTRO],DADOS!$N$5,tabela_registros[TIPO],DADOS!$AB$5,tabela_registros[CATEGORIA],investiroutrosconsolidadojul[[#This Row],[ATUAL]])</f>
        <v>0</v>
      </c>
      <c r="Q151" s="119" t="n">
        <f aca="false">SUMIFS(tabela_registros[VALOR],tabela_registros[MÊS],$AE$1,tabela_registros[DIA],investiroutrosconsolidadojul[[#Headers],[13]],tabela_registros[REGISTRO],DADOS!$N$5,tabela_registros[TIPO],DADOS!$AB$5,tabela_registros[CATEGORIA],investiroutrosconsolidadojul[[#This Row],[ATUAL]])</f>
        <v>0</v>
      </c>
      <c r="R151" s="119" t="n">
        <f aca="false">SUMIFS(tabela_registros[VALOR],tabela_registros[MÊS],$AE$1,tabela_registros[DIA],investiroutrosconsolidadojul[[#Headers],[14]],tabela_registros[REGISTRO],DADOS!$N$5,tabela_registros[TIPO],DADOS!$AB$5,tabela_registros[CATEGORIA],investiroutrosconsolidadojul[[#This Row],[ATUAL]])</f>
        <v>0</v>
      </c>
      <c r="S151" s="119" t="n">
        <f aca="false">SUMIFS(tabela_registros[VALOR],tabela_registros[MÊS],$AE$1,tabela_registros[DIA],investiroutrosconsolidadojul[[#Headers],[15]],tabela_registros[REGISTRO],DADOS!$N$5,tabela_registros[TIPO],DADOS!$AB$5,tabela_registros[CATEGORIA],investiroutrosconsolidadojul[[#This Row],[ATUAL]])</f>
        <v>0</v>
      </c>
      <c r="T151" s="119" t="n">
        <f aca="false">SUMIFS(tabela_registros[VALOR],tabela_registros[MÊS],$AE$1,tabela_registros[DIA],investiroutrosconsolidadojul[[#Headers],[16]],tabela_registros[REGISTRO],DADOS!$N$5,tabela_registros[TIPO],DADOS!$AB$5,tabela_registros[CATEGORIA],investiroutrosconsolidadojul[[#This Row],[ATUAL]])</f>
        <v>0</v>
      </c>
      <c r="U151" s="119" t="n">
        <f aca="false">SUMIFS(tabela_registros[VALOR],tabela_registros[MÊS],$AE$1,tabela_registros[DIA],investiroutrosconsolidadojul[[#Headers],[17]],tabela_registros[REGISTRO],DADOS!$N$5,tabela_registros[TIPO],DADOS!$AB$5,tabela_registros[CATEGORIA],investiroutrosconsolidadojul[[#This Row],[ATUAL]])</f>
        <v>0</v>
      </c>
      <c r="V151" s="119" t="n">
        <f aca="false">SUMIFS(tabela_registros[VALOR],tabela_registros[MÊS],$AE$1,tabela_registros[DIA],investiroutrosconsolidadojul[[#Headers],[18]],tabela_registros[REGISTRO],DADOS!$N$5,tabela_registros[TIPO],DADOS!$AB$5,tabela_registros[CATEGORIA],investiroutrosconsolidadojul[[#This Row],[ATUAL]])</f>
        <v>0</v>
      </c>
      <c r="W151" s="119" t="n">
        <f aca="false">SUMIFS(tabela_registros[VALOR],tabela_registros[MÊS],$AE$1,tabela_registros[DIA],investiroutrosconsolidadojul[[#Headers],[19]],tabela_registros[REGISTRO],DADOS!$N$5,tabela_registros[TIPO],DADOS!$AB$5,tabela_registros[CATEGORIA],investiroutrosconsolidadojul[[#This Row],[ATUAL]])</f>
        <v>0</v>
      </c>
      <c r="X151" s="119" t="n">
        <f aca="false">SUMIFS(tabela_registros[VALOR],tabela_registros[MÊS],$AE$1,tabela_registros[DIA],investiroutrosconsolidadojul[[#Headers],[20]],tabela_registros[REGISTRO],DADOS!$N$5,tabela_registros[TIPO],DADOS!$AB$5,tabela_registros[CATEGORIA],investiroutrosconsolidadojul[[#This Row],[ATUAL]])</f>
        <v>0</v>
      </c>
      <c r="Y151" s="119" t="n">
        <f aca="false">SUMIFS(tabela_registros[VALOR],tabela_registros[MÊS],$AE$1,tabela_registros[DIA],investiroutrosconsolidadojul[[#Headers],[21]],tabela_registros[REGISTRO],DADOS!$N$5,tabela_registros[TIPO],DADOS!$AB$5,tabela_registros[CATEGORIA],investiroutrosconsolidadojul[[#This Row],[ATUAL]])</f>
        <v>0</v>
      </c>
      <c r="Z151" s="119" t="n">
        <f aca="false">SUMIFS(tabela_registros[VALOR],tabela_registros[MÊS],$AE$1,tabela_registros[DIA],investiroutrosconsolidadojul[[#Headers],[22]],tabela_registros[REGISTRO],DADOS!$N$5,tabela_registros[TIPO],DADOS!$AB$5,tabela_registros[CATEGORIA],investiroutrosconsolidadojul[[#This Row],[ATUAL]])</f>
        <v>0</v>
      </c>
      <c r="AA151" s="119" t="n">
        <f aca="false">SUMIFS(tabela_registros[VALOR],tabela_registros[MÊS],$AE$1,tabela_registros[DIA],investiroutrosconsolidadojul[[#Headers],[23]],tabela_registros[REGISTRO],DADOS!$N$5,tabela_registros[TIPO],DADOS!$AB$5,tabela_registros[CATEGORIA],investiroutrosconsolidadojul[[#This Row],[ATUAL]])</f>
        <v>0</v>
      </c>
      <c r="AB151" s="119" t="n">
        <f aca="false">SUMIFS(tabela_registros[VALOR],tabela_registros[MÊS],$AE$1,tabela_registros[DIA],investiroutrosconsolidadojul[[#Headers],[24]],tabela_registros[REGISTRO],DADOS!$N$5,tabela_registros[TIPO],DADOS!$AB$5,tabela_registros[CATEGORIA],investiroutrosconsolidadojul[[#This Row],[ATUAL]])</f>
        <v>0</v>
      </c>
      <c r="AC151" s="119" t="n">
        <f aca="false">SUMIFS(tabela_registros[VALOR],tabela_registros[MÊS],$AE$1,tabela_registros[DIA],investiroutrosconsolidadojul[[#Headers],[25]],tabela_registros[REGISTRO],DADOS!$N$5,tabela_registros[TIPO],DADOS!$AB$5,tabela_registros[CATEGORIA],investiroutrosconsolidadojul[[#This Row],[ATUAL]])</f>
        <v>0</v>
      </c>
      <c r="AD151" s="119" t="n">
        <f aca="false">SUMIFS(tabela_registros[VALOR],tabela_registros[MÊS],$AE$1,tabela_registros[DIA],investiroutrosconsolidadojul[[#Headers],[26]],tabela_registros[REGISTRO],DADOS!$N$5,tabela_registros[TIPO],DADOS!$AB$5,tabela_registros[CATEGORIA],investiroutrosconsolidadojul[[#This Row],[ATUAL]])</f>
        <v>0</v>
      </c>
      <c r="AE151" s="119" t="n">
        <f aca="false">SUMIFS(tabela_registros[VALOR],tabela_registros[MÊS],$AE$1,tabela_registros[DIA],investiroutrosconsolidadojul[[#Headers],[27]],tabela_registros[REGISTRO],DADOS!$N$5,tabela_registros[TIPO],DADOS!$AB$5,tabela_registros[CATEGORIA],investiroutrosconsolidadojul[[#This Row],[ATUAL]])</f>
        <v>0</v>
      </c>
      <c r="AF151" s="119" t="n">
        <f aca="false">SUMIFS(tabela_registros[VALOR],tabela_registros[MÊS],$AE$1,tabela_registros[DIA],investiroutrosconsolidadojul[[#Headers],[28]],tabela_registros[REGISTRO],DADOS!$N$5,tabela_registros[TIPO],DADOS!$AB$5,tabela_registros[CATEGORIA],investiroutrosconsolidadojul[[#This Row],[ATUAL]])</f>
        <v>0</v>
      </c>
      <c r="AG151" s="119" t="n">
        <f aca="false">SUMIFS(tabela_registros[VALOR],tabela_registros[MÊS],$AE$1,tabela_registros[DIA],investiroutrosconsolidadojul[[#Headers],[29]],tabela_registros[REGISTRO],DADOS!$N$5,tabela_registros[TIPO],DADOS!$AB$5,tabela_registros[CATEGORIA],investiroutrosconsolidadojul[[#This Row],[ATUAL]])</f>
        <v>0</v>
      </c>
      <c r="AH151" s="119" t="n">
        <f aca="false">SUMIFS(tabela_registros[VALOR],tabela_registros[MÊS],$AE$1,tabela_registros[DIA],investiroutrosconsolidadojul[[#Headers],[30]],tabela_registros[REGISTRO],DADOS!$N$5,tabela_registros[TIPO],DADOS!$AB$5,tabela_registros[CATEGORIA],investiroutrosconsolidadojul[[#This Row],[ATUAL]])</f>
        <v>0</v>
      </c>
      <c r="AI151" s="217" t="n">
        <f aca="false">SUMIFS(tabela_registros[VALOR],tabela_registros[MÊS],$AE$1,tabela_registros[DIA],investiroutrosconsolidadojul[[#Headers],[31]],tabela_registros[REGISTRO],DADOS!$N$5,tabela_registros[TIPO],DADOS!$AB$5,tabela_registros[CATEGORIA],investiroutrosconsolidadojul[[#This Row],[ATUAL]])</f>
        <v>0</v>
      </c>
      <c r="AJ151" s="149" t="n">
        <f aca="false">SUM(investiroutrosconsolidadojul[[#This Row],[1]:[31]])</f>
        <v>0</v>
      </c>
      <c r="AK151" s="165"/>
    </row>
    <row r="152" customFormat="false" ht="19.5" hidden="false" customHeight="true" outlineLevel="0" collapsed="false">
      <c r="B152" s="143"/>
      <c r="C152" s="144" t="str">
        <f aca="false">DADOS!$AH$4</f>
        <v>📝 FOREX</v>
      </c>
      <c r="D152" s="145" t="str">
        <f aca="false">IF(investiroutrosconsolidadojul[[#This Row],[TOTAL (R$)]]=0,"",IF(OR(investiroutrosconsolidadojul[[#This Row],[TOTAL (R$)]]=LARGE($AJ$151:$AJ$158,1),investiroutrosconsolidadojul[[#This Row],[TOTAL (R$)]]=LARGE($AJ$151:$AJ$158,2)),DADOS!$I$10,""))</f>
        <v/>
      </c>
      <c r="E152" s="148" t="n">
        <f aca="false">SUMIFS(tabela_registros[VALOR],tabela_registros[MÊS],$AE$1,tabela_registros[DIA],investiroutrosconsolidadojul[[#Headers],[1]],tabela_registros[REGISTRO],DADOS!$N$5,tabela_registros[TIPO],DADOS!$AB$5,tabela_registros[CATEGORIA],investiroutrosconsolidadojul[[#This Row],[ATUAL]])</f>
        <v>0</v>
      </c>
      <c r="F152" s="119" t="n">
        <f aca="false">SUMIFS(tabela_registros[VALOR],tabela_registros[MÊS],$AE$1,tabela_registros[DIA],investiroutrosconsolidadojul[[#Headers],[2]],tabela_registros[REGISTRO],DADOS!$N$5,tabela_registros[TIPO],DADOS!$AB$5,tabela_registros[CATEGORIA],investiroutrosconsolidadojul[[#This Row],[ATUAL]])</f>
        <v>0</v>
      </c>
      <c r="G152" s="119" t="n">
        <f aca="false">SUMIFS(tabela_registros[VALOR],tabela_registros[MÊS],$AE$1,tabela_registros[DIA],investiroutrosconsolidadojul[[#Headers],[3]],tabela_registros[REGISTRO],DADOS!$N$5,tabela_registros[TIPO],DADOS!$AB$5,tabela_registros[CATEGORIA],investiroutrosconsolidadojul[[#This Row],[ATUAL]])</f>
        <v>0</v>
      </c>
      <c r="H152" s="119" t="n">
        <f aca="false">SUMIFS(tabela_registros[VALOR],tabela_registros[MÊS],$AE$1,tabela_registros[DIA],investiroutrosconsolidadojul[[#Headers],[4]],tabela_registros[REGISTRO],DADOS!$N$5,tabela_registros[TIPO],DADOS!$AB$5,tabela_registros[CATEGORIA],investiroutrosconsolidadojul[[#This Row],[ATUAL]])</f>
        <v>0</v>
      </c>
      <c r="I152" s="119" t="n">
        <f aca="false">SUMIFS(tabela_registros[VALOR],tabela_registros[MÊS],$AE$1,tabela_registros[DIA],investiroutrosconsolidadojul[[#Headers],[5]],tabela_registros[REGISTRO],DADOS!$N$5,tabela_registros[TIPO],DADOS!$AB$5,tabela_registros[CATEGORIA],investiroutrosconsolidadojul[[#This Row],[ATUAL]])</f>
        <v>0</v>
      </c>
      <c r="J152" s="119" t="n">
        <f aca="false">SUMIFS(tabela_registros[VALOR],tabela_registros[MÊS],$AE$1,tabela_registros[DIA],investiroutrosconsolidadojul[[#Headers],[6]],tabela_registros[REGISTRO],DADOS!$N$5,tabela_registros[TIPO],DADOS!$AB$5,tabela_registros[CATEGORIA],investiroutrosconsolidadojul[[#This Row],[ATUAL]])</f>
        <v>0</v>
      </c>
      <c r="K152" s="119" t="n">
        <f aca="false">SUMIFS(tabela_registros[VALOR],tabela_registros[MÊS],$AE$1,tabela_registros[DIA],investiroutrosconsolidadojul[[#Headers],[7]],tabela_registros[REGISTRO],DADOS!$N$5,tabela_registros[TIPO],DADOS!$AB$5,tabela_registros[CATEGORIA],investiroutrosconsolidadojul[[#This Row],[ATUAL]])</f>
        <v>0</v>
      </c>
      <c r="L152" s="119" t="n">
        <f aca="false">SUMIFS(tabela_registros[VALOR],tabela_registros[MÊS],$AE$1,tabela_registros[DIA],investiroutrosconsolidadojul[[#Headers],[8]],tabela_registros[REGISTRO],DADOS!$N$5,tabela_registros[TIPO],DADOS!$AB$5,tabela_registros[CATEGORIA],investiroutrosconsolidadojul[[#This Row],[ATUAL]])</f>
        <v>0</v>
      </c>
      <c r="M152" s="119" t="n">
        <f aca="false">SUMIFS(tabela_registros[VALOR],tabela_registros[MÊS],$AE$1,tabela_registros[DIA],investiroutrosconsolidadojul[[#Headers],[9]],tabela_registros[REGISTRO],DADOS!$N$5,tabela_registros[TIPO],DADOS!$AB$5,tabela_registros[CATEGORIA],investiroutrosconsolidadojul[[#This Row],[ATUAL]])</f>
        <v>0</v>
      </c>
      <c r="N152" s="119" t="n">
        <f aca="false">SUMIFS(tabela_registros[VALOR],tabela_registros[MÊS],$AE$1,tabela_registros[DIA],investiroutrosconsolidadojul[[#Headers],[10]],tabela_registros[REGISTRO],DADOS!$N$5,tabela_registros[TIPO],DADOS!$AB$5,tabela_registros[CATEGORIA],investiroutrosconsolidadojul[[#This Row],[ATUAL]])</f>
        <v>0</v>
      </c>
      <c r="O152" s="119" t="n">
        <f aca="false">SUMIFS(tabela_registros[VALOR],tabela_registros[MÊS],$AE$1,tabela_registros[DIA],investiroutrosconsolidadojul[[#Headers],[11]],tabela_registros[REGISTRO],DADOS!$N$5,tabela_registros[TIPO],DADOS!$AB$5,tabela_registros[CATEGORIA],investiroutrosconsolidadojul[[#This Row],[ATUAL]])</f>
        <v>0</v>
      </c>
      <c r="P152" s="119" t="n">
        <f aca="false">SUMIFS(tabela_registros[VALOR],tabela_registros[MÊS],$AE$1,tabela_registros[DIA],investiroutrosconsolidadojul[[#Headers],[12]],tabela_registros[REGISTRO],DADOS!$N$5,tabela_registros[TIPO],DADOS!$AB$5,tabela_registros[CATEGORIA],investiroutrosconsolidadojul[[#This Row],[ATUAL]])</f>
        <v>0</v>
      </c>
      <c r="Q152" s="119" t="n">
        <f aca="false">SUMIFS(tabela_registros[VALOR],tabela_registros[MÊS],$AE$1,tabela_registros[DIA],investiroutrosconsolidadojul[[#Headers],[13]],tabela_registros[REGISTRO],DADOS!$N$5,tabela_registros[TIPO],DADOS!$AB$5,tabela_registros[CATEGORIA],investiroutrosconsolidadojul[[#This Row],[ATUAL]])</f>
        <v>0</v>
      </c>
      <c r="R152" s="119" t="n">
        <f aca="false">SUMIFS(tabela_registros[VALOR],tabela_registros[MÊS],$AE$1,tabela_registros[DIA],investiroutrosconsolidadojul[[#Headers],[14]],tabela_registros[REGISTRO],DADOS!$N$5,tabela_registros[TIPO],DADOS!$AB$5,tabela_registros[CATEGORIA],investiroutrosconsolidadojul[[#This Row],[ATUAL]])</f>
        <v>0</v>
      </c>
      <c r="S152" s="119" t="n">
        <f aca="false">SUMIFS(tabela_registros[VALOR],tabela_registros[MÊS],$AE$1,tabela_registros[DIA],investiroutrosconsolidadojul[[#Headers],[15]],tabela_registros[REGISTRO],DADOS!$N$5,tabela_registros[TIPO],DADOS!$AB$5,tabela_registros[CATEGORIA],investiroutrosconsolidadojul[[#This Row],[ATUAL]])</f>
        <v>0</v>
      </c>
      <c r="T152" s="119" t="n">
        <f aca="false">SUMIFS(tabela_registros[VALOR],tabela_registros[MÊS],$AE$1,tabela_registros[DIA],investiroutrosconsolidadojul[[#Headers],[16]],tabela_registros[REGISTRO],DADOS!$N$5,tabela_registros[TIPO],DADOS!$AB$5,tabela_registros[CATEGORIA],investiroutrosconsolidadojul[[#This Row],[ATUAL]])</f>
        <v>0</v>
      </c>
      <c r="U152" s="119" t="n">
        <f aca="false">SUMIFS(tabela_registros[VALOR],tabela_registros[MÊS],$AE$1,tabela_registros[DIA],investiroutrosconsolidadojul[[#Headers],[17]],tabela_registros[REGISTRO],DADOS!$N$5,tabela_registros[TIPO],DADOS!$AB$5,tabela_registros[CATEGORIA],investiroutrosconsolidadojul[[#This Row],[ATUAL]])</f>
        <v>0</v>
      </c>
      <c r="V152" s="119" t="n">
        <f aca="false">SUMIFS(tabela_registros[VALOR],tabela_registros[MÊS],$AE$1,tabela_registros[DIA],investiroutrosconsolidadojul[[#Headers],[18]],tabela_registros[REGISTRO],DADOS!$N$5,tabela_registros[TIPO],DADOS!$AB$5,tabela_registros[CATEGORIA],investiroutrosconsolidadojul[[#This Row],[ATUAL]])</f>
        <v>0</v>
      </c>
      <c r="W152" s="119" t="n">
        <f aca="false">SUMIFS(tabela_registros[VALOR],tabela_registros[MÊS],$AE$1,tabela_registros[DIA],investiroutrosconsolidadojul[[#Headers],[19]],tabela_registros[REGISTRO],DADOS!$N$5,tabela_registros[TIPO],DADOS!$AB$5,tabela_registros[CATEGORIA],investiroutrosconsolidadojul[[#This Row],[ATUAL]])</f>
        <v>0</v>
      </c>
      <c r="X152" s="119" t="n">
        <f aca="false">SUMIFS(tabela_registros[VALOR],tabela_registros[MÊS],$AE$1,tabela_registros[DIA],investiroutrosconsolidadojul[[#Headers],[20]],tabela_registros[REGISTRO],DADOS!$N$5,tabela_registros[TIPO],DADOS!$AB$5,tabela_registros[CATEGORIA],investiroutrosconsolidadojul[[#This Row],[ATUAL]])</f>
        <v>0</v>
      </c>
      <c r="Y152" s="119" t="n">
        <f aca="false">SUMIFS(tabela_registros[VALOR],tabela_registros[MÊS],$AE$1,tabela_registros[DIA],investiroutrosconsolidadojul[[#Headers],[21]],tabela_registros[REGISTRO],DADOS!$N$5,tabela_registros[TIPO],DADOS!$AB$5,tabela_registros[CATEGORIA],investiroutrosconsolidadojul[[#This Row],[ATUAL]])</f>
        <v>0</v>
      </c>
      <c r="Z152" s="119" t="n">
        <f aca="false">SUMIFS(tabela_registros[VALOR],tabela_registros[MÊS],$AE$1,tabela_registros[DIA],investiroutrosconsolidadojul[[#Headers],[22]],tabela_registros[REGISTRO],DADOS!$N$5,tabela_registros[TIPO],DADOS!$AB$5,tabela_registros[CATEGORIA],investiroutrosconsolidadojul[[#This Row],[ATUAL]])</f>
        <v>0</v>
      </c>
      <c r="AA152" s="119" t="n">
        <f aca="false">SUMIFS(tabela_registros[VALOR],tabela_registros[MÊS],$AE$1,tabela_registros[DIA],investiroutrosconsolidadojul[[#Headers],[23]],tabela_registros[REGISTRO],DADOS!$N$5,tabela_registros[TIPO],DADOS!$AB$5,tabela_registros[CATEGORIA],investiroutrosconsolidadojul[[#This Row],[ATUAL]])</f>
        <v>0</v>
      </c>
      <c r="AB152" s="119" t="n">
        <f aca="false">SUMIFS(tabela_registros[VALOR],tabela_registros[MÊS],$AE$1,tabela_registros[DIA],investiroutrosconsolidadojul[[#Headers],[24]],tabela_registros[REGISTRO],DADOS!$N$5,tabela_registros[TIPO],DADOS!$AB$5,tabela_registros[CATEGORIA],investiroutrosconsolidadojul[[#This Row],[ATUAL]])</f>
        <v>0</v>
      </c>
      <c r="AC152" s="119" t="n">
        <f aca="false">SUMIFS(tabela_registros[VALOR],tabela_registros[MÊS],$AE$1,tabela_registros[DIA],investiroutrosconsolidadojul[[#Headers],[25]],tabela_registros[REGISTRO],DADOS!$N$5,tabela_registros[TIPO],DADOS!$AB$5,tabela_registros[CATEGORIA],investiroutrosconsolidadojul[[#This Row],[ATUAL]])</f>
        <v>0</v>
      </c>
      <c r="AD152" s="119" t="n">
        <f aca="false">SUMIFS(tabela_registros[VALOR],tabela_registros[MÊS],$AE$1,tabela_registros[DIA],investiroutrosconsolidadojul[[#Headers],[26]],tabela_registros[REGISTRO],DADOS!$N$5,tabela_registros[TIPO],DADOS!$AB$5,tabela_registros[CATEGORIA],investiroutrosconsolidadojul[[#This Row],[ATUAL]])</f>
        <v>0</v>
      </c>
      <c r="AE152" s="119" t="n">
        <f aca="false">SUMIFS(tabela_registros[VALOR],tabela_registros[MÊS],$AE$1,tabela_registros[DIA],investiroutrosconsolidadojul[[#Headers],[27]],tabela_registros[REGISTRO],DADOS!$N$5,tabela_registros[TIPO],DADOS!$AB$5,tabela_registros[CATEGORIA],investiroutrosconsolidadojul[[#This Row],[ATUAL]])</f>
        <v>0</v>
      </c>
      <c r="AF152" s="119" t="n">
        <f aca="false">SUMIFS(tabela_registros[VALOR],tabela_registros[MÊS],$AE$1,tabela_registros[DIA],investiroutrosconsolidadojul[[#Headers],[28]],tabela_registros[REGISTRO],DADOS!$N$5,tabela_registros[TIPO],DADOS!$AB$5,tabela_registros[CATEGORIA],investiroutrosconsolidadojul[[#This Row],[ATUAL]])</f>
        <v>0</v>
      </c>
      <c r="AG152" s="119" t="n">
        <f aca="false">SUMIFS(tabela_registros[VALOR],tabela_registros[MÊS],$AE$1,tabela_registros[DIA],investiroutrosconsolidadojul[[#Headers],[29]],tabela_registros[REGISTRO],DADOS!$N$5,tabela_registros[TIPO],DADOS!$AB$5,tabela_registros[CATEGORIA],investiroutrosconsolidadojul[[#This Row],[ATUAL]])</f>
        <v>0</v>
      </c>
      <c r="AH152" s="119" t="n">
        <f aca="false">SUMIFS(tabela_registros[VALOR],tabela_registros[MÊS],$AE$1,tabela_registros[DIA],investiroutrosconsolidadojul[[#Headers],[30]],tabela_registros[REGISTRO],DADOS!$N$5,tabela_registros[TIPO],DADOS!$AB$5,tabela_registros[CATEGORIA],investiroutrosconsolidadojul[[#This Row],[ATUAL]])</f>
        <v>0</v>
      </c>
      <c r="AI152" s="217" t="n">
        <f aca="false">SUMIFS(tabela_registros[VALOR],tabela_registros[MÊS],$AE$1,tabela_registros[DIA],investiroutrosconsolidadojul[[#Headers],[31]],tabela_registros[REGISTRO],DADOS!$N$5,tabela_registros[TIPO],DADOS!$AB$5,tabela_registros[CATEGORIA],investiroutrosconsolidadojul[[#This Row],[ATUAL]])</f>
        <v>0</v>
      </c>
      <c r="AJ152" s="149" t="n">
        <f aca="false">SUM(investiroutrosconsolidadojul[[#This Row],[1]:[31]])</f>
        <v>0</v>
      </c>
      <c r="AK152" s="165"/>
    </row>
    <row r="153" customFormat="false" ht="19.5" hidden="false" customHeight="true" outlineLevel="0" collapsed="false">
      <c r="B153" s="143"/>
      <c r="C153" s="144" t="str">
        <f aca="false">DADOS!$AH$5</f>
        <v>📝 FUNDO DE INVESTIMENTO</v>
      </c>
      <c r="D153" s="145" t="str">
        <f aca="false">IF(investiroutrosconsolidadojul[[#This Row],[TOTAL (R$)]]=0,"",IF(OR(investiroutrosconsolidadojul[[#This Row],[TOTAL (R$)]]=LARGE($AJ$151:$AJ$158,1),investiroutrosconsolidadojul[[#This Row],[TOTAL (R$)]]=LARGE($AJ$151:$AJ$158,2)),DADOS!$I$10,""))</f>
        <v/>
      </c>
      <c r="E153" s="148" t="n">
        <f aca="false">SUMIFS(tabela_registros[VALOR],tabela_registros[MÊS],$AE$1,tabela_registros[DIA],investiroutrosconsolidadojul[[#Headers],[1]],tabela_registros[REGISTRO],DADOS!$N$5,tabela_registros[TIPO],DADOS!$AB$5,tabela_registros[CATEGORIA],investiroutrosconsolidadojul[[#This Row],[ATUAL]])</f>
        <v>0</v>
      </c>
      <c r="F153" s="119" t="n">
        <f aca="false">SUMIFS(tabela_registros[VALOR],tabela_registros[MÊS],$AE$1,tabela_registros[DIA],investiroutrosconsolidadojul[[#Headers],[2]],tabela_registros[REGISTRO],DADOS!$N$5,tabela_registros[TIPO],DADOS!$AB$5,tabela_registros[CATEGORIA],investiroutrosconsolidadojul[[#This Row],[ATUAL]])</f>
        <v>0</v>
      </c>
      <c r="G153" s="119" t="n">
        <f aca="false">SUMIFS(tabela_registros[VALOR],tabela_registros[MÊS],$AE$1,tabela_registros[DIA],investiroutrosconsolidadojul[[#Headers],[3]],tabela_registros[REGISTRO],DADOS!$N$5,tabela_registros[TIPO],DADOS!$AB$5,tabela_registros[CATEGORIA],investiroutrosconsolidadojul[[#This Row],[ATUAL]])</f>
        <v>0</v>
      </c>
      <c r="H153" s="119" t="n">
        <f aca="false">SUMIFS(tabela_registros[VALOR],tabela_registros[MÊS],$AE$1,tabela_registros[DIA],investiroutrosconsolidadojul[[#Headers],[4]],tabela_registros[REGISTRO],DADOS!$N$5,tabela_registros[TIPO],DADOS!$AB$5,tabela_registros[CATEGORIA],investiroutrosconsolidadojul[[#This Row],[ATUAL]])</f>
        <v>0</v>
      </c>
      <c r="I153" s="119" t="n">
        <f aca="false">SUMIFS(tabela_registros[VALOR],tabela_registros[MÊS],$AE$1,tabela_registros[DIA],investiroutrosconsolidadojul[[#Headers],[5]],tabela_registros[REGISTRO],DADOS!$N$5,tabela_registros[TIPO],DADOS!$AB$5,tabela_registros[CATEGORIA],investiroutrosconsolidadojul[[#This Row],[ATUAL]])</f>
        <v>0</v>
      </c>
      <c r="J153" s="119" t="n">
        <f aca="false">SUMIFS(tabela_registros[VALOR],tabela_registros[MÊS],$AE$1,tabela_registros[DIA],investiroutrosconsolidadojul[[#Headers],[6]],tabela_registros[REGISTRO],DADOS!$N$5,tabela_registros[TIPO],DADOS!$AB$5,tabela_registros[CATEGORIA],investiroutrosconsolidadojul[[#This Row],[ATUAL]])</f>
        <v>0</v>
      </c>
      <c r="K153" s="119" t="n">
        <f aca="false">SUMIFS(tabela_registros[VALOR],tabela_registros[MÊS],$AE$1,tabela_registros[DIA],investiroutrosconsolidadojul[[#Headers],[7]],tabela_registros[REGISTRO],DADOS!$N$5,tabela_registros[TIPO],DADOS!$AB$5,tabela_registros[CATEGORIA],investiroutrosconsolidadojul[[#This Row],[ATUAL]])</f>
        <v>0</v>
      </c>
      <c r="L153" s="119" t="n">
        <f aca="false">SUMIFS(tabela_registros[VALOR],tabela_registros[MÊS],$AE$1,tabela_registros[DIA],investiroutrosconsolidadojul[[#Headers],[8]],tabela_registros[REGISTRO],DADOS!$N$5,tabela_registros[TIPO],DADOS!$AB$5,tabela_registros[CATEGORIA],investiroutrosconsolidadojul[[#This Row],[ATUAL]])</f>
        <v>0</v>
      </c>
      <c r="M153" s="119" t="n">
        <f aca="false">SUMIFS(tabela_registros[VALOR],tabela_registros[MÊS],$AE$1,tabela_registros[DIA],investiroutrosconsolidadojul[[#Headers],[9]],tabela_registros[REGISTRO],DADOS!$N$5,tabela_registros[TIPO],DADOS!$AB$5,tabela_registros[CATEGORIA],investiroutrosconsolidadojul[[#This Row],[ATUAL]])</f>
        <v>0</v>
      </c>
      <c r="N153" s="119" t="n">
        <f aca="false">SUMIFS(tabela_registros[VALOR],tabela_registros[MÊS],$AE$1,tabela_registros[DIA],investiroutrosconsolidadojul[[#Headers],[10]],tabela_registros[REGISTRO],DADOS!$N$5,tabela_registros[TIPO],DADOS!$AB$5,tabela_registros[CATEGORIA],investiroutrosconsolidadojul[[#This Row],[ATUAL]])</f>
        <v>0</v>
      </c>
      <c r="O153" s="119" t="n">
        <f aca="false">SUMIFS(tabela_registros[VALOR],tabela_registros[MÊS],$AE$1,tabela_registros[DIA],investiroutrosconsolidadojul[[#Headers],[11]],tabela_registros[REGISTRO],DADOS!$N$5,tabela_registros[TIPO],DADOS!$AB$5,tabela_registros[CATEGORIA],investiroutrosconsolidadojul[[#This Row],[ATUAL]])</f>
        <v>0</v>
      </c>
      <c r="P153" s="119" t="n">
        <f aca="false">SUMIFS(tabela_registros[VALOR],tabela_registros[MÊS],$AE$1,tabela_registros[DIA],investiroutrosconsolidadojul[[#Headers],[12]],tabela_registros[REGISTRO],DADOS!$N$5,tabela_registros[TIPO],DADOS!$AB$5,tabela_registros[CATEGORIA],investiroutrosconsolidadojul[[#This Row],[ATUAL]])</f>
        <v>0</v>
      </c>
      <c r="Q153" s="119" t="n">
        <f aca="false">SUMIFS(tabela_registros[VALOR],tabela_registros[MÊS],$AE$1,tabela_registros[DIA],investiroutrosconsolidadojul[[#Headers],[13]],tabela_registros[REGISTRO],DADOS!$N$5,tabela_registros[TIPO],DADOS!$AB$5,tabela_registros[CATEGORIA],investiroutrosconsolidadojul[[#This Row],[ATUAL]])</f>
        <v>0</v>
      </c>
      <c r="R153" s="119" t="n">
        <f aca="false">SUMIFS(tabela_registros[VALOR],tabela_registros[MÊS],$AE$1,tabela_registros[DIA],investiroutrosconsolidadojul[[#Headers],[14]],tabela_registros[REGISTRO],DADOS!$N$5,tabela_registros[TIPO],DADOS!$AB$5,tabela_registros[CATEGORIA],investiroutrosconsolidadojul[[#This Row],[ATUAL]])</f>
        <v>0</v>
      </c>
      <c r="S153" s="119" t="n">
        <f aca="false">SUMIFS(tabela_registros[VALOR],tabela_registros[MÊS],$AE$1,tabela_registros[DIA],investiroutrosconsolidadojul[[#Headers],[15]],tabela_registros[REGISTRO],DADOS!$N$5,tabela_registros[TIPO],DADOS!$AB$5,tabela_registros[CATEGORIA],investiroutrosconsolidadojul[[#This Row],[ATUAL]])</f>
        <v>0</v>
      </c>
      <c r="T153" s="119" t="n">
        <f aca="false">SUMIFS(tabela_registros[VALOR],tabela_registros[MÊS],$AE$1,tabela_registros[DIA],investiroutrosconsolidadojul[[#Headers],[16]],tabela_registros[REGISTRO],DADOS!$N$5,tabela_registros[TIPO],DADOS!$AB$5,tabela_registros[CATEGORIA],investiroutrosconsolidadojul[[#This Row],[ATUAL]])</f>
        <v>0</v>
      </c>
      <c r="U153" s="119" t="n">
        <f aca="false">SUMIFS(tabela_registros[VALOR],tabela_registros[MÊS],$AE$1,tabela_registros[DIA],investiroutrosconsolidadojul[[#Headers],[17]],tabela_registros[REGISTRO],DADOS!$N$5,tabela_registros[TIPO],DADOS!$AB$5,tabela_registros[CATEGORIA],investiroutrosconsolidadojul[[#This Row],[ATUAL]])</f>
        <v>0</v>
      </c>
      <c r="V153" s="119" t="n">
        <f aca="false">SUMIFS(tabela_registros[VALOR],tabela_registros[MÊS],$AE$1,tabela_registros[DIA],investiroutrosconsolidadojul[[#Headers],[18]],tabela_registros[REGISTRO],DADOS!$N$5,tabela_registros[TIPO],DADOS!$AB$5,tabela_registros[CATEGORIA],investiroutrosconsolidadojul[[#This Row],[ATUAL]])</f>
        <v>0</v>
      </c>
      <c r="W153" s="119" t="n">
        <f aca="false">SUMIFS(tabela_registros[VALOR],tabela_registros[MÊS],$AE$1,tabela_registros[DIA],investiroutrosconsolidadojul[[#Headers],[19]],tabela_registros[REGISTRO],DADOS!$N$5,tabela_registros[TIPO],DADOS!$AB$5,tabela_registros[CATEGORIA],investiroutrosconsolidadojul[[#This Row],[ATUAL]])</f>
        <v>0</v>
      </c>
      <c r="X153" s="119" t="n">
        <f aca="false">SUMIFS(tabela_registros[VALOR],tabela_registros[MÊS],$AE$1,tabela_registros[DIA],investiroutrosconsolidadojul[[#Headers],[20]],tabela_registros[REGISTRO],DADOS!$N$5,tabela_registros[TIPO],DADOS!$AB$5,tabela_registros[CATEGORIA],investiroutrosconsolidadojul[[#This Row],[ATUAL]])</f>
        <v>0</v>
      </c>
      <c r="Y153" s="119" t="n">
        <f aca="false">SUMIFS(tabela_registros[VALOR],tabela_registros[MÊS],$AE$1,tabela_registros[DIA],investiroutrosconsolidadojul[[#Headers],[21]],tabela_registros[REGISTRO],DADOS!$N$5,tabela_registros[TIPO],DADOS!$AB$5,tabela_registros[CATEGORIA],investiroutrosconsolidadojul[[#This Row],[ATUAL]])</f>
        <v>0</v>
      </c>
      <c r="Z153" s="119" t="n">
        <f aca="false">SUMIFS(tabela_registros[VALOR],tabela_registros[MÊS],$AE$1,tabela_registros[DIA],investiroutrosconsolidadojul[[#Headers],[22]],tabela_registros[REGISTRO],DADOS!$N$5,tabela_registros[TIPO],DADOS!$AB$5,tabela_registros[CATEGORIA],investiroutrosconsolidadojul[[#This Row],[ATUAL]])</f>
        <v>0</v>
      </c>
      <c r="AA153" s="119" t="n">
        <f aca="false">SUMIFS(tabela_registros[VALOR],tabela_registros[MÊS],$AE$1,tabela_registros[DIA],investiroutrosconsolidadojul[[#Headers],[23]],tabela_registros[REGISTRO],DADOS!$N$5,tabela_registros[TIPO],DADOS!$AB$5,tabela_registros[CATEGORIA],investiroutrosconsolidadojul[[#This Row],[ATUAL]])</f>
        <v>0</v>
      </c>
      <c r="AB153" s="119" t="n">
        <f aca="false">SUMIFS(tabela_registros[VALOR],tabela_registros[MÊS],$AE$1,tabela_registros[DIA],investiroutrosconsolidadojul[[#Headers],[24]],tabela_registros[REGISTRO],DADOS!$N$5,tabela_registros[TIPO],DADOS!$AB$5,tabela_registros[CATEGORIA],investiroutrosconsolidadojul[[#This Row],[ATUAL]])</f>
        <v>0</v>
      </c>
      <c r="AC153" s="119" t="n">
        <f aca="false">SUMIFS(tabela_registros[VALOR],tabela_registros[MÊS],$AE$1,tabela_registros[DIA],investiroutrosconsolidadojul[[#Headers],[25]],tabela_registros[REGISTRO],DADOS!$N$5,tabela_registros[TIPO],DADOS!$AB$5,tabela_registros[CATEGORIA],investiroutrosconsolidadojul[[#This Row],[ATUAL]])</f>
        <v>0</v>
      </c>
      <c r="AD153" s="119" t="n">
        <f aca="false">SUMIFS(tabela_registros[VALOR],tabela_registros[MÊS],$AE$1,tabela_registros[DIA],investiroutrosconsolidadojul[[#Headers],[26]],tabela_registros[REGISTRO],DADOS!$N$5,tabela_registros[TIPO],DADOS!$AB$5,tabela_registros[CATEGORIA],investiroutrosconsolidadojul[[#This Row],[ATUAL]])</f>
        <v>0</v>
      </c>
      <c r="AE153" s="119" t="n">
        <f aca="false">SUMIFS(tabela_registros[VALOR],tabela_registros[MÊS],$AE$1,tabela_registros[DIA],investiroutrosconsolidadojul[[#Headers],[27]],tabela_registros[REGISTRO],DADOS!$N$5,tabela_registros[TIPO],DADOS!$AB$5,tabela_registros[CATEGORIA],investiroutrosconsolidadojul[[#This Row],[ATUAL]])</f>
        <v>0</v>
      </c>
      <c r="AF153" s="119" t="n">
        <f aca="false">SUMIFS(tabela_registros[VALOR],tabela_registros[MÊS],$AE$1,tabela_registros[DIA],investiroutrosconsolidadojul[[#Headers],[28]],tabela_registros[REGISTRO],DADOS!$N$5,tabela_registros[TIPO],DADOS!$AB$5,tabela_registros[CATEGORIA],investiroutrosconsolidadojul[[#This Row],[ATUAL]])</f>
        <v>0</v>
      </c>
      <c r="AG153" s="119" t="n">
        <f aca="false">SUMIFS(tabela_registros[VALOR],tabela_registros[MÊS],$AE$1,tabela_registros[DIA],investiroutrosconsolidadojul[[#Headers],[29]],tabela_registros[REGISTRO],DADOS!$N$5,tabela_registros[TIPO],DADOS!$AB$5,tabela_registros[CATEGORIA],investiroutrosconsolidadojul[[#This Row],[ATUAL]])</f>
        <v>0</v>
      </c>
      <c r="AH153" s="119" t="n">
        <f aca="false">SUMIFS(tabela_registros[VALOR],tabela_registros[MÊS],$AE$1,tabela_registros[DIA],investiroutrosconsolidadojul[[#Headers],[30]],tabela_registros[REGISTRO],DADOS!$N$5,tabela_registros[TIPO],DADOS!$AB$5,tabela_registros[CATEGORIA],investiroutrosconsolidadojul[[#This Row],[ATUAL]])</f>
        <v>0</v>
      </c>
      <c r="AI153" s="217" t="n">
        <f aca="false">SUMIFS(tabela_registros[VALOR],tabela_registros[MÊS],$AE$1,tabela_registros[DIA],investiroutrosconsolidadojul[[#Headers],[31]],tabela_registros[REGISTRO],DADOS!$N$5,tabela_registros[TIPO],DADOS!$AB$5,tabela_registros[CATEGORIA],investiroutrosconsolidadojul[[#This Row],[ATUAL]])</f>
        <v>0</v>
      </c>
      <c r="AJ153" s="149" t="n">
        <f aca="false">SUM(investiroutrosconsolidadojul[[#This Row],[1]:[31]])</f>
        <v>0</v>
      </c>
      <c r="AK153" s="165"/>
    </row>
    <row r="154" customFormat="false" ht="19.5" hidden="false" customHeight="true" outlineLevel="0" collapsed="false">
      <c r="B154" s="143"/>
      <c r="C154" s="144" t="str">
        <f aca="false">DADOS!$AH$6</f>
        <v>📝 NOVA EMPRESA</v>
      </c>
      <c r="D154" s="145" t="str">
        <f aca="false">IF(investiroutrosconsolidadojul[[#This Row],[TOTAL (R$)]]=0,"",IF(OR(investiroutrosconsolidadojul[[#This Row],[TOTAL (R$)]]=LARGE($AJ$151:$AJ$158,1),investiroutrosconsolidadojul[[#This Row],[TOTAL (R$)]]=LARGE($AJ$151:$AJ$158,2)),DADOS!$I$10,""))</f>
        <v/>
      </c>
      <c r="E154" s="148" t="n">
        <f aca="false">SUMIFS(tabela_registros[VALOR],tabela_registros[MÊS],$AE$1,tabela_registros[DIA],investiroutrosconsolidadojul[[#Headers],[1]],tabela_registros[REGISTRO],DADOS!$N$5,tabela_registros[TIPO],DADOS!$AB$5,tabela_registros[CATEGORIA],investiroutrosconsolidadojul[[#This Row],[ATUAL]])</f>
        <v>0</v>
      </c>
      <c r="F154" s="119" t="n">
        <f aca="false">SUMIFS(tabela_registros[VALOR],tabela_registros[MÊS],$AE$1,tabela_registros[DIA],investiroutrosconsolidadojul[[#Headers],[2]],tabela_registros[REGISTRO],DADOS!$N$5,tabela_registros[TIPO],DADOS!$AB$5,tabela_registros[CATEGORIA],investiroutrosconsolidadojul[[#This Row],[ATUAL]])</f>
        <v>0</v>
      </c>
      <c r="G154" s="119" t="n">
        <f aca="false">SUMIFS(tabela_registros[VALOR],tabela_registros[MÊS],$AE$1,tabela_registros[DIA],investiroutrosconsolidadojul[[#Headers],[3]],tabela_registros[REGISTRO],DADOS!$N$5,tabela_registros[TIPO],DADOS!$AB$5,tabela_registros[CATEGORIA],investiroutrosconsolidadojul[[#This Row],[ATUAL]])</f>
        <v>0</v>
      </c>
      <c r="H154" s="119" t="n">
        <f aca="false">SUMIFS(tabela_registros[VALOR],tabela_registros[MÊS],$AE$1,tabela_registros[DIA],investiroutrosconsolidadojul[[#Headers],[4]],tabela_registros[REGISTRO],DADOS!$N$5,tabela_registros[TIPO],DADOS!$AB$5,tabela_registros[CATEGORIA],investiroutrosconsolidadojul[[#This Row],[ATUAL]])</f>
        <v>0</v>
      </c>
      <c r="I154" s="119" t="n">
        <f aca="false">SUMIFS(tabela_registros[VALOR],tabela_registros[MÊS],$AE$1,tabela_registros[DIA],investiroutrosconsolidadojul[[#Headers],[5]],tabela_registros[REGISTRO],DADOS!$N$5,tabela_registros[TIPO],DADOS!$AB$5,tabela_registros[CATEGORIA],investiroutrosconsolidadojul[[#This Row],[ATUAL]])</f>
        <v>0</v>
      </c>
      <c r="J154" s="119" t="n">
        <f aca="false">SUMIFS(tabela_registros[VALOR],tabela_registros[MÊS],$AE$1,tabela_registros[DIA],investiroutrosconsolidadojul[[#Headers],[6]],tabela_registros[REGISTRO],DADOS!$N$5,tabela_registros[TIPO],DADOS!$AB$5,tabela_registros[CATEGORIA],investiroutrosconsolidadojul[[#This Row],[ATUAL]])</f>
        <v>0</v>
      </c>
      <c r="K154" s="119" t="n">
        <f aca="false">SUMIFS(tabela_registros[VALOR],tabela_registros[MÊS],$AE$1,tabela_registros[DIA],investiroutrosconsolidadojul[[#Headers],[7]],tabela_registros[REGISTRO],DADOS!$N$5,tabela_registros[TIPO],DADOS!$AB$5,tabela_registros[CATEGORIA],investiroutrosconsolidadojul[[#This Row],[ATUAL]])</f>
        <v>0</v>
      </c>
      <c r="L154" s="119" t="n">
        <f aca="false">SUMIFS(tabela_registros[VALOR],tabela_registros[MÊS],$AE$1,tabela_registros[DIA],investiroutrosconsolidadojul[[#Headers],[8]],tabela_registros[REGISTRO],DADOS!$N$5,tabela_registros[TIPO],DADOS!$AB$5,tabela_registros[CATEGORIA],investiroutrosconsolidadojul[[#This Row],[ATUAL]])</f>
        <v>0</v>
      </c>
      <c r="M154" s="119" t="n">
        <f aca="false">SUMIFS(tabela_registros[VALOR],tabela_registros[MÊS],$AE$1,tabela_registros[DIA],investiroutrosconsolidadojul[[#Headers],[9]],tabela_registros[REGISTRO],DADOS!$N$5,tabela_registros[TIPO],DADOS!$AB$5,tabela_registros[CATEGORIA],investiroutrosconsolidadojul[[#This Row],[ATUAL]])</f>
        <v>0</v>
      </c>
      <c r="N154" s="119" t="n">
        <f aca="false">SUMIFS(tabela_registros[VALOR],tabela_registros[MÊS],$AE$1,tabela_registros[DIA],investiroutrosconsolidadojul[[#Headers],[10]],tabela_registros[REGISTRO],DADOS!$N$5,tabela_registros[TIPO],DADOS!$AB$5,tabela_registros[CATEGORIA],investiroutrosconsolidadojul[[#This Row],[ATUAL]])</f>
        <v>0</v>
      </c>
      <c r="O154" s="119" t="n">
        <f aca="false">SUMIFS(tabela_registros[VALOR],tabela_registros[MÊS],$AE$1,tabela_registros[DIA],investiroutrosconsolidadojul[[#Headers],[11]],tabela_registros[REGISTRO],DADOS!$N$5,tabela_registros[TIPO],DADOS!$AB$5,tabela_registros[CATEGORIA],investiroutrosconsolidadojul[[#This Row],[ATUAL]])</f>
        <v>0</v>
      </c>
      <c r="P154" s="119" t="n">
        <f aca="false">SUMIFS(tabela_registros[VALOR],tabela_registros[MÊS],$AE$1,tabela_registros[DIA],investiroutrosconsolidadojul[[#Headers],[12]],tabela_registros[REGISTRO],DADOS!$N$5,tabela_registros[TIPO],DADOS!$AB$5,tabela_registros[CATEGORIA],investiroutrosconsolidadojul[[#This Row],[ATUAL]])</f>
        <v>0</v>
      </c>
      <c r="Q154" s="119" t="n">
        <f aca="false">SUMIFS(tabela_registros[VALOR],tabela_registros[MÊS],$AE$1,tabela_registros[DIA],investiroutrosconsolidadojul[[#Headers],[13]],tabela_registros[REGISTRO],DADOS!$N$5,tabela_registros[TIPO],DADOS!$AB$5,tabela_registros[CATEGORIA],investiroutrosconsolidadojul[[#This Row],[ATUAL]])</f>
        <v>0</v>
      </c>
      <c r="R154" s="119" t="n">
        <f aca="false">SUMIFS(tabela_registros[VALOR],tabela_registros[MÊS],$AE$1,tabela_registros[DIA],investiroutrosconsolidadojul[[#Headers],[14]],tabela_registros[REGISTRO],DADOS!$N$5,tabela_registros[TIPO],DADOS!$AB$5,tabela_registros[CATEGORIA],investiroutrosconsolidadojul[[#This Row],[ATUAL]])</f>
        <v>0</v>
      </c>
      <c r="S154" s="119" t="n">
        <f aca="false">SUMIFS(tabela_registros[VALOR],tabela_registros[MÊS],$AE$1,tabela_registros[DIA],investiroutrosconsolidadojul[[#Headers],[15]],tabela_registros[REGISTRO],DADOS!$N$5,tabela_registros[TIPO],DADOS!$AB$5,tabela_registros[CATEGORIA],investiroutrosconsolidadojul[[#This Row],[ATUAL]])</f>
        <v>0</v>
      </c>
      <c r="T154" s="119" t="n">
        <f aca="false">SUMIFS(tabela_registros[VALOR],tabela_registros[MÊS],$AE$1,tabela_registros[DIA],investiroutrosconsolidadojul[[#Headers],[16]],tabela_registros[REGISTRO],DADOS!$N$5,tabela_registros[TIPO],DADOS!$AB$5,tabela_registros[CATEGORIA],investiroutrosconsolidadojul[[#This Row],[ATUAL]])</f>
        <v>0</v>
      </c>
      <c r="U154" s="119" t="n">
        <f aca="false">SUMIFS(tabela_registros[VALOR],tabela_registros[MÊS],$AE$1,tabela_registros[DIA],investiroutrosconsolidadojul[[#Headers],[17]],tabela_registros[REGISTRO],DADOS!$N$5,tabela_registros[TIPO],DADOS!$AB$5,tabela_registros[CATEGORIA],investiroutrosconsolidadojul[[#This Row],[ATUAL]])</f>
        <v>0</v>
      </c>
      <c r="V154" s="119" t="n">
        <f aca="false">SUMIFS(tabela_registros[VALOR],tabela_registros[MÊS],$AE$1,tabela_registros[DIA],investiroutrosconsolidadojul[[#Headers],[18]],tabela_registros[REGISTRO],DADOS!$N$5,tabela_registros[TIPO],DADOS!$AB$5,tabela_registros[CATEGORIA],investiroutrosconsolidadojul[[#This Row],[ATUAL]])</f>
        <v>0</v>
      </c>
      <c r="W154" s="119" t="n">
        <f aca="false">SUMIFS(tabela_registros[VALOR],tabela_registros[MÊS],$AE$1,tabela_registros[DIA],investiroutrosconsolidadojul[[#Headers],[19]],tabela_registros[REGISTRO],DADOS!$N$5,tabela_registros[TIPO],DADOS!$AB$5,tabela_registros[CATEGORIA],investiroutrosconsolidadojul[[#This Row],[ATUAL]])</f>
        <v>0</v>
      </c>
      <c r="X154" s="119" t="n">
        <f aca="false">SUMIFS(tabela_registros[VALOR],tabela_registros[MÊS],$AE$1,tabela_registros[DIA],investiroutrosconsolidadojul[[#Headers],[20]],tabela_registros[REGISTRO],DADOS!$N$5,tabela_registros[TIPO],DADOS!$AB$5,tabela_registros[CATEGORIA],investiroutrosconsolidadojul[[#This Row],[ATUAL]])</f>
        <v>0</v>
      </c>
      <c r="Y154" s="119" t="n">
        <f aca="false">SUMIFS(tabela_registros[VALOR],tabela_registros[MÊS],$AE$1,tabela_registros[DIA],investiroutrosconsolidadojul[[#Headers],[21]],tabela_registros[REGISTRO],DADOS!$N$5,tabela_registros[TIPO],DADOS!$AB$5,tabela_registros[CATEGORIA],investiroutrosconsolidadojul[[#This Row],[ATUAL]])</f>
        <v>0</v>
      </c>
      <c r="Z154" s="119" t="n">
        <f aca="false">SUMIFS(tabela_registros[VALOR],tabela_registros[MÊS],$AE$1,tabela_registros[DIA],investiroutrosconsolidadojul[[#Headers],[22]],tabela_registros[REGISTRO],DADOS!$N$5,tabela_registros[TIPO],DADOS!$AB$5,tabela_registros[CATEGORIA],investiroutrosconsolidadojul[[#This Row],[ATUAL]])</f>
        <v>0</v>
      </c>
      <c r="AA154" s="119" t="n">
        <f aca="false">SUMIFS(tabela_registros[VALOR],tabela_registros[MÊS],$AE$1,tabela_registros[DIA],investiroutrosconsolidadojul[[#Headers],[23]],tabela_registros[REGISTRO],DADOS!$N$5,tabela_registros[TIPO],DADOS!$AB$5,tabela_registros[CATEGORIA],investiroutrosconsolidadojul[[#This Row],[ATUAL]])</f>
        <v>0</v>
      </c>
      <c r="AB154" s="119" t="n">
        <f aca="false">SUMIFS(tabela_registros[VALOR],tabela_registros[MÊS],$AE$1,tabela_registros[DIA],investiroutrosconsolidadojul[[#Headers],[24]],tabela_registros[REGISTRO],DADOS!$N$5,tabela_registros[TIPO],DADOS!$AB$5,tabela_registros[CATEGORIA],investiroutrosconsolidadojul[[#This Row],[ATUAL]])</f>
        <v>0</v>
      </c>
      <c r="AC154" s="119" t="n">
        <f aca="false">SUMIFS(tabela_registros[VALOR],tabela_registros[MÊS],$AE$1,tabela_registros[DIA],investiroutrosconsolidadojul[[#Headers],[25]],tabela_registros[REGISTRO],DADOS!$N$5,tabela_registros[TIPO],DADOS!$AB$5,tabela_registros[CATEGORIA],investiroutrosconsolidadojul[[#This Row],[ATUAL]])</f>
        <v>0</v>
      </c>
      <c r="AD154" s="119" t="n">
        <f aca="false">SUMIFS(tabela_registros[VALOR],tabela_registros[MÊS],$AE$1,tabela_registros[DIA],investiroutrosconsolidadojul[[#Headers],[26]],tabela_registros[REGISTRO],DADOS!$N$5,tabela_registros[TIPO],DADOS!$AB$5,tabela_registros[CATEGORIA],investiroutrosconsolidadojul[[#This Row],[ATUAL]])</f>
        <v>0</v>
      </c>
      <c r="AE154" s="119" t="n">
        <f aca="false">SUMIFS(tabela_registros[VALOR],tabela_registros[MÊS],$AE$1,tabela_registros[DIA],investiroutrosconsolidadojul[[#Headers],[27]],tabela_registros[REGISTRO],DADOS!$N$5,tabela_registros[TIPO],DADOS!$AB$5,tabela_registros[CATEGORIA],investiroutrosconsolidadojul[[#This Row],[ATUAL]])</f>
        <v>0</v>
      </c>
      <c r="AF154" s="119" t="n">
        <f aca="false">SUMIFS(tabela_registros[VALOR],tabela_registros[MÊS],$AE$1,tabela_registros[DIA],investiroutrosconsolidadojul[[#Headers],[28]],tabela_registros[REGISTRO],DADOS!$N$5,tabela_registros[TIPO],DADOS!$AB$5,tabela_registros[CATEGORIA],investiroutrosconsolidadojul[[#This Row],[ATUAL]])</f>
        <v>0</v>
      </c>
      <c r="AG154" s="119" t="n">
        <f aca="false">SUMIFS(tabela_registros[VALOR],tabela_registros[MÊS],$AE$1,tabela_registros[DIA],investiroutrosconsolidadojul[[#Headers],[29]],tabela_registros[REGISTRO],DADOS!$N$5,tabela_registros[TIPO],DADOS!$AB$5,tabela_registros[CATEGORIA],investiroutrosconsolidadojul[[#This Row],[ATUAL]])</f>
        <v>0</v>
      </c>
      <c r="AH154" s="119" t="n">
        <f aca="false">SUMIFS(tabela_registros[VALOR],tabela_registros[MÊS],$AE$1,tabela_registros[DIA],investiroutrosconsolidadojul[[#Headers],[30]],tabela_registros[REGISTRO],DADOS!$N$5,tabela_registros[TIPO],DADOS!$AB$5,tabela_registros[CATEGORIA],investiroutrosconsolidadojul[[#This Row],[ATUAL]])</f>
        <v>0</v>
      </c>
      <c r="AI154" s="217" t="n">
        <f aca="false">SUMIFS(tabela_registros[VALOR],tabela_registros[MÊS],$AE$1,tabela_registros[DIA],investiroutrosconsolidadojul[[#Headers],[31]],tabela_registros[REGISTRO],DADOS!$N$5,tabela_registros[TIPO],DADOS!$AB$5,tabela_registros[CATEGORIA],investiroutrosconsolidadojul[[#This Row],[ATUAL]])</f>
        <v>0</v>
      </c>
      <c r="AJ154" s="149" t="n">
        <f aca="false">SUM(investiroutrosconsolidadojul[[#This Row],[1]:[31]])</f>
        <v>0</v>
      </c>
      <c r="AK154" s="165"/>
    </row>
    <row r="155" customFormat="false" ht="19.5" hidden="false" customHeight="true" outlineLevel="0" collapsed="false">
      <c r="B155" s="143"/>
      <c r="C155" s="144" t="str">
        <f aca="false">DADOS!$AH$7</f>
        <v>📝 PEER TO COMPANY</v>
      </c>
      <c r="D155" s="145" t="str">
        <f aca="false">IF(investiroutrosconsolidadojul[[#This Row],[TOTAL (R$)]]=0,"",IF(OR(investiroutrosconsolidadojul[[#This Row],[TOTAL (R$)]]=LARGE($AJ$151:$AJ$158,1),investiroutrosconsolidadojul[[#This Row],[TOTAL (R$)]]=LARGE($AJ$151:$AJ$158,2)),DADOS!$I$10,""))</f>
        <v/>
      </c>
      <c r="E155" s="148" t="n">
        <f aca="false">SUMIFS(tabela_registros[VALOR],tabela_registros[MÊS],$AE$1,tabela_registros[DIA],investiroutrosconsolidadojul[[#Headers],[1]],tabela_registros[REGISTRO],DADOS!$N$5,tabela_registros[TIPO],DADOS!$AB$5,tabela_registros[CATEGORIA],investiroutrosconsolidadojul[[#This Row],[ATUAL]])</f>
        <v>0</v>
      </c>
      <c r="F155" s="119" t="n">
        <f aca="false">SUMIFS(tabela_registros[VALOR],tabela_registros[MÊS],$AE$1,tabela_registros[DIA],investiroutrosconsolidadojul[[#Headers],[2]],tabela_registros[REGISTRO],DADOS!$N$5,tabela_registros[TIPO],DADOS!$AB$5,tabela_registros[CATEGORIA],investiroutrosconsolidadojul[[#This Row],[ATUAL]])</f>
        <v>0</v>
      </c>
      <c r="G155" s="119" t="n">
        <f aca="false">SUMIFS(tabela_registros[VALOR],tabela_registros[MÊS],$AE$1,tabela_registros[DIA],investiroutrosconsolidadojul[[#Headers],[3]],tabela_registros[REGISTRO],DADOS!$N$5,tabela_registros[TIPO],DADOS!$AB$5,tabela_registros[CATEGORIA],investiroutrosconsolidadojul[[#This Row],[ATUAL]])</f>
        <v>0</v>
      </c>
      <c r="H155" s="119" t="n">
        <f aca="false">SUMIFS(tabela_registros[VALOR],tabela_registros[MÊS],$AE$1,tabela_registros[DIA],investiroutrosconsolidadojul[[#Headers],[4]],tabela_registros[REGISTRO],DADOS!$N$5,tabela_registros[TIPO],DADOS!$AB$5,tabela_registros[CATEGORIA],investiroutrosconsolidadojul[[#This Row],[ATUAL]])</f>
        <v>0</v>
      </c>
      <c r="I155" s="119" t="n">
        <f aca="false">SUMIFS(tabela_registros[VALOR],tabela_registros[MÊS],$AE$1,tabela_registros[DIA],investiroutrosconsolidadojul[[#Headers],[5]],tabela_registros[REGISTRO],DADOS!$N$5,tabela_registros[TIPO],DADOS!$AB$5,tabela_registros[CATEGORIA],investiroutrosconsolidadojul[[#This Row],[ATUAL]])</f>
        <v>0</v>
      </c>
      <c r="J155" s="119" t="n">
        <f aca="false">SUMIFS(tabela_registros[VALOR],tabela_registros[MÊS],$AE$1,tabela_registros[DIA],investiroutrosconsolidadojul[[#Headers],[6]],tabela_registros[REGISTRO],DADOS!$N$5,tabela_registros[TIPO],DADOS!$AB$5,tabela_registros[CATEGORIA],investiroutrosconsolidadojul[[#This Row],[ATUAL]])</f>
        <v>0</v>
      </c>
      <c r="K155" s="119" t="n">
        <f aca="false">SUMIFS(tabela_registros[VALOR],tabela_registros[MÊS],$AE$1,tabela_registros[DIA],investiroutrosconsolidadojul[[#Headers],[7]],tabela_registros[REGISTRO],DADOS!$N$5,tabela_registros[TIPO],DADOS!$AB$5,tabela_registros[CATEGORIA],investiroutrosconsolidadojul[[#This Row],[ATUAL]])</f>
        <v>0</v>
      </c>
      <c r="L155" s="119" t="n">
        <f aca="false">SUMIFS(tabela_registros[VALOR],tabela_registros[MÊS],$AE$1,tabela_registros[DIA],investiroutrosconsolidadojul[[#Headers],[8]],tabela_registros[REGISTRO],DADOS!$N$5,tabela_registros[TIPO],DADOS!$AB$5,tabela_registros[CATEGORIA],investiroutrosconsolidadojul[[#This Row],[ATUAL]])</f>
        <v>0</v>
      </c>
      <c r="M155" s="119" t="n">
        <f aca="false">SUMIFS(tabela_registros[VALOR],tabela_registros[MÊS],$AE$1,tabela_registros[DIA],investiroutrosconsolidadojul[[#Headers],[9]],tabela_registros[REGISTRO],DADOS!$N$5,tabela_registros[TIPO],DADOS!$AB$5,tabela_registros[CATEGORIA],investiroutrosconsolidadojul[[#This Row],[ATUAL]])</f>
        <v>0</v>
      </c>
      <c r="N155" s="119" t="n">
        <f aca="false">SUMIFS(tabela_registros[VALOR],tabela_registros[MÊS],$AE$1,tabela_registros[DIA],investiroutrosconsolidadojul[[#Headers],[10]],tabela_registros[REGISTRO],DADOS!$N$5,tabela_registros[TIPO],DADOS!$AB$5,tabela_registros[CATEGORIA],investiroutrosconsolidadojul[[#This Row],[ATUAL]])</f>
        <v>0</v>
      </c>
      <c r="O155" s="119" t="n">
        <f aca="false">SUMIFS(tabela_registros[VALOR],tabela_registros[MÊS],$AE$1,tabela_registros[DIA],investiroutrosconsolidadojul[[#Headers],[11]],tabela_registros[REGISTRO],DADOS!$N$5,tabela_registros[TIPO],DADOS!$AB$5,tabela_registros[CATEGORIA],investiroutrosconsolidadojul[[#This Row],[ATUAL]])</f>
        <v>0</v>
      </c>
      <c r="P155" s="119" t="n">
        <f aca="false">SUMIFS(tabela_registros[VALOR],tabela_registros[MÊS],$AE$1,tabela_registros[DIA],investiroutrosconsolidadojul[[#Headers],[12]],tabela_registros[REGISTRO],DADOS!$N$5,tabela_registros[TIPO],DADOS!$AB$5,tabela_registros[CATEGORIA],investiroutrosconsolidadojul[[#This Row],[ATUAL]])</f>
        <v>0</v>
      </c>
      <c r="Q155" s="119" t="n">
        <f aca="false">SUMIFS(tabela_registros[VALOR],tabela_registros[MÊS],$AE$1,tabela_registros[DIA],investiroutrosconsolidadojul[[#Headers],[13]],tabela_registros[REGISTRO],DADOS!$N$5,tabela_registros[TIPO],DADOS!$AB$5,tabela_registros[CATEGORIA],investiroutrosconsolidadojul[[#This Row],[ATUAL]])</f>
        <v>0</v>
      </c>
      <c r="R155" s="119" t="n">
        <f aca="false">SUMIFS(tabela_registros[VALOR],tabela_registros[MÊS],$AE$1,tabela_registros[DIA],investiroutrosconsolidadojul[[#Headers],[14]],tabela_registros[REGISTRO],DADOS!$N$5,tabela_registros[TIPO],DADOS!$AB$5,tabela_registros[CATEGORIA],investiroutrosconsolidadojul[[#This Row],[ATUAL]])</f>
        <v>0</v>
      </c>
      <c r="S155" s="119" t="n">
        <f aca="false">SUMIFS(tabela_registros[VALOR],tabela_registros[MÊS],$AE$1,tabela_registros[DIA],investiroutrosconsolidadojul[[#Headers],[15]],tabela_registros[REGISTRO],DADOS!$N$5,tabela_registros[TIPO],DADOS!$AB$5,tabela_registros[CATEGORIA],investiroutrosconsolidadojul[[#This Row],[ATUAL]])</f>
        <v>0</v>
      </c>
      <c r="T155" s="119" t="n">
        <f aca="false">SUMIFS(tabela_registros[VALOR],tabela_registros[MÊS],$AE$1,tabela_registros[DIA],investiroutrosconsolidadojul[[#Headers],[16]],tabela_registros[REGISTRO],DADOS!$N$5,tabela_registros[TIPO],DADOS!$AB$5,tabela_registros[CATEGORIA],investiroutrosconsolidadojul[[#This Row],[ATUAL]])</f>
        <v>0</v>
      </c>
      <c r="U155" s="119" t="n">
        <f aca="false">SUMIFS(tabela_registros[VALOR],tabela_registros[MÊS],$AE$1,tabela_registros[DIA],investiroutrosconsolidadojul[[#Headers],[17]],tabela_registros[REGISTRO],DADOS!$N$5,tabela_registros[TIPO],DADOS!$AB$5,tabela_registros[CATEGORIA],investiroutrosconsolidadojul[[#This Row],[ATUAL]])</f>
        <v>0</v>
      </c>
      <c r="V155" s="119" t="n">
        <f aca="false">SUMIFS(tabela_registros[VALOR],tabela_registros[MÊS],$AE$1,tabela_registros[DIA],investiroutrosconsolidadojul[[#Headers],[18]],tabela_registros[REGISTRO],DADOS!$N$5,tabela_registros[TIPO],DADOS!$AB$5,tabela_registros[CATEGORIA],investiroutrosconsolidadojul[[#This Row],[ATUAL]])</f>
        <v>0</v>
      </c>
      <c r="W155" s="119" t="n">
        <f aca="false">SUMIFS(tabela_registros[VALOR],tabela_registros[MÊS],$AE$1,tabela_registros[DIA],investiroutrosconsolidadojul[[#Headers],[19]],tabela_registros[REGISTRO],DADOS!$N$5,tabela_registros[TIPO],DADOS!$AB$5,tabela_registros[CATEGORIA],investiroutrosconsolidadojul[[#This Row],[ATUAL]])</f>
        <v>0</v>
      </c>
      <c r="X155" s="119" t="n">
        <f aca="false">SUMIFS(tabela_registros[VALOR],tabela_registros[MÊS],$AE$1,tabela_registros[DIA],investiroutrosconsolidadojul[[#Headers],[20]],tabela_registros[REGISTRO],DADOS!$N$5,tabela_registros[TIPO],DADOS!$AB$5,tabela_registros[CATEGORIA],investiroutrosconsolidadojul[[#This Row],[ATUAL]])</f>
        <v>0</v>
      </c>
      <c r="Y155" s="119" t="n">
        <f aca="false">SUMIFS(tabela_registros[VALOR],tabela_registros[MÊS],$AE$1,tabela_registros[DIA],investiroutrosconsolidadojul[[#Headers],[21]],tabela_registros[REGISTRO],DADOS!$N$5,tabela_registros[TIPO],DADOS!$AB$5,tabela_registros[CATEGORIA],investiroutrosconsolidadojul[[#This Row],[ATUAL]])</f>
        <v>0</v>
      </c>
      <c r="Z155" s="119" t="n">
        <f aca="false">SUMIFS(tabela_registros[VALOR],tabela_registros[MÊS],$AE$1,tabela_registros[DIA],investiroutrosconsolidadojul[[#Headers],[22]],tabela_registros[REGISTRO],DADOS!$N$5,tabela_registros[TIPO],DADOS!$AB$5,tabela_registros[CATEGORIA],investiroutrosconsolidadojul[[#This Row],[ATUAL]])</f>
        <v>0</v>
      </c>
      <c r="AA155" s="119" t="n">
        <f aca="false">SUMIFS(tabela_registros[VALOR],tabela_registros[MÊS],$AE$1,tabela_registros[DIA],investiroutrosconsolidadojul[[#Headers],[23]],tabela_registros[REGISTRO],DADOS!$N$5,tabela_registros[TIPO],DADOS!$AB$5,tabela_registros[CATEGORIA],investiroutrosconsolidadojul[[#This Row],[ATUAL]])</f>
        <v>0</v>
      </c>
      <c r="AB155" s="119" t="n">
        <f aca="false">SUMIFS(tabela_registros[VALOR],tabela_registros[MÊS],$AE$1,tabela_registros[DIA],investiroutrosconsolidadojul[[#Headers],[24]],tabela_registros[REGISTRO],DADOS!$N$5,tabela_registros[TIPO],DADOS!$AB$5,tabela_registros[CATEGORIA],investiroutrosconsolidadojul[[#This Row],[ATUAL]])</f>
        <v>0</v>
      </c>
      <c r="AC155" s="119" t="n">
        <f aca="false">SUMIFS(tabela_registros[VALOR],tabela_registros[MÊS],$AE$1,tabela_registros[DIA],investiroutrosconsolidadojul[[#Headers],[25]],tabela_registros[REGISTRO],DADOS!$N$5,tabela_registros[TIPO],DADOS!$AB$5,tabela_registros[CATEGORIA],investiroutrosconsolidadojul[[#This Row],[ATUAL]])</f>
        <v>0</v>
      </c>
      <c r="AD155" s="119" t="n">
        <f aca="false">SUMIFS(tabela_registros[VALOR],tabela_registros[MÊS],$AE$1,tabela_registros[DIA],investiroutrosconsolidadojul[[#Headers],[26]],tabela_registros[REGISTRO],DADOS!$N$5,tabela_registros[TIPO],DADOS!$AB$5,tabela_registros[CATEGORIA],investiroutrosconsolidadojul[[#This Row],[ATUAL]])</f>
        <v>0</v>
      </c>
      <c r="AE155" s="119" t="n">
        <f aca="false">SUMIFS(tabela_registros[VALOR],tabela_registros[MÊS],$AE$1,tabela_registros[DIA],investiroutrosconsolidadojul[[#Headers],[27]],tabela_registros[REGISTRO],DADOS!$N$5,tabela_registros[TIPO],DADOS!$AB$5,tabela_registros[CATEGORIA],investiroutrosconsolidadojul[[#This Row],[ATUAL]])</f>
        <v>0</v>
      </c>
      <c r="AF155" s="119" t="n">
        <f aca="false">SUMIFS(tabela_registros[VALOR],tabela_registros[MÊS],$AE$1,tabela_registros[DIA],investiroutrosconsolidadojul[[#Headers],[28]],tabela_registros[REGISTRO],DADOS!$N$5,tabela_registros[TIPO],DADOS!$AB$5,tabela_registros[CATEGORIA],investiroutrosconsolidadojul[[#This Row],[ATUAL]])</f>
        <v>0</v>
      </c>
      <c r="AG155" s="119" t="n">
        <f aca="false">SUMIFS(tabela_registros[VALOR],tabela_registros[MÊS],$AE$1,tabela_registros[DIA],investiroutrosconsolidadojul[[#Headers],[29]],tabela_registros[REGISTRO],DADOS!$N$5,tabela_registros[TIPO],DADOS!$AB$5,tabela_registros[CATEGORIA],investiroutrosconsolidadojul[[#This Row],[ATUAL]])</f>
        <v>0</v>
      </c>
      <c r="AH155" s="119" t="n">
        <f aca="false">SUMIFS(tabela_registros[VALOR],tabela_registros[MÊS],$AE$1,tabela_registros[DIA],investiroutrosconsolidadojul[[#Headers],[30]],tabela_registros[REGISTRO],DADOS!$N$5,tabela_registros[TIPO],DADOS!$AB$5,tabela_registros[CATEGORIA],investiroutrosconsolidadojul[[#This Row],[ATUAL]])</f>
        <v>0</v>
      </c>
      <c r="AI155" s="217" t="n">
        <f aca="false">SUMIFS(tabela_registros[VALOR],tabela_registros[MÊS],$AE$1,tabela_registros[DIA],investiroutrosconsolidadojul[[#Headers],[31]],tabela_registros[REGISTRO],DADOS!$N$5,tabela_registros[TIPO],DADOS!$AB$5,tabela_registros[CATEGORIA],investiroutrosconsolidadojul[[#This Row],[ATUAL]])</f>
        <v>0</v>
      </c>
      <c r="AJ155" s="149" t="n">
        <f aca="false">SUM(investiroutrosconsolidadojul[[#This Row],[1]:[31]])</f>
        <v>0</v>
      </c>
      <c r="AK155" s="165"/>
    </row>
    <row r="156" customFormat="false" ht="19.5" hidden="false" customHeight="true" outlineLevel="0" collapsed="false">
      <c r="B156" s="143"/>
      <c r="C156" s="144" t="str">
        <f aca="false">DADOS!$AH$8</f>
        <v>📝 PEER TO PEER</v>
      </c>
      <c r="D156" s="145" t="str">
        <f aca="false">IF(investiroutrosconsolidadojul[[#This Row],[TOTAL (R$)]]=0,"",IF(OR(investiroutrosconsolidadojul[[#This Row],[TOTAL (R$)]]=LARGE($AJ$151:$AJ$158,1),investiroutrosconsolidadojul[[#This Row],[TOTAL (R$)]]=LARGE($AJ$151:$AJ$158,2)),DADOS!$I$10,""))</f>
        <v/>
      </c>
      <c r="E156" s="148" t="n">
        <f aca="false">SUMIFS(tabela_registros[VALOR],tabela_registros[MÊS],$AE$1,tabela_registros[DIA],investiroutrosconsolidadojul[[#Headers],[1]],tabela_registros[REGISTRO],DADOS!$N$5,tabela_registros[TIPO],DADOS!$AB$5,tabela_registros[CATEGORIA],investiroutrosconsolidadojul[[#This Row],[ATUAL]])</f>
        <v>0</v>
      </c>
      <c r="F156" s="119" t="n">
        <f aca="false">SUMIFS(tabela_registros[VALOR],tabela_registros[MÊS],$AE$1,tabela_registros[DIA],investiroutrosconsolidadojul[[#Headers],[2]],tabela_registros[REGISTRO],DADOS!$N$5,tabela_registros[TIPO],DADOS!$AB$5,tabela_registros[CATEGORIA],investiroutrosconsolidadojul[[#This Row],[ATUAL]])</f>
        <v>0</v>
      </c>
      <c r="G156" s="119" t="n">
        <f aca="false">SUMIFS(tabela_registros[VALOR],tabela_registros[MÊS],$AE$1,tabela_registros[DIA],investiroutrosconsolidadojul[[#Headers],[3]],tabela_registros[REGISTRO],DADOS!$N$5,tabela_registros[TIPO],DADOS!$AB$5,tabela_registros[CATEGORIA],investiroutrosconsolidadojul[[#This Row],[ATUAL]])</f>
        <v>0</v>
      </c>
      <c r="H156" s="119" t="n">
        <f aca="false">SUMIFS(tabela_registros[VALOR],tabela_registros[MÊS],$AE$1,tabela_registros[DIA],investiroutrosconsolidadojul[[#Headers],[4]],tabela_registros[REGISTRO],DADOS!$N$5,tabela_registros[TIPO],DADOS!$AB$5,tabela_registros[CATEGORIA],investiroutrosconsolidadojul[[#This Row],[ATUAL]])</f>
        <v>0</v>
      </c>
      <c r="I156" s="119" t="n">
        <f aca="false">SUMIFS(tabela_registros[VALOR],tabela_registros[MÊS],$AE$1,tabela_registros[DIA],investiroutrosconsolidadojul[[#Headers],[5]],tabela_registros[REGISTRO],DADOS!$N$5,tabela_registros[TIPO],DADOS!$AB$5,tabela_registros[CATEGORIA],investiroutrosconsolidadojul[[#This Row],[ATUAL]])</f>
        <v>0</v>
      </c>
      <c r="J156" s="119" t="n">
        <f aca="false">SUMIFS(tabela_registros[VALOR],tabela_registros[MÊS],$AE$1,tabela_registros[DIA],investiroutrosconsolidadojul[[#Headers],[6]],tabela_registros[REGISTRO],DADOS!$N$5,tabela_registros[TIPO],DADOS!$AB$5,tabela_registros[CATEGORIA],investiroutrosconsolidadojul[[#This Row],[ATUAL]])</f>
        <v>0</v>
      </c>
      <c r="K156" s="119" t="n">
        <f aca="false">SUMIFS(tabela_registros[VALOR],tabela_registros[MÊS],$AE$1,tabela_registros[DIA],investiroutrosconsolidadojul[[#Headers],[7]],tabela_registros[REGISTRO],DADOS!$N$5,tabela_registros[TIPO],DADOS!$AB$5,tabela_registros[CATEGORIA],investiroutrosconsolidadojul[[#This Row],[ATUAL]])</f>
        <v>0</v>
      </c>
      <c r="L156" s="119" t="n">
        <f aca="false">SUMIFS(tabela_registros[VALOR],tabela_registros[MÊS],$AE$1,tabela_registros[DIA],investiroutrosconsolidadojul[[#Headers],[8]],tabela_registros[REGISTRO],DADOS!$N$5,tabela_registros[TIPO],DADOS!$AB$5,tabela_registros[CATEGORIA],investiroutrosconsolidadojul[[#This Row],[ATUAL]])</f>
        <v>0</v>
      </c>
      <c r="M156" s="119" t="n">
        <f aca="false">SUMIFS(tabela_registros[VALOR],tabela_registros[MÊS],$AE$1,tabela_registros[DIA],investiroutrosconsolidadojul[[#Headers],[9]],tabela_registros[REGISTRO],DADOS!$N$5,tabela_registros[TIPO],DADOS!$AB$5,tabela_registros[CATEGORIA],investiroutrosconsolidadojul[[#This Row],[ATUAL]])</f>
        <v>0</v>
      </c>
      <c r="N156" s="119" t="n">
        <f aca="false">SUMIFS(tabela_registros[VALOR],tabela_registros[MÊS],$AE$1,tabela_registros[DIA],investiroutrosconsolidadojul[[#Headers],[10]],tabela_registros[REGISTRO],DADOS!$N$5,tabela_registros[TIPO],DADOS!$AB$5,tabela_registros[CATEGORIA],investiroutrosconsolidadojul[[#This Row],[ATUAL]])</f>
        <v>0</v>
      </c>
      <c r="O156" s="119" t="n">
        <f aca="false">SUMIFS(tabela_registros[VALOR],tabela_registros[MÊS],$AE$1,tabela_registros[DIA],investiroutrosconsolidadojul[[#Headers],[11]],tabela_registros[REGISTRO],DADOS!$N$5,tabela_registros[TIPO],DADOS!$AB$5,tabela_registros[CATEGORIA],investiroutrosconsolidadojul[[#This Row],[ATUAL]])</f>
        <v>0</v>
      </c>
      <c r="P156" s="119" t="n">
        <f aca="false">SUMIFS(tabela_registros[VALOR],tabela_registros[MÊS],$AE$1,tabela_registros[DIA],investiroutrosconsolidadojul[[#Headers],[12]],tabela_registros[REGISTRO],DADOS!$N$5,tabela_registros[TIPO],DADOS!$AB$5,tabela_registros[CATEGORIA],investiroutrosconsolidadojul[[#This Row],[ATUAL]])</f>
        <v>0</v>
      </c>
      <c r="Q156" s="119" t="n">
        <f aca="false">SUMIFS(tabela_registros[VALOR],tabela_registros[MÊS],$AE$1,tabela_registros[DIA],investiroutrosconsolidadojul[[#Headers],[13]],tabela_registros[REGISTRO],DADOS!$N$5,tabela_registros[TIPO],DADOS!$AB$5,tabela_registros[CATEGORIA],investiroutrosconsolidadojul[[#This Row],[ATUAL]])</f>
        <v>0</v>
      </c>
      <c r="R156" s="119" t="n">
        <f aca="false">SUMIFS(tabela_registros[VALOR],tabela_registros[MÊS],$AE$1,tabela_registros[DIA],investiroutrosconsolidadojul[[#Headers],[14]],tabela_registros[REGISTRO],DADOS!$N$5,tabela_registros[TIPO],DADOS!$AB$5,tabela_registros[CATEGORIA],investiroutrosconsolidadojul[[#This Row],[ATUAL]])</f>
        <v>0</v>
      </c>
      <c r="S156" s="119" t="n">
        <f aca="false">SUMIFS(tabela_registros[VALOR],tabela_registros[MÊS],$AE$1,tabela_registros[DIA],investiroutrosconsolidadojul[[#Headers],[15]],tabela_registros[REGISTRO],DADOS!$N$5,tabela_registros[TIPO],DADOS!$AB$5,tabela_registros[CATEGORIA],investiroutrosconsolidadojul[[#This Row],[ATUAL]])</f>
        <v>0</v>
      </c>
      <c r="T156" s="119" t="n">
        <f aca="false">SUMIFS(tabela_registros[VALOR],tabela_registros[MÊS],$AE$1,tabela_registros[DIA],investiroutrosconsolidadojul[[#Headers],[16]],tabela_registros[REGISTRO],DADOS!$N$5,tabela_registros[TIPO],DADOS!$AB$5,tabela_registros[CATEGORIA],investiroutrosconsolidadojul[[#This Row],[ATUAL]])</f>
        <v>0</v>
      </c>
      <c r="U156" s="119" t="n">
        <f aca="false">SUMIFS(tabela_registros[VALOR],tabela_registros[MÊS],$AE$1,tabela_registros[DIA],investiroutrosconsolidadojul[[#Headers],[17]],tabela_registros[REGISTRO],DADOS!$N$5,tabela_registros[TIPO],DADOS!$AB$5,tabela_registros[CATEGORIA],investiroutrosconsolidadojul[[#This Row],[ATUAL]])</f>
        <v>0</v>
      </c>
      <c r="V156" s="119" t="n">
        <f aca="false">SUMIFS(tabela_registros[VALOR],tabela_registros[MÊS],$AE$1,tabela_registros[DIA],investiroutrosconsolidadojul[[#Headers],[18]],tabela_registros[REGISTRO],DADOS!$N$5,tabela_registros[TIPO],DADOS!$AB$5,tabela_registros[CATEGORIA],investiroutrosconsolidadojul[[#This Row],[ATUAL]])</f>
        <v>0</v>
      </c>
      <c r="W156" s="119" t="n">
        <f aca="false">SUMIFS(tabela_registros[VALOR],tabela_registros[MÊS],$AE$1,tabela_registros[DIA],investiroutrosconsolidadojul[[#Headers],[19]],tabela_registros[REGISTRO],DADOS!$N$5,tabela_registros[TIPO],DADOS!$AB$5,tabela_registros[CATEGORIA],investiroutrosconsolidadojul[[#This Row],[ATUAL]])</f>
        <v>0</v>
      </c>
      <c r="X156" s="119" t="n">
        <f aca="false">SUMIFS(tabela_registros[VALOR],tabela_registros[MÊS],$AE$1,tabela_registros[DIA],investiroutrosconsolidadojul[[#Headers],[20]],tabela_registros[REGISTRO],DADOS!$N$5,tabela_registros[TIPO],DADOS!$AB$5,tabela_registros[CATEGORIA],investiroutrosconsolidadojul[[#This Row],[ATUAL]])</f>
        <v>0</v>
      </c>
      <c r="Y156" s="119" t="n">
        <f aca="false">SUMIFS(tabela_registros[VALOR],tabela_registros[MÊS],$AE$1,tabela_registros[DIA],investiroutrosconsolidadojul[[#Headers],[21]],tabela_registros[REGISTRO],DADOS!$N$5,tabela_registros[TIPO],DADOS!$AB$5,tabela_registros[CATEGORIA],investiroutrosconsolidadojul[[#This Row],[ATUAL]])</f>
        <v>0</v>
      </c>
      <c r="Z156" s="119" t="n">
        <f aca="false">SUMIFS(tabela_registros[VALOR],tabela_registros[MÊS],$AE$1,tabela_registros[DIA],investiroutrosconsolidadojul[[#Headers],[22]],tabela_registros[REGISTRO],DADOS!$N$5,tabela_registros[TIPO],DADOS!$AB$5,tabela_registros[CATEGORIA],investiroutrosconsolidadojul[[#This Row],[ATUAL]])</f>
        <v>0</v>
      </c>
      <c r="AA156" s="119" t="n">
        <f aca="false">SUMIFS(tabela_registros[VALOR],tabela_registros[MÊS],$AE$1,tabela_registros[DIA],investiroutrosconsolidadojul[[#Headers],[23]],tabela_registros[REGISTRO],DADOS!$N$5,tabela_registros[TIPO],DADOS!$AB$5,tabela_registros[CATEGORIA],investiroutrosconsolidadojul[[#This Row],[ATUAL]])</f>
        <v>0</v>
      </c>
      <c r="AB156" s="119" t="n">
        <f aca="false">SUMIFS(tabela_registros[VALOR],tabela_registros[MÊS],$AE$1,tabela_registros[DIA],investiroutrosconsolidadojul[[#Headers],[24]],tabela_registros[REGISTRO],DADOS!$N$5,tabela_registros[TIPO],DADOS!$AB$5,tabela_registros[CATEGORIA],investiroutrosconsolidadojul[[#This Row],[ATUAL]])</f>
        <v>0</v>
      </c>
      <c r="AC156" s="119" t="n">
        <f aca="false">SUMIFS(tabela_registros[VALOR],tabela_registros[MÊS],$AE$1,tabela_registros[DIA],investiroutrosconsolidadojul[[#Headers],[25]],tabela_registros[REGISTRO],DADOS!$N$5,tabela_registros[TIPO],DADOS!$AB$5,tabela_registros[CATEGORIA],investiroutrosconsolidadojul[[#This Row],[ATUAL]])</f>
        <v>0</v>
      </c>
      <c r="AD156" s="119" t="n">
        <f aca="false">SUMIFS(tabela_registros[VALOR],tabela_registros[MÊS],$AE$1,tabela_registros[DIA],investiroutrosconsolidadojul[[#Headers],[26]],tabela_registros[REGISTRO],DADOS!$N$5,tabela_registros[TIPO],DADOS!$AB$5,tabela_registros[CATEGORIA],investiroutrosconsolidadojul[[#This Row],[ATUAL]])</f>
        <v>0</v>
      </c>
      <c r="AE156" s="119" t="n">
        <f aca="false">SUMIFS(tabela_registros[VALOR],tabela_registros[MÊS],$AE$1,tabela_registros[DIA],investiroutrosconsolidadojul[[#Headers],[27]],tabela_registros[REGISTRO],DADOS!$N$5,tabela_registros[TIPO],DADOS!$AB$5,tabela_registros[CATEGORIA],investiroutrosconsolidadojul[[#This Row],[ATUAL]])</f>
        <v>0</v>
      </c>
      <c r="AF156" s="119" t="n">
        <f aca="false">SUMIFS(tabela_registros[VALOR],tabela_registros[MÊS],$AE$1,tabela_registros[DIA],investiroutrosconsolidadojul[[#Headers],[28]],tabela_registros[REGISTRO],DADOS!$N$5,tabela_registros[TIPO],DADOS!$AB$5,tabela_registros[CATEGORIA],investiroutrosconsolidadojul[[#This Row],[ATUAL]])</f>
        <v>0</v>
      </c>
      <c r="AG156" s="119" t="n">
        <f aca="false">SUMIFS(tabela_registros[VALOR],tabela_registros[MÊS],$AE$1,tabela_registros[DIA],investiroutrosconsolidadojul[[#Headers],[29]],tabela_registros[REGISTRO],DADOS!$N$5,tabela_registros[TIPO],DADOS!$AB$5,tabela_registros[CATEGORIA],investiroutrosconsolidadojul[[#This Row],[ATUAL]])</f>
        <v>0</v>
      </c>
      <c r="AH156" s="119" t="n">
        <f aca="false">SUMIFS(tabela_registros[VALOR],tabela_registros[MÊS],$AE$1,tabela_registros[DIA],investiroutrosconsolidadojul[[#Headers],[30]],tabela_registros[REGISTRO],DADOS!$N$5,tabela_registros[TIPO],DADOS!$AB$5,tabela_registros[CATEGORIA],investiroutrosconsolidadojul[[#This Row],[ATUAL]])</f>
        <v>0</v>
      </c>
      <c r="AI156" s="217" t="n">
        <f aca="false">SUMIFS(tabela_registros[VALOR],tabela_registros[MÊS],$AE$1,tabela_registros[DIA],investiroutrosconsolidadojul[[#Headers],[31]],tabela_registros[REGISTRO],DADOS!$N$5,tabela_registros[TIPO],DADOS!$AB$5,tabela_registros[CATEGORIA],investiroutrosconsolidadojul[[#This Row],[ATUAL]])</f>
        <v>0</v>
      </c>
      <c r="AJ156" s="149" t="n">
        <f aca="false">SUM(investiroutrosconsolidadojul[[#This Row],[1]:[31]])</f>
        <v>0</v>
      </c>
      <c r="AK156" s="165"/>
    </row>
    <row r="157" customFormat="false" ht="19.5" hidden="false" customHeight="true" outlineLevel="0" collapsed="false">
      <c r="B157" s="143"/>
      <c r="C157" s="144" t="str">
        <f aca="false">DADOS!$AH$9</f>
        <v>📝 PREVIDÊNCIA PRIVADA</v>
      </c>
      <c r="D157" s="145" t="str">
        <f aca="false">IF(investiroutrosconsolidadojul[[#This Row],[TOTAL (R$)]]=0,"",IF(OR(investiroutrosconsolidadojul[[#This Row],[TOTAL (R$)]]=LARGE($AJ$151:$AJ$158,1),investiroutrosconsolidadojul[[#This Row],[TOTAL (R$)]]=LARGE($AJ$151:$AJ$158,2)),DADOS!$I$10,""))</f>
        <v/>
      </c>
      <c r="E157" s="148" t="n">
        <f aca="false">SUMIFS(tabela_registros[VALOR],tabela_registros[MÊS],$AE$1,tabela_registros[DIA],investiroutrosconsolidadojul[[#Headers],[1]],tabela_registros[REGISTRO],DADOS!$N$5,tabela_registros[TIPO],DADOS!$AB$5,tabela_registros[CATEGORIA],investiroutrosconsolidadojul[[#This Row],[ATUAL]])</f>
        <v>0</v>
      </c>
      <c r="F157" s="119" t="n">
        <f aca="false">SUMIFS(tabela_registros[VALOR],tabela_registros[MÊS],$AE$1,tabela_registros[DIA],investiroutrosconsolidadojul[[#Headers],[2]],tabela_registros[REGISTRO],DADOS!$N$5,tabela_registros[TIPO],DADOS!$AB$5,tabela_registros[CATEGORIA],investiroutrosconsolidadojul[[#This Row],[ATUAL]])</f>
        <v>0</v>
      </c>
      <c r="G157" s="119" t="n">
        <f aca="false">SUMIFS(tabela_registros[VALOR],tabela_registros[MÊS],$AE$1,tabela_registros[DIA],investiroutrosconsolidadojul[[#Headers],[3]],tabela_registros[REGISTRO],DADOS!$N$5,tabela_registros[TIPO],DADOS!$AB$5,tabela_registros[CATEGORIA],investiroutrosconsolidadojul[[#This Row],[ATUAL]])</f>
        <v>0</v>
      </c>
      <c r="H157" s="119" t="n">
        <f aca="false">SUMIFS(tabela_registros[VALOR],tabela_registros[MÊS],$AE$1,tabela_registros[DIA],investiroutrosconsolidadojul[[#Headers],[4]],tabela_registros[REGISTRO],DADOS!$N$5,tabela_registros[TIPO],DADOS!$AB$5,tabela_registros[CATEGORIA],investiroutrosconsolidadojul[[#This Row],[ATUAL]])</f>
        <v>0</v>
      </c>
      <c r="I157" s="119" t="n">
        <f aca="false">SUMIFS(tabela_registros[VALOR],tabela_registros[MÊS],$AE$1,tabela_registros[DIA],investiroutrosconsolidadojul[[#Headers],[5]],tabela_registros[REGISTRO],DADOS!$N$5,tabela_registros[TIPO],DADOS!$AB$5,tabela_registros[CATEGORIA],investiroutrosconsolidadojul[[#This Row],[ATUAL]])</f>
        <v>0</v>
      </c>
      <c r="J157" s="119" t="n">
        <f aca="false">SUMIFS(tabela_registros[VALOR],tabela_registros[MÊS],$AE$1,tabela_registros[DIA],investiroutrosconsolidadojul[[#Headers],[6]],tabela_registros[REGISTRO],DADOS!$N$5,tabela_registros[TIPO],DADOS!$AB$5,tabela_registros[CATEGORIA],investiroutrosconsolidadojul[[#This Row],[ATUAL]])</f>
        <v>0</v>
      </c>
      <c r="K157" s="119" t="n">
        <f aca="false">SUMIFS(tabela_registros[VALOR],tabela_registros[MÊS],$AE$1,tabela_registros[DIA],investiroutrosconsolidadojul[[#Headers],[7]],tabela_registros[REGISTRO],DADOS!$N$5,tabela_registros[TIPO],DADOS!$AB$5,tabela_registros[CATEGORIA],investiroutrosconsolidadojul[[#This Row],[ATUAL]])</f>
        <v>0</v>
      </c>
      <c r="L157" s="119" t="n">
        <f aca="false">SUMIFS(tabela_registros[VALOR],tabela_registros[MÊS],$AE$1,tabela_registros[DIA],investiroutrosconsolidadojul[[#Headers],[8]],tabela_registros[REGISTRO],DADOS!$N$5,tabela_registros[TIPO],DADOS!$AB$5,tabela_registros[CATEGORIA],investiroutrosconsolidadojul[[#This Row],[ATUAL]])</f>
        <v>0</v>
      </c>
      <c r="M157" s="119" t="n">
        <f aca="false">SUMIFS(tabela_registros[VALOR],tabela_registros[MÊS],$AE$1,tabela_registros[DIA],investiroutrosconsolidadojul[[#Headers],[9]],tabela_registros[REGISTRO],DADOS!$N$5,tabela_registros[TIPO],DADOS!$AB$5,tabela_registros[CATEGORIA],investiroutrosconsolidadojul[[#This Row],[ATUAL]])</f>
        <v>0</v>
      </c>
      <c r="N157" s="119" t="n">
        <f aca="false">SUMIFS(tabela_registros[VALOR],tabela_registros[MÊS],$AE$1,tabela_registros[DIA],investiroutrosconsolidadojul[[#Headers],[10]],tabela_registros[REGISTRO],DADOS!$N$5,tabela_registros[TIPO],DADOS!$AB$5,tabela_registros[CATEGORIA],investiroutrosconsolidadojul[[#This Row],[ATUAL]])</f>
        <v>0</v>
      </c>
      <c r="O157" s="119" t="n">
        <f aca="false">SUMIFS(tabela_registros[VALOR],tabela_registros[MÊS],$AE$1,tabela_registros[DIA],investiroutrosconsolidadojul[[#Headers],[11]],tabela_registros[REGISTRO],DADOS!$N$5,tabela_registros[TIPO],DADOS!$AB$5,tabela_registros[CATEGORIA],investiroutrosconsolidadojul[[#This Row],[ATUAL]])</f>
        <v>0</v>
      </c>
      <c r="P157" s="119" t="n">
        <f aca="false">SUMIFS(tabela_registros[VALOR],tabela_registros[MÊS],$AE$1,tabela_registros[DIA],investiroutrosconsolidadojul[[#Headers],[12]],tabela_registros[REGISTRO],DADOS!$N$5,tabela_registros[TIPO],DADOS!$AB$5,tabela_registros[CATEGORIA],investiroutrosconsolidadojul[[#This Row],[ATUAL]])</f>
        <v>0</v>
      </c>
      <c r="Q157" s="119" t="n">
        <f aca="false">SUMIFS(tabela_registros[VALOR],tabela_registros[MÊS],$AE$1,tabela_registros[DIA],investiroutrosconsolidadojul[[#Headers],[13]],tabela_registros[REGISTRO],DADOS!$N$5,tabela_registros[TIPO],DADOS!$AB$5,tabela_registros[CATEGORIA],investiroutrosconsolidadojul[[#This Row],[ATUAL]])</f>
        <v>0</v>
      </c>
      <c r="R157" s="119" t="n">
        <f aca="false">SUMIFS(tabela_registros[VALOR],tabela_registros[MÊS],$AE$1,tabela_registros[DIA],investiroutrosconsolidadojul[[#Headers],[14]],tabela_registros[REGISTRO],DADOS!$N$5,tabela_registros[TIPO],DADOS!$AB$5,tabela_registros[CATEGORIA],investiroutrosconsolidadojul[[#This Row],[ATUAL]])</f>
        <v>0</v>
      </c>
      <c r="S157" s="119" t="n">
        <f aca="false">SUMIFS(tabela_registros[VALOR],tabela_registros[MÊS],$AE$1,tabela_registros[DIA],investiroutrosconsolidadojul[[#Headers],[15]],tabela_registros[REGISTRO],DADOS!$N$5,tabela_registros[TIPO],DADOS!$AB$5,tabela_registros[CATEGORIA],investiroutrosconsolidadojul[[#This Row],[ATUAL]])</f>
        <v>0</v>
      </c>
      <c r="T157" s="119" t="n">
        <f aca="false">SUMIFS(tabela_registros[VALOR],tabela_registros[MÊS],$AE$1,tabela_registros[DIA],investiroutrosconsolidadojul[[#Headers],[16]],tabela_registros[REGISTRO],DADOS!$N$5,tabela_registros[TIPO],DADOS!$AB$5,tabela_registros[CATEGORIA],investiroutrosconsolidadojul[[#This Row],[ATUAL]])</f>
        <v>0</v>
      </c>
      <c r="U157" s="119" t="n">
        <f aca="false">SUMIFS(tabela_registros[VALOR],tabela_registros[MÊS],$AE$1,tabela_registros[DIA],investiroutrosconsolidadojul[[#Headers],[17]],tabela_registros[REGISTRO],DADOS!$N$5,tabela_registros[TIPO],DADOS!$AB$5,tabela_registros[CATEGORIA],investiroutrosconsolidadojul[[#This Row],[ATUAL]])</f>
        <v>0</v>
      </c>
      <c r="V157" s="119" t="n">
        <f aca="false">SUMIFS(tabela_registros[VALOR],tabela_registros[MÊS],$AE$1,tabela_registros[DIA],investiroutrosconsolidadojul[[#Headers],[18]],tabela_registros[REGISTRO],DADOS!$N$5,tabela_registros[TIPO],DADOS!$AB$5,tabela_registros[CATEGORIA],investiroutrosconsolidadojul[[#This Row],[ATUAL]])</f>
        <v>0</v>
      </c>
      <c r="W157" s="119" t="n">
        <f aca="false">SUMIFS(tabela_registros[VALOR],tabela_registros[MÊS],$AE$1,tabela_registros[DIA],investiroutrosconsolidadojul[[#Headers],[19]],tabela_registros[REGISTRO],DADOS!$N$5,tabela_registros[TIPO],DADOS!$AB$5,tabela_registros[CATEGORIA],investiroutrosconsolidadojul[[#This Row],[ATUAL]])</f>
        <v>0</v>
      </c>
      <c r="X157" s="119" t="n">
        <f aca="false">SUMIFS(tabela_registros[VALOR],tabela_registros[MÊS],$AE$1,tabela_registros[DIA],investiroutrosconsolidadojul[[#Headers],[20]],tabela_registros[REGISTRO],DADOS!$N$5,tabela_registros[TIPO],DADOS!$AB$5,tabela_registros[CATEGORIA],investiroutrosconsolidadojul[[#This Row],[ATUAL]])</f>
        <v>0</v>
      </c>
      <c r="Y157" s="119" t="n">
        <f aca="false">SUMIFS(tabela_registros[VALOR],tabela_registros[MÊS],$AE$1,tabela_registros[DIA],investiroutrosconsolidadojul[[#Headers],[21]],tabela_registros[REGISTRO],DADOS!$N$5,tabela_registros[TIPO],DADOS!$AB$5,tabela_registros[CATEGORIA],investiroutrosconsolidadojul[[#This Row],[ATUAL]])</f>
        <v>0</v>
      </c>
      <c r="Z157" s="119" t="n">
        <f aca="false">SUMIFS(tabela_registros[VALOR],tabela_registros[MÊS],$AE$1,tabela_registros[DIA],investiroutrosconsolidadojul[[#Headers],[22]],tabela_registros[REGISTRO],DADOS!$N$5,tabela_registros[TIPO],DADOS!$AB$5,tabela_registros[CATEGORIA],investiroutrosconsolidadojul[[#This Row],[ATUAL]])</f>
        <v>0</v>
      </c>
      <c r="AA157" s="119" t="n">
        <f aca="false">SUMIFS(tabela_registros[VALOR],tabela_registros[MÊS],$AE$1,tabela_registros[DIA],investiroutrosconsolidadojul[[#Headers],[23]],tabela_registros[REGISTRO],DADOS!$N$5,tabela_registros[TIPO],DADOS!$AB$5,tabela_registros[CATEGORIA],investiroutrosconsolidadojul[[#This Row],[ATUAL]])</f>
        <v>0</v>
      </c>
      <c r="AB157" s="119" t="n">
        <f aca="false">SUMIFS(tabela_registros[VALOR],tabela_registros[MÊS],$AE$1,tabela_registros[DIA],investiroutrosconsolidadojul[[#Headers],[24]],tabela_registros[REGISTRO],DADOS!$N$5,tabela_registros[TIPO],DADOS!$AB$5,tabela_registros[CATEGORIA],investiroutrosconsolidadojul[[#This Row],[ATUAL]])</f>
        <v>0</v>
      </c>
      <c r="AC157" s="119" t="n">
        <f aca="false">SUMIFS(tabela_registros[VALOR],tabela_registros[MÊS],$AE$1,tabela_registros[DIA],investiroutrosconsolidadojul[[#Headers],[25]],tabela_registros[REGISTRO],DADOS!$N$5,tabela_registros[TIPO],DADOS!$AB$5,tabela_registros[CATEGORIA],investiroutrosconsolidadojul[[#This Row],[ATUAL]])</f>
        <v>0</v>
      </c>
      <c r="AD157" s="119" t="n">
        <f aca="false">SUMIFS(tabela_registros[VALOR],tabela_registros[MÊS],$AE$1,tabela_registros[DIA],investiroutrosconsolidadojul[[#Headers],[26]],tabela_registros[REGISTRO],DADOS!$N$5,tabela_registros[TIPO],DADOS!$AB$5,tabela_registros[CATEGORIA],investiroutrosconsolidadojul[[#This Row],[ATUAL]])</f>
        <v>0</v>
      </c>
      <c r="AE157" s="119" t="n">
        <f aca="false">SUMIFS(tabela_registros[VALOR],tabela_registros[MÊS],$AE$1,tabela_registros[DIA],investiroutrosconsolidadojul[[#Headers],[27]],tabela_registros[REGISTRO],DADOS!$N$5,tabela_registros[TIPO],DADOS!$AB$5,tabela_registros[CATEGORIA],investiroutrosconsolidadojul[[#This Row],[ATUAL]])</f>
        <v>0</v>
      </c>
      <c r="AF157" s="119" t="n">
        <f aca="false">SUMIFS(tabela_registros[VALOR],tabela_registros[MÊS],$AE$1,tabela_registros[DIA],investiroutrosconsolidadojul[[#Headers],[28]],tabela_registros[REGISTRO],DADOS!$N$5,tabela_registros[TIPO],DADOS!$AB$5,tabela_registros[CATEGORIA],investiroutrosconsolidadojul[[#This Row],[ATUAL]])</f>
        <v>0</v>
      </c>
      <c r="AG157" s="119" t="n">
        <f aca="false">SUMIFS(tabela_registros[VALOR],tabela_registros[MÊS],$AE$1,tabela_registros[DIA],investiroutrosconsolidadojul[[#Headers],[29]],tabela_registros[REGISTRO],DADOS!$N$5,tabela_registros[TIPO],DADOS!$AB$5,tabela_registros[CATEGORIA],investiroutrosconsolidadojul[[#This Row],[ATUAL]])</f>
        <v>0</v>
      </c>
      <c r="AH157" s="119" t="n">
        <f aca="false">SUMIFS(tabela_registros[VALOR],tabela_registros[MÊS],$AE$1,tabela_registros[DIA],investiroutrosconsolidadojul[[#Headers],[30]],tabela_registros[REGISTRO],DADOS!$N$5,tabela_registros[TIPO],DADOS!$AB$5,tabela_registros[CATEGORIA],investiroutrosconsolidadojul[[#This Row],[ATUAL]])</f>
        <v>0</v>
      </c>
      <c r="AI157" s="217" t="n">
        <f aca="false">SUMIFS(tabela_registros[VALOR],tabela_registros[MÊS],$AE$1,tabela_registros[DIA],investiroutrosconsolidadojul[[#Headers],[31]],tabela_registros[REGISTRO],DADOS!$N$5,tabela_registros[TIPO],DADOS!$AB$5,tabela_registros[CATEGORIA],investiroutrosconsolidadojul[[#This Row],[ATUAL]])</f>
        <v>0</v>
      </c>
      <c r="AJ157" s="149" t="n">
        <f aca="false">SUM(investiroutrosconsolidadojul[[#This Row],[1]:[31]])</f>
        <v>0</v>
      </c>
      <c r="AK157" s="165"/>
    </row>
    <row r="158" customFormat="false" ht="19.5" hidden="false" customHeight="true" outlineLevel="0" collapsed="false">
      <c r="B158" s="143"/>
      <c r="C158" s="144" t="str">
        <f aca="false">DADOS!$AH$10</f>
        <v>📎 OUTROS</v>
      </c>
      <c r="D158" s="145" t="str">
        <f aca="false">IF(investiroutrosconsolidadojul[[#This Row],[TOTAL (R$)]]=0,"",IF(OR(investiroutrosconsolidadojul[[#This Row],[TOTAL (R$)]]=LARGE($AJ$151:$AJ$158,1),investiroutrosconsolidadojul[[#This Row],[TOTAL (R$)]]=LARGE($AJ$151:$AJ$158,2)),DADOS!$I$10,""))</f>
        <v/>
      </c>
      <c r="E158" s="148" t="n">
        <f aca="false">SUMIFS(tabela_registros[VALOR],tabela_registros[MÊS],$AE$1,tabela_registros[DIA],investiroutrosconsolidadojul[[#Headers],[1]],tabela_registros[REGISTRO],DADOS!$N$5,tabela_registros[TIPO],DADOS!$AB$5,tabela_registros[CATEGORIA],investiroutrosconsolidadojul[[#This Row],[ATUAL]])</f>
        <v>0</v>
      </c>
      <c r="F158" s="119" t="n">
        <f aca="false">SUMIFS(tabela_registros[VALOR],tabela_registros[MÊS],$AE$1,tabela_registros[DIA],investiroutrosconsolidadojul[[#Headers],[2]],tabela_registros[REGISTRO],DADOS!$N$5,tabela_registros[TIPO],DADOS!$AB$5,tabela_registros[CATEGORIA],investiroutrosconsolidadojul[[#This Row],[ATUAL]])</f>
        <v>0</v>
      </c>
      <c r="G158" s="119" t="n">
        <f aca="false">SUMIFS(tabela_registros[VALOR],tabela_registros[MÊS],$AE$1,tabela_registros[DIA],investiroutrosconsolidadojul[[#Headers],[3]],tabela_registros[REGISTRO],DADOS!$N$5,tabela_registros[TIPO],DADOS!$AB$5,tabela_registros[CATEGORIA],investiroutrosconsolidadojul[[#This Row],[ATUAL]])</f>
        <v>0</v>
      </c>
      <c r="H158" s="119" t="n">
        <f aca="false">SUMIFS(tabela_registros[VALOR],tabela_registros[MÊS],$AE$1,tabela_registros[DIA],investiroutrosconsolidadojul[[#Headers],[4]],tabela_registros[REGISTRO],DADOS!$N$5,tabela_registros[TIPO],DADOS!$AB$5,tabela_registros[CATEGORIA],investiroutrosconsolidadojul[[#This Row],[ATUAL]])</f>
        <v>0</v>
      </c>
      <c r="I158" s="119" t="n">
        <f aca="false">SUMIFS(tabela_registros[VALOR],tabela_registros[MÊS],$AE$1,tabela_registros[DIA],investiroutrosconsolidadojul[[#Headers],[5]],tabela_registros[REGISTRO],DADOS!$N$5,tabela_registros[TIPO],DADOS!$AB$5,tabela_registros[CATEGORIA],investiroutrosconsolidadojul[[#This Row],[ATUAL]])</f>
        <v>0</v>
      </c>
      <c r="J158" s="119" t="n">
        <f aca="false">SUMIFS(tabela_registros[VALOR],tabela_registros[MÊS],$AE$1,tabela_registros[DIA],investiroutrosconsolidadojul[[#Headers],[6]],tabela_registros[REGISTRO],DADOS!$N$5,tabela_registros[TIPO],DADOS!$AB$5,tabela_registros[CATEGORIA],investiroutrosconsolidadojul[[#This Row],[ATUAL]])</f>
        <v>0</v>
      </c>
      <c r="K158" s="119" t="n">
        <f aca="false">SUMIFS(tabela_registros[VALOR],tabela_registros[MÊS],$AE$1,tabela_registros[DIA],investiroutrosconsolidadojul[[#Headers],[7]],tabela_registros[REGISTRO],DADOS!$N$5,tabela_registros[TIPO],DADOS!$AB$5,tabela_registros[CATEGORIA],investiroutrosconsolidadojul[[#This Row],[ATUAL]])</f>
        <v>0</v>
      </c>
      <c r="L158" s="119" t="n">
        <f aca="false">SUMIFS(tabela_registros[VALOR],tabela_registros[MÊS],$AE$1,tabela_registros[DIA],investiroutrosconsolidadojul[[#Headers],[8]],tabela_registros[REGISTRO],DADOS!$N$5,tabela_registros[TIPO],DADOS!$AB$5,tabela_registros[CATEGORIA],investiroutrosconsolidadojul[[#This Row],[ATUAL]])</f>
        <v>0</v>
      </c>
      <c r="M158" s="119" t="n">
        <f aca="false">SUMIFS(tabela_registros[VALOR],tabela_registros[MÊS],$AE$1,tabela_registros[DIA],investiroutrosconsolidadojul[[#Headers],[9]],tabela_registros[REGISTRO],DADOS!$N$5,tabela_registros[TIPO],DADOS!$AB$5,tabela_registros[CATEGORIA],investiroutrosconsolidadojul[[#This Row],[ATUAL]])</f>
        <v>0</v>
      </c>
      <c r="N158" s="119" t="n">
        <f aca="false">SUMIFS(tabela_registros[VALOR],tabela_registros[MÊS],$AE$1,tabela_registros[DIA],investiroutrosconsolidadojul[[#Headers],[10]],tabela_registros[REGISTRO],DADOS!$N$5,tabela_registros[TIPO],DADOS!$AB$5,tabela_registros[CATEGORIA],investiroutrosconsolidadojul[[#This Row],[ATUAL]])</f>
        <v>0</v>
      </c>
      <c r="O158" s="119" t="n">
        <f aca="false">SUMIFS(tabela_registros[VALOR],tabela_registros[MÊS],$AE$1,tabela_registros[DIA],investiroutrosconsolidadojul[[#Headers],[11]],tabela_registros[REGISTRO],DADOS!$N$5,tabela_registros[TIPO],DADOS!$AB$5,tabela_registros[CATEGORIA],investiroutrosconsolidadojul[[#This Row],[ATUAL]])</f>
        <v>0</v>
      </c>
      <c r="P158" s="119" t="n">
        <f aca="false">SUMIFS(tabela_registros[VALOR],tabela_registros[MÊS],$AE$1,tabela_registros[DIA],investiroutrosconsolidadojul[[#Headers],[12]],tabela_registros[REGISTRO],DADOS!$N$5,tabela_registros[TIPO],DADOS!$AB$5,tabela_registros[CATEGORIA],investiroutrosconsolidadojul[[#This Row],[ATUAL]])</f>
        <v>0</v>
      </c>
      <c r="Q158" s="119" t="n">
        <f aca="false">SUMIFS(tabela_registros[VALOR],tabela_registros[MÊS],$AE$1,tabela_registros[DIA],investiroutrosconsolidadojul[[#Headers],[13]],tabela_registros[REGISTRO],DADOS!$N$5,tabela_registros[TIPO],DADOS!$AB$5,tabela_registros[CATEGORIA],investiroutrosconsolidadojul[[#This Row],[ATUAL]])</f>
        <v>0</v>
      </c>
      <c r="R158" s="119" t="n">
        <f aca="false">SUMIFS(tabela_registros[VALOR],tabela_registros[MÊS],$AE$1,tabela_registros[DIA],investiroutrosconsolidadojul[[#Headers],[14]],tabela_registros[REGISTRO],DADOS!$N$5,tabela_registros[TIPO],DADOS!$AB$5,tabela_registros[CATEGORIA],investiroutrosconsolidadojul[[#This Row],[ATUAL]])</f>
        <v>0</v>
      </c>
      <c r="S158" s="119" t="n">
        <f aca="false">SUMIFS(tabela_registros[VALOR],tabela_registros[MÊS],$AE$1,tabela_registros[DIA],investiroutrosconsolidadojul[[#Headers],[15]],tabela_registros[REGISTRO],DADOS!$N$5,tabela_registros[TIPO],DADOS!$AB$5,tabela_registros[CATEGORIA],investiroutrosconsolidadojul[[#This Row],[ATUAL]])</f>
        <v>0</v>
      </c>
      <c r="T158" s="119" t="n">
        <f aca="false">SUMIFS(tabela_registros[VALOR],tabela_registros[MÊS],$AE$1,tabela_registros[DIA],investiroutrosconsolidadojul[[#Headers],[16]],tabela_registros[REGISTRO],DADOS!$N$5,tabela_registros[TIPO],DADOS!$AB$5,tabela_registros[CATEGORIA],investiroutrosconsolidadojul[[#This Row],[ATUAL]])</f>
        <v>0</v>
      </c>
      <c r="U158" s="119" t="n">
        <f aca="false">SUMIFS(tabela_registros[VALOR],tabela_registros[MÊS],$AE$1,tabela_registros[DIA],investiroutrosconsolidadojul[[#Headers],[17]],tabela_registros[REGISTRO],DADOS!$N$5,tabela_registros[TIPO],DADOS!$AB$5,tabela_registros[CATEGORIA],investiroutrosconsolidadojul[[#This Row],[ATUAL]])</f>
        <v>0</v>
      </c>
      <c r="V158" s="119" t="n">
        <f aca="false">SUMIFS(tabela_registros[VALOR],tabela_registros[MÊS],$AE$1,tabela_registros[DIA],investiroutrosconsolidadojul[[#Headers],[18]],tabela_registros[REGISTRO],DADOS!$N$5,tabela_registros[TIPO],DADOS!$AB$5,tabela_registros[CATEGORIA],investiroutrosconsolidadojul[[#This Row],[ATUAL]])</f>
        <v>0</v>
      </c>
      <c r="W158" s="119" t="n">
        <f aca="false">SUMIFS(tabela_registros[VALOR],tabela_registros[MÊS],$AE$1,tabela_registros[DIA],investiroutrosconsolidadojul[[#Headers],[19]],tabela_registros[REGISTRO],DADOS!$N$5,tabela_registros[TIPO],DADOS!$AB$5,tabela_registros[CATEGORIA],investiroutrosconsolidadojul[[#This Row],[ATUAL]])</f>
        <v>0</v>
      </c>
      <c r="X158" s="119" t="n">
        <f aca="false">SUMIFS(tabela_registros[VALOR],tabela_registros[MÊS],$AE$1,tabela_registros[DIA],investiroutrosconsolidadojul[[#Headers],[20]],tabela_registros[REGISTRO],DADOS!$N$5,tabela_registros[TIPO],DADOS!$AB$5,tabela_registros[CATEGORIA],investiroutrosconsolidadojul[[#This Row],[ATUAL]])</f>
        <v>0</v>
      </c>
      <c r="Y158" s="119" t="n">
        <f aca="false">SUMIFS(tabela_registros[VALOR],tabela_registros[MÊS],$AE$1,tabela_registros[DIA],investiroutrosconsolidadojul[[#Headers],[21]],tabela_registros[REGISTRO],DADOS!$N$5,tabela_registros[TIPO],DADOS!$AB$5,tabela_registros[CATEGORIA],investiroutrosconsolidadojul[[#This Row],[ATUAL]])</f>
        <v>0</v>
      </c>
      <c r="Z158" s="119" t="n">
        <f aca="false">SUMIFS(tabela_registros[VALOR],tabela_registros[MÊS],$AE$1,tabela_registros[DIA],investiroutrosconsolidadojul[[#Headers],[22]],tabela_registros[REGISTRO],DADOS!$N$5,tabela_registros[TIPO],DADOS!$AB$5,tabela_registros[CATEGORIA],investiroutrosconsolidadojul[[#This Row],[ATUAL]])</f>
        <v>0</v>
      </c>
      <c r="AA158" s="119" t="n">
        <f aca="false">SUMIFS(tabela_registros[VALOR],tabela_registros[MÊS],$AE$1,tabela_registros[DIA],investiroutrosconsolidadojul[[#Headers],[23]],tabela_registros[REGISTRO],DADOS!$N$5,tabela_registros[TIPO],DADOS!$AB$5,tabela_registros[CATEGORIA],investiroutrosconsolidadojul[[#This Row],[ATUAL]])</f>
        <v>0</v>
      </c>
      <c r="AB158" s="119" t="n">
        <f aca="false">SUMIFS(tabela_registros[VALOR],tabela_registros[MÊS],$AE$1,tabela_registros[DIA],investiroutrosconsolidadojul[[#Headers],[24]],tabela_registros[REGISTRO],DADOS!$N$5,tabela_registros[TIPO],DADOS!$AB$5,tabela_registros[CATEGORIA],investiroutrosconsolidadojul[[#This Row],[ATUAL]])</f>
        <v>0</v>
      </c>
      <c r="AC158" s="119" t="n">
        <f aca="false">SUMIFS(tabela_registros[VALOR],tabela_registros[MÊS],$AE$1,tabela_registros[DIA],investiroutrosconsolidadojul[[#Headers],[25]],tabela_registros[REGISTRO],DADOS!$N$5,tabela_registros[TIPO],DADOS!$AB$5,tabela_registros[CATEGORIA],investiroutrosconsolidadojul[[#This Row],[ATUAL]])</f>
        <v>0</v>
      </c>
      <c r="AD158" s="119" t="n">
        <f aca="false">SUMIFS(tabela_registros[VALOR],tabela_registros[MÊS],$AE$1,tabela_registros[DIA],investiroutrosconsolidadojul[[#Headers],[26]],tabela_registros[REGISTRO],DADOS!$N$5,tabela_registros[TIPO],DADOS!$AB$5,tabela_registros[CATEGORIA],investiroutrosconsolidadojul[[#This Row],[ATUAL]])</f>
        <v>0</v>
      </c>
      <c r="AE158" s="119" t="n">
        <f aca="false">SUMIFS(tabela_registros[VALOR],tabela_registros[MÊS],$AE$1,tabela_registros[DIA],investiroutrosconsolidadojul[[#Headers],[27]],tabela_registros[REGISTRO],DADOS!$N$5,tabela_registros[TIPO],DADOS!$AB$5,tabela_registros[CATEGORIA],investiroutrosconsolidadojul[[#This Row],[ATUAL]])</f>
        <v>0</v>
      </c>
      <c r="AF158" s="119" t="n">
        <f aca="false">SUMIFS(tabela_registros[VALOR],tabela_registros[MÊS],$AE$1,tabela_registros[DIA],investiroutrosconsolidadojul[[#Headers],[28]],tabela_registros[REGISTRO],DADOS!$N$5,tabela_registros[TIPO],DADOS!$AB$5,tabela_registros[CATEGORIA],investiroutrosconsolidadojul[[#This Row],[ATUAL]])</f>
        <v>0</v>
      </c>
      <c r="AG158" s="119" t="n">
        <f aca="false">SUMIFS(tabela_registros[VALOR],tabela_registros[MÊS],$AE$1,tabela_registros[DIA],investiroutrosconsolidadojul[[#Headers],[29]],tabela_registros[REGISTRO],DADOS!$N$5,tabela_registros[TIPO],DADOS!$AB$5,tabela_registros[CATEGORIA],investiroutrosconsolidadojul[[#This Row],[ATUAL]])</f>
        <v>0</v>
      </c>
      <c r="AH158" s="119" t="n">
        <f aca="false">SUMIFS(tabela_registros[VALOR],tabela_registros[MÊS],$AE$1,tabela_registros[DIA],investiroutrosconsolidadojul[[#Headers],[30]],tabela_registros[REGISTRO],DADOS!$N$5,tabela_registros[TIPO],DADOS!$AB$5,tabela_registros[CATEGORIA],investiroutrosconsolidadojul[[#This Row],[ATUAL]])</f>
        <v>0</v>
      </c>
      <c r="AI158" s="218" t="n">
        <f aca="false">SUMIFS(tabela_registros[VALOR],tabela_registros[MÊS],$AE$1,tabela_registros[DIA],investiroutrosconsolidadojul[[#Headers],[31]],tabela_registros[REGISTRO],DADOS!$N$5,tabela_registros[TIPO],DADOS!$AB$5,tabela_registros[CATEGORIA],investiroutrosconsolidadojul[[#This Row],[ATUAL]])</f>
        <v>0</v>
      </c>
      <c r="AJ158" s="149" t="n">
        <f aca="false">SUM(investiroutrosconsolidadojul[[#This Row],[1]:[31]])</f>
        <v>0</v>
      </c>
      <c r="AK158" s="165"/>
    </row>
    <row r="159" s="122" customFormat="true" ht="21" hidden="false" customHeight="true" outlineLevel="0" collapsed="false">
      <c r="B159" s="152"/>
      <c r="C159" s="153" t="s">
        <v>2</v>
      </c>
      <c r="D159" s="166"/>
      <c r="E159" s="155" t="n">
        <f aca="false">SUM(E151:E158)</f>
        <v>0</v>
      </c>
      <c r="F159" s="156" t="n">
        <f aca="false">SUM(F151:F158)+investiroutrosconsolidadojul[[#This Row],[1]]</f>
        <v>0</v>
      </c>
      <c r="G159" s="156" t="n">
        <f aca="false">SUM(G151:G158)+investiroutrosconsolidadojul[[#This Row],[2]]</f>
        <v>0</v>
      </c>
      <c r="H159" s="156" t="n">
        <f aca="false">SUM(H151:H158)+investiroutrosconsolidadojul[[#This Row],[3]]</f>
        <v>0</v>
      </c>
      <c r="I159" s="156" t="n">
        <f aca="false">SUM(I151:I158)+investiroutrosconsolidadojul[[#This Row],[4]]</f>
        <v>0</v>
      </c>
      <c r="J159" s="156" t="n">
        <f aca="false">SUM(J151:J158)+investiroutrosconsolidadojul[[#This Row],[5]]</f>
        <v>0</v>
      </c>
      <c r="K159" s="156" t="n">
        <f aca="false">SUM(K151:K158)+investiroutrosconsolidadojul[[#This Row],[6]]</f>
        <v>0</v>
      </c>
      <c r="L159" s="156" t="n">
        <f aca="false">SUM(L151:L158)+investiroutrosconsolidadojul[[#This Row],[7]]</f>
        <v>0</v>
      </c>
      <c r="M159" s="156" t="n">
        <f aca="false">SUM(M151:M158)+investiroutrosconsolidadojul[[#This Row],[8]]</f>
        <v>0</v>
      </c>
      <c r="N159" s="156" t="n">
        <f aca="false">SUM(N151:N158)+investiroutrosconsolidadojul[[#This Row],[9]]</f>
        <v>0</v>
      </c>
      <c r="O159" s="156" t="n">
        <f aca="false">SUM(O151:O158)+investiroutrosconsolidadojul[[#This Row],[10]]</f>
        <v>0</v>
      </c>
      <c r="P159" s="156" t="n">
        <f aca="false">SUM(P151:P158)+investiroutrosconsolidadojul[[#This Row],[11]]</f>
        <v>0</v>
      </c>
      <c r="Q159" s="156" t="n">
        <f aca="false">SUM(Q151:Q158)+investiroutrosconsolidadojul[[#This Row],[12]]</f>
        <v>0</v>
      </c>
      <c r="R159" s="156" t="n">
        <f aca="false">SUM(R151:R158)+investiroutrosconsolidadojul[[#This Row],[13]]</f>
        <v>0</v>
      </c>
      <c r="S159" s="156" t="n">
        <f aca="false">SUM(S151:S158)+investiroutrosconsolidadojul[[#This Row],[14]]</f>
        <v>0</v>
      </c>
      <c r="T159" s="156" t="n">
        <f aca="false">SUM(T151:T158)+investiroutrosconsolidadojul[[#This Row],[15]]</f>
        <v>0</v>
      </c>
      <c r="U159" s="156" t="n">
        <f aca="false">SUM(U151:U158)+investiroutrosconsolidadojul[[#This Row],[16]]</f>
        <v>0</v>
      </c>
      <c r="V159" s="156" t="n">
        <f aca="false">SUM(V151:V158)+investiroutrosconsolidadojul[[#This Row],[17]]</f>
        <v>0</v>
      </c>
      <c r="W159" s="156" t="n">
        <f aca="false">SUM(W151:W158)+investiroutrosconsolidadojul[[#This Row],[18]]</f>
        <v>0</v>
      </c>
      <c r="X159" s="156" t="n">
        <f aca="false">SUM(X151:X158)+investiroutrosconsolidadojul[[#This Row],[19]]</f>
        <v>0</v>
      </c>
      <c r="Y159" s="156" t="n">
        <f aca="false">SUM(Y151:Y158)+investiroutrosconsolidadojul[[#This Row],[20]]</f>
        <v>0</v>
      </c>
      <c r="Z159" s="156" t="n">
        <f aca="false">SUM(Z151:Z158)+investiroutrosconsolidadojul[[#This Row],[21]]</f>
        <v>0</v>
      </c>
      <c r="AA159" s="156" t="n">
        <f aca="false">SUM(AA151:AA158)+investiroutrosconsolidadojul[[#This Row],[22]]</f>
        <v>0</v>
      </c>
      <c r="AB159" s="156" t="n">
        <f aca="false">SUM(AB151:AB158)+investiroutrosconsolidadojul[[#This Row],[23]]</f>
        <v>0</v>
      </c>
      <c r="AC159" s="156" t="n">
        <f aca="false">SUM(AC151:AC158)+investiroutrosconsolidadojul[[#This Row],[24]]</f>
        <v>0</v>
      </c>
      <c r="AD159" s="156" t="n">
        <f aca="false">SUM(AD151:AD158)+investiroutrosconsolidadojul[[#This Row],[25]]</f>
        <v>0</v>
      </c>
      <c r="AE159" s="156" t="n">
        <f aca="false">SUM(AE151:AE158)+investiroutrosconsolidadojul[[#This Row],[26]]</f>
        <v>0</v>
      </c>
      <c r="AF159" s="156" t="n">
        <f aca="false">SUM(AF151:AF158)+investiroutrosconsolidadojul[[#This Row],[27]]</f>
        <v>0</v>
      </c>
      <c r="AG159" s="156" t="n">
        <f aca="false">SUM(AG151:AG158)+investiroutrosconsolidadojul[[#This Row],[28]]</f>
        <v>0</v>
      </c>
      <c r="AH159" s="156" t="n">
        <f aca="false">SUM(AH151:AH158)+investiroutrosconsolidadojul[[#This Row],[29]]</f>
        <v>0</v>
      </c>
      <c r="AI159" s="223" t="n">
        <f aca="false">SUM(AI151:AI158)+investiroutrosconsolidadojul[[#This Row],[30]]</f>
        <v>0</v>
      </c>
      <c r="AJ159" s="157" t="n">
        <f aca="false">investiroutrosconsolidadojul[[#This Row],[31]]</f>
        <v>0</v>
      </c>
      <c r="AK159" s="158"/>
    </row>
    <row r="160" customFormat="false" ht="6.75" hidden="false" customHeight="true" outlineLevel="0" collapsed="false">
      <c r="B160" s="97"/>
      <c r="C160" s="162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233"/>
      <c r="AJ160" s="164"/>
      <c r="AK160" s="244"/>
    </row>
    <row r="161" s="78" customFormat="true" ht="12.75" hidden="false" customHeight="false" outlineLevel="0" collapsed="false">
      <c r="E161" s="100"/>
    </row>
    <row r="162" s="78" customFormat="true" ht="12" hidden="false" customHeight="false" outlineLevel="0" collapsed="false"/>
    <row r="163" s="78" customFormat="true" ht="12" hidden="false" customHeight="false" outlineLevel="0" collapsed="false"/>
    <row r="164" customFormat="false" ht="39.75" hidden="false" customHeight="true" outlineLevel="0" collapsed="false">
      <c r="C164" s="101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3" t="s">
        <v>2</v>
      </c>
    </row>
    <row r="165" s="78" customFormat="true" ht="12.75" hidden="false" customHeight="false" outlineLevel="0" collapsed="false">
      <c r="B165" s="161"/>
      <c r="AJ165" s="106" t="s">
        <v>64</v>
      </c>
    </row>
    <row r="166" customFormat="false" ht="6.75" hidden="false" customHeight="true" outlineLevel="0" collapsed="false">
      <c r="B166" s="86"/>
      <c r="C166" s="162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233"/>
      <c r="AK166" s="139"/>
    </row>
    <row r="167" customFormat="false" ht="13.5" hidden="true" customHeight="false" outlineLevel="0" collapsed="false">
      <c r="B167" s="86"/>
      <c r="C167" s="109" t="s">
        <v>68</v>
      </c>
      <c r="D167" s="110" t="s">
        <v>69</v>
      </c>
      <c r="E167" s="110" t="s">
        <v>30</v>
      </c>
      <c r="F167" s="110" t="s">
        <v>31</v>
      </c>
      <c r="G167" s="110" t="s">
        <v>32</v>
      </c>
      <c r="H167" s="110" t="s">
        <v>33</v>
      </c>
      <c r="I167" s="110" t="s">
        <v>34</v>
      </c>
      <c r="J167" s="110" t="s">
        <v>35</v>
      </c>
      <c r="K167" s="110" t="s">
        <v>36</v>
      </c>
      <c r="L167" s="110" t="s">
        <v>37</v>
      </c>
      <c r="M167" s="110" t="s">
        <v>38</v>
      </c>
      <c r="N167" s="110" t="s">
        <v>39</v>
      </c>
      <c r="O167" s="110" t="s">
        <v>40</v>
      </c>
      <c r="P167" s="110" t="s">
        <v>41</v>
      </c>
      <c r="Q167" s="110" t="s">
        <v>81</v>
      </c>
      <c r="R167" s="110" t="s">
        <v>82</v>
      </c>
      <c r="S167" s="110" t="s">
        <v>83</v>
      </c>
      <c r="T167" s="110" t="s">
        <v>84</v>
      </c>
      <c r="U167" s="110" t="s">
        <v>85</v>
      </c>
      <c r="V167" s="110" t="s">
        <v>86</v>
      </c>
      <c r="W167" s="110" t="s">
        <v>87</v>
      </c>
      <c r="X167" s="110" t="s">
        <v>88</v>
      </c>
      <c r="Y167" s="110" t="s">
        <v>89</v>
      </c>
      <c r="Z167" s="110" t="s">
        <v>90</v>
      </c>
      <c r="AA167" s="110" t="s">
        <v>91</v>
      </c>
      <c r="AB167" s="110" t="s">
        <v>92</v>
      </c>
      <c r="AC167" s="110" t="s">
        <v>93</v>
      </c>
      <c r="AD167" s="110" t="s">
        <v>94</v>
      </c>
      <c r="AE167" s="110" t="s">
        <v>95</v>
      </c>
      <c r="AF167" s="110" t="s">
        <v>96</v>
      </c>
      <c r="AG167" s="110" t="s">
        <v>97</v>
      </c>
      <c r="AH167" s="110" t="s">
        <v>98</v>
      </c>
      <c r="AI167" s="110" t="s">
        <v>99</v>
      </c>
      <c r="AJ167" s="111" t="s">
        <v>70</v>
      </c>
      <c r="AK167" s="86"/>
    </row>
    <row r="168" customFormat="false" ht="19.5" hidden="false" customHeight="true" outlineLevel="0" collapsed="false">
      <c r="B168" s="143"/>
      <c r="C168" s="144" t="str">
        <f aca="false">DADOS!$AL$3</f>
        <v>📝 CDB</v>
      </c>
      <c r="D168" s="145" t="str">
        <f aca="false">IF(reservafixaconsolidadojul[[#This Row],[TOTAL (R$)]]=0,"",IF(OR(reservafixaconsolidadojul[[#This Row],[TOTAL (R$)]]=LARGE($AJ$168:$AJ$177,1),reservafixaconsolidadojul[[#This Row],[TOTAL (R$)]]=LARGE($AJ$168:$AJ$177,2)),DADOS!$I$11,""))</f>
        <v/>
      </c>
      <c r="E168" s="148" t="n">
        <f aca="false">SUMIFS(tabela_registros[VALOR],tabela_registros[MÊS],$AE$1,tabela_registros[DIA],reservafixaconsolidadojul[[#Headers],[1]],tabela_registros[REGISTRO],DADOS!$N$6,tabela_registros[TIPO],DADOS!$AJ$3,tabela_registros[CATEGORIA],reservafixaconsolidadojul[[#This Row],[ATUAL]])</f>
        <v>0</v>
      </c>
      <c r="F168" s="119" t="n">
        <f aca="false">SUMIFS(tabela_registros[VALOR],tabela_registros[MÊS],$AE$1,tabela_registros[DIA],reservafixaconsolidadojul[[#Headers],[2]],tabela_registros[REGISTRO],DADOS!$N$6,tabela_registros[TIPO],DADOS!$AJ$3,tabela_registros[CATEGORIA],reservafixaconsolidadojul[[#This Row],[ATUAL]])</f>
        <v>0</v>
      </c>
      <c r="G168" s="119" t="n">
        <f aca="false">SUMIFS(tabela_registros[VALOR],tabela_registros[MÊS],$AE$1,tabela_registros[DIA],reservafixaconsolidadojul[[#Headers],[3]],tabela_registros[REGISTRO],DADOS!$N$6,tabela_registros[TIPO],DADOS!$AJ$3,tabela_registros[CATEGORIA],reservafixaconsolidadojul[[#This Row],[ATUAL]])</f>
        <v>0</v>
      </c>
      <c r="H168" s="119" t="n">
        <f aca="false">SUMIFS(tabela_registros[VALOR],tabela_registros[MÊS],$AE$1,tabela_registros[DIA],reservafixaconsolidadojul[[#Headers],[4]],tabela_registros[REGISTRO],DADOS!$N$6,tabela_registros[TIPO],DADOS!$AJ$3,tabela_registros[CATEGORIA],reservafixaconsolidadojul[[#This Row],[ATUAL]])</f>
        <v>0</v>
      </c>
      <c r="I168" s="119" t="n">
        <f aca="false">SUMIFS(tabela_registros[VALOR],tabela_registros[MÊS],$AE$1,tabela_registros[DIA],reservafixaconsolidadojul[[#Headers],[5]],tabela_registros[REGISTRO],DADOS!$N$6,tabela_registros[TIPO],DADOS!$AJ$3,tabela_registros[CATEGORIA],reservafixaconsolidadojul[[#This Row],[ATUAL]])</f>
        <v>0</v>
      </c>
      <c r="J168" s="119" t="n">
        <f aca="false">SUMIFS(tabela_registros[VALOR],tabela_registros[MÊS],$AE$1,tabela_registros[DIA],reservafixaconsolidadojul[[#Headers],[6]],tabela_registros[REGISTRO],DADOS!$N$6,tabela_registros[TIPO],DADOS!$AJ$3,tabela_registros[CATEGORIA],reservafixaconsolidadojul[[#This Row],[ATUAL]])</f>
        <v>0</v>
      </c>
      <c r="K168" s="119" t="n">
        <f aca="false">SUMIFS(tabela_registros[VALOR],tabela_registros[MÊS],$AE$1,tabela_registros[DIA],reservafixaconsolidadojul[[#Headers],[7]],tabela_registros[REGISTRO],DADOS!$N$6,tabela_registros[TIPO],DADOS!$AJ$3,tabela_registros[CATEGORIA],reservafixaconsolidadojul[[#This Row],[ATUAL]])</f>
        <v>0</v>
      </c>
      <c r="L168" s="119" t="n">
        <f aca="false">SUMIFS(tabela_registros[VALOR],tabela_registros[MÊS],$AE$1,tabela_registros[DIA],reservafixaconsolidadojul[[#Headers],[8]],tabela_registros[REGISTRO],DADOS!$N$6,tabela_registros[TIPO],DADOS!$AJ$3,tabela_registros[CATEGORIA],reservafixaconsolidadojul[[#This Row],[ATUAL]])</f>
        <v>0</v>
      </c>
      <c r="M168" s="119" t="n">
        <f aca="false">SUMIFS(tabela_registros[VALOR],tabela_registros[MÊS],$AE$1,tabela_registros[DIA],reservafixaconsolidadojul[[#Headers],[9]],tabela_registros[REGISTRO],DADOS!$N$6,tabela_registros[TIPO],DADOS!$AJ$3,tabela_registros[CATEGORIA],reservafixaconsolidadojul[[#This Row],[ATUAL]])</f>
        <v>0</v>
      </c>
      <c r="N168" s="119" t="n">
        <f aca="false">SUMIFS(tabela_registros[VALOR],tabela_registros[MÊS],$AE$1,tabela_registros[DIA],reservafixaconsolidadojul[[#Headers],[10]],tabela_registros[REGISTRO],DADOS!$N$6,tabela_registros[TIPO],DADOS!$AJ$3,tabela_registros[CATEGORIA],reservafixaconsolidadojul[[#This Row],[ATUAL]])</f>
        <v>0</v>
      </c>
      <c r="O168" s="119" t="n">
        <f aca="false">SUMIFS(tabela_registros[VALOR],tabela_registros[MÊS],$AE$1,tabela_registros[DIA],reservafixaconsolidadojul[[#Headers],[11]],tabela_registros[REGISTRO],DADOS!$N$6,tabela_registros[TIPO],DADOS!$AJ$3,tabela_registros[CATEGORIA],reservafixaconsolidadojul[[#This Row],[ATUAL]])</f>
        <v>0</v>
      </c>
      <c r="P168" s="119" t="n">
        <f aca="false">SUMIFS(tabela_registros[VALOR],tabela_registros[MÊS],$AE$1,tabela_registros[DIA],reservafixaconsolidadojul[[#Headers],[12]],tabela_registros[REGISTRO],DADOS!$N$6,tabela_registros[TIPO],DADOS!$AJ$3,tabela_registros[CATEGORIA],reservafixaconsolidadojul[[#This Row],[ATUAL]])</f>
        <v>0</v>
      </c>
      <c r="Q168" s="119" t="n">
        <f aca="false">SUMIFS(tabela_registros[VALOR],tabela_registros[MÊS],$AE$1,tabela_registros[DIA],reservafixaconsolidadojul[[#Headers],[13]],tabela_registros[REGISTRO],DADOS!$N$6,tabela_registros[TIPO],DADOS!$AJ$3,tabela_registros[CATEGORIA],reservafixaconsolidadojul[[#This Row],[ATUAL]])</f>
        <v>0</v>
      </c>
      <c r="R168" s="119" t="n">
        <f aca="false">SUMIFS(tabela_registros[VALOR],tabela_registros[MÊS],$AE$1,tabela_registros[DIA],reservafixaconsolidadojul[[#Headers],[14]],tabela_registros[REGISTRO],DADOS!$N$6,tabela_registros[TIPO],DADOS!$AJ$3,tabela_registros[CATEGORIA],reservafixaconsolidadojul[[#This Row],[ATUAL]])</f>
        <v>0</v>
      </c>
      <c r="S168" s="119" t="n">
        <f aca="false">SUMIFS(tabela_registros[VALOR],tabela_registros[MÊS],$AE$1,tabela_registros[DIA],reservafixaconsolidadojul[[#Headers],[15]],tabela_registros[REGISTRO],DADOS!$N$6,tabela_registros[TIPO],DADOS!$AJ$3,tabela_registros[CATEGORIA],reservafixaconsolidadojul[[#This Row],[ATUAL]])</f>
        <v>0</v>
      </c>
      <c r="T168" s="119" t="n">
        <f aca="false">SUMIFS(tabela_registros[VALOR],tabela_registros[MÊS],$AE$1,tabela_registros[DIA],reservafixaconsolidadojul[[#Headers],[16]],tabela_registros[REGISTRO],DADOS!$N$6,tabela_registros[TIPO],DADOS!$AJ$3,tabela_registros[CATEGORIA],reservafixaconsolidadojul[[#This Row],[ATUAL]])</f>
        <v>0</v>
      </c>
      <c r="U168" s="119" t="n">
        <f aca="false">SUMIFS(tabela_registros[VALOR],tabela_registros[MÊS],$AE$1,tabela_registros[DIA],reservafixaconsolidadojul[[#Headers],[17]],tabela_registros[REGISTRO],DADOS!$N$6,tabela_registros[TIPO],DADOS!$AJ$3,tabela_registros[CATEGORIA],reservafixaconsolidadojul[[#This Row],[ATUAL]])</f>
        <v>0</v>
      </c>
      <c r="V168" s="119" t="n">
        <f aca="false">SUMIFS(tabela_registros[VALOR],tabela_registros[MÊS],$AE$1,tabela_registros[DIA],reservafixaconsolidadojul[[#Headers],[18]],tabela_registros[REGISTRO],DADOS!$N$6,tabela_registros[TIPO],DADOS!$AJ$3,tabela_registros[CATEGORIA],reservafixaconsolidadojul[[#This Row],[ATUAL]])</f>
        <v>0</v>
      </c>
      <c r="W168" s="119" t="n">
        <f aca="false">SUMIFS(tabela_registros[VALOR],tabela_registros[MÊS],$AE$1,tabela_registros[DIA],reservafixaconsolidadojul[[#Headers],[19]],tabela_registros[REGISTRO],DADOS!$N$6,tabela_registros[TIPO],DADOS!$AJ$3,tabela_registros[CATEGORIA],reservafixaconsolidadojul[[#This Row],[ATUAL]])</f>
        <v>0</v>
      </c>
      <c r="X168" s="119" t="n">
        <f aca="false">SUMIFS(tabela_registros[VALOR],tabela_registros[MÊS],$AE$1,tabela_registros[DIA],reservafixaconsolidadojul[[#Headers],[20]],tabela_registros[REGISTRO],DADOS!$N$6,tabela_registros[TIPO],DADOS!$AJ$3,tabela_registros[CATEGORIA],reservafixaconsolidadojul[[#This Row],[ATUAL]])</f>
        <v>0</v>
      </c>
      <c r="Y168" s="119" t="n">
        <f aca="false">SUMIFS(tabela_registros[VALOR],tabela_registros[MÊS],$AE$1,tabela_registros[DIA],reservafixaconsolidadojul[[#Headers],[21]],tabela_registros[REGISTRO],DADOS!$N$6,tabela_registros[TIPO],DADOS!$AJ$3,tabela_registros[CATEGORIA],reservafixaconsolidadojul[[#This Row],[ATUAL]])</f>
        <v>0</v>
      </c>
      <c r="Z168" s="119" t="n">
        <f aca="false">SUMIFS(tabela_registros[VALOR],tabela_registros[MÊS],$AE$1,tabela_registros[DIA],reservafixaconsolidadojul[[#Headers],[22]],tabela_registros[REGISTRO],DADOS!$N$6,tabela_registros[TIPO],DADOS!$AJ$3,tabela_registros[CATEGORIA],reservafixaconsolidadojul[[#This Row],[ATUAL]])</f>
        <v>0</v>
      </c>
      <c r="AA168" s="119" t="n">
        <f aca="false">SUMIFS(tabela_registros[VALOR],tabela_registros[MÊS],$AE$1,tabela_registros[DIA],reservafixaconsolidadojul[[#Headers],[23]],tabela_registros[REGISTRO],DADOS!$N$6,tabela_registros[TIPO],DADOS!$AJ$3,tabela_registros[CATEGORIA],reservafixaconsolidadojul[[#This Row],[ATUAL]])</f>
        <v>0</v>
      </c>
      <c r="AB168" s="119" t="n">
        <f aca="false">SUMIFS(tabela_registros[VALOR],tabela_registros[MÊS],$AE$1,tabela_registros[DIA],reservafixaconsolidadojul[[#Headers],[24]],tabela_registros[REGISTRO],DADOS!$N$6,tabela_registros[TIPO],DADOS!$AJ$3,tabela_registros[CATEGORIA],reservafixaconsolidadojul[[#This Row],[ATUAL]])</f>
        <v>0</v>
      </c>
      <c r="AC168" s="119" t="n">
        <f aca="false">SUMIFS(tabela_registros[VALOR],tabela_registros[MÊS],$AE$1,tabela_registros[DIA],reservafixaconsolidadojul[[#Headers],[25]],tabela_registros[REGISTRO],DADOS!$N$6,tabela_registros[TIPO],DADOS!$AJ$3,tabela_registros[CATEGORIA],reservafixaconsolidadojul[[#This Row],[ATUAL]])</f>
        <v>0</v>
      </c>
      <c r="AD168" s="119" t="n">
        <f aca="false">SUMIFS(tabela_registros[VALOR],tabela_registros[MÊS],$AE$1,tabela_registros[DIA],reservafixaconsolidadojul[[#Headers],[26]],tabela_registros[REGISTRO],DADOS!$N$6,tabela_registros[TIPO],DADOS!$AJ$3,tabela_registros[CATEGORIA],reservafixaconsolidadojul[[#This Row],[ATUAL]])</f>
        <v>0</v>
      </c>
      <c r="AE168" s="119" t="n">
        <f aca="false">SUMIFS(tabela_registros[VALOR],tabela_registros[MÊS],$AE$1,tabela_registros[DIA],reservafixaconsolidadojul[[#Headers],[27]],tabela_registros[REGISTRO],DADOS!$N$6,tabela_registros[TIPO],DADOS!$AJ$3,tabela_registros[CATEGORIA],reservafixaconsolidadojul[[#This Row],[ATUAL]])</f>
        <v>0</v>
      </c>
      <c r="AF168" s="119" t="n">
        <f aca="false">SUMIFS(tabela_registros[VALOR],tabela_registros[MÊS],$AE$1,tabela_registros[DIA],reservafixaconsolidadojul[[#Headers],[28]],tabela_registros[REGISTRO],DADOS!$N$6,tabela_registros[TIPO],DADOS!$AJ$3,tabela_registros[CATEGORIA],reservafixaconsolidadojul[[#This Row],[ATUAL]])</f>
        <v>0</v>
      </c>
      <c r="AG168" s="119" t="n">
        <f aca="false">SUMIFS(tabela_registros[VALOR],tabela_registros[MÊS],$AE$1,tabela_registros[DIA],reservafixaconsolidadojul[[#Headers],[29]],tabela_registros[REGISTRO],DADOS!$N$6,tabela_registros[TIPO],DADOS!$AJ$3,tabela_registros[CATEGORIA],reservafixaconsolidadojul[[#This Row],[ATUAL]])</f>
        <v>0</v>
      </c>
      <c r="AH168" s="119" t="n">
        <f aca="false">SUMIFS(tabela_registros[VALOR],tabela_registros[MÊS],$AE$1,tabela_registros[DIA],reservafixaconsolidadojul[[#Headers],[30]],tabela_registros[REGISTRO],DADOS!$N$6,tabela_registros[TIPO],DADOS!$AJ$3,tabela_registros[CATEGORIA],reservafixaconsolidadojul[[#This Row],[ATUAL]])</f>
        <v>0</v>
      </c>
      <c r="AI168" s="217" t="n">
        <f aca="false">SUMIFS(tabela_registros[VALOR],tabela_registros[MÊS],$AE$1,tabela_registros[DIA],reservafixaconsolidadojul[[#Headers],[31]],tabela_registros[REGISTRO],DADOS!$N$6,tabela_registros[TIPO],DADOS!$AJ$3,tabela_registros[CATEGORIA],reservafixaconsolidadojul[[#This Row],[ATUAL]])</f>
        <v>0</v>
      </c>
      <c r="AJ168" s="149" t="n">
        <f aca="false">SUM(reservafixaconsolidadojul[[#This Row],[1]:[31]])</f>
        <v>0</v>
      </c>
      <c r="AK168" s="165"/>
    </row>
    <row r="169" customFormat="false" ht="19.5" hidden="false" customHeight="true" outlineLevel="0" collapsed="false">
      <c r="B169" s="143"/>
      <c r="C169" s="144" t="str">
        <f aca="false">DADOS!$AL$4</f>
        <v>📝 CRA</v>
      </c>
      <c r="D169" s="145" t="str">
        <f aca="false">IF(reservafixaconsolidadojul[[#This Row],[TOTAL (R$)]]=0,"",IF(OR(reservafixaconsolidadojul[[#This Row],[TOTAL (R$)]]=LARGE($AJ$168:$AJ$177,1),reservafixaconsolidadojul[[#This Row],[TOTAL (R$)]]=LARGE($AJ$168:$AJ$177,2)),DADOS!$I$11,""))</f>
        <v/>
      </c>
      <c r="E169" s="148" t="n">
        <f aca="false">SUMIFS(tabela_registros[VALOR],tabela_registros[MÊS],$AE$1,tabela_registros[DIA],reservafixaconsolidadojul[[#Headers],[1]],tabela_registros[REGISTRO],DADOS!$N$6,tabela_registros[TIPO],DADOS!$AJ$3,tabela_registros[CATEGORIA],reservafixaconsolidadojul[[#This Row],[ATUAL]])</f>
        <v>0</v>
      </c>
      <c r="F169" s="119" t="n">
        <f aca="false">SUMIFS(tabela_registros[VALOR],tabela_registros[MÊS],$AE$1,tabela_registros[DIA],reservafixaconsolidadojul[[#Headers],[2]],tabela_registros[REGISTRO],DADOS!$N$6,tabela_registros[TIPO],DADOS!$AJ$3,tabela_registros[CATEGORIA],reservafixaconsolidadojul[[#This Row],[ATUAL]])</f>
        <v>0</v>
      </c>
      <c r="G169" s="119" t="n">
        <f aca="false">SUMIFS(tabela_registros[VALOR],tabela_registros[MÊS],$AE$1,tabela_registros[DIA],reservafixaconsolidadojul[[#Headers],[3]],tabela_registros[REGISTRO],DADOS!$N$6,tabela_registros[TIPO],DADOS!$AJ$3,tabela_registros[CATEGORIA],reservafixaconsolidadojul[[#This Row],[ATUAL]])</f>
        <v>0</v>
      </c>
      <c r="H169" s="119" t="n">
        <f aca="false">SUMIFS(tabela_registros[VALOR],tabela_registros[MÊS],$AE$1,tabela_registros[DIA],reservafixaconsolidadojul[[#Headers],[4]],tabela_registros[REGISTRO],DADOS!$N$6,tabela_registros[TIPO],DADOS!$AJ$3,tabela_registros[CATEGORIA],reservafixaconsolidadojul[[#This Row],[ATUAL]])</f>
        <v>0</v>
      </c>
      <c r="I169" s="119" t="n">
        <f aca="false">SUMIFS(tabela_registros[VALOR],tabela_registros[MÊS],$AE$1,tabela_registros[DIA],reservafixaconsolidadojul[[#Headers],[5]],tabela_registros[REGISTRO],DADOS!$N$6,tabela_registros[TIPO],DADOS!$AJ$3,tabela_registros[CATEGORIA],reservafixaconsolidadojul[[#This Row],[ATUAL]])</f>
        <v>0</v>
      </c>
      <c r="J169" s="119" t="n">
        <f aca="false">SUMIFS(tabela_registros[VALOR],tabela_registros[MÊS],$AE$1,tabela_registros[DIA],reservafixaconsolidadojul[[#Headers],[6]],tabela_registros[REGISTRO],DADOS!$N$6,tabela_registros[TIPO],DADOS!$AJ$3,tabela_registros[CATEGORIA],reservafixaconsolidadojul[[#This Row],[ATUAL]])</f>
        <v>0</v>
      </c>
      <c r="K169" s="119" t="n">
        <f aca="false">SUMIFS(tabela_registros[VALOR],tabela_registros[MÊS],$AE$1,tabela_registros[DIA],reservafixaconsolidadojul[[#Headers],[7]],tabela_registros[REGISTRO],DADOS!$N$6,tabela_registros[TIPO],DADOS!$AJ$3,tabela_registros[CATEGORIA],reservafixaconsolidadojul[[#This Row],[ATUAL]])</f>
        <v>0</v>
      </c>
      <c r="L169" s="119" t="n">
        <f aca="false">SUMIFS(tabela_registros[VALOR],tabela_registros[MÊS],$AE$1,tabela_registros[DIA],reservafixaconsolidadojul[[#Headers],[8]],tabela_registros[REGISTRO],DADOS!$N$6,tabela_registros[TIPO],DADOS!$AJ$3,tabela_registros[CATEGORIA],reservafixaconsolidadojul[[#This Row],[ATUAL]])</f>
        <v>0</v>
      </c>
      <c r="M169" s="119" t="n">
        <f aca="false">SUMIFS(tabela_registros[VALOR],tabela_registros[MÊS],$AE$1,tabela_registros[DIA],reservafixaconsolidadojul[[#Headers],[9]],tabela_registros[REGISTRO],DADOS!$N$6,tabela_registros[TIPO],DADOS!$AJ$3,tabela_registros[CATEGORIA],reservafixaconsolidadojul[[#This Row],[ATUAL]])</f>
        <v>0</v>
      </c>
      <c r="N169" s="119" t="n">
        <f aca="false">SUMIFS(tabela_registros[VALOR],tabela_registros[MÊS],$AE$1,tabela_registros[DIA],reservafixaconsolidadojul[[#Headers],[10]],tabela_registros[REGISTRO],DADOS!$N$6,tabela_registros[TIPO],DADOS!$AJ$3,tabela_registros[CATEGORIA],reservafixaconsolidadojul[[#This Row],[ATUAL]])</f>
        <v>0</v>
      </c>
      <c r="O169" s="119" t="n">
        <f aca="false">SUMIFS(tabela_registros[VALOR],tabela_registros[MÊS],$AE$1,tabela_registros[DIA],reservafixaconsolidadojul[[#Headers],[11]],tabela_registros[REGISTRO],DADOS!$N$6,tabela_registros[TIPO],DADOS!$AJ$3,tabela_registros[CATEGORIA],reservafixaconsolidadojul[[#This Row],[ATUAL]])</f>
        <v>0</v>
      </c>
      <c r="P169" s="119" t="n">
        <f aca="false">SUMIFS(tabela_registros[VALOR],tabela_registros[MÊS],$AE$1,tabela_registros[DIA],reservafixaconsolidadojul[[#Headers],[12]],tabela_registros[REGISTRO],DADOS!$N$6,tabela_registros[TIPO],DADOS!$AJ$3,tabela_registros[CATEGORIA],reservafixaconsolidadojul[[#This Row],[ATUAL]])</f>
        <v>0</v>
      </c>
      <c r="Q169" s="119" t="n">
        <f aca="false">SUMIFS(tabela_registros[VALOR],tabela_registros[MÊS],$AE$1,tabela_registros[DIA],reservafixaconsolidadojul[[#Headers],[13]],tabela_registros[REGISTRO],DADOS!$N$6,tabela_registros[TIPO],DADOS!$AJ$3,tabela_registros[CATEGORIA],reservafixaconsolidadojul[[#This Row],[ATUAL]])</f>
        <v>0</v>
      </c>
      <c r="R169" s="119" t="n">
        <f aca="false">SUMIFS(tabela_registros[VALOR],tabela_registros[MÊS],$AE$1,tabela_registros[DIA],reservafixaconsolidadojul[[#Headers],[14]],tabela_registros[REGISTRO],DADOS!$N$6,tabela_registros[TIPO],DADOS!$AJ$3,tabela_registros[CATEGORIA],reservafixaconsolidadojul[[#This Row],[ATUAL]])</f>
        <v>0</v>
      </c>
      <c r="S169" s="119" t="n">
        <f aca="false">SUMIFS(tabela_registros[VALOR],tabela_registros[MÊS],$AE$1,tabela_registros[DIA],reservafixaconsolidadojul[[#Headers],[15]],tabela_registros[REGISTRO],DADOS!$N$6,tabela_registros[TIPO],DADOS!$AJ$3,tabela_registros[CATEGORIA],reservafixaconsolidadojul[[#This Row],[ATUAL]])</f>
        <v>0</v>
      </c>
      <c r="T169" s="119" t="n">
        <f aca="false">SUMIFS(tabela_registros[VALOR],tabela_registros[MÊS],$AE$1,tabela_registros[DIA],reservafixaconsolidadojul[[#Headers],[16]],tabela_registros[REGISTRO],DADOS!$N$6,tabela_registros[TIPO],DADOS!$AJ$3,tabela_registros[CATEGORIA],reservafixaconsolidadojul[[#This Row],[ATUAL]])</f>
        <v>0</v>
      </c>
      <c r="U169" s="119" t="n">
        <f aca="false">SUMIFS(tabela_registros[VALOR],tabela_registros[MÊS],$AE$1,tabela_registros[DIA],reservafixaconsolidadojul[[#Headers],[17]],tabela_registros[REGISTRO],DADOS!$N$6,tabela_registros[TIPO],DADOS!$AJ$3,tabela_registros[CATEGORIA],reservafixaconsolidadojul[[#This Row],[ATUAL]])</f>
        <v>0</v>
      </c>
      <c r="V169" s="119" t="n">
        <f aca="false">SUMIFS(tabela_registros[VALOR],tabela_registros[MÊS],$AE$1,tabela_registros[DIA],reservafixaconsolidadojul[[#Headers],[18]],tabela_registros[REGISTRO],DADOS!$N$6,tabela_registros[TIPO],DADOS!$AJ$3,tabela_registros[CATEGORIA],reservafixaconsolidadojul[[#This Row],[ATUAL]])</f>
        <v>0</v>
      </c>
      <c r="W169" s="119" t="n">
        <f aca="false">SUMIFS(tabela_registros[VALOR],tabela_registros[MÊS],$AE$1,tabela_registros[DIA],reservafixaconsolidadojul[[#Headers],[19]],tabela_registros[REGISTRO],DADOS!$N$6,tabela_registros[TIPO],DADOS!$AJ$3,tabela_registros[CATEGORIA],reservafixaconsolidadojul[[#This Row],[ATUAL]])</f>
        <v>0</v>
      </c>
      <c r="X169" s="119" t="n">
        <f aca="false">SUMIFS(tabela_registros[VALOR],tabela_registros[MÊS],$AE$1,tabela_registros[DIA],reservafixaconsolidadojul[[#Headers],[20]],tabela_registros[REGISTRO],DADOS!$N$6,tabela_registros[TIPO],DADOS!$AJ$3,tabela_registros[CATEGORIA],reservafixaconsolidadojul[[#This Row],[ATUAL]])</f>
        <v>0</v>
      </c>
      <c r="Y169" s="119" t="n">
        <f aca="false">SUMIFS(tabela_registros[VALOR],tabela_registros[MÊS],$AE$1,tabela_registros[DIA],reservafixaconsolidadojul[[#Headers],[21]],tabela_registros[REGISTRO],DADOS!$N$6,tabela_registros[TIPO],DADOS!$AJ$3,tabela_registros[CATEGORIA],reservafixaconsolidadojul[[#This Row],[ATUAL]])</f>
        <v>0</v>
      </c>
      <c r="Z169" s="119" t="n">
        <f aca="false">SUMIFS(tabela_registros[VALOR],tabela_registros[MÊS],$AE$1,tabela_registros[DIA],reservafixaconsolidadojul[[#Headers],[22]],tabela_registros[REGISTRO],DADOS!$N$6,tabela_registros[TIPO],DADOS!$AJ$3,tabela_registros[CATEGORIA],reservafixaconsolidadojul[[#This Row],[ATUAL]])</f>
        <v>0</v>
      </c>
      <c r="AA169" s="119" t="n">
        <f aca="false">SUMIFS(tabela_registros[VALOR],tabela_registros[MÊS],$AE$1,tabela_registros[DIA],reservafixaconsolidadojul[[#Headers],[23]],tabela_registros[REGISTRO],DADOS!$N$6,tabela_registros[TIPO],DADOS!$AJ$3,tabela_registros[CATEGORIA],reservafixaconsolidadojul[[#This Row],[ATUAL]])</f>
        <v>0</v>
      </c>
      <c r="AB169" s="119" t="n">
        <f aca="false">SUMIFS(tabela_registros[VALOR],tabela_registros[MÊS],$AE$1,tabela_registros[DIA],reservafixaconsolidadojul[[#Headers],[24]],tabela_registros[REGISTRO],DADOS!$N$6,tabela_registros[TIPO],DADOS!$AJ$3,tabela_registros[CATEGORIA],reservafixaconsolidadojul[[#This Row],[ATUAL]])</f>
        <v>0</v>
      </c>
      <c r="AC169" s="119" t="n">
        <f aca="false">SUMIFS(tabela_registros[VALOR],tabela_registros[MÊS],$AE$1,tabela_registros[DIA],reservafixaconsolidadojul[[#Headers],[25]],tabela_registros[REGISTRO],DADOS!$N$6,tabela_registros[TIPO],DADOS!$AJ$3,tabela_registros[CATEGORIA],reservafixaconsolidadojul[[#This Row],[ATUAL]])</f>
        <v>0</v>
      </c>
      <c r="AD169" s="119" t="n">
        <f aca="false">SUMIFS(tabela_registros[VALOR],tabela_registros[MÊS],$AE$1,tabela_registros[DIA],reservafixaconsolidadojul[[#Headers],[26]],tabela_registros[REGISTRO],DADOS!$N$6,tabela_registros[TIPO],DADOS!$AJ$3,tabela_registros[CATEGORIA],reservafixaconsolidadojul[[#This Row],[ATUAL]])</f>
        <v>0</v>
      </c>
      <c r="AE169" s="119" t="n">
        <f aca="false">SUMIFS(tabela_registros[VALOR],tabela_registros[MÊS],$AE$1,tabela_registros[DIA],reservafixaconsolidadojul[[#Headers],[27]],tabela_registros[REGISTRO],DADOS!$N$6,tabela_registros[TIPO],DADOS!$AJ$3,tabela_registros[CATEGORIA],reservafixaconsolidadojul[[#This Row],[ATUAL]])</f>
        <v>0</v>
      </c>
      <c r="AF169" s="119" t="n">
        <f aca="false">SUMIFS(tabela_registros[VALOR],tabela_registros[MÊS],$AE$1,tabela_registros[DIA],reservafixaconsolidadojul[[#Headers],[28]],tabela_registros[REGISTRO],DADOS!$N$6,tabela_registros[TIPO],DADOS!$AJ$3,tabela_registros[CATEGORIA],reservafixaconsolidadojul[[#This Row],[ATUAL]])</f>
        <v>0</v>
      </c>
      <c r="AG169" s="119" t="n">
        <f aca="false">SUMIFS(tabela_registros[VALOR],tabela_registros[MÊS],$AE$1,tabela_registros[DIA],reservafixaconsolidadojul[[#Headers],[29]],tabela_registros[REGISTRO],DADOS!$N$6,tabela_registros[TIPO],DADOS!$AJ$3,tabela_registros[CATEGORIA],reservafixaconsolidadojul[[#This Row],[ATUAL]])</f>
        <v>0</v>
      </c>
      <c r="AH169" s="119" t="n">
        <f aca="false">SUMIFS(tabela_registros[VALOR],tabela_registros[MÊS],$AE$1,tabela_registros[DIA],reservafixaconsolidadojul[[#Headers],[30]],tabela_registros[REGISTRO],DADOS!$N$6,tabela_registros[TIPO],DADOS!$AJ$3,tabela_registros[CATEGORIA],reservafixaconsolidadojul[[#This Row],[ATUAL]])</f>
        <v>0</v>
      </c>
      <c r="AI169" s="217" t="n">
        <f aca="false">SUMIFS(tabela_registros[VALOR],tabela_registros[MÊS],$AE$1,tabela_registros[DIA],reservafixaconsolidadojul[[#Headers],[31]],tabela_registros[REGISTRO],DADOS!$N$6,tabela_registros[TIPO],DADOS!$AJ$3,tabela_registros[CATEGORIA],reservafixaconsolidadojul[[#This Row],[ATUAL]])</f>
        <v>0</v>
      </c>
      <c r="AJ169" s="149" t="n">
        <f aca="false">SUM(reservafixaconsolidadojul[[#This Row],[1]:[31]])</f>
        <v>0</v>
      </c>
      <c r="AK169" s="165"/>
    </row>
    <row r="170" customFormat="false" ht="19.5" hidden="false" customHeight="true" outlineLevel="0" collapsed="false">
      <c r="B170" s="143"/>
      <c r="C170" s="144" t="str">
        <f aca="false">DADOS!$AL$5</f>
        <v>📝 CRI</v>
      </c>
      <c r="D170" s="145" t="str">
        <f aca="false">IF(reservafixaconsolidadojul[[#This Row],[TOTAL (R$)]]=0,"",IF(OR(reservafixaconsolidadojul[[#This Row],[TOTAL (R$)]]=LARGE($AJ$168:$AJ$177,1),reservafixaconsolidadojul[[#This Row],[TOTAL (R$)]]=LARGE($AJ$168:$AJ$177,2)),DADOS!$I$11,""))</f>
        <v/>
      </c>
      <c r="E170" s="148" t="n">
        <f aca="false">SUMIFS(tabela_registros[VALOR],tabela_registros[MÊS],$AE$1,tabela_registros[DIA],reservafixaconsolidadojul[[#Headers],[1]],tabela_registros[REGISTRO],DADOS!$N$6,tabela_registros[TIPO],DADOS!$AJ$3,tabela_registros[CATEGORIA],reservafixaconsolidadojul[[#This Row],[ATUAL]])</f>
        <v>0</v>
      </c>
      <c r="F170" s="119" t="n">
        <f aca="false">SUMIFS(tabela_registros[VALOR],tabela_registros[MÊS],$AE$1,tabela_registros[DIA],reservafixaconsolidadojul[[#Headers],[2]],tabela_registros[REGISTRO],DADOS!$N$6,tabela_registros[TIPO],DADOS!$AJ$3,tabela_registros[CATEGORIA],reservafixaconsolidadojul[[#This Row],[ATUAL]])</f>
        <v>0</v>
      </c>
      <c r="G170" s="119" t="n">
        <f aca="false">SUMIFS(tabela_registros[VALOR],tabela_registros[MÊS],$AE$1,tabela_registros[DIA],reservafixaconsolidadojul[[#Headers],[3]],tabela_registros[REGISTRO],DADOS!$N$6,tabela_registros[TIPO],DADOS!$AJ$3,tabela_registros[CATEGORIA],reservafixaconsolidadojul[[#This Row],[ATUAL]])</f>
        <v>0</v>
      </c>
      <c r="H170" s="119" t="n">
        <f aca="false">SUMIFS(tabela_registros[VALOR],tabela_registros[MÊS],$AE$1,tabela_registros[DIA],reservafixaconsolidadojul[[#Headers],[4]],tabela_registros[REGISTRO],DADOS!$N$6,tabela_registros[TIPO],DADOS!$AJ$3,tabela_registros[CATEGORIA],reservafixaconsolidadojul[[#This Row],[ATUAL]])</f>
        <v>0</v>
      </c>
      <c r="I170" s="119" t="n">
        <f aca="false">SUMIFS(tabela_registros[VALOR],tabela_registros[MÊS],$AE$1,tabela_registros[DIA],reservafixaconsolidadojul[[#Headers],[5]],tabela_registros[REGISTRO],DADOS!$N$6,tabela_registros[TIPO],DADOS!$AJ$3,tabela_registros[CATEGORIA],reservafixaconsolidadojul[[#This Row],[ATUAL]])</f>
        <v>0</v>
      </c>
      <c r="J170" s="119" t="n">
        <f aca="false">SUMIFS(tabela_registros[VALOR],tabela_registros[MÊS],$AE$1,tabela_registros[DIA],reservafixaconsolidadojul[[#Headers],[6]],tabela_registros[REGISTRO],DADOS!$N$6,tabela_registros[TIPO],DADOS!$AJ$3,tabela_registros[CATEGORIA],reservafixaconsolidadojul[[#This Row],[ATUAL]])</f>
        <v>0</v>
      </c>
      <c r="K170" s="119" t="n">
        <f aca="false">SUMIFS(tabela_registros[VALOR],tabela_registros[MÊS],$AE$1,tabela_registros[DIA],reservafixaconsolidadojul[[#Headers],[7]],tabela_registros[REGISTRO],DADOS!$N$6,tabela_registros[TIPO],DADOS!$AJ$3,tabela_registros[CATEGORIA],reservafixaconsolidadojul[[#This Row],[ATUAL]])</f>
        <v>0</v>
      </c>
      <c r="L170" s="119" t="n">
        <f aca="false">SUMIFS(tabela_registros[VALOR],tabela_registros[MÊS],$AE$1,tabela_registros[DIA],reservafixaconsolidadojul[[#Headers],[8]],tabela_registros[REGISTRO],DADOS!$N$6,tabela_registros[TIPO],DADOS!$AJ$3,tabela_registros[CATEGORIA],reservafixaconsolidadojul[[#This Row],[ATUAL]])</f>
        <v>0</v>
      </c>
      <c r="M170" s="119" t="n">
        <f aca="false">SUMIFS(tabela_registros[VALOR],tabela_registros[MÊS],$AE$1,tabela_registros[DIA],reservafixaconsolidadojul[[#Headers],[9]],tabela_registros[REGISTRO],DADOS!$N$6,tabela_registros[TIPO],DADOS!$AJ$3,tabela_registros[CATEGORIA],reservafixaconsolidadojul[[#This Row],[ATUAL]])</f>
        <v>0</v>
      </c>
      <c r="N170" s="119" t="n">
        <f aca="false">SUMIFS(tabela_registros[VALOR],tabela_registros[MÊS],$AE$1,tabela_registros[DIA],reservafixaconsolidadojul[[#Headers],[10]],tabela_registros[REGISTRO],DADOS!$N$6,tabela_registros[TIPO],DADOS!$AJ$3,tabela_registros[CATEGORIA],reservafixaconsolidadojul[[#This Row],[ATUAL]])</f>
        <v>0</v>
      </c>
      <c r="O170" s="119" t="n">
        <f aca="false">SUMIFS(tabela_registros[VALOR],tabela_registros[MÊS],$AE$1,tabela_registros[DIA],reservafixaconsolidadojul[[#Headers],[11]],tabela_registros[REGISTRO],DADOS!$N$6,tabela_registros[TIPO],DADOS!$AJ$3,tabela_registros[CATEGORIA],reservafixaconsolidadojul[[#This Row],[ATUAL]])</f>
        <v>0</v>
      </c>
      <c r="P170" s="119" t="n">
        <f aca="false">SUMIFS(tabela_registros[VALOR],tabela_registros[MÊS],$AE$1,tabela_registros[DIA],reservafixaconsolidadojul[[#Headers],[12]],tabela_registros[REGISTRO],DADOS!$N$6,tabela_registros[TIPO],DADOS!$AJ$3,tabela_registros[CATEGORIA],reservafixaconsolidadojul[[#This Row],[ATUAL]])</f>
        <v>0</v>
      </c>
      <c r="Q170" s="119" t="n">
        <f aca="false">SUMIFS(tabela_registros[VALOR],tabela_registros[MÊS],$AE$1,tabela_registros[DIA],reservafixaconsolidadojul[[#Headers],[13]],tabela_registros[REGISTRO],DADOS!$N$6,tabela_registros[TIPO],DADOS!$AJ$3,tabela_registros[CATEGORIA],reservafixaconsolidadojul[[#This Row],[ATUAL]])</f>
        <v>0</v>
      </c>
      <c r="R170" s="119" t="n">
        <f aca="false">SUMIFS(tabela_registros[VALOR],tabela_registros[MÊS],$AE$1,tabela_registros[DIA],reservafixaconsolidadojul[[#Headers],[14]],tabela_registros[REGISTRO],DADOS!$N$6,tabela_registros[TIPO],DADOS!$AJ$3,tabela_registros[CATEGORIA],reservafixaconsolidadojul[[#This Row],[ATUAL]])</f>
        <v>0</v>
      </c>
      <c r="S170" s="119" t="n">
        <f aca="false">SUMIFS(tabela_registros[VALOR],tabela_registros[MÊS],$AE$1,tabela_registros[DIA],reservafixaconsolidadojul[[#Headers],[15]],tabela_registros[REGISTRO],DADOS!$N$6,tabela_registros[TIPO],DADOS!$AJ$3,tabela_registros[CATEGORIA],reservafixaconsolidadojul[[#This Row],[ATUAL]])</f>
        <v>0</v>
      </c>
      <c r="T170" s="119" t="n">
        <f aca="false">SUMIFS(tabela_registros[VALOR],tabela_registros[MÊS],$AE$1,tabela_registros[DIA],reservafixaconsolidadojul[[#Headers],[16]],tabela_registros[REGISTRO],DADOS!$N$6,tabela_registros[TIPO],DADOS!$AJ$3,tabela_registros[CATEGORIA],reservafixaconsolidadojul[[#This Row],[ATUAL]])</f>
        <v>0</v>
      </c>
      <c r="U170" s="119" t="n">
        <f aca="false">SUMIFS(tabela_registros[VALOR],tabela_registros[MÊS],$AE$1,tabela_registros[DIA],reservafixaconsolidadojul[[#Headers],[17]],tabela_registros[REGISTRO],DADOS!$N$6,tabela_registros[TIPO],DADOS!$AJ$3,tabela_registros[CATEGORIA],reservafixaconsolidadojul[[#This Row],[ATUAL]])</f>
        <v>0</v>
      </c>
      <c r="V170" s="119" t="n">
        <f aca="false">SUMIFS(tabela_registros[VALOR],tabela_registros[MÊS],$AE$1,tabela_registros[DIA],reservafixaconsolidadojul[[#Headers],[18]],tabela_registros[REGISTRO],DADOS!$N$6,tabela_registros[TIPO],DADOS!$AJ$3,tabela_registros[CATEGORIA],reservafixaconsolidadojul[[#This Row],[ATUAL]])</f>
        <v>0</v>
      </c>
      <c r="W170" s="119" t="n">
        <f aca="false">SUMIFS(tabela_registros[VALOR],tabela_registros[MÊS],$AE$1,tabela_registros[DIA],reservafixaconsolidadojul[[#Headers],[19]],tabela_registros[REGISTRO],DADOS!$N$6,tabela_registros[TIPO],DADOS!$AJ$3,tabela_registros[CATEGORIA],reservafixaconsolidadojul[[#This Row],[ATUAL]])</f>
        <v>0</v>
      </c>
      <c r="X170" s="119" t="n">
        <f aca="false">SUMIFS(tabela_registros[VALOR],tabela_registros[MÊS],$AE$1,tabela_registros[DIA],reservafixaconsolidadojul[[#Headers],[20]],tabela_registros[REGISTRO],DADOS!$N$6,tabela_registros[TIPO],DADOS!$AJ$3,tabela_registros[CATEGORIA],reservafixaconsolidadojul[[#This Row],[ATUAL]])</f>
        <v>0</v>
      </c>
      <c r="Y170" s="119" t="n">
        <f aca="false">SUMIFS(tabela_registros[VALOR],tabela_registros[MÊS],$AE$1,tabela_registros[DIA],reservafixaconsolidadojul[[#Headers],[21]],tabela_registros[REGISTRO],DADOS!$N$6,tabela_registros[TIPO],DADOS!$AJ$3,tabela_registros[CATEGORIA],reservafixaconsolidadojul[[#This Row],[ATUAL]])</f>
        <v>0</v>
      </c>
      <c r="Z170" s="119" t="n">
        <f aca="false">SUMIFS(tabela_registros[VALOR],tabela_registros[MÊS],$AE$1,tabela_registros[DIA],reservafixaconsolidadojul[[#Headers],[22]],tabela_registros[REGISTRO],DADOS!$N$6,tabela_registros[TIPO],DADOS!$AJ$3,tabela_registros[CATEGORIA],reservafixaconsolidadojul[[#This Row],[ATUAL]])</f>
        <v>0</v>
      </c>
      <c r="AA170" s="119" t="n">
        <f aca="false">SUMIFS(tabela_registros[VALOR],tabela_registros[MÊS],$AE$1,tabela_registros[DIA],reservafixaconsolidadojul[[#Headers],[23]],tabela_registros[REGISTRO],DADOS!$N$6,tabela_registros[TIPO],DADOS!$AJ$3,tabela_registros[CATEGORIA],reservafixaconsolidadojul[[#This Row],[ATUAL]])</f>
        <v>0</v>
      </c>
      <c r="AB170" s="119" t="n">
        <f aca="false">SUMIFS(tabela_registros[VALOR],tabela_registros[MÊS],$AE$1,tabela_registros[DIA],reservafixaconsolidadojul[[#Headers],[24]],tabela_registros[REGISTRO],DADOS!$N$6,tabela_registros[TIPO],DADOS!$AJ$3,tabela_registros[CATEGORIA],reservafixaconsolidadojul[[#This Row],[ATUAL]])</f>
        <v>0</v>
      </c>
      <c r="AC170" s="119" t="n">
        <f aca="false">SUMIFS(tabela_registros[VALOR],tabela_registros[MÊS],$AE$1,tabela_registros[DIA],reservafixaconsolidadojul[[#Headers],[25]],tabela_registros[REGISTRO],DADOS!$N$6,tabela_registros[TIPO],DADOS!$AJ$3,tabela_registros[CATEGORIA],reservafixaconsolidadojul[[#This Row],[ATUAL]])</f>
        <v>0</v>
      </c>
      <c r="AD170" s="119" t="n">
        <f aca="false">SUMIFS(tabela_registros[VALOR],tabela_registros[MÊS],$AE$1,tabela_registros[DIA],reservafixaconsolidadojul[[#Headers],[26]],tabela_registros[REGISTRO],DADOS!$N$6,tabela_registros[TIPO],DADOS!$AJ$3,tabela_registros[CATEGORIA],reservafixaconsolidadojul[[#This Row],[ATUAL]])</f>
        <v>0</v>
      </c>
      <c r="AE170" s="119" t="n">
        <f aca="false">SUMIFS(tabela_registros[VALOR],tabela_registros[MÊS],$AE$1,tabela_registros[DIA],reservafixaconsolidadojul[[#Headers],[27]],tabela_registros[REGISTRO],DADOS!$N$6,tabela_registros[TIPO],DADOS!$AJ$3,tabela_registros[CATEGORIA],reservafixaconsolidadojul[[#This Row],[ATUAL]])</f>
        <v>0</v>
      </c>
      <c r="AF170" s="119" t="n">
        <f aca="false">SUMIFS(tabela_registros[VALOR],tabela_registros[MÊS],$AE$1,tabela_registros[DIA],reservafixaconsolidadojul[[#Headers],[28]],tabela_registros[REGISTRO],DADOS!$N$6,tabela_registros[TIPO],DADOS!$AJ$3,tabela_registros[CATEGORIA],reservafixaconsolidadojul[[#This Row],[ATUAL]])</f>
        <v>0</v>
      </c>
      <c r="AG170" s="119" t="n">
        <f aca="false">SUMIFS(tabela_registros[VALOR],tabela_registros[MÊS],$AE$1,tabela_registros[DIA],reservafixaconsolidadojul[[#Headers],[29]],tabela_registros[REGISTRO],DADOS!$N$6,tabela_registros[TIPO],DADOS!$AJ$3,tabela_registros[CATEGORIA],reservafixaconsolidadojul[[#This Row],[ATUAL]])</f>
        <v>0</v>
      </c>
      <c r="AH170" s="119" t="n">
        <f aca="false">SUMIFS(tabela_registros[VALOR],tabela_registros[MÊS],$AE$1,tabela_registros[DIA],reservafixaconsolidadojul[[#Headers],[30]],tabela_registros[REGISTRO],DADOS!$N$6,tabela_registros[TIPO],DADOS!$AJ$3,tabela_registros[CATEGORIA],reservafixaconsolidadojul[[#This Row],[ATUAL]])</f>
        <v>0</v>
      </c>
      <c r="AI170" s="217" t="n">
        <f aca="false">SUMIFS(tabela_registros[VALOR],tabela_registros[MÊS],$AE$1,tabela_registros[DIA],reservafixaconsolidadojul[[#Headers],[31]],tabela_registros[REGISTRO],DADOS!$N$6,tabela_registros[TIPO],DADOS!$AJ$3,tabela_registros[CATEGORIA],reservafixaconsolidadojul[[#This Row],[ATUAL]])</f>
        <v>0</v>
      </c>
      <c r="AJ170" s="149" t="n">
        <f aca="false">SUM(reservafixaconsolidadojul[[#This Row],[1]:[31]])</f>
        <v>0</v>
      </c>
      <c r="AK170" s="165"/>
    </row>
    <row r="171" customFormat="false" ht="19.5" hidden="false" customHeight="true" outlineLevel="0" collapsed="false">
      <c r="B171" s="143"/>
      <c r="C171" s="144" t="str">
        <f aca="false">DADOS!$AL$6</f>
        <v>📝 DEBÊNTURE</v>
      </c>
      <c r="D171" s="145" t="str">
        <f aca="false">IF(reservafixaconsolidadojul[[#This Row],[TOTAL (R$)]]=0,"",IF(OR(reservafixaconsolidadojul[[#This Row],[TOTAL (R$)]]=LARGE($AJ$168:$AJ$177,1),reservafixaconsolidadojul[[#This Row],[TOTAL (R$)]]=LARGE($AJ$168:$AJ$177,2)),DADOS!$I$11,""))</f>
        <v/>
      </c>
      <c r="E171" s="148" t="n">
        <f aca="false">SUMIFS(tabela_registros[VALOR],tabela_registros[MÊS],$AE$1,tabela_registros[DIA],reservafixaconsolidadojul[[#Headers],[1]],tabela_registros[REGISTRO],DADOS!$N$6,tabela_registros[TIPO],DADOS!$AJ$3,tabela_registros[CATEGORIA],reservafixaconsolidadojul[[#This Row],[ATUAL]])</f>
        <v>0</v>
      </c>
      <c r="F171" s="119" t="n">
        <f aca="false">SUMIFS(tabela_registros[VALOR],tabela_registros[MÊS],$AE$1,tabela_registros[DIA],reservafixaconsolidadojul[[#Headers],[2]],tabela_registros[REGISTRO],DADOS!$N$6,tabela_registros[TIPO],DADOS!$AJ$3,tabela_registros[CATEGORIA],reservafixaconsolidadojul[[#This Row],[ATUAL]])</f>
        <v>0</v>
      </c>
      <c r="G171" s="119" t="n">
        <f aca="false">SUMIFS(tabela_registros[VALOR],tabela_registros[MÊS],$AE$1,tabela_registros[DIA],reservafixaconsolidadojul[[#Headers],[3]],tabela_registros[REGISTRO],DADOS!$N$6,tabela_registros[TIPO],DADOS!$AJ$3,tabela_registros[CATEGORIA],reservafixaconsolidadojul[[#This Row],[ATUAL]])</f>
        <v>0</v>
      </c>
      <c r="H171" s="119" t="n">
        <f aca="false">SUMIFS(tabela_registros[VALOR],tabela_registros[MÊS],$AE$1,tabela_registros[DIA],reservafixaconsolidadojul[[#Headers],[4]],tabela_registros[REGISTRO],DADOS!$N$6,tabela_registros[TIPO],DADOS!$AJ$3,tabela_registros[CATEGORIA],reservafixaconsolidadojul[[#This Row],[ATUAL]])</f>
        <v>0</v>
      </c>
      <c r="I171" s="119" t="n">
        <f aca="false">SUMIFS(tabela_registros[VALOR],tabela_registros[MÊS],$AE$1,tabela_registros[DIA],reservafixaconsolidadojul[[#Headers],[5]],tabela_registros[REGISTRO],DADOS!$N$6,tabela_registros[TIPO],DADOS!$AJ$3,tabela_registros[CATEGORIA],reservafixaconsolidadojul[[#This Row],[ATUAL]])</f>
        <v>0</v>
      </c>
      <c r="J171" s="119" t="n">
        <f aca="false">SUMIFS(tabela_registros[VALOR],tabela_registros[MÊS],$AE$1,tabela_registros[DIA],reservafixaconsolidadojul[[#Headers],[6]],tabela_registros[REGISTRO],DADOS!$N$6,tabela_registros[TIPO],DADOS!$AJ$3,tabela_registros[CATEGORIA],reservafixaconsolidadojul[[#This Row],[ATUAL]])</f>
        <v>0</v>
      </c>
      <c r="K171" s="119" t="n">
        <f aca="false">SUMIFS(tabela_registros[VALOR],tabela_registros[MÊS],$AE$1,tabela_registros[DIA],reservafixaconsolidadojul[[#Headers],[7]],tabela_registros[REGISTRO],DADOS!$N$6,tabela_registros[TIPO],DADOS!$AJ$3,tabela_registros[CATEGORIA],reservafixaconsolidadojul[[#This Row],[ATUAL]])</f>
        <v>0</v>
      </c>
      <c r="L171" s="119" t="n">
        <f aca="false">SUMIFS(tabela_registros[VALOR],tabela_registros[MÊS],$AE$1,tabela_registros[DIA],reservafixaconsolidadojul[[#Headers],[8]],tabela_registros[REGISTRO],DADOS!$N$6,tabela_registros[TIPO],DADOS!$AJ$3,tabela_registros[CATEGORIA],reservafixaconsolidadojul[[#This Row],[ATUAL]])</f>
        <v>0</v>
      </c>
      <c r="M171" s="119" t="n">
        <f aca="false">SUMIFS(tabela_registros[VALOR],tabela_registros[MÊS],$AE$1,tabela_registros[DIA],reservafixaconsolidadojul[[#Headers],[9]],tabela_registros[REGISTRO],DADOS!$N$6,tabela_registros[TIPO],DADOS!$AJ$3,tabela_registros[CATEGORIA],reservafixaconsolidadojul[[#This Row],[ATUAL]])</f>
        <v>0</v>
      </c>
      <c r="N171" s="119" t="n">
        <f aca="false">SUMIFS(tabela_registros[VALOR],tabela_registros[MÊS],$AE$1,tabela_registros[DIA],reservafixaconsolidadojul[[#Headers],[10]],tabela_registros[REGISTRO],DADOS!$N$6,tabela_registros[TIPO],DADOS!$AJ$3,tabela_registros[CATEGORIA],reservafixaconsolidadojul[[#This Row],[ATUAL]])</f>
        <v>0</v>
      </c>
      <c r="O171" s="119" t="n">
        <f aca="false">SUMIFS(tabela_registros[VALOR],tabela_registros[MÊS],$AE$1,tabela_registros[DIA],reservafixaconsolidadojul[[#Headers],[11]],tabela_registros[REGISTRO],DADOS!$N$6,tabela_registros[TIPO],DADOS!$AJ$3,tabela_registros[CATEGORIA],reservafixaconsolidadojul[[#This Row],[ATUAL]])</f>
        <v>0</v>
      </c>
      <c r="P171" s="119" t="n">
        <f aca="false">SUMIFS(tabela_registros[VALOR],tabela_registros[MÊS],$AE$1,tabela_registros[DIA],reservafixaconsolidadojul[[#Headers],[12]],tabela_registros[REGISTRO],DADOS!$N$6,tabela_registros[TIPO],DADOS!$AJ$3,tabela_registros[CATEGORIA],reservafixaconsolidadojul[[#This Row],[ATUAL]])</f>
        <v>0</v>
      </c>
      <c r="Q171" s="119" t="n">
        <f aca="false">SUMIFS(tabela_registros[VALOR],tabela_registros[MÊS],$AE$1,tabela_registros[DIA],reservafixaconsolidadojul[[#Headers],[13]],tabela_registros[REGISTRO],DADOS!$N$6,tabela_registros[TIPO],DADOS!$AJ$3,tabela_registros[CATEGORIA],reservafixaconsolidadojul[[#This Row],[ATUAL]])</f>
        <v>0</v>
      </c>
      <c r="R171" s="119" t="n">
        <f aca="false">SUMIFS(tabela_registros[VALOR],tabela_registros[MÊS],$AE$1,tabela_registros[DIA],reservafixaconsolidadojul[[#Headers],[14]],tabela_registros[REGISTRO],DADOS!$N$6,tabela_registros[TIPO],DADOS!$AJ$3,tabela_registros[CATEGORIA],reservafixaconsolidadojul[[#This Row],[ATUAL]])</f>
        <v>0</v>
      </c>
      <c r="S171" s="119" t="n">
        <f aca="false">SUMIFS(tabela_registros[VALOR],tabela_registros[MÊS],$AE$1,tabela_registros[DIA],reservafixaconsolidadojul[[#Headers],[15]],tabela_registros[REGISTRO],DADOS!$N$6,tabela_registros[TIPO],DADOS!$AJ$3,tabela_registros[CATEGORIA],reservafixaconsolidadojul[[#This Row],[ATUAL]])</f>
        <v>0</v>
      </c>
      <c r="T171" s="119" t="n">
        <f aca="false">SUMIFS(tabela_registros[VALOR],tabela_registros[MÊS],$AE$1,tabela_registros[DIA],reservafixaconsolidadojul[[#Headers],[16]],tabela_registros[REGISTRO],DADOS!$N$6,tabela_registros[TIPO],DADOS!$AJ$3,tabela_registros[CATEGORIA],reservafixaconsolidadojul[[#This Row],[ATUAL]])</f>
        <v>0</v>
      </c>
      <c r="U171" s="119" t="n">
        <f aca="false">SUMIFS(tabela_registros[VALOR],tabela_registros[MÊS],$AE$1,tabela_registros[DIA],reservafixaconsolidadojul[[#Headers],[17]],tabela_registros[REGISTRO],DADOS!$N$6,tabela_registros[TIPO],DADOS!$AJ$3,tabela_registros[CATEGORIA],reservafixaconsolidadojul[[#This Row],[ATUAL]])</f>
        <v>0</v>
      </c>
      <c r="V171" s="119" t="n">
        <f aca="false">SUMIFS(tabela_registros[VALOR],tabela_registros[MÊS],$AE$1,tabela_registros[DIA],reservafixaconsolidadojul[[#Headers],[18]],tabela_registros[REGISTRO],DADOS!$N$6,tabela_registros[TIPO],DADOS!$AJ$3,tabela_registros[CATEGORIA],reservafixaconsolidadojul[[#This Row],[ATUAL]])</f>
        <v>0</v>
      </c>
      <c r="W171" s="119" t="n">
        <f aca="false">SUMIFS(tabela_registros[VALOR],tabela_registros[MÊS],$AE$1,tabela_registros[DIA],reservafixaconsolidadojul[[#Headers],[19]],tabela_registros[REGISTRO],DADOS!$N$6,tabela_registros[TIPO],DADOS!$AJ$3,tabela_registros[CATEGORIA],reservafixaconsolidadojul[[#This Row],[ATUAL]])</f>
        <v>0</v>
      </c>
      <c r="X171" s="119" t="n">
        <f aca="false">SUMIFS(tabela_registros[VALOR],tabela_registros[MÊS],$AE$1,tabela_registros[DIA],reservafixaconsolidadojul[[#Headers],[20]],tabela_registros[REGISTRO],DADOS!$N$6,tabela_registros[TIPO],DADOS!$AJ$3,tabela_registros[CATEGORIA],reservafixaconsolidadojul[[#This Row],[ATUAL]])</f>
        <v>0</v>
      </c>
      <c r="Y171" s="119" t="n">
        <f aca="false">SUMIFS(tabela_registros[VALOR],tabela_registros[MÊS],$AE$1,tabela_registros[DIA],reservafixaconsolidadojul[[#Headers],[21]],tabela_registros[REGISTRO],DADOS!$N$6,tabela_registros[TIPO],DADOS!$AJ$3,tabela_registros[CATEGORIA],reservafixaconsolidadojul[[#This Row],[ATUAL]])</f>
        <v>0</v>
      </c>
      <c r="Z171" s="119" t="n">
        <f aca="false">SUMIFS(tabela_registros[VALOR],tabela_registros[MÊS],$AE$1,tabela_registros[DIA],reservafixaconsolidadojul[[#Headers],[22]],tabela_registros[REGISTRO],DADOS!$N$6,tabela_registros[TIPO],DADOS!$AJ$3,tabela_registros[CATEGORIA],reservafixaconsolidadojul[[#This Row],[ATUAL]])</f>
        <v>0</v>
      </c>
      <c r="AA171" s="119" t="n">
        <f aca="false">SUMIFS(tabela_registros[VALOR],tabela_registros[MÊS],$AE$1,tabela_registros[DIA],reservafixaconsolidadojul[[#Headers],[23]],tabela_registros[REGISTRO],DADOS!$N$6,tabela_registros[TIPO],DADOS!$AJ$3,tabela_registros[CATEGORIA],reservafixaconsolidadojul[[#This Row],[ATUAL]])</f>
        <v>0</v>
      </c>
      <c r="AB171" s="119" t="n">
        <f aca="false">SUMIFS(tabela_registros[VALOR],tabela_registros[MÊS],$AE$1,tabela_registros[DIA],reservafixaconsolidadojul[[#Headers],[24]],tabela_registros[REGISTRO],DADOS!$N$6,tabela_registros[TIPO],DADOS!$AJ$3,tabela_registros[CATEGORIA],reservafixaconsolidadojul[[#This Row],[ATUAL]])</f>
        <v>0</v>
      </c>
      <c r="AC171" s="119" t="n">
        <f aca="false">SUMIFS(tabela_registros[VALOR],tabela_registros[MÊS],$AE$1,tabela_registros[DIA],reservafixaconsolidadojul[[#Headers],[25]],tabela_registros[REGISTRO],DADOS!$N$6,tabela_registros[TIPO],DADOS!$AJ$3,tabela_registros[CATEGORIA],reservafixaconsolidadojul[[#This Row],[ATUAL]])</f>
        <v>0</v>
      </c>
      <c r="AD171" s="119" t="n">
        <f aca="false">SUMIFS(tabela_registros[VALOR],tabela_registros[MÊS],$AE$1,tabela_registros[DIA],reservafixaconsolidadojul[[#Headers],[26]],tabela_registros[REGISTRO],DADOS!$N$6,tabela_registros[TIPO],DADOS!$AJ$3,tabela_registros[CATEGORIA],reservafixaconsolidadojul[[#This Row],[ATUAL]])</f>
        <v>0</v>
      </c>
      <c r="AE171" s="119" t="n">
        <f aca="false">SUMIFS(tabela_registros[VALOR],tabela_registros[MÊS],$AE$1,tabela_registros[DIA],reservafixaconsolidadojul[[#Headers],[27]],tabela_registros[REGISTRO],DADOS!$N$6,tabela_registros[TIPO],DADOS!$AJ$3,tabela_registros[CATEGORIA],reservafixaconsolidadojul[[#This Row],[ATUAL]])</f>
        <v>0</v>
      </c>
      <c r="AF171" s="119" t="n">
        <f aca="false">SUMIFS(tabela_registros[VALOR],tabela_registros[MÊS],$AE$1,tabela_registros[DIA],reservafixaconsolidadojul[[#Headers],[28]],tabela_registros[REGISTRO],DADOS!$N$6,tabela_registros[TIPO],DADOS!$AJ$3,tabela_registros[CATEGORIA],reservafixaconsolidadojul[[#This Row],[ATUAL]])</f>
        <v>0</v>
      </c>
      <c r="AG171" s="119" t="n">
        <f aca="false">SUMIFS(tabela_registros[VALOR],tabela_registros[MÊS],$AE$1,tabela_registros[DIA],reservafixaconsolidadojul[[#Headers],[29]],tabela_registros[REGISTRO],DADOS!$N$6,tabela_registros[TIPO],DADOS!$AJ$3,tabela_registros[CATEGORIA],reservafixaconsolidadojul[[#This Row],[ATUAL]])</f>
        <v>0</v>
      </c>
      <c r="AH171" s="119" t="n">
        <f aca="false">SUMIFS(tabela_registros[VALOR],tabela_registros[MÊS],$AE$1,tabela_registros[DIA],reservafixaconsolidadojul[[#Headers],[30]],tabela_registros[REGISTRO],DADOS!$N$6,tabela_registros[TIPO],DADOS!$AJ$3,tabela_registros[CATEGORIA],reservafixaconsolidadojul[[#This Row],[ATUAL]])</f>
        <v>0</v>
      </c>
      <c r="AI171" s="217" t="n">
        <f aca="false">SUMIFS(tabela_registros[VALOR],tabela_registros[MÊS],$AE$1,tabela_registros[DIA],reservafixaconsolidadojul[[#Headers],[31]],tabela_registros[REGISTRO],DADOS!$N$6,tabela_registros[TIPO],DADOS!$AJ$3,tabela_registros[CATEGORIA],reservafixaconsolidadojul[[#This Row],[ATUAL]])</f>
        <v>0</v>
      </c>
      <c r="AJ171" s="149" t="n">
        <f aca="false">SUM(reservafixaconsolidadojul[[#This Row],[1]:[31]])</f>
        <v>0</v>
      </c>
      <c r="AK171" s="165"/>
    </row>
    <row r="172" customFormat="false" ht="19.5" hidden="false" customHeight="true" outlineLevel="0" collapsed="false">
      <c r="B172" s="143"/>
      <c r="C172" s="144" t="str">
        <f aca="false">DADOS!$AL$7</f>
        <v>📝 EXTERIOR</v>
      </c>
      <c r="D172" s="145" t="str">
        <f aca="false">IF(reservafixaconsolidadojul[[#This Row],[TOTAL (R$)]]=0,"",IF(OR(reservafixaconsolidadojul[[#This Row],[TOTAL (R$)]]=LARGE($AJ$168:$AJ$177,1),reservafixaconsolidadojul[[#This Row],[TOTAL (R$)]]=LARGE($AJ$168:$AJ$177,2)),DADOS!$I$11,""))</f>
        <v/>
      </c>
      <c r="E172" s="148" t="n">
        <f aca="false">SUMIFS(tabela_registros[VALOR],tabela_registros[MÊS],$AE$1,tabela_registros[DIA],reservafixaconsolidadojul[[#Headers],[1]],tabela_registros[REGISTRO],DADOS!$N$6,tabela_registros[TIPO],DADOS!$AJ$3,tabela_registros[CATEGORIA],reservafixaconsolidadojul[[#This Row],[ATUAL]])</f>
        <v>0</v>
      </c>
      <c r="F172" s="119" t="n">
        <f aca="false">SUMIFS(tabela_registros[VALOR],tabela_registros[MÊS],$AE$1,tabela_registros[DIA],reservafixaconsolidadojul[[#Headers],[2]],tabela_registros[REGISTRO],DADOS!$N$6,tabela_registros[TIPO],DADOS!$AJ$3,tabela_registros[CATEGORIA],reservafixaconsolidadojul[[#This Row],[ATUAL]])</f>
        <v>0</v>
      </c>
      <c r="G172" s="119" t="n">
        <f aca="false">SUMIFS(tabela_registros[VALOR],tabela_registros[MÊS],$AE$1,tabela_registros[DIA],reservafixaconsolidadojul[[#Headers],[3]],tabela_registros[REGISTRO],DADOS!$N$6,tabela_registros[TIPO],DADOS!$AJ$3,tabela_registros[CATEGORIA],reservafixaconsolidadojul[[#This Row],[ATUAL]])</f>
        <v>0</v>
      </c>
      <c r="H172" s="119" t="n">
        <f aca="false">SUMIFS(tabela_registros[VALOR],tabela_registros[MÊS],$AE$1,tabela_registros[DIA],reservafixaconsolidadojul[[#Headers],[4]],tabela_registros[REGISTRO],DADOS!$N$6,tabela_registros[TIPO],DADOS!$AJ$3,tabela_registros[CATEGORIA],reservafixaconsolidadojul[[#This Row],[ATUAL]])</f>
        <v>0</v>
      </c>
      <c r="I172" s="119" t="n">
        <f aca="false">SUMIFS(tabela_registros[VALOR],tabela_registros[MÊS],$AE$1,tabela_registros[DIA],reservafixaconsolidadojul[[#Headers],[5]],tabela_registros[REGISTRO],DADOS!$N$6,tabela_registros[TIPO],DADOS!$AJ$3,tabela_registros[CATEGORIA],reservafixaconsolidadojul[[#This Row],[ATUAL]])</f>
        <v>0</v>
      </c>
      <c r="J172" s="119" t="n">
        <f aca="false">SUMIFS(tabela_registros[VALOR],tabela_registros[MÊS],$AE$1,tabela_registros[DIA],reservafixaconsolidadojul[[#Headers],[6]],tabela_registros[REGISTRO],DADOS!$N$6,tabela_registros[TIPO],DADOS!$AJ$3,tabela_registros[CATEGORIA],reservafixaconsolidadojul[[#This Row],[ATUAL]])</f>
        <v>0</v>
      </c>
      <c r="K172" s="119" t="n">
        <f aca="false">SUMIFS(tabela_registros[VALOR],tabela_registros[MÊS],$AE$1,tabela_registros[DIA],reservafixaconsolidadojul[[#Headers],[7]],tabela_registros[REGISTRO],DADOS!$N$6,tabela_registros[TIPO],DADOS!$AJ$3,tabela_registros[CATEGORIA],reservafixaconsolidadojul[[#This Row],[ATUAL]])</f>
        <v>0</v>
      </c>
      <c r="L172" s="119" t="n">
        <f aca="false">SUMIFS(tabela_registros[VALOR],tabela_registros[MÊS],$AE$1,tabela_registros[DIA],reservafixaconsolidadojul[[#Headers],[8]],tabela_registros[REGISTRO],DADOS!$N$6,tabela_registros[TIPO],DADOS!$AJ$3,tabela_registros[CATEGORIA],reservafixaconsolidadojul[[#This Row],[ATUAL]])</f>
        <v>0</v>
      </c>
      <c r="M172" s="119" t="n">
        <f aca="false">SUMIFS(tabela_registros[VALOR],tabela_registros[MÊS],$AE$1,tabela_registros[DIA],reservafixaconsolidadojul[[#Headers],[9]],tabela_registros[REGISTRO],DADOS!$N$6,tabela_registros[TIPO],DADOS!$AJ$3,tabela_registros[CATEGORIA],reservafixaconsolidadojul[[#This Row],[ATUAL]])</f>
        <v>0</v>
      </c>
      <c r="N172" s="119" t="n">
        <f aca="false">SUMIFS(tabela_registros[VALOR],tabela_registros[MÊS],$AE$1,tabela_registros[DIA],reservafixaconsolidadojul[[#Headers],[10]],tabela_registros[REGISTRO],DADOS!$N$6,tabela_registros[TIPO],DADOS!$AJ$3,tabela_registros[CATEGORIA],reservafixaconsolidadojul[[#This Row],[ATUAL]])</f>
        <v>0</v>
      </c>
      <c r="O172" s="119" t="n">
        <f aca="false">SUMIFS(tabela_registros[VALOR],tabela_registros[MÊS],$AE$1,tabela_registros[DIA],reservafixaconsolidadojul[[#Headers],[11]],tabela_registros[REGISTRO],DADOS!$N$6,tabela_registros[TIPO],DADOS!$AJ$3,tabela_registros[CATEGORIA],reservafixaconsolidadojul[[#This Row],[ATUAL]])</f>
        <v>0</v>
      </c>
      <c r="P172" s="119" t="n">
        <f aca="false">SUMIFS(tabela_registros[VALOR],tabela_registros[MÊS],$AE$1,tabela_registros[DIA],reservafixaconsolidadojul[[#Headers],[12]],tabela_registros[REGISTRO],DADOS!$N$6,tabela_registros[TIPO],DADOS!$AJ$3,tabela_registros[CATEGORIA],reservafixaconsolidadojul[[#This Row],[ATUAL]])</f>
        <v>0</v>
      </c>
      <c r="Q172" s="119" t="n">
        <f aca="false">SUMIFS(tabela_registros[VALOR],tabela_registros[MÊS],$AE$1,tabela_registros[DIA],reservafixaconsolidadojul[[#Headers],[13]],tabela_registros[REGISTRO],DADOS!$N$6,tabela_registros[TIPO],DADOS!$AJ$3,tabela_registros[CATEGORIA],reservafixaconsolidadojul[[#This Row],[ATUAL]])</f>
        <v>0</v>
      </c>
      <c r="R172" s="119" t="n">
        <f aca="false">SUMIFS(tabela_registros[VALOR],tabela_registros[MÊS],$AE$1,tabela_registros[DIA],reservafixaconsolidadojul[[#Headers],[14]],tabela_registros[REGISTRO],DADOS!$N$6,tabela_registros[TIPO],DADOS!$AJ$3,tabela_registros[CATEGORIA],reservafixaconsolidadojul[[#This Row],[ATUAL]])</f>
        <v>0</v>
      </c>
      <c r="S172" s="119" t="n">
        <f aca="false">SUMIFS(tabela_registros[VALOR],tabela_registros[MÊS],$AE$1,tabela_registros[DIA],reservafixaconsolidadojul[[#Headers],[15]],tabela_registros[REGISTRO],DADOS!$N$6,tabela_registros[TIPO],DADOS!$AJ$3,tabela_registros[CATEGORIA],reservafixaconsolidadojul[[#This Row],[ATUAL]])</f>
        <v>0</v>
      </c>
      <c r="T172" s="119" t="n">
        <f aca="false">SUMIFS(tabela_registros[VALOR],tabela_registros[MÊS],$AE$1,tabela_registros[DIA],reservafixaconsolidadojul[[#Headers],[16]],tabela_registros[REGISTRO],DADOS!$N$6,tabela_registros[TIPO],DADOS!$AJ$3,tabela_registros[CATEGORIA],reservafixaconsolidadojul[[#This Row],[ATUAL]])</f>
        <v>0</v>
      </c>
      <c r="U172" s="119" t="n">
        <f aca="false">SUMIFS(tabela_registros[VALOR],tabela_registros[MÊS],$AE$1,tabela_registros[DIA],reservafixaconsolidadojul[[#Headers],[17]],tabela_registros[REGISTRO],DADOS!$N$6,tabela_registros[TIPO],DADOS!$AJ$3,tabela_registros[CATEGORIA],reservafixaconsolidadojul[[#This Row],[ATUAL]])</f>
        <v>0</v>
      </c>
      <c r="V172" s="119" t="n">
        <f aca="false">SUMIFS(tabela_registros[VALOR],tabela_registros[MÊS],$AE$1,tabela_registros[DIA],reservafixaconsolidadojul[[#Headers],[18]],tabela_registros[REGISTRO],DADOS!$N$6,tabela_registros[TIPO],DADOS!$AJ$3,tabela_registros[CATEGORIA],reservafixaconsolidadojul[[#This Row],[ATUAL]])</f>
        <v>0</v>
      </c>
      <c r="W172" s="119" t="n">
        <f aca="false">SUMIFS(tabela_registros[VALOR],tabela_registros[MÊS],$AE$1,tabela_registros[DIA],reservafixaconsolidadojul[[#Headers],[19]],tabela_registros[REGISTRO],DADOS!$N$6,tabela_registros[TIPO],DADOS!$AJ$3,tabela_registros[CATEGORIA],reservafixaconsolidadojul[[#This Row],[ATUAL]])</f>
        <v>0</v>
      </c>
      <c r="X172" s="119" t="n">
        <f aca="false">SUMIFS(tabela_registros[VALOR],tabela_registros[MÊS],$AE$1,tabela_registros[DIA],reservafixaconsolidadojul[[#Headers],[20]],tabela_registros[REGISTRO],DADOS!$N$6,tabela_registros[TIPO],DADOS!$AJ$3,tabela_registros[CATEGORIA],reservafixaconsolidadojul[[#This Row],[ATUAL]])</f>
        <v>0</v>
      </c>
      <c r="Y172" s="119" t="n">
        <f aca="false">SUMIFS(tabela_registros[VALOR],tabela_registros[MÊS],$AE$1,tabela_registros[DIA],reservafixaconsolidadojul[[#Headers],[21]],tabela_registros[REGISTRO],DADOS!$N$6,tabela_registros[TIPO],DADOS!$AJ$3,tabela_registros[CATEGORIA],reservafixaconsolidadojul[[#This Row],[ATUAL]])</f>
        <v>0</v>
      </c>
      <c r="Z172" s="119" t="n">
        <f aca="false">SUMIFS(tabela_registros[VALOR],tabela_registros[MÊS],$AE$1,tabela_registros[DIA],reservafixaconsolidadojul[[#Headers],[22]],tabela_registros[REGISTRO],DADOS!$N$6,tabela_registros[TIPO],DADOS!$AJ$3,tabela_registros[CATEGORIA],reservafixaconsolidadojul[[#This Row],[ATUAL]])</f>
        <v>0</v>
      </c>
      <c r="AA172" s="119" t="n">
        <f aca="false">SUMIFS(tabela_registros[VALOR],tabela_registros[MÊS],$AE$1,tabela_registros[DIA],reservafixaconsolidadojul[[#Headers],[23]],tabela_registros[REGISTRO],DADOS!$N$6,tabela_registros[TIPO],DADOS!$AJ$3,tabela_registros[CATEGORIA],reservafixaconsolidadojul[[#This Row],[ATUAL]])</f>
        <v>0</v>
      </c>
      <c r="AB172" s="119" t="n">
        <f aca="false">SUMIFS(tabela_registros[VALOR],tabela_registros[MÊS],$AE$1,tabela_registros[DIA],reservafixaconsolidadojul[[#Headers],[24]],tabela_registros[REGISTRO],DADOS!$N$6,tabela_registros[TIPO],DADOS!$AJ$3,tabela_registros[CATEGORIA],reservafixaconsolidadojul[[#This Row],[ATUAL]])</f>
        <v>0</v>
      </c>
      <c r="AC172" s="119" t="n">
        <f aca="false">SUMIFS(tabela_registros[VALOR],tabela_registros[MÊS],$AE$1,tabela_registros[DIA],reservafixaconsolidadojul[[#Headers],[25]],tabela_registros[REGISTRO],DADOS!$N$6,tabela_registros[TIPO],DADOS!$AJ$3,tabela_registros[CATEGORIA],reservafixaconsolidadojul[[#This Row],[ATUAL]])</f>
        <v>0</v>
      </c>
      <c r="AD172" s="119" t="n">
        <f aca="false">SUMIFS(tabela_registros[VALOR],tabela_registros[MÊS],$AE$1,tabela_registros[DIA],reservafixaconsolidadojul[[#Headers],[26]],tabela_registros[REGISTRO],DADOS!$N$6,tabela_registros[TIPO],DADOS!$AJ$3,tabela_registros[CATEGORIA],reservafixaconsolidadojul[[#This Row],[ATUAL]])</f>
        <v>0</v>
      </c>
      <c r="AE172" s="119" t="n">
        <f aca="false">SUMIFS(tabela_registros[VALOR],tabela_registros[MÊS],$AE$1,tabela_registros[DIA],reservafixaconsolidadojul[[#Headers],[27]],tabela_registros[REGISTRO],DADOS!$N$6,tabela_registros[TIPO],DADOS!$AJ$3,tabela_registros[CATEGORIA],reservafixaconsolidadojul[[#This Row],[ATUAL]])</f>
        <v>0</v>
      </c>
      <c r="AF172" s="119" t="n">
        <f aca="false">SUMIFS(tabela_registros[VALOR],tabela_registros[MÊS],$AE$1,tabela_registros[DIA],reservafixaconsolidadojul[[#Headers],[28]],tabela_registros[REGISTRO],DADOS!$N$6,tabela_registros[TIPO],DADOS!$AJ$3,tabela_registros[CATEGORIA],reservafixaconsolidadojul[[#This Row],[ATUAL]])</f>
        <v>0</v>
      </c>
      <c r="AG172" s="119" t="n">
        <f aca="false">SUMIFS(tabela_registros[VALOR],tabela_registros[MÊS],$AE$1,tabela_registros[DIA],reservafixaconsolidadojul[[#Headers],[29]],tabela_registros[REGISTRO],DADOS!$N$6,tabela_registros[TIPO],DADOS!$AJ$3,tabela_registros[CATEGORIA],reservafixaconsolidadojul[[#This Row],[ATUAL]])</f>
        <v>0</v>
      </c>
      <c r="AH172" s="119" t="n">
        <f aca="false">SUMIFS(tabela_registros[VALOR],tabela_registros[MÊS],$AE$1,tabela_registros[DIA],reservafixaconsolidadojul[[#Headers],[30]],tabela_registros[REGISTRO],DADOS!$N$6,tabela_registros[TIPO],DADOS!$AJ$3,tabela_registros[CATEGORIA],reservafixaconsolidadojul[[#This Row],[ATUAL]])</f>
        <v>0</v>
      </c>
      <c r="AI172" s="217" t="n">
        <f aca="false">SUMIFS(tabela_registros[VALOR],tabela_registros[MÊS],$AE$1,tabela_registros[DIA],reservafixaconsolidadojul[[#Headers],[31]],tabela_registros[REGISTRO],DADOS!$N$6,tabela_registros[TIPO],DADOS!$AJ$3,tabela_registros[CATEGORIA],reservafixaconsolidadojul[[#This Row],[ATUAL]])</f>
        <v>0</v>
      </c>
      <c r="AJ172" s="149" t="n">
        <f aca="false">SUM(reservafixaconsolidadojul[[#This Row],[1]:[31]])</f>
        <v>0</v>
      </c>
      <c r="AK172" s="165"/>
    </row>
    <row r="173" customFormat="false" ht="19.5" hidden="false" customHeight="true" outlineLevel="0" collapsed="false">
      <c r="B173" s="143"/>
      <c r="C173" s="144" t="str">
        <f aca="false">DADOS!$AL$8</f>
        <v>📝 LC</v>
      </c>
      <c r="D173" s="145" t="str">
        <f aca="false">IF(reservafixaconsolidadojul[[#This Row],[TOTAL (R$)]]=0,"",IF(OR(reservafixaconsolidadojul[[#This Row],[TOTAL (R$)]]=LARGE($AJ$168:$AJ$177,1),reservafixaconsolidadojul[[#This Row],[TOTAL (R$)]]=LARGE($AJ$168:$AJ$177,2)),DADOS!$I$11,""))</f>
        <v/>
      </c>
      <c r="E173" s="148" t="n">
        <f aca="false">SUMIFS(tabela_registros[VALOR],tabela_registros[MÊS],$AE$1,tabela_registros[DIA],reservafixaconsolidadojul[[#Headers],[1]],tabela_registros[REGISTRO],DADOS!$N$6,tabela_registros[TIPO],DADOS!$AJ$3,tabela_registros[CATEGORIA],reservafixaconsolidadojul[[#This Row],[ATUAL]])</f>
        <v>0</v>
      </c>
      <c r="F173" s="119" t="n">
        <f aca="false">SUMIFS(tabela_registros[VALOR],tabela_registros[MÊS],$AE$1,tabela_registros[DIA],reservafixaconsolidadojul[[#Headers],[2]],tabela_registros[REGISTRO],DADOS!$N$6,tabela_registros[TIPO],DADOS!$AJ$3,tabela_registros[CATEGORIA],reservafixaconsolidadojul[[#This Row],[ATUAL]])</f>
        <v>0</v>
      </c>
      <c r="G173" s="119" t="n">
        <f aca="false">SUMIFS(tabela_registros[VALOR],tabela_registros[MÊS],$AE$1,tabela_registros[DIA],reservafixaconsolidadojul[[#Headers],[3]],tabela_registros[REGISTRO],DADOS!$N$6,tabela_registros[TIPO],DADOS!$AJ$3,tabela_registros[CATEGORIA],reservafixaconsolidadojul[[#This Row],[ATUAL]])</f>
        <v>0</v>
      </c>
      <c r="H173" s="119" t="n">
        <f aca="false">SUMIFS(tabela_registros[VALOR],tabela_registros[MÊS],$AE$1,tabela_registros[DIA],reservafixaconsolidadojul[[#Headers],[4]],tabela_registros[REGISTRO],DADOS!$N$6,tabela_registros[TIPO],DADOS!$AJ$3,tabela_registros[CATEGORIA],reservafixaconsolidadojul[[#This Row],[ATUAL]])</f>
        <v>0</v>
      </c>
      <c r="I173" s="119" t="n">
        <f aca="false">SUMIFS(tabela_registros[VALOR],tabela_registros[MÊS],$AE$1,tabela_registros[DIA],reservafixaconsolidadojul[[#Headers],[5]],tabela_registros[REGISTRO],DADOS!$N$6,tabela_registros[TIPO],DADOS!$AJ$3,tabela_registros[CATEGORIA],reservafixaconsolidadojul[[#This Row],[ATUAL]])</f>
        <v>0</v>
      </c>
      <c r="J173" s="119" t="n">
        <f aca="false">SUMIFS(tabela_registros[VALOR],tabela_registros[MÊS],$AE$1,tabela_registros[DIA],reservafixaconsolidadojul[[#Headers],[6]],tabela_registros[REGISTRO],DADOS!$N$6,tabela_registros[TIPO],DADOS!$AJ$3,tabela_registros[CATEGORIA],reservafixaconsolidadojul[[#This Row],[ATUAL]])</f>
        <v>0</v>
      </c>
      <c r="K173" s="119" t="n">
        <f aca="false">SUMIFS(tabela_registros[VALOR],tabela_registros[MÊS],$AE$1,tabela_registros[DIA],reservafixaconsolidadojul[[#Headers],[7]],tabela_registros[REGISTRO],DADOS!$N$6,tabela_registros[TIPO],DADOS!$AJ$3,tabela_registros[CATEGORIA],reservafixaconsolidadojul[[#This Row],[ATUAL]])</f>
        <v>0</v>
      </c>
      <c r="L173" s="119" t="n">
        <f aca="false">SUMIFS(tabela_registros[VALOR],tabela_registros[MÊS],$AE$1,tabela_registros[DIA],reservafixaconsolidadojul[[#Headers],[8]],tabela_registros[REGISTRO],DADOS!$N$6,tabela_registros[TIPO],DADOS!$AJ$3,tabela_registros[CATEGORIA],reservafixaconsolidadojul[[#This Row],[ATUAL]])</f>
        <v>0</v>
      </c>
      <c r="M173" s="119" t="n">
        <f aca="false">SUMIFS(tabela_registros[VALOR],tabela_registros[MÊS],$AE$1,tabela_registros[DIA],reservafixaconsolidadojul[[#Headers],[9]],tabela_registros[REGISTRO],DADOS!$N$6,tabela_registros[TIPO],DADOS!$AJ$3,tabela_registros[CATEGORIA],reservafixaconsolidadojul[[#This Row],[ATUAL]])</f>
        <v>0</v>
      </c>
      <c r="N173" s="119" t="n">
        <f aca="false">SUMIFS(tabela_registros[VALOR],tabela_registros[MÊS],$AE$1,tabela_registros[DIA],reservafixaconsolidadojul[[#Headers],[10]],tabela_registros[REGISTRO],DADOS!$N$6,tabela_registros[TIPO],DADOS!$AJ$3,tabela_registros[CATEGORIA],reservafixaconsolidadojul[[#This Row],[ATUAL]])</f>
        <v>0</v>
      </c>
      <c r="O173" s="119" t="n">
        <f aca="false">SUMIFS(tabela_registros[VALOR],tabela_registros[MÊS],$AE$1,tabela_registros[DIA],reservafixaconsolidadojul[[#Headers],[11]],tabela_registros[REGISTRO],DADOS!$N$6,tabela_registros[TIPO],DADOS!$AJ$3,tabela_registros[CATEGORIA],reservafixaconsolidadojul[[#This Row],[ATUAL]])</f>
        <v>0</v>
      </c>
      <c r="P173" s="119" t="n">
        <f aca="false">SUMIFS(tabela_registros[VALOR],tabela_registros[MÊS],$AE$1,tabela_registros[DIA],reservafixaconsolidadojul[[#Headers],[12]],tabela_registros[REGISTRO],DADOS!$N$6,tabela_registros[TIPO],DADOS!$AJ$3,tabela_registros[CATEGORIA],reservafixaconsolidadojul[[#This Row],[ATUAL]])</f>
        <v>0</v>
      </c>
      <c r="Q173" s="119" t="n">
        <f aca="false">SUMIFS(tabela_registros[VALOR],tabela_registros[MÊS],$AE$1,tabela_registros[DIA],reservafixaconsolidadojul[[#Headers],[13]],tabela_registros[REGISTRO],DADOS!$N$6,tabela_registros[TIPO],DADOS!$AJ$3,tabela_registros[CATEGORIA],reservafixaconsolidadojul[[#This Row],[ATUAL]])</f>
        <v>0</v>
      </c>
      <c r="R173" s="119" t="n">
        <f aca="false">SUMIFS(tabela_registros[VALOR],tabela_registros[MÊS],$AE$1,tabela_registros[DIA],reservafixaconsolidadojul[[#Headers],[14]],tabela_registros[REGISTRO],DADOS!$N$6,tabela_registros[TIPO],DADOS!$AJ$3,tabela_registros[CATEGORIA],reservafixaconsolidadojul[[#This Row],[ATUAL]])</f>
        <v>0</v>
      </c>
      <c r="S173" s="119" t="n">
        <f aca="false">SUMIFS(tabela_registros[VALOR],tabela_registros[MÊS],$AE$1,tabela_registros[DIA],reservafixaconsolidadojul[[#Headers],[15]],tabela_registros[REGISTRO],DADOS!$N$6,tabela_registros[TIPO],DADOS!$AJ$3,tabela_registros[CATEGORIA],reservafixaconsolidadojul[[#This Row],[ATUAL]])</f>
        <v>0</v>
      </c>
      <c r="T173" s="119" t="n">
        <f aca="false">SUMIFS(tabela_registros[VALOR],tabela_registros[MÊS],$AE$1,tabela_registros[DIA],reservafixaconsolidadojul[[#Headers],[16]],tabela_registros[REGISTRO],DADOS!$N$6,tabela_registros[TIPO],DADOS!$AJ$3,tabela_registros[CATEGORIA],reservafixaconsolidadojul[[#This Row],[ATUAL]])</f>
        <v>0</v>
      </c>
      <c r="U173" s="119" t="n">
        <f aca="false">SUMIFS(tabela_registros[VALOR],tabela_registros[MÊS],$AE$1,tabela_registros[DIA],reservafixaconsolidadojul[[#Headers],[17]],tabela_registros[REGISTRO],DADOS!$N$6,tabela_registros[TIPO],DADOS!$AJ$3,tabela_registros[CATEGORIA],reservafixaconsolidadojul[[#This Row],[ATUAL]])</f>
        <v>0</v>
      </c>
      <c r="V173" s="119" t="n">
        <f aca="false">SUMIFS(tabela_registros[VALOR],tabela_registros[MÊS],$AE$1,tabela_registros[DIA],reservafixaconsolidadojul[[#Headers],[18]],tabela_registros[REGISTRO],DADOS!$N$6,tabela_registros[TIPO],DADOS!$AJ$3,tabela_registros[CATEGORIA],reservafixaconsolidadojul[[#This Row],[ATUAL]])</f>
        <v>0</v>
      </c>
      <c r="W173" s="119" t="n">
        <f aca="false">SUMIFS(tabela_registros[VALOR],tabela_registros[MÊS],$AE$1,tabela_registros[DIA],reservafixaconsolidadojul[[#Headers],[19]],tabela_registros[REGISTRO],DADOS!$N$6,tabela_registros[TIPO],DADOS!$AJ$3,tabela_registros[CATEGORIA],reservafixaconsolidadojul[[#This Row],[ATUAL]])</f>
        <v>0</v>
      </c>
      <c r="X173" s="119" t="n">
        <f aca="false">SUMIFS(tabela_registros[VALOR],tabela_registros[MÊS],$AE$1,tabela_registros[DIA],reservafixaconsolidadojul[[#Headers],[20]],tabela_registros[REGISTRO],DADOS!$N$6,tabela_registros[TIPO],DADOS!$AJ$3,tabela_registros[CATEGORIA],reservafixaconsolidadojul[[#This Row],[ATUAL]])</f>
        <v>0</v>
      </c>
      <c r="Y173" s="119" t="n">
        <f aca="false">SUMIFS(tabela_registros[VALOR],tabela_registros[MÊS],$AE$1,tabela_registros[DIA],reservafixaconsolidadojul[[#Headers],[21]],tabela_registros[REGISTRO],DADOS!$N$6,tabela_registros[TIPO],DADOS!$AJ$3,tabela_registros[CATEGORIA],reservafixaconsolidadojul[[#This Row],[ATUAL]])</f>
        <v>0</v>
      </c>
      <c r="Z173" s="119" t="n">
        <f aca="false">SUMIFS(tabela_registros[VALOR],tabela_registros[MÊS],$AE$1,tabela_registros[DIA],reservafixaconsolidadojul[[#Headers],[22]],tabela_registros[REGISTRO],DADOS!$N$6,tabela_registros[TIPO],DADOS!$AJ$3,tabela_registros[CATEGORIA],reservafixaconsolidadojul[[#This Row],[ATUAL]])</f>
        <v>0</v>
      </c>
      <c r="AA173" s="119" t="n">
        <f aca="false">SUMIFS(tabela_registros[VALOR],tabela_registros[MÊS],$AE$1,tabela_registros[DIA],reservafixaconsolidadojul[[#Headers],[23]],tabela_registros[REGISTRO],DADOS!$N$6,tabela_registros[TIPO],DADOS!$AJ$3,tabela_registros[CATEGORIA],reservafixaconsolidadojul[[#This Row],[ATUAL]])</f>
        <v>0</v>
      </c>
      <c r="AB173" s="119" t="n">
        <f aca="false">SUMIFS(tabela_registros[VALOR],tabela_registros[MÊS],$AE$1,tabela_registros[DIA],reservafixaconsolidadojul[[#Headers],[24]],tabela_registros[REGISTRO],DADOS!$N$6,tabela_registros[TIPO],DADOS!$AJ$3,tabela_registros[CATEGORIA],reservafixaconsolidadojul[[#This Row],[ATUAL]])</f>
        <v>0</v>
      </c>
      <c r="AC173" s="119" t="n">
        <f aca="false">SUMIFS(tabela_registros[VALOR],tabela_registros[MÊS],$AE$1,tabela_registros[DIA],reservafixaconsolidadojul[[#Headers],[25]],tabela_registros[REGISTRO],DADOS!$N$6,tabela_registros[TIPO],DADOS!$AJ$3,tabela_registros[CATEGORIA],reservafixaconsolidadojul[[#This Row],[ATUAL]])</f>
        <v>0</v>
      </c>
      <c r="AD173" s="119" t="n">
        <f aca="false">SUMIFS(tabela_registros[VALOR],tabela_registros[MÊS],$AE$1,tabela_registros[DIA],reservafixaconsolidadojul[[#Headers],[26]],tabela_registros[REGISTRO],DADOS!$N$6,tabela_registros[TIPO],DADOS!$AJ$3,tabela_registros[CATEGORIA],reservafixaconsolidadojul[[#This Row],[ATUAL]])</f>
        <v>0</v>
      </c>
      <c r="AE173" s="119" t="n">
        <f aca="false">SUMIFS(tabela_registros[VALOR],tabela_registros[MÊS],$AE$1,tabela_registros[DIA],reservafixaconsolidadojul[[#Headers],[27]],tabela_registros[REGISTRO],DADOS!$N$6,tabela_registros[TIPO],DADOS!$AJ$3,tabela_registros[CATEGORIA],reservafixaconsolidadojul[[#This Row],[ATUAL]])</f>
        <v>0</v>
      </c>
      <c r="AF173" s="119" t="n">
        <f aca="false">SUMIFS(tabela_registros[VALOR],tabela_registros[MÊS],$AE$1,tabela_registros[DIA],reservafixaconsolidadojul[[#Headers],[28]],tabela_registros[REGISTRO],DADOS!$N$6,tabela_registros[TIPO],DADOS!$AJ$3,tabela_registros[CATEGORIA],reservafixaconsolidadojul[[#This Row],[ATUAL]])</f>
        <v>0</v>
      </c>
      <c r="AG173" s="119" t="n">
        <f aca="false">SUMIFS(tabela_registros[VALOR],tabela_registros[MÊS],$AE$1,tabela_registros[DIA],reservafixaconsolidadojul[[#Headers],[29]],tabela_registros[REGISTRO],DADOS!$N$6,tabela_registros[TIPO],DADOS!$AJ$3,tabela_registros[CATEGORIA],reservafixaconsolidadojul[[#This Row],[ATUAL]])</f>
        <v>0</v>
      </c>
      <c r="AH173" s="119" t="n">
        <f aca="false">SUMIFS(tabela_registros[VALOR],tabela_registros[MÊS],$AE$1,tabela_registros[DIA],reservafixaconsolidadojul[[#Headers],[30]],tabela_registros[REGISTRO],DADOS!$N$6,tabela_registros[TIPO],DADOS!$AJ$3,tabela_registros[CATEGORIA],reservafixaconsolidadojul[[#This Row],[ATUAL]])</f>
        <v>0</v>
      </c>
      <c r="AI173" s="217" t="n">
        <f aca="false">SUMIFS(tabela_registros[VALOR],tabela_registros[MÊS],$AE$1,tabela_registros[DIA],reservafixaconsolidadojul[[#Headers],[31]],tabela_registros[REGISTRO],DADOS!$N$6,tabela_registros[TIPO],DADOS!$AJ$3,tabela_registros[CATEGORIA],reservafixaconsolidadojul[[#This Row],[ATUAL]])</f>
        <v>0</v>
      </c>
      <c r="AJ173" s="149" t="n">
        <f aca="false">SUM(reservafixaconsolidadojul[[#This Row],[1]:[31]])</f>
        <v>0</v>
      </c>
      <c r="AK173" s="165"/>
    </row>
    <row r="174" customFormat="false" ht="19.5" hidden="false" customHeight="true" outlineLevel="0" collapsed="false">
      <c r="B174" s="143"/>
      <c r="C174" s="144" t="str">
        <f aca="false">DADOS!$AL$9</f>
        <v>📝 LCA</v>
      </c>
      <c r="D174" s="145" t="str">
        <f aca="false">IF(reservafixaconsolidadojul[[#This Row],[TOTAL (R$)]]=0,"",IF(OR(reservafixaconsolidadojul[[#This Row],[TOTAL (R$)]]=LARGE($AJ$168:$AJ$177,1),reservafixaconsolidadojul[[#This Row],[TOTAL (R$)]]=LARGE($AJ$168:$AJ$177,2)),DADOS!$I$11,""))</f>
        <v/>
      </c>
      <c r="E174" s="148" t="n">
        <f aca="false">SUMIFS(tabela_registros[VALOR],tabela_registros[MÊS],$AE$1,tabela_registros[DIA],reservafixaconsolidadojul[[#Headers],[1]],tabela_registros[REGISTRO],DADOS!$N$6,tabela_registros[TIPO],DADOS!$AJ$3,tabela_registros[CATEGORIA],reservafixaconsolidadojul[[#This Row],[ATUAL]])</f>
        <v>0</v>
      </c>
      <c r="F174" s="119" t="n">
        <f aca="false">SUMIFS(tabela_registros[VALOR],tabela_registros[MÊS],$AE$1,tabela_registros[DIA],reservafixaconsolidadojul[[#Headers],[2]],tabela_registros[REGISTRO],DADOS!$N$6,tabela_registros[TIPO],DADOS!$AJ$3,tabela_registros[CATEGORIA],reservafixaconsolidadojul[[#This Row],[ATUAL]])</f>
        <v>0</v>
      </c>
      <c r="G174" s="119" t="n">
        <f aca="false">SUMIFS(tabela_registros[VALOR],tabela_registros[MÊS],$AE$1,tabela_registros[DIA],reservafixaconsolidadojul[[#Headers],[3]],tabela_registros[REGISTRO],DADOS!$N$6,tabela_registros[TIPO],DADOS!$AJ$3,tabela_registros[CATEGORIA],reservafixaconsolidadojul[[#This Row],[ATUAL]])</f>
        <v>0</v>
      </c>
      <c r="H174" s="119" t="n">
        <f aca="false">SUMIFS(tabela_registros[VALOR],tabela_registros[MÊS],$AE$1,tabela_registros[DIA],reservafixaconsolidadojul[[#Headers],[4]],tabela_registros[REGISTRO],DADOS!$N$6,tabela_registros[TIPO],DADOS!$AJ$3,tabela_registros[CATEGORIA],reservafixaconsolidadojul[[#This Row],[ATUAL]])</f>
        <v>0</v>
      </c>
      <c r="I174" s="119" t="n">
        <f aca="false">SUMIFS(tabela_registros[VALOR],tabela_registros[MÊS],$AE$1,tabela_registros[DIA],reservafixaconsolidadojul[[#Headers],[5]],tabela_registros[REGISTRO],DADOS!$N$6,tabela_registros[TIPO],DADOS!$AJ$3,tabela_registros[CATEGORIA],reservafixaconsolidadojul[[#This Row],[ATUAL]])</f>
        <v>0</v>
      </c>
      <c r="J174" s="119" t="n">
        <f aca="false">SUMIFS(tabela_registros[VALOR],tabela_registros[MÊS],$AE$1,tabela_registros[DIA],reservafixaconsolidadojul[[#Headers],[6]],tabela_registros[REGISTRO],DADOS!$N$6,tabela_registros[TIPO],DADOS!$AJ$3,tabela_registros[CATEGORIA],reservafixaconsolidadojul[[#This Row],[ATUAL]])</f>
        <v>0</v>
      </c>
      <c r="K174" s="119" t="n">
        <f aca="false">SUMIFS(tabela_registros[VALOR],tabela_registros[MÊS],$AE$1,tabela_registros[DIA],reservafixaconsolidadojul[[#Headers],[7]],tabela_registros[REGISTRO],DADOS!$N$6,tabela_registros[TIPO],DADOS!$AJ$3,tabela_registros[CATEGORIA],reservafixaconsolidadojul[[#This Row],[ATUAL]])</f>
        <v>0</v>
      </c>
      <c r="L174" s="119" t="n">
        <f aca="false">SUMIFS(tabela_registros[VALOR],tabela_registros[MÊS],$AE$1,tabela_registros[DIA],reservafixaconsolidadojul[[#Headers],[8]],tabela_registros[REGISTRO],DADOS!$N$6,tabela_registros[TIPO],DADOS!$AJ$3,tabela_registros[CATEGORIA],reservafixaconsolidadojul[[#This Row],[ATUAL]])</f>
        <v>0</v>
      </c>
      <c r="M174" s="119" t="n">
        <f aca="false">SUMIFS(tabela_registros[VALOR],tabela_registros[MÊS],$AE$1,tabela_registros[DIA],reservafixaconsolidadojul[[#Headers],[9]],tabela_registros[REGISTRO],DADOS!$N$6,tabela_registros[TIPO],DADOS!$AJ$3,tabela_registros[CATEGORIA],reservafixaconsolidadojul[[#This Row],[ATUAL]])</f>
        <v>0</v>
      </c>
      <c r="N174" s="119" t="n">
        <f aca="false">SUMIFS(tabela_registros[VALOR],tabela_registros[MÊS],$AE$1,tabela_registros[DIA],reservafixaconsolidadojul[[#Headers],[10]],tabela_registros[REGISTRO],DADOS!$N$6,tabela_registros[TIPO],DADOS!$AJ$3,tabela_registros[CATEGORIA],reservafixaconsolidadojul[[#This Row],[ATUAL]])</f>
        <v>0</v>
      </c>
      <c r="O174" s="119" t="n">
        <f aca="false">SUMIFS(tabela_registros[VALOR],tabela_registros[MÊS],$AE$1,tabela_registros[DIA],reservafixaconsolidadojul[[#Headers],[11]],tabela_registros[REGISTRO],DADOS!$N$6,tabela_registros[TIPO],DADOS!$AJ$3,tabela_registros[CATEGORIA],reservafixaconsolidadojul[[#This Row],[ATUAL]])</f>
        <v>0</v>
      </c>
      <c r="P174" s="119" t="n">
        <f aca="false">SUMIFS(tabela_registros[VALOR],tabela_registros[MÊS],$AE$1,tabela_registros[DIA],reservafixaconsolidadojul[[#Headers],[12]],tabela_registros[REGISTRO],DADOS!$N$6,tabela_registros[TIPO],DADOS!$AJ$3,tabela_registros[CATEGORIA],reservafixaconsolidadojul[[#This Row],[ATUAL]])</f>
        <v>0</v>
      </c>
      <c r="Q174" s="119" t="n">
        <f aca="false">SUMIFS(tabela_registros[VALOR],tabela_registros[MÊS],$AE$1,tabela_registros[DIA],reservafixaconsolidadojul[[#Headers],[13]],tabela_registros[REGISTRO],DADOS!$N$6,tabela_registros[TIPO],DADOS!$AJ$3,tabela_registros[CATEGORIA],reservafixaconsolidadojul[[#This Row],[ATUAL]])</f>
        <v>0</v>
      </c>
      <c r="R174" s="119" t="n">
        <f aca="false">SUMIFS(tabela_registros[VALOR],tabela_registros[MÊS],$AE$1,tabela_registros[DIA],reservafixaconsolidadojul[[#Headers],[14]],tabela_registros[REGISTRO],DADOS!$N$6,tabela_registros[TIPO],DADOS!$AJ$3,tabela_registros[CATEGORIA],reservafixaconsolidadojul[[#This Row],[ATUAL]])</f>
        <v>0</v>
      </c>
      <c r="S174" s="119" t="n">
        <f aca="false">SUMIFS(tabela_registros[VALOR],tabela_registros[MÊS],$AE$1,tabela_registros[DIA],reservafixaconsolidadojul[[#Headers],[15]],tabela_registros[REGISTRO],DADOS!$N$6,tabela_registros[TIPO],DADOS!$AJ$3,tabela_registros[CATEGORIA],reservafixaconsolidadojul[[#This Row],[ATUAL]])</f>
        <v>0</v>
      </c>
      <c r="T174" s="119" t="n">
        <f aca="false">SUMIFS(tabela_registros[VALOR],tabela_registros[MÊS],$AE$1,tabela_registros[DIA],reservafixaconsolidadojul[[#Headers],[16]],tabela_registros[REGISTRO],DADOS!$N$6,tabela_registros[TIPO],DADOS!$AJ$3,tabela_registros[CATEGORIA],reservafixaconsolidadojul[[#This Row],[ATUAL]])</f>
        <v>0</v>
      </c>
      <c r="U174" s="119" t="n">
        <f aca="false">SUMIFS(tabela_registros[VALOR],tabela_registros[MÊS],$AE$1,tabela_registros[DIA],reservafixaconsolidadojul[[#Headers],[17]],tabela_registros[REGISTRO],DADOS!$N$6,tabela_registros[TIPO],DADOS!$AJ$3,tabela_registros[CATEGORIA],reservafixaconsolidadojul[[#This Row],[ATUAL]])</f>
        <v>0</v>
      </c>
      <c r="V174" s="119" t="n">
        <f aca="false">SUMIFS(tabela_registros[VALOR],tabela_registros[MÊS],$AE$1,tabela_registros[DIA],reservafixaconsolidadojul[[#Headers],[18]],tabela_registros[REGISTRO],DADOS!$N$6,tabela_registros[TIPO],DADOS!$AJ$3,tabela_registros[CATEGORIA],reservafixaconsolidadojul[[#This Row],[ATUAL]])</f>
        <v>0</v>
      </c>
      <c r="W174" s="119" t="n">
        <f aca="false">SUMIFS(tabela_registros[VALOR],tabela_registros[MÊS],$AE$1,tabela_registros[DIA],reservafixaconsolidadojul[[#Headers],[19]],tabela_registros[REGISTRO],DADOS!$N$6,tabela_registros[TIPO],DADOS!$AJ$3,tabela_registros[CATEGORIA],reservafixaconsolidadojul[[#This Row],[ATUAL]])</f>
        <v>0</v>
      </c>
      <c r="X174" s="119" t="n">
        <f aca="false">SUMIFS(tabela_registros[VALOR],tabela_registros[MÊS],$AE$1,tabela_registros[DIA],reservafixaconsolidadojul[[#Headers],[20]],tabela_registros[REGISTRO],DADOS!$N$6,tabela_registros[TIPO],DADOS!$AJ$3,tabela_registros[CATEGORIA],reservafixaconsolidadojul[[#This Row],[ATUAL]])</f>
        <v>0</v>
      </c>
      <c r="Y174" s="119" t="n">
        <f aca="false">SUMIFS(tabela_registros[VALOR],tabela_registros[MÊS],$AE$1,tabela_registros[DIA],reservafixaconsolidadojul[[#Headers],[21]],tabela_registros[REGISTRO],DADOS!$N$6,tabela_registros[TIPO],DADOS!$AJ$3,tabela_registros[CATEGORIA],reservafixaconsolidadojul[[#This Row],[ATUAL]])</f>
        <v>0</v>
      </c>
      <c r="Z174" s="119" t="n">
        <f aca="false">SUMIFS(tabela_registros[VALOR],tabela_registros[MÊS],$AE$1,tabela_registros[DIA],reservafixaconsolidadojul[[#Headers],[22]],tabela_registros[REGISTRO],DADOS!$N$6,tabela_registros[TIPO],DADOS!$AJ$3,tabela_registros[CATEGORIA],reservafixaconsolidadojul[[#This Row],[ATUAL]])</f>
        <v>0</v>
      </c>
      <c r="AA174" s="119" t="n">
        <f aca="false">SUMIFS(tabela_registros[VALOR],tabela_registros[MÊS],$AE$1,tabela_registros[DIA],reservafixaconsolidadojul[[#Headers],[23]],tabela_registros[REGISTRO],DADOS!$N$6,tabela_registros[TIPO],DADOS!$AJ$3,tabela_registros[CATEGORIA],reservafixaconsolidadojul[[#This Row],[ATUAL]])</f>
        <v>0</v>
      </c>
      <c r="AB174" s="119" t="n">
        <f aca="false">SUMIFS(tabela_registros[VALOR],tabela_registros[MÊS],$AE$1,tabela_registros[DIA],reservafixaconsolidadojul[[#Headers],[24]],tabela_registros[REGISTRO],DADOS!$N$6,tabela_registros[TIPO],DADOS!$AJ$3,tabela_registros[CATEGORIA],reservafixaconsolidadojul[[#This Row],[ATUAL]])</f>
        <v>0</v>
      </c>
      <c r="AC174" s="119" t="n">
        <f aca="false">SUMIFS(tabela_registros[VALOR],tabela_registros[MÊS],$AE$1,tabela_registros[DIA],reservafixaconsolidadojul[[#Headers],[25]],tabela_registros[REGISTRO],DADOS!$N$6,tabela_registros[TIPO],DADOS!$AJ$3,tabela_registros[CATEGORIA],reservafixaconsolidadojul[[#This Row],[ATUAL]])</f>
        <v>0</v>
      </c>
      <c r="AD174" s="119" t="n">
        <f aca="false">SUMIFS(tabela_registros[VALOR],tabela_registros[MÊS],$AE$1,tabela_registros[DIA],reservafixaconsolidadojul[[#Headers],[26]],tabela_registros[REGISTRO],DADOS!$N$6,tabela_registros[TIPO],DADOS!$AJ$3,tabela_registros[CATEGORIA],reservafixaconsolidadojul[[#This Row],[ATUAL]])</f>
        <v>0</v>
      </c>
      <c r="AE174" s="119" t="n">
        <f aca="false">SUMIFS(tabela_registros[VALOR],tabela_registros[MÊS],$AE$1,tabela_registros[DIA],reservafixaconsolidadojul[[#Headers],[27]],tabela_registros[REGISTRO],DADOS!$N$6,tabela_registros[TIPO],DADOS!$AJ$3,tabela_registros[CATEGORIA],reservafixaconsolidadojul[[#This Row],[ATUAL]])</f>
        <v>0</v>
      </c>
      <c r="AF174" s="119" t="n">
        <f aca="false">SUMIFS(tabela_registros[VALOR],tabela_registros[MÊS],$AE$1,tabela_registros[DIA],reservafixaconsolidadojul[[#Headers],[28]],tabela_registros[REGISTRO],DADOS!$N$6,tabela_registros[TIPO],DADOS!$AJ$3,tabela_registros[CATEGORIA],reservafixaconsolidadojul[[#This Row],[ATUAL]])</f>
        <v>0</v>
      </c>
      <c r="AG174" s="119" t="n">
        <f aca="false">SUMIFS(tabela_registros[VALOR],tabela_registros[MÊS],$AE$1,tabela_registros[DIA],reservafixaconsolidadojul[[#Headers],[29]],tabela_registros[REGISTRO],DADOS!$N$6,tabela_registros[TIPO],DADOS!$AJ$3,tabela_registros[CATEGORIA],reservafixaconsolidadojul[[#This Row],[ATUAL]])</f>
        <v>0</v>
      </c>
      <c r="AH174" s="119" t="n">
        <f aca="false">SUMIFS(tabela_registros[VALOR],tabela_registros[MÊS],$AE$1,tabela_registros[DIA],reservafixaconsolidadojul[[#Headers],[30]],tabela_registros[REGISTRO],DADOS!$N$6,tabela_registros[TIPO],DADOS!$AJ$3,tabela_registros[CATEGORIA],reservafixaconsolidadojul[[#This Row],[ATUAL]])</f>
        <v>0</v>
      </c>
      <c r="AI174" s="217" t="n">
        <f aca="false">SUMIFS(tabela_registros[VALOR],tabela_registros[MÊS],$AE$1,tabela_registros[DIA],reservafixaconsolidadojul[[#Headers],[31]],tabela_registros[REGISTRO],DADOS!$N$6,tabela_registros[TIPO],DADOS!$AJ$3,tabela_registros[CATEGORIA],reservafixaconsolidadojul[[#This Row],[ATUAL]])</f>
        <v>0</v>
      </c>
      <c r="AJ174" s="149" t="n">
        <f aca="false">SUM(reservafixaconsolidadojul[[#This Row],[1]:[31]])</f>
        <v>0</v>
      </c>
      <c r="AK174" s="165"/>
    </row>
    <row r="175" customFormat="false" ht="19.5" hidden="false" customHeight="true" outlineLevel="0" collapsed="false">
      <c r="B175" s="143"/>
      <c r="C175" s="144" t="str">
        <f aca="false">DADOS!$AL$10</f>
        <v>📝 LCI</v>
      </c>
      <c r="D175" s="145" t="str">
        <f aca="false">IF(reservafixaconsolidadojul[[#This Row],[TOTAL (R$)]]=0,"",IF(OR(reservafixaconsolidadojul[[#This Row],[TOTAL (R$)]]=LARGE($AJ$168:$AJ$177,1),reservafixaconsolidadojul[[#This Row],[TOTAL (R$)]]=LARGE($AJ$168:$AJ$177,2)),DADOS!$I$11,""))</f>
        <v/>
      </c>
      <c r="E175" s="148" t="n">
        <f aca="false">SUMIFS(tabela_registros[VALOR],tabela_registros[MÊS],$AE$1,tabela_registros[DIA],reservafixaconsolidadojul[[#Headers],[1]],tabela_registros[REGISTRO],DADOS!$N$6,tabela_registros[TIPO],DADOS!$AJ$3,tabela_registros[CATEGORIA],reservafixaconsolidadojul[[#This Row],[ATUAL]])</f>
        <v>0</v>
      </c>
      <c r="F175" s="119" t="n">
        <f aca="false">SUMIFS(tabela_registros[VALOR],tabela_registros[MÊS],$AE$1,tabela_registros[DIA],reservafixaconsolidadojul[[#Headers],[2]],tabela_registros[REGISTRO],DADOS!$N$6,tabela_registros[TIPO],DADOS!$AJ$3,tabela_registros[CATEGORIA],reservafixaconsolidadojul[[#This Row],[ATUAL]])</f>
        <v>0</v>
      </c>
      <c r="G175" s="119" t="n">
        <f aca="false">SUMIFS(tabela_registros[VALOR],tabela_registros[MÊS],$AE$1,tabela_registros[DIA],reservafixaconsolidadojul[[#Headers],[3]],tabela_registros[REGISTRO],DADOS!$N$6,tabela_registros[TIPO],DADOS!$AJ$3,tabela_registros[CATEGORIA],reservafixaconsolidadojul[[#This Row],[ATUAL]])</f>
        <v>0</v>
      </c>
      <c r="H175" s="119" t="n">
        <f aca="false">SUMIFS(tabela_registros[VALOR],tabela_registros[MÊS],$AE$1,tabela_registros[DIA],reservafixaconsolidadojul[[#Headers],[4]],tabela_registros[REGISTRO],DADOS!$N$6,tabela_registros[TIPO],DADOS!$AJ$3,tabela_registros[CATEGORIA],reservafixaconsolidadojul[[#This Row],[ATUAL]])</f>
        <v>0</v>
      </c>
      <c r="I175" s="119" t="n">
        <f aca="false">SUMIFS(tabela_registros[VALOR],tabela_registros[MÊS],$AE$1,tabela_registros[DIA],reservafixaconsolidadojul[[#Headers],[5]],tabela_registros[REGISTRO],DADOS!$N$6,tabela_registros[TIPO],DADOS!$AJ$3,tabela_registros[CATEGORIA],reservafixaconsolidadojul[[#This Row],[ATUAL]])</f>
        <v>0</v>
      </c>
      <c r="J175" s="119" t="n">
        <f aca="false">SUMIFS(tabela_registros[VALOR],tabela_registros[MÊS],$AE$1,tabela_registros[DIA],reservafixaconsolidadojul[[#Headers],[6]],tabela_registros[REGISTRO],DADOS!$N$6,tabela_registros[TIPO],DADOS!$AJ$3,tabela_registros[CATEGORIA],reservafixaconsolidadojul[[#This Row],[ATUAL]])</f>
        <v>0</v>
      </c>
      <c r="K175" s="119" t="n">
        <f aca="false">SUMIFS(tabela_registros[VALOR],tabela_registros[MÊS],$AE$1,tabela_registros[DIA],reservafixaconsolidadojul[[#Headers],[7]],tabela_registros[REGISTRO],DADOS!$N$6,tabela_registros[TIPO],DADOS!$AJ$3,tabela_registros[CATEGORIA],reservafixaconsolidadojul[[#This Row],[ATUAL]])</f>
        <v>0</v>
      </c>
      <c r="L175" s="119" t="n">
        <f aca="false">SUMIFS(tabela_registros[VALOR],tabela_registros[MÊS],$AE$1,tabela_registros[DIA],reservafixaconsolidadojul[[#Headers],[8]],tabela_registros[REGISTRO],DADOS!$N$6,tabela_registros[TIPO],DADOS!$AJ$3,tabela_registros[CATEGORIA],reservafixaconsolidadojul[[#This Row],[ATUAL]])</f>
        <v>0</v>
      </c>
      <c r="M175" s="119" t="n">
        <f aca="false">SUMIFS(tabela_registros[VALOR],tabela_registros[MÊS],$AE$1,tabela_registros[DIA],reservafixaconsolidadojul[[#Headers],[9]],tabela_registros[REGISTRO],DADOS!$N$6,tabela_registros[TIPO],DADOS!$AJ$3,tabela_registros[CATEGORIA],reservafixaconsolidadojul[[#This Row],[ATUAL]])</f>
        <v>0</v>
      </c>
      <c r="N175" s="119" t="n">
        <f aca="false">SUMIFS(tabela_registros[VALOR],tabela_registros[MÊS],$AE$1,tabela_registros[DIA],reservafixaconsolidadojul[[#Headers],[10]],tabela_registros[REGISTRO],DADOS!$N$6,tabela_registros[TIPO],DADOS!$AJ$3,tabela_registros[CATEGORIA],reservafixaconsolidadojul[[#This Row],[ATUAL]])</f>
        <v>0</v>
      </c>
      <c r="O175" s="119" t="n">
        <f aca="false">SUMIFS(tabela_registros[VALOR],tabela_registros[MÊS],$AE$1,tabela_registros[DIA],reservafixaconsolidadojul[[#Headers],[11]],tabela_registros[REGISTRO],DADOS!$N$6,tabela_registros[TIPO],DADOS!$AJ$3,tabela_registros[CATEGORIA],reservafixaconsolidadojul[[#This Row],[ATUAL]])</f>
        <v>0</v>
      </c>
      <c r="P175" s="119" t="n">
        <f aca="false">SUMIFS(tabela_registros[VALOR],tabela_registros[MÊS],$AE$1,tabela_registros[DIA],reservafixaconsolidadojul[[#Headers],[12]],tabela_registros[REGISTRO],DADOS!$N$6,tabela_registros[TIPO],DADOS!$AJ$3,tabela_registros[CATEGORIA],reservafixaconsolidadojul[[#This Row],[ATUAL]])</f>
        <v>0</v>
      </c>
      <c r="Q175" s="119" t="n">
        <f aca="false">SUMIFS(tabela_registros[VALOR],tabela_registros[MÊS],$AE$1,tabela_registros[DIA],reservafixaconsolidadojul[[#Headers],[13]],tabela_registros[REGISTRO],DADOS!$N$6,tabela_registros[TIPO],DADOS!$AJ$3,tabela_registros[CATEGORIA],reservafixaconsolidadojul[[#This Row],[ATUAL]])</f>
        <v>0</v>
      </c>
      <c r="R175" s="119" t="n">
        <f aca="false">SUMIFS(tabela_registros[VALOR],tabela_registros[MÊS],$AE$1,tabela_registros[DIA],reservafixaconsolidadojul[[#Headers],[14]],tabela_registros[REGISTRO],DADOS!$N$6,tabela_registros[TIPO],DADOS!$AJ$3,tabela_registros[CATEGORIA],reservafixaconsolidadojul[[#This Row],[ATUAL]])</f>
        <v>0</v>
      </c>
      <c r="S175" s="119" t="n">
        <f aca="false">SUMIFS(tabela_registros[VALOR],tabela_registros[MÊS],$AE$1,tabela_registros[DIA],reservafixaconsolidadojul[[#Headers],[15]],tabela_registros[REGISTRO],DADOS!$N$6,tabela_registros[TIPO],DADOS!$AJ$3,tabela_registros[CATEGORIA],reservafixaconsolidadojul[[#This Row],[ATUAL]])</f>
        <v>0</v>
      </c>
      <c r="T175" s="119" t="n">
        <f aca="false">SUMIFS(tabela_registros[VALOR],tabela_registros[MÊS],$AE$1,tabela_registros[DIA],reservafixaconsolidadojul[[#Headers],[16]],tabela_registros[REGISTRO],DADOS!$N$6,tabela_registros[TIPO],DADOS!$AJ$3,tabela_registros[CATEGORIA],reservafixaconsolidadojul[[#This Row],[ATUAL]])</f>
        <v>0</v>
      </c>
      <c r="U175" s="119" t="n">
        <f aca="false">SUMIFS(tabela_registros[VALOR],tabela_registros[MÊS],$AE$1,tabela_registros[DIA],reservafixaconsolidadojul[[#Headers],[17]],tabela_registros[REGISTRO],DADOS!$N$6,tabela_registros[TIPO],DADOS!$AJ$3,tabela_registros[CATEGORIA],reservafixaconsolidadojul[[#This Row],[ATUAL]])</f>
        <v>0</v>
      </c>
      <c r="V175" s="119" t="n">
        <f aca="false">SUMIFS(tabela_registros[VALOR],tabela_registros[MÊS],$AE$1,tabela_registros[DIA],reservafixaconsolidadojul[[#Headers],[18]],tabela_registros[REGISTRO],DADOS!$N$6,tabela_registros[TIPO],DADOS!$AJ$3,tabela_registros[CATEGORIA],reservafixaconsolidadojul[[#This Row],[ATUAL]])</f>
        <v>0</v>
      </c>
      <c r="W175" s="119" t="n">
        <f aca="false">SUMIFS(tabela_registros[VALOR],tabela_registros[MÊS],$AE$1,tabela_registros[DIA],reservafixaconsolidadojul[[#Headers],[19]],tabela_registros[REGISTRO],DADOS!$N$6,tabela_registros[TIPO],DADOS!$AJ$3,tabela_registros[CATEGORIA],reservafixaconsolidadojul[[#This Row],[ATUAL]])</f>
        <v>0</v>
      </c>
      <c r="X175" s="119" t="n">
        <f aca="false">SUMIFS(tabela_registros[VALOR],tabela_registros[MÊS],$AE$1,tabela_registros[DIA],reservafixaconsolidadojul[[#Headers],[20]],tabela_registros[REGISTRO],DADOS!$N$6,tabela_registros[TIPO],DADOS!$AJ$3,tabela_registros[CATEGORIA],reservafixaconsolidadojul[[#This Row],[ATUAL]])</f>
        <v>0</v>
      </c>
      <c r="Y175" s="119" t="n">
        <f aca="false">SUMIFS(tabela_registros[VALOR],tabela_registros[MÊS],$AE$1,tabela_registros[DIA],reservafixaconsolidadojul[[#Headers],[21]],tabela_registros[REGISTRO],DADOS!$N$6,tabela_registros[TIPO],DADOS!$AJ$3,tabela_registros[CATEGORIA],reservafixaconsolidadojul[[#This Row],[ATUAL]])</f>
        <v>0</v>
      </c>
      <c r="Z175" s="119" t="n">
        <f aca="false">SUMIFS(tabela_registros[VALOR],tabela_registros[MÊS],$AE$1,tabela_registros[DIA],reservafixaconsolidadojul[[#Headers],[22]],tabela_registros[REGISTRO],DADOS!$N$6,tabela_registros[TIPO],DADOS!$AJ$3,tabela_registros[CATEGORIA],reservafixaconsolidadojul[[#This Row],[ATUAL]])</f>
        <v>0</v>
      </c>
      <c r="AA175" s="119" t="n">
        <f aca="false">SUMIFS(tabela_registros[VALOR],tabela_registros[MÊS],$AE$1,tabela_registros[DIA],reservafixaconsolidadojul[[#Headers],[23]],tabela_registros[REGISTRO],DADOS!$N$6,tabela_registros[TIPO],DADOS!$AJ$3,tabela_registros[CATEGORIA],reservafixaconsolidadojul[[#This Row],[ATUAL]])</f>
        <v>0</v>
      </c>
      <c r="AB175" s="119" t="n">
        <f aca="false">SUMIFS(tabela_registros[VALOR],tabela_registros[MÊS],$AE$1,tabela_registros[DIA],reservafixaconsolidadojul[[#Headers],[24]],tabela_registros[REGISTRO],DADOS!$N$6,tabela_registros[TIPO],DADOS!$AJ$3,tabela_registros[CATEGORIA],reservafixaconsolidadojul[[#This Row],[ATUAL]])</f>
        <v>0</v>
      </c>
      <c r="AC175" s="119" t="n">
        <f aca="false">SUMIFS(tabela_registros[VALOR],tabela_registros[MÊS],$AE$1,tabela_registros[DIA],reservafixaconsolidadojul[[#Headers],[25]],tabela_registros[REGISTRO],DADOS!$N$6,tabela_registros[TIPO],DADOS!$AJ$3,tabela_registros[CATEGORIA],reservafixaconsolidadojul[[#This Row],[ATUAL]])</f>
        <v>0</v>
      </c>
      <c r="AD175" s="119" t="n">
        <f aca="false">SUMIFS(tabela_registros[VALOR],tabela_registros[MÊS],$AE$1,tabela_registros[DIA],reservafixaconsolidadojul[[#Headers],[26]],tabela_registros[REGISTRO],DADOS!$N$6,tabela_registros[TIPO],DADOS!$AJ$3,tabela_registros[CATEGORIA],reservafixaconsolidadojul[[#This Row],[ATUAL]])</f>
        <v>0</v>
      </c>
      <c r="AE175" s="119" t="n">
        <f aca="false">SUMIFS(tabela_registros[VALOR],tabela_registros[MÊS],$AE$1,tabela_registros[DIA],reservafixaconsolidadojul[[#Headers],[27]],tabela_registros[REGISTRO],DADOS!$N$6,tabela_registros[TIPO],DADOS!$AJ$3,tabela_registros[CATEGORIA],reservafixaconsolidadojul[[#This Row],[ATUAL]])</f>
        <v>0</v>
      </c>
      <c r="AF175" s="119" t="n">
        <f aca="false">SUMIFS(tabela_registros[VALOR],tabela_registros[MÊS],$AE$1,tabela_registros[DIA],reservafixaconsolidadojul[[#Headers],[28]],tabela_registros[REGISTRO],DADOS!$N$6,tabela_registros[TIPO],DADOS!$AJ$3,tabela_registros[CATEGORIA],reservafixaconsolidadojul[[#This Row],[ATUAL]])</f>
        <v>0</v>
      </c>
      <c r="AG175" s="119" t="n">
        <f aca="false">SUMIFS(tabela_registros[VALOR],tabela_registros[MÊS],$AE$1,tabela_registros[DIA],reservafixaconsolidadojul[[#Headers],[29]],tabela_registros[REGISTRO],DADOS!$N$6,tabela_registros[TIPO],DADOS!$AJ$3,tabela_registros[CATEGORIA],reservafixaconsolidadojul[[#This Row],[ATUAL]])</f>
        <v>0</v>
      </c>
      <c r="AH175" s="119" t="n">
        <f aca="false">SUMIFS(tabela_registros[VALOR],tabela_registros[MÊS],$AE$1,tabela_registros[DIA],reservafixaconsolidadojul[[#Headers],[30]],tabela_registros[REGISTRO],DADOS!$N$6,tabela_registros[TIPO],DADOS!$AJ$3,tabela_registros[CATEGORIA],reservafixaconsolidadojul[[#This Row],[ATUAL]])</f>
        <v>0</v>
      </c>
      <c r="AI175" s="217" t="n">
        <f aca="false">SUMIFS(tabela_registros[VALOR],tabela_registros[MÊS],$AE$1,tabela_registros[DIA],reservafixaconsolidadojul[[#Headers],[31]],tabela_registros[REGISTRO],DADOS!$N$6,tabela_registros[TIPO],DADOS!$AJ$3,tabela_registros[CATEGORIA],reservafixaconsolidadojul[[#This Row],[ATUAL]])</f>
        <v>0</v>
      </c>
      <c r="AJ175" s="149" t="n">
        <f aca="false">SUM(reservafixaconsolidadojul[[#This Row],[1]:[31]])</f>
        <v>0</v>
      </c>
      <c r="AK175" s="165"/>
    </row>
    <row r="176" customFormat="false" ht="19.5" hidden="false" customHeight="true" outlineLevel="0" collapsed="false">
      <c r="B176" s="143"/>
      <c r="C176" s="144" t="str">
        <f aca="false">DADOS!$AL$11</f>
        <v>📝 TESOURO DIRETO</v>
      </c>
      <c r="D176" s="145" t="str">
        <f aca="false">IF(reservafixaconsolidadojul[[#This Row],[TOTAL (R$)]]=0,"",IF(OR(reservafixaconsolidadojul[[#This Row],[TOTAL (R$)]]=LARGE($AJ$168:$AJ$177,1),reservafixaconsolidadojul[[#This Row],[TOTAL (R$)]]=LARGE($AJ$168:$AJ$177,2)),DADOS!$I$11,""))</f>
        <v/>
      </c>
      <c r="E176" s="148" t="n">
        <f aca="false">SUMIFS(tabela_registros[VALOR],tabela_registros[MÊS],$AE$1,tabela_registros[DIA],reservafixaconsolidadojul[[#Headers],[1]],tabela_registros[REGISTRO],DADOS!$N$6,tabela_registros[TIPO],DADOS!$AJ$3,tabela_registros[CATEGORIA],reservafixaconsolidadojul[[#This Row],[ATUAL]])</f>
        <v>0</v>
      </c>
      <c r="F176" s="119" t="n">
        <f aca="false">SUMIFS(tabela_registros[VALOR],tabela_registros[MÊS],$AE$1,tabela_registros[DIA],reservafixaconsolidadojul[[#Headers],[2]],tabela_registros[REGISTRO],DADOS!$N$6,tabela_registros[TIPO],DADOS!$AJ$3,tabela_registros[CATEGORIA],reservafixaconsolidadojul[[#This Row],[ATUAL]])</f>
        <v>0</v>
      </c>
      <c r="G176" s="119" t="n">
        <f aca="false">SUMIFS(tabela_registros[VALOR],tabela_registros[MÊS],$AE$1,tabela_registros[DIA],reservafixaconsolidadojul[[#Headers],[3]],tabela_registros[REGISTRO],DADOS!$N$6,tabela_registros[TIPO],DADOS!$AJ$3,tabela_registros[CATEGORIA],reservafixaconsolidadojul[[#This Row],[ATUAL]])</f>
        <v>0</v>
      </c>
      <c r="H176" s="119" t="n">
        <f aca="false">SUMIFS(tabela_registros[VALOR],tabela_registros[MÊS],$AE$1,tabela_registros[DIA],reservafixaconsolidadojul[[#Headers],[4]],tabela_registros[REGISTRO],DADOS!$N$6,tabela_registros[TIPO],DADOS!$AJ$3,tabela_registros[CATEGORIA],reservafixaconsolidadojul[[#This Row],[ATUAL]])</f>
        <v>0</v>
      </c>
      <c r="I176" s="119" t="n">
        <f aca="false">SUMIFS(tabela_registros[VALOR],tabela_registros[MÊS],$AE$1,tabela_registros[DIA],reservafixaconsolidadojul[[#Headers],[5]],tabela_registros[REGISTRO],DADOS!$N$6,tabela_registros[TIPO],DADOS!$AJ$3,tabela_registros[CATEGORIA],reservafixaconsolidadojul[[#This Row],[ATUAL]])</f>
        <v>0</v>
      </c>
      <c r="J176" s="119" t="n">
        <f aca="false">SUMIFS(tabela_registros[VALOR],tabela_registros[MÊS],$AE$1,tabela_registros[DIA],reservafixaconsolidadojul[[#Headers],[6]],tabela_registros[REGISTRO],DADOS!$N$6,tabela_registros[TIPO],DADOS!$AJ$3,tabela_registros[CATEGORIA],reservafixaconsolidadojul[[#This Row],[ATUAL]])</f>
        <v>0</v>
      </c>
      <c r="K176" s="119" t="n">
        <f aca="false">SUMIFS(tabela_registros[VALOR],tabela_registros[MÊS],$AE$1,tabela_registros[DIA],reservafixaconsolidadojul[[#Headers],[7]],tabela_registros[REGISTRO],DADOS!$N$6,tabela_registros[TIPO],DADOS!$AJ$3,tabela_registros[CATEGORIA],reservafixaconsolidadojul[[#This Row],[ATUAL]])</f>
        <v>0</v>
      </c>
      <c r="L176" s="119" t="n">
        <f aca="false">SUMIFS(tabela_registros[VALOR],tabela_registros[MÊS],$AE$1,tabela_registros[DIA],reservafixaconsolidadojul[[#Headers],[8]],tabela_registros[REGISTRO],DADOS!$N$6,tabela_registros[TIPO],DADOS!$AJ$3,tabela_registros[CATEGORIA],reservafixaconsolidadojul[[#This Row],[ATUAL]])</f>
        <v>0</v>
      </c>
      <c r="M176" s="119" t="n">
        <f aca="false">SUMIFS(tabela_registros[VALOR],tabela_registros[MÊS],$AE$1,tabela_registros[DIA],reservafixaconsolidadojul[[#Headers],[9]],tabela_registros[REGISTRO],DADOS!$N$6,tabela_registros[TIPO],DADOS!$AJ$3,tabela_registros[CATEGORIA],reservafixaconsolidadojul[[#This Row],[ATUAL]])</f>
        <v>0</v>
      </c>
      <c r="N176" s="119" t="n">
        <f aca="false">SUMIFS(tabela_registros[VALOR],tabela_registros[MÊS],$AE$1,tabela_registros[DIA],reservafixaconsolidadojul[[#Headers],[10]],tabela_registros[REGISTRO],DADOS!$N$6,tabela_registros[TIPO],DADOS!$AJ$3,tabela_registros[CATEGORIA],reservafixaconsolidadojul[[#This Row],[ATUAL]])</f>
        <v>0</v>
      </c>
      <c r="O176" s="119" t="n">
        <f aca="false">SUMIFS(tabela_registros[VALOR],tabela_registros[MÊS],$AE$1,tabela_registros[DIA],reservafixaconsolidadojul[[#Headers],[11]],tabela_registros[REGISTRO],DADOS!$N$6,tabela_registros[TIPO],DADOS!$AJ$3,tabela_registros[CATEGORIA],reservafixaconsolidadojul[[#This Row],[ATUAL]])</f>
        <v>0</v>
      </c>
      <c r="P176" s="119" t="n">
        <f aca="false">SUMIFS(tabela_registros[VALOR],tabela_registros[MÊS],$AE$1,tabela_registros[DIA],reservafixaconsolidadojul[[#Headers],[12]],tabela_registros[REGISTRO],DADOS!$N$6,tabela_registros[TIPO],DADOS!$AJ$3,tabela_registros[CATEGORIA],reservafixaconsolidadojul[[#This Row],[ATUAL]])</f>
        <v>0</v>
      </c>
      <c r="Q176" s="119" t="n">
        <f aca="false">SUMIFS(tabela_registros[VALOR],tabela_registros[MÊS],$AE$1,tabela_registros[DIA],reservafixaconsolidadojul[[#Headers],[13]],tabela_registros[REGISTRO],DADOS!$N$6,tabela_registros[TIPO],DADOS!$AJ$3,tabela_registros[CATEGORIA],reservafixaconsolidadojul[[#This Row],[ATUAL]])</f>
        <v>0</v>
      </c>
      <c r="R176" s="119" t="n">
        <f aca="false">SUMIFS(tabela_registros[VALOR],tabela_registros[MÊS],$AE$1,tabela_registros[DIA],reservafixaconsolidadojul[[#Headers],[14]],tabela_registros[REGISTRO],DADOS!$N$6,tabela_registros[TIPO],DADOS!$AJ$3,tabela_registros[CATEGORIA],reservafixaconsolidadojul[[#This Row],[ATUAL]])</f>
        <v>0</v>
      </c>
      <c r="S176" s="119" t="n">
        <f aca="false">SUMIFS(tabela_registros[VALOR],tabela_registros[MÊS],$AE$1,tabela_registros[DIA],reservafixaconsolidadojul[[#Headers],[15]],tabela_registros[REGISTRO],DADOS!$N$6,tabela_registros[TIPO],DADOS!$AJ$3,tabela_registros[CATEGORIA],reservafixaconsolidadojul[[#This Row],[ATUAL]])</f>
        <v>0</v>
      </c>
      <c r="T176" s="119" t="n">
        <f aca="false">SUMIFS(tabela_registros[VALOR],tabela_registros[MÊS],$AE$1,tabela_registros[DIA],reservafixaconsolidadojul[[#Headers],[16]],tabela_registros[REGISTRO],DADOS!$N$6,tabela_registros[TIPO],DADOS!$AJ$3,tabela_registros[CATEGORIA],reservafixaconsolidadojul[[#This Row],[ATUAL]])</f>
        <v>0</v>
      </c>
      <c r="U176" s="119" t="n">
        <f aca="false">SUMIFS(tabela_registros[VALOR],tabela_registros[MÊS],$AE$1,tabela_registros[DIA],reservafixaconsolidadojul[[#Headers],[17]],tabela_registros[REGISTRO],DADOS!$N$6,tabela_registros[TIPO],DADOS!$AJ$3,tabela_registros[CATEGORIA],reservafixaconsolidadojul[[#This Row],[ATUAL]])</f>
        <v>0</v>
      </c>
      <c r="V176" s="119" t="n">
        <f aca="false">SUMIFS(tabela_registros[VALOR],tabela_registros[MÊS],$AE$1,tabela_registros[DIA],reservafixaconsolidadojul[[#Headers],[18]],tabela_registros[REGISTRO],DADOS!$N$6,tabela_registros[TIPO],DADOS!$AJ$3,tabela_registros[CATEGORIA],reservafixaconsolidadojul[[#This Row],[ATUAL]])</f>
        <v>0</v>
      </c>
      <c r="W176" s="119" t="n">
        <f aca="false">SUMIFS(tabela_registros[VALOR],tabela_registros[MÊS],$AE$1,tabela_registros[DIA],reservafixaconsolidadojul[[#Headers],[19]],tabela_registros[REGISTRO],DADOS!$N$6,tabela_registros[TIPO],DADOS!$AJ$3,tabela_registros[CATEGORIA],reservafixaconsolidadojul[[#This Row],[ATUAL]])</f>
        <v>0</v>
      </c>
      <c r="X176" s="119" t="n">
        <f aca="false">SUMIFS(tabela_registros[VALOR],tabela_registros[MÊS],$AE$1,tabela_registros[DIA],reservafixaconsolidadojul[[#Headers],[20]],tabela_registros[REGISTRO],DADOS!$N$6,tabela_registros[TIPO],DADOS!$AJ$3,tabela_registros[CATEGORIA],reservafixaconsolidadojul[[#This Row],[ATUAL]])</f>
        <v>0</v>
      </c>
      <c r="Y176" s="119" t="n">
        <f aca="false">SUMIFS(tabela_registros[VALOR],tabela_registros[MÊS],$AE$1,tabela_registros[DIA],reservafixaconsolidadojul[[#Headers],[21]],tabela_registros[REGISTRO],DADOS!$N$6,tabela_registros[TIPO],DADOS!$AJ$3,tabela_registros[CATEGORIA],reservafixaconsolidadojul[[#This Row],[ATUAL]])</f>
        <v>0</v>
      </c>
      <c r="Z176" s="119" t="n">
        <f aca="false">SUMIFS(tabela_registros[VALOR],tabela_registros[MÊS],$AE$1,tabela_registros[DIA],reservafixaconsolidadojul[[#Headers],[22]],tabela_registros[REGISTRO],DADOS!$N$6,tabela_registros[TIPO],DADOS!$AJ$3,tabela_registros[CATEGORIA],reservafixaconsolidadojul[[#This Row],[ATUAL]])</f>
        <v>0</v>
      </c>
      <c r="AA176" s="119" t="n">
        <f aca="false">SUMIFS(tabela_registros[VALOR],tabela_registros[MÊS],$AE$1,tabela_registros[DIA],reservafixaconsolidadojul[[#Headers],[23]],tabela_registros[REGISTRO],DADOS!$N$6,tabela_registros[TIPO],DADOS!$AJ$3,tabela_registros[CATEGORIA],reservafixaconsolidadojul[[#This Row],[ATUAL]])</f>
        <v>0</v>
      </c>
      <c r="AB176" s="119" t="n">
        <f aca="false">SUMIFS(tabela_registros[VALOR],tabela_registros[MÊS],$AE$1,tabela_registros[DIA],reservafixaconsolidadojul[[#Headers],[24]],tabela_registros[REGISTRO],DADOS!$N$6,tabela_registros[TIPO],DADOS!$AJ$3,tabela_registros[CATEGORIA],reservafixaconsolidadojul[[#This Row],[ATUAL]])</f>
        <v>0</v>
      </c>
      <c r="AC176" s="119" t="n">
        <f aca="false">SUMIFS(tabela_registros[VALOR],tabela_registros[MÊS],$AE$1,tabela_registros[DIA],reservafixaconsolidadojul[[#Headers],[25]],tabela_registros[REGISTRO],DADOS!$N$6,tabela_registros[TIPO],DADOS!$AJ$3,tabela_registros[CATEGORIA],reservafixaconsolidadojul[[#This Row],[ATUAL]])</f>
        <v>0</v>
      </c>
      <c r="AD176" s="119" t="n">
        <f aca="false">SUMIFS(tabela_registros[VALOR],tabela_registros[MÊS],$AE$1,tabela_registros[DIA],reservafixaconsolidadojul[[#Headers],[26]],tabela_registros[REGISTRO],DADOS!$N$6,tabela_registros[TIPO],DADOS!$AJ$3,tabela_registros[CATEGORIA],reservafixaconsolidadojul[[#This Row],[ATUAL]])</f>
        <v>0</v>
      </c>
      <c r="AE176" s="119" t="n">
        <f aca="false">SUMIFS(tabela_registros[VALOR],tabela_registros[MÊS],$AE$1,tabela_registros[DIA],reservafixaconsolidadojul[[#Headers],[27]],tabela_registros[REGISTRO],DADOS!$N$6,tabela_registros[TIPO],DADOS!$AJ$3,tabela_registros[CATEGORIA],reservafixaconsolidadojul[[#This Row],[ATUAL]])</f>
        <v>0</v>
      </c>
      <c r="AF176" s="119" t="n">
        <f aca="false">SUMIFS(tabela_registros[VALOR],tabela_registros[MÊS],$AE$1,tabela_registros[DIA],reservafixaconsolidadojul[[#Headers],[28]],tabela_registros[REGISTRO],DADOS!$N$6,tabela_registros[TIPO],DADOS!$AJ$3,tabela_registros[CATEGORIA],reservafixaconsolidadojul[[#This Row],[ATUAL]])</f>
        <v>0</v>
      </c>
      <c r="AG176" s="119" t="n">
        <f aca="false">SUMIFS(tabela_registros[VALOR],tabela_registros[MÊS],$AE$1,tabela_registros[DIA],reservafixaconsolidadojul[[#Headers],[29]],tabela_registros[REGISTRO],DADOS!$N$6,tabela_registros[TIPO],DADOS!$AJ$3,tabela_registros[CATEGORIA],reservafixaconsolidadojul[[#This Row],[ATUAL]])</f>
        <v>0</v>
      </c>
      <c r="AH176" s="119" t="n">
        <f aca="false">SUMIFS(tabela_registros[VALOR],tabela_registros[MÊS],$AE$1,tabela_registros[DIA],reservafixaconsolidadojul[[#Headers],[30]],tabela_registros[REGISTRO],DADOS!$N$6,tabela_registros[TIPO],DADOS!$AJ$3,tabela_registros[CATEGORIA],reservafixaconsolidadojul[[#This Row],[ATUAL]])</f>
        <v>0</v>
      </c>
      <c r="AI176" s="217" t="n">
        <f aca="false">SUMIFS(tabela_registros[VALOR],tabela_registros[MÊS],$AE$1,tabela_registros[DIA],reservafixaconsolidadojul[[#Headers],[31]],tabela_registros[REGISTRO],DADOS!$N$6,tabela_registros[TIPO],DADOS!$AJ$3,tabela_registros[CATEGORIA],reservafixaconsolidadojul[[#This Row],[ATUAL]])</f>
        <v>0</v>
      </c>
      <c r="AJ176" s="149" t="n">
        <f aca="false">SUM(reservafixaconsolidadojul[[#This Row],[1]:[31]])</f>
        <v>0</v>
      </c>
      <c r="AK176" s="165"/>
    </row>
    <row r="177" customFormat="false" ht="19.5" hidden="false" customHeight="true" outlineLevel="0" collapsed="false">
      <c r="B177" s="143"/>
      <c r="C177" s="144" t="str">
        <f aca="false">DADOS!$AL$12</f>
        <v>📎 OUTROS</v>
      </c>
      <c r="D177" s="145" t="str">
        <f aca="false">IF(reservafixaconsolidadojul[[#This Row],[TOTAL (R$)]]=0,"",IF(OR(reservafixaconsolidadojul[[#This Row],[TOTAL (R$)]]=LARGE($AJ$168:$AJ$177,1),reservafixaconsolidadojul[[#This Row],[TOTAL (R$)]]=LARGE($AJ$168:$AJ$177,2)),DADOS!$I$11,""))</f>
        <v/>
      </c>
      <c r="E177" s="148" t="n">
        <f aca="false">SUMIFS(tabela_registros[VALOR],tabela_registros[MÊS],$AE$1,tabela_registros[DIA],reservafixaconsolidadojul[[#Headers],[1]],tabela_registros[REGISTRO],DADOS!$N$6,tabela_registros[TIPO],DADOS!$AJ$3,tabela_registros[CATEGORIA],reservafixaconsolidadojul[[#This Row],[ATUAL]])</f>
        <v>0</v>
      </c>
      <c r="F177" s="119" t="n">
        <f aca="false">SUMIFS(tabela_registros[VALOR],tabela_registros[MÊS],$AE$1,tabela_registros[DIA],reservafixaconsolidadojul[[#Headers],[2]],tabela_registros[REGISTRO],DADOS!$N$6,tabela_registros[TIPO],DADOS!$AJ$3,tabela_registros[CATEGORIA],reservafixaconsolidadojul[[#This Row],[ATUAL]])</f>
        <v>0</v>
      </c>
      <c r="G177" s="119" t="n">
        <f aca="false">SUMIFS(tabela_registros[VALOR],tabela_registros[MÊS],$AE$1,tabela_registros[DIA],reservafixaconsolidadojul[[#Headers],[3]],tabela_registros[REGISTRO],DADOS!$N$6,tabela_registros[TIPO],DADOS!$AJ$3,tabela_registros[CATEGORIA],reservafixaconsolidadojul[[#This Row],[ATUAL]])</f>
        <v>0</v>
      </c>
      <c r="H177" s="119" t="n">
        <f aca="false">SUMIFS(tabela_registros[VALOR],tabela_registros[MÊS],$AE$1,tabela_registros[DIA],reservafixaconsolidadojul[[#Headers],[4]],tabela_registros[REGISTRO],DADOS!$N$6,tabela_registros[TIPO],DADOS!$AJ$3,tabela_registros[CATEGORIA],reservafixaconsolidadojul[[#This Row],[ATUAL]])</f>
        <v>0</v>
      </c>
      <c r="I177" s="119" t="n">
        <f aca="false">SUMIFS(tabela_registros[VALOR],tabela_registros[MÊS],$AE$1,tabela_registros[DIA],reservafixaconsolidadojul[[#Headers],[5]],tabela_registros[REGISTRO],DADOS!$N$6,tabela_registros[TIPO],DADOS!$AJ$3,tabela_registros[CATEGORIA],reservafixaconsolidadojul[[#This Row],[ATUAL]])</f>
        <v>0</v>
      </c>
      <c r="J177" s="119" t="n">
        <f aca="false">SUMIFS(tabela_registros[VALOR],tabela_registros[MÊS],$AE$1,tabela_registros[DIA],reservafixaconsolidadojul[[#Headers],[6]],tabela_registros[REGISTRO],DADOS!$N$6,tabela_registros[TIPO],DADOS!$AJ$3,tabela_registros[CATEGORIA],reservafixaconsolidadojul[[#This Row],[ATUAL]])</f>
        <v>0</v>
      </c>
      <c r="K177" s="119" t="n">
        <f aca="false">SUMIFS(tabela_registros[VALOR],tabela_registros[MÊS],$AE$1,tabela_registros[DIA],reservafixaconsolidadojul[[#Headers],[7]],tabela_registros[REGISTRO],DADOS!$N$6,tabela_registros[TIPO],DADOS!$AJ$3,tabela_registros[CATEGORIA],reservafixaconsolidadojul[[#This Row],[ATUAL]])</f>
        <v>0</v>
      </c>
      <c r="L177" s="119" t="n">
        <f aca="false">SUMIFS(tabela_registros[VALOR],tabela_registros[MÊS],$AE$1,tabela_registros[DIA],reservafixaconsolidadojul[[#Headers],[8]],tabela_registros[REGISTRO],DADOS!$N$6,tabela_registros[TIPO],DADOS!$AJ$3,tabela_registros[CATEGORIA],reservafixaconsolidadojul[[#This Row],[ATUAL]])</f>
        <v>0</v>
      </c>
      <c r="M177" s="119" t="n">
        <f aca="false">SUMIFS(tabela_registros[VALOR],tabela_registros[MÊS],$AE$1,tabela_registros[DIA],reservafixaconsolidadojul[[#Headers],[9]],tabela_registros[REGISTRO],DADOS!$N$6,tabela_registros[TIPO],DADOS!$AJ$3,tabela_registros[CATEGORIA],reservafixaconsolidadojul[[#This Row],[ATUAL]])</f>
        <v>0</v>
      </c>
      <c r="N177" s="119" t="n">
        <f aca="false">SUMIFS(tabela_registros[VALOR],tabela_registros[MÊS],$AE$1,tabela_registros[DIA],reservafixaconsolidadojul[[#Headers],[10]],tabela_registros[REGISTRO],DADOS!$N$6,tabela_registros[TIPO],DADOS!$AJ$3,tabela_registros[CATEGORIA],reservafixaconsolidadojul[[#This Row],[ATUAL]])</f>
        <v>0</v>
      </c>
      <c r="O177" s="119" t="n">
        <f aca="false">SUMIFS(tabela_registros[VALOR],tabela_registros[MÊS],$AE$1,tabela_registros[DIA],reservafixaconsolidadojul[[#Headers],[11]],tabela_registros[REGISTRO],DADOS!$N$6,tabela_registros[TIPO],DADOS!$AJ$3,tabela_registros[CATEGORIA],reservafixaconsolidadojul[[#This Row],[ATUAL]])</f>
        <v>0</v>
      </c>
      <c r="P177" s="119" t="n">
        <f aca="false">SUMIFS(tabela_registros[VALOR],tabela_registros[MÊS],$AE$1,tabela_registros[DIA],reservafixaconsolidadojul[[#Headers],[12]],tabela_registros[REGISTRO],DADOS!$N$6,tabela_registros[TIPO],DADOS!$AJ$3,tabela_registros[CATEGORIA],reservafixaconsolidadojul[[#This Row],[ATUAL]])</f>
        <v>0</v>
      </c>
      <c r="Q177" s="119" t="n">
        <f aca="false">SUMIFS(tabela_registros[VALOR],tabela_registros[MÊS],$AE$1,tabela_registros[DIA],reservafixaconsolidadojul[[#Headers],[13]],tabela_registros[REGISTRO],DADOS!$N$6,tabela_registros[TIPO],DADOS!$AJ$3,tabela_registros[CATEGORIA],reservafixaconsolidadojul[[#This Row],[ATUAL]])</f>
        <v>0</v>
      </c>
      <c r="R177" s="119" t="n">
        <f aca="false">SUMIFS(tabela_registros[VALOR],tabela_registros[MÊS],$AE$1,tabela_registros[DIA],reservafixaconsolidadojul[[#Headers],[14]],tabela_registros[REGISTRO],DADOS!$N$6,tabela_registros[TIPO],DADOS!$AJ$3,tabela_registros[CATEGORIA],reservafixaconsolidadojul[[#This Row],[ATUAL]])</f>
        <v>0</v>
      </c>
      <c r="S177" s="119" t="n">
        <f aca="false">SUMIFS(tabela_registros[VALOR],tabela_registros[MÊS],$AE$1,tabela_registros[DIA],reservafixaconsolidadojul[[#Headers],[15]],tabela_registros[REGISTRO],DADOS!$N$6,tabela_registros[TIPO],DADOS!$AJ$3,tabela_registros[CATEGORIA],reservafixaconsolidadojul[[#This Row],[ATUAL]])</f>
        <v>0</v>
      </c>
      <c r="T177" s="119" t="n">
        <f aca="false">SUMIFS(tabela_registros[VALOR],tabela_registros[MÊS],$AE$1,tabela_registros[DIA],reservafixaconsolidadojul[[#Headers],[16]],tabela_registros[REGISTRO],DADOS!$N$6,tabela_registros[TIPO],DADOS!$AJ$3,tabela_registros[CATEGORIA],reservafixaconsolidadojul[[#This Row],[ATUAL]])</f>
        <v>0</v>
      </c>
      <c r="U177" s="119" t="n">
        <f aca="false">SUMIFS(tabela_registros[VALOR],tabela_registros[MÊS],$AE$1,tabela_registros[DIA],reservafixaconsolidadojul[[#Headers],[17]],tabela_registros[REGISTRO],DADOS!$N$6,tabela_registros[TIPO],DADOS!$AJ$3,tabela_registros[CATEGORIA],reservafixaconsolidadojul[[#This Row],[ATUAL]])</f>
        <v>0</v>
      </c>
      <c r="V177" s="119" t="n">
        <f aca="false">SUMIFS(tabela_registros[VALOR],tabela_registros[MÊS],$AE$1,tabela_registros[DIA],reservafixaconsolidadojul[[#Headers],[18]],tabela_registros[REGISTRO],DADOS!$N$6,tabela_registros[TIPO],DADOS!$AJ$3,tabela_registros[CATEGORIA],reservafixaconsolidadojul[[#This Row],[ATUAL]])</f>
        <v>0</v>
      </c>
      <c r="W177" s="119" t="n">
        <f aca="false">SUMIFS(tabela_registros[VALOR],tabela_registros[MÊS],$AE$1,tabela_registros[DIA],reservafixaconsolidadojul[[#Headers],[19]],tabela_registros[REGISTRO],DADOS!$N$6,tabela_registros[TIPO],DADOS!$AJ$3,tabela_registros[CATEGORIA],reservafixaconsolidadojul[[#This Row],[ATUAL]])</f>
        <v>0</v>
      </c>
      <c r="X177" s="119" t="n">
        <f aca="false">SUMIFS(tabela_registros[VALOR],tabela_registros[MÊS],$AE$1,tabela_registros[DIA],reservafixaconsolidadojul[[#Headers],[20]],tabela_registros[REGISTRO],DADOS!$N$6,tabela_registros[TIPO],DADOS!$AJ$3,tabela_registros[CATEGORIA],reservafixaconsolidadojul[[#This Row],[ATUAL]])</f>
        <v>0</v>
      </c>
      <c r="Y177" s="119" t="n">
        <f aca="false">SUMIFS(tabela_registros[VALOR],tabela_registros[MÊS],$AE$1,tabela_registros[DIA],reservafixaconsolidadojul[[#Headers],[21]],tabela_registros[REGISTRO],DADOS!$N$6,tabela_registros[TIPO],DADOS!$AJ$3,tabela_registros[CATEGORIA],reservafixaconsolidadojul[[#This Row],[ATUAL]])</f>
        <v>0</v>
      </c>
      <c r="Z177" s="119" t="n">
        <f aca="false">SUMIFS(tabela_registros[VALOR],tabela_registros[MÊS],$AE$1,tabela_registros[DIA],reservafixaconsolidadojul[[#Headers],[22]],tabela_registros[REGISTRO],DADOS!$N$6,tabela_registros[TIPO],DADOS!$AJ$3,tabela_registros[CATEGORIA],reservafixaconsolidadojul[[#This Row],[ATUAL]])</f>
        <v>0</v>
      </c>
      <c r="AA177" s="119" t="n">
        <f aca="false">SUMIFS(tabela_registros[VALOR],tabela_registros[MÊS],$AE$1,tabela_registros[DIA],reservafixaconsolidadojul[[#Headers],[23]],tabela_registros[REGISTRO],DADOS!$N$6,tabela_registros[TIPO],DADOS!$AJ$3,tabela_registros[CATEGORIA],reservafixaconsolidadojul[[#This Row],[ATUAL]])</f>
        <v>0</v>
      </c>
      <c r="AB177" s="119" t="n">
        <f aca="false">SUMIFS(tabela_registros[VALOR],tabela_registros[MÊS],$AE$1,tabela_registros[DIA],reservafixaconsolidadojul[[#Headers],[24]],tabela_registros[REGISTRO],DADOS!$N$6,tabela_registros[TIPO],DADOS!$AJ$3,tabela_registros[CATEGORIA],reservafixaconsolidadojul[[#This Row],[ATUAL]])</f>
        <v>0</v>
      </c>
      <c r="AC177" s="119" t="n">
        <f aca="false">SUMIFS(tabela_registros[VALOR],tabela_registros[MÊS],$AE$1,tabela_registros[DIA],reservafixaconsolidadojul[[#Headers],[25]],tabela_registros[REGISTRO],DADOS!$N$6,tabela_registros[TIPO],DADOS!$AJ$3,tabela_registros[CATEGORIA],reservafixaconsolidadojul[[#This Row],[ATUAL]])</f>
        <v>0</v>
      </c>
      <c r="AD177" s="119" t="n">
        <f aca="false">SUMIFS(tabela_registros[VALOR],tabela_registros[MÊS],$AE$1,tabela_registros[DIA],reservafixaconsolidadojul[[#Headers],[26]],tabela_registros[REGISTRO],DADOS!$N$6,tabela_registros[TIPO],DADOS!$AJ$3,tabela_registros[CATEGORIA],reservafixaconsolidadojul[[#This Row],[ATUAL]])</f>
        <v>0</v>
      </c>
      <c r="AE177" s="119" t="n">
        <f aca="false">SUMIFS(tabela_registros[VALOR],tabela_registros[MÊS],$AE$1,tabela_registros[DIA],reservafixaconsolidadojul[[#Headers],[27]],tabela_registros[REGISTRO],DADOS!$N$6,tabela_registros[TIPO],DADOS!$AJ$3,tabela_registros[CATEGORIA],reservafixaconsolidadojul[[#This Row],[ATUAL]])</f>
        <v>0</v>
      </c>
      <c r="AF177" s="119" t="n">
        <f aca="false">SUMIFS(tabela_registros[VALOR],tabela_registros[MÊS],$AE$1,tabela_registros[DIA],reservafixaconsolidadojul[[#Headers],[28]],tabela_registros[REGISTRO],DADOS!$N$6,tabela_registros[TIPO],DADOS!$AJ$3,tabela_registros[CATEGORIA],reservafixaconsolidadojul[[#This Row],[ATUAL]])</f>
        <v>0</v>
      </c>
      <c r="AG177" s="119" t="n">
        <f aca="false">SUMIFS(tabela_registros[VALOR],tabela_registros[MÊS],$AE$1,tabela_registros[DIA],reservafixaconsolidadojul[[#Headers],[29]],tabela_registros[REGISTRO],DADOS!$N$6,tabela_registros[TIPO],DADOS!$AJ$3,tabela_registros[CATEGORIA],reservafixaconsolidadojul[[#This Row],[ATUAL]])</f>
        <v>0</v>
      </c>
      <c r="AH177" s="119" t="n">
        <f aca="false">SUMIFS(tabela_registros[VALOR],tabela_registros[MÊS],$AE$1,tabela_registros[DIA],reservafixaconsolidadojul[[#Headers],[30]],tabela_registros[REGISTRO],DADOS!$N$6,tabela_registros[TIPO],DADOS!$AJ$3,tabela_registros[CATEGORIA],reservafixaconsolidadojul[[#This Row],[ATUAL]])</f>
        <v>0</v>
      </c>
      <c r="AI177" s="218" t="n">
        <f aca="false">SUMIFS(tabela_registros[VALOR],tabela_registros[MÊS],$AE$1,tabela_registros[DIA],reservafixaconsolidadojul[[#Headers],[31]],tabela_registros[REGISTRO],DADOS!$N$6,tabela_registros[TIPO],DADOS!$AJ$3,tabela_registros[CATEGORIA],reservafixaconsolidadojul[[#This Row],[ATUAL]])</f>
        <v>0</v>
      </c>
      <c r="AJ177" s="149" t="n">
        <f aca="false">SUM(reservafixaconsolidadojul[[#This Row],[1]:[31]])</f>
        <v>0</v>
      </c>
      <c r="AK177" s="165"/>
    </row>
    <row r="178" s="122" customFormat="true" ht="21" hidden="false" customHeight="true" outlineLevel="0" collapsed="false">
      <c r="B178" s="152"/>
      <c r="C178" s="153" t="s">
        <v>2</v>
      </c>
      <c r="D178" s="166"/>
      <c r="E178" s="155" t="n">
        <f aca="false">SUM(E168:E177)</f>
        <v>0</v>
      </c>
      <c r="F178" s="156" t="n">
        <f aca="false">SUM(F168:F177)+reservafixaconsolidadojul[[#This Row],[1]]</f>
        <v>0</v>
      </c>
      <c r="G178" s="156" t="n">
        <f aca="false">SUM(G168:G177)+reservafixaconsolidadojul[[#This Row],[2]]</f>
        <v>0</v>
      </c>
      <c r="H178" s="156" t="n">
        <f aca="false">SUM(H168:H177)+reservafixaconsolidadojul[[#This Row],[3]]</f>
        <v>0</v>
      </c>
      <c r="I178" s="156" t="n">
        <f aca="false">SUM(I168:I177)+reservafixaconsolidadojul[[#This Row],[4]]</f>
        <v>0</v>
      </c>
      <c r="J178" s="156" t="n">
        <f aca="false">SUM(J168:J177)+reservafixaconsolidadojul[[#This Row],[5]]</f>
        <v>0</v>
      </c>
      <c r="K178" s="156" t="n">
        <f aca="false">SUM(K168:K177)+reservafixaconsolidadojul[[#This Row],[6]]</f>
        <v>0</v>
      </c>
      <c r="L178" s="156" t="n">
        <f aca="false">SUM(L168:L177)+reservafixaconsolidadojul[[#This Row],[7]]</f>
        <v>0</v>
      </c>
      <c r="M178" s="156" t="n">
        <f aca="false">SUM(M168:M177)+reservafixaconsolidadojul[[#This Row],[8]]</f>
        <v>0</v>
      </c>
      <c r="N178" s="156" t="n">
        <f aca="false">SUM(N168:N177)+reservafixaconsolidadojul[[#This Row],[9]]</f>
        <v>0</v>
      </c>
      <c r="O178" s="156" t="n">
        <f aca="false">SUM(O168:O177)+reservafixaconsolidadojul[[#This Row],[10]]</f>
        <v>0</v>
      </c>
      <c r="P178" s="156" t="n">
        <f aca="false">SUM(P168:P177)+reservafixaconsolidadojul[[#This Row],[11]]</f>
        <v>0</v>
      </c>
      <c r="Q178" s="156" t="n">
        <f aca="false">SUM(Q168:Q177)+reservafixaconsolidadojul[[#This Row],[12]]</f>
        <v>0</v>
      </c>
      <c r="R178" s="156" t="n">
        <f aca="false">SUM(R168:R177)+reservafixaconsolidadojul[[#This Row],[13]]</f>
        <v>0</v>
      </c>
      <c r="S178" s="156" t="n">
        <f aca="false">SUM(S168:S177)+reservafixaconsolidadojul[[#This Row],[14]]</f>
        <v>0</v>
      </c>
      <c r="T178" s="156" t="n">
        <f aca="false">SUM(T168:T177)+reservafixaconsolidadojul[[#This Row],[15]]</f>
        <v>0</v>
      </c>
      <c r="U178" s="156" t="n">
        <f aca="false">SUM(U168:U177)+reservafixaconsolidadojul[[#This Row],[16]]</f>
        <v>0</v>
      </c>
      <c r="V178" s="156" t="n">
        <f aca="false">SUM(V168:V177)+reservafixaconsolidadojul[[#This Row],[17]]</f>
        <v>0</v>
      </c>
      <c r="W178" s="156" t="n">
        <f aca="false">SUM(W168:W177)+reservafixaconsolidadojul[[#This Row],[18]]</f>
        <v>0</v>
      </c>
      <c r="X178" s="156" t="n">
        <f aca="false">SUM(X168:X177)+reservafixaconsolidadojul[[#This Row],[19]]</f>
        <v>0</v>
      </c>
      <c r="Y178" s="156" t="n">
        <f aca="false">SUM(Y168:Y177)+reservafixaconsolidadojul[[#This Row],[20]]</f>
        <v>0</v>
      </c>
      <c r="Z178" s="156" t="n">
        <f aca="false">SUM(Z168:Z177)+reservafixaconsolidadojul[[#This Row],[21]]</f>
        <v>0</v>
      </c>
      <c r="AA178" s="156" t="n">
        <f aca="false">SUM(AA168:AA177)+reservafixaconsolidadojul[[#This Row],[22]]</f>
        <v>0</v>
      </c>
      <c r="AB178" s="156" t="n">
        <f aca="false">SUM(AB168:AB177)+reservafixaconsolidadojul[[#This Row],[23]]</f>
        <v>0</v>
      </c>
      <c r="AC178" s="156" t="n">
        <f aca="false">SUM(AC168:AC177)+reservafixaconsolidadojul[[#This Row],[24]]</f>
        <v>0</v>
      </c>
      <c r="AD178" s="156" t="n">
        <f aca="false">SUM(AD168:AD177)+reservafixaconsolidadojul[[#This Row],[25]]</f>
        <v>0</v>
      </c>
      <c r="AE178" s="156" t="n">
        <f aca="false">SUM(AE168:AE177)+reservafixaconsolidadojul[[#This Row],[26]]</f>
        <v>0</v>
      </c>
      <c r="AF178" s="156" t="n">
        <f aca="false">SUM(AF168:AF177)+reservafixaconsolidadojul[[#This Row],[27]]</f>
        <v>0</v>
      </c>
      <c r="AG178" s="156" t="n">
        <f aca="false">SUM(AG168:AG177)+reservafixaconsolidadojul[[#This Row],[28]]</f>
        <v>0</v>
      </c>
      <c r="AH178" s="156" t="n">
        <f aca="false">SUM(AH168:AH177)+reservafixaconsolidadojul[[#This Row],[29]]</f>
        <v>0</v>
      </c>
      <c r="AI178" s="223" t="n">
        <f aca="false">SUM(AI168:AI177)+reservafixaconsolidadojul[[#This Row],[30]]</f>
        <v>0</v>
      </c>
      <c r="AJ178" s="157" t="n">
        <f aca="false">reservafixaconsolidadojul[[#This Row],[31]]</f>
        <v>0</v>
      </c>
      <c r="AK178" s="158"/>
    </row>
    <row r="179" customFormat="false" ht="6.75" hidden="false" customHeight="true" outlineLevel="0" collapsed="false">
      <c r="B179" s="97"/>
      <c r="C179" s="162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233"/>
      <c r="AJ179" s="164"/>
      <c r="AK179" s="244"/>
    </row>
    <row r="180" s="78" customFormat="true" ht="12.75" hidden="false" customHeight="false" outlineLevel="0" collapsed="false">
      <c r="E180" s="100"/>
    </row>
    <row r="181" s="78" customFormat="true" ht="12" hidden="false" customHeight="false" outlineLevel="0" collapsed="false"/>
    <row r="182" s="78" customFormat="true" ht="12" hidden="false" customHeight="false" outlineLevel="0" collapsed="false"/>
    <row r="183" customFormat="false" ht="39.75" hidden="false" customHeight="true" outlineLevel="0" collapsed="false">
      <c r="C183" s="101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3" t="s">
        <v>2</v>
      </c>
    </row>
    <row r="184" s="78" customFormat="true" ht="12.75" hidden="false" customHeight="false" outlineLevel="0" collapsed="false">
      <c r="B184" s="161"/>
      <c r="AJ184" s="106" t="s">
        <v>64</v>
      </c>
    </row>
    <row r="185" customFormat="false" ht="6.75" hidden="false" customHeight="true" outlineLevel="0" collapsed="false">
      <c r="B185" s="86"/>
      <c r="C185" s="162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233"/>
      <c r="AK185" s="139"/>
    </row>
    <row r="186" customFormat="false" ht="13.5" hidden="true" customHeight="false" outlineLevel="0" collapsed="false">
      <c r="B186" s="86"/>
      <c r="C186" s="109" t="s">
        <v>68</v>
      </c>
      <c r="D186" s="110" t="s">
        <v>69</v>
      </c>
      <c r="E186" s="110" t="s">
        <v>30</v>
      </c>
      <c r="F186" s="110" t="s">
        <v>31</v>
      </c>
      <c r="G186" s="110" t="s">
        <v>32</v>
      </c>
      <c r="H186" s="110" t="s">
        <v>33</v>
      </c>
      <c r="I186" s="110" t="s">
        <v>34</v>
      </c>
      <c r="J186" s="110" t="s">
        <v>35</v>
      </c>
      <c r="K186" s="110" t="s">
        <v>36</v>
      </c>
      <c r="L186" s="110" t="s">
        <v>37</v>
      </c>
      <c r="M186" s="110" t="s">
        <v>38</v>
      </c>
      <c r="N186" s="110" t="s">
        <v>39</v>
      </c>
      <c r="O186" s="110" t="s">
        <v>40</v>
      </c>
      <c r="P186" s="110" t="s">
        <v>41</v>
      </c>
      <c r="Q186" s="110" t="s">
        <v>81</v>
      </c>
      <c r="R186" s="110" t="s">
        <v>82</v>
      </c>
      <c r="S186" s="110" t="s">
        <v>83</v>
      </c>
      <c r="T186" s="110" t="s">
        <v>84</v>
      </c>
      <c r="U186" s="110" t="s">
        <v>85</v>
      </c>
      <c r="V186" s="110" t="s">
        <v>86</v>
      </c>
      <c r="W186" s="110" t="s">
        <v>87</v>
      </c>
      <c r="X186" s="110" t="s">
        <v>88</v>
      </c>
      <c r="Y186" s="110" t="s">
        <v>89</v>
      </c>
      <c r="Z186" s="110" t="s">
        <v>90</v>
      </c>
      <c r="AA186" s="110" t="s">
        <v>91</v>
      </c>
      <c r="AB186" s="110" t="s">
        <v>92</v>
      </c>
      <c r="AC186" s="110" t="s">
        <v>93</v>
      </c>
      <c r="AD186" s="110" t="s">
        <v>94</v>
      </c>
      <c r="AE186" s="110" t="s">
        <v>95</v>
      </c>
      <c r="AF186" s="110" t="s">
        <v>96</v>
      </c>
      <c r="AG186" s="110" t="s">
        <v>97</v>
      </c>
      <c r="AH186" s="110" t="s">
        <v>98</v>
      </c>
      <c r="AI186" s="110" t="s">
        <v>99</v>
      </c>
      <c r="AJ186" s="111" t="s">
        <v>70</v>
      </c>
      <c r="AK186" s="86"/>
    </row>
    <row r="187" customFormat="false" ht="19.5" hidden="false" customHeight="true" outlineLevel="0" collapsed="false">
      <c r="B187" s="143"/>
      <c r="C187" s="144" t="str">
        <f aca="false">DADOS!$AN$3</f>
        <v>📝 AÇÃO</v>
      </c>
      <c r="D187" s="145" t="str">
        <f aca="false">IF(reservavariáveisconsolidadojul[[#This Row],[TOTAL (R$)]]=0,"",IF(OR(reservavariáveisconsolidadojul[[#This Row],[TOTAL (R$)]]=LARGE($AJ$187:$AJ$196,1),reservavariáveisconsolidadojul[[#This Row],[TOTAL (R$)]]=LARGE($AJ$187:$AJ$196,2)),DADOS!$I$11,""))</f>
        <v/>
      </c>
      <c r="E187" s="148" t="n">
        <f aca="false">SUMIFS(tabela_registros[VALOR],tabela_registros[MÊS],$AE$1,tabela_registros[DIA],reservavariáveisconsolidadojul[[#Headers],[1]],tabela_registros[REGISTRO],DADOS!$N$6,tabela_registros[TIPO],DADOS!$AJ$4,tabela_registros[CATEGORIA],reservavariáveisconsolidadojul[[#This Row],[ATUAL]])</f>
        <v>0</v>
      </c>
      <c r="F187" s="119" t="n">
        <f aca="false">SUMIFS(tabela_registros[VALOR],tabela_registros[MÊS],$AE$1,tabela_registros[DIA],reservavariáveisconsolidadojul[[#Headers],[2]],tabela_registros[REGISTRO],DADOS!$N$6,tabela_registros[TIPO],DADOS!$AJ$4,tabela_registros[CATEGORIA],reservavariáveisconsolidadojul[[#This Row],[ATUAL]])</f>
        <v>0</v>
      </c>
      <c r="G187" s="119" t="n">
        <f aca="false">SUMIFS(tabela_registros[VALOR],tabela_registros[MÊS],$AE$1,tabela_registros[DIA],reservavariáveisconsolidadojul[[#Headers],[3]],tabela_registros[REGISTRO],DADOS!$N$6,tabela_registros[TIPO],DADOS!$AJ$4,tabela_registros[CATEGORIA],reservavariáveisconsolidadojul[[#This Row],[ATUAL]])</f>
        <v>0</v>
      </c>
      <c r="H187" s="119" t="n">
        <f aca="false">SUMIFS(tabela_registros[VALOR],tabela_registros[MÊS],$AE$1,tabela_registros[DIA],reservavariáveisconsolidadojul[[#Headers],[4]],tabela_registros[REGISTRO],DADOS!$N$6,tabela_registros[TIPO],DADOS!$AJ$4,tabela_registros[CATEGORIA],reservavariáveisconsolidadojul[[#This Row],[ATUAL]])</f>
        <v>0</v>
      </c>
      <c r="I187" s="119" t="n">
        <f aca="false">SUMIFS(tabela_registros[VALOR],tabela_registros[MÊS],$AE$1,tabela_registros[DIA],reservavariáveisconsolidadojul[[#Headers],[5]],tabela_registros[REGISTRO],DADOS!$N$6,tabela_registros[TIPO],DADOS!$AJ$4,tabela_registros[CATEGORIA],reservavariáveisconsolidadojul[[#This Row],[ATUAL]])</f>
        <v>0</v>
      </c>
      <c r="J187" s="119" t="n">
        <f aca="false">SUMIFS(tabela_registros[VALOR],tabela_registros[MÊS],$AE$1,tabela_registros[DIA],reservavariáveisconsolidadojul[[#Headers],[6]],tabela_registros[REGISTRO],DADOS!$N$6,tabela_registros[TIPO],DADOS!$AJ$4,tabela_registros[CATEGORIA],reservavariáveisconsolidadojul[[#This Row],[ATUAL]])</f>
        <v>0</v>
      </c>
      <c r="K187" s="119" t="n">
        <f aca="false">SUMIFS(tabela_registros[VALOR],tabela_registros[MÊS],$AE$1,tabela_registros[DIA],reservavariáveisconsolidadojul[[#Headers],[7]],tabela_registros[REGISTRO],DADOS!$N$6,tabela_registros[TIPO],DADOS!$AJ$4,tabela_registros[CATEGORIA],reservavariáveisconsolidadojul[[#This Row],[ATUAL]])</f>
        <v>0</v>
      </c>
      <c r="L187" s="119" t="n">
        <f aca="false">SUMIFS(tabela_registros[VALOR],tabela_registros[MÊS],$AE$1,tabela_registros[DIA],reservavariáveisconsolidadojul[[#Headers],[8]],tabela_registros[REGISTRO],DADOS!$N$6,tabela_registros[TIPO],DADOS!$AJ$4,tabela_registros[CATEGORIA],reservavariáveisconsolidadojul[[#This Row],[ATUAL]])</f>
        <v>0</v>
      </c>
      <c r="M187" s="119" t="n">
        <f aca="false">SUMIFS(tabela_registros[VALOR],tabela_registros[MÊS],$AE$1,tabela_registros[DIA],reservavariáveisconsolidadojul[[#Headers],[9]],tabela_registros[REGISTRO],DADOS!$N$6,tabela_registros[TIPO],DADOS!$AJ$4,tabela_registros[CATEGORIA],reservavariáveisconsolidadojul[[#This Row],[ATUAL]])</f>
        <v>0</v>
      </c>
      <c r="N187" s="119" t="n">
        <f aca="false">SUMIFS(tabela_registros[VALOR],tabela_registros[MÊS],$AE$1,tabela_registros[DIA],reservavariáveisconsolidadojul[[#Headers],[10]],tabela_registros[REGISTRO],DADOS!$N$6,tabela_registros[TIPO],DADOS!$AJ$4,tabela_registros[CATEGORIA],reservavariáveisconsolidadojul[[#This Row],[ATUAL]])</f>
        <v>0</v>
      </c>
      <c r="O187" s="119" t="n">
        <f aca="false">SUMIFS(tabela_registros[VALOR],tabela_registros[MÊS],$AE$1,tabela_registros[DIA],reservavariáveisconsolidadojul[[#Headers],[11]],tabela_registros[REGISTRO],DADOS!$N$6,tabela_registros[TIPO],DADOS!$AJ$4,tabela_registros[CATEGORIA],reservavariáveisconsolidadojul[[#This Row],[ATUAL]])</f>
        <v>0</v>
      </c>
      <c r="P187" s="119" t="n">
        <f aca="false">SUMIFS(tabela_registros[VALOR],tabela_registros[MÊS],$AE$1,tabela_registros[DIA],reservavariáveisconsolidadojul[[#Headers],[12]],tabela_registros[REGISTRO],DADOS!$N$6,tabela_registros[TIPO],DADOS!$AJ$4,tabela_registros[CATEGORIA],reservavariáveisconsolidadojul[[#This Row],[ATUAL]])</f>
        <v>0</v>
      </c>
      <c r="Q187" s="119" t="n">
        <f aca="false">SUMIFS(tabela_registros[VALOR],tabela_registros[MÊS],$AE$1,tabela_registros[DIA],reservavariáveisconsolidadojul[[#Headers],[13]],tabela_registros[REGISTRO],DADOS!$N$6,tabela_registros[TIPO],DADOS!$AJ$4,tabela_registros[CATEGORIA],reservavariáveisconsolidadojul[[#This Row],[ATUAL]])</f>
        <v>0</v>
      </c>
      <c r="R187" s="119" t="n">
        <f aca="false">SUMIFS(tabela_registros[VALOR],tabela_registros[MÊS],$AE$1,tabela_registros[DIA],reservavariáveisconsolidadojul[[#Headers],[14]],tabela_registros[REGISTRO],DADOS!$N$6,tabela_registros[TIPO],DADOS!$AJ$4,tabela_registros[CATEGORIA],reservavariáveisconsolidadojul[[#This Row],[ATUAL]])</f>
        <v>0</v>
      </c>
      <c r="S187" s="119" t="n">
        <f aca="false">SUMIFS(tabela_registros[VALOR],tabela_registros[MÊS],$AE$1,tabela_registros[DIA],reservavariáveisconsolidadojul[[#Headers],[15]],tabela_registros[REGISTRO],DADOS!$N$6,tabela_registros[TIPO],DADOS!$AJ$4,tabela_registros[CATEGORIA],reservavariáveisconsolidadojul[[#This Row],[ATUAL]])</f>
        <v>0</v>
      </c>
      <c r="T187" s="119" t="n">
        <f aca="false">SUMIFS(tabela_registros[VALOR],tabela_registros[MÊS],$AE$1,tabela_registros[DIA],reservavariáveisconsolidadojul[[#Headers],[16]],tabela_registros[REGISTRO],DADOS!$N$6,tabela_registros[TIPO],DADOS!$AJ$4,tabela_registros[CATEGORIA],reservavariáveisconsolidadojul[[#This Row],[ATUAL]])</f>
        <v>0</v>
      </c>
      <c r="U187" s="119" t="n">
        <f aca="false">SUMIFS(tabela_registros[VALOR],tabela_registros[MÊS],$AE$1,tabela_registros[DIA],reservavariáveisconsolidadojul[[#Headers],[17]],tabela_registros[REGISTRO],DADOS!$N$6,tabela_registros[TIPO],DADOS!$AJ$4,tabela_registros[CATEGORIA],reservavariáveisconsolidadojul[[#This Row],[ATUAL]])</f>
        <v>0</v>
      </c>
      <c r="V187" s="119" t="n">
        <f aca="false">SUMIFS(tabela_registros[VALOR],tabela_registros[MÊS],$AE$1,tabela_registros[DIA],reservavariáveisconsolidadojul[[#Headers],[18]],tabela_registros[REGISTRO],DADOS!$N$6,tabela_registros[TIPO],DADOS!$AJ$4,tabela_registros[CATEGORIA],reservavariáveisconsolidadojul[[#This Row],[ATUAL]])</f>
        <v>0</v>
      </c>
      <c r="W187" s="119" t="n">
        <f aca="false">SUMIFS(tabela_registros[VALOR],tabela_registros[MÊS],$AE$1,tabela_registros[DIA],reservavariáveisconsolidadojul[[#Headers],[19]],tabela_registros[REGISTRO],DADOS!$N$6,tabela_registros[TIPO],DADOS!$AJ$4,tabela_registros[CATEGORIA],reservavariáveisconsolidadojul[[#This Row],[ATUAL]])</f>
        <v>0</v>
      </c>
      <c r="X187" s="119" t="n">
        <f aca="false">SUMIFS(tabela_registros[VALOR],tabela_registros[MÊS],$AE$1,tabela_registros[DIA],reservavariáveisconsolidadojul[[#Headers],[20]],tabela_registros[REGISTRO],DADOS!$N$6,tabela_registros[TIPO],DADOS!$AJ$4,tabela_registros[CATEGORIA],reservavariáveisconsolidadojul[[#This Row],[ATUAL]])</f>
        <v>0</v>
      </c>
      <c r="Y187" s="119" t="n">
        <f aca="false">SUMIFS(tabela_registros[VALOR],tabela_registros[MÊS],$AE$1,tabela_registros[DIA],reservavariáveisconsolidadojul[[#Headers],[21]],tabela_registros[REGISTRO],DADOS!$N$6,tabela_registros[TIPO],DADOS!$AJ$4,tabela_registros[CATEGORIA],reservavariáveisconsolidadojul[[#This Row],[ATUAL]])</f>
        <v>0</v>
      </c>
      <c r="Z187" s="119" t="n">
        <f aca="false">SUMIFS(tabela_registros[VALOR],tabela_registros[MÊS],$AE$1,tabela_registros[DIA],reservavariáveisconsolidadojul[[#Headers],[22]],tabela_registros[REGISTRO],DADOS!$N$6,tabela_registros[TIPO],DADOS!$AJ$4,tabela_registros[CATEGORIA],reservavariáveisconsolidadojul[[#This Row],[ATUAL]])</f>
        <v>0</v>
      </c>
      <c r="AA187" s="119" t="n">
        <f aca="false">SUMIFS(tabela_registros[VALOR],tabela_registros[MÊS],$AE$1,tabela_registros[DIA],reservavariáveisconsolidadojul[[#Headers],[23]],tabela_registros[REGISTRO],DADOS!$N$6,tabela_registros[TIPO],DADOS!$AJ$4,tabela_registros[CATEGORIA],reservavariáveisconsolidadojul[[#This Row],[ATUAL]])</f>
        <v>0</v>
      </c>
      <c r="AB187" s="119" t="n">
        <f aca="false">SUMIFS(tabela_registros[VALOR],tabela_registros[MÊS],$AE$1,tabela_registros[DIA],reservavariáveisconsolidadojul[[#Headers],[24]],tabela_registros[REGISTRO],DADOS!$N$6,tabela_registros[TIPO],DADOS!$AJ$4,tabela_registros[CATEGORIA],reservavariáveisconsolidadojul[[#This Row],[ATUAL]])</f>
        <v>0</v>
      </c>
      <c r="AC187" s="119" t="n">
        <f aca="false">SUMIFS(tabela_registros[VALOR],tabela_registros[MÊS],$AE$1,tabela_registros[DIA],reservavariáveisconsolidadojul[[#Headers],[25]],tabela_registros[REGISTRO],DADOS!$N$6,tabela_registros[TIPO],DADOS!$AJ$4,tabela_registros[CATEGORIA],reservavariáveisconsolidadojul[[#This Row],[ATUAL]])</f>
        <v>0</v>
      </c>
      <c r="AD187" s="119" t="n">
        <f aca="false">SUMIFS(tabela_registros[VALOR],tabela_registros[MÊS],$AE$1,tabela_registros[DIA],reservavariáveisconsolidadojul[[#Headers],[26]],tabela_registros[REGISTRO],DADOS!$N$6,tabela_registros[TIPO],DADOS!$AJ$4,tabela_registros[CATEGORIA],reservavariáveisconsolidadojul[[#This Row],[ATUAL]])</f>
        <v>0</v>
      </c>
      <c r="AE187" s="119" t="n">
        <f aca="false">SUMIFS(tabela_registros[VALOR],tabela_registros[MÊS],$AE$1,tabela_registros[DIA],reservavariáveisconsolidadojul[[#Headers],[27]],tabela_registros[REGISTRO],DADOS!$N$6,tabela_registros[TIPO],DADOS!$AJ$4,tabela_registros[CATEGORIA],reservavariáveisconsolidadojul[[#This Row],[ATUAL]])</f>
        <v>0</v>
      </c>
      <c r="AF187" s="119" t="n">
        <f aca="false">SUMIFS(tabela_registros[VALOR],tabela_registros[MÊS],$AE$1,tabela_registros[DIA],reservavariáveisconsolidadojul[[#Headers],[28]],tabela_registros[REGISTRO],DADOS!$N$6,tabela_registros[TIPO],DADOS!$AJ$4,tabela_registros[CATEGORIA],reservavariáveisconsolidadojul[[#This Row],[ATUAL]])</f>
        <v>0</v>
      </c>
      <c r="AG187" s="119" t="n">
        <f aca="false">SUMIFS(tabela_registros[VALOR],tabela_registros[MÊS],$AE$1,tabela_registros[DIA],reservavariáveisconsolidadojul[[#Headers],[29]],tabela_registros[REGISTRO],DADOS!$N$6,tabela_registros[TIPO],DADOS!$AJ$4,tabela_registros[CATEGORIA],reservavariáveisconsolidadojul[[#This Row],[ATUAL]])</f>
        <v>0</v>
      </c>
      <c r="AH187" s="119" t="n">
        <f aca="false">SUMIFS(tabela_registros[VALOR],tabela_registros[MÊS],$AE$1,tabela_registros[DIA],reservavariáveisconsolidadojul[[#Headers],[30]],tabela_registros[REGISTRO],DADOS!$N$6,tabela_registros[TIPO],DADOS!$AJ$4,tabela_registros[CATEGORIA],reservavariáveisconsolidadojul[[#This Row],[ATUAL]])</f>
        <v>0</v>
      </c>
      <c r="AI187" s="217" t="n">
        <f aca="false">SUMIFS(tabela_registros[VALOR],tabela_registros[MÊS],$AE$1,tabela_registros[DIA],reservavariáveisconsolidadojul[[#Headers],[31]],tabela_registros[REGISTRO],DADOS!$N$6,tabela_registros[TIPO],DADOS!$AJ$4,tabela_registros[CATEGORIA],reservavariáveisconsolidadojul[[#This Row],[ATUAL]])</f>
        <v>0</v>
      </c>
      <c r="AJ187" s="149" t="n">
        <f aca="false">SUM(reservavariáveisconsolidadojul[[#This Row],[1]:[31]])</f>
        <v>0</v>
      </c>
      <c r="AK187" s="165"/>
    </row>
    <row r="188" customFormat="false" ht="19.5" hidden="false" customHeight="true" outlineLevel="0" collapsed="false">
      <c r="B188" s="143"/>
      <c r="C188" s="144" t="str">
        <f aca="false">DADOS!$AN$4</f>
        <v>📝 COMÓDITE</v>
      </c>
      <c r="D188" s="145" t="str">
        <f aca="false">IF(reservavariáveisconsolidadojul[[#This Row],[TOTAL (R$)]]=0,"",IF(OR(reservavariáveisconsolidadojul[[#This Row],[TOTAL (R$)]]=LARGE($AJ$187:$AJ$196,1),reservavariáveisconsolidadojul[[#This Row],[TOTAL (R$)]]=LARGE($AJ$187:$AJ$196,2)),DADOS!$I$11,""))</f>
        <v/>
      </c>
      <c r="E188" s="148" t="n">
        <f aca="false">SUMIFS(tabela_registros[VALOR],tabela_registros[MÊS],$AE$1,tabela_registros[DIA],reservavariáveisconsolidadojul[[#Headers],[1]],tabela_registros[REGISTRO],DADOS!$N$6,tabela_registros[TIPO],DADOS!$AJ$4,tabela_registros[CATEGORIA],reservavariáveisconsolidadojul[[#This Row],[ATUAL]])</f>
        <v>0</v>
      </c>
      <c r="F188" s="119" t="n">
        <f aca="false">SUMIFS(tabela_registros[VALOR],tabela_registros[MÊS],$AE$1,tabela_registros[DIA],reservavariáveisconsolidadojul[[#Headers],[2]],tabela_registros[REGISTRO],DADOS!$N$6,tabela_registros[TIPO],DADOS!$AJ$4,tabela_registros[CATEGORIA],reservavariáveisconsolidadojul[[#This Row],[ATUAL]])</f>
        <v>0</v>
      </c>
      <c r="G188" s="119" t="n">
        <f aca="false">SUMIFS(tabela_registros[VALOR],tabela_registros[MÊS],$AE$1,tabela_registros[DIA],reservavariáveisconsolidadojul[[#Headers],[3]],tabela_registros[REGISTRO],DADOS!$N$6,tabela_registros[TIPO],DADOS!$AJ$4,tabela_registros[CATEGORIA],reservavariáveisconsolidadojul[[#This Row],[ATUAL]])</f>
        <v>0</v>
      </c>
      <c r="H188" s="119" t="n">
        <f aca="false">SUMIFS(tabela_registros[VALOR],tabela_registros[MÊS],$AE$1,tabela_registros[DIA],reservavariáveisconsolidadojul[[#Headers],[4]],tabela_registros[REGISTRO],DADOS!$N$6,tabela_registros[TIPO],DADOS!$AJ$4,tabela_registros[CATEGORIA],reservavariáveisconsolidadojul[[#This Row],[ATUAL]])</f>
        <v>0</v>
      </c>
      <c r="I188" s="119" t="n">
        <f aca="false">SUMIFS(tabela_registros[VALOR],tabela_registros[MÊS],$AE$1,tabela_registros[DIA],reservavariáveisconsolidadojul[[#Headers],[5]],tabela_registros[REGISTRO],DADOS!$N$6,tabela_registros[TIPO],DADOS!$AJ$4,tabela_registros[CATEGORIA],reservavariáveisconsolidadojul[[#This Row],[ATUAL]])</f>
        <v>0</v>
      </c>
      <c r="J188" s="119" t="n">
        <f aca="false">SUMIFS(tabela_registros[VALOR],tabela_registros[MÊS],$AE$1,tabela_registros[DIA],reservavariáveisconsolidadojul[[#Headers],[6]],tabela_registros[REGISTRO],DADOS!$N$6,tabela_registros[TIPO],DADOS!$AJ$4,tabela_registros[CATEGORIA],reservavariáveisconsolidadojul[[#This Row],[ATUAL]])</f>
        <v>0</v>
      </c>
      <c r="K188" s="119" t="n">
        <f aca="false">SUMIFS(tabela_registros[VALOR],tabela_registros[MÊS],$AE$1,tabela_registros[DIA],reservavariáveisconsolidadojul[[#Headers],[7]],tabela_registros[REGISTRO],DADOS!$N$6,tabela_registros[TIPO],DADOS!$AJ$4,tabela_registros[CATEGORIA],reservavariáveisconsolidadojul[[#This Row],[ATUAL]])</f>
        <v>0</v>
      </c>
      <c r="L188" s="119" t="n">
        <f aca="false">SUMIFS(tabela_registros[VALOR],tabela_registros[MÊS],$AE$1,tabela_registros[DIA],reservavariáveisconsolidadojul[[#Headers],[8]],tabela_registros[REGISTRO],DADOS!$N$6,tabela_registros[TIPO],DADOS!$AJ$4,tabela_registros[CATEGORIA],reservavariáveisconsolidadojul[[#This Row],[ATUAL]])</f>
        <v>0</v>
      </c>
      <c r="M188" s="119" t="n">
        <f aca="false">SUMIFS(tabela_registros[VALOR],tabela_registros[MÊS],$AE$1,tabela_registros[DIA],reservavariáveisconsolidadojul[[#Headers],[9]],tabela_registros[REGISTRO],DADOS!$N$6,tabela_registros[TIPO],DADOS!$AJ$4,tabela_registros[CATEGORIA],reservavariáveisconsolidadojul[[#This Row],[ATUAL]])</f>
        <v>0</v>
      </c>
      <c r="N188" s="119" t="n">
        <f aca="false">SUMIFS(tabela_registros[VALOR],tabela_registros[MÊS],$AE$1,tabela_registros[DIA],reservavariáveisconsolidadojul[[#Headers],[10]],tabela_registros[REGISTRO],DADOS!$N$6,tabela_registros[TIPO],DADOS!$AJ$4,tabela_registros[CATEGORIA],reservavariáveisconsolidadojul[[#This Row],[ATUAL]])</f>
        <v>0</v>
      </c>
      <c r="O188" s="119" t="n">
        <f aca="false">SUMIFS(tabela_registros[VALOR],tabela_registros[MÊS],$AE$1,tabela_registros[DIA],reservavariáveisconsolidadojul[[#Headers],[11]],tabela_registros[REGISTRO],DADOS!$N$6,tabela_registros[TIPO],DADOS!$AJ$4,tabela_registros[CATEGORIA],reservavariáveisconsolidadojul[[#This Row],[ATUAL]])</f>
        <v>0</v>
      </c>
      <c r="P188" s="119" t="n">
        <f aca="false">SUMIFS(tabela_registros[VALOR],tabela_registros[MÊS],$AE$1,tabela_registros[DIA],reservavariáveisconsolidadojul[[#Headers],[12]],tabela_registros[REGISTRO],DADOS!$N$6,tabela_registros[TIPO],DADOS!$AJ$4,tabela_registros[CATEGORIA],reservavariáveisconsolidadojul[[#This Row],[ATUAL]])</f>
        <v>0</v>
      </c>
      <c r="Q188" s="119" t="n">
        <f aca="false">SUMIFS(tabela_registros[VALOR],tabela_registros[MÊS],$AE$1,tabela_registros[DIA],reservavariáveisconsolidadojul[[#Headers],[13]],tabela_registros[REGISTRO],DADOS!$N$6,tabela_registros[TIPO],DADOS!$AJ$4,tabela_registros[CATEGORIA],reservavariáveisconsolidadojul[[#This Row],[ATUAL]])</f>
        <v>0</v>
      </c>
      <c r="R188" s="119" t="n">
        <f aca="false">SUMIFS(tabela_registros[VALOR],tabela_registros[MÊS],$AE$1,tabela_registros[DIA],reservavariáveisconsolidadojul[[#Headers],[14]],tabela_registros[REGISTRO],DADOS!$N$6,tabela_registros[TIPO],DADOS!$AJ$4,tabela_registros[CATEGORIA],reservavariáveisconsolidadojul[[#This Row],[ATUAL]])</f>
        <v>0</v>
      </c>
      <c r="S188" s="119" t="n">
        <f aca="false">SUMIFS(tabela_registros[VALOR],tabela_registros[MÊS],$AE$1,tabela_registros[DIA],reservavariáveisconsolidadojul[[#Headers],[15]],tabela_registros[REGISTRO],DADOS!$N$6,tabela_registros[TIPO],DADOS!$AJ$4,tabela_registros[CATEGORIA],reservavariáveisconsolidadojul[[#This Row],[ATUAL]])</f>
        <v>0</v>
      </c>
      <c r="T188" s="119" t="n">
        <f aca="false">SUMIFS(tabela_registros[VALOR],tabela_registros[MÊS],$AE$1,tabela_registros[DIA],reservavariáveisconsolidadojul[[#Headers],[16]],tabela_registros[REGISTRO],DADOS!$N$6,tabela_registros[TIPO],DADOS!$AJ$4,tabela_registros[CATEGORIA],reservavariáveisconsolidadojul[[#This Row],[ATUAL]])</f>
        <v>0</v>
      </c>
      <c r="U188" s="119" t="n">
        <f aca="false">SUMIFS(tabela_registros[VALOR],tabela_registros[MÊS],$AE$1,tabela_registros[DIA],reservavariáveisconsolidadojul[[#Headers],[17]],tabela_registros[REGISTRO],DADOS!$N$6,tabela_registros[TIPO],DADOS!$AJ$4,tabela_registros[CATEGORIA],reservavariáveisconsolidadojul[[#This Row],[ATUAL]])</f>
        <v>0</v>
      </c>
      <c r="V188" s="119" t="n">
        <f aca="false">SUMIFS(tabela_registros[VALOR],tabela_registros[MÊS],$AE$1,tabela_registros[DIA],reservavariáveisconsolidadojul[[#Headers],[18]],tabela_registros[REGISTRO],DADOS!$N$6,tabela_registros[TIPO],DADOS!$AJ$4,tabela_registros[CATEGORIA],reservavariáveisconsolidadojul[[#This Row],[ATUAL]])</f>
        <v>0</v>
      </c>
      <c r="W188" s="119" t="n">
        <f aca="false">SUMIFS(tabela_registros[VALOR],tabela_registros[MÊS],$AE$1,tabela_registros[DIA],reservavariáveisconsolidadojul[[#Headers],[19]],tabela_registros[REGISTRO],DADOS!$N$6,tabela_registros[TIPO],DADOS!$AJ$4,tabela_registros[CATEGORIA],reservavariáveisconsolidadojul[[#This Row],[ATUAL]])</f>
        <v>0</v>
      </c>
      <c r="X188" s="119" t="n">
        <f aca="false">SUMIFS(tabela_registros[VALOR],tabela_registros[MÊS],$AE$1,tabela_registros[DIA],reservavariáveisconsolidadojul[[#Headers],[20]],tabela_registros[REGISTRO],DADOS!$N$6,tabela_registros[TIPO],DADOS!$AJ$4,tabela_registros[CATEGORIA],reservavariáveisconsolidadojul[[#This Row],[ATUAL]])</f>
        <v>0</v>
      </c>
      <c r="Y188" s="119" t="n">
        <f aca="false">SUMIFS(tabela_registros[VALOR],tabela_registros[MÊS],$AE$1,tabela_registros[DIA],reservavariáveisconsolidadojul[[#Headers],[21]],tabela_registros[REGISTRO],DADOS!$N$6,tabela_registros[TIPO],DADOS!$AJ$4,tabela_registros[CATEGORIA],reservavariáveisconsolidadojul[[#This Row],[ATUAL]])</f>
        <v>0</v>
      </c>
      <c r="Z188" s="119" t="n">
        <f aca="false">SUMIFS(tabela_registros[VALOR],tabela_registros[MÊS],$AE$1,tabela_registros[DIA],reservavariáveisconsolidadojul[[#Headers],[22]],tabela_registros[REGISTRO],DADOS!$N$6,tabela_registros[TIPO],DADOS!$AJ$4,tabela_registros[CATEGORIA],reservavariáveisconsolidadojul[[#This Row],[ATUAL]])</f>
        <v>0</v>
      </c>
      <c r="AA188" s="119" t="n">
        <f aca="false">SUMIFS(tabela_registros[VALOR],tabela_registros[MÊS],$AE$1,tabela_registros[DIA],reservavariáveisconsolidadojul[[#Headers],[23]],tabela_registros[REGISTRO],DADOS!$N$6,tabela_registros[TIPO],DADOS!$AJ$4,tabela_registros[CATEGORIA],reservavariáveisconsolidadojul[[#This Row],[ATUAL]])</f>
        <v>0</v>
      </c>
      <c r="AB188" s="119" t="n">
        <f aca="false">SUMIFS(tabela_registros[VALOR],tabela_registros[MÊS],$AE$1,tabela_registros[DIA],reservavariáveisconsolidadojul[[#Headers],[24]],tabela_registros[REGISTRO],DADOS!$N$6,tabela_registros[TIPO],DADOS!$AJ$4,tabela_registros[CATEGORIA],reservavariáveisconsolidadojul[[#This Row],[ATUAL]])</f>
        <v>0</v>
      </c>
      <c r="AC188" s="119" t="n">
        <f aca="false">SUMIFS(tabela_registros[VALOR],tabela_registros[MÊS],$AE$1,tabela_registros[DIA],reservavariáveisconsolidadojul[[#Headers],[25]],tabela_registros[REGISTRO],DADOS!$N$6,tabela_registros[TIPO],DADOS!$AJ$4,tabela_registros[CATEGORIA],reservavariáveisconsolidadojul[[#This Row],[ATUAL]])</f>
        <v>0</v>
      </c>
      <c r="AD188" s="119" t="n">
        <f aca="false">SUMIFS(tabela_registros[VALOR],tabela_registros[MÊS],$AE$1,tabela_registros[DIA],reservavariáveisconsolidadojul[[#Headers],[26]],tabela_registros[REGISTRO],DADOS!$N$6,tabela_registros[TIPO],DADOS!$AJ$4,tabela_registros[CATEGORIA],reservavariáveisconsolidadojul[[#This Row],[ATUAL]])</f>
        <v>0</v>
      </c>
      <c r="AE188" s="119" t="n">
        <f aca="false">SUMIFS(tabela_registros[VALOR],tabela_registros[MÊS],$AE$1,tabela_registros[DIA],reservavariáveisconsolidadojul[[#Headers],[27]],tabela_registros[REGISTRO],DADOS!$N$6,tabela_registros[TIPO],DADOS!$AJ$4,tabela_registros[CATEGORIA],reservavariáveisconsolidadojul[[#This Row],[ATUAL]])</f>
        <v>0</v>
      </c>
      <c r="AF188" s="119" t="n">
        <f aca="false">SUMIFS(tabela_registros[VALOR],tabela_registros[MÊS],$AE$1,tabela_registros[DIA],reservavariáveisconsolidadojul[[#Headers],[28]],tabela_registros[REGISTRO],DADOS!$N$6,tabela_registros[TIPO],DADOS!$AJ$4,tabela_registros[CATEGORIA],reservavariáveisconsolidadojul[[#This Row],[ATUAL]])</f>
        <v>0</v>
      </c>
      <c r="AG188" s="119" t="n">
        <f aca="false">SUMIFS(tabela_registros[VALOR],tabela_registros[MÊS],$AE$1,tabela_registros[DIA],reservavariáveisconsolidadojul[[#Headers],[29]],tabela_registros[REGISTRO],DADOS!$N$6,tabela_registros[TIPO],DADOS!$AJ$4,tabela_registros[CATEGORIA],reservavariáveisconsolidadojul[[#This Row],[ATUAL]])</f>
        <v>0</v>
      </c>
      <c r="AH188" s="119" t="n">
        <f aca="false">SUMIFS(tabela_registros[VALOR],tabela_registros[MÊS],$AE$1,tabela_registros[DIA],reservavariáveisconsolidadojul[[#Headers],[30]],tabela_registros[REGISTRO],DADOS!$N$6,tabela_registros[TIPO],DADOS!$AJ$4,tabela_registros[CATEGORIA],reservavariáveisconsolidadojul[[#This Row],[ATUAL]])</f>
        <v>0</v>
      </c>
      <c r="AI188" s="217" t="n">
        <f aca="false">SUMIFS(tabela_registros[VALOR],tabela_registros[MÊS],$AE$1,tabela_registros[DIA],reservavariáveisconsolidadojul[[#Headers],[31]],tabela_registros[REGISTRO],DADOS!$N$6,tabela_registros[TIPO],DADOS!$AJ$4,tabela_registros[CATEGORIA],reservavariáveisconsolidadojul[[#This Row],[ATUAL]])</f>
        <v>0</v>
      </c>
      <c r="AJ188" s="149" t="n">
        <f aca="false">SUM(reservavariáveisconsolidadojul[[#This Row],[1]:[31]])</f>
        <v>0</v>
      </c>
      <c r="AK188" s="165"/>
    </row>
    <row r="189" customFormat="false" ht="19.5" hidden="false" customHeight="true" outlineLevel="0" collapsed="false">
      <c r="B189" s="143"/>
      <c r="C189" s="144" t="str">
        <f aca="false">DADOS!$AN$5</f>
        <v>📝 CONTRATO DE FUTUROS</v>
      </c>
      <c r="D189" s="145" t="str">
        <f aca="false">IF(reservavariáveisconsolidadojul[[#This Row],[TOTAL (R$)]]=0,"",IF(OR(reservavariáveisconsolidadojul[[#This Row],[TOTAL (R$)]]=LARGE($AJ$187:$AJ$196,1),reservavariáveisconsolidadojul[[#This Row],[TOTAL (R$)]]=LARGE($AJ$187:$AJ$196,2)),DADOS!$I$11,""))</f>
        <v/>
      </c>
      <c r="E189" s="148" t="n">
        <f aca="false">SUMIFS(tabela_registros[VALOR],tabela_registros[MÊS],$AE$1,tabela_registros[DIA],reservavariáveisconsolidadojul[[#Headers],[1]],tabela_registros[REGISTRO],DADOS!$N$6,tabela_registros[TIPO],DADOS!$AJ$4,tabela_registros[CATEGORIA],reservavariáveisconsolidadojul[[#This Row],[ATUAL]])</f>
        <v>0</v>
      </c>
      <c r="F189" s="119" t="n">
        <f aca="false">SUMIFS(tabela_registros[VALOR],tabela_registros[MÊS],$AE$1,tabela_registros[DIA],reservavariáveisconsolidadojul[[#Headers],[2]],tabela_registros[REGISTRO],DADOS!$N$6,tabela_registros[TIPO],DADOS!$AJ$4,tabela_registros[CATEGORIA],reservavariáveisconsolidadojul[[#This Row],[ATUAL]])</f>
        <v>0</v>
      </c>
      <c r="G189" s="119" t="n">
        <f aca="false">SUMIFS(tabela_registros[VALOR],tabela_registros[MÊS],$AE$1,tabela_registros[DIA],reservavariáveisconsolidadojul[[#Headers],[3]],tabela_registros[REGISTRO],DADOS!$N$6,tabela_registros[TIPO],DADOS!$AJ$4,tabela_registros[CATEGORIA],reservavariáveisconsolidadojul[[#This Row],[ATUAL]])</f>
        <v>0</v>
      </c>
      <c r="H189" s="119" t="n">
        <f aca="false">SUMIFS(tabela_registros[VALOR],tabela_registros[MÊS],$AE$1,tabela_registros[DIA],reservavariáveisconsolidadojul[[#Headers],[4]],tabela_registros[REGISTRO],DADOS!$N$6,tabela_registros[TIPO],DADOS!$AJ$4,tabela_registros[CATEGORIA],reservavariáveisconsolidadojul[[#This Row],[ATUAL]])</f>
        <v>0</v>
      </c>
      <c r="I189" s="119" t="n">
        <f aca="false">SUMIFS(tabela_registros[VALOR],tabela_registros[MÊS],$AE$1,tabela_registros[DIA],reservavariáveisconsolidadojul[[#Headers],[5]],tabela_registros[REGISTRO],DADOS!$N$6,tabela_registros[TIPO],DADOS!$AJ$4,tabela_registros[CATEGORIA],reservavariáveisconsolidadojul[[#This Row],[ATUAL]])</f>
        <v>0</v>
      </c>
      <c r="J189" s="119" t="n">
        <f aca="false">SUMIFS(tabela_registros[VALOR],tabela_registros[MÊS],$AE$1,tabela_registros[DIA],reservavariáveisconsolidadojul[[#Headers],[6]],tabela_registros[REGISTRO],DADOS!$N$6,tabela_registros[TIPO],DADOS!$AJ$4,tabela_registros[CATEGORIA],reservavariáveisconsolidadojul[[#This Row],[ATUAL]])</f>
        <v>0</v>
      </c>
      <c r="K189" s="119" t="n">
        <f aca="false">SUMIFS(tabela_registros[VALOR],tabela_registros[MÊS],$AE$1,tabela_registros[DIA],reservavariáveisconsolidadojul[[#Headers],[7]],tabela_registros[REGISTRO],DADOS!$N$6,tabela_registros[TIPO],DADOS!$AJ$4,tabela_registros[CATEGORIA],reservavariáveisconsolidadojul[[#This Row],[ATUAL]])</f>
        <v>0</v>
      </c>
      <c r="L189" s="119" t="n">
        <f aca="false">SUMIFS(tabela_registros[VALOR],tabela_registros[MÊS],$AE$1,tabela_registros[DIA],reservavariáveisconsolidadojul[[#Headers],[8]],tabela_registros[REGISTRO],DADOS!$N$6,tabela_registros[TIPO],DADOS!$AJ$4,tabela_registros[CATEGORIA],reservavariáveisconsolidadojul[[#This Row],[ATUAL]])</f>
        <v>0</v>
      </c>
      <c r="M189" s="119" t="n">
        <f aca="false">SUMIFS(tabela_registros[VALOR],tabela_registros[MÊS],$AE$1,tabela_registros[DIA],reservavariáveisconsolidadojul[[#Headers],[9]],tabela_registros[REGISTRO],DADOS!$N$6,tabela_registros[TIPO],DADOS!$AJ$4,tabela_registros[CATEGORIA],reservavariáveisconsolidadojul[[#This Row],[ATUAL]])</f>
        <v>0</v>
      </c>
      <c r="N189" s="119" t="n">
        <f aca="false">SUMIFS(tabela_registros[VALOR],tabela_registros[MÊS],$AE$1,tabela_registros[DIA],reservavariáveisconsolidadojul[[#Headers],[10]],tabela_registros[REGISTRO],DADOS!$N$6,tabela_registros[TIPO],DADOS!$AJ$4,tabela_registros[CATEGORIA],reservavariáveisconsolidadojul[[#This Row],[ATUAL]])</f>
        <v>0</v>
      </c>
      <c r="O189" s="119" t="n">
        <f aca="false">SUMIFS(tabela_registros[VALOR],tabela_registros[MÊS],$AE$1,tabela_registros[DIA],reservavariáveisconsolidadojul[[#Headers],[11]],tabela_registros[REGISTRO],DADOS!$N$6,tabela_registros[TIPO],DADOS!$AJ$4,tabela_registros[CATEGORIA],reservavariáveisconsolidadojul[[#This Row],[ATUAL]])</f>
        <v>0</v>
      </c>
      <c r="P189" s="119" t="n">
        <f aca="false">SUMIFS(tabela_registros[VALOR],tabela_registros[MÊS],$AE$1,tabela_registros[DIA],reservavariáveisconsolidadojul[[#Headers],[12]],tabela_registros[REGISTRO],DADOS!$N$6,tabela_registros[TIPO],DADOS!$AJ$4,tabela_registros[CATEGORIA],reservavariáveisconsolidadojul[[#This Row],[ATUAL]])</f>
        <v>0</v>
      </c>
      <c r="Q189" s="119" t="n">
        <f aca="false">SUMIFS(tabela_registros[VALOR],tabela_registros[MÊS],$AE$1,tabela_registros[DIA],reservavariáveisconsolidadojul[[#Headers],[13]],tabela_registros[REGISTRO],DADOS!$N$6,tabela_registros[TIPO],DADOS!$AJ$4,tabela_registros[CATEGORIA],reservavariáveisconsolidadojul[[#This Row],[ATUAL]])</f>
        <v>0</v>
      </c>
      <c r="R189" s="119" t="n">
        <f aca="false">SUMIFS(tabela_registros[VALOR],tabela_registros[MÊS],$AE$1,tabela_registros[DIA],reservavariáveisconsolidadojul[[#Headers],[14]],tabela_registros[REGISTRO],DADOS!$N$6,tabela_registros[TIPO],DADOS!$AJ$4,tabela_registros[CATEGORIA],reservavariáveisconsolidadojul[[#This Row],[ATUAL]])</f>
        <v>0</v>
      </c>
      <c r="S189" s="119" t="n">
        <f aca="false">SUMIFS(tabela_registros[VALOR],tabela_registros[MÊS],$AE$1,tabela_registros[DIA],reservavariáveisconsolidadojul[[#Headers],[15]],tabela_registros[REGISTRO],DADOS!$N$6,tabela_registros[TIPO],DADOS!$AJ$4,tabela_registros[CATEGORIA],reservavariáveisconsolidadojul[[#This Row],[ATUAL]])</f>
        <v>0</v>
      </c>
      <c r="T189" s="119" t="n">
        <f aca="false">SUMIFS(tabela_registros[VALOR],tabela_registros[MÊS],$AE$1,tabela_registros[DIA],reservavariáveisconsolidadojul[[#Headers],[16]],tabela_registros[REGISTRO],DADOS!$N$6,tabela_registros[TIPO],DADOS!$AJ$4,tabela_registros[CATEGORIA],reservavariáveisconsolidadojul[[#This Row],[ATUAL]])</f>
        <v>0</v>
      </c>
      <c r="U189" s="119" t="n">
        <f aca="false">SUMIFS(tabela_registros[VALOR],tabela_registros[MÊS],$AE$1,tabela_registros[DIA],reservavariáveisconsolidadojul[[#Headers],[17]],tabela_registros[REGISTRO],DADOS!$N$6,tabela_registros[TIPO],DADOS!$AJ$4,tabela_registros[CATEGORIA],reservavariáveisconsolidadojul[[#This Row],[ATUAL]])</f>
        <v>0</v>
      </c>
      <c r="V189" s="119" t="n">
        <f aca="false">SUMIFS(tabela_registros[VALOR],tabela_registros[MÊS],$AE$1,tabela_registros[DIA],reservavariáveisconsolidadojul[[#Headers],[18]],tabela_registros[REGISTRO],DADOS!$N$6,tabela_registros[TIPO],DADOS!$AJ$4,tabela_registros[CATEGORIA],reservavariáveisconsolidadojul[[#This Row],[ATUAL]])</f>
        <v>0</v>
      </c>
      <c r="W189" s="119" t="n">
        <f aca="false">SUMIFS(tabela_registros[VALOR],tabela_registros[MÊS],$AE$1,tabela_registros[DIA],reservavariáveisconsolidadojul[[#Headers],[19]],tabela_registros[REGISTRO],DADOS!$N$6,tabela_registros[TIPO],DADOS!$AJ$4,tabela_registros[CATEGORIA],reservavariáveisconsolidadojul[[#This Row],[ATUAL]])</f>
        <v>0</v>
      </c>
      <c r="X189" s="119" t="n">
        <f aca="false">SUMIFS(tabela_registros[VALOR],tabela_registros[MÊS],$AE$1,tabela_registros[DIA],reservavariáveisconsolidadojul[[#Headers],[20]],tabela_registros[REGISTRO],DADOS!$N$6,tabela_registros[TIPO],DADOS!$AJ$4,tabela_registros[CATEGORIA],reservavariáveisconsolidadojul[[#This Row],[ATUAL]])</f>
        <v>0</v>
      </c>
      <c r="Y189" s="119" t="n">
        <f aca="false">SUMIFS(tabela_registros[VALOR],tabela_registros[MÊS],$AE$1,tabela_registros[DIA],reservavariáveisconsolidadojul[[#Headers],[21]],tabela_registros[REGISTRO],DADOS!$N$6,tabela_registros[TIPO],DADOS!$AJ$4,tabela_registros[CATEGORIA],reservavariáveisconsolidadojul[[#This Row],[ATUAL]])</f>
        <v>0</v>
      </c>
      <c r="Z189" s="119" t="n">
        <f aca="false">SUMIFS(tabela_registros[VALOR],tabela_registros[MÊS],$AE$1,tabela_registros[DIA],reservavariáveisconsolidadojul[[#Headers],[22]],tabela_registros[REGISTRO],DADOS!$N$6,tabela_registros[TIPO],DADOS!$AJ$4,tabela_registros[CATEGORIA],reservavariáveisconsolidadojul[[#This Row],[ATUAL]])</f>
        <v>0</v>
      </c>
      <c r="AA189" s="119" t="n">
        <f aca="false">SUMIFS(tabela_registros[VALOR],tabela_registros[MÊS],$AE$1,tabela_registros[DIA],reservavariáveisconsolidadojul[[#Headers],[23]],tabela_registros[REGISTRO],DADOS!$N$6,tabela_registros[TIPO],DADOS!$AJ$4,tabela_registros[CATEGORIA],reservavariáveisconsolidadojul[[#This Row],[ATUAL]])</f>
        <v>0</v>
      </c>
      <c r="AB189" s="119" t="n">
        <f aca="false">SUMIFS(tabela_registros[VALOR],tabela_registros[MÊS],$AE$1,tabela_registros[DIA],reservavariáveisconsolidadojul[[#Headers],[24]],tabela_registros[REGISTRO],DADOS!$N$6,tabela_registros[TIPO],DADOS!$AJ$4,tabela_registros[CATEGORIA],reservavariáveisconsolidadojul[[#This Row],[ATUAL]])</f>
        <v>0</v>
      </c>
      <c r="AC189" s="119" t="n">
        <f aca="false">SUMIFS(tabela_registros[VALOR],tabela_registros[MÊS],$AE$1,tabela_registros[DIA],reservavariáveisconsolidadojul[[#Headers],[25]],tabela_registros[REGISTRO],DADOS!$N$6,tabela_registros[TIPO],DADOS!$AJ$4,tabela_registros[CATEGORIA],reservavariáveisconsolidadojul[[#This Row],[ATUAL]])</f>
        <v>0</v>
      </c>
      <c r="AD189" s="119" t="n">
        <f aca="false">SUMIFS(tabela_registros[VALOR],tabela_registros[MÊS],$AE$1,tabela_registros[DIA],reservavariáveisconsolidadojul[[#Headers],[26]],tabela_registros[REGISTRO],DADOS!$N$6,tabela_registros[TIPO],DADOS!$AJ$4,tabela_registros[CATEGORIA],reservavariáveisconsolidadojul[[#This Row],[ATUAL]])</f>
        <v>0</v>
      </c>
      <c r="AE189" s="119" t="n">
        <f aca="false">SUMIFS(tabela_registros[VALOR],tabela_registros[MÊS],$AE$1,tabela_registros[DIA],reservavariáveisconsolidadojul[[#Headers],[27]],tabela_registros[REGISTRO],DADOS!$N$6,tabela_registros[TIPO],DADOS!$AJ$4,tabela_registros[CATEGORIA],reservavariáveisconsolidadojul[[#This Row],[ATUAL]])</f>
        <v>0</v>
      </c>
      <c r="AF189" s="119" t="n">
        <f aca="false">SUMIFS(tabela_registros[VALOR],tabela_registros[MÊS],$AE$1,tabela_registros[DIA],reservavariáveisconsolidadojul[[#Headers],[28]],tabela_registros[REGISTRO],DADOS!$N$6,tabela_registros[TIPO],DADOS!$AJ$4,tabela_registros[CATEGORIA],reservavariáveisconsolidadojul[[#This Row],[ATUAL]])</f>
        <v>0</v>
      </c>
      <c r="AG189" s="119" t="n">
        <f aca="false">SUMIFS(tabela_registros[VALOR],tabela_registros[MÊS],$AE$1,tabela_registros[DIA],reservavariáveisconsolidadojul[[#Headers],[29]],tabela_registros[REGISTRO],DADOS!$N$6,tabela_registros[TIPO],DADOS!$AJ$4,tabela_registros[CATEGORIA],reservavariáveisconsolidadojul[[#This Row],[ATUAL]])</f>
        <v>0</v>
      </c>
      <c r="AH189" s="119" t="n">
        <f aca="false">SUMIFS(tabela_registros[VALOR],tabela_registros[MÊS],$AE$1,tabela_registros[DIA],reservavariáveisconsolidadojul[[#Headers],[30]],tabela_registros[REGISTRO],DADOS!$N$6,tabela_registros[TIPO],DADOS!$AJ$4,tabela_registros[CATEGORIA],reservavariáveisconsolidadojul[[#This Row],[ATUAL]])</f>
        <v>0</v>
      </c>
      <c r="AI189" s="217" t="n">
        <f aca="false">SUMIFS(tabela_registros[VALOR],tabela_registros[MÊS],$AE$1,tabela_registros[DIA],reservavariáveisconsolidadojul[[#Headers],[31]],tabela_registros[REGISTRO],DADOS!$N$6,tabela_registros[TIPO],DADOS!$AJ$4,tabela_registros[CATEGORIA],reservavariáveisconsolidadojul[[#This Row],[ATUAL]])</f>
        <v>0</v>
      </c>
      <c r="AJ189" s="149" t="n">
        <f aca="false">SUM(reservavariáveisconsolidadojul[[#This Row],[1]:[31]])</f>
        <v>0</v>
      </c>
      <c r="AK189" s="165"/>
    </row>
    <row r="190" customFormat="false" ht="19.5" hidden="false" customHeight="true" outlineLevel="0" collapsed="false">
      <c r="B190" s="143"/>
      <c r="C190" s="144" t="str">
        <f aca="false">DADOS!$AN$6</f>
        <v>📝 CONTRATO DE OPÇÕES</v>
      </c>
      <c r="D190" s="145" t="str">
        <f aca="false">IF(reservavariáveisconsolidadojul[[#This Row],[TOTAL (R$)]]=0,"",IF(OR(reservavariáveisconsolidadojul[[#This Row],[TOTAL (R$)]]=LARGE($AJ$187:$AJ$196,1),reservavariáveisconsolidadojul[[#This Row],[TOTAL (R$)]]=LARGE($AJ$187:$AJ$196,2)),DADOS!$I$11,""))</f>
        <v/>
      </c>
      <c r="E190" s="148" t="n">
        <f aca="false">SUMIFS(tabela_registros[VALOR],tabela_registros[MÊS],$AE$1,tabela_registros[DIA],reservavariáveisconsolidadojul[[#Headers],[1]],tabela_registros[REGISTRO],DADOS!$N$6,tabela_registros[TIPO],DADOS!$AJ$4,tabela_registros[CATEGORIA],reservavariáveisconsolidadojul[[#This Row],[ATUAL]])</f>
        <v>0</v>
      </c>
      <c r="F190" s="119" t="n">
        <f aca="false">SUMIFS(tabela_registros[VALOR],tabela_registros[MÊS],$AE$1,tabela_registros[DIA],reservavariáveisconsolidadojul[[#Headers],[2]],tabela_registros[REGISTRO],DADOS!$N$6,tabela_registros[TIPO],DADOS!$AJ$4,tabela_registros[CATEGORIA],reservavariáveisconsolidadojul[[#This Row],[ATUAL]])</f>
        <v>0</v>
      </c>
      <c r="G190" s="119" t="n">
        <f aca="false">SUMIFS(tabela_registros[VALOR],tabela_registros[MÊS],$AE$1,tabela_registros[DIA],reservavariáveisconsolidadojul[[#Headers],[3]],tabela_registros[REGISTRO],DADOS!$N$6,tabela_registros[TIPO],DADOS!$AJ$4,tabela_registros[CATEGORIA],reservavariáveisconsolidadojul[[#This Row],[ATUAL]])</f>
        <v>0</v>
      </c>
      <c r="H190" s="119" t="n">
        <f aca="false">SUMIFS(tabela_registros[VALOR],tabela_registros[MÊS],$AE$1,tabela_registros[DIA],reservavariáveisconsolidadojul[[#Headers],[4]],tabela_registros[REGISTRO],DADOS!$N$6,tabela_registros[TIPO],DADOS!$AJ$4,tabela_registros[CATEGORIA],reservavariáveisconsolidadojul[[#This Row],[ATUAL]])</f>
        <v>0</v>
      </c>
      <c r="I190" s="119" t="n">
        <f aca="false">SUMIFS(tabela_registros[VALOR],tabela_registros[MÊS],$AE$1,tabela_registros[DIA],reservavariáveisconsolidadojul[[#Headers],[5]],tabela_registros[REGISTRO],DADOS!$N$6,tabela_registros[TIPO],DADOS!$AJ$4,tabela_registros[CATEGORIA],reservavariáveisconsolidadojul[[#This Row],[ATUAL]])</f>
        <v>0</v>
      </c>
      <c r="J190" s="119" t="n">
        <f aca="false">SUMIFS(tabela_registros[VALOR],tabela_registros[MÊS],$AE$1,tabela_registros[DIA],reservavariáveisconsolidadojul[[#Headers],[6]],tabela_registros[REGISTRO],DADOS!$N$6,tabela_registros[TIPO],DADOS!$AJ$4,tabela_registros[CATEGORIA],reservavariáveisconsolidadojul[[#This Row],[ATUAL]])</f>
        <v>0</v>
      </c>
      <c r="K190" s="119" t="n">
        <f aca="false">SUMIFS(tabela_registros[VALOR],tabela_registros[MÊS],$AE$1,tabela_registros[DIA],reservavariáveisconsolidadojul[[#Headers],[7]],tabela_registros[REGISTRO],DADOS!$N$6,tabela_registros[TIPO],DADOS!$AJ$4,tabela_registros[CATEGORIA],reservavariáveisconsolidadojul[[#This Row],[ATUAL]])</f>
        <v>0</v>
      </c>
      <c r="L190" s="119" t="n">
        <f aca="false">SUMIFS(tabela_registros[VALOR],tabela_registros[MÊS],$AE$1,tabela_registros[DIA],reservavariáveisconsolidadojul[[#Headers],[8]],tabela_registros[REGISTRO],DADOS!$N$6,tabela_registros[TIPO],DADOS!$AJ$4,tabela_registros[CATEGORIA],reservavariáveisconsolidadojul[[#This Row],[ATUAL]])</f>
        <v>0</v>
      </c>
      <c r="M190" s="119" t="n">
        <f aca="false">SUMIFS(tabela_registros[VALOR],tabela_registros[MÊS],$AE$1,tabela_registros[DIA],reservavariáveisconsolidadojul[[#Headers],[9]],tabela_registros[REGISTRO],DADOS!$N$6,tabela_registros[TIPO],DADOS!$AJ$4,tabela_registros[CATEGORIA],reservavariáveisconsolidadojul[[#This Row],[ATUAL]])</f>
        <v>0</v>
      </c>
      <c r="N190" s="119" t="n">
        <f aca="false">SUMIFS(tabela_registros[VALOR],tabela_registros[MÊS],$AE$1,tabela_registros[DIA],reservavariáveisconsolidadojul[[#Headers],[10]],tabela_registros[REGISTRO],DADOS!$N$6,tabela_registros[TIPO],DADOS!$AJ$4,tabela_registros[CATEGORIA],reservavariáveisconsolidadojul[[#This Row],[ATUAL]])</f>
        <v>0</v>
      </c>
      <c r="O190" s="119" t="n">
        <f aca="false">SUMIFS(tabela_registros[VALOR],tabela_registros[MÊS],$AE$1,tabela_registros[DIA],reservavariáveisconsolidadojul[[#Headers],[11]],tabela_registros[REGISTRO],DADOS!$N$6,tabela_registros[TIPO],DADOS!$AJ$4,tabela_registros[CATEGORIA],reservavariáveisconsolidadojul[[#This Row],[ATUAL]])</f>
        <v>0</v>
      </c>
      <c r="P190" s="119" t="n">
        <f aca="false">SUMIFS(tabela_registros[VALOR],tabela_registros[MÊS],$AE$1,tabela_registros[DIA],reservavariáveisconsolidadojul[[#Headers],[12]],tabela_registros[REGISTRO],DADOS!$N$6,tabela_registros[TIPO],DADOS!$AJ$4,tabela_registros[CATEGORIA],reservavariáveisconsolidadojul[[#This Row],[ATUAL]])</f>
        <v>0</v>
      </c>
      <c r="Q190" s="119" t="n">
        <f aca="false">SUMIFS(tabela_registros[VALOR],tabela_registros[MÊS],$AE$1,tabela_registros[DIA],reservavariáveisconsolidadojul[[#Headers],[13]],tabela_registros[REGISTRO],DADOS!$N$6,tabela_registros[TIPO],DADOS!$AJ$4,tabela_registros[CATEGORIA],reservavariáveisconsolidadojul[[#This Row],[ATUAL]])</f>
        <v>0</v>
      </c>
      <c r="R190" s="119" t="n">
        <f aca="false">SUMIFS(tabela_registros[VALOR],tabela_registros[MÊS],$AE$1,tabela_registros[DIA],reservavariáveisconsolidadojul[[#Headers],[14]],tabela_registros[REGISTRO],DADOS!$N$6,tabela_registros[TIPO],DADOS!$AJ$4,tabela_registros[CATEGORIA],reservavariáveisconsolidadojul[[#This Row],[ATUAL]])</f>
        <v>0</v>
      </c>
      <c r="S190" s="119" t="n">
        <f aca="false">SUMIFS(tabela_registros[VALOR],tabela_registros[MÊS],$AE$1,tabela_registros[DIA],reservavariáveisconsolidadojul[[#Headers],[15]],tabela_registros[REGISTRO],DADOS!$N$6,tabela_registros[TIPO],DADOS!$AJ$4,tabela_registros[CATEGORIA],reservavariáveisconsolidadojul[[#This Row],[ATUAL]])</f>
        <v>0</v>
      </c>
      <c r="T190" s="119" t="n">
        <f aca="false">SUMIFS(tabela_registros[VALOR],tabela_registros[MÊS],$AE$1,tabela_registros[DIA],reservavariáveisconsolidadojul[[#Headers],[16]],tabela_registros[REGISTRO],DADOS!$N$6,tabela_registros[TIPO],DADOS!$AJ$4,tabela_registros[CATEGORIA],reservavariáveisconsolidadojul[[#This Row],[ATUAL]])</f>
        <v>0</v>
      </c>
      <c r="U190" s="119" t="n">
        <f aca="false">SUMIFS(tabela_registros[VALOR],tabela_registros[MÊS],$AE$1,tabela_registros[DIA],reservavariáveisconsolidadojul[[#Headers],[17]],tabela_registros[REGISTRO],DADOS!$N$6,tabela_registros[TIPO],DADOS!$AJ$4,tabela_registros[CATEGORIA],reservavariáveisconsolidadojul[[#This Row],[ATUAL]])</f>
        <v>0</v>
      </c>
      <c r="V190" s="119" t="n">
        <f aca="false">SUMIFS(tabela_registros[VALOR],tabela_registros[MÊS],$AE$1,tabela_registros[DIA],reservavariáveisconsolidadojul[[#Headers],[18]],tabela_registros[REGISTRO],DADOS!$N$6,tabela_registros[TIPO],DADOS!$AJ$4,tabela_registros[CATEGORIA],reservavariáveisconsolidadojul[[#This Row],[ATUAL]])</f>
        <v>0</v>
      </c>
      <c r="W190" s="119" t="n">
        <f aca="false">SUMIFS(tabela_registros[VALOR],tabela_registros[MÊS],$AE$1,tabela_registros[DIA],reservavariáveisconsolidadojul[[#Headers],[19]],tabela_registros[REGISTRO],DADOS!$N$6,tabela_registros[TIPO],DADOS!$AJ$4,tabela_registros[CATEGORIA],reservavariáveisconsolidadojul[[#This Row],[ATUAL]])</f>
        <v>0</v>
      </c>
      <c r="X190" s="119" t="n">
        <f aca="false">SUMIFS(tabela_registros[VALOR],tabela_registros[MÊS],$AE$1,tabela_registros[DIA],reservavariáveisconsolidadojul[[#Headers],[20]],tabela_registros[REGISTRO],DADOS!$N$6,tabela_registros[TIPO],DADOS!$AJ$4,tabela_registros[CATEGORIA],reservavariáveisconsolidadojul[[#This Row],[ATUAL]])</f>
        <v>0</v>
      </c>
      <c r="Y190" s="119" t="n">
        <f aca="false">SUMIFS(tabela_registros[VALOR],tabela_registros[MÊS],$AE$1,tabela_registros[DIA],reservavariáveisconsolidadojul[[#Headers],[21]],tabela_registros[REGISTRO],DADOS!$N$6,tabela_registros[TIPO],DADOS!$AJ$4,tabela_registros[CATEGORIA],reservavariáveisconsolidadojul[[#This Row],[ATUAL]])</f>
        <v>0</v>
      </c>
      <c r="Z190" s="119" t="n">
        <f aca="false">SUMIFS(tabela_registros[VALOR],tabela_registros[MÊS],$AE$1,tabela_registros[DIA],reservavariáveisconsolidadojul[[#Headers],[22]],tabela_registros[REGISTRO],DADOS!$N$6,tabela_registros[TIPO],DADOS!$AJ$4,tabela_registros[CATEGORIA],reservavariáveisconsolidadojul[[#This Row],[ATUAL]])</f>
        <v>0</v>
      </c>
      <c r="AA190" s="119" t="n">
        <f aca="false">SUMIFS(tabela_registros[VALOR],tabela_registros[MÊS],$AE$1,tabela_registros[DIA],reservavariáveisconsolidadojul[[#Headers],[23]],tabela_registros[REGISTRO],DADOS!$N$6,tabela_registros[TIPO],DADOS!$AJ$4,tabela_registros[CATEGORIA],reservavariáveisconsolidadojul[[#This Row],[ATUAL]])</f>
        <v>0</v>
      </c>
      <c r="AB190" s="119" t="n">
        <f aca="false">SUMIFS(tabela_registros[VALOR],tabela_registros[MÊS],$AE$1,tabela_registros[DIA],reservavariáveisconsolidadojul[[#Headers],[24]],tabela_registros[REGISTRO],DADOS!$N$6,tabela_registros[TIPO],DADOS!$AJ$4,tabela_registros[CATEGORIA],reservavariáveisconsolidadojul[[#This Row],[ATUAL]])</f>
        <v>0</v>
      </c>
      <c r="AC190" s="119" t="n">
        <f aca="false">SUMIFS(tabela_registros[VALOR],tabela_registros[MÊS],$AE$1,tabela_registros[DIA],reservavariáveisconsolidadojul[[#Headers],[25]],tabela_registros[REGISTRO],DADOS!$N$6,tabela_registros[TIPO],DADOS!$AJ$4,tabela_registros[CATEGORIA],reservavariáveisconsolidadojul[[#This Row],[ATUAL]])</f>
        <v>0</v>
      </c>
      <c r="AD190" s="119" t="n">
        <f aca="false">SUMIFS(tabela_registros[VALOR],tabela_registros[MÊS],$AE$1,tabela_registros[DIA],reservavariáveisconsolidadojul[[#Headers],[26]],tabela_registros[REGISTRO],DADOS!$N$6,tabela_registros[TIPO],DADOS!$AJ$4,tabela_registros[CATEGORIA],reservavariáveisconsolidadojul[[#This Row],[ATUAL]])</f>
        <v>0</v>
      </c>
      <c r="AE190" s="119" t="n">
        <f aca="false">SUMIFS(tabela_registros[VALOR],tabela_registros[MÊS],$AE$1,tabela_registros[DIA],reservavariáveisconsolidadojul[[#Headers],[27]],tabela_registros[REGISTRO],DADOS!$N$6,tabela_registros[TIPO],DADOS!$AJ$4,tabela_registros[CATEGORIA],reservavariáveisconsolidadojul[[#This Row],[ATUAL]])</f>
        <v>0</v>
      </c>
      <c r="AF190" s="119" t="n">
        <f aca="false">SUMIFS(tabela_registros[VALOR],tabela_registros[MÊS],$AE$1,tabela_registros[DIA],reservavariáveisconsolidadojul[[#Headers],[28]],tabela_registros[REGISTRO],DADOS!$N$6,tabela_registros[TIPO],DADOS!$AJ$4,tabela_registros[CATEGORIA],reservavariáveisconsolidadojul[[#This Row],[ATUAL]])</f>
        <v>0</v>
      </c>
      <c r="AG190" s="119" t="n">
        <f aca="false">SUMIFS(tabela_registros[VALOR],tabela_registros[MÊS],$AE$1,tabela_registros[DIA],reservavariáveisconsolidadojul[[#Headers],[29]],tabela_registros[REGISTRO],DADOS!$N$6,tabela_registros[TIPO],DADOS!$AJ$4,tabela_registros[CATEGORIA],reservavariáveisconsolidadojul[[#This Row],[ATUAL]])</f>
        <v>0</v>
      </c>
      <c r="AH190" s="119" t="n">
        <f aca="false">SUMIFS(tabela_registros[VALOR],tabela_registros[MÊS],$AE$1,tabela_registros[DIA],reservavariáveisconsolidadojul[[#Headers],[30]],tabela_registros[REGISTRO],DADOS!$N$6,tabela_registros[TIPO],DADOS!$AJ$4,tabela_registros[CATEGORIA],reservavariáveisconsolidadojul[[#This Row],[ATUAL]])</f>
        <v>0</v>
      </c>
      <c r="AI190" s="217" t="n">
        <f aca="false">SUMIFS(tabela_registros[VALOR],tabela_registros[MÊS],$AE$1,tabela_registros[DIA],reservavariáveisconsolidadojul[[#Headers],[31]],tabela_registros[REGISTRO],DADOS!$N$6,tabela_registros[TIPO],DADOS!$AJ$4,tabela_registros[CATEGORIA],reservavariáveisconsolidadojul[[#This Row],[ATUAL]])</f>
        <v>0</v>
      </c>
      <c r="AJ190" s="149" t="n">
        <f aca="false">SUM(reservavariáveisconsolidadojul[[#This Row],[1]:[31]])</f>
        <v>0</v>
      </c>
      <c r="AK190" s="165"/>
    </row>
    <row r="191" customFormat="false" ht="19.5" hidden="false" customHeight="true" outlineLevel="0" collapsed="false">
      <c r="B191" s="143"/>
      <c r="C191" s="144" t="str">
        <f aca="false">DADOS!$AN$7</f>
        <v>📝 CRIPTOMOEDA</v>
      </c>
      <c r="D191" s="145" t="str">
        <f aca="false">IF(reservavariáveisconsolidadojul[[#This Row],[TOTAL (R$)]]=0,"",IF(OR(reservavariáveisconsolidadojul[[#This Row],[TOTAL (R$)]]=LARGE($AJ$187:$AJ$196,1),reservavariáveisconsolidadojul[[#This Row],[TOTAL (R$)]]=LARGE($AJ$187:$AJ$196,2)),DADOS!$I$11,""))</f>
        <v/>
      </c>
      <c r="E191" s="148" t="n">
        <f aca="false">SUMIFS(tabela_registros[VALOR],tabela_registros[MÊS],$AE$1,tabela_registros[DIA],reservavariáveisconsolidadojul[[#Headers],[1]],tabela_registros[REGISTRO],DADOS!$N$6,tabela_registros[TIPO],DADOS!$AJ$4,tabela_registros[CATEGORIA],reservavariáveisconsolidadojul[[#This Row],[ATUAL]])</f>
        <v>0</v>
      </c>
      <c r="F191" s="119" t="n">
        <f aca="false">SUMIFS(tabela_registros[VALOR],tabela_registros[MÊS],$AE$1,tabela_registros[DIA],reservavariáveisconsolidadojul[[#Headers],[2]],tabela_registros[REGISTRO],DADOS!$N$6,tabela_registros[TIPO],DADOS!$AJ$4,tabela_registros[CATEGORIA],reservavariáveisconsolidadojul[[#This Row],[ATUAL]])</f>
        <v>0</v>
      </c>
      <c r="G191" s="119" t="n">
        <f aca="false">SUMIFS(tabela_registros[VALOR],tabela_registros[MÊS],$AE$1,tabela_registros[DIA],reservavariáveisconsolidadojul[[#Headers],[3]],tabela_registros[REGISTRO],DADOS!$N$6,tabela_registros[TIPO],DADOS!$AJ$4,tabela_registros[CATEGORIA],reservavariáveisconsolidadojul[[#This Row],[ATUAL]])</f>
        <v>0</v>
      </c>
      <c r="H191" s="119" t="n">
        <f aca="false">SUMIFS(tabela_registros[VALOR],tabela_registros[MÊS],$AE$1,tabela_registros[DIA],reservavariáveisconsolidadojul[[#Headers],[4]],tabela_registros[REGISTRO],DADOS!$N$6,tabela_registros[TIPO],DADOS!$AJ$4,tabela_registros[CATEGORIA],reservavariáveisconsolidadojul[[#This Row],[ATUAL]])</f>
        <v>0</v>
      </c>
      <c r="I191" s="119" t="n">
        <f aca="false">SUMIFS(tabela_registros[VALOR],tabela_registros[MÊS],$AE$1,tabela_registros[DIA],reservavariáveisconsolidadojul[[#Headers],[5]],tabela_registros[REGISTRO],DADOS!$N$6,tabela_registros[TIPO],DADOS!$AJ$4,tabela_registros[CATEGORIA],reservavariáveisconsolidadojul[[#This Row],[ATUAL]])</f>
        <v>0</v>
      </c>
      <c r="J191" s="119" t="n">
        <f aca="false">SUMIFS(tabela_registros[VALOR],tabela_registros[MÊS],$AE$1,tabela_registros[DIA],reservavariáveisconsolidadojul[[#Headers],[6]],tabela_registros[REGISTRO],DADOS!$N$6,tabela_registros[TIPO],DADOS!$AJ$4,tabela_registros[CATEGORIA],reservavariáveisconsolidadojul[[#This Row],[ATUAL]])</f>
        <v>0</v>
      </c>
      <c r="K191" s="119" t="n">
        <f aca="false">SUMIFS(tabela_registros[VALOR],tabela_registros[MÊS],$AE$1,tabela_registros[DIA],reservavariáveisconsolidadojul[[#Headers],[7]],tabela_registros[REGISTRO],DADOS!$N$6,tabela_registros[TIPO],DADOS!$AJ$4,tabela_registros[CATEGORIA],reservavariáveisconsolidadojul[[#This Row],[ATUAL]])</f>
        <v>0</v>
      </c>
      <c r="L191" s="119" t="n">
        <f aca="false">SUMIFS(tabela_registros[VALOR],tabela_registros[MÊS],$AE$1,tabela_registros[DIA],reservavariáveisconsolidadojul[[#Headers],[8]],tabela_registros[REGISTRO],DADOS!$N$6,tabela_registros[TIPO],DADOS!$AJ$4,tabela_registros[CATEGORIA],reservavariáveisconsolidadojul[[#This Row],[ATUAL]])</f>
        <v>0</v>
      </c>
      <c r="M191" s="119" t="n">
        <f aca="false">SUMIFS(tabela_registros[VALOR],tabela_registros[MÊS],$AE$1,tabela_registros[DIA],reservavariáveisconsolidadojul[[#Headers],[9]],tabela_registros[REGISTRO],DADOS!$N$6,tabela_registros[TIPO],DADOS!$AJ$4,tabela_registros[CATEGORIA],reservavariáveisconsolidadojul[[#This Row],[ATUAL]])</f>
        <v>0</v>
      </c>
      <c r="N191" s="119" t="n">
        <f aca="false">SUMIFS(tabela_registros[VALOR],tabela_registros[MÊS],$AE$1,tabela_registros[DIA],reservavariáveisconsolidadojul[[#Headers],[10]],tabela_registros[REGISTRO],DADOS!$N$6,tabela_registros[TIPO],DADOS!$AJ$4,tabela_registros[CATEGORIA],reservavariáveisconsolidadojul[[#This Row],[ATUAL]])</f>
        <v>0</v>
      </c>
      <c r="O191" s="119" t="n">
        <f aca="false">SUMIFS(tabela_registros[VALOR],tabela_registros[MÊS],$AE$1,tabela_registros[DIA],reservavariáveisconsolidadojul[[#Headers],[11]],tabela_registros[REGISTRO],DADOS!$N$6,tabela_registros[TIPO],DADOS!$AJ$4,tabela_registros[CATEGORIA],reservavariáveisconsolidadojul[[#This Row],[ATUAL]])</f>
        <v>0</v>
      </c>
      <c r="P191" s="119" t="n">
        <f aca="false">SUMIFS(tabela_registros[VALOR],tabela_registros[MÊS],$AE$1,tabela_registros[DIA],reservavariáveisconsolidadojul[[#Headers],[12]],tabela_registros[REGISTRO],DADOS!$N$6,tabela_registros[TIPO],DADOS!$AJ$4,tabela_registros[CATEGORIA],reservavariáveisconsolidadojul[[#This Row],[ATUAL]])</f>
        <v>0</v>
      </c>
      <c r="Q191" s="119" t="n">
        <f aca="false">SUMIFS(tabela_registros[VALOR],tabela_registros[MÊS],$AE$1,tabela_registros[DIA],reservavariáveisconsolidadojul[[#Headers],[13]],tabela_registros[REGISTRO],DADOS!$N$6,tabela_registros[TIPO],DADOS!$AJ$4,tabela_registros[CATEGORIA],reservavariáveisconsolidadojul[[#This Row],[ATUAL]])</f>
        <v>0</v>
      </c>
      <c r="R191" s="119" t="n">
        <f aca="false">SUMIFS(tabela_registros[VALOR],tabela_registros[MÊS],$AE$1,tabela_registros[DIA],reservavariáveisconsolidadojul[[#Headers],[14]],tabela_registros[REGISTRO],DADOS!$N$6,tabela_registros[TIPO],DADOS!$AJ$4,tabela_registros[CATEGORIA],reservavariáveisconsolidadojul[[#This Row],[ATUAL]])</f>
        <v>0</v>
      </c>
      <c r="S191" s="119" t="n">
        <f aca="false">SUMIFS(tabela_registros[VALOR],tabela_registros[MÊS],$AE$1,tabela_registros[DIA],reservavariáveisconsolidadojul[[#Headers],[15]],tabela_registros[REGISTRO],DADOS!$N$6,tabela_registros[TIPO],DADOS!$AJ$4,tabela_registros[CATEGORIA],reservavariáveisconsolidadojul[[#This Row],[ATUAL]])</f>
        <v>0</v>
      </c>
      <c r="T191" s="119" t="n">
        <f aca="false">SUMIFS(tabela_registros[VALOR],tabela_registros[MÊS],$AE$1,tabela_registros[DIA],reservavariáveisconsolidadojul[[#Headers],[16]],tabela_registros[REGISTRO],DADOS!$N$6,tabela_registros[TIPO],DADOS!$AJ$4,tabela_registros[CATEGORIA],reservavariáveisconsolidadojul[[#This Row],[ATUAL]])</f>
        <v>0</v>
      </c>
      <c r="U191" s="119" t="n">
        <f aca="false">SUMIFS(tabela_registros[VALOR],tabela_registros[MÊS],$AE$1,tabela_registros[DIA],reservavariáveisconsolidadojul[[#Headers],[17]],tabela_registros[REGISTRO],DADOS!$N$6,tabela_registros[TIPO],DADOS!$AJ$4,tabela_registros[CATEGORIA],reservavariáveisconsolidadojul[[#This Row],[ATUAL]])</f>
        <v>0</v>
      </c>
      <c r="V191" s="119" t="n">
        <f aca="false">SUMIFS(tabela_registros[VALOR],tabela_registros[MÊS],$AE$1,tabela_registros[DIA],reservavariáveisconsolidadojul[[#Headers],[18]],tabela_registros[REGISTRO],DADOS!$N$6,tabela_registros[TIPO],DADOS!$AJ$4,tabela_registros[CATEGORIA],reservavariáveisconsolidadojul[[#This Row],[ATUAL]])</f>
        <v>0</v>
      </c>
      <c r="W191" s="119" t="n">
        <f aca="false">SUMIFS(tabela_registros[VALOR],tabela_registros[MÊS],$AE$1,tabela_registros[DIA],reservavariáveisconsolidadojul[[#Headers],[19]],tabela_registros[REGISTRO],DADOS!$N$6,tabela_registros[TIPO],DADOS!$AJ$4,tabela_registros[CATEGORIA],reservavariáveisconsolidadojul[[#This Row],[ATUAL]])</f>
        <v>0</v>
      </c>
      <c r="X191" s="119" t="n">
        <f aca="false">SUMIFS(tabela_registros[VALOR],tabela_registros[MÊS],$AE$1,tabela_registros[DIA],reservavariáveisconsolidadojul[[#Headers],[20]],tabela_registros[REGISTRO],DADOS!$N$6,tabela_registros[TIPO],DADOS!$AJ$4,tabela_registros[CATEGORIA],reservavariáveisconsolidadojul[[#This Row],[ATUAL]])</f>
        <v>0</v>
      </c>
      <c r="Y191" s="119" t="n">
        <f aca="false">SUMIFS(tabela_registros[VALOR],tabela_registros[MÊS],$AE$1,tabela_registros[DIA],reservavariáveisconsolidadojul[[#Headers],[21]],tabela_registros[REGISTRO],DADOS!$N$6,tabela_registros[TIPO],DADOS!$AJ$4,tabela_registros[CATEGORIA],reservavariáveisconsolidadojul[[#This Row],[ATUAL]])</f>
        <v>0</v>
      </c>
      <c r="Z191" s="119" t="n">
        <f aca="false">SUMIFS(tabela_registros[VALOR],tabela_registros[MÊS],$AE$1,tabela_registros[DIA],reservavariáveisconsolidadojul[[#Headers],[22]],tabela_registros[REGISTRO],DADOS!$N$6,tabela_registros[TIPO],DADOS!$AJ$4,tabela_registros[CATEGORIA],reservavariáveisconsolidadojul[[#This Row],[ATUAL]])</f>
        <v>0</v>
      </c>
      <c r="AA191" s="119" t="n">
        <f aca="false">SUMIFS(tabela_registros[VALOR],tabela_registros[MÊS],$AE$1,tabela_registros[DIA],reservavariáveisconsolidadojul[[#Headers],[23]],tabela_registros[REGISTRO],DADOS!$N$6,tabela_registros[TIPO],DADOS!$AJ$4,tabela_registros[CATEGORIA],reservavariáveisconsolidadojul[[#This Row],[ATUAL]])</f>
        <v>0</v>
      </c>
      <c r="AB191" s="119" t="n">
        <f aca="false">SUMIFS(tabela_registros[VALOR],tabela_registros[MÊS],$AE$1,tabela_registros[DIA],reservavariáveisconsolidadojul[[#Headers],[24]],tabela_registros[REGISTRO],DADOS!$N$6,tabela_registros[TIPO],DADOS!$AJ$4,tabela_registros[CATEGORIA],reservavariáveisconsolidadojul[[#This Row],[ATUAL]])</f>
        <v>0</v>
      </c>
      <c r="AC191" s="119" t="n">
        <f aca="false">SUMIFS(tabela_registros[VALOR],tabela_registros[MÊS],$AE$1,tabela_registros[DIA],reservavariáveisconsolidadojul[[#Headers],[25]],tabela_registros[REGISTRO],DADOS!$N$6,tabela_registros[TIPO],DADOS!$AJ$4,tabela_registros[CATEGORIA],reservavariáveisconsolidadojul[[#This Row],[ATUAL]])</f>
        <v>0</v>
      </c>
      <c r="AD191" s="119" t="n">
        <f aca="false">SUMIFS(tabela_registros[VALOR],tabela_registros[MÊS],$AE$1,tabela_registros[DIA],reservavariáveisconsolidadojul[[#Headers],[26]],tabela_registros[REGISTRO],DADOS!$N$6,tabela_registros[TIPO],DADOS!$AJ$4,tabela_registros[CATEGORIA],reservavariáveisconsolidadojul[[#This Row],[ATUAL]])</f>
        <v>0</v>
      </c>
      <c r="AE191" s="119" t="n">
        <f aca="false">SUMIFS(tabela_registros[VALOR],tabela_registros[MÊS],$AE$1,tabela_registros[DIA],reservavariáveisconsolidadojul[[#Headers],[27]],tabela_registros[REGISTRO],DADOS!$N$6,tabela_registros[TIPO],DADOS!$AJ$4,tabela_registros[CATEGORIA],reservavariáveisconsolidadojul[[#This Row],[ATUAL]])</f>
        <v>0</v>
      </c>
      <c r="AF191" s="119" t="n">
        <f aca="false">SUMIFS(tabela_registros[VALOR],tabela_registros[MÊS],$AE$1,tabela_registros[DIA],reservavariáveisconsolidadojul[[#Headers],[28]],tabela_registros[REGISTRO],DADOS!$N$6,tabela_registros[TIPO],DADOS!$AJ$4,tabela_registros[CATEGORIA],reservavariáveisconsolidadojul[[#This Row],[ATUAL]])</f>
        <v>0</v>
      </c>
      <c r="AG191" s="119" t="n">
        <f aca="false">SUMIFS(tabela_registros[VALOR],tabela_registros[MÊS],$AE$1,tabela_registros[DIA],reservavariáveisconsolidadojul[[#Headers],[29]],tabela_registros[REGISTRO],DADOS!$N$6,tabela_registros[TIPO],DADOS!$AJ$4,tabela_registros[CATEGORIA],reservavariáveisconsolidadojul[[#This Row],[ATUAL]])</f>
        <v>0</v>
      </c>
      <c r="AH191" s="119" t="n">
        <f aca="false">SUMIFS(tabela_registros[VALOR],tabela_registros[MÊS],$AE$1,tabela_registros[DIA],reservavariáveisconsolidadojul[[#Headers],[30]],tabela_registros[REGISTRO],DADOS!$N$6,tabela_registros[TIPO],DADOS!$AJ$4,tabela_registros[CATEGORIA],reservavariáveisconsolidadojul[[#This Row],[ATUAL]])</f>
        <v>0</v>
      </c>
      <c r="AI191" s="217" t="n">
        <f aca="false">SUMIFS(tabela_registros[VALOR],tabela_registros[MÊS],$AE$1,tabela_registros[DIA],reservavariáveisconsolidadojul[[#Headers],[31]],tabela_registros[REGISTRO],DADOS!$N$6,tabela_registros[TIPO],DADOS!$AJ$4,tabela_registros[CATEGORIA],reservavariáveisconsolidadojul[[#This Row],[ATUAL]])</f>
        <v>0</v>
      </c>
      <c r="AJ191" s="149" t="n">
        <f aca="false">SUM(reservavariáveisconsolidadojul[[#This Row],[1]:[31]])</f>
        <v>0</v>
      </c>
      <c r="AK191" s="165"/>
    </row>
    <row r="192" customFormat="false" ht="19.5" hidden="false" customHeight="true" outlineLevel="0" collapsed="false">
      <c r="B192" s="143"/>
      <c r="C192" s="144" t="str">
        <f aca="false">DADOS!$AN$8</f>
        <v>📝 ETF</v>
      </c>
      <c r="D192" s="145" t="str">
        <f aca="false">IF(reservavariáveisconsolidadojul[[#This Row],[TOTAL (R$)]]=0,"",IF(OR(reservavariáveisconsolidadojul[[#This Row],[TOTAL (R$)]]=LARGE($AJ$187:$AJ$196,1),reservavariáveisconsolidadojul[[#This Row],[TOTAL (R$)]]=LARGE($AJ$187:$AJ$196,2)),DADOS!$I$11,""))</f>
        <v/>
      </c>
      <c r="E192" s="148" t="n">
        <f aca="false">SUMIFS(tabela_registros[VALOR],tabela_registros[MÊS],$AE$1,tabela_registros[DIA],reservavariáveisconsolidadojul[[#Headers],[1]],tabela_registros[REGISTRO],DADOS!$N$6,tabela_registros[TIPO],DADOS!$AJ$4,tabela_registros[CATEGORIA],reservavariáveisconsolidadojul[[#This Row],[ATUAL]])</f>
        <v>0</v>
      </c>
      <c r="F192" s="119" t="n">
        <f aca="false">SUMIFS(tabela_registros[VALOR],tabela_registros[MÊS],$AE$1,tabela_registros[DIA],reservavariáveisconsolidadojul[[#Headers],[2]],tabela_registros[REGISTRO],DADOS!$N$6,tabela_registros[TIPO],DADOS!$AJ$4,tabela_registros[CATEGORIA],reservavariáveisconsolidadojul[[#This Row],[ATUAL]])</f>
        <v>0</v>
      </c>
      <c r="G192" s="119" t="n">
        <f aca="false">SUMIFS(tabela_registros[VALOR],tabela_registros[MÊS],$AE$1,tabela_registros[DIA],reservavariáveisconsolidadojul[[#Headers],[3]],tabela_registros[REGISTRO],DADOS!$N$6,tabela_registros[TIPO],DADOS!$AJ$4,tabela_registros[CATEGORIA],reservavariáveisconsolidadojul[[#This Row],[ATUAL]])</f>
        <v>0</v>
      </c>
      <c r="H192" s="119" t="n">
        <f aca="false">SUMIFS(tabela_registros[VALOR],tabela_registros[MÊS],$AE$1,tabela_registros[DIA],reservavariáveisconsolidadojul[[#Headers],[4]],tabela_registros[REGISTRO],DADOS!$N$6,tabela_registros[TIPO],DADOS!$AJ$4,tabela_registros[CATEGORIA],reservavariáveisconsolidadojul[[#This Row],[ATUAL]])</f>
        <v>0</v>
      </c>
      <c r="I192" s="119" t="n">
        <f aca="false">SUMIFS(tabela_registros[VALOR],tabela_registros[MÊS],$AE$1,tabela_registros[DIA],reservavariáveisconsolidadojul[[#Headers],[5]],tabela_registros[REGISTRO],DADOS!$N$6,tabela_registros[TIPO],DADOS!$AJ$4,tabela_registros[CATEGORIA],reservavariáveisconsolidadojul[[#This Row],[ATUAL]])</f>
        <v>0</v>
      </c>
      <c r="J192" s="119" t="n">
        <f aca="false">SUMIFS(tabela_registros[VALOR],tabela_registros[MÊS],$AE$1,tabela_registros[DIA],reservavariáveisconsolidadojul[[#Headers],[6]],tabela_registros[REGISTRO],DADOS!$N$6,tabela_registros[TIPO],DADOS!$AJ$4,tabela_registros[CATEGORIA],reservavariáveisconsolidadojul[[#This Row],[ATUAL]])</f>
        <v>0</v>
      </c>
      <c r="K192" s="119" t="n">
        <f aca="false">SUMIFS(tabela_registros[VALOR],tabela_registros[MÊS],$AE$1,tabela_registros[DIA],reservavariáveisconsolidadojul[[#Headers],[7]],tabela_registros[REGISTRO],DADOS!$N$6,tabela_registros[TIPO],DADOS!$AJ$4,tabela_registros[CATEGORIA],reservavariáveisconsolidadojul[[#This Row],[ATUAL]])</f>
        <v>0</v>
      </c>
      <c r="L192" s="119" t="n">
        <f aca="false">SUMIFS(tabela_registros[VALOR],tabela_registros[MÊS],$AE$1,tabela_registros[DIA],reservavariáveisconsolidadojul[[#Headers],[8]],tabela_registros[REGISTRO],DADOS!$N$6,tabela_registros[TIPO],DADOS!$AJ$4,tabela_registros[CATEGORIA],reservavariáveisconsolidadojul[[#This Row],[ATUAL]])</f>
        <v>0</v>
      </c>
      <c r="M192" s="119" t="n">
        <f aca="false">SUMIFS(tabela_registros[VALOR],tabela_registros[MÊS],$AE$1,tabela_registros[DIA],reservavariáveisconsolidadojul[[#Headers],[9]],tabela_registros[REGISTRO],DADOS!$N$6,tabela_registros[TIPO],DADOS!$AJ$4,tabela_registros[CATEGORIA],reservavariáveisconsolidadojul[[#This Row],[ATUAL]])</f>
        <v>0</v>
      </c>
      <c r="N192" s="119" t="n">
        <f aca="false">SUMIFS(tabela_registros[VALOR],tabela_registros[MÊS],$AE$1,tabela_registros[DIA],reservavariáveisconsolidadojul[[#Headers],[10]],tabela_registros[REGISTRO],DADOS!$N$6,tabela_registros[TIPO],DADOS!$AJ$4,tabela_registros[CATEGORIA],reservavariáveisconsolidadojul[[#This Row],[ATUAL]])</f>
        <v>0</v>
      </c>
      <c r="O192" s="119" t="n">
        <f aca="false">SUMIFS(tabela_registros[VALOR],tabela_registros[MÊS],$AE$1,tabela_registros[DIA],reservavariáveisconsolidadojul[[#Headers],[11]],tabela_registros[REGISTRO],DADOS!$N$6,tabela_registros[TIPO],DADOS!$AJ$4,tabela_registros[CATEGORIA],reservavariáveisconsolidadojul[[#This Row],[ATUAL]])</f>
        <v>0</v>
      </c>
      <c r="P192" s="119" t="n">
        <f aca="false">SUMIFS(tabela_registros[VALOR],tabela_registros[MÊS],$AE$1,tabela_registros[DIA],reservavariáveisconsolidadojul[[#Headers],[12]],tabela_registros[REGISTRO],DADOS!$N$6,tabela_registros[TIPO],DADOS!$AJ$4,tabela_registros[CATEGORIA],reservavariáveisconsolidadojul[[#This Row],[ATUAL]])</f>
        <v>0</v>
      </c>
      <c r="Q192" s="119" t="n">
        <f aca="false">SUMIFS(tabela_registros[VALOR],tabela_registros[MÊS],$AE$1,tabela_registros[DIA],reservavariáveisconsolidadojul[[#Headers],[13]],tabela_registros[REGISTRO],DADOS!$N$6,tabela_registros[TIPO],DADOS!$AJ$4,tabela_registros[CATEGORIA],reservavariáveisconsolidadojul[[#This Row],[ATUAL]])</f>
        <v>0</v>
      </c>
      <c r="R192" s="119" t="n">
        <f aca="false">SUMIFS(tabela_registros[VALOR],tabela_registros[MÊS],$AE$1,tabela_registros[DIA],reservavariáveisconsolidadojul[[#Headers],[14]],tabela_registros[REGISTRO],DADOS!$N$6,tabela_registros[TIPO],DADOS!$AJ$4,tabela_registros[CATEGORIA],reservavariáveisconsolidadojul[[#This Row],[ATUAL]])</f>
        <v>0</v>
      </c>
      <c r="S192" s="119" t="n">
        <f aca="false">SUMIFS(tabela_registros[VALOR],tabela_registros[MÊS],$AE$1,tabela_registros[DIA],reservavariáveisconsolidadojul[[#Headers],[15]],tabela_registros[REGISTRO],DADOS!$N$6,tabela_registros[TIPO],DADOS!$AJ$4,tabela_registros[CATEGORIA],reservavariáveisconsolidadojul[[#This Row],[ATUAL]])</f>
        <v>0</v>
      </c>
      <c r="T192" s="119" t="n">
        <f aca="false">SUMIFS(tabela_registros[VALOR],tabela_registros[MÊS],$AE$1,tabela_registros[DIA],reservavariáveisconsolidadojul[[#Headers],[16]],tabela_registros[REGISTRO],DADOS!$N$6,tabela_registros[TIPO],DADOS!$AJ$4,tabela_registros[CATEGORIA],reservavariáveisconsolidadojul[[#This Row],[ATUAL]])</f>
        <v>0</v>
      </c>
      <c r="U192" s="119" t="n">
        <f aca="false">SUMIFS(tabela_registros[VALOR],tabela_registros[MÊS],$AE$1,tabela_registros[DIA],reservavariáveisconsolidadojul[[#Headers],[17]],tabela_registros[REGISTRO],DADOS!$N$6,tabela_registros[TIPO],DADOS!$AJ$4,tabela_registros[CATEGORIA],reservavariáveisconsolidadojul[[#This Row],[ATUAL]])</f>
        <v>0</v>
      </c>
      <c r="V192" s="119" t="n">
        <f aca="false">SUMIFS(tabela_registros[VALOR],tabela_registros[MÊS],$AE$1,tabela_registros[DIA],reservavariáveisconsolidadojul[[#Headers],[18]],tabela_registros[REGISTRO],DADOS!$N$6,tabela_registros[TIPO],DADOS!$AJ$4,tabela_registros[CATEGORIA],reservavariáveisconsolidadojul[[#This Row],[ATUAL]])</f>
        <v>0</v>
      </c>
      <c r="W192" s="119" t="n">
        <f aca="false">SUMIFS(tabela_registros[VALOR],tabela_registros[MÊS],$AE$1,tabela_registros[DIA],reservavariáveisconsolidadojul[[#Headers],[19]],tabela_registros[REGISTRO],DADOS!$N$6,tabela_registros[TIPO],DADOS!$AJ$4,tabela_registros[CATEGORIA],reservavariáveisconsolidadojul[[#This Row],[ATUAL]])</f>
        <v>0</v>
      </c>
      <c r="X192" s="119" t="n">
        <f aca="false">SUMIFS(tabela_registros[VALOR],tabela_registros[MÊS],$AE$1,tabela_registros[DIA],reservavariáveisconsolidadojul[[#Headers],[20]],tabela_registros[REGISTRO],DADOS!$N$6,tabela_registros[TIPO],DADOS!$AJ$4,tabela_registros[CATEGORIA],reservavariáveisconsolidadojul[[#This Row],[ATUAL]])</f>
        <v>0</v>
      </c>
      <c r="Y192" s="119" t="n">
        <f aca="false">SUMIFS(tabela_registros[VALOR],tabela_registros[MÊS],$AE$1,tabela_registros[DIA],reservavariáveisconsolidadojul[[#Headers],[21]],tabela_registros[REGISTRO],DADOS!$N$6,tabela_registros[TIPO],DADOS!$AJ$4,tabela_registros[CATEGORIA],reservavariáveisconsolidadojul[[#This Row],[ATUAL]])</f>
        <v>0</v>
      </c>
      <c r="Z192" s="119" t="n">
        <f aca="false">SUMIFS(tabela_registros[VALOR],tabela_registros[MÊS],$AE$1,tabela_registros[DIA],reservavariáveisconsolidadojul[[#Headers],[22]],tabela_registros[REGISTRO],DADOS!$N$6,tabela_registros[TIPO],DADOS!$AJ$4,tabela_registros[CATEGORIA],reservavariáveisconsolidadojul[[#This Row],[ATUAL]])</f>
        <v>0</v>
      </c>
      <c r="AA192" s="119" t="n">
        <f aca="false">SUMIFS(tabela_registros[VALOR],tabela_registros[MÊS],$AE$1,tabela_registros[DIA],reservavariáveisconsolidadojul[[#Headers],[23]],tabela_registros[REGISTRO],DADOS!$N$6,tabela_registros[TIPO],DADOS!$AJ$4,tabela_registros[CATEGORIA],reservavariáveisconsolidadojul[[#This Row],[ATUAL]])</f>
        <v>0</v>
      </c>
      <c r="AB192" s="119" t="n">
        <f aca="false">SUMIFS(tabela_registros[VALOR],tabela_registros[MÊS],$AE$1,tabela_registros[DIA],reservavariáveisconsolidadojul[[#Headers],[24]],tabela_registros[REGISTRO],DADOS!$N$6,tabela_registros[TIPO],DADOS!$AJ$4,tabela_registros[CATEGORIA],reservavariáveisconsolidadojul[[#This Row],[ATUAL]])</f>
        <v>0</v>
      </c>
      <c r="AC192" s="119" t="n">
        <f aca="false">SUMIFS(tabela_registros[VALOR],tabela_registros[MÊS],$AE$1,tabela_registros[DIA],reservavariáveisconsolidadojul[[#Headers],[25]],tabela_registros[REGISTRO],DADOS!$N$6,tabela_registros[TIPO],DADOS!$AJ$4,tabela_registros[CATEGORIA],reservavariáveisconsolidadojul[[#This Row],[ATUAL]])</f>
        <v>0</v>
      </c>
      <c r="AD192" s="119" t="n">
        <f aca="false">SUMIFS(tabela_registros[VALOR],tabela_registros[MÊS],$AE$1,tabela_registros[DIA],reservavariáveisconsolidadojul[[#Headers],[26]],tabela_registros[REGISTRO],DADOS!$N$6,tabela_registros[TIPO],DADOS!$AJ$4,tabela_registros[CATEGORIA],reservavariáveisconsolidadojul[[#This Row],[ATUAL]])</f>
        <v>0</v>
      </c>
      <c r="AE192" s="119" t="n">
        <f aca="false">SUMIFS(tabela_registros[VALOR],tabela_registros[MÊS],$AE$1,tabela_registros[DIA],reservavariáveisconsolidadojul[[#Headers],[27]],tabela_registros[REGISTRO],DADOS!$N$6,tabela_registros[TIPO],DADOS!$AJ$4,tabela_registros[CATEGORIA],reservavariáveisconsolidadojul[[#This Row],[ATUAL]])</f>
        <v>0</v>
      </c>
      <c r="AF192" s="119" t="n">
        <f aca="false">SUMIFS(tabela_registros[VALOR],tabela_registros[MÊS],$AE$1,tabela_registros[DIA],reservavariáveisconsolidadojul[[#Headers],[28]],tabela_registros[REGISTRO],DADOS!$N$6,tabela_registros[TIPO],DADOS!$AJ$4,tabela_registros[CATEGORIA],reservavariáveisconsolidadojul[[#This Row],[ATUAL]])</f>
        <v>0</v>
      </c>
      <c r="AG192" s="119" t="n">
        <f aca="false">SUMIFS(tabela_registros[VALOR],tabela_registros[MÊS],$AE$1,tabela_registros[DIA],reservavariáveisconsolidadojul[[#Headers],[29]],tabela_registros[REGISTRO],DADOS!$N$6,tabela_registros[TIPO],DADOS!$AJ$4,tabela_registros[CATEGORIA],reservavariáveisconsolidadojul[[#This Row],[ATUAL]])</f>
        <v>0</v>
      </c>
      <c r="AH192" s="119" t="n">
        <f aca="false">SUMIFS(tabela_registros[VALOR],tabela_registros[MÊS],$AE$1,tabela_registros[DIA],reservavariáveisconsolidadojul[[#Headers],[30]],tabela_registros[REGISTRO],DADOS!$N$6,tabela_registros[TIPO],DADOS!$AJ$4,tabela_registros[CATEGORIA],reservavariáveisconsolidadojul[[#This Row],[ATUAL]])</f>
        <v>0</v>
      </c>
      <c r="AI192" s="217" t="n">
        <f aca="false">SUMIFS(tabela_registros[VALOR],tabela_registros[MÊS],$AE$1,tabela_registros[DIA],reservavariáveisconsolidadojul[[#Headers],[31]],tabela_registros[REGISTRO],DADOS!$N$6,tabela_registros[TIPO],DADOS!$AJ$4,tabela_registros[CATEGORIA],reservavariáveisconsolidadojul[[#This Row],[ATUAL]])</f>
        <v>0</v>
      </c>
      <c r="AJ192" s="149" t="n">
        <f aca="false">SUM(reservavariáveisconsolidadojul[[#This Row],[1]:[31]])</f>
        <v>0</v>
      </c>
      <c r="AK192" s="165"/>
    </row>
    <row r="193" customFormat="false" ht="19.5" hidden="false" customHeight="true" outlineLevel="0" collapsed="false">
      <c r="B193" s="143"/>
      <c r="C193" s="144" t="str">
        <f aca="false">DADOS!$AN$9</f>
        <v>📝 EXTERIOR</v>
      </c>
      <c r="D193" s="145" t="str">
        <f aca="false">IF(reservavariáveisconsolidadojul[[#This Row],[TOTAL (R$)]]=0,"",IF(OR(reservavariáveisconsolidadojul[[#This Row],[TOTAL (R$)]]=LARGE($AJ$187:$AJ$196,1),reservavariáveisconsolidadojul[[#This Row],[TOTAL (R$)]]=LARGE($AJ$187:$AJ$196,2)),DADOS!$I$11,""))</f>
        <v/>
      </c>
      <c r="E193" s="148" t="n">
        <f aca="false">SUMIFS(tabela_registros[VALOR],tabela_registros[MÊS],$AE$1,tabela_registros[DIA],reservavariáveisconsolidadojul[[#Headers],[1]],tabela_registros[REGISTRO],DADOS!$N$6,tabela_registros[TIPO],DADOS!$AJ$4,tabela_registros[CATEGORIA],reservavariáveisconsolidadojul[[#This Row],[ATUAL]])</f>
        <v>0</v>
      </c>
      <c r="F193" s="119" t="n">
        <f aca="false">SUMIFS(tabela_registros[VALOR],tabela_registros[MÊS],$AE$1,tabela_registros[DIA],reservavariáveisconsolidadojul[[#Headers],[2]],tabela_registros[REGISTRO],DADOS!$N$6,tabela_registros[TIPO],DADOS!$AJ$4,tabela_registros[CATEGORIA],reservavariáveisconsolidadojul[[#This Row],[ATUAL]])</f>
        <v>0</v>
      </c>
      <c r="G193" s="119" t="n">
        <f aca="false">SUMIFS(tabela_registros[VALOR],tabela_registros[MÊS],$AE$1,tabela_registros[DIA],reservavariáveisconsolidadojul[[#Headers],[3]],tabela_registros[REGISTRO],DADOS!$N$6,tabela_registros[TIPO],DADOS!$AJ$4,tabela_registros[CATEGORIA],reservavariáveisconsolidadojul[[#This Row],[ATUAL]])</f>
        <v>0</v>
      </c>
      <c r="H193" s="119" t="n">
        <f aca="false">SUMIFS(tabela_registros[VALOR],tabela_registros[MÊS],$AE$1,tabela_registros[DIA],reservavariáveisconsolidadojul[[#Headers],[4]],tabela_registros[REGISTRO],DADOS!$N$6,tabela_registros[TIPO],DADOS!$AJ$4,tabela_registros[CATEGORIA],reservavariáveisconsolidadojul[[#This Row],[ATUAL]])</f>
        <v>0</v>
      </c>
      <c r="I193" s="119" t="n">
        <f aca="false">SUMIFS(tabela_registros[VALOR],tabela_registros[MÊS],$AE$1,tabela_registros[DIA],reservavariáveisconsolidadojul[[#Headers],[5]],tabela_registros[REGISTRO],DADOS!$N$6,tabela_registros[TIPO],DADOS!$AJ$4,tabela_registros[CATEGORIA],reservavariáveisconsolidadojul[[#This Row],[ATUAL]])</f>
        <v>0</v>
      </c>
      <c r="J193" s="119" t="n">
        <f aca="false">SUMIFS(tabela_registros[VALOR],tabela_registros[MÊS],$AE$1,tabela_registros[DIA],reservavariáveisconsolidadojul[[#Headers],[6]],tabela_registros[REGISTRO],DADOS!$N$6,tabela_registros[TIPO],DADOS!$AJ$4,tabela_registros[CATEGORIA],reservavariáveisconsolidadojul[[#This Row],[ATUAL]])</f>
        <v>0</v>
      </c>
      <c r="K193" s="119" t="n">
        <f aca="false">SUMIFS(tabela_registros[VALOR],tabela_registros[MÊS],$AE$1,tabela_registros[DIA],reservavariáveisconsolidadojul[[#Headers],[7]],tabela_registros[REGISTRO],DADOS!$N$6,tabela_registros[TIPO],DADOS!$AJ$4,tabela_registros[CATEGORIA],reservavariáveisconsolidadojul[[#This Row],[ATUAL]])</f>
        <v>0</v>
      </c>
      <c r="L193" s="119" t="n">
        <f aca="false">SUMIFS(tabela_registros[VALOR],tabela_registros[MÊS],$AE$1,tabela_registros[DIA],reservavariáveisconsolidadojul[[#Headers],[8]],tabela_registros[REGISTRO],DADOS!$N$6,tabela_registros[TIPO],DADOS!$AJ$4,tabela_registros[CATEGORIA],reservavariáveisconsolidadojul[[#This Row],[ATUAL]])</f>
        <v>0</v>
      </c>
      <c r="M193" s="119" t="n">
        <f aca="false">SUMIFS(tabela_registros[VALOR],tabela_registros[MÊS],$AE$1,tabela_registros[DIA],reservavariáveisconsolidadojul[[#Headers],[9]],tabela_registros[REGISTRO],DADOS!$N$6,tabela_registros[TIPO],DADOS!$AJ$4,tabela_registros[CATEGORIA],reservavariáveisconsolidadojul[[#This Row],[ATUAL]])</f>
        <v>0</v>
      </c>
      <c r="N193" s="119" t="n">
        <f aca="false">SUMIFS(tabela_registros[VALOR],tabela_registros[MÊS],$AE$1,tabela_registros[DIA],reservavariáveisconsolidadojul[[#Headers],[10]],tabela_registros[REGISTRO],DADOS!$N$6,tabela_registros[TIPO],DADOS!$AJ$4,tabela_registros[CATEGORIA],reservavariáveisconsolidadojul[[#This Row],[ATUAL]])</f>
        <v>0</v>
      </c>
      <c r="O193" s="119" t="n">
        <f aca="false">SUMIFS(tabela_registros[VALOR],tabela_registros[MÊS],$AE$1,tabela_registros[DIA],reservavariáveisconsolidadojul[[#Headers],[11]],tabela_registros[REGISTRO],DADOS!$N$6,tabela_registros[TIPO],DADOS!$AJ$4,tabela_registros[CATEGORIA],reservavariáveisconsolidadojul[[#This Row],[ATUAL]])</f>
        <v>0</v>
      </c>
      <c r="P193" s="119" t="n">
        <f aca="false">SUMIFS(tabela_registros[VALOR],tabela_registros[MÊS],$AE$1,tabela_registros[DIA],reservavariáveisconsolidadojul[[#Headers],[12]],tabela_registros[REGISTRO],DADOS!$N$6,tabela_registros[TIPO],DADOS!$AJ$4,tabela_registros[CATEGORIA],reservavariáveisconsolidadojul[[#This Row],[ATUAL]])</f>
        <v>0</v>
      </c>
      <c r="Q193" s="119" t="n">
        <f aca="false">SUMIFS(tabela_registros[VALOR],tabela_registros[MÊS],$AE$1,tabela_registros[DIA],reservavariáveisconsolidadojul[[#Headers],[13]],tabela_registros[REGISTRO],DADOS!$N$6,tabela_registros[TIPO],DADOS!$AJ$4,tabela_registros[CATEGORIA],reservavariáveisconsolidadojul[[#This Row],[ATUAL]])</f>
        <v>0</v>
      </c>
      <c r="R193" s="119" t="n">
        <f aca="false">SUMIFS(tabela_registros[VALOR],tabela_registros[MÊS],$AE$1,tabela_registros[DIA],reservavariáveisconsolidadojul[[#Headers],[14]],tabela_registros[REGISTRO],DADOS!$N$6,tabela_registros[TIPO],DADOS!$AJ$4,tabela_registros[CATEGORIA],reservavariáveisconsolidadojul[[#This Row],[ATUAL]])</f>
        <v>0</v>
      </c>
      <c r="S193" s="119" t="n">
        <f aca="false">SUMIFS(tabela_registros[VALOR],tabela_registros[MÊS],$AE$1,tabela_registros[DIA],reservavariáveisconsolidadojul[[#Headers],[15]],tabela_registros[REGISTRO],DADOS!$N$6,tabela_registros[TIPO],DADOS!$AJ$4,tabela_registros[CATEGORIA],reservavariáveisconsolidadojul[[#This Row],[ATUAL]])</f>
        <v>0</v>
      </c>
      <c r="T193" s="119" t="n">
        <f aca="false">SUMIFS(tabela_registros[VALOR],tabela_registros[MÊS],$AE$1,tabela_registros[DIA],reservavariáveisconsolidadojul[[#Headers],[16]],tabela_registros[REGISTRO],DADOS!$N$6,tabela_registros[TIPO],DADOS!$AJ$4,tabela_registros[CATEGORIA],reservavariáveisconsolidadojul[[#This Row],[ATUAL]])</f>
        <v>0</v>
      </c>
      <c r="U193" s="119" t="n">
        <f aca="false">SUMIFS(tabela_registros[VALOR],tabela_registros[MÊS],$AE$1,tabela_registros[DIA],reservavariáveisconsolidadojul[[#Headers],[17]],tabela_registros[REGISTRO],DADOS!$N$6,tabela_registros[TIPO],DADOS!$AJ$4,tabela_registros[CATEGORIA],reservavariáveisconsolidadojul[[#This Row],[ATUAL]])</f>
        <v>0</v>
      </c>
      <c r="V193" s="119" t="n">
        <f aca="false">SUMIFS(tabela_registros[VALOR],tabela_registros[MÊS],$AE$1,tabela_registros[DIA],reservavariáveisconsolidadojul[[#Headers],[18]],tabela_registros[REGISTRO],DADOS!$N$6,tabela_registros[TIPO],DADOS!$AJ$4,tabela_registros[CATEGORIA],reservavariáveisconsolidadojul[[#This Row],[ATUAL]])</f>
        <v>0</v>
      </c>
      <c r="W193" s="119" t="n">
        <f aca="false">SUMIFS(tabela_registros[VALOR],tabela_registros[MÊS],$AE$1,tabela_registros[DIA],reservavariáveisconsolidadojul[[#Headers],[19]],tabela_registros[REGISTRO],DADOS!$N$6,tabela_registros[TIPO],DADOS!$AJ$4,tabela_registros[CATEGORIA],reservavariáveisconsolidadojul[[#This Row],[ATUAL]])</f>
        <v>0</v>
      </c>
      <c r="X193" s="119" t="n">
        <f aca="false">SUMIFS(tabela_registros[VALOR],tabela_registros[MÊS],$AE$1,tabela_registros[DIA],reservavariáveisconsolidadojul[[#Headers],[20]],tabela_registros[REGISTRO],DADOS!$N$6,tabela_registros[TIPO],DADOS!$AJ$4,tabela_registros[CATEGORIA],reservavariáveisconsolidadojul[[#This Row],[ATUAL]])</f>
        <v>0</v>
      </c>
      <c r="Y193" s="119" t="n">
        <f aca="false">SUMIFS(tabela_registros[VALOR],tabela_registros[MÊS],$AE$1,tabela_registros[DIA],reservavariáveisconsolidadojul[[#Headers],[21]],tabela_registros[REGISTRO],DADOS!$N$6,tabela_registros[TIPO],DADOS!$AJ$4,tabela_registros[CATEGORIA],reservavariáveisconsolidadojul[[#This Row],[ATUAL]])</f>
        <v>0</v>
      </c>
      <c r="Z193" s="119" t="n">
        <f aca="false">SUMIFS(tabela_registros[VALOR],tabela_registros[MÊS],$AE$1,tabela_registros[DIA],reservavariáveisconsolidadojul[[#Headers],[22]],tabela_registros[REGISTRO],DADOS!$N$6,tabela_registros[TIPO],DADOS!$AJ$4,tabela_registros[CATEGORIA],reservavariáveisconsolidadojul[[#This Row],[ATUAL]])</f>
        <v>0</v>
      </c>
      <c r="AA193" s="119" t="n">
        <f aca="false">SUMIFS(tabela_registros[VALOR],tabela_registros[MÊS],$AE$1,tabela_registros[DIA],reservavariáveisconsolidadojul[[#Headers],[23]],tabela_registros[REGISTRO],DADOS!$N$6,tabela_registros[TIPO],DADOS!$AJ$4,tabela_registros[CATEGORIA],reservavariáveisconsolidadojul[[#This Row],[ATUAL]])</f>
        <v>0</v>
      </c>
      <c r="AB193" s="119" t="n">
        <f aca="false">SUMIFS(tabela_registros[VALOR],tabela_registros[MÊS],$AE$1,tabela_registros[DIA],reservavariáveisconsolidadojul[[#Headers],[24]],tabela_registros[REGISTRO],DADOS!$N$6,tabela_registros[TIPO],DADOS!$AJ$4,tabela_registros[CATEGORIA],reservavariáveisconsolidadojul[[#This Row],[ATUAL]])</f>
        <v>0</v>
      </c>
      <c r="AC193" s="119" t="n">
        <f aca="false">SUMIFS(tabela_registros[VALOR],tabela_registros[MÊS],$AE$1,tabela_registros[DIA],reservavariáveisconsolidadojul[[#Headers],[25]],tabela_registros[REGISTRO],DADOS!$N$6,tabela_registros[TIPO],DADOS!$AJ$4,tabela_registros[CATEGORIA],reservavariáveisconsolidadojul[[#This Row],[ATUAL]])</f>
        <v>0</v>
      </c>
      <c r="AD193" s="119" t="n">
        <f aca="false">SUMIFS(tabela_registros[VALOR],tabela_registros[MÊS],$AE$1,tabela_registros[DIA],reservavariáveisconsolidadojul[[#Headers],[26]],tabela_registros[REGISTRO],DADOS!$N$6,tabela_registros[TIPO],DADOS!$AJ$4,tabela_registros[CATEGORIA],reservavariáveisconsolidadojul[[#This Row],[ATUAL]])</f>
        <v>0</v>
      </c>
      <c r="AE193" s="119" t="n">
        <f aca="false">SUMIFS(tabela_registros[VALOR],tabela_registros[MÊS],$AE$1,tabela_registros[DIA],reservavariáveisconsolidadojul[[#Headers],[27]],tabela_registros[REGISTRO],DADOS!$N$6,tabela_registros[TIPO],DADOS!$AJ$4,tabela_registros[CATEGORIA],reservavariáveisconsolidadojul[[#This Row],[ATUAL]])</f>
        <v>0</v>
      </c>
      <c r="AF193" s="119" t="n">
        <f aca="false">SUMIFS(tabela_registros[VALOR],tabela_registros[MÊS],$AE$1,tabela_registros[DIA],reservavariáveisconsolidadojul[[#Headers],[28]],tabela_registros[REGISTRO],DADOS!$N$6,tabela_registros[TIPO],DADOS!$AJ$4,tabela_registros[CATEGORIA],reservavariáveisconsolidadojul[[#This Row],[ATUAL]])</f>
        <v>0</v>
      </c>
      <c r="AG193" s="119" t="n">
        <f aca="false">SUMIFS(tabela_registros[VALOR],tabela_registros[MÊS],$AE$1,tabela_registros[DIA],reservavariáveisconsolidadojul[[#Headers],[29]],tabela_registros[REGISTRO],DADOS!$N$6,tabela_registros[TIPO],DADOS!$AJ$4,tabela_registros[CATEGORIA],reservavariáveisconsolidadojul[[#This Row],[ATUAL]])</f>
        <v>0</v>
      </c>
      <c r="AH193" s="119" t="n">
        <f aca="false">SUMIFS(tabela_registros[VALOR],tabela_registros[MÊS],$AE$1,tabela_registros[DIA],reservavariáveisconsolidadojul[[#Headers],[30]],tabela_registros[REGISTRO],DADOS!$N$6,tabela_registros[TIPO],DADOS!$AJ$4,tabela_registros[CATEGORIA],reservavariáveisconsolidadojul[[#This Row],[ATUAL]])</f>
        <v>0</v>
      </c>
      <c r="AI193" s="217" t="n">
        <f aca="false">SUMIFS(tabela_registros[VALOR],tabela_registros[MÊS],$AE$1,tabela_registros[DIA],reservavariáveisconsolidadojul[[#Headers],[31]],tabela_registros[REGISTRO],DADOS!$N$6,tabela_registros[TIPO],DADOS!$AJ$4,tabela_registros[CATEGORIA],reservavariáveisconsolidadojul[[#This Row],[ATUAL]])</f>
        <v>0</v>
      </c>
      <c r="AJ193" s="149" t="n">
        <f aca="false">SUM(reservavariáveisconsolidadojul[[#This Row],[1]:[31]])</f>
        <v>0</v>
      </c>
      <c r="AK193" s="165"/>
    </row>
    <row r="194" customFormat="false" ht="19.5" hidden="false" customHeight="true" outlineLevel="0" collapsed="false">
      <c r="B194" s="143"/>
      <c r="C194" s="144" t="str">
        <f aca="false">DADOS!$AN$10</f>
        <v>📝 FII</v>
      </c>
      <c r="D194" s="145" t="str">
        <f aca="false">IF(reservavariáveisconsolidadojul[[#This Row],[TOTAL (R$)]]=0,"",IF(OR(reservavariáveisconsolidadojul[[#This Row],[TOTAL (R$)]]=LARGE($AJ$187:$AJ$196,1),reservavariáveisconsolidadojul[[#This Row],[TOTAL (R$)]]=LARGE($AJ$187:$AJ$196,2)),DADOS!$I$11,""))</f>
        <v/>
      </c>
      <c r="E194" s="148" t="n">
        <f aca="false">SUMIFS(tabela_registros[VALOR],tabela_registros[MÊS],$AE$1,tabela_registros[DIA],reservavariáveisconsolidadojul[[#Headers],[1]],tabela_registros[REGISTRO],DADOS!$N$6,tabela_registros[TIPO],DADOS!$AJ$4,tabela_registros[CATEGORIA],reservavariáveisconsolidadojul[[#This Row],[ATUAL]])</f>
        <v>0</v>
      </c>
      <c r="F194" s="119" t="n">
        <f aca="false">SUMIFS(tabela_registros[VALOR],tabela_registros[MÊS],$AE$1,tabela_registros[DIA],reservavariáveisconsolidadojul[[#Headers],[2]],tabela_registros[REGISTRO],DADOS!$N$6,tabela_registros[TIPO],DADOS!$AJ$4,tabela_registros[CATEGORIA],reservavariáveisconsolidadojul[[#This Row],[ATUAL]])</f>
        <v>0</v>
      </c>
      <c r="G194" s="119" t="n">
        <f aca="false">SUMIFS(tabela_registros[VALOR],tabela_registros[MÊS],$AE$1,tabela_registros[DIA],reservavariáveisconsolidadojul[[#Headers],[3]],tabela_registros[REGISTRO],DADOS!$N$6,tabela_registros[TIPO],DADOS!$AJ$4,tabela_registros[CATEGORIA],reservavariáveisconsolidadojul[[#This Row],[ATUAL]])</f>
        <v>0</v>
      </c>
      <c r="H194" s="119" t="n">
        <f aca="false">SUMIFS(tabela_registros[VALOR],tabela_registros[MÊS],$AE$1,tabela_registros[DIA],reservavariáveisconsolidadojul[[#Headers],[4]],tabela_registros[REGISTRO],DADOS!$N$6,tabela_registros[TIPO],DADOS!$AJ$4,tabela_registros[CATEGORIA],reservavariáveisconsolidadojul[[#This Row],[ATUAL]])</f>
        <v>0</v>
      </c>
      <c r="I194" s="119" t="n">
        <f aca="false">SUMIFS(tabela_registros[VALOR],tabela_registros[MÊS],$AE$1,tabela_registros[DIA],reservavariáveisconsolidadojul[[#Headers],[5]],tabela_registros[REGISTRO],DADOS!$N$6,tabela_registros[TIPO],DADOS!$AJ$4,tabela_registros[CATEGORIA],reservavariáveisconsolidadojul[[#This Row],[ATUAL]])</f>
        <v>0</v>
      </c>
      <c r="J194" s="119" t="n">
        <f aca="false">SUMIFS(tabela_registros[VALOR],tabela_registros[MÊS],$AE$1,tabela_registros[DIA],reservavariáveisconsolidadojul[[#Headers],[6]],tabela_registros[REGISTRO],DADOS!$N$6,tabela_registros[TIPO],DADOS!$AJ$4,tabela_registros[CATEGORIA],reservavariáveisconsolidadojul[[#This Row],[ATUAL]])</f>
        <v>0</v>
      </c>
      <c r="K194" s="119" t="n">
        <f aca="false">SUMIFS(tabela_registros[VALOR],tabela_registros[MÊS],$AE$1,tabela_registros[DIA],reservavariáveisconsolidadojul[[#Headers],[7]],tabela_registros[REGISTRO],DADOS!$N$6,tabela_registros[TIPO],DADOS!$AJ$4,tabela_registros[CATEGORIA],reservavariáveisconsolidadojul[[#This Row],[ATUAL]])</f>
        <v>0</v>
      </c>
      <c r="L194" s="119" t="n">
        <f aca="false">SUMIFS(tabela_registros[VALOR],tabela_registros[MÊS],$AE$1,tabela_registros[DIA],reservavariáveisconsolidadojul[[#Headers],[8]],tabela_registros[REGISTRO],DADOS!$N$6,tabela_registros[TIPO],DADOS!$AJ$4,tabela_registros[CATEGORIA],reservavariáveisconsolidadojul[[#This Row],[ATUAL]])</f>
        <v>0</v>
      </c>
      <c r="M194" s="119" t="n">
        <f aca="false">SUMIFS(tabela_registros[VALOR],tabela_registros[MÊS],$AE$1,tabela_registros[DIA],reservavariáveisconsolidadojul[[#Headers],[9]],tabela_registros[REGISTRO],DADOS!$N$6,tabela_registros[TIPO],DADOS!$AJ$4,tabela_registros[CATEGORIA],reservavariáveisconsolidadojul[[#This Row],[ATUAL]])</f>
        <v>0</v>
      </c>
      <c r="N194" s="119" t="n">
        <f aca="false">SUMIFS(tabela_registros[VALOR],tabela_registros[MÊS],$AE$1,tabela_registros[DIA],reservavariáveisconsolidadojul[[#Headers],[10]],tabela_registros[REGISTRO],DADOS!$N$6,tabela_registros[TIPO],DADOS!$AJ$4,tabela_registros[CATEGORIA],reservavariáveisconsolidadojul[[#This Row],[ATUAL]])</f>
        <v>0</v>
      </c>
      <c r="O194" s="119" t="n">
        <f aca="false">SUMIFS(tabela_registros[VALOR],tabela_registros[MÊS],$AE$1,tabela_registros[DIA],reservavariáveisconsolidadojul[[#Headers],[11]],tabela_registros[REGISTRO],DADOS!$N$6,tabela_registros[TIPO],DADOS!$AJ$4,tabela_registros[CATEGORIA],reservavariáveisconsolidadojul[[#This Row],[ATUAL]])</f>
        <v>0</v>
      </c>
      <c r="P194" s="119" t="n">
        <f aca="false">SUMIFS(tabela_registros[VALOR],tabela_registros[MÊS],$AE$1,tabela_registros[DIA],reservavariáveisconsolidadojul[[#Headers],[12]],tabela_registros[REGISTRO],DADOS!$N$6,tabela_registros[TIPO],DADOS!$AJ$4,tabela_registros[CATEGORIA],reservavariáveisconsolidadojul[[#This Row],[ATUAL]])</f>
        <v>0</v>
      </c>
      <c r="Q194" s="119" t="n">
        <f aca="false">SUMIFS(tabela_registros[VALOR],tabela_registros[MÊS],$AE$1,tabela_registros[DIA],reservavariáveisconsolidadojul[[#Headers],[13]],tabela_registros[REGISTRO],DADOS!$N$6,tabela_registros[TIPO],DADOS!$AJ$4,tabela_registros[CATEGORIA],reservavariáveisconsolidadojul[[#This Row],[ATUAL]])</f>
        <v>0</v>
      </c>
      <c r="R194" s="119" t="n">
        <f aca="false">SUMIFS(tabela_registros[VALOR],tabela_registros[MÊS],$AE$1,tabela_registros[DIA],reservavariáveisconsolidadojul[[#Headers],[14]],tabela_registros[REGISTRO],DADOS!$N$6,tabela_registros[TIPO],DADOS!$AJ$4,tabela_registros[CATEGORIA],reservavariáveisconsolidadojul[[#This Row],[ATUAL]])</f>
        <v>0</v>
      </c>
      <c r="S194" s="119" t="n">
        <f aca="false">SUMIFS(tabela_registros[VALOR],tabela_registros[MÊS],$AE$1,tabela_registros[DIA],reservavariáveisconsolidadojul[[#Headers],[15]],tabela_registros[REGISTRO],DADOS!$N$6,tabela_registros[TIPO],DADOS!$AJ$4,tabela_registros[CATEGORIA],reservavariáveisconsolidadojul[[#This Row],[ATUAL]])</f>
        <v>0</v>
      </c>
      <c r="T194" s="119" t="n">
        <f aca="false">SUMIFS(tabela_registros[VALOR],tabela_registros[MÊS],$AE$1,tabela_registros[DIA],reservavariáveisconsolidadojul[[#Headers],[16]],tabela_registros[REGISTRO],DADOS!$N$6,tabela_registros[TIPO],DADOS!$AJ$4,tabela_registros[CATEGORIA],reservavariáveisconsolidadojul[[#This Row],[ATUAL]])</f>
        <v>0</v>
      </c>
      <c r="U194" s="119" t="n">
        <f aca="false">SUMIFS(tabela_registros[VALOR],tabela_registros[MÊS],$AE$1,tabela_registros[DIA],reservavariáveisconsolidadojul[[#Headers],[17]],tabela_registros[REGISTRO],DADOS!$N$6,tabela_registros[TIPO],DADOS!$AJ$4,tabela_registros[CATEGORIA],reservavariáveisconsolidadojul[[#This Row],[ATUAL]])</f>
        <v>0</v>
      </c>
      <c r="V194" s="119" t="n">
        <f aca="false">SUMIFS(tabela_registros[VALOR],tabela_registros[MÊS],$AE$1,tabela_registros[DIA],reservavariáveisconsolidadojul[[#Headers],[18]],tabela_registros[REGISTRO],DADOS!$N$6,tabela_registros[TIPO],DADOS!$AJ$4,tabela_registros[CATEGORIA],reservavariáveisconsolidadojul[[#This Row],[ATUAL]])</f>
        <v>0</v>
      </c>
      <c r="W194" s="119" t="n">
        <f aca="false">SUMIFS(tabela_registros[VALOR],tabela_registros[MÊS],$AE$1,tabela_registros[DIA],reservavariáveisconsolidadojul[[#Headers],[19]],tabela_registros[REGISTRO],DADOS!$N$6,tabela_registros[TIPO],DADOS!$AJ$4,tabela_registros[CATEGORIA],reservavariáveisconsolidadojul[[#This Row],[ATUAL]])</f>
        <v>0</v>
      </c>
      <c r="X194" s="119" t="n">
        <f aca="false">SUMIFS(tabela_registros[VALOR],tabela_registros[MÊS],$AE$1,tabela_registros[DIA],reservavariáveisconsolidadojul[[#Headers],[20]],tabela_registros[REGISTRO],DADOS!$N$6,tabela_registros[TIPO],DADOS!$AJ$4,tabela_registros[CATEGORIA],reservavariáveisconsolidadojul[[#This Row],[ATUAL]])</f>
        <v>0</v>
      </c>
      <c r="Y194" s="119" t="n">
        <f aca="false">SUMIFS(tabela_registros[VALOR],tabela_registros[MÊS],$AE$1,tabela_registros[DIA],reservavariáveisconsolidadojul[[#Headers],[21]],tabela_registros[REGISTRO],DADOS!$N$6,tabela_registros[TIPO],DADOS!$AJ$4,tabela_registros[CATEGORIA],reservavariáveisconsolidadojul[[#This Row],[ATUAL]])</f>
        <v>0</v>
      </c>
      <c r="Z194" s="119" t="n">
        <f aca="false">SUMIFS(tabela_registros[VALOR],tabela_registros[MÊS],$AE$1,tabela_registros[DIA],reservavariáveisconsolidadojul[[#Headers],[22]],tabela_registros[REGISTRO],DADOS!$N$6,tabela_registros[TIPO],DADOS!$AJ$4,tabela_registros[CATEGORIA],reservavariáveisconsolidadojul[[#This Row],[ATUAL]])</f>
        <v>0</v>
      </c>
      <c r="AA194" s="119" t="n">
        <f aca="false">SUMIFS(tabela_registros[VALOR],tabela_registros[MÊS],$AE$1,tabela_registros[DIA],reservavariáveisconsolidadojul[[#Headers],[23]],tabela_registros[REGISTRO],DADOS!$N$6,tabela_registros[TIPO],DADOS!$AJ$4,tabela_registros[CATEGORIA],reservavariáveisconsolidadojul[[#This Row],[ATUAL]])</f>
        <v>0</v>
      </c>
      <c r="AB194" s="119" t="n">
        <f aca="false">SUMIFS(tabela_registros[VALOR],tabela_registros[MÊS],$AE$1,tabela_registros[DIA],reservavariáveisconsolidadojul[[#Headers],[24]],tabela_registros[REGISTRO],DADOS!$N$6,tabela_registros[TIPO],DADOS!$AJ$4,tabela_registros[CATEGORIA],reservavariáveisconsolidadojul[[#This Row],[ATUAL]])</f>
        <v>0</v>
      </c>
      <c r="AC194" s="119" t="n">
        <f aca="false">SUMIFS(tabela_registros[VALOR],tabela_registros[MÊS],$AE$1,tabela_registros[DIA],reservavariáveisconsolidadojul[[#Headers],[25]],tabela_registros[REGISTRO],DADOS!$N$6,tabela_registros[TIPO],DADOS!$AJ$4,tabela_registros[CATEGORIA],reservavariáveisconsolidadojul[[#This Row],[ATUAL]])</f>
        <v>0</v>
      </c>
      <c r="AD194" s="119" t="n">
        <f aca="false">SUMIFS(tabela_registros[VALOR],tabela_registros[MÊS],$AE$1,tabela_registros[DIA],reservavariáveisconsolidadojul[[#Headers],[26]],tabela_registros[REGISTRO],DADOS!$N$6,tabela_registros[TIPO],DADOS!$AJ$4,tabela_registros[CATEGORIA],reservavariáveisconsolidadojul[[#This Row],[ATUAL]])</f>
        <v>0</v>
      </c>
      <c r="AE194" s="119" t="n">
        <f aca="false">SUMIFS(tabela_registros[VALOR],tabela_registros[MÊS],$AE$1,tabela_registros[DIA],reservavariáveisconsolidadojul[[#Headers],[27]],tabela_registros[REGISTRO],DADOS!$N$6,tabela_registros[TIPO],DADOS!$AJ$4,tabela_registros[CATEGORIA],reservavariáveisconsolidadojul[[#This Row],[ATUAL]])</f>
        <v>0</v>
      </c>
      <c r="AF194" s="119" t="n">
        <f aca="false">SUMIFS(tabela_registros[VALOR],tabela_registros[MÊS],$AE$1,tabela_registros[DIA],reservavariáveisconsolidadojul[[#Headers],[28]],tabela_registros[REGISTRO],DADOS!$N$6,tabela_registros[TIPO],DADOS!$AJ$4,tabela_registros[CATEGORIA],reservavariáveisconsolidadojul[[#This Row],[ATUAL]])</f>
        <v>0</v>
      </c>
      <c r="AG194" s="119" t="n">
        <f aca="false">SUMIFS(tabela_registros[VALOR],tabela_registros[MÊS],$AE$1,tabela_registros[DIA],reservavariáveisconsolidadojul[[#Headers],[29]],tabela_registros[REGISTRO],DADOS!$N$6,tabela_registros[TIPO],DADOS!$AJ$4,tabela_registros[CATEGORIA],reservavariáveisconsolidadojul[[#This Row],[ATUAL]])</f>
        <v>0</v>
      </c>
      <c r="AH194" s="119" t="n">
        <f aca="false">SUMIFS(tabela_registros[VALOR],tabela_registros[MÊS],$AE$1,tabela_registros[DIA],reservavariáveisconsolidadojul[[#Headers],[30]],tabela_registros[REGISTRO],DADOS!$N$6,tabela_registros[TIPO],DADOS!$AJ$4,tabela_registros[CATEGORIA],reservavariáveisconsolidadojul[[#This Row],[ATUAL]])</f>
        <v>0</v>
      </c>
      <c r="AI194" s="217" t="n">
        <f aca="false">SUMIFS(tabela_registros[VALOR],tabela_registros[MÊS],$AE$1,tabela_registros[DIA],reservavariáveisconsolidadojul[[#Headers],[31]],tabela_registros[REGISTRO],DADOS!$N$6,tabela_registros[TIPO],DADOS!$AJ$4,tabela_registros[CATEGORIA],reservavariáveisconsolidadojul[[#This Row],[ATUAL]])</f>
        <v>0</v>
      </c>
      <c r="AJ194" s="149" t="n">
        <f aca="false">SUM(reservavariáveisconsolidadojul[[#This Row],[1]:[31]])</f>
        <v>0</v>
      </c>
      <c r="AK194" s="165"/>
    </row>
    <row r="195" customFormat="false" ht="19.5" hidden="false" customHeight="true" outlineLevel="0" collapsed="false">
      <c r="B195" s="143"/>
      <c r="C195" s="144" t="str">
        <f aca="false">DADOS!$AN$11</f>
        <v>📝 MOEDA</v>
      </c>
      <c r="D195" s="145" t="str">
        <f aca="false">IF(reservavariáveisconsolidadojul[[#This Row],[TOTAL (R$)]]=0,"",IF(OR(reservavariáveisconsolidadojul[[#This Row],[TOTAL (R$)]]=LARGE($AJ$187:$AJ$196,1),reservavariáveisconsolidadojul[[#This Row],[TOTAL (R$)]]=LARGE($AJ$187:$AJ$196,2)),DADOS!$I$11,""))</f>
        <v/>
      </c>
      <c r="E195" s="148" t="n">
        <f aca="false">SUMIFS(tabela_registros[VALOR],tabela_registros[MÊS],$AE$1,tabela_registros[DIA],reservavariáveisconsolidadojul[[#Headers],[1]],tabela_registros[REGISTRO],DADOS!$N$6,tabela_registros[TIPO],DADOS!$AJ$4,tabela_registros[CATEGORIA],reservavariáveisconsolidadojul[[#This Row],[ATUAL]])</f>
        <v>0</v>
      </c>
      <c r="F195" s="119" t="n">
        <f aca="false">SUMIFS(tabela_registros[VALOR],tabela_registros[MÊS],$AE$1,tabela_registros[DIA],reservavariáveisconsolidadojul[[#Headers],[2]],tabela_registros[REGISTRO],DADOS!$N$6,tabela_registros[TIPO],DADOS!$AJ$4,tabela_registros[CATEGORIA],reservavariáveisconsolidadojul[[#This Row],[ATUAL]])</f>
        <v>0</v>
      </c>
      <c r="G195" s="119" t="n">
        <f aca="false">SUMIFS(tabela_registros[VALOR],tabela_registros[MÊS],$AE$1,tabela_registros[DIA],reservavariáveisconsolidadojul[[#Headers],[3]],tabela_registros[REGISTRO],DADOS!$N$6,tabela_registros[TIPO],DADOS!$AJ$4,tabela_registros[CATEGORIA],reservavariáveisconsolidadojul[[#This Row],[ATUAL]])</f>
        <v>0</v>
      </c>
      <c r="H195" s="119" t="n">
        <f aca="false">SUMIFS(tabela_registros[VALOR],tabela_registros[MÊS],$AE$1,tabela_registros[DIA],reservavariáveisconsolidadojul[[#Headers],[4]],tabela_registros[REGISTRO],DADOS!$N$6,tabela_registros[TIPO],DADOS!$AJ$4,tabela_registros[CATEGORIA],reservavariáveisconsolidadojul[[#This Row],[ATUAL]])</f>
        <v>0</v>
      </c>
      <c r="I195" s="119" t="n">
        <f aca="false">SUMIFS(tabela_registros[VALOR],tabela_registros[MÊS],$AE$1,tabela_registros[DIA],reservavariáveisconsolidadojul[[#Headers],[5]],tabela_registros[REGISTRO],DADOS!$N$6,tabela_registros[TIPO],DADOS!$AJ$4,tabela_registros[CATEGORIA],reservavariáveisconsolidadojul[[#This Row],[ATUAL]])</f>
        <v>0</v>
      </c>
      <c r="J195" s="119" t="n">
        <f aca="false">SUMIFS(tabela_registros[VALOR],tabela_registros[MÊS],$AE$1,tabela_registros[DIA],reservavariáveisconsolidadojul[[#Headers],[6]],tabela_registros[REGISTRO],DADOS!$N$6,tabela_registros[TIPO],DADOS!$AJ$4,tabela_registros[CATEGORIA],reservavariáveisconsolidadojul[[#This Row],[ATUAL]])</f>
        <v>0</v>
      </c>
      <c r="K195" s="119" t="n">
        <f aca="false">SUMIFS(tabela_registros[VALOR],tabela_registros[MÊS],$AE$1,tabela_registros[DIA],reservavariáveisconsolidadojul[[#Headers],[7]],tabela_registros[REGISTRO],DADOS!$N$6,tabela_registros[TIPO],DADOS!$AJ$4,tabela_registros[CATEGORIA],reservavariáveisconsolidadojul[[#This Row],[ATUAL]])</f>
        <v>0</v>
      </c>
      <c r="L195" s="119" t="n">
        <f aca="false">SUMIFS(tabela_registros[VALOR],tabela_registros[MÊS],$AE$1,tabela_registros[DIA],reservavariáveisconsolidadojul[[#Headers],[8]],tabela_registros[REGISTRO],DADOS!$N$6,tabela_registros[TIPO],DADOS!$AJ$4,tabela_registros[CATEGORIA],reservavariáveisconsolidadojul[[#This Row],[ATUAL]])</f>
        <v>0</v>
      </c>
      <c r="M195" s="119" t="n">
        <f aca="false">SUMIFS(tabela_registros[VALOR],tabela_registros[MÊS],$AE$1,tabela_registros[DIA],reservavariáveisconsolidadojul[[#Headers],[9]],tabela_registros[REGISTRO],DADOS!$N$6,tabela_registros[TIPO],DADOS!$AJ$4,tabela_registros[CATEGORIA],reservavariáveisconsolidadojul[[#This Row],[ATUAL]])</f>
        <v>0</v>
      </c>
      <c r="N195" s="119" t="n">
        <f aca="false">SUMIFS(tabela_registros[VALOR],tabela_registros[MÊS],$AE$1,tabela_registros[DIA],reservavariáveisconsolidadojul[[#Headers],[10]],tabela_registros[REGISTRO],DADOS!$N$6,tabela_registros[TIPO],DADOS!$AJ$4,tabela_registros[CATEGORIA],reservavariáveisconsolidadojul[[#This Row],[ATUAL]])</f>
        <v>0</v>
      </c>
      <c r="O195" s="119" t="n">
        <f aca="false">SUMIFS(tabela_registros[VALOR],tabela_registros[MÊS],$AE$1,tabela_registros[DIA],reservavariáveisconsolidadojul[[#Headers],[11]],tabela_registros[REGISTRO],DADOS!$N$6,tabela_registros[TIPO],DADOS!$AJ$4,tabela_registros[CATEGORIA],reservavariáveisconsolidadojul[[#This Row],[ATUAL]])</f>
        <v>0</v>
      </c>
      <c r="P195" s="119" t="n">
        <f aca="false">SUMIFS(tabela_registros[VALOR],tabela_registros[MÊS],$AE$1,tabela_registros[DIA],reservavariáveisconsolidadojul[[#Headers],[12]],tabela_registros[REGISTRO],DADOS!$N$6,tabela_registros[TIPO],DADOS!$AJ$4,tabela_registros[CATEGORIA],reservavariáveisconsolidadojul[[#This Row],[ATUAL]])</f>
        <v>0</v>
      </c>
      <c r="Q195" s="119" t="n">
        <f aca="false">SUMIFS(tabela_registros[VALOR],tabela_registros[MÊS],$AE$1,tabela_registros[DIA],reservavariáveisconsolidadojul[[#Headers],[13]],tabela_registros[REGISTRO],DADOS!$N$6,tabela_registros[TIPO],DADOS!$AJ$4,tabela_registros[CATEGORIA],reservavariáveisconsolidadojul[[#This Row],[ATUAL]])</f>
        <v>0</v>
      </c>
      <c r="R195" s="119" t="n">
        <f aca="false">SUMIFS(tabela_registros[VALOR],tabela_registros[MÊS],$AE$1,tabela_registros[DIA],reservavariáveisconsolidadojul[[#Headers],[14]],tabela_registros[REGISTRO],DADOS!$N$6,tabela_registros[TIPO],DADOS!$AJ$4,tabela_registros[CATEGORIA],reservavariáveisconsolidadojul[[#This Row],[ATUAL]])</f>
        <v>0</v>
      </c>
      <c r="S195" s="119" t="n">
        <f aca="false">SUMIFS(tabela_registros[VALOR],tabela_registros[MÊS],$AE$1,tabela_registros[DIA],reservavariáveisconsolidadojul[[#Headers],[15]],tabela_registros[REGISTRO],DADOS!$N$6,tabela_registros[TIPO],DADOS!$AJ$4,tabela_registros[CATEGORIA],reservavariáveisconsolidadojul[[#This Row],[ATUAL]])</f>
        <v>0</v>
      </c>
      <c r="T195" s="119" t="n">
        <f aca="false">SUMIFS(tabela_registros[VALOR],tabela_registros[MÊS],$AE$1,tabela_registros[DIA],reservavariáveisconsolidadojul[[#Headers],[16]],tabela_registros[REGISTRO],DADOS!$N$6,tabela_registros[TIPO],DADOS!$AJ$4,tabela_registros[CATEGORIA],reservavariáveisconsolidadojul[[#This Row],[ATUAL]])</f>
        <v>0</v>
      </c>
      <c r="U195" s="119" t="n">
        <f aca="false">SUMIFS(tabela_registros[VALOR],tabela_registros[MÊS],$AE$1,tabela_registros[DIA],reservavariáveisconsolidadojul[[#Headers],[17]],tabela_registros[REGISTRO],DADOS!$N$6,tabela_registros[TIPO],DADOS!$AJ$4,tabela_registros[CATEGORIA],reservavariáveisconsolidadojul[[#This Row],[ATUAL]])</f>
        <v>0</v>
      </c>
      <c r="V195" s="119" t="n">
        <f aca="false">SUMIFS(tabela_registros[VALOR],tabela_registros[MÊS],$AE$1,tabela_registros[DIA],reservavariáveisconsolidadojul[[#Headers],[18]],tabela_registros[REGISTRO],DADOS!$N$6,tabela_registros[TIPO],DADOS!$AJ$4,tabela_registros[CATEGORIA],reservavariáveisconsolidadojul[[#This Row],[ATUAL]])</f>
        <v>0</v>
      </c>
      <c r="W195" s="119" t="n">
        <f aca="false">SUMIFS(tabela_registros[VALOR],tabela_registros[MÊS],$AE$1,tabela_registros[DIA],reservavariáveisconsolidadojul[[#Headers],[19]],tabela_registros[REGISTRO],DADOS!$N$6,tabela_registros[TIPO],DADOS!$AJ$4,tabela_registros[CATEGORIA],reservavariáveisconsolidadojul[[#This Row],[ATUAL]])</f>
        <v>0</v>
      </c>
      <c r="X195" s="119" t="n">
        <f aca="false">SUMIFS(tabela_registros[VALOR],tabela_registros[MÊS],$AE$1,tabela_registros[DIA],reservavariáveisconsolidadojul[[#Headers],[20]],tabela_registros[REGISTRO],DADOS!$N$6,tabela_registros[TIPO],DADOS!$AJ$4,tabela_registros[CATEGORIA],reservavariáveisconsolidadojul[[#This Row],[ATUAL]])</f>
        <v>0</v>
      </c>
      <c r="Y195" s="119" t="n">
        <f aca="false">SUMIFS(tabela_registros[VALOR],tabela_registros[MÊS],$AE$1,tabela_registros[DIA],reservavariáveisconsolidadojul[[#Headers],[21]],tabela_registros[REGISTRO],DADOS!$N$6,tabela_registros[TIPO],DADOS!$AJ$4,tabela_registros[CATEGORIA],reservavariáveisconsolidadojul[[#This Row],[ATUAL]])</f>
        <v>0</v>
      </c>
      <c r="Z195" s="119" t="n">
        <f aca="false">SUMIFS(tabela_registros[VALOR],tabela_registros[MÊS],$AE$1,tabela_registros[DIA],reservavariáveisconsolidadojul[[#Headers],[22]],tabela_registros[REGISTRO],DADOS!$N$6,tabela_registros[TIPO],DADOS!$AJ$4,tabela_registros[CATEGORIA],reservavariáveisconsolidadojul[[#This Row],[ATUAL]])</f>
        <v>0</v>
      </c>
      <c r="AA195" s="119" t="n">
        <f aca="false">SUMIFS(tabela_registros[VALOR],tabela_registros[MÊS],$AE$1,tabela_registros[DIA],reservavariáveisconsolidadojul[[#Headers],[23]],tabela_registros[REGISTRO],DADOS!$N$6,tabela_registros[TIPO],DADOS!$AJ$4,tabela_registros[CATEGORIA],reservavariáveisconsolidadojul[[#This Row],[ATUAL]])</f>
        <v>0</v>
      </c>
      <c r="AB195" s="119" t="n">
        <f aca="false">SUMIFS(tabela_registros[VALOR],tabela_registros[MÊS],$AE$1,tabela_registros[DIA],reservavariáveisconsolidadojul[[#Headers],[24]],tabela_registros[REGISTRO],DADOS!$N$6,tabela_registros[TIPO],DADOS!$AJ$4,tabela_registros[CATEGORIA],reservavariáveisconsolidadojul[[#This Row],[ATUAL]])</f>
        <v>0</v>
      </c>
      <c r="AC195" s="119" t="n">
        <f aca="false">SUMIFS(tabela_registros[VALOR],tabela_registros[MÊS],$AE$1,tabela_registros[DIA],reservavariáveisconsolidadojul[[#Headers],[25]],tabela_registros[REGISTRO],DADOS!$N$6,tabela_registros[TIPO],DADOS!$AJ$4,tabela_registros[CATEGORIA],reservavariáveisconsolidadojul[[#This Row],[ATUAL]])</f>
        <v>0</v>
      </c>
      <c r="AD195" s="119" t="n">
        <f aca="false">SUMIFS(tabela_registros[VALOR],tabela_registros[MÊS],$AE$1,tabela_registros[DIA],reservavariáveisconsolidadojul[[#Headers],[26]],tabela_registros[REGISTRO],DADOS!$N$6,tabela_registros[TIPO],DADOS!$AJ$4,tabela_registros[CATEGORIA],reservavariáveisconsolidadojul[[#This Row],[ATUAL]])</f>
        <v>0</v>
      </c>
      <c r="AE195" s="119" t="n">
        <f aca="false">SUMIFS(tabela_registros[VALOR],tabela_registros[MÊS],$AE$1,tabela_registros[DIA],reservavariáveisconsolidadojul[[#Headers],[27]],tabela_registros[REGISTRO],DADOS!$N$6,tabela_registros[TIPO],DADOS!$AJ$4,tabela_registros[CATEGORIA],reservavariáveisconsolidadojul[[#This Row],[ATUAL]])</f>
        <v>0</v>
      </c>
      <c r="AF195" s="119" t="n">
        <f aca="false">SUMIFS(tabela_registros[VALOR],tabela_registros[MÊS],$AE$1,tabela_registros[DIA],reservavariáveisconsolidadojul[[#Headers],[28]],tabela_registros[REGISTRO],DADOS!$N$6,tabela_registros[TIPO],DADOS!$AJ$4,tabela_registros[CATEGORIA],reservavariáveisconsolidadojul[[#This Row],[ATUAL]])</f>
        <v>0</v>
      </c>
      <c r="AG195" s="119" t="n">
        <f aca="false">SUMIFS(tabela_registros[VALOR],tabela_registros[MÊS],$AE$1,tabela_registros[DIA],reservavariáveisconsolidadojul[[#Headers],[29]],tabela_registros[REGISTRO],DADOS!$N$6,tabela_registros[TIPO],DADOS!$AJ$4,tabela_registros[CATEGORIA],reservavariáveisconsolidadojul[[#This Row],[ATUAL]])</f>
        <v>0</v>
      </c>
      <c r="AH195" s="119" t="n">
        <f aca="false">SUMIFS(tabela_registros[VALOR],tabela_registros[MÊS],$AE$1,tabela_registros[DIA],reservavariáveisconsolidadojul[[#Headers],[30]],tabela_registros[REGISTRO],DADOS!$N$6,tabela_registros[TIPO],DADOS!$AJ$4,tabela_registros[CATEGORIA],reservavariáveisconsolidadojul[[#This Row],[ATUAL]])</f>
        <v>0</v>
      </c>
      <c r="AI195" s="217" t="n">
        <f aca="false">SUMIFS(tabela_registros[VALOR],tabela_registros[MÊS],$AE$1,tabela_registros[DIA],reservavariáveisconsolidadojul[[#Headers],[31]],tabela_registros[REGISTRO],DADOS!$N$6,tabela_registros[TIPO],DADOS!$AJ$4,tabela_registros[CATEGORIA],reservavariáveisconsolidadojul[[#This Row],[ATUAL]])</f>
        <v>0</v>
      </c>
      <c r="AJ195" s="149" t="n">
        <f aca="false">SUM(reservavariáveisconsolidadojul[[#This Row],[1]:[31]])</f>
        <v>0</v>
      </c>
      <c r="AK195" s="165"/>
    </row>
    <row r="196" customFormat="false" ht="19.5" hidden="false" customHeight="true" outlineLevel="0" collapsed="false">
      <c r="B196" s="143"/>
      <c r="C196" s="144" t="str">
        <f aca="false">DADOS!$AN$12</f>
        <v>📎 OUTROS</v>
      </c>
      <c r="D196" s="145" t="str">
        <f aca="false">IF(reservavariáveisconsolidadojul[[#This Row],[TOTAL (R$)]]=0,"",IF(OR(reservavariáveisconsolidadojul[[#This Row],[TOTAL (R$)]]=LARGE($AJ$187:$AJ$196,1),reservavariáveisconsolidadojul[[#This Row],[TOTAL (R$)]]=LARGE($AJ$187:$AJ$196,2)),DADOS!$I$11,""))</f>
        <v/>
      </c>
      <c r="E196" s="148" t="n">
        <f aca="false">SUMIFS(tabela_registros[VALOR],tabela_registros[MÊS],$AE$1,tabela_registros[DIA],reservavariáveisconsolidadojul[[#Headers],[1]],tabela_registros[REGISTRO],DADOS!$N$6,tabela_registros[TIPO],DADOS!$AJ$4,tabela_registros[CATEGORIA],reservavariáveisconsolidadojul[[#This Row],[ATUAL]])</f>
        <v>0</v>
      </c>
      <c r="F196" s="119" t="n">
        <f aca="false">SUMIFS(tabela_registros[VALOR],tabela_registros[MÊS],$AE$1,tabela_registros[DIA],reservavariáveisconsolidadojul[[#Headers],[2]],tabela_registros[REGISTRO],DADOS!$N$6,tabela_registros[TIPO],DADOS!$AJ$4,tabela_registros[CATEGORIA],reservavariáveisconsolidadojul[[#This Row],[ATUAL]])</f>
        <v>0</v>
      </c>
      <c r="G196" s="119" t="n">
        <f aca="false">SUMIFS(tabela_registros[VALOR],tabela_registros[MÊS],$AE$1,tabela_registros[DIA],reservavariáveisconsolidadojul[[#Headers],[3]],tabela_registros[REGISTRO],DADOS!$N$6,tabela_registros[TIPO],DADOS!$AJ$4,tabela_registros[CATEGORIA],reservavariáveisconsolidadojul[[#This Row],[ATUAL]])</f>
        <v>0</v>
      </c>
      <c r="H196" s="119" t="n">
        <f aca="false">SUMIFS(tabela_registros[VALOR],tabela_registros[MÊS],$AE$1,tabela_registros[DIA],reservavariáveisconsolidadojul[[#Headers],[4]],tabela_registros[REGISTRO],DADOS!$N$6,tabela_registros[TIPO],DADOS!$AJ$4,tabela_registros[CATEGORIA],reservavariáveisconsolidadojul[[#This Row],[ATUAL]])</f>
        <v>0</v>
      </c>
      <c r="I196" s="119" t="n">
        <f aca="false">SUMIFS(tabela_registros[VALOR],tabela_registros[MÊS],$AE$1,tabela_registros[DIA],reservavariáveisconsolidadojul[[#Headers],[5]],tabela_registros[REGISTRO],DADOS!$N$6,tabela_registros[TIPO],DADOS!$AJ$4,tabela_registros[CATEGORIA],reservavariáveisconsolidadojul[[#This Row],[ATUAL]])</f>
        <v>0</v>
      </c>
      <c r="J196" s="119" t="n">
        <f aca="false">SUMIFS(tabela_registros[VALOR],tabela_registros[MÊS],$AE$1,tabela_registros[DIA],reservavariáveisconsolidadojul[[#Headers],[6]],tabela_registros[REGISTRO],DADOS!$N$6,tabela_registros[TIPO],DADOS!$AJ$4,tabela_registros[CATEGORIA],reservavariáveisconsolidadojul[[#This Row],[ATUAL]])</f>
        <v>0</v>
      </c>
      <c r="K196" s="119" t="n">
        <f aca="false">SUMIFS(tabela_registros[VALOR],tabela_registros[MÊS],$AE$1,tabela_registros[DIA],reservavariáveisconsolidadojul[[#Headers],[7]],tabela_registros[REGISTRO],DADOS!$N$6,tabela_registros[TIPO],DADOS!$AJ$4,tabela_registros[CATEGORIA],reservavariáveisconsolidadojul[[#This Row],[ATUAL]])</f>
        <v>0</v>
      </c>
      <c r="L196" s="119" t="n">
        <f aca="false">SUMIFS(tabela_registros[VALOR],tabela_registros[MÊS],$AE$1,tabela_registros[DIA],reservavariáveisconsolidadojul[[#Headers],[8]],tabela_registros[REGISTRO],DADOS!$N$6,tabela_registros[TIPO],DADOS!$AJ$4,tabela_registros[CATEGORIA],reservavariáveisconsolidadojul[[#This Row],[ATUAL]])</f>
        <v>0</v>
      </c>
      <c r="M196" s="119" t="n">
        <f aca="false">SUMIFS(tabela_registros[VALOR],tabela_registros[MÊS],$AE$1,tabela_registros[DIA],reservavariáveisconsolidadojul[[#Headers],[9]],tabela_registros[REGISTRO],DADOS!$N$6,tabela_registros[TIPO],DADOS!$AJ$4,tabela_registros[CATEGORIA],reservavariáveisconsolidadojul[[#This Row],[ATUAL]])</f>
        <v>0</v>
      </c>
      <c r="N196" s="119" t="n">
        <f aca="false">SUMIFS(tabela_registros[VALOR],tabela_registros[MÊS],$AE$1,tabela_registros[DIA],reservavariáveisconsolidadojul[[#Headers],[10]],tabela_registros[REGISTRO],DADOS!$N$6,tabela_registros[TIPO],DADOS!$AJ$4,tabela_registros[CATEGORIA],reservavariáveisconsolidadojul[[#This Row],[ATUAL]])</f>
        <v>0</v>
      </c>
      <c r="O196" s="119" t="n">
        <f aca="false">SUMIFS(tabela_registros[VALOR],tabela_registros[MÊS],$AE$1,tabela_registros[DIA],reservavariáveisconsolidadojul[[#Headers],[11]],tabela_registros[REGISTRO],DADOS!$N$6,tabela_registros[TIPO],DADOS!$AJ$4,tabela_registros[CATEGORIA],reservavariáveisconsolidadojul[[#This Row],[ATUAL]])</f>
        <v>0</v>
      </c>
      <c r="P196" s="119" t="n">
        <f aca="false">SUMIFS(tabela_registros[VALOR],tabela_registros[MÊS],$AE$1,tabela_registros[DIA],reservavariáveisconsolidadojul[[#Headers],[12]],tabela_registros[REGISTRO],DADOS!$N$6,tabela_registros[TIPO],DADOS!$AJ$4,tabela_registros[CATEGORIA],reservavariáveisconsolidadojul[[#This Row],[ATUAL]])</f>
        <v>0</v>
      </c>
      <c r="Q196" s="119" t="n">
        <f aca="false">SUMIFS(tabela_registros[VALOR],tabela_registros[MÊS],$AE$1,tabela_registros[DIA],reservavariáveisconsolidadojul[[#Headers],[13]],tabela_registros[REGISTRO],DADOS!$N$6,tabela_registros[TIPO],DADOS!$AJ$4,tabela_registros[CATEGORIA],reservavariáveisconsolidadojul[[#This Row],[ATUAL]])</f>
        <v>0</v>
      </c>
      <c r="R196" s="119" t="n">
        <f aca="false">SUMIFS(tabela_registros[VALOR],tabela_registros[MÊS],$AE$1,tabela_registros[DIA],reservavariáveisconsolidadojul[[#Headers],[14]],tabela_registros[REGISTRO],DADOS!$N$6,tabela_registros[TIPO],DADOS!$AJ$4,tabela_registros[CATEGORIA],reservavariáveisconsolidadojul[[#This Row],[ATUAL]])</f>
        <v>0</v>
      </c>
      <c r="S196" s="119" t="n">
        <f aca="false">SUMIFS(tabela_registros[VALOR],tabela_registros[MÊS],$AE$1,tabela_registros[DIA],reservavariáveisconsolidadojul[[#Headers],[15]],tabela_registros[REGISTRO],DADOS!$N$6,tabela_registros[TIPO],DADOS!$AJ$4,tabela_registros[CATEGORIA],reservavariáveisconsolidadojul[[#This Row],[ATUAL]])</f>
        <v>0</v>
      </c>
      <c r="T196" s="119" t="n">
        <f aca="false">SUMIFS(tabela_registros[VALOR],tabela_registros[MÊS],$AE$1,tabela_registros[DIA],reservavariáveisconsolidadojul[[#Headers],[16]],tabela_registros[REGISTRO],DADOS!$N$6,tabela_registros[TIPO],DADOS!$AJ$4,tabela_registros[CATEGORIA],reservavariáveisconsolidadojul[[#This Row],[ATUAL]])</f>
        <v>0</v>
      </c>
      <c r="U196" s="119" t="n">
        <f aca="false">SUMIFS(tabela_registros[VALOR],tabela_registros[MÊS],$AE$1,tabela_registros[DIA],reservavariáveisconsolidadojul[[#Headers],[17]],tabela_registros[REGISTRO],DADOS!$N$6,tabela_registros[TIPO],DADOS!$AJ$4,tabela_registros[CATEGORIA],reservavariáveisconsolidadojul[[#This Row],[ATUAL]])</f>
        <v>0</v>
      </c>
      <c r="V196" s="119" t="n">
        <f aca="false">SUMIFS(tabela_registros[VALOR],tabela_registros[MÊS],$AE$1,tabela_registros[DIA],reservavariáveisconsolidadojul[[#Headers],[18]],tabela_registros[REGISTRO],DADOS!$N$6,tabela_registros[TIPO],DADOS!$AJ$4,tabela_registros[CATEGORIA],reservavariáveisconsolidadojul[[#This Row],[ATUAL]])</f>
        <v>0</v>
      </c>
      <c r="W196" s="119" t="n">
        <f aca="false">SUMIFS(tabela_registros[VALOR],tabela_registros[MÊS],$AE$1,tabela_registros[DIA],reservavariáveisconsolidadojul[[#Headers],[19]],tabela_registros[REGISTRO],DADOS!$N$6,tabela_registros[TIPO],DADOS!$AJ$4,tabela_registros[CATEGORIA],reservavariáveisconsolidadojul[[#This Row],[ATUAL]])</f>
        <v>0</v>
      </c>
      <c r="X196" s="119" t="n">
        <f aca="false">SUMIFS(tabela_registros[VALOR],tabela_registros[MÊS],$AE$1,tabela_registros[DIA],reservavariáveisconsolidadojul[[#Headers],[20]],tabela_registros[REGISTRO],DADOS!$N$6,tabela_registros[TIPO],DADOS!$AJ$4,tabela_registros[CATEGORIA],reservavariáveisconsolidadojul[[#This Row],[ATUAL]])</f>
        <v>0</v>
      </c>
      <c r="Y196" s="119" t="n">
        <f aca="false">SUMIFS(tabela_registros[VALOR],tabela_registros[MÊS],$AE$1,tabela_registros[DIA],reservavariáveisconsolidadojul[[#Headers],[21]],tabela_registros[REGISTRO],DADOS!$N$6,tabela_registros[TIPO],DADOS!$AJ$4,tabela_registros[CATEGORIA],reservavariáveisconsolidadojul[[#This Row],[ATUAL]])</f>
        <v>0</v>
      </c>
      <c r="Z196" s="119" t="n">
        <f aca="false">SUMIFS(tabela_registros[VALOR],tabela_registros[MÊS],$AE$1,tabela_registros[DIA],reservavariáveisconsolidadojul[[#Headers],[22]],tabela_registros[REGISTRO],DADOS!$N$6,tabela_registros[TIPO],DADOS!$AJ$4,tabela_registros[CATEGORIA],reservavariáveisconsolidadojul[[#This Row],[ATUAL]])</f>
        <v>0</v>
      </c>
      <c r="AA196" s="119" t="n">
        <f aca="false">SUMIFS(tabela_registros[VALOR],tabela_registros[MÊS],$AE$1,tabela_registros[DIA],reservavariáveisconsolidadojul[[#Headers],[23]],tabela_registros[REGISTRO],DADOS!$N$6,tabela_registros[TIPO],DADOS!$AJ$4,tabela_registros[CATEGORIA],reservavariáveisconsolidadojul[[#This Row],[ATUAL]])</f>
        <v>0</v>
      </c>
      <c r="AB196" s="119" t="n">
        <f aca="false">SUMIFS(tabela_registros[VALOR],tabela_registros[MÊS],$AE$1,tabela_registros[DIA],reservavariáveisconsolidadojul[[#Headers],[24]],tabela_registros[REGISTRO],DADOS!$N$6,tabela_registros[TIPO],DADOS!$AJ$4,tabela_registros[CATEGORIA],reservavariáveisconsolidadojul[[#This Row],[ATUAL]])</f>
        <v>0</v>
      </c>
      <c r="AC196" s="119" t="n">
        <f aca="false">SUMIFS(tabela_registros[VALOR],tabela_registros[MÊS],$AE$1,tabela_registros[DIA],reservavariáveisconsolidadojul[[#Headers],[25]],tabela_registros[REGISTRO],DADOS!$N$6,tabela_registros[TIPO],DADOS!$AJ$4,tabela_registros[CATEGORIA],reservavariáveisconsolidadojul[[#This Row],[ATUAL]])</f>
        <v>0</v>
      </c>
      <c r="AD196" s="119" t="n">
        <f aca="false">SUMIFS(tabela_registros[VALOR],tabela_registros[MÊS],$AE$1,tabela_registros[DIA],reservavariáveisconsolidadojul[[#Headers],[26]],tabela_registros[REGISTRO],DADOS!$N$6,tabela_registros[TIPO],DADOS!$AJ$4,tabela_registros[CATEGORIA],reservavariáveisconsolidadojul[[#This Row],[ATUAL]])</f>
        <v>0</v>
      </c>
      <c r="AE196" s="119" t="n">
        <f aca="false">SUMIFS(tabela_registros[VALOR],tabela_registros[MÊS],$AE$1,tabela_registros[DIA],reservavariáveisconsolidadojul[[#Headers],[27]],tabela_registros[REGISTRO],DADOS!$N$6,tabela_registros[TIPO],DADOS!$AJ$4,tabela_registros[CATEGORIA],reservavariáveisconsolidadojul[[#This Row],[ATUAL]])</f>
        <v>0</v>
      </c>
      <c r="AF196" s="119" t="n">
        <f aca="false">SUMIFS(tabela_registros[VALOR],tabela_registros[MÊS],$AE$1,tabela_registros[DIA],reservavariáveisconsolidadojul[[#Headers],[28]],tabela_registros[REGISTRO],DADOS!$N$6,tabela_registros[TIPO],DADOS!$AJ$4,tabela_registros[CATEGORIA],reservavariáveisconsolidadojul[[#This Row],[ATUAL]])</f>
        <v>0</v>
      </c>
      <c r="AG196" s="119" t="n">
        <f aca="false">SUMIFS(tabela_registros[VALOR],tabela_registros[MÊS],$AE$1,tabela_registros[DIA],reservavariáveisconsolidadojul[[#Headers],[29]],tabela_registros[REGISTRO],DADOS!$N$6,tabela_registros[TIPO],DADOS!$AJ$4,tabela_registros[CATEGORIA],reservavariáveisconsolidadojul[[#This Row],[ATUAL]])</f>
        <v>0</v>
      </c>
      <c r="AH196" s="119" t="n">
        <f aca="false">SUMIFS(tabela_registros[VALOR],tabela_registros[MÊS],$AE$1,tabela_registros[DIA],reservavariáveisconsolidadojul[[#Headers],[30]],tabela_registros[REGISTRO],DADOS!$N$6,tabela_registros[TIPO],DADOS!$AJ$4,tabela_registros[CATEGORIA],reservavariáveisconsolidadojul[[#This Row],[ATUAL]])</f>
        <v>0</v>
      </c>
      <c r="AI196" s="218" t="n">
        <f aca="false">SUMIFS(tabela_registros[VALOR],tabela_registros[MÊS],$AE$1,tabela_registros[DIA],reservavariáveisconsolidadojul[[#Headers],[31]],tabela_registros[REGISTRO],DADOS!$N$6,tabela_registros[TIPO],DADOS!$AJ$4,tabela_registros[CATEGORIA],reservavariáveisconsolidadojul[[#This Row],[ATUAL]])</f>
        <v>0</v>
      </c>
      <c r="AJ196" s="149" t="n">
        <f aca="false">SUM(reservavariáveisconsolidadojul[[#This Row],[1]:[31]])</f>
        <v>0</v>
      </c>
      <c r="AK196" s="165"/>
    </row>
    <row r="197" s="122" customFormat="true" ht="21" hidden="false" customHeight="true" outlineLevel="0" collapsed="false">
      <c r="B197" s="152"/>
      <c r="C197" s="153" t="s">
        <v>2</v>
      </c>
      <c r="D197" s="166"/>
      <c r="E197" s="155" t="n">
        <f aca="false">SUM(E187:E196)</f>
        <v>0</v>
      </c>
      <c r="F197" s="156" t="n">
        <f aca="false">SUM(F187:F196)+reservavariáveisconsolidadojul[[#This Row],[1]]</f>
        <v>0</v>
      </c>
      <c r="G197" s="156" t="n">
        <f aca="false">SUM(G187:G196)+reservavariáveisconsolidadojul[[#This Row],[2]]</f>
        <v>0</v>
      </c>
      <c r="H197" s="156" t="n">
        <f aca="false">SUM(H187:H196)+reservavariáveisconsolidadojul[[#This Row],[3]]</f>
        <v>0</v>
      </c>
      <c r="I197" s="156" t="n">
        <f aca="false">SUM(I187:I196)+reservavariáveisconsolidadojul[[#This Row],[4]]</f>
        <v>0</v>
      </c>
      <c r="J197" s="156" t="n">
        <f aca="false">SUM(J187:J196)+reservavariáveisconsolidadojul[[#This Row],[5]]</f>
        <v>0</v>
      </c>
      <c r="K197" s="156" t="n">
        <f aca="false">SUM(K187:K196)+reservavariáveisconsolidadojul[[#This Row],[6]]</f>
        <v>0</v>
      </c>
      <c r="L197" s="156" t="n">
        <f aca="false">SUM(L187:L196)+reservavariáveisconsolidadojul[[#This Row],[7]]</f>
        <v>0</v>
      </c>
      <c r="M197" s="156" t="n">
        <f aca="false">SUM(M187:M196)+reservavariáveisconsolidadojul[[#This Row],[8]]</f>
        <v>0</v>
      </c>
      <c r="N197" s="156" t="n">
        <f aca="false">SUM(N187:N196)+reservavariáveisconsolidadojul[[#This Row],[9]]</f>
        <v>0</v>
      </c>
      <c r="O197" s="156" t="n">
        <f aca="false">SUM(O187:O196)+reservavariáveisconsolidadojul[[#This Row],[10]]</f>
        <v>0</v>
      </c>
      <c r="P197" s="156" t="n">
        <f aca="false">SUM(P187:P196)+reservavariáveisconsolidadojul[[#This Row],[11]]</f>
        <v>0</v>
      </c>
      <c r="Q197" s="156" t="n">
        <f aca="false">SUM(Q187:Q196)+reservavariáveisconsolidadojul[[#This Row],[12]]</f>
        <v>0</v>
      </c>
      <c r="R197" s="156" t="n">
        <f aca="false">SUM(R187:R196)+reservavariáveisconsolidadojul[[#This Row],[13]]</f>
        <v>0</v>
      </c>
      <c r="S197" s="156" t="n">
        <f aca="false">SUM(S187:S196)+reservavariáveisconsolidadojul[[#This Row],[14]]</f>
        <v>0</v>
      </c>
      <c r="T197" s="156" t="n">
        <f aca="false">SUM(T187:T196)+reservavariáveisconsolidadojul[[#This Row],[15]]</f>
        <v>0</v>
      </c>
      <c r="U197" s="156" t="n">
        <f aca="false">SUM(U187:U196)+reservavariáveisconsolidadojul[[#This Row],[16]]</f>
        <v>0</v>
      </c>
      <c r="V197" s="156" t="n">
        <f aca="false">SUM(V187:V196)+reservavariáveisconsolidadojul[[#This Row],[17]]</f>
        <v>0</v>
      </c>
      <c r="W197" s="156" t="n">
        <f aca="false">SUM(W187:W196)+reservavariáveisconsolidadojul[[#This Row],[18]]</f>
        <v>0</v>
      </c>
      <c r="X197" s="156" t="n">
        <f aca="false">SUM(X187:X196)+reservavariáveisconsolidadojul[[#This Row],[19]]</f>
        <v>0</v>
      </c>
      <c r="Y197" s="156" t="n">
        <f aca="false">SUM(Y187:Y196)+reservavariáveisconsolidadojul[[#This Row],[20]]</f>
        <v>0</v>
      </c>
      <c r="Z197" s="156" t="n">
        <f aca="false">SUM(Z187:Z196)+reservavariáveisconsolidadojul[[#This Row],[21]]</f>
        <v>0</v>
      </c>
      <c r="AA197" s="156" t="n">
        <f aca="false">SUM(AA187:AA196)+reservavariáveisconsolidadojul[[#This Row],[22]]</f>
        <v>0</v>
      </c>
      <c r="AB197" s="156" t="n">
        <f aca="false">SUM(AB187:AB196)+reservavariáveisconsolidadojul[[#This Row],[23]]</f>
        <v>0</v>
      </c>
      <c r="AC197" s="156" t="n">
        <f aca="false">SUM(AC187:AC196)+reservavariáveisconsolidadojul[[#This Row],[24]]</f>
        <v>0</v>
      </c>
      <c r="AD197" s="156" t="n">
        <f aca="false">SUM(AD187:AD196)+reservavariáveisconsolidadojul[[#This Row],[25]]</f>
        <v>0</v>
      </c>
      <c r="AE197" s="156" t="n">
        <f aca="false">SUM(AE187:AE196)+reservavariáveisconsolidadojul[[#This Row],[26]]</f>
        <v>0</v>
      </c>
      <c r="AF197" s="156" t="n">
        <f aca="false">SUM(AF187:AF196)+reservavariáveisconsolidadojul[[#This Row],[27]]</f>
        <v>0</v>
      </c>
      <c r="AG197" s="156" t="n">
        <f aca="false">SUM(AG187:AG196)+reservavariáveisconsolidadojul[[#This Row],[28]]</f>
        <v>0</v>
      </c>
      <c r="AH197" s="156" t="n">
        <f aca="false">SUM(AH187:AH196)+reservavariáveisconsolidadojul[[#This Row],[29]]</f>
        <v>0</v>
      </c>
      <c r="AI197" s="223" t="n">
        <f aca="false">SUM(AI187:AI196)+reservavariáveisconsolidadojul[[#This Row],[30]]</f>
        <v>0</v>
      </c>
      <c r="AJ197" s="157" t="n">
        <f aca="false">reservavariáveisconsolidadojul[[#This Row],[31]]</f>
        <v>0</v>
      </c>
      <c r="AK197" s="158"/>
    </row>
    <row r="198" customFormat="false" ht="6.75" hidden="false" customHeight="true" outlineLevel="0" collapsed="false">
      <c r="B198" s="97"/>
      <c r="C198" s="162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233"/>
      <c r="AJ198" s="164"/>
      <c r="AK198" s="244"/>
    </row>
    <row r="199" s="78" customFormat="true" ht="12.75" hidden="false" customHeight="false" outlineLevel="0" collapsed="false">
      <c r="E199" s="100"/>
    </row>
    <row r="200" s="78" customFormat="true" ht="12" hidden="false" customHeight="false" outlineLevel="0" collapsed="false"/>
    <row r="201" s="78" customFormat="true" ht="12" hidden="false" customHeight="false" outlineLevel="0" collapsed="false"/>
    <row r="202" customFormat="false" ht="39.75" hidden="false" customHeight="true" outlineLevel="0" collapsed="false">
      <c r="C202" s="101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3" t="s">
        <v>2</v>
      </c>
    </row>
    <row r="203" s="78" customFormat="true" ht="12.75" hidden="false" customHeight="false" outlineLevel="0" collapsed="false">
      <c r="B203" s="161"/>
      <c r="AJ203" s="106" t="s">
        <v>64</v>
      </c>
    </row>
    <row r="204" customFormat="false" ht="6.75" hidden="false" customHeight="true" outlineLevel="0" collapsed="false">
      <c r="B204" s="86"/>
      <c r="C204" s="162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233"/>
      <c r="AK204" s="139"/>
    </row>
    <row r="205" customFormat="false" ht="13.5" hidden="true" customHeight="false" outlineLevel="0" collapsed="false">
      <c r="B205" s="86"/>
      <c r="C205" s="109" t="s">
        <v>68</v>
      </c>
      <c r="D205" s="110" t="s">
        <v>69</v>
      </c>
      <c r="E205" s="110" t="s">
        <v>30</v>
      </c>
      <c r="F205" s="110" t="s">
        <v>31</v>
      </c>
      <c r="G205" s="110" t="s">
        <v>32</v>
      </c>
      <c r="H205" s="110" t="s">
        <v>33</v>
      </c>
      <c r="I205" s="110" t="s">
        <v>34</v>
      </c>
      <c r="J205" s="110" t="s">
        <v>35</v>
      </c>
      <c r="K205" s="110" t="s">
        <v>36</v>
      </c>
      <c r="L205" s="110" t="s">
        <v>37</v>
      </c>
      <c r="M205" s="110" t="s">
        <v>38</v>
      </c>
      <c r="N205" s="110" t="s">
        <v>39</v>
      </c>
      <c r="O205" s="110" t="s">
        <v>40</v>
      </c>
      <c r="P205" s="110" t="s">
        <v>41</v>
      </c>
      <c r="Q205" s="110" t="s">
        <v>81</v>
      </c>
      <c r="R205" s="110" t="s">
        <v>82</v>
      </c>
      <c r="S205" s="110" t="s">
        <v>83</v>
      </c>
      <c r="T205" s="110" t="s">
        <v>84</v>
      </c>
      <c r="U205" s="110" t="s">
        <v>85</v>
      </c>
      <c r="V205" s="110" t="s">
        <v>86</v>
      </c>
      <c r="W205" s="110" t="s">
        <v>87</v>
      </c>
      <c r="X205" s="110" t="s">
        <v>88</v>
      </c>
      <c r="Y205" s="110" t="s">
        <v>89</v>
      </c>
      <c r="Z205" s="110" t="s">
        <v>90</v>
      </c>
      <c r="AA205" s="110" t="s">
        <v>91</v>
      </c>
      <c r="AB205" s="110" t="s">
        <v>92</v>
      </c>
      <c r="AC205" s="110" t="s">
        <v>93</v>
      </c>
      <c r="AD205" s="110" t="s">
        <v>94</v>
      </c>
      <c r="AE205" s="110" t="s">
        <v>95</v>
      </c>
      <c r="AF205" s="110" t="s">
        <v>96</v>
      </c>
      <c r="AG205" s="110" t="s">
        <v>97</v>
      </c>
      <c r="AH205" s="110" t="s">
        <v>98</v>
      </c>
      <c r="AI205" s="110" t="s">
        <v>99</v>
      </c>
      <c r="AJ205" s="111" t="s">
        <v>70</v>
      </c>
      <c r="AK205" s="86"/>
    </row>
    <row r="206" customFormat="false" ht="19.5" hidden="false" customHeight="true" outlineLevel="0" collapsed="false">
      <c r="B206" s="143"/>
      <c r="C206" s="144" t="str">
        <f aca="false">DADOS!$AP$3</f>
        <v>📝 COE</v>
      </c>
      <c r="D206" s="145" t="str">
        <f aca="false">IF(reservaoutrosconsolidadojul[[#This Row],[TOTAL (R$)]]=0,"",IF(OR(reservaoutrosconsolidadojul[[#This Row],[TOTAL (R$)]]=LARGE($AJ$206:$AJ$213,1),reservaoutrosconsolidadojul[[#This Row],[TOTAL (R$)]]=LARGE($AJ$206:$AJ$213,2)),DADOS!$I$11,""))</f>
        <v/>
      </c>
      <c r="E206" s="148" t="n">
        <f aca="false">SUMIFS(tabela_registros[VALOR],tabela_registros[MÊS],$AE$1,tabela_registros[DIA],reservaoutrosconsolidadojul[[#Headers],[1]],tabela_registros[REGISTRO],DADOS!$N$6,tabela_registros[TIPO],DADOS!$AJ$5,tabela_registros[CATEGORIA],reservaoutrosconsolidadojul[[#This Row],[ATUAL]])</f>
        <v>0</v>
      </c>
      <c r="F206" s="119" t="n">
        <f aca="false">SUMIFS(tabela_registros[VALOR],tabela_registros[MÊS],$AE$1,tabela_registros[DIA],reservaoutrosconsolidadojul[[#Headers],[2]],tabela_registros[REGISTRO],DADOS!$N$6,tabela_registros[TIPO],DADOS!$AJ$5,tabela_registros[CATEGORIA],reservaoutrosconsolidadojul[[#This Row],[ATUAL]])</f>
        <v>0</v>
      </c>
      <c r="G206" s="119" t="n">
        <f aca="false">SUMIFS(tabela_registros[VALOR],tabela_registros[MÊS],$AE$1,tabela_registros[DIA],reservaoutrosconsolidadojul[[#Headers],[3]],tabela_registros[REGISTRO],DADOS!$N$6,tabela_registros[TIPO],DADOS!$AJ$5,tabela_registros[CATEGORIA],reservaoutrosconsolidadojul[[#This Row],[ATUAL]])</f>
        <v>0</v>
      </c>
      <c r="H206" s="119" t="n">
        <f aca="false">SUMIFS(tabela_registros[VALOR],tabela_registros[MÊS],$AE$1,tabela_registros[DIA],reservaoutrosconsolidadojul[[#Headers],[4]],tabela_registros[REGISTRO],DADOS!$N$6,tabela_registros[TIPO],DADOS!$AJ$5,tabela_registros[CATEGORIA],reservaoutrosconsolidadojul[[#This Row],[ATUAL]])</f>
        <v>0</v>
      </c>
      <c r="I206" s="119" t="n">
        <f aca="false">SUMIFS(tabela_registros[VALOR],tabela_registros[MÊS],$AE$1,tabela_registros[DIA],reservaoutrosconsolidadojul[[#Headers],[5]],tabela_registros[REGISTRO],DADOS!$N$6,tabela_registros[TIPO],DADOS!$AJ$5,tabela_registros[CATEGORIA],reservaoutrosconsolidadojul[[#This Row],[ATUAL]])</f>
        <v>0</v>
      </c>
      <c r="J206" s="119" t="n">
        <f aca="false">SUMIFS(tabela_registros[VALOR],tabela_registros[MÊS],$AE$1,tabela_registros[DIA],reservaoutrosconsolidadojul[[#Headers],[6]],tabela_registros[REGISTRO],DADOS!$N$6,tabela_registros[TIPO],DADOS!$AJ$5,tabela_registros[CATEGORIA],reservaoutrosconsolidadojul[[#This Row],[ATUAL]])</f>
        <v>0</v>
      </c>
      <c r="K206" s="119" t="n">
        <f aca="false">SUMIFS(tabela_registros[VALOR],tabela_registros[MÊS],$AE$1,tabela_registros[DIA],reservaoutrosconsolidadojul[[#Headers],[7]],tabela_registros[REGISTRO],DADOS!$N$6,tabela_registros[TIPO],DADOS!$AJ$5,tabela_registros[CATEGORIA],reservaoutrosconsolidadojul[[#This Row],[ATUAL]])</f>
        <v>0</v>
      </c>
      <c r="L206" s="119" t="n">
        <f aca="false">SUMIFS(tabela_registros[VALOR],tabela_registros[MÊS],$AE$1,tabela_registros[DIA],reservaoutrosconsolidadojul[[#Headers],[8]],tabela_registros[REGISTRO],DADOS!$N$6,tabela_registros[TIPO],DADOS!$AJ$5,tabela_registros[CATEGORIA],reservaoutrosconsolidadojul[[#This Row],[ATUAL]])</f>
        <v>0</v>
      </c>
      <c r="M206" s="119" t="n">
        <f aca="false">SUMIFS(tabela_registros[VALOR],tabela_registros[MÊS],$AE$1,tabela_registros[DIA],reservaoutrosconsolidadojul[[#Headers],[9]],tabela_registros[REGISTRO],DADOS!$N$6,tabela_registros[TIPO],DADOS!$AJ$5,tabela_registros[CATEGORIA],reservaoutrosconsolidadojul[[#This Row],[ATUAL]])</f>
        <v>0</v>
      </c>
      <c r="N206" s="119" t="n">
        <f aca="false">SUMIFS(tabela_registros[VALOR],tabela_registros[MÊS],$AE$1,tabela_registros[DIA],reservaoutrosconsolidadojul[[#Headers],[10]],tabela_registros[REGISTRO],DADOS!$N$6,tabela_registros[TIPO],DADOS!$AJ$5,tabela_registros[CATEGORIA],reservaoutrosconsolidadojul[[#This Row],[ATUAL]])</f>
        <v>0</v>
      </c>
      <c r="O206" s="119" t="n">
        <f aca="false">SUMIFS(tabela_registros[VALOR],tabela_registros[MÊS],$AE$1,tabela_registros[DIA],reservaoutrosconsolidadojul[[#Headers],[11]],tabela_registros[REGISTRO],DADOS!$N$6,tabela_registros[TIPO],DADOS!$AJ$5,tabela_registros[CATEGORIA],reservaoutrosconsolidadojul[[#This Row],[ATUAL]])</f>
        <v>0</v>
      </c>
      <c r="P206" s="119" t="n">
        <f aca="false">SUMIFS(tabela_registros[VALOR],tabela_registros[MÊS],$AE$1,tabela_registros[DIA],reservaoutrosconsolidadojul[[#Headers],[12]],tabela_registros[REGISTRO],DADOS!$N$6,tabela_registros[TIPO],DADOS!$AJ$5,tabela_registros[CATEGORIA],reservaoutrosconsolidadojul[[#This Row],[ATUAL]])</f>
        <v>0</v>
      </c>
      <c r="Q206" s="119" t="n">
        <f aca="false">SUMIFS(tabela_registros[VALOR],tabela_registros[MÊS],$AE$1,tabela_registros[DIA],reservaoutrosconsolidadojul[[#Headers],[13]],tabela_registros[REGISTRO],DADOS!$N$6,tabela_registros[TIPO],DADOS!$AJ$5,tabela_registros[CATEGORIA],reservaoutrosconsolidadojul[[#This Row],[ATUAL]])</f>
        <v>0</v>
      </c>
      <c r="R206" s="119" t="n">
        <f aca="false">SUMIFS(tabela_registros[VALOR],tabela_registros[MÊS],$AE$1,tabela_registros[DIA],reservaoutrosconsolidadojul[[#Headers],[14]],tabela_registros[REGISTRO],DADOS!$N$6,tabela_registros[TIPO],DADOS!$AJ$5,tabela_registros[CATEGORIA],reservaoutrosconsolidadojul[[#This Row],[ATUAL]])</f>
        <v>0</v>
      </c>
      <c r="S206" s="119" t="n">
        <f aca="false">SUMIFS(tabela_registros[VALOR],tabela_registros[MÊS],$AE$1,tabela_registros[DIA],reservaoutrosconsolidadojul[[#Headers],[15]],tabela_registros[REGISTRO],DADOS!$N$6,tabela_registros[TIPO],DADOS!$AJ$5,tabela_registros[CATEGORIA],reservaoutrosconsolidadojul[[#This Row],[ATUAL]])</f>
        <v>0</v>
      </c>
      <c r="T206" s="119" t="n">
        <f aca="false">SUMIFS(tabela_registros[VALOR],tabela_registros[MÊS],$AE$1,tabela_registros[DIA],reservaoutrosconsolidadojul[[#Headers],[16]],tabela_registros[REGISTRO],DADOS!$N$6,tabela_registros[TIPO],DADOS!$AJ$5,tabela_registros[CATEGORIA],reservaoutrosconsolidadojul[[#This Row],[ATUAL]])</f>
        <v>0</v>
      </c>
      <c r="U206" s="119" t="n">
        <f aca="false">SUMIFS(tabela_registros[VALOR],tabela_registros[MÊS],$AE$1,tabela_registros[DIA],reservaoutrosconsolidadojul[[#Headers],[17]],tabela_registros[REGISTRO],DADOS!$N$6,tabela_registros[TIPO],DADOS!$AJ$5,tabela_registros[CATEGORIA],reservaoutrosconsolidadojul[[#This Row],[ATUAL]])</f>
        <v>0</v>
      </c>
      <c r="V206" s="119" t="n">
        <f aca="false">SUMIFS(tabela_registros[VALOR],tabela_registros[MÊS],$AE$1,tabela_registros[DIA],reservaoutrosconsolidadojul[[#Headers],[18]],tabela_registros[REGISTRO],DADOS!$N$6,tabela_registros[TIPO],DADOS!$AJ$5,tabela_registros[CATEGORIA],reservaoutrosconsolidadojul[[#This Row],[ATUAL]])</f>
        <v>0</v>
      </c>
      <c r="W206" s="119" t="n">
        <f aca="false">SUMIFS(tabela_registros[VALOR],tabela_registros[MÊS],$AE$1,tabela_registros[DIA],reservaoutrosconsolidadojul[[#Headers],[19]],tabela_registros[REGISTRO],DADOS!$N$6,tabela_registros[TIPO],DADOS!$AJ$5,tabela_registros[CATEGORIA],reservaoutrosconsolidadojul[[#This Row],[ATUAL]])</f>
        <v>0</v>
      </c>
      <c r="X206" s="119" t="n">
        <f aca="false">SUMIFS(tabela_registros[VALOR],tabela_registros[MÊS],$AE$1,tabela_registros[DIA],reservaoutrosconsolidadojul[[#Headers],[20]],tabela_registros[REGISTRO],DADOS!$N$6,tabela_registros[TIPO],DADOS!$AJ$5,tabela_registros[CATEGORIA],reservaoutrosconsolidadojul[[#This Row],[ATUAL]])</f>
        <v>0</v>
      </c>
      <c r="Y206" s="119" t="n">
        <f aca="false">SUMIFS(tabela_registros[VALOR],tabela_registros[MÊS],$AE$1,tabela_registros[DIA],reservaoutrosconsolidadojul[[#Headers],[21]],tabela_registros[REGISTRO],DADOS!$N$6,tabela_registros[TIPO],DADOS!$AJ$5,tabela_registros[CATEGORIA],reservaoutrosconsolidadojul[[#This Row],[ATUAL]])</f>
        <v>0</v>
      </c>
      <c r="Z206" s="119" t="n">
        <f aca="false">SUMIFS(tabela_registros[VALOR],tabela_registros[MÊS],$AE$1,tabela_registros[DIA],reservaoutrosconsolidadojul[[#Headers],[22]],tabela_registros[REGISTRO],DADOS!$N$6,tabela_registros[TIPO],DADOS!$AJ$5,tabela_registros[CATEGORIA],reservaoutrosconsolidadojul[[#This Row],[ATUAL]])</f>
        <v>0</v>
      </c>
      <c r="AA206" s="119" t="n">
        <f aca="false">SUMIFS(tabela_registros[VALOR],tabela_registros[MÊS],$AE$1,tabela_registros[DIA],reservaoutrosconsolidadojul[[#Headers],[23]],tabela_registros[REGISTRO],DADOS!$N$6,tabela_registros[TIPO],DADOS!$AJ$5,tabela_registros[CATEGORIA],reservaoutrosconsolidadojul[[#This Row],[ATUAL]])</f>
        <v>0</v>
      </c>
      <c r="AB206" s="119" t="n">
        <f aca="false">SUMIFS(tabela_registros[VALOR],tabela_registros[MÊS],$AE$1,tabela_registros[DIA],reservaoutrosconsolidadojul[[#Headers],[24]],tabela_registros[REGISTRO],DADOS!$N$6,tabela_registros[TIPO],DADOS!$AJ$5,tabela_registros[CATEGORIA],reservaoutrosconsolidadojul[[#This Row],[ATUAL]])</f>
        <v>0</v>
      </c>
      <c r="AC206" s="119" t="n">
        <f aca="false">SUMIFS(tabela_registros[VALOR],tabela_registros[MÊS],$AE$1,tabela_registros[DIA],reservaoutrosconsolidadojul[[#Headers],[25]],tabela_registros[REGISTRO],DADOS!$N$6,tabela_registros[TIPO],DADOS!$AJ$5,tabela_registros[CATEGORIA],reservaoutrosconsolidadojul[[#This Row],[ATUAL]])</f>
        <v>0</v>
      </c>
      <c r="AD206" s="119" t="n">
        <f aca="false">SUMIFS(tabela_registros[VALOR],tabela_registros[MÊS],$AE$1,tabela_registros[DIA],reservaoutrosconsolidadojul[[#Headers],[26]],tabela_registros[REGISTRO],DADOS!$N$6,tabela_registros[TIPO],DADOS!$AJ$5,tabela_registros[CATEGORIA],reservaoutrosconsolidadojul[[#This Row],[ATUAL]])</f>
        <v>0</v>
      </c>
      <c r="AE206" s="119" t="n">
        <f aca="false">SUMIFS(tabela_registros[VALOR],tabela_registros[MÊS],$AE$1,tabela_registros[DIA],reservaoutrosconsolidadojul[[#Headers],[27]],tabela_registros[REGISTRO],DADOS!$N$6,tabela_registros[TIPO],DADOS!$AJ$5,tabela_registros[CATEGORIA],reservaoutrosconsolidadojul[[#This Row],[ATUAL]])</f>
        <v>0</v>
      </c>
      <c r="AF206" s="119" t="n">
        <f aca="false">SUMIFS(tabela_registros[VALOR],tabela_registros[MÊS],$AE$1,tabela_registros[DIA],reservaoutrosconsolidadojul[[#Headers],[28]],tabela_registros[REGISTRO],DADOS!$N$6,tabela_registros[TIPO],DADOS!$AJ$5,tabela_registros[CATEGORIA],reservaoutrosconsolidadojul[[#This Row],[ATUAL]])</f>
        <v>0</v>
      </c>
      <c r="AG206" s="119" t="n">
        <f aca="false">SUMIFS(tabela_registros[VALOR],tabela_registros[MÊS],$AE$1,tabela_registros[DIA],reservaoutrosconsolidadojul[[#Headers],[29]],tabela_registros[REGISTRO],DADOS!$N$6,tabela_registros[TIPO],DADOS!$AJ$5,tabela_registros[CATEGORIA],reservaoutrosconsolidadojul[[#This Row],[ATUAL]])</f>
        <v>0</v>
      </c>
      <c r="AH206" s="119" t="n">
        <f aca="false">SUMIFS(tabela_registros[VALOR],tabela_registros[MÊS],$AE$1,tabela_registros[DIA],reservaoutrosconsolidadojul[[#Headers],[30]],tabela_registros[REGISTRO],DADOS!$N$6,tabela_registros[TIPO],DADOS!$AJ$5,tabela_registros[CATEGORIA],reservaoutrosconsolidadojul[[#This Row],[ATUAL]])</f>
        <v>0</v>
      </c>
      <c r="AI206" s="217" t="n">
        <f aca="false">SUMIFS(tabela_registros[VALOR],tabela_registros[MÊS],$AE$1,tabela_registros[DIA],reservaoutrosconsolidadojul[[#Headers],[31]],tabela_registros[REGISTRO],DADOS!$N$6,tabela_registros[TIPO],DADOS!$AJ$5,tabela_registros[CATEGORIA],reservaoutrosconsolidadojul[[#This Row],[ATUAL]])</f>
        <v>0</v>
      </c>
      <c r="AJ206" s="149" t="n">
        <f aca="false">SUM(reservaoutrosconsolidadojul[[#This Row],[1]:[31]])</f>
        <v>0</v>
      </c>
      <c r="AK206" s="165"/>
    </row>
    <row r="207" customFormat="false" ht="19.5" hidden="false" customHeight="true" outlineLevel="0" collapsed="false">
      <c r="B207" s="143"/>
      <c r="C207" s="144" t="str">
        <f aca="false">DADOS!$AP$4</f>
        <v>📝 FOREX</v>
      </c>
      <c r="D207" s="145" t="str">
        <f aca="false">IF(reservaoutrosconsolidadojul[[#This Row],[TOTAL (R$)]]=0,"",IF(OR(reservaoutrosconsolidadojul[[#This Row],[TOTAL (R$)]]=LARGE($AJ$206:$AJ$213,1),reservaoutrosconsolidadojul[[#This Row],[TOTAL (R$)]]=LARGE($AJ$206:$AJ$213,2)),DADOS!$I$11,""))</f>
        <v/>
      </c>
      <c r="E207" s="148" t="n">
        <f aca="false">SUMIFS(tabela_registros[VALOR],tabela_registros[MÊS],$AE$1,tabela_registros[DIA],reservaoutrosconsolidadojul[[#Headers],[1]],tabela_registros[REGISTRO],DADOS!$N$6,tabela_registros[TIPO],DADOS!$AJ$5,tabela_registros[CATEGORIA],reservaoutrosconsolidadojul[[#This Row],[ATUAL]])</f>
        <v>0</v>
      </c>
      <c r="F207" s="119" t="n">
        <f aca="false">SUMIFS(tabela_registros[VALOR],tabela_registros[MÊS],$AE$1,tabela_registros[DIA],reservaoutrosconsolidadojul[[#Headers],[2]],tabela_registros[REGISTRO],DADOS!$N$6,tabela_registros[TIPO],DADOS!$AJ$5,tabela_registros[CATEGORIA],reservaoutrosconsolidadojul[[#This Row],[ATUAL]])</f>
        <v>0</v>
      </c>
      <c r="G207" s="119" t="n">
        <f aca="false">SUMIFS(tabela_registros[VALOR],tabela_registros[MÊS],$AE$1,tabela_registros[DIA],reservaoutrosconsolidadojul[[#Headers],[3]],tabela_registros[REGISTRO],DADOS!$N$6,tabela_registros[TIPO],DADOS!$AJ$5,tabela_registros[CATEGORIA],reservaoutrosconsolidadojul[[#This Row],[ATUAL]])</f>
        <v>0</v>
      </c>
      <c r="H207" s="119" t="n">
        <f aca="false">SUMIFS(tabela_registros[VALOR],tabela_registros[MÊS],$AE$1,tabela_registros[DIA],reservaoutrosconsolidadojul[[#Headers],[4]],tabela_registros[REGISTRO],DADOS!$N$6,tabela_registros[TIPO],DADOS!$AJ$5,tabela_registros[CATEGORIA],reservaoutrosconsolidadojul[[#This Row],[ATUAL]])</f>
        <v>0</v>
      </c>
      <c r="I207" s="119" t="n">
        <f aca="false">SUMIFS(tabela_registros[VALOR],tabela_registros[MÊS],$AE$1,tabela_registros[DIA],reservaoutrosconsolidadojul[[#Headers],[5]],tabela_registros[REGISTRO],DADOS!$N$6,tabela_registros[TIPO],DADOS!$AJ$5,tabela_registros[CATEGORIA],reservaoutrosconsolidadojul[[#This Row],[ATUAL]])</f>
        <v>0</v>
      </c>
      <c r="J207" s="119" t="n">
        <f aca="false">SUMIFS(tabela_registros[VALOR],tabela_registros[MÊS],$AE$1,tabela_registros[DIA],reservaoutrosconsolidadojul[[#Headers],[6]],tabela_registros[REGISTRO],DADOS!$N$6,tabela_registros[TIPO],DADOS!$AJ$5,tabela_registros[CATEGORIA],reservaoutrosconsolidadojul[[#This Row],[ATUAL]])</f>
        <v>0</v>
      </c>
      <c r="K207" s="119" t="n">
        <f aca="false">SUMIFS(tabela_registros[VALOR],tabela_registros[MÊS],$AE$1,tabela_registros[DIA],reservaoutrosconsolidadojul[[#Headers],[7]],tabela_registros[REGISTRO],DADOS!$N$6,tabela_registros[TIPO],DADOS!$AJ$5,tabela_registros[CATEGORIA],reservaoutrosconsolidadojul[[#This Row],[ATUAL]])</f>
        <v>0</v>
      </c>
      <c r="L207" s="119" t="n">
        <f aca="false">SUMIFS(tabela_registros[VALOR],tabela_registros[MÊS],$AE$1,tabela_registros[DIA],reservaoutrosconsolidadojul[[#Headers],[8]],tabela_registros[REGISTRO],DADOS!$N$6,tabela_registros[TIPO],DADOS!$AJ$5,tabela_registros[CATEGORIA],reservaoutrosconsolidadojul[[#This Row],[ATUAL]])</f>
        <v>0</v>
      </c>
      <c r="M207" s="119" t="n">
        <f aca="false">SUMIFS(tabela_registros[VALOR],tabela_registros[MÊS],$AE$1,tabela_registros[DIA],reservaoutrosconsolidadojul[[#Headers],[9]],tabela_registros[REGISTRO],DADOS!$N$6,tabela_registros[TIPO],DADOS!$AJ$5,tabela_registros[CATEGORIA],reservaoutrosconsolidadojul[[#This Row],[ATUAL]])</f>
        <v>0</v>
      </c>
      <c r="N207" s="119" t="n">
        <f aca="false">SUMIFS(tabela_registros[VALOR],tabela_registros[MÊS],$AE$1,tabela_registros[DIA],reservaoutrosconsolidadojul[[#Headers],[10]],tabela_registros[REGISTRO],DADOS!$N$6,tabela_registros[TIPO],DADOS!$AJ$5,tabela_registros[CATEGORIA],reservaoutrosconsolidadojul[[#This Row],[ATUAL]])</f>
        <v>0</v>
      </c>
      <c r="O207" s="119" t="n">
        <f aca="false">SUMIFS(tabela_registros[VALOR],tabela_registros[MÊS],$AE$1,tabela_registros[DIA],reservaoutrosconsolidadojul[[#Headers],[11]],tabela_registros[REGISTRO],DADOS!$N$6,tabela_registros[TIPO],DADOS!$AJ$5,tabela_registros[CATEGORIA],reservaoutrosconsolidadojul[[#This Row],[ATUAL]])</f>
        <v>0</v>
      </c>
      <c r="P207" s="119" t="n">
        <f aca="false">SUMIFS(tabela_registros[VALOR],tabela_registros[MÊS],$AE$1,tabela_registros[DIA],reservaoutrosconsolidadojul[[#Headers],[12]],tabela_registros[REGISTRO],DADOS!$N$6,tabela_registros[TIPO],DADOS!$AJ$5,tabela_registros[CATEGORIA],reservaoutrosconsolidadojul[[#This Row],[ATUAL]])</f>
        <v>0</v>
      </c>
      <c r="Q207" s="119" t="n">
        <f aca="false">SUMIFS(tabela_registros[VALOR],tabela_registros[MÊS],$AE$1,tabela_registros[DIA],reservaoutrosconsolidadojul[[#Headers],[13]],tabela_registros[REGISTRO],DADOS!$N$6,tabela_registros[TIPO],DADOS!$AJ$5,tabela_registros[CATEGORIA],reservaoutrosconsolidadojul[[#This Row],[ATUAL]])</f>
        <v>0</v>
      </c>
      <c r="R207" s="119" t="n">
        <f aca="false">SUMIFS(tabela_registros[VALOR],tabela_registros[MÊS],$AE$1,tabela_registros[DIA],reservaoutrosconsolidadojul[[#Headers],[14]],tabela_registros[REGISTRO],DADOS!$N$6,tabela_registros[TIPO],DADOS!$AJ$5,tabela_registros[CATEGORIA],reservaoutrosconsolidadojul[[#This Row],[ATUAL]])</f>
        <v>0</v>
      </c>
      <c r="S207" s="119" t="n">
        <f aca="false">SUMIFS(tabela_registros[VALOR],tabela_registros[MÊS],$AE$1,tabela_registros[DIA],reservaoutrosconsolidadojul[[#Headers],[15]],tabela_registros[REGISTRO],DADOS!$N$6,tabela_registros[TIPO],DADOS!$AJ$5,tabela_registros[CATEGORIA],reservaoutrosconsolidadojul[[#This Row],[ATUAL]])</f>
        <v>0</v>
      </c>
      <c r="T207" s="119" t="n">
        <f aca="false">SUMIFS(tabela_registros[VALOR],tabela_registros[MÊS],$AE$1,tabela_registros[DIA],reservaoutrosconsolidadojul[[#Headers],[16]],tabela_registros[REGISTRO],DADOS!$N$6,tabela_registros[TIPO],DADOS!$AJ$5,tabela_registros[CATEGORIA],reservaoutrosconsolidadojul[[#This Row],[ATUAL]])</f>
        <v>0</v>
      </c>
      <c r="U207" s="119" t="n">
        <f aca="false">SUMIFS(tabela_registros[VALOR],tabela_registros[MÊS],$AE$1,tabela_registros[DIA],reservaoutrosconsolidadojul[[#Headers],[17]],tabela_registros[REGISTRO],DADOS!$N$6,tabela_registros[TIPO],DADOS!$AJ$5,tabela_registros[CATEGORIA],reservaoutrosconsolidadojul[[#This Row],[ATUAL]])</f>
        <v>0</v>
      </c>
      <c r="V207" s="119" t="n">
        <f aca="false">SUMIFS(tabela_registros[VALOR],tabela_registros[MÊS],$AE$1,tabela_registros[DIA],reservaoutrosconsolidadojul[[#Headers],[18]],tabela_registros[REGISTRO],DADOS!$N$6,tabela_registros[TIPO],DADOS!$AJ$5,tabela_registros[CATEGORIA],reservaoutrosconsolidadojul[[#This Row],[ATUAL]])</f>
        <v>0</v>
      </c>
      <c r="W207" s="119" t="n">
        <f aca="false">SUMIFS(tabela_registros[VALOR],tabela_registros[MÊS],$AE$1,tabela_registros[DIA],reservaoutrosconsolidadojul[[#Headers],[19]],tabela_registros[REGISTRO],DADOS!$N$6,tabela_registros[TIPO],DADOS!$AJ$5,tabela_registros[CATEGORIA],reservaoutrosconsolidadojul[[#This Row],[ATUAL]])</f>
        <v>0</v>
      </c>
      <c r="X207" s="119" t="n">
        <f aca="false">SUMIFS(tabela_registros[VALOR],tabela_registros[MÊS],$AE$1,tabela_registros[DIA],reservaoutrosconsolidadojul[[#Headers],[20]],tabela_registros[REGISTRO],DADOS!$N$6,tabela_registros[TIPO],DADOS!$AJ$5,tabela_registros[CATEGORIA],reservaoutrosconsolidadojul[[#This Row],[ATUAL]])</f>
        <v>0</v>
      </c>
      <c r="Y207" s="119" t="n">
        <f aca="false">SUMIFS(tabela_registros[VALOR],tabela_registros[MÊS],$AE$1,tabela_registros[DIA],reservaoutrosconsolidadojul[[#Headers],[21]],tabela_registros[REGISTRO],DADOS!$N$6,tabela_registros[TIPO],DADOS!$AJ$5,tabela_registros[CATEGORIA],reservaoutrosconsolidadojul[[#This Row],[ATUAL]])</f>
        <v>0</v>
      </c>
      <c r="Z207" s="119" t="n">
        <f aca="false">SUMIFS(tabela_registros[VALOR],tabela_registros[MÊS],$AE$1,tabela_registros[DIA],reservaoutrosconsolidadojul[[#Headers],[22]],tabela_registros[REGISTRO],DADOS!$N$6,tabela_registros[TIPO],DADOS!$AJ$5,tabela_registros[CATEGORIA],reservaoutrosconsolidadojul[[#This Row],[ATUAL]])</f>
        <v>0</v>
      </c>
      <c r="AA207" s="119" t="n">
        <f aca="false">SUMIFS(tabela_registros[VALOR],tabela_registros[MÊS],$AE$1,tabela_registros[DIA],reservaoutrosconsolidadojul[[#Headers],[23]],tabela_registros[REGISTRO],DADOS!$N$6,tabela_registros[TIPO],DADOS!$AJ$5,tabela_registros[CATEGORIA],reservaoutrosconsolidadojul[[#This Row],[ATUAL]])</f>
        <v>0</v>
      </c>
      <c r="AB207" s="119" t="n">
        <f aca="false">SUMIFS(tabela_registros[VALOR],tabela_registros[MÊS],$AE$1,tabela_registros[DIA],reservaoutrosconsolidadojul[[#Headers],[24]],tabela_registros[REGISTRO],DADOS!$N$6,tabela_registros[TIPO],DADOS!$AJ$5,tabela_registros[CATEGORIA],reservaoutrosconsolidadojul[[#This Row],[ATUAL]])</f>
        <v>0</v>
      </c>
      <c r="AC207" s="119" t="n">
        <f aca="false">SUMIFS(tabela_registros[VALOR],tabela_registros[MÊS],$AE$1,tabela_registros[DIA],reservaoutrosconsolidadojul[[#Headers],[25]],tabela_registros[REGISTRO],DADOS!$N$6,tabela_registros[TIPO],DADOS!$AJ$5,tabela_registros[CATEGORIA],reservaoutrosconsolidadojul[[#This Row],[ATUAL]])</f>
        <v>0</v>
      </c>
      <c r="AD207" s="119" t="n">
        <f aca="false">SUMIFS(tabela_registros[VALOR],tabela_registros[MÊS],$AE$1,tabela_registros[DIA],reservaoutrosconsolidadojul[[#Headers],[26]],tabela_registros[REGISTRO],DADOS!$N$6,tabela_registros[TIPO],DADOS!$AJ$5,tabela_registros[CATEGORIA],reservaoutrosconsolidadojul[[#This Row],[ATUAL]])</f>
        <v>0</v>
      </c>
      <c r="AE207" s="119" t="n">
        <f aca="false">SUMIFS(tabela_registros[VALOR],tabela_registros[MÊS],$AE$1,tabela_registros[DIA],reservaoutrosconsolidadojul[[#Headers],[27]],tabela_registros[REGISTRO],DADOS!$N$6,tabela_registros[TIPO],DADOS!$AJ$5,tabela_registros[CATEGORIA],reservaoutrosconsolidadojul[[#This Row],[ATUAL]])</f>
        <v>0</v>
      </c>
      <c r="AF207" s="119" t="n">
        <f aca="false">SUMIFS(tabela_registros[VALOR],tabela_registros[MÊS],$AE$1,tabela_registros[DIA],reservaoutrosconsolidadojul[[#Headers],[28]],tabela_registros[REGISTRO],DADOS!$N$6,tabela_registros[TIPO],DADOS!$AJ$5,tabela_registros[CATEGORIA],reservaoutrosconsolidadojul[[#This Row],[ATUAL]])</f>
        <v>0</v>
      </c>
      <c r="AG207" s="119" t="n">
        <f aca="false">SUMIFS(tabela_registros[VALOR],tabela_registros[MÊS],$AE$1,tabela_registros[DIA],reservaoutrosconsolidadojul[[#Headers],[29]],tabela_registros[REGISTRO],DADOS!$N$6,tabela_registros[TIPO],DADOS!$AJ$5,tabela_registros[CATEGORIA],reservaoutrosconsolidadojul[[#This Row],[ATUAL]])</f>
        <v>0</v>
      </c>
      <c r="AH207" s="119" t="n">
        <f aca="false">SUMIFS(tabela_registros[VALOR],tabela_registros[MÊS],$AE$1,tabela_registros[DIA],reservaoutrosconsolidadojul[[#Headers],[30]],tabela_registros[REGISTRO],DADOS!$N$6,tabela_registros[TIPO],DADOS!$AJ$5,tabela_registros[CATEGORIA],reservaoutrosconsolidadojul[[#This Row],[ATUAL]])</f>
        <v>0</v>
      </c>
      <c r="AI207" s="217" t="n">
        <f aca="false">SUMIFS(tabela_registros[VALOR],tabela_registros[MÊS],$AE$1,tabela_registros[DIA],reservaoutrosconsolidadojul[[#Headers],[31]],tabela_registros[REGISTRO],DADOS!$N$6,tabela_registros[TIPO],DADOS!$AJ$5,tabela_registros[CATEGORIA],reservaoutrosconsolidadojul[[#This Row],[ATUAL]])</f>
        <v>0</v>
      </c>
      <c r="AJ207" s="149" t="n">
        <f aca="false">SUM(reservaoutrosconsolidadojul[[#This Row],[1]:[31]])</f>
        <v>0</v>
      </c>
      <c r="AK207" s="165"/>
    </row>
    <row r="208" customFormat="false" ht="19.5" hidden="false" customHeight="true" outlineLevel="0" collapsed="false">
      <c r="B208" s="143"/>
      <c r="C208" s="144" t="str">
        <f aca="false">DADOS!$AP$5</f>
        <v>📝 FUNDO DE INVESTIMENTO</v>
      </c>
      <c r="D208" s="145" t="str">
        <f aca="false">IF(reservaoutrosconsolidadojul[[#This Row],[TOTAL (R$)]]=0,"",IF(OR(reservaoutrosconsolidadojul[[#This Row],[TOTAL (R$)]]=LARGE($AJ$206:$AJ$213,1),reservaoutrosconsolidadojul[[#This Row],[TOTAL (R$)]]=LARGE($AJ$206:$AJ$213,2)),DADOS!$I$11,""))</f>
        <v/>
      </c>
      <c r="E208" s="148" t="n">
        <f aca="false">SUMIFS(tabela_registros[VALOR],tabela_registros[MÊS],$AE$1,tabela_registros[DIA],reservaoutrosconsolidadojul[[#Headers],[1]],tabela_registros[REGISTRO],DADOS!$N$6,tabela_registros[TIPO],DADOS!$AJ$5,tabela_registros[CATEGORIA],reservaoutrosconsolidadojul[[#This Row],[ATUAL]])</f>
        <v>0</v>
      </c>
      <c r="F208" s="119" t="n">
        <f aca="false">SUMIFS(tabela_registros[VALOR],tabela_registros[MÊS],$AE$1,tabela_registros[DIA],reservaoutrosconsolidadojul[[#Headers],[2]],tabela_registros[REGISTRO],DADOS!$N$6,tabela_registros[TIPO],DADOS!$AJ$5,tabela_registros[CATEGORIA],reservaoutrosconsolidadojul[[#This Row],[ATUAL]])</f>
        <v>0</v>
      </c>
      <c r="G208" s="119" t="n">
        <f aca="false">SUMIFS(tabela_registros[VALOR],tabela_registros[MÊS],$AE$1,tabela_registros[DIA],reservaoutrosconsolidadojul[[#Headers],[3]],tabela_registros[REGISTRO],DADOS!$N$6,tabela_registros[TIPO],DADOS!$AJ$5,tabela_registros[CATEGORIA],reservaoutrosconsolidadojul[[#This Row],[ATUAL]])</f>
        <v>0</v>
      </c>
      <c r="H208" s="119" t="n">
        <f aca="false">SUMIFS(tabela_registros[VALOR],tabela_registros[MÊS],$AE$1,tabela_registros[DIA],reservaoutrosconsolidadojul[[#Headers],[4]],tabela_registros[REGISTRO],DADOS!$N$6,tabela_registros[TIPO],DADOS!$AJ$5,tabela_registros[CATEGORIA],reservaoutrosconsolidadojul[[#This Row],[ATUAL]])</f>
        <v>0</v>
      </c>
      <c r="I208" s="119" t="n">
        <f aca="false">SUMIFS(tabela_registros[VALOR],tabela_registros[MÊS],$AE$1,tabela_registros[DIA],reservaoutrosconsolidadojul[[#Headers],[5]],tabela_registros[REGISTRO],DADOS!$N$6,tabela_registros[TIPO],DADOS!$AJ$5,tabela_registros[CATEGORIA],reservaoutrosconsolidadojul[[#This Row],[ATUAL]])</f>
        <v>0</v>
      </c>
      <c r="J208" s="119" t="n">
        <f aca="false">SUMIFS(tabela_registros[VALOR],tabela_registros[MÊS],$AE$1,tabela_registros[DIA],reservaoutrosconsolidadojul[[#Headers],[6]],tabela_registros[REGISTRO],DADOS!$N$6,tabela_registros[TIPO],DADOS!$AJ$5,tabela_registros[CATEGORIA],reservaoutrosconsolidadojul[[#This Row],[ATUAL]])</f>
        <v>0</v>
      </c>
      <c r="K208" s="119" t="n">
        <f aca="false">SUMIFS(tabela_registros[VALOR],tabela_registros[MÊS],$AE$1,tabela_registros[DIA],reservaoutrosconsolidadojul[[#Headers],[7]],tabela_registros[REGISTRO],DADOS!$N$6,tabela_registros[TIPO],DADOS!$AJ$5,tabela_registros[CATEGORIA],reservaoutrosconsolidadojul[[#This Row],[ATUAL]])</f>
        <v>0</v>
      </c>
      <c r="L208" s="119" t="n">
        <f aca="false">SUMIFS(tabela_registros[VALOR],tabela_registros[MÊS],$AE$1,tabela_registros[DIA],reservaoutrosconsolidadojul[[#Headers],[8]],tabela_registros[REGISTRO],DADOS!$N$6,tabela_registros[TIPO],DADOS!$AJ$5,tabela_registros[CATEGORIA],reservaoutrosconsolidadojul[[#This Row],[ATUAL]])</f>
        <v>0</v>
      </c>
      <c r="M208" s="119" t="n">
        <f aca="false">SUMIFS(tabela_registros[VALOR],tabela_registros[MÊS],$AE$1,tabela_registros[DIA],reservaoutrosconsolidadojul[[#Headers],[9]],tabela_registros[REGISTRO],DADOS!$N$6,tabela_registros[TIPO],DADOS!$AJ$5,tabela_registros[CATEGORIA],reservaoutrosconsolidadojul[[#This Row],[ATUAL]])</f>
        <v>0</v>
      </c>
      <c r="N208" s="119" t="n">
        <f aca="false">SUMIFS(tabela_registros[VALOR],tabela_registros[MÊS],$AE$1,tabela_registros[DIA],reservaoutrosconsolidadojul[[#Headers],[10]],tabela_registros[REGISTRO],DADOS!$N$6,tabela_registros[TIPO],DADOS!$AJ$5,tabela_registros[CATEGORIA],reservaoutrosconsolidadojul[[#This Row],[ATUAL]])</f>
        <v>0</v>
      </c>
      <c r="O208" s="119" t="n">
        <f aca="false">SUMIFS(tabela_registros[VALOR],tabela_registros[MÊS],$AE$1,tabela_registros[DIA],reservaoutrosconsolidadojul[[#Headers],[11]],tabela_registros[REGISTRO],DADOS!$N$6,tabela_registros[TIPO],DADOS!$AJ$5,tabela_registros[CATEGORIA],reservaoutrosconsolidadojul[[#This Row],[ATUAL]])</f>
        <v>0</v>
      </c>
      <c r="P208" s="119" t="n">
        <f aca="false">SUMIFS(tabela_registros[VALOR],tabela_registros[MÊS],$AE$1,tabela_registros[DIA],reservaoutrosconsolidadojul[[#Headers],[12]],tabela_registros[REGISTRO],DADOS!$N$6,tabela_registros[TIPO],DADOS!$AJ$5,tabela_registros[CATEGORIA],reservaoutrosconsolidadojul[[#This Row],[ATUAL]])</f>
        <v>0</v>
      </c>
      <c r="Q208" s="119" t="n">
        <f aca="false">SUMIFS(tabela_registros[VALOR],tabela_registros[MÊS],$AE$1,tabela_registros[DIA],reservaoutrosconsolidadojul[[#Headers],[13]],tabela_registros[REGISTRO],DADOS!$N$6,tabela_registros[TIPO],DADOS!$AJ$5,tabela_registros[CATEGORIA],reservaoutrosconsolidadojul[[#This Row],[ATUAL]])</f>
        <v>0</v>
      </c>
      <c r="R208" s="119" t="n">
        <f aca="false">SUMIFS(tabela_registros[VALOR],tabela_registros[MÊS],$AE$1,tabela_registros[DIA],reservaoutrosconsolidadojul[[#Headers],[14]],tabela_registros[REGISTRO],DADOS!$N$6,tabela_registros[TIPO],DADOS!$AJ$5,tabela_registros[CATEGORIA],reservaoutrosconsolidadojul[[#This Row],[ATUAL]])</f>
        <v>0</v>
      </c>
      <c r="S208" s="119" t="n">
        <f aca="false">SUMIFS(tabela_registros[VALOR],tabela_registros[MÊS],$AE$1,tabela_registros[DIA],reservaoutrosconsolidadojul[[#Headers],[15]],tabela_registros[REGISTRO],DADOS!$N$6,tabela_registros[TIPO],DADOS!$AJ$5,tabela_registros[CATEGORIA],reservaoutrosconsolidadojul[[#This Row],[ATUAL]])</f>
        <v>0</v>
      </c>
      <c r="T208" s="119" t="n">
        <f aca="false">SUMIFS(tabela_registros[VALOR],tabela_registros[MÊS],$AE$1,tabela_registros[DIA],reservaoutrosconsolidadojul[[#Headers],[16]],tabela_registros[REGISTRO],DADOS!$N$6,tabela_registros[TIPO],DADOS!$AJ$5,tabela_registros[CATEGORIA],reservaoutrosconsolidadojul[[#This Row],[ATUAL]])</f>
        <v>0</v>
      </c>
      <c r="U208" s="119" t="n">
        <f aca="false">SUMIFS(tabela_registros[VALOR],tabela_registros[MÊS],$AE$1,tabela_registros[DIA],reservaoutrosconsolidadojul[[#Headers],[17]],tabela_registros[REGISTRO],DADOS!$N$6,tabela_registros[TIPO],DADOS!$AJ$5,tabela_registros[CATEGORIA],reservaoutrosconsolidadojul[[#This Row],[ATUAL]])</f>
        <v>0</v>
      </c>
      <c r="V208" s="119" t="n">
        <f aca="false">SUMIFS(tabela_registros[VALOR],tabela_registros[MÊS],$AE$1,tabela_registros[DIA],reservaoutrosconsolidadojul[[#Headers],[18]],tabela_registros[REGISTRO],DADOS!$N$6,tabela_registros[TIPO],DADOS!$AJ$5,tabela_registros[CATEGORIA],reservaoutrosconsolidadojul[[#This Row],[ATUAL]])</f>
        <v>0</v>
      </c>
      <c r="W208" s="119" t="n">
        <f aca="false">SUMIFS(tabela_registros[VALOR],tabela_registros[MÊS],$AE$1,tabela_registros[DIA],reservaoutrosconsolidadojul[[#Headers],[19]],tabela_registros[REGISTRO],DADOS!$N$6,tabela_registros[TIPO],DADOS!$AJ$5,tabela_registros[CATEGORIA],reservaoutrosconsolidadojul[[#This Row],[ATUAL]])</f>
        <v>0</v>
      </c>
      <c r="X208" s="119" t="n">
        <f aca="false">SUMIFS(tabela_registros[VALOR],tabela_registros[MÊS],$AE$1,tabela_registros[DIA],reservaoutrosconsolidadojul[[#Headers],[20]],tabela_registros[REGISTRO],DADOS!$N$6,tabela_registros[TIPO],DADOS!$AJ$5,tabela_registros[CATEGORIA],reservaoutrosconsolidadojul[[#This Row],[ATUAL]])</f>
        <v>0</v>
      </c>
      <c r="Y208" s="119" t="n">
        <f aca="false">SUMIFS(tabela_registros[VALOR],tabela_registros[MÊS],$AE$1,tabela_registros[DIA],reservaoutrosconsolidadojul[[#Headers],[21]],tabela_registros[REGISTRO],DADOS!$N$6,tabela_registros[TIPO],DADOS!$AJ$5,tabela_registros[CATEGORIA],reservaoutrosconsolidadojul[[#This Row],[ATUAL]])</f>
        <v>0</v>
      </c>
      <c r="Z208" s="119" t="n">
        <f aca="false">SUMIFS(tabela_registros[VALOR],tabela_registros[MÊS],$AE$1,tabela_registros[DIA],reservaoutrosconsolidadojul[[#Headers],[22]],tabela_registros[REGISTRO],DADOS!$N$6,tabela_registros[TIPO],DADOS!$AJ$5,tabela_registros[CATEGORIA],reservaoutrosconsolidadojul[[#This Row],[ATUAL]])</f>
        <v>0</v>
      </c>
      <c r="AA208" s="119" t="n">
        <f aca="false">SUMIFS(tabela_registros[VALOR],tabela_registros[MÊS],$AE$1,tabela_registros[DIA],reservaoutrosconsolidadojul[[#Headers],[23]],tabela_registros[REGISTRO],DADOS!$N$6,tabela_registros[TIPO],DADOS!$AJ$5,tabela_registros[CATEGORIA],reservaoutrosconsolidadojul[[#This Row],[ATUAL]])</f>
        <v>0</v>
      </c>
      <c r="AB208" s="119" t="n">
        <f aca="false">SUMIFS(tabela_registros[VALOR],tabela_registros[MÊS],$AE$1,tabela_registros[DIA],reservaoutrosconsolidadojul[[#Headers],[24]],tabela_registros[REGISTRO],DADOS!$N$6,tabela_registros[TIPO],DADOS!$AJ$5,tabela_registros[CATEGORIA],reservaoutrosconsolidadojul[[#This Row],[ATUAL]])</f>
        <v>0</v>
      </c>
      <c r="AC208" s="119" t="n">
        <f aca="false">SUMIFS(tabela_registros[VALOR],tabela_registros[MÊS],$AE$1,tabela_registros[DIA],reservaoutrosconsolidadojul[[#Headers],[25]],tabela_registros[REGISTRO],DADOS!$N$6,tabela_registros[TIPO],DADOS!$AJ$5,tabela_registros[CATEGORIA],reservaoutrosconsolidadojul[[#This Row],[ATUAL]])</f>
        <v>0</v>
      </c>
      <c r="AD208" s="119" t="n">
        <f aca="false">SUMIFS(tabela_registros[VALOR],tabela_registros[MÊS],$AE$1,tabela_registros[DIA],reservaoutrosconsolidadojul[[#Headers],[26]],tabela_registros[REGISTRO],DADOS!$N$6,tabela_registros[TIPO],DADOS!$AJ$5,tabela_registros[CATEGORIA],reservaoutrosconsolidadojul[[#This Row],[ATUAL]])</f>
        <v>0</v>
      </c>
      <c r="AE208" s="119" t="n">
        <f aca="false">SUMIFS(tabela_registros[VALOR],tabela_registros[MÊS],$AE$1,tabela_registros[DIA],reservaoutrosconsolidadojul[[#Headers],[27]],tabela_registros[REGISTRO],DADOS!$N$6,tabela_registros[TIPO],DADOS!$AJ$5,tabela_registros[CATEGORIA],reservaoutrosconsolidadojul[[#This Row],[ATUAL]])</f>
        <v>0</v>
      </c>
      <c r="AF208" s="119" t="n">
        <f aca="false">SUMIFS(tabela_registros[VALOR],tabela_registros[MÊS],$AE$1,tabela_registros[DIA],reservaoutrosconsolidadojul[[#Headers],[28]],tabela_registros[REGISTRO],DADOS!$N$6,tabela_registros[TIPO],DADOS!$AJ$5,tabela_registros[CATEGORIA],reservaoutrosconsolidadojul[[#This Row],[ATUAL]])</f>
        <v>0</v>
      </c>
      <c r="AG208" s="119" t="n">
        <f aca="false">SUMIFS(tabela_registros[VALOR],tabela_registros[MÊS],$AE$1,tabela_registros[DIA],reservaoutrosconsolidadojul[[#Headers],[29]],tabela_registros[REGISTRO],DADOS!$N$6,tabela_registros[TIPO],DADOS!$AJ$5,tabela_registros[CATEGORIA],reservaoutrosconsolidadojul[[#This Row],[ATUAL]])</f>
        <v>0</v>
      </c>
      <c r="AH208" s="119" t="n">
        <f aca="false">SUMIFS(tabela_registros[VALOR],tabela_registros[MÊS],$AE$1,tabela_registros[DIA],reservaoutrosconsolidadojul[[#Headers],[30]],tabela_registros[REGISTRO],DADOS!$N$6,tabela_registros[TIPO],DADOS!$AJ$5,tabela_registros[CATEGORIA],reservaoutrosconsolidadojul[[#This Row],[ATUAL]])</f>
        <v>0</v>
      </c>
      <c r="AI208" s="217" t="n">
        <f aca="false">SUMIFS(tabela_registros[VALOR],tabela_registros[MÊS],$AE$1,tabela_registros[DIA],reservaoutrosconsolidadojul[[#Headers],[31]],tabela_registros[REGISTRO],DADOS!$N$6,tabela_registros[TIPO],DADOS!$AJ$5,tabela_registros[CATEGORIA],reservaoutrosconsolidadojul[[#This Row],[ATUAL]])</f>
        <v>0</v>
      </c>
      <c r="AJ208" s="149" t="n">
        <f aca="false">SUM(reservaoutrosconsolidadojul[[#This Row],[1]:[31]])</f>
        <v>0</v>
      </c>
      <c r="AK208" s="165"/>
    </row>
    <row r="209" customFormat="false" ht="19.5" hidden="false" customHeight="true" outlineLevel="0" collapsed="false">
      <c r="B209" s="143"/>
      <c r="C209" s="144" t="str">
        <f aca="false">DADOS!$AP$6</f>
        <v>📝 NOVA EMPRESA</v>
      </c>
      <c r="D209" s="145" t="str">
        <f aca="false">IF(reservaoutrosconsolidadojul[[#This Row],[TOTAL (R$)]]=0,"",IF(OR(reservaoutrosconsolidadojul[[#This Row],[TOTAL (R$)]]=LARGE($AJ$206:$AJ$213,1),reservaoutrosconsolidadojul[[#This Row],[TOTAL (R$)]]=LARGE($AJ$206:$AJ$213,2)),DADOS!$I$11,""))</f>
        <v/>
      </c>
      <c r="E209" s="148" t="n">
        <f aca="false">SUMIFS(tabela_registros[VALOR],tabela_registros[MÊS],$AE$1,tabela_registros[DIA],reservaoutrosconsolidadojul[[#Headers],[1]],tabela_registros[REGISTRO],DADOS!$N$6,tabela_registros[TIPO],DADOS!$AJ$5,tabela_registros[CATEGORIA],reservaoutrosconsolidadojul[[#This Row],[ATUAL]])</f>
        <v>0</v>
      </c>
      <c r="F209" s="119" t="n">
        <f aca="false">SUMIFS(tabela_registros[VALOR],tabela_registros[MÊS],$AE$1,tabela_registros[DIA],reservaoutrosconsolidadojul[[#Headers],[2]],tabela_registros[REGISTRO],DADOS!$N$6,tabela_registros[TIPO],DADOS!$AJ$5,tabela_registros[CATEGORIA],reservaoutrosconsolidadojul[[#This Row],[ATUAL]])</f>
        <v>0</v>
      </c>
      <c r="G209" s="119" t="n">
        <f aca="false">SUMIFS(tabela_registros[VALOR],tabela_registros[MÊS],$AE$1,tabela_registros[DIA],reservaoutrosconsolidadojul[[#Headers],[3]],tabela_registros[REGISTRO],DADOS!$N$6,tabela_registros[TIPO],DADOS!$AJ$5,tabela_registros[CATEGORIA],reservaoutrosconsolidadojul[[#This Row],[ATUAL]])</f>
        <v>0</v>
      </c>
      <c r="H209" s="119" t="n">
        <f aca="false">SUMIFS(tabela_registros[VALOR],tabela_registros[MÊS],$AE$1,tabela_registros[DIA],reservaoutrosconsolidadojul[[#Headers],[4]],tabela_registros[REGISTRO],DADOS!$N$6,tabela_registros[TIPO],DADOS!$AJ$5,tabela_registros[CATEGORIA],reservaoutrosconsolidadojul[[#This Row],[ATUAL]])</f>
        <v>0</v>
      </c>
      <c r="I209" s="119" t="n">
        <f aca="false">SUMIFS(tabela_registros[VALOR],tabela_registros[MÊS],$AE$1,tabela_registros[DIA],reservaoutrosconsolidadojul[[#Headers],[5]],tabela_registros[REGISTRO],DADOS!$N$6,tabela_registros[TIPO],DADOS!$AJ$5,tabela_registros[CATEGORIA],reservaoutrosconsolidadojul[[#This Row],[ATUAL]])</f>
        <v>0</v>
      </c>
      <c r="J209" s="119" t="n">
        <f aca="false">SUMIFS(tabela_registros[VALOR],tabela_registros[MÊS],$AE$1,tabela_registros[DIA],reservaoutrosconsolidadojul[[#Headers],[6]],tabela_registros[REGISTRO],DADOS!$N$6,tabela_registros[TIPO],DADOS!$AJ$5,tabela_registros[CATEGORIA],reservaoutrosconsolidadojul[[#This Row],[ATUAL]])</f>
        <v>0</v>
      </c>
      <c r="K209" s="119" t="n">
        <f aca="false">SUMIFS(tabela_registros[VALOR],tabela_registros[MÊS],$AE$1,tabela_registros[DIA],reservaoutrosconsolidadojul[[#Headers],[7]],tabela_registros[REGISTRO],DADOS!$N$6,tabela_registros[TIPO],DADOS!$AJ$5,tabela_registros[CATEGORIA],reservaoutrosconsolidadojul[[#This Row],[ATUAL]])</f>
        <v>0</v>
      </c>
      <c r="L209" s="119" t="n">
        <f aca="false">SUMIFS(tabela_registros[VALOR],tabela_registros[MÊS],$AE$1,tabela_registros[DIA],reservaoutrosconsolidadojul[[#Headers],[8]],tabela_registros[REGISTRO],DADOS!$N$6,tabela_registros[TIPO],DADOS!$AJ$5,tabela_registros[CATEGORIA],reservaoutrosconsolidadojul[[#This Row],[ATUAL]])</f>
        <v>0</v>
      </c>
      <c r="M209" s="119" t="n">
        <f aca="false">SUMIFS(tabela_registros[VALOR],tabela_registros[MÊS],$AE$1,tabela_registros[DIA],reservaoutrosconsolidadojul[[#Headers],[9]],tabela_registros[REGISTRO],DADOS!$N$6,tabela_registros[TIPO],DADOS!$AJ$5,tabela_registros[CATEGORIA],reservaoutrosconsolidadojul[[#This Row],[ATUAL]])</f>
        <v>0</v>
      </c>
      <c r="N209" s="119" t="n">
        <f aca="false">SUMIFS(tabela_registros[VALOR],tabela_registros[MÊS],$AE$1,tabela_registros[DIA],reservaoutrosconsolidadojul[[#Headers],[10]],tabela_registros[REGISTRO],DADOS!$N$6,tabela_registros[TIPO],DADOS!$AJ$5,tabela_registros[CATEGORIA],reservaoutrosconsolidadojul[[#This Row],[ATUAL]])</f>
        <v>0</v>
      </c>
      <c r="O209" s="119" t="n">
        <f aca="false">SUMIFS(tabela_registros[VALOR],tabela_registros[MÊS],$AE$1,tabela_registros[DIA],reservaoutrosconsolidadojul[[#Headers],[11]],tabela_registros[REGISTRO],DADOS!$N$6,tabela_registros[TIPO],DADOS!$AJ$5,tabela_registros[CATEGORIA],reservaoutrosconsolidadojul[[#This Row],[ATUAL]])</f>
        <v>0</v>
      </c>
      <c r="P209" s="119" t="n">
        <f aca="false">SUMIFS(tabela_registros[VALOR],tabela_registros[MÊS],$AE$1,tabela_registros[DIA],reservaoutrosconsolidadojul[[#Headers],[12]],tabela_registros[REGISTRO],DADOS!$N$6,tabela_registros[TIPO],DADOS!$AJ$5,tabela_registros[CATEGORIA],reservaoutrosconsolidadojul[[#This Row],[ATUAL]])</f>
        <v>0</v>
      </c>
      <c r="Q209" s="119" t="n">
        <f aca="false">SUMIFS(tabela_registros[VALOR],tabela_registros[MÊS],$AE$1,tabela_registros[DIA],reservaoutrosconsolidadojul[[#Headers],[13]],tabela_registros[REGISTRO],DADOS!$N$6,tabela_registros[TIPO],DADOS!$AJ$5,tabela_registros[CATEGORIA],reservaoutrosconsolidadojul[[#This Row],[ATUAL]])</f>
        <v>0</v>
      </c>
      <c r="R209" s="119" t="n">
        <f aca="false">SUMIFS(tabela_registros[VALOR],tabela_registros[MÊS],$AE$1,tabela_registros[DIA],reservaoutrosconsolidadojul[[#Headers],[14]],tabela_registros[REGISTRO],DADOS!$N$6,tabela_registros[TIPO],DADOS!$AJ$5,tabela_registros[CATEGORIA],reservaoutrosconsolidadojul[[#This Row],[ATUAL]])</f>
        <v>0</v>
      </c>
      <c r="S209" s="119" t="n">
        <f aca="false">SUMIFS(tabela_registros[VALOR],tabela_registros[MÊS],$AE$1,tabela_registros[DIA],reservaoutrosconsolidadojul[[#Headers],[15]],tabela_registros[REGISTRO],DADOS!$N$6,tabela_registros[TIPO],DADOS!$AJ$5,tabela_registros[CATEGORIA],reservaoutrosconsolidadojul[[#This Row],[ATUAL]])</f>
        <v>0</v>
      </c>
      <c r="T209" s="119" t="n">
        <f aca="false">SUMIFS(tabela_registros[VALOR],tabela_registros[MÊS],$AE$1,tabela_registros[DIA],reservaoutrosconsolidadojul[[#Headers],[16]],tabela_registros[REGISTRO],DADOS!$N$6,tabela_registros[TIPO],DADOS!$AJ$5,tabela_registros[CATEGORIA],reservaoutrosconsolidadojul[[#This Row],[ATUAL]])</f>
        <v>0</v>
      </c>
      <c r="U209" s="119" t="n">
        <f aca="false">SUMIFS(tabela_registros[VALOR],tabela_registros[MÊS],$AE$1,tabela_registros[DIA],reservaoutrosconsolidadojul[[#Headers],[17]],tabela_registros[REGISTRO],DADOS!$N$6,tabela_registros[TIPO],DADOS!$AJ$5,tabela_registros[CATEGORIA],reservaoutrosconsolidadojul[[#This Row],[ATUAL]])</f>
        <v>0</v>
      </c>
      <c r="V209" s="119" t="n">
        <f aca="false">SUMIFS(tabela_registros[VALOR],tabela_registros[MÊS],$AE$1,tabela_registros[DIA],reservaoutrosconsolidadojul[[#Headers],[18]],tabela_registros[REGISTRO],DADOS!$N$6,tabela_registros[TIPO],DADOS!$AJ$5,tabela_registros[CATEGORIA],reservaoutrosconsolidadojul[[#This Row],[ATUAL]])</f>
        <v>0</v>
      </c>
      <c r="W209" s="119" t="n">
        <f aca="false">SUMIFS(tabela_registros[VALOR],tabela_registros[MÊS],$AE$1,tabela_registros[DIA],reservaoutrosconsolidadojul[[#Headers],[19]],tabela_registros[REGISTRO],DADOS!$N$6,tabela_registros[TIPO],DADOS!$AJ$5,tabela_registros[CATEGORIA],reservaoutrosconsolidadojul[[#This Row],[ATUAL]])</f>
        <v>0</v>
      </c>
      <c r="X209" s="119" t="n">
        <f aca="false">SUMIFS(tabela_registros[VALOR],tabela_registros[MÊS],$AE$1,tabela_registros[DIA],reservaoutrosconsolidadojul[[#Headers],[20]],tabela_registros[REGISTRO],DADOS!$N$6,tabela_registros[TIPO],DADOS!$AJ$5,tabela_registros[CATEGORIA],reservaoutrosconsolidadojul[[#This Row],[ATUAL]])</f>
        <v>0</v>
      </c>
      <c r="Y209" s="119" t="n">
        <f aca="false">SUMIFS(tabela_registros[VALOR],tabela_registros[MÊS],$AE$1,tabela_registros[DIA],reservaoutrosconsolidadojul[[#Headers],[21]],tabela_registros[REGISTRO],DADOS!$N$6,tabela_registros[TIPO],DADOS!$AJ$5,tabela_registros[CATEGORIA],reservaoutrosconsolidadojul[[#This Row],[ATUAL]])</f>
        <v>0</v>
      </c>
      <c r="Z209" s="119" t="n">
        <f aca="false">SUMIFS(tabela_registros[VALOR],tabela_registros[MÊS],$AE$1,tabela_registros[DIA],reservaoutrosconsolidadojul[[#Headers],[22]],tabela_registros[REGISTRO],DADOS!$N$6,tabela_registros[TIPO],DADOS!$AJ$5,tabela_registros[CATEGORIA],reservaoutrosconsolidadojul[[#This Row],[ATUAL]])</f>
        <v>0</v>
      </c>
      <c r="AA209" s="119" t="n">
        <f aca="false">SUMIFS(tabela_registros[VALOR],tabela_registros[MÊS],$AE$1,tabela_registros[DIA],reservaoutrosconsolidadojul[[#Headers],[23]],tabela_registros[REGISTRO],DADOS!$N$6,tabela_registros[TIPO],DADOS!$AJ$5,tabela_registros[CATEGORIA],reservaoutrosconsolidadojul[[#This Row],[ATUAL]])</f>
        <v>0</v>
      </c>
      <c r="AB209" s="119" t="n">
        <f aca="false">SUMIFS(tabela_registros[VALOR],tabela_registros[MÊS],$AE$1,tabela_registros[DIA],reservaoutrosconsolidadojul[[#Headers],[24]],tabela_registros[REGISTRO],DADOS!$N$6,tabela_registros[TIPO],DADOS!$AJ$5,tabela_registros[CATEGORIA],reservaoutrosconsolidadojul[[#This Row],[ATUAL]])</f>
        <v>0</v>
      </c>
      <c r="AC209" s="119" t="n">
        <f aca="false">SUMIFS(tabela_registros[VALOR],tabela_registros[MÊS],$AE$1,tabela_registros[DIA],reservaoutrosconsolidadojul[[#Headers],[25]],tabela_registros[REGISTRO],DADOS!$N$6,tabela_registros[TIPO],DADOS!$AJ$5,tabela_registros[CATEGORIA],reservaoutrosconsolidadojul[[#This Row],[ATUAL]])</f>
        <v>0</v>
      </c>
      <c r="AD209" s="119" t="n">
        <f aca="false">SUMIFS(tabela_registros[VALOR],tabela_registros[MÊS],$AE$1,tabela_registros[DIA],reservaoutrosconsolidadojul[[#Headers],[26]],tabela_registros[REGISTRO],DADOS!$N$6,tabela_registros[TIPO],DADOS!$AJ$5,tabela_registros[CATEGORIA],reservaoutrosconsolidadojul[[#This Row],[ATUAL]])</f>
        <v>0</v>
      </c>
      <c r="AE209" s="119" t="n">
        <f aca="false">SUMIFS(tabela_registros[VALOR],tabela_registros[MÊS],$AE$1,tabela_registros[DIA],reservaoutrosconsolidadojul[[#Headers],[27]],tabela_registros[REGISTRO],DADOS!$N$6,tabela_registros[TIPO],DADOS!$AJ$5,tabela_registros[CATEGORIA],reservaoutrosconsolidadojul[[#This Row],[ATUAL]])</f>
        <v>0</v>
      </c>
      <c r="AF209" s="119" t="n">
        <f aca="false">SUMIFS(tabela_registros[VALOR],tabela_registros[MÊS],$AE$1,tabela_registros[DIA],reservaoutrosconsolidadojul[[#Headers],[28]],tabela_registros[REGISTRO],DADOS!$N$6,tabela_registros[TIPO],DADOS!$AJ$5,tabela_registros[CATEGORIA],reservaoutrosconsolidadojul[[#This Row],[ATUAL]])</f>
        <v>0</v>
      </c>
      <c r="AG209" s="119" t="n">
        <f aca="false">SUMIFS(tabela_registros[VALOR],tabela_registros[MÊS],$AE$1,tabela_registros[DIA],reservaoutrosconsolidadojul[[#Headers],[29]],tabela_registros[REGISTRO],DADOS!$N$6,tabela_registros[TIPO],DADOS!$AJ$5,tabela_registros[CATEGORIA],reservaoutrosconsolidadojul[[#This Row],[ATUAL]])</f>
        <v>0</v>
      </c>
      <c r="AH209" s="119" t="n">
        <f aca="false">SUMIFS(tabela_registros[VALOR],tabela_registros[MÊS],$AE$1,tabela_registros[DIA],reservaoutrosconsolidadojul[[#Headers],[30]],tabela_registros[REGISTRO],DADOS!$N$6,tabela_registros[TIPO],DADOS!$AJ$5,tabela_registros[CATEGORIA],reservaoutrosconsolidadojul[[#This Row],[ATUAL]])</f>
        <v>0</v>
      </c>
      <c r="AI209" s="217" t="n">
        <f aca="false">SUMIFS(tabela_registros[VALOR],tabela_registros[MÊS],$AE$1,tabela_registros[DIA],reservaoutrosconsolidadojul[[#Headers],[31]],tabela_registros[REGISTRO],DADOS!$N$6,tabela_registros[TIPO],DADOS!$AJ$5,tabela_registros[CATEGORIA],reservaoutrosconsolidadojul[[#This Row],[ATUAL]])</f>
        <v>0</v>
      </c>
      <c r="AJ209" s="149" t="n">
        <f aca="false">SUM(reservaoutrosconsolidadojul[[#This Row],[1]:[31]])</f>
        <v>0</v>
      </c>
      <c r="AK209" s="165"/>
    </row>
    <row r="210" customFormat="false" ht="19.5" hidden="false" customHeight="true" outlineLevel="0" collapsed="false">
      <c r="B210" s="143"/>
      <c r="C210" s="144" t="str">
        <f aca="false">DADOS!$AP$7</f>
        <v>📝 PEER TO COMPANY</v>
      </c>
      <c r="D210" s="145" t="str">
        <f aca="false">IF(reservaoutrosconsolidadojul[[#This Row],[TOTAL (R$)]]=0,"",IF(OR(reservaoutrosconsolidadojul[[#This Row],[TOTAL (R$)]]=LARGE($AJ$206:$AJ$213,1),reservaoutrosconsolidadojul[[#This Row],[TOTAL (R$)]]=LARGE($AJ$206:$AJ$213,2)),DADOS!$I$11,""))</f>
        <v/>
      </c>
      <c r="E210" s="148" t="n">
        <f aca="false">SUMIFS(tabela_registros[VALOR],tabela_registros[MÊS],$AE$1,tabela_registros[DIA],reservaoutrosconsolidadojul[[#Headers],[1]],tabela_registros[REGISTRO],DADOS!$N$6,tabela_registros[TIPO],DADOS!$AJ$5,tabela_registros[CATEGORIA],reservaoutrosconsolidadojul[[#This Row],[ATUAL]])</f>
        <v>0</v>
      </c>
      <c r="F210" s="119" t="n">
        <f aca="false">SUMIFS(tabela_registros[VALOR],tabela_registros[MÊS],$AE$1,tabela_registros[DIA],reservaoutrosconsolidadojul[[#Headers],[2]],tabela_registros[REGISTRO],DADOS!$N$6,tabela_registros[TIPO],DADOS!$AJ$5,tabela_registros[CATEGORIA],reservaoutrosconsolidadojul[[#This Row],[ATUAL]])</f>
        <v>0</v>
      </c>
      <c r="G210" s="119" t="n">
        <f aca="false">SUMIFS(tabela_registros[VALOR],tabela_registros[MÊS],$AE$1,tabela_registros[DIA],reservaoutrosconsolidadojul[[#Headers],[3]],tabela_registros[REGISTRO],DADOS!$N$6,tabela_registros[TIPO],DADOS!$AJ$5,tabela_registros[CATEGORIA],reservaoutrosconsolidadojul[[#This Row],[ATUAL]])</f>
        <v>0</v>
      </c>
      <c r="H210" s="119" t="n">
        <f aca="false">SUMIFS(tabela_registros[VALOR],tabela_registros[MÊS],$AE$1,tabela_registros[DIA],reservaoutrosconsolidadojul[[#Headers],[4]],tabela_registros[REGISTRO],DADOS!$N$6,tabela_registros[TIPO],DADOS!$AJ$5,tabela_registros[CATEGORIA],reservaoutrosconsolidadojul[[#This Row],[ATUAL]])</f>
        <v>0</v>
      </c>
      <c r="I210" s="119" t="n">
        <f aca="false">SUMIFS(tabela_registros[VALOR],tabela_registros[MÊS],$AE$1,tabela_registros[DIA],reservaoutrosconsolidadojul[[#Headers],[5]],tabela_registros[REGISTRO],DADOS!$N$6,tabela_registros[TIPO],DADOS!$AJ$5,tabela_registros[CATEGORIA],reservaoutrosconsolidadojul[[#This Row],[ATUAL]])</f>
        <v>0</v>
      </c>
      <c r="J210" s="119" t="n">
        <f aca="false">SUMIFS(tabela_registros[VALOR],tabela_registros[MÊS],$AE$1,tabela_registros[DIA],reservaoutrosconsolidadojul[[#Headers],[6]],tabela_registros[REGISTRO],DADOS!$N$6,tabela_registros[TIPO],DADOS!$AJ$5,tabela_registros[CATEGORIA],reservaoutrosconsolidadojul[[#This Row],[ATUAL]])</f>
        <v>0</v>
      </c>
      <c r="K210" s="119" t="n">
        <f aca="false">SUMIFS(tabela_registros[VALOR],tabela_registros[MÊS],$AE$1,tabela_registros[DIA],reservaoutrosconsolidadojul[[#Headers],[7]],tabela_registros[REGISTRO],DADOS!$N$6,tabela_registros[TIPO],DADOS!$AJ$5,tabela_registros[CATEGORIA],reservaoutrosconsolidadojul[[#This Row],[ATUAL]])</f>
        <v>0</v>
      </c>
      <c r="L210" s="119" t="n">
        <f aca="false">SUMIFS(tabela_registros[VALOR],tabela_registros[MÊS],$AE$1,tabela_registros[DIA],reservaoutrosconsolidadojul[[#Headers],[8]],tabela_registros[REGISTRO],DADOS!$N$6,tabela_registros[TIPO],DADOS!$AJ$5,tabela_registros[CATEGORIA],reservaoutrosconsolidadojul[[#This Row],[ATUAL]])</f>
        <v>0</v>
      </c>
      <c r="M210" s="119" t="n">
        <f aca="false">SUMIFS(tabela_registros[VALOR],tabela_registros[MÊS],$AE$1,tabela_registros[DIA],reservaoutrosconsolidadojul[[#Headers],[9]],tabela_registros[REGISTRO],DADOS!$N$6,tabela_registros[TIPO],DADOS!$AJ$5,tabela_registros[CATEGORIA],reservaoutrosconsolidadojul[[#This Row],[ATUAL]])</f>
        <v>0</v>
      </c>
      <c r="N210" s="119" t="n">
        <f aca="false">SUMIFS(tabela_registros[VALOR],tabela_registros[MÊS],$AE$1,tabela_registros[DIA],reservaoutrosconsolidadojul[[#Headers],[10]],tabela_registros[REGISTRO],DADOS!$N$6,tabela_registros[TIPO],DADOS!$AJ$5,tabela_registros[CATEGORIA],reservaoutrosconsolidadojul[[#This Row],[ATUAL]])</f>
        <v>0</v>
      </c>
      <c r="O210" s="119" t="n">
        <f aca="false">SUMIFS(tabela_registros[VALOR],tabela_registros[MÊS],$AE$1,tabela_registros[DIA],reservaoutrosconsolidadojul[[#Headers],[11]],tabela_registros[REGISTRO],DADOS!$N$6,tabela_registros[TIPO],DADOS!$AJ$5,tabela_registros[CATEGORIA],reservaoutrosconsolidadojul[[#This Row],[ATUAL]])</f>
        <v>0</v>
      </c>
      <c r="P210" s="119" t="n">
        <f aca="false">SUMIFS(tabela_registros[VALOR],tabela_registros[MÊS],$AE$1,tabela_registros[DIA],reservaoutrosconsolidadojul[[#Headers],[12]],tabela_registros[REGISTRO],DADOS!$N$6,tabela_registros[TIPO],DADOS!$AJ$5,tabela_registros[CATEGORIA],reservaoutrosconsolidadojul[[#This Row],[ATUAL]])</f>
        <v>0</v>
      </c>
      <c r="Q210" s="119" t="n">
        <f aca="false">SUMIFS(tabela_registros[VALOR],tabela_registros[MÊS],$AE$1,tabela_registros[DIA],reservaoutrosconsolidadojul[[#Headers],[13]],tabela_registros[REGISTRO],DADOS!$N$6,tabela_registros[TIPO],DADOS!$AJ$5,tabela_registros[CATEGORIA],reservaoutrosconsolidadojul[[#This Row],[ATUAL]])</f>
        <v>0</v>
      </c>
      <c r="R210" s="119" t="n">
        <f aca="false">SUMIFS(tabela_registros[VALOR],tabela_registros[MÊS],$AE$1,tabela_registros[DIA],reservaoutrosconsolidadojul[[#Headers],[14]],tabela_registros[REGISTRO],DADOS!$N$6,tabela_registros[TIPO],DADOS!$AJ$5,tabela_registros[CATEGORIA],reservaoutrosconsolidadojul[[#This Row],[ATUAL]])</f>
        <v>0</v>
      </c>
      <c r="S210" s="119" t="n">
        <f aca="false">SUMIFS(tabela_registros[VALOR],tabela_registros[MÊS],$AE$1,tabela_registros[DIA],reservaoutrosconsolidadojul[[#Headers],[15]],tabela_registros[REGISTRO],DADOS!$N$6,tabela_registros[TIPO],DADOS!$AJ$5,tabela_registros[CATEGORIA],reservaoutrosconsolidadojul[[#This Row],[ATUAL]])</f>
        <v>0</v>
      </c>
      <c r="T210" s="119" t="n">
        <f aca="false">SUMIFS(tabela_registros[VALOR],tabela_registros[MÊS],$AE$1,tabela_registros[DIA],reservaoutrosconsolidadojul[[#Headers],[16]],tabela_registros[REGISTRO],DADOS!$N$6,tabela_registros[TIPO],DADOS!$AJ$5,tabela_registros[CATEGORIA],reservaoutrosconsolidadojul[[#This Row],[ATUAL]])</f>
        <v>0</v>
      </c>
      <c r="U210" s="119" t="n">
        <f aca="false">SUMIFS(tabela_registros[VALOR],tabela_registros[MÊS],$AE$1,tabela_registros[DIA],reservaoutrosconsolidadojul[[#Headers],[17]],tabela_registros[REGISTRO],DADOS!$N$6,tabela_registros[TIPO],DADOS!$AJ$5,tabela_registros[CATEGORIA],reservaoutrosconsolidadojul[[#This Row],[ATUAL]])</f>
        <v>0</v>
      </c>
      <c r="V210" s="119" t="n">
        <f aca="false">SUMIFS(tabela_registros[VALOR],tabela_registros[MÊS],$AE$1,tabela_registros[DIA],reservaoutrosconsolidadojul[[#Headers],[18]],tabela_registros[REGISTRO],DADOS!$N$6,tabela_registros[TIPO],DADOS!$AJ$5,tabela_registros[CATEGORIA],reservaoutrosconsolidadojul[[#This Row],[ATUAL]])</f>
        <v>0</v>
      </c>
      <c r="W210" s="119" t="n">
        <f aca="false">SUMIFS(tabela_registros[VALOR],tabela_registros[MÊS],$AE$1,tabela_registros[DIA],reservaoutrosconsolidadojul[[#Headers],[19]],tabela_registros[REGISTRO],DADOS!$N$6,tabela_registros[TIPO],DADOS!$AJ$5,tabela_registros[CATEGORIA],reservaoutrosconsolidadojul[[#This Row],[ATUAL]])</f>
        <v>0</v>
      </c>
      <c r="X210" s="119" t="n">
        <f aca="false">SUMIFS(tabela_registros[VALOR],tabela_registros[MÊS],$AE$1,tabela_registros[DIA],reservaoutrosconsolidadojul[[#Headers],[20]],tabela_registros[REGISTRO],DADOS!$N$6,tabela_registros[TIPO],DADOS!$AJ$5,tabela_registros[CATEGORIA],reservaoutrosconsolidadojul[[#This Row],[ATUAL]])</f>
        <v>0</v>
      </c>
      <c r="Y210" s="119" t="n">
        <f aca="false">SUMIFS(tabela_registros[VALOR],tabela_registros[MÊS],$AE$1,tabela_registros[DIA],reservaoutrosconsolidadojul[[#Headers],[21]],tabela_registros[REGISTRO],DADOS!$N$6,tabela_registros[TIPO],DADOS!$AJ$5,tabela_registros[CATEGORIA],reservaoutrosconsolidadojul[[#This Row],[ATUAL]])</f>
        <v>0</v>
      </c>
      <c r="Z210" s="119" t="n">
        <f aca="false">SUMIFS(tabela_registros[VALOR],tabela_registros[MÊS],$AE$1,tabela_registros[DIA],reservaoutrosconsolidadojul[[#Headers],[22]],tabela_registros[REGISTRO],DADOS!$N$6,tabela_registros[TIPO],DADOS!$AJ$5,tabela_registros[CATEGORIA],reservaoutrosconsolidadojul[[#This Row],[ATUAL]])</f>
        <v>0</v>
      </c>
      <c r="AA210" s="119" t="n">
        <f aca="false">SUMIFS(tabela_registros[VALOR],tabela_registros[MÊS],$AE$1,tabela_registros[DIA],reservaoutrosconsolidadojul[[#Headers],[23]],tabela_registros[REGISTRO],DADOS!$N$6,tabela_registros[TIPO],DADOS!$AJ$5,tabela_registros[CATEGORIA],reservaoutrosconsolidadojul[[#This Row],[ATUAL]])</f>
        <v>0</v>
      </c>
      <c r="AB210" s="119" t="n">
        <f aca="false">SUMIFS(tabela_registros[VALOR],tabela_registros[MÊS],$AE$1,tabela_registros[DIA],reservaoutrosconsolidadojul[[#Headers],[24]],tabela_registros[REGISTRO],DADOS!$N$6,tabela_registros[TIPO],DADOS!$AJ$5,tabela_registros[CATEGORIA],reservaoutrosconsolidadojul[[#This Row],[ATUAL]])</f>
        <v>0</v>
      </c>
      <c r="AC210" s="119" t="n">
        <f aca="false">SUMIFS(tabela_registros[VALOR],tabela_registros[MÊS],$AE$1,tabela_registros[DIA],reservaoutrosconsolidadojul[[#Headers],[25]],tabela_registros[REGISTRO],DADOS!$N$6,tabela_registros[TIPO],DADOS!$AJ$5,tabela_registros[CATEGORIA],reservaoutrosconsolidadojul[[#This Row],[ATUAL]])</f>
        <v>0</v>
      </c>
      <c r="AD210" s="119" t="n">
        <f aca="false">SUMIFS(tabela_registros[VALOR],tabela_registros[MÊS],$AE$1,tabela_registros[DIA],reservaoutrosconsolidadojul[[#Headers],[26]],tabela_registros[REGISTRO],DADOS!$N$6,tabela_registros[TIPO],DADOS!$AJ$5,tabela_registros[CATEGORIA],reservaoutrosconsolidadojul[[#This Row],[ATUAL]])</f>
        <v>0</v>
      </c>
      <c r="AE210" s="119" t="n">
        <f aca="false">SUMIFS(tabela_registros[VALOR],tabela_registros[MÊS],$AE$1,tabela_registros[DIA],reservaoutrosconsolidadojul[[#Headers],[27]],tabela_registros[REGISTRO],DADOS!$N$6,tabela_registros[TIPO],DADOS!$AJ$5,tabela_registros[CATEGORIA],reservaoutrosconsolidadojul[[#This Row],[ATUAL]])</f>
        <v>0</v>
      </c>
      <c r="AF210" s="119" t="n">
        <f aca="false">SUMIFS(tabela_registros[VALOR],tabela_registros[MÊS],$AE$1,tabela_registros[DIA],reservaoutrosconsolidadojul[[#Headers],[28]],tabela_registros[REGISTRO],DADOS!$N$6,tabela_registros[TIPO],DADOS!$AJ$5,tabela_registros[CATEGORIA],reservaoutrosconsolidadojul[[#This Row],[ATUAL]])</f>
        <v>0</v>
      </c>
      <c r="AG210" s="119" t="n">
        <f aca="false">SUMIFS(tabela_registros[VALOR],tabela_registros[MÊS],$AE$1,tabela_registros[DIA],reservaoutrosconsolidadojul[[#Headers],[29]],tabela_registros[REGISTRO],DADOS!$N$6,tabela_registros[TIPO],DADOS!$AJ$5,tabela_registros[CATEGORIA],reservaoutrosconsolidadojul[[#This Row],[ATUAL]])</f>
        <v>0</v>
      </c>
      <c r="AH210" s="119" t="n">
        <f aca="false">SUMIFS(tabela_registros[VALOR],tabela_registros[MÊS],$AE$1,tabela_registros[DIA],reservaoutrosconsolidadojul[[#Headers],[30]],tabela_registros[REGISTRO],DADOS!$N$6,tabela_registros[TIPO],DADOS!$AJ$5,tabela_registros[CATEGORIA],reservaoutrosconsolidadojul[[#This Row],[ATUAL]])</f>
        <v>0</v>
      </c>
      <c r="AI210" s="217" t="n">
        <f aca="false">SUMIFS(tabela_registros[VALOR],tabela_registros[MÊS],$AE$1,tabela_registros[DIA],reservaoutrosconsolidadojul[[#Headers],[31]],tabela_registros[REGISTRO],DADOS!$N$6,tabela_registros[TIPO],DADOS!$AJ$5,tabela_registros[CATEGORIA],reservaoutrosconsolidadojul[[#This Row],[ATUAL]])</f>
        <v>0</v>
      </c>
      <c r="AJ210" s="149" t="n">
        <f aca="false">SUM(reservaoutrosconsolidadojul[[#This Row],[1]:[31]])</f>
        <v>0</v>
      </c>
      <c r="AK210" s="165"/>
    </row>
    <row r="211" customFormat="false" ht="19.5" hidden="false" customHeight="true" outlineLevel="0" collapsed="false">
      <c r="B211" s="143"/>
      <c r="C211" s="144" t="str">
        <f aca="false">DADOS!$AP$8</f>
        <v>📝 PEER TO PEER</v>
      </c>
      <c r="D211" s="145" t="str">
        <f aca="false">IF(reservaoutrosconsolidadojul[[#This Row],[TOTAL (R$)]]=0,"",IF(OR(reservaoutrosconsolidadojul[[#This Row],[TOTAL (R$)]]=LARGE($AJ$206:$AJ$213,1),reservaoutrosconsolidadojul[[#This Row],[TOTAL (R$)]]=LARGE($AJ$206:$AJ$213,2)),DADOS!$I$11,""))</f>
        <v/>
      </c>
      <c r="E211" s="148" t="n">
        <f aca="false">SUMIFS(tabela_registros[VALOR],tabela_registros[MÊS],$AE$1,tabela_registros[DIA],reservaoutrosconsolidadojul[[#Headers],[1]],tabela_registros[REGISTRO],DADOS!$N$6,tabela_registros[TIPO],DADOS!$AJ$5,tabela_registros[CATEGORIA],reservaoutrosconsolidadojul[[#This Row],[ATUAL]])</f>
        <v>0</v>
      </c>
      <c r="F211" s="119" t="n">
        <f aca="false">SUMIFS(tabela_registros[VALOR],tabela_registros[MÊS],$AE$1,tabela_registros[DIA],reservaoutrosconsolidadojul[[#Headers],[2]],tabela_registros[REGISTRO],DADOS!$N$6,tabela_registros[TIPO],DADOS!$AJ$5,tabela_registros[CATEGORIA],reservaoutrosconsolidadojul[[#This Row],[ATUAL]])</f>
        <v>0</v>
      </c>
      <c r="G211" s="119" t="n">
        <f aca="false">SUMIFS(tabela_registros[VALOR],tabela_registros[MÊS],$AE$1,tabela_registros[DIA],reservaoutrosconsolidadojul[[#Headers],[3]],tabela_registros[REGISTRO],DADOS!$N$6,tabela_registros[TIPO],DADOS!$AJ$5,tabela_registros[CATEGORIA],reservaoutrosconsolidadojul[[#This Row],[ATUAL]])</f>
        <v>0</v>
      </c>
      <c r="H211" s="119" t="n">
        <f aca="false">SUMIFS(tabela_registros[VALOR],tabela_registros[MÊS],$AE$1,tabela_registros[DIA],reservaoutrosconsolidadojul[[#Headers],[4]],tabela_registros[REGISTRO],DADOS!$N$6,tabela_registros[TIPO],DADOS!$AJ$5,tabela_registros[CATEGORIA],reservaoutrosconsolidadojul[[#This Row],[ATUAL]])</f>
        <v>0</v>
      </c>
      <c r="I211" s="119" t="n">
        <f aca="false">SUMIFS(tabela_registros[VALOR],tabela_registros[MÊS],$AE$1,tabela_registros[DIA],reservaoutrosconsolidadojul[[#Headers],[5]],tabela_registros[REGISTRO],DADOS!$N$6,tabela_registros[TIPO],DADOS!$AJ$5,tabela_registros[CATEGORIA],reservaoutrosconsolidadojul[[#This Row],[ATUAL]])</f>
        <v>0</v>
      </c>
      <c r="J211" s="119" t="n">
        <f aca="false">SUMIFS(tabela_registros[VALOR],tabela_registros[MÊS],$AE$1,tabela_registros[DIA],reservaoutrosconsolidadojul[[#Headers],[6]],tabela_registros[REGISTRO],DADOS!$N$6,tabela_registros[TIPO],DADOS!$AJ$5,tabela_registros[CATEGORIA],reservaoutrosconsolidadojul[[#This Row],[ATUAL]])</f>
        <v>0</v>
      </c>
      <c r="K211" s="119" t="n">
        <f aca="false">SUMIFS(tabela_registros[VALOR],tabela_registros[MÊS],$AE$1,tabela_registros[DIA],reservaoutrosconsolidadojul[[#Headers],[7]],tabela_registros[REGISTRO],DADOS!$N$6,tabela_registros[TIPO],DADOS!$AJ$5,tabela_registros[CATEGORIA],reservaoutrosconsolidadojul[[#This Row],[ATUAL]])</f>
        <v>0</v>
      </c>
      <c r="L211" s="119" t="n">
        <f aca="false">SUMIFS(tabela_registros[VALOR],tabela_registros[MÊS],$AE$1,tabela_registros[DIA],reservaoutrosconsolidadojul[[#Headers],[8]],tabela_registros[REGISTRO],DADOS!$N$6,tabela_registros[TIPO],DADOS!$AJ$5,tabela_registros[CATEGORIA],reservaoutrosconsolidadojul[[#This Row],[ATUAL]])</f>
        <v>0</v>
      </c>
      <c r="M211" s="119" t="n">
        <f aca="false">SUMIFS(tabela_registros[VALOR],tabela_registros[MÊS],$AE$1,tabela_registros[DIA],reservaoutrosconsolidadojul[[#Headers],[9]],tabela_registros[REGISTRO],DADOS!$N$6,tabela_registros[TIPO],DADOS!$AJ$5,tabela_registros[CATEGORIA],reservaoutrosconsolidadojul[[#This Row],[ATUAL]])</f>
        <v>0</v>
      </c>
      <c r="N211" s="119" t="n">
        <f aca="false">SUMIFS(tabela_registros[VALOR],tabela_registros[MÊS],$AE$1,tabela_registros[DIA],reservaoutrosconsolidadojul[[#Headers],[10]],tabela_registros[REGISTRO],DADOS!$N$6,tabela_registros[TIPO],DADOS!$AJ$5,tabela_registros[CATEGORIA],reservaoutrosconsolidadojul[[#This Row],[ATUAL]])</f>
        <v>0</v>
      </c>
      <c r="O211" s="119" t="n">
        <f aca="false">SUMIFS(tabela_registros[VALOR],tabela_registros[MÊS],$AE$1,tabela_registros[DIA],reservaoutrosconsolidadojul[[#Headers],[11]],tabela_registros[REGISTRO],DADOS!$N$6,tabela_registros[TIPO],DADOS!$AJ$5,tabela_registros[CATEGORIA],reservaoutrosconsolidadojul[[#This Row],[ATUAL]])</f>
        <v>0</v>
      </c>
      <c r="P211" s="119" t="n">
        <f aca="false">SUMIFS(tabela_registros[VALOR],tabela_registros[MÊS],$AE$1,tabela_registros[DIA],reservaoutrosconsolidadojul[[#Headers],[12]],tabela_registros[REGISTRO],DADOS!$N$6,tabela_registros[TIPO],DADOS!$AJ$5,tabela_registros[CATEGORIA],reservaoutrosconsolidadojul[[#This Row],[ATUAL]])</f>
        <v>0</v>
      </c>
      <c r="Q211" s="119" t="n">
        <f aca="false">SUMIFS(tabela_registros[VALOR],tabela_registros[MÊS],$AE$1,tabela_registros[DIA],reservaoutrosconsolidadojul[[#Headers],[13]],tabela_registros[REGISTRO],DADOS!$N$6,tabela_registros[TIPO],DADOS!$AJ$5,tabela_registros[CATEGORIA],reservaoutrosconsolidadojul[[#This Row],[ATUAL]])</f>
        <v>0</v>
      </c>
      <c r="R211" s="119" t="n">
        <f aca="false">SUMIFS(tabela_registros[VALOR],tabela_registros[MÊS],$AE$1,tabela_registros[DIA],reservaoutrosconsolidadojul[[#Headers],[14]],tabela_registros[REGISTRO],DADOS!$N$6,tabela_registros[TIPO],DADOS!$AJ$5,tabela_registros[CATEGORIA],reservaoutrosconsolidadojul[[#This Row],[ATUAL]])</f>
        <v>0</v>
      </c>
      <c r="S211" s="119" t="n">
        <f aca="false">SUMIFS(tabela_registros[VALOR],tabela_registros[MÊS],$AE$1,tabela_registros[DIA],reservaoutrosconsolidadojul[[#Headers],[15]],tabela_registros[REGISTRO],DADOS!$N$6,tabela_registros[TIPO],DADOS!$AJ$5,tabela_registros[CATEGORIA],reservaoutrosconsolidadojul[[#This Row],[ATUAL]])</f>
        <v>0</v>
      </c>
      <c r="T211" s="119" t="n">
        <f aca="false">SUMIFS(tabela_registros[VALOR],tabela_registros[MÊS],$AE$1,tabela_registros[DIA],reservaoutrosconsolidadojul[[#Headers],[16]],tabela_registros[REGISTRO],DADOS!$N$6,tabela_registros[TIPO],DADOS!$AJ$5,tabela_registros[CATEGORIA],reservaoutrosconsolidadojul[[#This Row],[ATUAL]])</f>
        <v>0</v>
      </c>
      <c r="U211" s="119" t="n">
        <f aca="false">SUMIFS(tabela_registros[VALOR],tabela_registros[MÊS],$AE$1,tabela_registros[DIA],reservaoutrosconsolidadojul[[#Headers],[17]],tabela_registros[REGISTRO],DADOS!$N$6,tabela_registros[TIPO],DADOS!$AJ$5,tabela_registros[CATEGORIA],reservaoutrosconsolidadojul[[#This Row],[ATUAL]])</f>
        <v>0</v>
      </c>
      <c r="V211" s="119" t="n">
        <f aca="false">SUMIFS(tabela_registros[VALOR],tabela_registros[MÊS],$AE$1,tabela_registros[DIA],reservaoutrosconsolidadojul[[#Headers],[18]],tabela_registros[REGISTRO],DADOS!$N$6,tabela_registros[TIPO],DADOS!$AJ$5,tabela_registros[CATEGORIA],reservaoutrosconsolidadojul[[#This Row],[ATUAL]])</f>
        <v>0</v>
      </c>
      <c r="W211" s="119" t="n">
        <f aca="false">SUMIFS(tabela_registros[VALOR],tabela_registros[MÊS],$AE$1,tabela_registros[DIA],reservaoutrosconsolidadojul[[#Headers],[19]],tabela_registros[REGISTRO],DADOS!$N$6,tabela_registros[TIPO],DADOS!$AJ$5,tabela_registros[CATEGORIA],reservaoutrosconsolidadojul[[#This Row],[ATUAL]])</f>
        <v>0</v>
      </c>
      <c r="X211" s="119" t="n">
        <f aca="false">SUMIFS(tabela_registros[VALOR],tabela_registros[MÊS],$AE$1,tabela_registros[DIA],reservaoutrosconsolidadojul[[#Headers],[20]],tabela_registros[REGISTRO],DADOS!$N$6,tabela_registros[TIPO],DADOS!$AJ$5,tabela_registros[CATEGORIA],reservaoutrosconsolidadojul[[#This Row],[ATUAL]])</f>
        <v>0</v>
      </c>
      <c r="Y211" s="119" t="n">
        <f aca="false">SUMIFS(tabela_registros[VALOR],tabela_registros[MÊS],$AE$1,tabela_registros[DIA],reservaoutrosconsolidadojul[[#Headers],[21]],tabela_registros[REGISTRO],DADOS!$N$6,tabela_registros[TIPO],DADOS!$AJ$5,tabela_registros[CATEGORIA],reservaoutrosconsolidadojul[[#This Row],[ATUAL]])</f>
        <v>0</v>
      </c>
      <c r="Z211" s="119" t="n">
        <f aca="false">SUMIFS(tabela_registros[VALOR],tabela_registros[MÊS],$AE$1,tabela_registros[DIA],reservaoutrosconsolidadojul[[#Headers],[22]],tabela_registros[REGISTRO],DADOS!$N$6,tabela_registros[TIPO],DADOS!$AJ$5,tabela_registros[CATEGORIA],reservaoutrosconsolidadojul[[#This Row],[ATUAL]])</f>
        <v>0</v>
      </c>
      <c r="AA211" s="119" t="n">
        <f aca="false">SUMIFS(tabela_registros[VALOR],tabela_registros[MÊS],$AE$1,tabela_registros[DIA],reservaoutrosconsolidadojul[[#Headers],[23]],tabela_registros[REGISTRO],DADOS!$N$6,tabela_registros[TIPO],DADOS!$AJ$5,tabela_registros[CATEGORIA],reservaoutrosconsolidadojul[[#This Row],[ATUAL]])</f>
        <v>0</v>
      </c>
      <c r="AB211" s="119" t="n">
        <f aca="false">SUMIFS(tabela_registros[VALOR],tabela_registros[MÊS],$AE$1,tabela_registros[DIA],reservaoutrosconsolidadojul[[#Headers],[24]],tabela_registros[REGISTRO],DADOS!$N$6,tabela_registros[TIPO],DADOS!$AJ$5,tabela_registros[CATEGORIA],reservaoutrosconsolidadojul[[#This Row],[ATUAL]])</f>
        <v>0</v>
      </c>
      <c r="AC211" s="119" t="n">
        <f aca="false">SUMIFS(tabela_registros[VALOR],tabela_registros[MÊS],$AE$1,tabela_registros[DIA],reservaoutrosconsolidadojul[[#Headers],[25]],tabela_registros[REGISTRO],DADOS!$N$6,tabela_registros[TIPO],DADOS!$AJ$5,tabela_registros[CATEGORIA],reservaoutrosconsolidadojul[[#This Row],[ATUAL]])</f>
        <v>0</v>
      </c>
      <c r="AD211" s="119" t="n">
        <f aca="false">SUMIFS(tabela_registros[VALOR],tabela_registros[MÊS],$AE$1,tabela_registros[DIA],reservaoutrosconsolidadojul[[#Headers],[26]],tabela_registros[REGISTRO],DADOS!$N$6,tabela_registros[TIPO],DADOS!$AJ$5,tabela_registros[CATEGORIA],reservaoutrosconsolidadojul[[#This Row],[ATUAL]])</f>
        <v>0</v>
      </c>
      <c r="AE211" s="119" t="n">
        <f aca="false">SUMIFS(tabela_registros[VALOR],tabela_registros[MÊS],$AE$1,tabela_registros[DIA],reservaoutrosconsolidadojul[[#Headers],[27]],tabela_registros[REGISTRO],DADOS!$N$6,tabela_registros[TIPO],DADOS!$AJ$5,tabela_registros[CATEGORIA],reservaoutrosconsolidadojul[[#This Row],[ATUAL]])</f>
        <v>0</v>
      </c>
      <c r="AF211" s="119" t="n">
        <f aca="false">SUMIFS(tabela_registros[VALOR],tabela_registros[MÊS],$AE$1,tabela_registros[DIA],reservaoutrosconsolidadojul[[#Headers],[28]],tabela_registros[REGISTRO],DADOS!$N$6,tabela_registros[TIPO],DADOS!$AJ$5,tabela_registros[CATEGORIA],reservaoutrosconsolidadojul[[#This Row],[ATUAL]])</f>
        <v>0</v>
      </c>
      <c r="AG211" s="119" t="n">
        <f aca="false">SUMIFS(tabela_registros[VALOR],tabela_registros[MÊS],$AE$1,tabela_registros[DIA],reservaoutrosconsolidadojul[[#Headers],[29]],tabela_registros[REGISTRO],DADOS!$N$6,tabela_registros[TIPO],DADOS!$AJ$5,tabela_registros[CATEGORIA],reservaoutrosconsolidadojul[[#This Row],[ATUAL]])</f>
        <v>0</v>
      </c>
      <c r="AH211" s="119" t="n">
        <f aca="false">SUMIFS(tabela_registros[VALOR],tabela_registros[MÊS],$AE$1,tabela_registros[DIA],reservaoutrosconsolidadojul[[#Headers],[30]],tabela_registros[REGISTRO],DADOS!$N$6,tabela_registros[TIPO],DADOS!$AJ$5,tabela_registros[CATEGORIA],reservaoutrosconsolidadojul[[#This Row],[ATUAL]])</f>
        <v>0</v>
      </c>
      <c r="AI211" s="217" t="n">
        <f aca="false">SUMIFS(tabela_registros[VALOR],tabela_registros[MÊS],$AE$1,tabela_registros[DIA],reservaoutrosconsolidadojul[[#Headers],[31]],tabela_registros[REGISTRO],DADOS!$N$6,tabela_registros[TIPO],DADOS!$AJ$5,tabela_registros[CATEGORIA],reservaoutrosconsolidadojul[[#This Row],[ATUAL]])</f>
        <v>0</v>
      </c>
      <c r="AJ211" s="149" t="n">
        <f aca="false">SUM(reservaoutrosconsolidadojul[[#This Row],[1]:[31]])</f>
        <v>0</v>
      </c>
      <c r="AK211" s="165"/>
    </row>
    <row r="212" customFormat="false" ht="19.5" hidden="false" customHeight="true" outlineLevel="0" collapsed="false">
      <c r="B212" s="143"/>
      <c r="C212" s="144" t="str">
        <f aca="false">DADOS!$AP$9</f>
        <v>📝 PREVIDÊNCIA PRIVADA</v>
      </c>
      <c r="D212" s="145" t="str">
        <f aca="false">IF(reservaoutrosconsolidadojul[[#This Row],[TOTAL (R$)]]=0,"",IF(OR(reservaoutrosconsolidadojul[[#This Row],[TOTAL (R$)]]=LARGE($AJ$206:$AJ$213,1),reservaoutrosconsolidadojul[[#This Row],[TOTAL (R$)]]=LARGE($AJ$206:$AJ$213,2)),DADOS!$I$11,""))</f>
        <v/>
      </c>
      <c r="E212" s="148" t="n">
        <f aca="false">SUMIFS(tabela_registros[VALOR],tabela_registros[MÊS],$AE$1,tabela_registros[DIA],reservaoutrosconsolidadojul[[#Headers],[1]],tabela_registros[REGISTRO],DADOS!$N$6,tabela_registros[TIPO],DADOS!$AJ$5,tabela_registros[CATEGORIA],reservaoutrosconsolidadojul[[#This Row],[ATUAL]])</f>
        <v>0</v>
      </c>
      <c r="F212" s="119" t="n">
        <f aca="false">SUMIFS(tabela_registros[VALOR],tabela_registros[MÊS],$AE$1,tabela_registros[DIA],reservaoutrosconsolidadojul[[#Headers],[2]],tabela_registros[REGISTRO],DADOS!$N$6,tabela_registros[TIPO],DADOS!$AJ$5,tabela_registros[CATEGORIA],reservaoutrosconsolidadojul[[#This Row],[ATUAL]])</f>
        <v>0</v>
      </c>
      <c r="G212" s="119" t="n">
        <f aca="false">SUMIFS(tabela_registros[VALOR],tabela_registros[MÊS],$AE$1,tabela_registros[DIA],reservaoutrosconsolidadojul[[#Headers],[3]],tabela_registros[REGISTRO],DADOS!$N$6,tabela_registros[TIPO],DADOS!$AJ$5,tabela_registros[CATEGORIA],reservaoutrosconsolidadojul[[#This Row],[ATUAL]])</f>
        <v>0</v>
      </c>
      <c r="H212" s="119" t="n">
        <f aca="false">SUMIFS(tabela_registros[VALOR],tabela_registros[MÊS],$AE$1,tabela_registros[DIA],reservaoutrosconsolidadojul[[#Headers],[4]],tabela_registros[REGISTRO],DADOS!$N$6,tabela_registros[TIPO],DADOS!$AJ$5,tabela_registros[CATEGORIA],reservaoutrosconsolidadojul[[#This Row],[ATUAL]])</f>
        <v>0</v>
      </c>
      <c r="I212" s="119" t="n">
        <f aca="false">SUMIFS(tabela_registros[VALOR],tabela_registros[MÊS],$AE$1,tabela_registros[DIA],reservaoutrosconsolidadojul[[#Headers],[5]],tabela_registros[REGISTRO],DADOS!$N$6,tabela_registros[TIPO],DADOS!$AJ$5,tabela_registros[CATEGORIA],reservaoutrosconsolidadojul[[#This Row],[ATUAL]])</f>
        <v>0</v>
      </c>
      <c r="J212" s="119" t="n">
        <f aca="false">SUMIFS(tabela_registros[VALOR],tabela_registros[MÊS],$AE$1,tabela_registros[DIA],reservaoutrosconsolidadojul[[#Headers],[6]],tabela_registros[REGISTRO],DADOS!$N$6,tabela_registros[TIPO],DADOS!$AJ$5,tabela_registros[CATEGORIA],reservaoutrosconsolidadojul[[#This Row],[ATUAL]])</f>
        <v>0</v>
      </c>
      <c r="K212" s="119" t="n">
        <f aca="false">SUMIFS(tabela_registros[VALOR],tabela_registros[MÊS],$AE$1,tabela_registros[DIA],reservaoutrosconsolidadojul[[#Headers],[7]],tabela_registros[REGISTRO],DADOS!$N$6,tabela_registros[TIPO],DADOS!$AJ$5,tabela_registros[CATEGORIA],reservaoutrosconsolidadojul[[#This Row],[ATUAL]])</f>
        <v>0</v>
      </c>
      <c r="L212" s="119" t="n">
        <f aca="false">SUMIFS(tabela_registros[VALOR],tabela_registros[MÊS],$AE$1,tabela_registros[DIA],reservaoutrosconsolidadojul[[#Headers],[8]],tabela_registros[REGISTRO],DADOS!$N$6,tabela_registros[TIPO],DADOS!$AJ$5,tabela_registros[CATEGORIA],reservaoutrosconsolidadojul[[#This Row],[ATUAL]])</f>
        <v>0</v>
      </c>
      <c r="M212" s="119" t="n">
        <f aca="false">SUMIFS(tabela_registros[VALOR],tabela_registros[MÊS],$AE$1,tabela_registros[DIA],reservaoutrosconsolidadojul[[#Headers],[9]],tabela_registros[REGISTRO],DADOS!$N$6,tabela_registros[TIPO],DADOS!$AJ$5,tabela_registros[CATEGORIA],reservaoutrosconsolidadojul[[#This Row],[ATUAL]])</f>
        <v>0</v>
      </c>
      <c r="N212" s="119" t="n">
        <f aca="false">SUMIFS(tabela_registros[VALOR],tabela_registros[MÊS],$AE$1,tabela_registros[DIA],reservaoutrosconsolidadojul[[#Headers],[10]],tabela_registros[REGISTRO],DADOS!$N$6,tabela_registros[TIPO],DADOS!$AJ$5,tabela_registros[CATEGORIA],reservaoutrosconsolidadojul[[#This Row],[ATUAL]])</f>
        <v>0</v>
      </c>
      <c r="O212" s="119" t="n">
        <f aca="false">SUMIFS(tabela_registros[VALOR],tabela_registros[MÊS],$AE$1,tabela_registros[DIA],reservaoutrosconsolidadojul[[#Headers],[11]],tabela_registros[REGISTRO],DADOS!$N$6,tabela_registros[TIPO],DADOS!$AJ$5,tabela_registros[CATEGORIA],reservaoutrosconsolidadojul[[#This Row],[ATUAL]])</f>
        <v>0</v>
      </c>
      <c r="P212" s="119" t="n">
        <f aca="false">SUMIFS(tabela_registros[VALOR],tabela_registros[MÊS],$AE$1,tabela_registros[DIA],reservaoutrosconsolidadojul[[#Headers],[12]],tabela_registros[REGISTRO],DADOS!$N$6,tabela_registros[TIPO],DADOS!$AJ$5,tabela_registros[CATEGORIA],reservaoutrosconsolidadojul[[#This Row],[ATUAL]])</f>
        <v>0</v>
      </c>
      <c r="Q212" s="119" t="n">
        <f aca="false">SUMIFS(tabela_registros[VALOR],tabela_registros[MÊS],$AE$1,tabela_registros[DIA],reservaoutrosconsolidadojul[[#Headers],[13]],tabela_registros[REGISTRO],DADOS!$N$6,tabela_registros[TIPO],DADOS!$AJ$5,tabela_registros[CATEGORIA],reservaoutrosconsolidadojul[[#This Row],[ATUAL]])</f>
        <v>0</v>
      </c>
      <c r="R212" s="119" t="n">
        <f aca="false">SUMIFS(tabela_registros[VALOR],tabela_registros[MÊS],$AE$1,tabela_registros[DIA],reservaoutrosconsolidadojul[[#Headers],[14]],tabela_registros[REGISTRO],DADOS!$N$6,tabela_registros[TIPO],DADOS!$AJ$5,tabela_registros[CATEGORIA],reservaoutrosconsolidadojul[[#This Row],[ATUAL]])</f>
        <v>0</v>
      </c>
      <c r="S212" s="119" t="n">
        <f aca="false">SUMIFS(tabela_registros[VALOR],tabela_registros[MÊS],$AE$1,tabela_registros[DIA],reservaoutrosconsolidadojul[[#Headers],[15]],tabela_registros[REGISTRO],DADOS!$N$6,tabela_registros[TIPO],DADOS!$AJ$5,tabela_registros[CATEGORIA],reservaoutrosconsolidadojul[[#This Row],[ATUAL]])</f>
        <v>0</v>
      </c>
      <c r="T212" s="119" t="n">
        <f aca="false">SUMIFS(tabela_registros[VALOR],tabela_registros[MÊS],$AE$1,tabela_registros[DIA],reservaoutrosconsolidadojul[[#Headers],[16]],tabela_registros[REGISTRO],DADOS!$N$6,tabela_registros[TIPO],DADOS!$AJ$5,tabela_registros[CATEGORIA],reservaoutrosconsolidadojul[[#This Row],[ATUAL]])</f>
        <v>0</v>
      </c>
      <c r="U212" s="119" t="n">
        <f aca="false">SUMIFS(tabela_registros[VALOR],tabela_registros[MÊS],$AE$1,tabela_registros[DIA],reservaoutrosconsolidadojul[[#Headers],[17]],tabela_registros[REGISTRO],DADOS!$N$6,tabela_registros[TIPO],DADOS!$AJ$5,tabela_registros[CATEGORIA],reservaoutrosconsolidadojul[[#This Row],[ATUAL]])</f>
        <v>0</v>
      </c>
      <c r="V212" s="119" t="n">
        <f aca="false">SUMIFS(tabela_registros[VALOR],tabela_registros[MÊS],$AE$1,tabela_registros[DIA],reservaoutrosconsolidadojul[[#Headers],[18]],tabela_registros[REGISTRO],DADOS!$N$6,tabela_registros[TIPO],DADOS!$AJ$5,tabela_registros[CATEGORIA],reservaoutrosconsolidadojul[[#This Row],[ATUAL]])</f>
        <v>0</v>
      </c>
      <c r="W212" s="119" t="n">
        <f aca="false">SUMIFS(tabela_registros[VALOR],tabela_registros[MÊS],$AE$1,tabela_registros[DIA],reservaoutrosconsolidadojul[[#Headers],[19]],tabela_registros[REGISTRO],DADOS!$N$6,tabela_registros[TIPO],DADOS!$AJ$5,tabela_registros[CATEGORIA],reservaoutrosconsolidadojul[[#This Row],[ATUAL]])</f>
        <v>0</v>
      </c>
      <c r="X212" s="119" t="n">
        <f aca="false">SUMIFS(tabela_registros[VALOR],tabela_registros[MÊS],$AE$1,tabela_registros[DIA],reservaoutrosconsolidadojul[[#Headers],[20]],tabela_registros[REGISTRO],DADOS!$N$6,tabela_registros[TIPO],DADOS!$AJ$5,tabela_registros[CATEGORIA],reservaoutrosconsolidadojul[[#This Row],[ATUAL]])</f>
        <v>0</v>
      </c>
      <c r="Y212" s="119" t="n">
        <f aca="false">SUMIFS(tabela_registros[VALOR],tabela_registros[MÊS],$AE$1,tabela_registros[DIA],reservaoutrosconsolidadojul[[#Headers],[21]],tabela_registros[REGISTRO],DADOS!$N$6,tabela_registros[TIPO],DADOS!$AJ$5,tabela_registros[CATEGORIA],reservaoutrosconsolidadojul[[#This Row],[ATUAL]])</f>
        <v>0</v>
      </c>
      <c r="Z212" s="119" t="n">
        <f aca="false">SUMIFS(tabela_registros[VALOR],tabela_registros[MÊS],$AE$1,tabela_registros[DIA],reservaoutrosconsolidadojul[[#Headers],[22]],tabela_registros[REGISTRO],DADOS!$N$6,tabela_registros[TIPO],DADOS!$AJ$5,tabela_registros[CATEGORIA],reservaoutrosconsolidadojul[[#This Row],[ATUAL]])</f>
        <v>0</v>
      </c>
      <c r="AA212" s="119" t="n">
        <f aca="false">SUMIFS(tabela_registros[VALOR],tabela_registros[MÊS],$AE$1,tabela_registros[DIA],reservaoutrosconsolidadojul[[#Headers],[23]],tabela_registros[REGISTRO],DADOS!$N$6,tabela_registros[TIPO],DADOS!$AJ$5,tabela_registros[CATEGORIA],reservaoutrosconsolidadojul[[#This Row],[ATUAL]])</f>
        <v>0</v>
      </c>
      <c r="AB212" s="119" t="n">
        <f aca="false">SUMIFS(tabela_registros[VALOR],tabela_registros[MÊS],$AE$1,tabela_registros[DIA],reservaoutrosconsolidadojul[[#Headers],[24]],tabela_registros[REGISTRO],DADOS!$N$6,tabela_registros[TIPO],DADOS!$AJ$5,tabela_registros[CATEGORIA],reservaoutrosconsolidadojul[[#This Row],[ATUAL]])</f>
        <v>0</v>
      </c>
      <c r="AC212" s="119" t="n">
        <f aca="false">SUMIFS(tabela_registros[VALOR],tabela_registros[MÊS],$AE$1,tabela_registros[DIA],reservaoutrosconsolidadojul[[#Headers],[25]],tabela_registros[REGISTRO],DADOS!$N$6,tabela_registros[TIPO],DADOS!$AJ$5,tabela_registros[CATEGORIA],reservaoutrosconsolidadojul[[#This Row],[ATUAL]])</f>
        <v>0</v>
      </c>
      <c r="AD212" s="119" t="n">
        <f aca="false">SUMIFS(tabela_registros[VALOR],tabela_registros[MÊS],$AE$1,tabela_registros[DIA],reservaoutrosconsolidadojul[[#Headers],[26]],tabela_registros[REGISTRO],DADOS!$N$6,tabela_registros[TIPO],DADOS!$AJ$5,tabela_registros[CATEGORIA],reservaoutrosconsolidadojul[[#This Row],[ATUAL]])</f>
        <v>0</v>
      </c>
      <c r="AE212" s="119" t="n">
        <f aca="false">SUMIFS(tabela_registros[VALOR],tabela_registros[MÊS],$AE$1,tabela_registros[DIA],reservaoutrosconsolidadojul[[#Headers],[27]],tabela_registros[REGISTRO],DADOS!$N$6,tabela_registros[TIPO],DADOS!$AJ$5,tabela_registros[CATEGORIA],reservaoutrosconsolidadojul[[#This Row],[ATUAL]])</f>
        <v>0</v>
      </c>
      <c r="AF212" s="119" t="n">
        <f aca="false">SUMIFS(tabela_registros[VALOR],tabela_registros[MÊS],$AE$1,tabela_registros[DIA],reservaoutrosconsolidadojul[[#Headers],[28]],tabela_registros[REGISTRO],DADOS!$N$6,tabela_registros[TIPO],DADOS!$AJ$5,tabela_registros[CATEGORIA],reservaoutrosconsolidadojul[[#This Row],[ATUAL]])</f>
        <v>0</v>
      </c>
      <c r="AG212" s="119" t="n">
        <f aca="false">SUMIFS(tabela_registros[VALOR],tabela_registros[MÊS],$AE$1,tabela_registros[DIA],reservaoutrosconsolidadojul[[#Headers],[29]],tabela_registros[REGISTRO],DADOS!$N$6,tabela_registros[TIPO],DADOS!$AJ$5,tabela_registros[CATEGORIA],reservaoutrosconsolidadojul[[#This Row],[ATUAL]])</f>
        <v>0</v>
      </c>
      <c r="AH212" s="119" t="n">
        <f aca="false">SUMIFS(tabela_registros[VALOR],tabela_registros[MÊS],$AE$1,tabela_registros[DIA],reservaoutrosconsolidadojul[[#Headers],[30]],tabela_registros[REGISTRO],DADOS!$N$6,tabela_registros[TIPO],DADOS!$AJ$5,tabela_registros[CATEGORIA],reservaoutrosconsolidadojul[[#This Row],[ATUAL]])</f>
        <v>0</v>
      </c>
      <c r="AI212" s="217" t="n">
        <f aca="false">SUMIFS(tabela_registros[VALOR],tabela_registros[MÊS],$AE$1,tabela_registros[DIA],reservaoutrosconsolidadojul[[#Headers],[31]],tabela_registros[REGISTRO],DADOS!$N$6,tabela_registros[TIPO],DADOS!$AJ$5,tabela_registros[CATEGORIA],reservaoutrosconsolidadojul[[#This Row],[ATUAL]])</f>
        <v>0</v>
      </c>
      <c r="AJ212" s="149" t="n">
        <f aca="false">SUM(reservaoutrosconsolidadojul[[#This Row],[1]:[31]])</f>
        <v>0</v>
      </c>
      <c r="AK212" s="165"/>
    </row>
    <row r="213" customFormat="false" ht="19.5" hidden="false" customHeight="true" outlineLevel="0" collapsed="false">
      <c r="B213" s="143"/>
      <c r="C213" s="144" t="str">
        <f aca="false">DADOS!$AP$10</f>
        <v>📎 OUTROS</v>
      </c>
      <c r="D213" s="145" t="str">
        <f aca="false">IF(reservaoutrosconsolidadojul[[#This Row],[TOTAL (R$)]]=0,"",IF(OR(reservaoutrosconsolidadojul[[#This Row],[TOTAL (R$)]]=LARGE($AJ$206:$AJ$213,1),reservaoutrosconsolidadojul[[#This Row],[TOTAL (R$)]]=LARGE($AJ$206:$AJ$213,2)),DADOS!$I$11,""))</f>
        <v/>
      </c>
      <c r="E213" s="148" t="n">
        <f aca="false">SUMIFS(tabela_registros[VALOR],tabela_registros[MÊS],$AE$1,tabela_registros[DIA],reservaoutrosconsolidadojul[[#Headers],[1]],tabela_registros[REGISTRO],DADOS!$N$6,tabela_registros[TIPO],DADOS!$AJ$5,tabela_registros[CATEGORIA],reservaoutrosconsolidadojul[[#This Row],[ATUAL]])</f>
        <v>0</v>
      </c>
      <c r="F213" s="119" t="n">
        <f aca="false">SUMIFS(tabela_registros[VALOR],tabela_registros[MÊS],$AE$1,tabela_registros[DIA],reservaoutrosconsolidadojul[[#Headers],[2]],tabela_registros[REGISTRO],DADOS!$N$6,tabela_registros[TIPO],DADOS!$AJ$5,tabela_registros[CATEGORIA],reservaoutrosconsolidadojul[[#This Row],[ATUAL]])</f>
        <v>0</v>
      </c>
      <c r="G213" s="119" t="n">
        <f aca="false">SUMIFS(tabela_registros[VALOR],tabela_registros[MÊS],$AE$1,tabela_registros[DIA],reservaoutrosconsolidadojul[[#Headers],[3]],tabela_registros[REGISTRO],DADOS!$N$6,tabela_registros[TIPO],DADOS!$AJ$5,tabela_registros[CATEGORIA],reservaoutrosconsolidadojul[[#This Row],[ATUAL]])</f>
        <v>0</v>
      </c>
      <c r="H213" s="119" t="n">
        <f aca="false">SUMIFS(tabela_registros[VALOR],tabela_registros[MÊS],$AE$1,tabela_registros[DIA],reservaoutrosconsolidadojul[[#Headers],[4]],tabela_registros[REGISTRO],DADOS!$N$6,tabela_registros[TIPO],DADOS!$AJ$5,tabela_registros[CATEGORIA],reservaoutrosconsolidadojul[[#This Row],[ATUAL]])</f>
        <v>0</v>
      </c>
      <c r="I213" s="119" t="n">
        <f aca="false">SUMIFS(tabela_registros[VALOR],tabela_registros[MÊS],$AE$1,tabela_registros[DIA],reservaoutrosconsolidadojul[[#Headers],[5]],tabela_registros[REGISTRO],DADOS!$N$6,tabela_registros[TIPO],DADOS!$AJ$5,tabela_registros[CATEGORIA],reservaoutrosconsolidadojul[[#This Row],[ATUAL]])</f>
        <v>0</v>
      </c>
      <c r="J213" s="119" t="n">
        <f aca="false">SUMIFS(tabela_registros[VALOR],tabela_registros[MÊS],$AE$1,tabela_registros[DIA],reservaoutrosconsolidadojul[[#Headers],[6]],tabela_registros[REGISTRO],DADOS!$N$6,tabela_registros[TIPO],DADOS!$AJ$5,tabela_registros[CATEGORIA],reservaoutrosconsolidadojul[[#This Row],[ATUAL]])</f>
        <v>0</v>
      </c>
      <c r="K213" s="119" t="n">
        <f aca="false">SUMIFS(tabela_registros[VALOR],tabela_registros[MÊS],$AE$1,tabela_registros[DIA],reservaoutrosconsolidadojul[[#Headers],[7]],tabela_registros[REGISTRO],DADOS!$N$6,tabela_registros[TIPO],DADOS!$AJ$5,tabela_registros[CATEGORIA],reservaoutrosconsolidadojul[[#This Row],[ATUAL]])</f>
        <v>0</v>
      </c>
      <c r="L213" s="119" t="n">
        <f aca="false">SUMIFS(tabela_registros[VALOR],tabela_registros[MÊS],$AE$1,tabela_registros[DIA],reservaoutrosconsolidadojul[[#Headers],[8]],tabela_registros[REGISTRO],DADOS!$N$6,tabela_registros[TIPO],DADOS!$AJ$5,tabela_registros[CATEGORIA],reservaoutrosconsolidadojul[[#This Row],[ATUAL]])</f>
        <v>0</v>
      </c>
      <c r="M213" s="119" t="n">
        <f aca="false">SUMIFS(tabela_registros[VALOR],tabela_registros[MÊS],$AE$1,tabela_registros[DIA],reservaoutrosconsolidadojul[[#Headers],[9]],tabela_registros[REGISTRO],DADOS!$N$6,tabela_registros[TIPO],DADOS!$AJ$5,tabela_registros[CATEGORIA],reservaoutrosconsolidadojul[[#This Row],[ATUAL]])</f>
        <v>0</v>
      </c>
      <c r="N213" s="119" t="n">
        <f aca="false">SUMIFS(tabela_registros[VALOR],tabela_registros[MÊS],$AE$1,tabela_registros[DIA],reservaoutrosconsolidadojul[[#Headers],[10]],tabela_registros[REGISTRO],DADOS!$N$6,tabela_registros[TIPO],DADOS!$AJ$5,tabela_registros[CATEGORIA],reservaoutrosconsolidadojul[[#This Row],[ATUAL]])</f>
        <v>0</v>
      </c>
      <c r="O213" s="119" t="n">
        <f aca="false">SUMIFS(tabela_registros[VALOR],tabela_registros[MÊS],$AE$1,tabela_registros[DIA],reservaoutrosconsolidadojul[[#Headers],[11]],tabela_registros[REGISTRO],DADOS!$N$6,tabela_registros[TIPO],DADOS!$AJ$5,tabela_registros[CATEGORIA],reservaoutrosconsolidadojul[[#This Row],[ATUAL]])</f>
        <v>0</v>
      </c>
      <c r="P213" s="119" t="n">
        <f aca="false">SUMIFS(tabela_registros[VALOR],tabela_registros[MÊS],$AE$1,tabela_registros[DIA],reservaoutrosconsolidadojul[[#Headers],[12]],tabela_registros[REGISTRO],DADOS!$N$6,tabela_registros[TIPO],DADOS!$AJ$5,tabela_registros[CATEGORIA],reservaoutrosconsolidadojul[[#This Row],[ATUAL]])</f>
        <v>0</v>
      </c>
      <c r="Q213" s="119" t="n">
        <f aca="false">SUMIFS(tabela_registros[VALOR],tabela_registros[MÊS],$AE$1,tabela_registros[DIA],reservaoutrosconsolidadojul[[#Headers],[13]],tabela_registros[REGISTRO],DADOS!$N$6,tabela_registros[TIPO],DADOS!$AJ$5,tabela_registros[CATEGORIA],reservaoutrosconsolidadojul[[#This Row],[ATUAL]])</f>
        <v>0</v>
      </c>
      <c r="R213" s="119" t="n">
        <f aca="false">SUMIFS(tabela_registros[VALOR],tabela_registros[MÊS],$AE$1,tabela_registros[DIA],reservaoutrosconsolidadojul[[#Headers],[14]],tabela_registros[REGISTRO],DADOS!$N$6,tabela_registros[TIPO],DADOS!$AJ$5,tabela_registros[CATEGORIA],reservaoutrosconsolidadojul[[#This Row],[ATUAL]])</f>
        <v>0</v>
      </c>
      <c r="S213" s="119" t="n">
        <f aca="false">SUMIFS(tabela_registros[VALOR],tabela_registros[MÊS],$AE$1,tabela_registros[DIA],reservaoutrosconsolidadojul[[#Headers],[15]],tabela_registros[REGISTRO],DADOS!$N$6,tabela_registros[TIPO],DADOS!$AJ$5,tabela_registros[CATEGORIA],reservaoutrosconsolidadojul[[#This Row],[ATUAL]])</f>
        <v>0</v>
      </c>
      <c r="T213" s="119" t="n">
        <f aca="false">SUMIFS(tabela_registros[VALOR],tabela_registros[MÊS],$AE$1,tabela_registros[DIA],reservaoutrosconsolidadojul[[#Headers],[16]],tabela_registros[REGISTRO],DADOS!$N$6,tabela_registros[TIPO],DADOS!$AJ$5,tabela_registros[CATEGORIA],reservaoutrosconsolidadojul[[#This Row],[ATUAL]])</f>
        <v>0</v>
      </c>
      <c r="U213" s="119" t="n">
        <f aca="false">SUMIFS(tabela_registros[VALOR],tabela_registros[MÊS],$AE$1,tabela_registros[DIA],reservaoutrosconsolidadojul[[#Headers],[17]],tabela_registros[REGISTRO],DADOS!$N$6,tabela_registros[TIPO],DADOS!$AJ$5,tabela_registros[CATEGORIA],reservaoutrosconsolidadojul[[#This Row],[ATUAL]])</f>
        <v>0</v>
      </c>
      <c r="V213" s="119" t="n">
        <f aca="false">SUMIFS(tabela_registros[VALOR],tabela_registros[MÊS],$AE$1,tabela_registros[DIA],reservaoutrosconsolidadojul[[#Headers],[18]],tabela_registros[REGISTRO],DADOS!$N$6,tabela_registros[TIPO],DADOS!$AJ$5,tabela_registros[CATEGORIA],reservaoutrosconsolidadojul[[#This Row],[ATUAL]])</f>
        <v>0</v>
      </c>
      <c r="W213" s="119" t="n">
        <f aca="false">SUMIFS(tabela_registros[VALOR],tabela_registros[MÊS],$AE$1,tabela_registros[DIA],reservaoutrosconsolidadojul[[#Headers],[19]],tabela_registros[REGISTRO],DADOS!$N$6,tabela_registros[TIPO],DADOS!$AJ$5,tabela_registros[CATEGORIA],reservaoutrosconsolidadojul[[#This Row],[ATUAL]])</f>
        <v>0</v>
      </c>
      <c r="X213" s="119" t="n">
        <f aca="false">SUMIFS(tabela_registros[VALOR],tabela_registros[MÊS],$AE$1,tabela_registros[DIA],reservaoutrosconsolidadojul[[#Headers],[20]],tabela_registros[REGISTRO],DADOS!$N$6,tabela_registros[TIPO],DADOS!$AJ$5,tabela_registros[CATEGORIA],reservaoutrosconsolidadojul[[#This Row],[ATUAL]])</f>
        <v>0</v>
      </c>
      <c r="Y213" s="119" t="n">
        <f aca="false">SUMIFS(tabela_registros[VALOR],tabela_registros[MÊS],$AE$1,tabela_registros[DIA],reservaoutrosconsolidadojul[[#Headers],[21]],tabela_registros[REGISTRO],DADOS!$N$6,tabela_registros[TIPO],DADOS!$AJ$5,tabela_registros[CATEGORIA],reservaoutrosconsolidadojul[[#This Row],[ATUAL]])</f>
        <v>0</v>
      </c>
      <c r="Z213" s="119" t="n">
        <f aca="false">SUMIFS(tabela_registros[VALOR],tabela_registros[MÊS],$AE$1,tabela_registros[DIA],reservaoutrosconsolidadojul[[#Headers],[22]],tabela_registros[REGISTRO],DADOS!$N$6,tabela_registros[TIPO],DADOS!$AJ$5,tabela_registros[CATEGORIA],reservaoutrosconsolidadojul[[#This Row],[ATUAL]])</f>
        <v>0</v>
      </c>
      <c r="AA213" s="119" t="n">
        <f aca="false">SUMIFS(tabela_registros[VALOR],tabela_registros[MÊS],$AE$1,tabela_registros[DIA],reservaoutrosconsolidadojul[[#Headers],[23]],tabela_registros[REGISTRO],DADOS!$N$6,tabela_registros[TIPO],DADOS!$AJ$5,tabela_registros[CATEGORIA],reservaoutrosconsolidadojul[[#This Row],[ATUAL]])</f>
        <v>0</v>
      </c>
      <c r="AB213" s="119" t="n">
        <f aca="false">SUMIFS(tabela_registros[VALOR],tabela_registros[MÊS],$AE$1,tabela_registros[DIA],reservaoutrosconsolidadojul[[#Headers],[24]],tabela_registros[REGISTRO],DADOS!$N$6,tabela_registros[TIPO],DADOS!$AJ$5,tabela_registros[CATEGORIA],reservaoutrosconsolidadojul[[#This Row],[ATUAL]])</f>
        <v>0</v>
      </c>
      <c r="AC213" s="119" t="n">
        <f aca="false">SUMIFS(tabela_registros[VALOR],tabela_registros[MÊS],$AE$1,tabela_registros[DIA],reservaoutrosconsolidadojul[[#Headers],[25]],tabela_registros[REGISTRO],DADOS!$N$6,tabela_registros[TIPO],DADOS!$AJ$5,tabela_registros[CATEGORIA],reservaoutrosconsolidadojul[[#This Row],[ATUAL]])</f>
        <v>0</v>
      </c>
      <c r="AD213" s="119" t="n">
        <f aca="false">SUMIFS(tabela_registros[VALOR],tabela_registros[MÊS],$AE$1,tabela_registros[DIA],reservaoutrosconsolidadojul[[#Headers],[26]],tabela_registros[REGISTRO],DADOS!$N$6,tabela_registros[TIPO],DADOS!$AJ$5,tabela_registros[CATEGORIA],reservaoutrosconsolidadojul[[#This Row],[ATUAL]])</f>
        <v>0</v>
      </c>
      <c r="AE213" s="119" t="n">
        <f aca="false">SUMIFS(tabela_registros[VALOR],tabela_registros[MÊS],$AE$1,tabela_registros[DIA],reservaoutrosconsolidadojul[[#Headers],[27]],tabela_registros[REGISTRO],DADOS!$N$6,tabela_registros[TIPO],DADOS!$AJ$5,tabela_registros[CATEGORIA],reservaoutrosconsolidadojul[[#This Row],[ATUAL]])</f>
        <v>0</v>
      </c>
      <c r="AF213" s="119" t="n">
        <f aca="false">SUMIFS(tabela_registros[VALOR],tabela_registros[MÊS],$AE$1,tabela_registros[DIA],reservaoutrosconsolidadojul[[#Headers],[28]],tabela_registros[REGISTRO],DADOS!$N$6,tabela_registros[TIPO],DADOS!$AJ$5,tabela_registros[CATEGORIA],reservaoutrosconsolidadojul[[#This Row],[ATUAL]])</f>
        <v>0</v>
      </c>
      <c r="AG213" s="119" t="n">
        <f aca="false">SUMIFS(tabela_registros[VALOR],tabela_registros[MÊS],$AE$1,tabela_registros[DIA],reservaoutrosconsolidadojul[[#Headers],[29]],tabela_registros[REGISTRO],DADOS!$N$6,tabela_registros[TIPO],DADOS!$AJ$5,tabela_registros[CATEGORIA],reservaoutrosconsolidadojul[[#This Row],[ATUAL]])</f>
        <v>0</v>
      </c>
      <c r="AH213" s="119" t="n">
        <f aca="false">SUMIFS(tabela_registros[VALOR],tabela_registros[MÊS],$AE$1,tabela_registros[DIA],reservaoutrosconsolidadojul[[#Headers],[30]],tabela_registros[REGISTRO],DADOS!$N$6,tabela_registros[TIPO],DADOS!$AJ$5,tabela_registros[CATEGORIA],reservaoutrosconsolidadojul[[#This Row],[ATUAL]])</f>
        <v>0</v>
      </c>
      <c r="AI213" s="218" t="n">
        <f aca="false">SUMIFS(tabela_registros[VALOR],tabela_registros[MÊS],$AE$1,tabela_registros[DIA],reservaoutrosconsolidadojul[[#Headers],[31]],tabela_registros[REGISTRO],DADOS!$N$6,tabela_registros[TIPO],DADOS!$AJ$5,tabela_registros[CATEGORIA],reservaoutrosconsolidadojul[[#This Row],[ATUAL]])</f>
        <v>0</v>
      </c>
      <c r="AJ213" s="149" t="n">
        <f aca="false">SUM(reservaoutrosconsolidadojul[[#This Row],[1]:[31]])</f>
        <v>0</v>
      </c>
      <c r="AK213" s="165"/>
    </row>
    <row r="214" s="122" customFormat="true" ht="21" hidden="false" customHeight="true" outlineLevel="0" collapsed="false">
      <c r="B214" s="152"/>
      <c r="C214" s="153" t="s">
        <v>2</v>
      </c>
      <c r="D214" s="166"/>
      <c r="E214" s="155" t="n">
        <f aca="false">SUM(E206:E213)</f>
        <v>0</v>
      </c>
      <c r="F214" s="156" t="n">
        <f aca="false">SUM(F206:F213)+reservaoutrosconsolidadojul[[#This Row],[1]]</f>
        <v>0</v>
      </c>
      <c r="G214" s="156" t="n">
        <f aca="false">SUM(G206:G213)+reservaoutrosconsolidadojul[[#This Row],[2]]</f>
        <v>0</v>
      </c>
      <c r="H214" s="156" t="n">
        <f aca="false">SUM(H206:H213)+reservaoutrosconsolidadojul[[#This Row],[3]]</f>
        <v>0</v>
      </c>
      <c r="I214" s="156" t="n">
        <f aca="false">SUM(I206:I213)+reservaoutrosconsolidadojul[[#This Row],[4]]</f>
        <v>0</v>
      </c>
      <c r="J214" s="156" t="n">
        <f aca="false">SUM(J206:J213)+reservaoutrosconsolidadojul[[#This Row],[5]]</f>
        <v>0</v>
      </c>
      <c r="K214" s="156" t="n">
        <f aca="false">SUM(K206:K213)+reservaoutrosconsolidadojul[[#This Row],[6]]</f>
        <v>0</v>
      </c>
      <c r="L214" s="156" t="n">
        <f aca="false">SUM(L206:L213)+reservaoutrosconsolidadojul[[#This Row],[7]]</f>
        <v>0</v>
      </c>
      <c r="M214" s="156" t="n">
        <f aca="false">SUM(M206:M213)+reservaoutrosconsolidadojul[[#This Row],[8]]</f>
        <v>0</v>
      </c>
      <c r="N214" s="156" t="n">
        <f aca="false">SUM(N206:N213)+reservaoutrosconsolidadojul[[#This Row],[9]]</f>
        <v>0</v>
      </c>
      <c r="O214" s="156" t="n">
        <f aca="false">SUM(O206:O213)+reservaoutrosconsolidadojul[[#This Row],[10]]</f>
        <v>0</v>
      </c>
      <c r="P214" s="156" t="n">
        <f aca="false">SUM(P206:P213)+reservaoutrosconsolidadojul[[#This Row],[11]]</f>
        <v>0</v>
      </c>
      <c r="Q214" s="156" t="n">
        <f aca="false">SUM(Q206:Q213)+reservaoutrosconsolidadojul[[#This Row],[12]]</f>
        <v>0</v>
      </c>
      <c r="R214" s="156" t="n">
        <f aca="false">SUM(R206:R213)+reservaoutrosconsolidadojul[[#This Row],[13]]</f>
        <v>0</v>
      </c>
      <c r="S214" s="156" t="n">
        <f aca="false">SUM(S206:S213)+reservaoutrosconsolidadojul[[#This Row],[14]]</f>
        <v>0</v>
      </c>
      <c r="T214" s="156" t="n">
        <f aca="false">SUM(T206:T213)+reservaoutrosconsolidadojul[[#This Row],[15]]</f>
        <v>0</v>
      </c>
      <c r="U214" s="156" t="n">
        <f aca="false">SUM(U206:U213)+reservaoutrosconsolidadojul[[#This Row],[16]]</f>
        <v>0</v>
      </c>
      <c r="V214" s="156" t="n">
        <f aca="false">SUM(V206:V213)+reservaoutrosconsolidadojul[[#This Row],[17]]</f>
        <v>0</v>
      </c>
      <c r="W214" s="156" t="n">
        <f aca="false">SUM(W206:W213)+reservaoutrosconsolidadojul[[#This Row],[18]]</f>
        <v>0</v>
      </c>
      <c r="X214" s="156" t="n">
        <f aca="false">SUM(X206:X213)+reservaoutrosconsolidadojul[[#This Row],[19]]</f>
        <v>0</v>
      </c>
      <c r="Y214" s="156" t="n">
        <f aca="false">SUM(Y206:Y213)+reservaoutrosconsolidadojul[[#This Row],[20]]</f>
        <v>0</v>
      </c>
      <c r="Z214" s="156" t="n">
        <f aca="false">SUM(Z206:Z213)+reservaoutrosconsolidadojul[[#This Row],[21]]</f>
        <v>0</v>
      </c>
      <c r="AA214" s="156" t="n">
        <f aca="false">SUM(AA206:AA213)+reservaoutrosconsolidadojul[[#This Row],[22]]</f>
        <v>0</v>
      </c>
      <c r="AB214" s="156" t="n">
        <f aca="false">SUM(AB206:AB213)+reservaoutrosconsolidadojul[[#This Row],[23]]</f>
        <v>0</v>
      </c>
      <c r="AC214" s="156" t="n">
        <f aca="false">SUM(AC206:AC213)+reservaoutrosconsolidadojul[[#This Row],[24]]</f>
        <v>0</v>
      </c>
      <c r="AD214" s="156" t="n">
        <f aca="false">SUM(AD206:AD213)+reservaoutrosconsolidadojul[[#This Row],[25]]</f>
        <v>0</v>
      </c>
      <c r="AE214" s="156" t="n">
        <f aca="false">SUM(AE206:AE213)+reservaoutrosconsolidadojul[[#This Row],[26]]</f>
        <v>0</v>
      </c>
      <c r="AF214" s="156" t="n">
        <f aca="false">SUM(AF206:AF213)+reservaoutrosconsolidadojul[[#This Row],[27]]</f>
        <v>0</v>
      </c>
      <c r="AG214" s="156" t="n">
        <f aca="false">SUM(AG206:AG213)+reservaoutrosconsolidadojul[[#This Row],[28]]</f>
        <v>0</v>
      </c>
      <c r="AH214" s="156" t="n">
        <f aca="false">SUM(AH206:AH213)+reservaoutrosconsolidadojul[[#This Row],[29]]</f>
        <v>0</v>
      </c>
      <c r="AI214" s="223" t="n">
        <f aca="false">SUM(AI206:AI213)+reservaoutrosconsolidadojul[[#This Row],[30]]</f>
        <v>0</v>
      </c>
      <c r="AJ214" s="157" t="n">
        <f aca="false">reservaoutrosconsolidadojul[[#This Row],[31]]</f>
        <v>0</v>
      </c>
      <c r="AK214" s="158"/>
    </row>
    <row r="215" customFormat="false" ht="6.75" hidden="false" customHeight="true" outlineLevel="0" collapsed="false">
      <c r="B215" s="97"/>
      <c r="C215" s="162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233"/>
      <c r="AJ215" s="164"/>
      <c r="AK215" s="244"/>
    </row>
    <row r="216" customFormat="false" ht="12.75" hidden="false" customHeight="false" outlineLevel="0" collapsed="false"/>
    <row r="217" customFormat="false" ht="12" hidden="false" customHeight="false" outlineLevel="0" collapsed="false"/>
  </sheetData>
  <sheetProtection algorithmName="SHA-512" hashValue="RBWr0LTkFPvSXEVRzCr7tF2Ns6YRSNNREZ75T1DM9tJjDq+M5qA4M/7qJCxb0hbFmb+ET+0fntjDVVsUtl5OHQ==" saltValue="+Vh1Ank+ErzydQsP6cO4xQ==" spinCount="100000" sheet="true" objects="true" scenarios="true" selectLockedCells="true" selectUnlockedCells="true"/>
  <mergeCells count="26">
    <mergeCell ref="C2:C6"/>
    <mergeCell ref="E3:G3"/>
    <mergeCell ref="I3:K3"/>
    <mergeCell ref="M3:O3"/>
    <mergeCell ref="Q3:S3"/>
    <mergeCell ref="U3:W3"/>
    <mergeCell ref="Z3:AA4"/>
    <mergeCell ref="AC3:AD4"/>
    <mergeCell ref="AF3:AG4"/>
    <mergeCell ref="E4:G4"/>
    <mergeCell ref="I4:K4"/>
    <mergeCell ref="M4:O4"/>
    <mergeCell ref="Q4:S4"/>
    <mergeCell ref="U4:W4"/>
    <mergeCell ref="E10:AI10"/>
    <mergeCell ref="E21:AI21"/>
    <mergeCell ref="E33:AI33"/>
    <mergeCell ref="E56:AI56"/>
    <mergeCell ref="E78:AI78"/>
    <mergeCell ref="E92:AI92"/>
    <mergeCell ref="E109:AI109"/>
    <mergeCell ref="E128:AI128"/>
    <mergeCell ref="E147:AI147"/>
    <mergeCell ref="E164:AI164"/>
    <mergeCell ref="E183:AI183"/>
    <mergeCell ref="E202:AI202"/>
  </mergeCells>
  <hyperlinks>
    <hyperlink ref="Z3" location="'🔒'!A1" display="REGISTROS"/>
    <hyperlink ref="AC3" location="'📈'!A1" display="RADAR"/>
    <hyperlink ref="AF3" location="ANUAL!A1" display="ANUA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17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24" activeCellId="0" sqref="D24"/>
    </sheetView>
  </sheetViews>
  <sheetFormatPr defaultColWidth="2.1484375" defaultRowHeight="12" zeroHeight="true" outlineLevelRow="0" outlineLevelCol="0"/>
  <cols>
    <col collapsed="false" customWidth="false" hidden="false" outlineLevel="0" max="1" min="1" style="78" width="2.14"/>
    <col collapsed="false" customWidth="true" hidden="false" outlineLevel="0" max="2" min="2" style="78" width="1.58"/>
    <col collapsed="false" customWidth="true" hidden="false" outlineLevel="0" max="3" min="3" style="78" width="29.29"/>
    <col collapsed="false" customWidth="true" hidden="false" outlineLevel="0" max="4" min="4" style="78" width="4.71"/>
    <col collapsed="false" customWidth="true" hidden="false" outlineLevel="0" max="34" min="5" style="78" width="5.57"/>
    <col collapsed="false" customWidth="true" hidden="false" outlineLevel="0" max="35" min="35" style="167" width="5.57"/>
    <col collapsed="false" customWidth="true" hidden="false" outlineLevel="0" max="36" min="36" style="78" width="9.58"/>
    <col collapsed="false" customWidth="true" hidden="false" outlineLevel="0" max="37" min="37" style="78" width="1.58"/>
    <col collapsed="false" customWidth="true" hidden="false" outlineLevel="0" max="38" min="38" style="78" width="2"/>
    <col collapsed="false" customWidth="false" hidden="true" outlineLevel="0" max="1024" min="39" style="78" width="2.14"/>
  </cols>
  <sheetData>
    <row r="1" customFormat="false" ht="29.25" hidden="true" customHeight="true" outlineLevel="0" collapsed="false">
      <c r="A1" s="81"/>
      <c r="B1" s="81"/>
      <c r="C1" s="81"/>
      <c r="D1" s="82"/>
      <c r="AD1" s="78" t="s">
        <v>19</v>
      </c>
      <c r="AE1" s="168" t="n">
        <v>8</v>
      </c>
      <c r="AH1" s="78" t="s">
        <v>42</v>
      </c>
      <c r="AI1" s="169" t="n">
        <f aca="false">IF('⚙️'!$Q$3=$AE$1,'⚙️'!$F$13,0)</f>
        <v>0</v>
      </c>
      <c r="AK1" s="169"/>
    </row>
    <row r="2" customFormat="false" ht="15.75" hidden="false" customHeight="true" outlineLevel="0" collapsed="false">
      <c r="A2" s="84"/>
      <c r="B2" s="84"/>
      <c r="C2" s="85" t="s">
        <v>106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7"/>
      <c r="U2" s="87"/>
      <c r="V2" s="87"/>
      <c r="W2" s="87"/>
      <c r="X2" s="87"/>
      <c r="Y2" s="87"/>
      <c r="Z2" s="87"/>
      <c r="AA2" s="87"/>
      <c r="AB2" s="87"/>
      <c r="AC2" s="238"/>
      <c r="AD2" s="239"/>
      <c r="AE2" s="239"/>
      <c r="AF2" s="239"/>
      <c r="AG2" s="239"/>
      <c r="AH2" s="239"/>
      <c r="AI2" s="239"/>
      <c r="AJ2" s="239"/>
      <c r="AK2" s="239"/>
      <c r="AL2" s="239"/>
    </row>
    <row r="3" s="180" customFormat="true" ht="18" hidden="false" customHeight="true" outlineLevel="0" collapsed="false">
      <c r="A3" s="89"/>
      <c r="B3" s="89"/>
      <c r="C3" s="85"/>
      <c r="D3" s="86"/>
      <c r="E3" s="90" t="s">
        <v>45</v>
      </c>
      <c r="F3" s="90"/>
      <c r="G3" s="90"/>
      <c r="H3" s="87"/>
      <c r="I3" s="90" t="s">
        <v>46</v>
      </c>
      <c r="J3" s="90"/>
      <c r="K3" s="90"/>
      <c r="L3" s="87"/>
      <c r="M3" s="90" t="s">
        <v>47</v>
      </c>
      <c r="N3" s="90"/>
      <c r="O3" s="90"/>
      <c r="P3" s="87"/>
      <c r="Q3" s="90" t="s">
        <v>48</v>
      </c>
      <c r="R3" s="90"/>
      <c r="S3" s="90"/>
      <c r="T3" s="87"/>
      <c r="U3" s="90" t="s">
        <v>49</v>
      </c>
      <c r="V3" s="90"/>
      <c r="W3" s="90"/>
      <c r="X3" s="87"/>
      <c r="Y3" s="87"/>
      <c r="Z3" s="178" t="s">
        <v>50</v>
      </c>
      <c r="AA3" s="178"/>
      <c r="AB3" s="239"/>
      <c r="AC3" s="178" t="s">
        <v>51</v>
      </c>
      <c r="AD3" s="178"/>
      <c r="AE3" s="239"/>
      <c r="AF3" s="178" t="s">
        <v>17</v>
      </c>
      <c r="AG3" s="178"/>
      <c r="AH3" s="240"/>
      <c r="AI3" s="240"/>
      <c r="AJ3" s="240"/>
      <c r="AK3" s="239"/>
      <c r="AL3" s="239"/>
    </row>
    <row r="4" s="180" customFormat="true" ht="18" hidden="false" customHeight="true" outlineLevel="0" collapsed="false">
      <c r="A4" s="89"/>
      <c r="B4" s="89"/>
      <c r="C4" s="85"/>
      <c r="D4" s="86"/>
      <c r="E4" s="94" t="n">
        <f aca="false">$AJ$16</f>
        <v>0</v>
      </c>
      <c r="F4" s="94"/>
      <c r="G4" s="94"/>
      <c r="H4" s="87"/>
      <c r="I4" s="94" t="n">
        <f aca="false">$AJ$14</f>
        <v>0</v>
      </c>
      <c r="J4" s="94"/>
      <c r="K4" s="94"/>
      <c r="L4" s="87"/>
      <c r="M4" s="94" t="n">
        <f aca="false">$AJ$15</f>
        <v>0</v>
      </c>
      <c r="N4" s="94"/>
      <c r="O4" s="94"/>
      <c r="P4" s="87"/>
      <c r="Q4" s="94" t="n">
        <f aca="false">$AJ$25</f>
        <v>0</v>
      </c>
      <c r="R4" s="94"/>
      <c r="S4" s="94"/>
      <c r="T4" s="87"/>
      <c r="U4" s="94" t="n">
        <f aca="false">$AJ$26</f>
        <v>0</v>
      </c>
      <c r="V4" s="94"/>
      <c r="W4" s="94"/>
      <c r="X4" s="87"/>
      <c r="Y4" s="87"/>
      <c r="Z4" s="178"/>
      <c r="AA4" s="178"/>
      <c r="AB4" s="239"/>
      <c r="AC4" s="178"/>
      <c r="AD4" s="178"/>
      <c r="AE4" s="239"/>
      <c r="AF4" s="178"/>
      <c r="AG4" s="178"/>
      <c r="AH4" s="240"/>
      <c r="AI4" s="240"/>
      <c r="AJ4" s="240"/>
      <c r="AK4" s="239"/>
      <c r="AL4" s="239"/>
    </row>
    <row r="5" customFormat="false" ht="11.25" hidden="false" customHeight="true" outlineLevel="0" collapsed="false">
      <c r="A5" s="89"/>
      <c r="B5" s="89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7"/>
      <c r="Y5" s="86"/>
      <c r="Z5" s="86"/>
      <c r="AA5" s="87"/>
      <c r="AB5" s="87"/>
      <c r="AC5" s="241"/>
      <c r="AD5" s="242"/>
      <c r="AE5" s="242"/>
      <c r="AF5" s="242"/>
      <c r="AG5" s="242"/>
      <c r="AH5" s="242"/>
      <c r="AI5" s="242"/>
      <c r="AJ5" s="239"/>
      <c r="AK5" s="239"/>
      <c r="AL5" s="239"/>
    </row>
    <row r="6" customFormat="false" ht="13.5" hidden="false" customHeight="true" outlineLevel="0" collapsed="false">
      <c r="A6" s="96"/>
      <c r="B6" s="96"/>
      <c r="C6" s="85"/>
      <c r="D6" s="97"/>
      <c r="E6" s="98" t="s">
        <v>30</v>
      </c>
      <c r="F6" s="98" t="s">
        <v>31</v>
      </c>
      <c r="G6" s="99" t="s">
        <v>32</v>
      </c>
      <c r="H6" s="99" t="s">
        <v>33</v>
      </c>
      <c r="I6" s="99" t="s">
        <v>34</v>
      </c>
      <c r="J6" s="99" t="s">
        <v>35</v>
      </c>
      <c r="K6" s="99" t="s">
        <v>36</v>
      </c>
      <c r="L6" s="99" t="s">
        <v>37</v>
      </c>
      <c r="M6" s="99" t="s">
        <v>38</v>
      </c>
      <c r="N6" s="99" t="s">
        <v>39</v>
      </c>
      <c r="O6" s="99" t="s">
        <v>40</v>
      </c>
      <c r="P6" s="99" t="s">
        <v>41</v>
      </c>
      <c r="Q6" s="99" t="s">
        <v>81</v>
      </c>
      <c r="R6" s="99" t="s">
        <v>82</v>
      </c>
      <c r="S6" s="99" t="s">
        <v>83</v>
      </c>
      <c r="T6" s="99" t="s">
        <v>84</v>
      </c>
      <c r="U6" s="99" t="s">
        <v>85</v>
      </c>
      <c r="V6" s="99" t="s">
        <v>86</v>
      </c>
      <c r="W6" s="99" t="s">
        <v>87</v>
      </c>
      <c r="X6" s="99" t="s">
        <v>88</v>
      </c>
      <c r="Y6" s="99" t="s">
        <v>89</v>
      </c>
      <c r="Z6" s="99" t="s">
        <v>90</v>
      </c>
      <c r="AA6" s="99" t="s">
        <v>91</v>
      </c>
      <c r="AB6" s="99" t="s">
        <v>92</v>
      </c>
      <c r="AC6" s="99" t="s">
        <v>93</v>
      </c>
      <c r="AD6" s="99" t="s">
        <v>94</v>
      </c>
      <c r="AE6" s="99" t="s">
        <v>95</v>
      </c>
      <c r="AF6" s="99" t="s">
        <v>96</v>
      </c>
      <c r="AG6" s="99" t="s">
        <v>97</v>
      </c>
      <c r="AH6" s="99" t="s">
        <v>98</v>
      </c>
      <c r="AI6" s="243" t="s">
        <v>99</v>
      </c>
      <c r="AJ6" s="239"/>
      <c r="AK6" s="239"/>
      <c r="AL6" s="239"/>
    </row>
    <row r="7" s="78" customFormat="true" ht="12.75" hidden="false" customHeight="false" outlineLevel="0" collapsed="false">
      <c r="E7" s="100"/>
    </row>
    <row r="8" s="78" customFormat="true" ht="12" hidden="false" customHeight="false" outlineLevel="0" collapsed="false"/>
    <row r="9" s="78" customFormat="true" ht="12" hidden="false" customHeight="false" outlineLevel="0" collapsed="false"/>
    <row r="10" customFormat="false" ht="39.75" hidden="false" customHeight="true" outlineLevel="0" collapsed="false">
      <c r="C10" s="101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3" t="s">
        <v>2</v>
      </c>
    </row>
    <row r="11" s="78" customFormat="true" ht="12.75" hidden="false" customHeight="false" outlineLevel="0" collapsed="false">
      <c r="AJ11" s="106" t="s">
        <v>64</v>
      </c>
    </row>
    <row r="12" customFormat="false" ht="6.75" hidden="false" customHeight="tru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94"/>
      <c r="AK12" s="107"/>
    </row>
    <row r="13" customFormat="false" ht="13.5" hidden="true" customHeight="false" outlineLevel="0" collapsed="false">
      <c r="B13" s="86"/>
      <c r="C13" s="109" t="s">
        <v>68</v>
      </c>
      <c r="D13" s="110" t="s">
        <v>69</v>
      </c>
      <c r="E13" s="110" t="s">
        <v>30</v>
      </c>
      <c r="F13" s="110" t="s">
        <v>31</v>
      </c>
      <c r="G13" s="110" t="s">
        <v>32</v>
      </c>
      <c r="H13" s="110" t="s">
        <v>33</v>
      </c>
      <c r="I13" s="110" t="s">
        <v>34</v>
      </c>
      <c r="J13" s="110" t="s">
        <v>35</v>
      </c>
      <c r="K13" s="110" t="s">
        <v>36</v>
      </c>
      <c r="L13" s="110" t="s">
        <v>37</v>
      </c>
      <c r="M13" s="110" t="s">
        <v>38</v>
      </c>
      <c r="N13" s="110" t="s">
        <v>39</v>
      </c>
      <c r="O13" s="110" t="s">
        <v>40</v>
      </c>
      <c r="P13" s="110" t="s">
        <v>41</v>
      </c>
      <c r="Q13" s="110" t="s">
        <v>81</v>
      </c>
      <c r="R13" s="110" t="s">
        <v>82</v>
      </c>
      <c r="S13" s="110" t="s">
        <v>83</v>
      </c>
      <c r="T13" s="110" t="s">
        <v>84</v>
      </c>
      <c r="U13" s="110" t="s">
        <v>85</v>
      </c>
      <c r="V13" s="110" t="s">
        <v>86</v>
      </c>
      <c r="W13" s="110" t="s">
        <v>87</v>
      </c>
      <c r="X13" s="110" t="s">
        <v>88</v>
      </c>
      <c r="Y13" s="110" t="s">
        <v>89</v>
      </c>
      <c r="Z13" s="110" t="s">
        <v>90</v>
      </c>
      <c r="AA13" s="110" t="s">
        <v>91</v>
      </c>
      <c r="AB13" s="110" t="s">
        <v>92</v>
      </c>
      <c r="AC13" s="110" t="s">
        <v>93</v>
      </c>
      <c r="AD13" s="110" t="s">
        <v>94</v>
      </c>
      <c r="AE13" s="110" t="s">
        <v>95</v>
      </c>
      <c r="AF13" s="110" t="s">
        <v>96</v>
      </c>
      <c r="AG13" s="110" t="s">
        <v>97</v>
      </c>
      <c r="AH13" s="110" t="s">
        <v>98</v>
      </c>
      <c r="AI13" s="110" t="s">
        <v>99</v>
      </c>
      <c r="AJ13" s="111" t="s">
        <v>70</v>
      </c>
      <c r="AK13" s="107"/>
    </row>
    <row r="14" customFormat="false" ht="19.5" hidden="false" customHeight="true" outlineLevel="0" collapsed="false">
      <c r="B14" s="107"/>
      <c r="C14" s="112" t="s">
        <v>71</v>
      </c>
      <c r="D14" s="113"/>
      <c r="E14" s="114" t="n">
        <f aca="false">SUMIFS(tabela_registros[VALOR],tabela_registros[MÊS],$AE$1,tabela_registros[DIA],agototal3059718395107119[[#Headers],[1]],tabela_registros[REGISTRO],DADOS!$N$3)</f>
        <v>0</v>
      </c>
      <c r="F14" s="114" t="n">
        <f aca="false">SUMIFS(tabela_registros[VALOR],tabela_registros[MÊS],$AE$1,tabela_registros[DIA],agototal3059718395107119[[#Headers],[2]],tabela_registros[REGISTRO],DADOS!$N$3)</f>
        <v>0</v>
      </c>
      <c r="G14" s="114" t="n">
        <f aca="false">SUMIFS(tabela_registros[VALOR],tabela_registros[MÊS],$AE$1,tabela_registros[DIA],agototal3059718395107119[[#Headers],[3]],tabela_registros[REGISTRO],DADOS!$N$3)</f>
        <v>0</v>
      </c>
      <c r="H14" s="114" t="n">
        <f aca="false">SUMIFS(tabela_registros[VALOR],tabela_registros[MÊS],$AE$1,tabela_registros[DIA],agototal3059718395107119[[#Headers],[4]],tabela_registros[REGISTRO],DADOS!$N$3)</f>
        <v>0</v>
      </c>
      <c r="I14" s="114" t="n">
        <f aca="false">SUMIFS(tabela_registros[VALOR],tabela_registros[MÊS],$AE$1,tabela_registros[DIA],agototal3059718395107119[[#Headers],[5]],tabela_registros[REGISTRO],DADOS!$N$3)</f>
        <v>0</v>
      </c>
      <c r="J14" s="114" t="n">
        <f aca="false">SUMIFS(tabela_registros[VALOR],tabela_registros[MÊS],$AE$1,tabela_registros[DIA],agototal3059718395107119[[#Headers],[6]],tabela_registros[REGISTRO],DADOS!$N$3)</f>
        <v>0</v>
      </c>
      <c r="K14" s="114" t="n">
        <f aca="false">SUMIFS(tabela_registros[VALOR],tabela_registros[MÊS],$AE$1,tabela_registros[DIA],agototal3059718395107119[[#Headers],[7]],tabela_registros[REGISTRO],DADOS!$N$3)</f>
        <v>0</v>
      </c>
      <c r="L14" s="114" t="n">
        <f aca="false">SUMIFS(tabela_registros[VALOR],tabela_registros[MÊS],$AE$1,tabela_registros[DIA],agototal3059718395107119[[#Headers],[8]],tabela_registros[REGISTRO],DADOS!$N$3)</f>
        <v>0</v>
      </c>
      <c r="M14" s="114" t="n">
        <f aca="false">SUMIFS(tabela_registros[VALOR],tabela_registros[MÊS],$AE$1,tabela_registros[DIA],agototal3059718395107119[[#Headers],[9]],tabela_registros[REGISTRO],DADOS!$N$3)</f>
        <v>0</v>
      </c>
      <c r="N14" s="114" t="n">
        <f aca="false">SUMIFS(tabela_registros[VALOR],tabela_registros[MÊS],$AE$1,tabela_registros[DIA],agototal3059718395107119[[#Headers],[10]],tabela_registros[REGISTRO],DADOS!$N$3)</f>
        <v>0</v>
      </c>
      <c r="O14" s="114" t="n">
        <f aca="false">SUMIFS(tabela_registros[VALOR],tabela_registros[MÊS],$AE$1,tabela_registros[DIA],agototal3059718395107119[[#Headers],[11]],tabela_registros[REGISTRO],DADOS!$N$3)</f>
        <v>0</v>
      </c>
      <c r="P14" s="114" t="n">
        <f aca="false">SUMIFS(tabela_registros[VALOR],tabela_registros[MÊS],$AE$1,tabela_registros[DIA],agototal3059718395107119[[#Headers],[12]],tabela_registros[REGISTRO],DADOS!$N$3)</f>
        <v>0</v>
      </c>
      <c r="Q14" s="114" t="n">
        <f aca="false">SUMIFS(tabela_registros[VALOR],tabela_registros[MÊS],$AE$1,tabela_registros[DIA],agototal3059718395107119[[#Headers],[13]],tabela_registros[REGISTRO],DADOS!$N$3)</f>
        <v>0</v>
      </c>
      <c r="R14" s="114" t="n">
        <f aca="false">SUMIFS(tabela_registros[VALOR],tabela_registros[MÊS],$AE$1,tabela_registros[DIA],agototal3059718395107119[[#Headers],[14]],tabela_registros[REGISTRO],DADOS!$N$3)</f>
        <v>0</v>
      </c>
      <c r="S14" s="114" t="n">
        <f aca="false">SUMIFS(tabela_registros[VALOR],tabela_registros[MÊS],$AE$1,tabela_registros[DIA],agototal3059718395107119[[#Headers],[15]],tabela_registros[REGISTRO],DADOS!$N$3)</f>
        <v>0</v>
      </c>
      <c r="T14" s="114" t="n">
        <f aca="false">SUMIFS(tabela_registros[VALOR],tabela_registros[MÊS],$AE$1,tabela_registros[DIA],agototal3059718395107119[[#Headers],[16]],tabela_registros[REGISTRO],DADOS!$N$3)</f>
        <v>0</v>
      </c>
      <c r="U14" s="114" t="n">
        <f aca="false">SUMIFS(tabela_registros[VALOR],tabela_registros[MÊS],$AE$1,tabela_registros[DIA],agototal3059718395107119[[#Headers],[17]],tabela_registros[REGISTRO],DADOS!$N$3)</f>
        <v>0</v>
      </c>
      <c r="V14" s="114" t="n">
        <f aca="false">SUMIFS(tabela_registros[VALOR],tabela_registros[MÊS],$AE$1,tabela_registros[DIA],agototal3059718395107119[[#Headers],[18]],tabela_registros[REGISTRO],DADOS!$N$3)</f>
        <v>0</v>
      </c>
      <c r="W14" s="114" t="n">
        <f aca="false">SUMIFS(tabela_registros[VALOR],tabela_registros[MÊS],$AE$1,tabela_registros[DIA],agototal3059718395107119[[#Headers],[19]],tabela_registros[REGISTRO],DADOS!$N$3)</f>
        <v>0</v>
      </c>
      <c r="X14" s="114" t="n">
        <f aca="false">SUMIFS(tabela_registros[VALOR],tabela_registros[MÊS],$AE$1,tabela_registros[DIA],agototal3059718395107119[[#Headers],[20]],tabela_registros[REGISTRO],DADOS!$N$3)</f>
        <v>0</v>
      </c>
      <c r="Y14" s="114" t="n">
        <f aca="false">SUMIFS(tabela_registros[VALOR],tabela_registros[MÊS],$AE$1,tabela_registros[DIA],agototal3059718395107119[[#Headers],[21]],tabela_registros[REGISTRO],DADOS!$N$3)</f>
        <v>0</v>
      </c>
      <c r="Z14" s="114" t="n">
        <f aca="false">SUMIFS(tabela_registros[VALOR],tabela_registros[MÊS],$AE$1,tabela_registros[DIA],agototal3059718395107119[[#Headers],[22]],tabela_registros[REGISTRO],DADOS!$N$3)</f>
        <v>0</v>
      </c>
      <c r="AA14" s="114" t="n">
        <f aca="false">SUMIFS(tabela_registros[VALOR],tabela_registros[MÊS],$AE$1,tabela_registros[DIA],agototal3059718395107119[[#Headers],[23]],tabela_registros[REGISTRO],DADOS!$N$3)</f>
        <v>0</v>
      </c>
      <c r="AB14" s="114" t="n">
        <f aca="false">SUMIFS(tabela_registros[VALOR],tabela_registros[MÊS],$AE$1,tabela_registros[DIA],agototal3059718395107119[[#Headers],[24]],tabela_registros[REGISTRO],DADOS!$N$3)</f>
        <v>0</v>
      </c>
      <c r="AC14" s="114" t="n">
        <f aca="false">SUMIFS(tabela_registros[VALOR],tabela_registros[MÊS],$AE$1,tabela_registros[DIA],agototal3059718395107119[[#Headers],[25]],tabela_registros[REGISTRO],DADOS!$N$3)</f>
        <v>0</v>
      </c>
      <c r="AD14" s="114" t="n">
        <f aca="false">SUMIFS(tabela_registros[VALOR],tabela_registros[MÊS],$AE$1,tabela_registros[DIA],agototal3059718395107119[[#Headers],[26]],tabela_registros[REGISTRO],DADOS!$N$3)</f>
        <v>0</v>
      </c>
      <c r="AE14" s="114" t="n">
        <f aca="false">SUMIFS(tabela_registros[VALOR],tabela_registros[MÊS],$AE$1,tabela_registros[DIA],agototal3059718395107119[[#Headers],[27]],tabela_registros[REGISTRO],DADOS!$N$3)</f>
        <v>0</v>
      </c>
      <c r="AF14" s="114" t="n">
        <f aca="false">SUMIFS(tabela_registros[VALOR],tabela_registros[MÊS],$AE$1,tabela_registros[DIA],agototal3059718395107119[[#Headers],[28]],tabela_registros[REGISTRO],DADOS!$N$3)</f>
        <v>0</v>
      </c>
      <c r="AG14" s="114" t="n">
        <f aca="false">SUMIFS(tabela_registros[VALOR],tabela_registros[MÊS],$AE$1,tabela_registros[DIA],agototal3059718395107119[[#Headers],[29]],tabela_registros[REGISTRO],DADOS!$N$3)</f>
        <v>0</v>
      </c>
      <c r="AH14" s="114" t="n">
        <f aca="false">SUMIFS(tabela_registros[VALOR],tabela_registros[MÊS],$AE$1,tabela_registros[DIA],agototal3059718395107119[[#Headers],[30]],tabela_registros[REGISTRO],DADOS!$N$3)</f>
        <v>0</v>
      </c>
      <c r="AI14" s="115" t="n">
        <f aca="false">SUMIFS(tabela_registros[VALOR],tabela_registros[MÊS],$AE$1,tabela_registros[DIA],agototal3059718395107119[[#Headers],[31]],tabela_registros[REGISTRO],DADOS!$N$3)</f>
        <v>0</v>
      </c>
      <c r="AJ14" s="116" t="n">
        <f aca="false">SUM(agototal3059718395107119[[#This Row],[1]:[31]])</f>
        <v>0</v>
      </c>
      <c r="AK14" s="107"/>
    </row>
    <row r="15" customFormat="false" ht="18" hidden="false" customHeight="true" outlineLevel="0" collapsed="false">
      <c r="B15" s="107"/>
      <c r="C15" s="112" t="s">
        <v>72</v>
      </c>
      <c r="D15" s="113"/>
      <c r="E15" s="119" t="n">
        <f aca="false">SUMIFS(tabela_registros[VALOR],tabela_registros[MÊS],$AE$1,tabela_registros[DIA],agototal3059718395107119[[#Headers],[1]],tabela_registros[REGISTRO],DADOS!$N$4)</f>
        <v>0</v>
      </c>
      <c r="F15" s="119" t="n">
        <f aca="false">SUMIFS(tabela_registros[VALOR],tabela_registros[MÊS],$AE$1,tabela_registros[DIA],agototal3059718395107119[[#Headers],[2]],tabela_registros[REGISTRO],DADOS!$N$4)</f>
        <v>0</v>
      </c>
      <c r="G15" s="119" t="n">
        <f aca="false">SUMIFS(tabela_registros[VALOR],tabela_registros[MÊS],$AE$1,tabela_registros[DIA],agototal3059718395107119[[#Headers],[3]],tabela_registros[REGISTRO],DADOS!$N$4)</f>
        <v>0</v>
      </c>
      <c r="H15" s="119" t="n">
        <f aca="false">SUMIFS(tabela_registros[VALOR],tabela_registros[MÊS],$AE$1,tabela_registros[DIA],agototal3059718395107119[[#Headers],[4]],tabela_registros[REGISTRO],DADOS!$N$4)</f>
        <v>0</v>
      </c>
      <c r="I15" s="119" t="n">
        <f aca="false">SUMIFS(tabela_registros[VALOR],tabela_registros[MÊS],$AE$1,tabela_registros[DIA],agototal3059718395107119[[#Headers],[5]],tabela_registros[REGISTRO],DADOS!$N$4)</f>
        <v>0</v>
      </c>
      <c r="J15" s="119" t="n">
        <f aca="false">SUMIFS(tabela_registros[VALOR],tabela_registros[MÊS],$AE$1,tabela_registros[DIA],agototal3059718395107119[[#Headers],[6]],tabela_registros[REGISTRO],DADOS!$N$4)</f>
        <v>0</v>
      </c>
      <c r="K15" s="119" t="n">
        <f aca="false">SUMIFS(tabela_registros[VALOR],tabela_registros[MÊS],$AE$1,tabela_registros[DIA],agototal3059718395107119[[#Headers],[7]],tabela_registros[REGISTRO],DADOS!$N$4)</f>
        <v>0</v>
      </c>
      <c r="L15" s="119" t="n">
        <f aca="false">SUMIFS(tabela_registros[VALOR],tabela_registros[MÊS],$AE$1,tabela_registros[DIA],agototal3059718395107119[[#Headers],[8]],tabela_registros[REGISTRO],DADOS!$N$4)</f>
        <v>0</v>
      </c>
      <c r="M15" s="119" t="n">
        <f aca="false">SUMIFS(tabela_registros[VALOR],tabela_registros[MÊS],$AE$1,tabela_registros[DIA],agototal3059718395107119[[#Headers],[9]],tabela_registros[REGISTRO],DADOS!$N$4)</f>
        <v>0</v>
      </c>
      <c r="N15" s="119" t="n">
        <f aca="false">SUMIFS(tabela_registros[VALOR],tabela_registros[MÊS],$AE$1,tabela_registros[DIA],agototal3059718395107119[[#Headers],[10]],tabela_registros[REGISTRO],DADOS!$N$4)</f>
        <v>0</v>
      </c>
      <c r="O15" s="119" t="n">
        <f aca="false">SUMIFS(tabela_registros[VALOR],tabela_registros[MÊS],$AE$1,tabela_registros[DIA],agototal3059718395107119[[#Headers],[11]],tabela_registros[REGISTRO],DADOS!$N$4)</f>
        <v>0</v>
      </c>
      <c r="P15" s="119" t="n">
        <f aca="false">SUMIFS(tabela_registros[VALOR],tabela_registros[MÊS],$AE$1,tabela_registros[DIA],agototal3059718395107119[[#Headers],[12]],tabela_registros[REGISTRO],DADOS!$N$4)</f>
        <v>0</v>
      </c>
      <c r="Q15" s="119" t="n">
        <f aca="false">SUMIFS(tabela_registros[VALOR],tabela_registros[MÊS],$AE$1,tabela_registros[DIA],agototal3059718395107119[[#Headers],[13]],tabela_registros[REGISTRO],DADOS!$N$4)</f>
        <v>0</v>
      </c>
      <c r="R15" s="119" t="n">
        <f aca="false">SUMIFS(tabela_registros[VALOR],tabela_registros[MÊS],$AE$1,tabela_registros[DIA],agototal3059718395107119[[#Headers],[14]],tabela_registros[REGISTRO],DADOS!$N$4)</f>
        <v>0</v>
      </c>
      <c r="S15" s="119" t="n">
        <f aca="false">SUMIFS(tabela_registros[VALOR],tabela_registros[MÊS],$AE$1,tabela_registros[DIA],agototal3059718395107119[[#Headers],[15]],tabela_registros[REGISTRO],DADOS!$N$4)</f>
        <v>0</v>
      </c>
      <c r="T15" s="119" t="n">
        <f aca="false">SUMIFS(tabela_registros[VALOR],tabela_registros[MÊS],$AE$1,tabela_registros[DIA],agototal3059718395107119[[#Headers],[16]],tabela_registros[REGISTRO],DADOS!$N$4)</f>
        <v>0</v>
      </c>
      <c r="U15" s="119" t="n">
        <f aca="false">SUMIFS(tabela_registros[VALOR],tabela_registros[MÊS],$AE$1,tabela_registros[DIA],agototal3059718395107119[[#Headers],[17]],tabela_registros[REGISTRO],DADOS!$N$4)</f>
        <v>0</v>
      </c>
      <c r="V15" s="119" t="n">
        <f aca="false">SUMIFS(tabela_registros[VALOR],tabela_registros[MÊS],$AE$1,tabela_registros[DIA],agototal3059718395107119[[#Headers],[18]],tabela_registros[REGISTRO],DADOS!$N$4)</f>
        <v>0</v>
      </c>
      <c r="W15" s="119" t="n">
        <f aca="false">SUMIFS(tabela_registros[VALOR],tabela_registros[MÊS],$AE$1,tabela_registros[DIA],agototal3059718395107119[[#Headers],[19]],tabela_registros[REGISTRO],DADOS!$N$4)</f>
        <v>0</v>
      </c>
      <c r="X15" s="119" t="n">
        <f aca="false">SUMIFS(tabela_registros[VALOR],tabela_registros[MÊS],$AE$1,tabela_registros[DIA],agototal3059718395107119[[#Headers],[20]],tabela_registros[REGISTRO],DADOS!$N$4)</f>
        <v>0</v>
      </c>
      <c r="Y15" s="119" t="n">
        <f aca="false">SUMIFS(tabela_registros[VALOR],tabela_registros[MÊS],$AE$1,tabela_registros[DIA],agototal3059718395107119[[#Headers],[21]],tabela_registros[REGISTRO],DADOS!$N$4)</f>
        <v>0</v>
      </c>
      <c r="Z15" s="119" t="n">
        <f aca="false">SUMIFS(tabela_registros[VALOR],tabela_registros[MÊS],$AE$1,tabela_registros[DIA],agototal3059718395107119[[#Headers],[22]],tabela_registros[REGISTRO],DADOS!$N$4)</f>
        <v>0</v>
      </c>
      <c r="AA15" s="119" t="n">
        <f aca="false">SUMIFS(tabela_registros[VALOR],tabela_registros[MÊS],$AE$1,tabela_registros[DIA],agototal3059718395107119[[#Headers],[23]],tabela_registros[REGISTRO],DADOS!$N$4)</f>
        <v>0</v>
      </c>
      <c r="AB15" s="119" t="n">
        <f aca="false">SUMIFS(tabela_registros[VALOR],tabela_registros[MÊS],$AE$1,tabela_registros[DIA],agototal3059718395107119[[#Headers],[24]],tabela_registros[REGISTRO],DADOS!$N$4)</f>
        <v>0</v>
      </c>
      <c r="AC15" s="119" t="n">
        <f aca="false">SUMIFS(tabela_registros[VALOR],tabela_registros[MÊS],$AE$1,tabela_registros[DIA],agototal3059718395107119[[#Headers],[25]],tabela_registros[REGISTRO],DADOS!$N$4)</f>
        <v>0</v>
      </c>
      <c r="AD15" s="119" t="n">
        <f aca="false">SUMIFS(tabela_registros[VALOR],tabela_registros[MÊS],$AE$1,tabela_registros[DIA],agototal3059718395107119[[#Headers],[26]],tabela_registros[REGISTRO],DADOS!$N$4)</f>
        <v>0</v>
      </c>
      <c r="AE15" s="119" t="n">
        <f aca="false">SUMIFS(tabela_registros[VALOR],tabela_registros[MÊS],$AE$1,tabela_registros[DIA],agototal3059718395107119[[#Headers],[27]],tabela_registros[REGISTRO],DADOS!$N$4)</f>
        <v>0</v>
      </c>
      <c r="AF15" s="119" t="n">
        <f aca="false">SUMIFS(tabela_registros[VALOR],tabela_registros[MÊS],$AE$1,tabela_registros[DIA],agototal3059718395107119[[#Headers],[28]],tabela_registros[REGISTRO],DADOS!$N$4)</f>
        <v>0</v>
      </c>
      <c r="AG15" s="119" t="n">
        <f aca="false">SUMIFS(tabela_registros[VALOR],tabela_registros[MÊS],$AE$1,tabela_registros[DIA],agototal3059718395107119[[#Headers],[29]],tabela_registros[REGISTRO],DADOS!$N$4)</f>
        <v>0</v>
      </c>
      <c r="AH15" s="119" t="n">
        <f aca="false">SUMIFS(tabela_registros[VALOR],tabela_registros[MÊS],$AE$1,tabela_registros[DIA],agototal3059718395107119[[#Headers],[30]],tabela_registros[REGISTRO],DADOS!$N$4)</f>
        <v>0</v>
      </c>
      <c r="AI15" s="120" t="n">
        <f aca="false">SUMIFS(tabela_registros[VALOR],tabela_registros[MÊS],$AE$1,tabela_registros[DIA],agototal3059718395107119[[#Headers],[31]],tabela_registros[REGISTRO],DADOS!$N$4)</f>
        <v>0</v>
      </c>
      <c r="AJ15" s="121" t="n">
        <f aca="false">SUM(agototal3059718395107119[[#This Row],[1]:[31]])</f>
        <v>0</v>
      </c>
      <c r="AK15" s="107"/>
    </row>
    <row r="16" s="122" customFormat="true" ht="21" hidden="false" customHeight="true" outlineLevel="0" collapsed="false">
      <c r="B16" s="123"/>
      <c r="C16" s="124" t="s">
        <v>73</v>
      </c>
      <c r="D16" s="125"/>
      <c r="E16" s="126" t="n">
        <f aca="false">(E14-E15)+AI1</f>
        <v>0</v>
      </c>
      <c r="F16" s="127" t="n">
        <f aca="false">agototal3059718395107119[[#This Row],[1]]+(F14-F15)</f>
        <v>0</v>
      </c>
      <c r="G16" s="127" t="n">
        <f aca="false">agototal3059718395107119[[#This Row],[2]]+(G14-G15)</f>
        <v>0</v>
      </c>
      <c r="H16" s="127" t="n">
        <f aca="false">agototal3059718395107119[[#This Row],[3]]+(H14-H15)</f>
        <v>0</v>
      </c>
      <c r="I16" s="127" t="n">
        <f aca="false">agototal3059718395107119[[#This Row],[4]]+(I14-I15)</f>
        <v>0</v>
      </c>
      <c r="J16" s="127" t="n">
        <f aca="false">agototal3059718395107119[[#This Row],[5]]+(J14-J15)</f>
        <v>0</v>
      </c>
      <c r="K16" s="127" t="n">
        <f aca="false">agototal3059718395107119[[#This Row],[6]]+(K14-K15)</f>
        <v>0</v>
      </c>
      <c r="L16" s="127" t="n">
        <f aca="false">agototal3059718395107119[[#This Row],[7]]+(L14-L15)</f>
        <v>0</v>
      </c>
      <c r="M16" s="127" t="n">
        <f aca="false">agototal3059718395107119[[#This Row],[8]]+(M14-M15)</f>
        <v>0</v>
      </c>
      <c r="N16" s="127" t="n">
        <f aca="false">agototal3059718395107119[[#This Row],[9]]+(N14-N15)</f>
        <v>0</v>
      </c>
      <c r="O16" s="127" t="n">
        <f aca="false">agototal3059718395107119[[#This Row],[10]]+(O14-O15)</f>
        <v>0</v>
      </c>
      <c r="P16" s="127" t="n">
        <f aca="false">agototal3059718395107119[[#This Row],[11]]+(P14-P15)</f>
        <v>0</v>
      </c>
      <c r="Q16" s="127" t="n">
        <f aca="false">agototal3059718395107119[[#This Row],[12]]+(Q14-Q15)</f>
        <v>0</v>
      </c>
      <c r="R16" s="127" t="n">
        <f aca="false">agototal3059718395107119[[#This Row],[13]]+(R14-R15)</f>
        <v>0</v>
      </c>
      <c r="S16" s="127" t="n">
        <f aca="false">agototal3059718395107119[[#This Row],[14]]+(S14-S15)</f>
        <v>0</v>
      </c>
      <c r="T16" s="127" t="n">
        <f aca="false">agototal3059718395107119[[#This Row],[15]]+(T14-T15)</f>
        <v>0</v>
      </c>
      <c r="U16" s="127" t="n">
        <f aca="false">agototal3059718395107119[[#This Row],[16]]+(U14-U15)</f>
        <v>0</v>
      </c>
      <c r="V16" s="127" t="n">
        <f aca="false">agototal3059718395107119[[#This Row],[17]]+(V14-V15)</f>
        <v>0</v>
      </c>
      <c r="W16" s="127" t="n">
        <f aca="false">agototal3059718395107119[[#This Row],[18]]+(W14-W15)</f>
        <v>0</v>
      </c>
      <c r="X16" s="127" t="n">
        <f aca="false">agototal3059718395107119[[#This Row],[19]]+(X14-X15)</f>
        <v>0</v>
      </c>
      <c r="Y16" s="127" t="n">
        <f aca="false">agototal3059718395107119[[#This Row],[20]]+(Y14-Y15)</f>
        <v>0</v>
      </c>
      <c r="Z16" s="127" t="n">
        <f aca="false">agototal3059718395107119[[#This Row],[21]]+(Z14-Z15)</f>
        <v>0</v>
      </c>
      <c r="AA16" s="127" t="n">
        <f aca="false">agototal3059718395107119[[#This Row],[22]]+(AA14-AA15)</f>
        <v>0</v>
      </c>
      <c r="AB16" s="127" t="n">
        <f aca="false">agototal3059718395107119[[#This Row],[23]]+(AB14-AB15)</f>
        <v>0</v>
      </c>
      <c r="AC16" s="127" t="n">
        <f aca="false">agototal3059718395107119[[#This Row],[24]]+(AC14-AC15)</f>
        <v>0</v>
      </c>
      <c r="AD16" s="127" t="n">
        <f aca="false">agototal3059718395107119[[#This Row],[25]]+(AD14-AD15)</f>
        <v>0</v>
      </c>
      <c r="AE16" s="127" t="n">
        <f aca="false">agototal3059718395107119[[#This Row],[26]]+(AE14-AE15)</f>
        <v>0</v>
      </c>
      <c r="AF16" s="127" t="n">
        <f aca="false">agototal3059718395107119[[#This Row],[27]]+(AF14-AF15)</f>
        <v>0</v>
      </c>
      <c r="AG16" s="127" t="n">
        <f aca="false">agototal3059718395107119[[#This Row],[28]]+(AG14-AG15)</f>
        <v>0</v>
      </c>
      <c r="AH16" s="127" t="n">
        <f aca="false">agototal3059718395107119[[#This Row],[29]]+(AH14-AH15)</f>
        <v>0</v>
      </c>
      <c r="AI16" s="128" t="n">
        <f aca="false">agototal3059718395107119[[#This Row],[30]]+(AI14-AI15)</f>
        <v>0</v>
      </c>
      <c r="AJ16" s="129" t="n">
        <f aca="false">agototal3059718395107119[[#This Row],[31]]</f>
        <v>0</v>
      </c>
      <c r="AK16" s="123"/>
    </row>
    <row r="17" customFormat="false" ht="6.75" hidden="false" customHeight="true" outlineLevel="0" collapsed="false"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94"/>
      <c r="AJ17" s="107"/>
      <c r="AK17" s="107"/>
    </row>
    <row r="18" customFormat="false" ht="12.75" hidden="false" customHeight="false" outlineLevel="0" collapsed="false">
      <c r="C18" s="133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</row>
    <row r="19" customFormat="false" ht="12" hidden="false" customHeight="false" outlineLevel="0" collapsed="false">
      <c r="C19" s="133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</row>
    <row r="20" customFormat="false" ht="12" hidden="false" customHeight="false" outlineLevel="0" collapsed="false">
      <c r="A20" s="133"/>
      <c r="B20" s="133"/>
      <c r="C20" s="133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</row>
    <row r="21" customFormat="false" ht="39.75" hidden="false" customHeight="true" outlineLevel="0" collapsed="false">
      <c r="A21" s="133"/>
      <c r="B21" s="133"/>
      <c r="C21" s="133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3" t="s">
        <v>2</v>
      </c>
    </row>
    <row r="22" s="78" customFormat="true" ht="11.25" hidden="false" customHeight="true" outlineLevel="0" collapsed="false">
      <c r="C22" s="101"/>
      <c r="AJ22" s="106" t="s">
        <v>64</v>
      </c>
    </row>
    <row r="23" customFormat="false" ht="6.75" hidden="false" customHeight="true" outlineLevel="0" collapsed="false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94"/>
      <c r="AK23" s="107"/>
    </row>
    <row r="24" customFormat="false" ht="13.5" hidden="true" customHeight="false" outlineLevel="0" collapsed="false">
      <c r="B24" s="86"/>
      <c r="C24" s="110" t="s">
        <v>68</v>
      </c>
      <c r="D24" s="107" t="s">
        <v>69</v>
      </c>
      <c r="E24" s="110" t="s">
        <v>30</v>
      </c>
      <c r="F24" s="110" t="s">
        <v>31</v>
      </c>
      <c r="G24" s="110" t="s">
        <v>32</v>
      </c>
      <c r="H24" s="110" t="s">
        <v>33</v>
      </c>
      <c r="I24" s="110" t="s">
        <v>34</v>
      </c>
      <c r="J24" s="110" t="s">
        <v>35</v>
      </c>
      <c r="K24" s="110" t="s">
        <v>36</v>
      </c>
      <c r="L24" s="110" t="s">
        <v>37</v>
      </c>
      <c r="M24" s="110" t="s">
        <v>38</v>
      </c>
      <c r="N24" s="110" t="s">
        <v>39</v>
      </c>
      <c r="O24" s="110" t="s">
        <v>40</v>
      </c>
      <c r="P24" s="110" t="s">
        <v>41</v>
      </c>
      <c r="Q24" s="110" t="s">
        <v>81</v>
      </c>
      <c r="R24" s="110" t="s">
        <v>82</v>
      </c>
      <c r="S24" s="110" t="s">
        <v>83</v>
      </c>
      <c r="T24" s="110" t="s">
        <v>84</v>
      </c>
      <c r="U24" s="110" t="s">
        <v>85</v>
      </c>
      <c r="V24" s="110" t="s">
        <v>86</v>
      </c>
      <c r="W24" s="110" t="s">
        <v>87</v>
      </c>
      <c r="X24" s="110" t="s">
        <v>88</v>
      </c>
      <c r="Y24" s="110" t="s">
        <v>89</v>
      </c>
      <c r="Z24" s="110" t="s">
        <v>90</v>
      </c>
      <c r="AA24" s="110" t="s">
        <v>91</v>
      </c>
      <c r="AB24" s="110" t="s">
        <v>92</v>
      </c>
      <c r="AC24" s="110" t="s">
        <v>93</v>
      </c>
      <c r="AD24" s="110" t="s">
        <v>94</v>
      </c>
      <c r="AE24" s="110" t="s">
        <v>95</v>
      </c>
      <c r="AF24" s="110" t="s">
        <v>96</v>
      </c>
      <c r="AG24" s="110" t="s">
        <v>97</v>
      </c>
      <c r="AH24" s="110" t="s">
        <v>98</v>
      </c>
      <c r="AI24" s="110" t="s">
        <v>99</v>
      </c>
      <c r="AJ24" s="111" t="s">
        <v>70</v>
      </c>
      <c r="AK24" s="107"/>
    </row>
    <row r="25" customFormat="false" ht="19.5" hidden="false" customHeight="true" outlineLevel="0" collapsed="false">
      <c r="B25" s="107"/>
      <c r="C25" s="112" t="s">
        <v>15</v>
      </c>
      <c r="D25" s="113"/>
      <c r="E25" s="114" t="n">
        <f aca="false">SUMIFS(tabela_registros[VALOR],tabela_registros[MÊS],$AE$1,tabela_registros[DIA],agototal3059718395107119[[#Headers],[1]],tabela_registros[REGISTRO],DADOS!$N$5)</f>
        <v>0</v>
      </c>
      <c r="F25" s="114" t="n">
        <f aca="false">SUMIFS(tabela_registros[VALOR],tabela_registros[MÊS],$AE$1,tabela_registros[DIA],agototal3059718395107119[[#Headers],[2]],tabela_registros[REGISTRO],DADOS!$N$5)</f>
        <v>0</v>
      </c>
      <c r="G25" s="114" t="n">
        <f aca="false">SUMIFS(tabela_registros[VALOR],tabela_registros[MÊS],$AE$1,tabela_registros[DIA],agototal3059718395107119[[#Headers],[3]],tabela_registros[REGISTRO],DADOS!$N$5)</f>
        <v>0</v>
      </c>
      <c r="H25" s="114" t="n">
        <f aca="false">SUMIFS(tabela_registros[VALOR],tabela_registros[MÊS],$AE$1,tabela_registros[DIA],agototal3059718395107119[[#Headers],[4]],tabela_registros[REGISTRO],DADOS!$N$5)</f>
        <v>0</v>
      </c>
      <c r="I25" s="114" t="n">
        <f aca="false">SUMIFS(tabela_registros[VALOR],tabela_registros[MÊS],$AE$1,tabela_registros[DIA],agototal3059718395107119[[#Headers],[5]],tabela_registros[REGISTRO],DADOS!$N$5)</f>
        <v>0</v>
      </c>
      <c r="J25" s="114" t="n">
        <f aca="false">SUMIFS(tabela_registros[VALOR],tabela_registros[MÊS],$AE$1,tabela_registros[DIA],agototal3059718395107119[[#Headers],[6]],tabela_registros[REGISTRO],DADOS!$N$5)</f>
        <v>0</v>
      </c>
      <c r="K25" s="114" t="n">
        <f aca="false">SUMIFS(tabela_registros[VALOR],tabela_registros[MÊS],$AE$1,tabela_registros[DIA],agototal3059718395107119[[#Headers],[7]],tabela_registros[REGISTRO],DADOS!$N$5)</f>
        <v>0</v>
      </c>
      <c r="L25" s="114" t="n">
        <f aca="false">SUMIFS(tabela_registros[VALOR],tabela_registros[MÊS],$AE$1,tabela_registros[DIA],agototal3059718395107119[[#Headers],[8]],tabela_registros[REGISTRO],DADOS!$N$5)</f>
        <v>0</v>
      </c>
      <c r="M25" s="114" t="n">
        <f aca="false">SUMIFS(tabela_registros[VALOR],tabela_registros[MÊS],$AE$1,tabela_registros[DIA],agototal3059718395107119[[#Headers],[9]],tabela_registros[REGISTRO],DADOS!$N$5)</f>
        <v>0</v>
      </c>
      <c r="N25" s="114" t="n">
        <f aca="false">SUMIFS(tabela_registros[VALOR],tabela_registros[MÊS],$AE$1,tabela_registros[DIA],agototal3059718395107119[[#Headers],[10]],tabela_registros[REGISTRO],DADOS!$N$5)</f>
        <v>0</v>
      </c>
      <c r="O25" s="114" t="n">
        <f aca="false">SUMIFS(tabela_registros[VALOR],tabela_registros[MÊS],$AE$1,tabela_registros[DIA],agototal3059718395107119[[#Headers],[11]],tabela_registros[REGISTRO],DADOS!$N$5)</f>
        <v>0</v>
      </c>
      <c r="P25" s="114" t="n">
        <f aca="false">SUMIFS(tabela_registros[VALOR],tabela_registros[MÊS],$AE$1,tabela_registros[DIA],agototal3059718395107119[[#Headers],[12]],tabela_registros[REGISTRO],DADOS!$N$5)</f>
        <v>0</v>
      </c>
      <c r="Q25" s="114" t="n">
        <f aca="false">SUMIFS(tabela_registros[VALOR],tabela_registros[MÊS],$AE$1,tabela_registros[DIA],agototal3059718395107119[[#Headers],[13]],tabela_registros[REGISTRO],DADOS!$N$5)</f>
        <v>0</v>
      </c>
      <c r="R25" s="114" t="n">
        <f aca="false">SUMIFS(tabela_registros[VALOR],tabela_registros[MÊS],$AE$1,tabela_registros[DIA],agototal3059718395107119[[#Headers],[14]],tabela_registros[REGISTRO],DADOS!$N$5)</f>
        <v>0</v>
      </c>
      <c r="S25" s="114" t="n">
        <f aca="false">SUMIFS(tabela_registros[VALOR],tabela_registros[MÊS],$AE$1,tabela_registros[DIA],agototal3059718395107119[[#Headers],[15]],tabela_registros[REGISTRO],DADOS!$N$5)</f>
        <v>0</v>
      </c>
      <c r="T25" s="114" t="n">
        <f aca="false">SUMIFS(tabela_registros[VALOR],tabela_registros[MÊS],$AE$1,tabela_registros[DIA],agototal3059718395107119[[#Headers],[16]],tabela_registros[REGISTRO],DADOS!$N$5)</f>
        <v>0</v>
      </c>
      <c r="U25" s="114" t="n">
        <f aca="false">SUMIFS(tabela_registros[VALOR],tabela_registros[MÊS],$AE$1,tabela_registros[DIA],agototal3059718395107119[[#Headers],[17]],tabela_registros[REGISTRO],DADOS!$N$5)</f>
        <v>0</v>
      </c>
      <c r="V25" s="114" t="n">
        <f aca="false">SUMIFS(tabela_registros[VALOR],tabela_registros[MÊS],$AE$1,tabela_registros[DIA],agototal3059718395107119[[#Headers],[18]],tabela_registros[REGISTRO],DADOS!$N$5)</f>
        <v>0</v>
      </c>
      <c r="W25" s="114" t="n">
        <f aca="false">SUMIFS(tabela_registros[VALOR],tabela_registros[MÊS],$AE$1,tabela_registros[DIA],agototal3059718395107119[[#Headers],[19]],tabela_registros[REGISTRO],DADOS!$N$5)</f>
        <v>0</v>
      </c>
      <c r="X25" s="114" t="n">
        <f aca="false">SUMIFS(tabela_registros[VALOR],tabela_registros[MÊS],$AE$1,tabela_registros[DIA],agototal3059718395107119[[#Headers],[20]],tabela_registros[REGISTRO],DADOS!$N$5)</f>
        <v>0</v>
      </c>
      <c r="Y25" s="114" t="n">
        <f aca="false">SUMIFS(tabela_registros[VALOR],tabela_registros[MÊS],$AE$1,tabela_registros[DIA],agototal3059718395107119[[#Headers],[21]],tabela_registros[REGISTRO],DADOS!$N$5)</f>
        <v>0</v>
      </c>
      <c r="Z25" s="114" t="n">
        <f aca="false">SUMIFS(tabela_registros[VALOR],tabela_registros[MÊS],$AE$1,tabela_registros[DIA],agototal3059718395107119[[#Headers],[22]],tabela_registros[REGISTRO],DADOS!$N$5)</f>
        <v>0</v>
      </c>
      <c r="AA25" s="114" t="n">
        <f aca="false">SUMIFS(tabela_registros[VALOR],tabela_registros[MÊS],$AE$1,tabela_registros[DIA],agototal3059718395107119[[#Headers],[23]],tabela_registros[REGISTRO],DADOS!$N$5)</f>
        <v>0</v>
      </c>
      <c r="AB25" s="114" t="n">
        <f aca="false">SUMIFS(tabela_registros[VALOR],tabela_registros[MÊS],$AE$1,tabela_registros[DIA],agototal3059718395107119[[#Headers],[24]],tabela_registros[REGISTRO],DADOS!$N$5)</f>
        <v>0</v>
      </c>
      <c r="AC25" s="114" t="n">
        <f aca="false">SUMIFS(tabela_registros[VALOR],tabela_registros[MÊS],$AE$1,tabela_registros[DIA],agototal3059718395107119[[#Headers],[25]],tabela_registros[REGISTRO],DADOS!$N$5)</f>
        <v>0</v>
      </c>
      <c r="AD25" s="114" t="n">
        <f aca="false">SUMIFS(tabela_registros[VALOR],tabela_registros[MÊS],$AE$1,tabela_registros[DIA],agototal3059718395107119[[#Headers],[26]],tabela_registros[REGISTRO],DADOS!$N$5)</f>
        <v>0</v>
      </c>
      <c r="AE25" s="114" t="n">
        <f aca="false">SUMIFS(tabela_registros[VALOR],tabela_registros[MÊS],$AE$1,tabela_registros[DIA],agototal3059718395107119[[#Headers],[27]],tabela_registros[REGISTRO],DADOS!$N$5)</f>
        <v>0</v>
      </c>
      <c r="AF25" s="114" t="n">
        <f aca="false">SUMIFS(tabela_registros[VALOR],tabela_registros[MÊS],$AE$1,tabela_registros[DIA],agototal3059718395107119[[#Headers],[28]],tabela_registros[REGISTRO],DADOS!$N$5)</f>
        <v>0</v>
      </c>
      <c r="AG25" s="114" t="n">
        <f aca="false">SUMIFS(tabela_registros[VALOR],tabela_registros[MÊS],$AE$1,tabela_registros[DIA],agototal3059718395107119[[#Headers],[29]],tabela_registros[REGISTRO],DADOS!$N$5)</f>
        <v>0</v>
      </c>
      <c r="AH25" s="114" t="n">
        <f aca="false">SUMIFS(tabela_registros[VALOR],tabela_registros[MÊS],$AE$1,tabela_registros[DIA],agototal3059718395107119[[#Headers],[30]],tabela_registros[REGISTRO],DADOS!$N$5)</f>
        <v>0</v>
      </c>
      <c r="AI25" s="115" t="n">
        <f aca="false">SUMIFS(tabela_registros[VALOR],tabela_registros[MÊS],$AE$1,tabela_registros[DIA],agototal3059718395107119[[#Headers],[31]],tabela_registros[REGISTRO],DADOS!$N$5)</f>
        <v>0</v>
      </c>
      <c r="AJ25" s="116" t="n">
        <f aca="false">SUM(E25:AI25)</f>
        <v>0</v>
      </c>
      <c r="AK25" s="107"/>
    </row>
    <row r="26" customFormat="false" ht="18" hidden="false" customHeight="true" outlineLevel="0" collapsed="false">
      <c r="B26" s="107"/>
      <c r="C26" s="135" t="s">
        <v>14</v>
      </c>
      <c r="D26" s="136"/>
      <c r="E26" s="119" t="n">
        <f aca="false">SUMIFS(tabela_registros[VALOR],tabela_registros[MÊS],$AE$1,tabela_registros[DIA],agototal3059718395107119[[#Headers],[1]],tabela_registros[REGISTRO],DADOS!$N$6)</f>
        <v>0</v>
      </c>
      <c r="F26" s="119" t="n">
        <f aca="false">SUMIFS(tabela_registros[VALOR],tabela_registros[MÊS],$AE$1,tabela_registros[DIA],agototal3059718395107119[[#Headers],[2]],tabela_registros[REGISTRO],DADOS!$N$6)</f>
        <v>0</v>
      </c>
      <c r="G26" s="119" t="n">
        <f aca="false">SUMIFS(tabela_registros[VALOR],tabela_registros[MÊS],$AE$1,tabela_registros[DIA],agototal3059718395107119[[#Headers],[3]],tabela_registros[REGISTRO],DADOS!$N$6)</f>
        <v>0</v>
      </c>
      <c r="H26" s="119" t="n">
        <f aca="false">SUMIFS(tabela_registros[VALOR],tabela_registros[MÊS],$AE$1,tabela_registros[DIA],agototal3059718395107119[[#Headers],[4]],tabela_registros[REGISTRO],DADOS!$N$6)</f>
        <v>0</v>
      </c>
      <c r="I26" s="119" t="n">
        <f aca="false">SUMIFS(tabela_registros[VALOR],tabela_registros[MÊS],$AE$1,tabela_registros[DIA],agototal3059718395107119[[#Headers],[5]],tabela_registros[REGISTRO],DADOS!$N$6)</f>
        <v>0</v>
      </c>
      <c r="J26" s="119" t="n">
        <f aca="false">SUMIFS(tabela_registros[VALOR],tabela_registros[MÊS],$AE$1,tabela_registros[DIA],agototal3059718395107119[[#Headers],[6]],tabela_registros[REGISTRO],DADOS!$N$6)</f>
        <v>0</v>
      </c>
      <c r="K26" s="119" t="n">
        <f aca="false">SUMIFS(tabela_registros[VALOR],tabela_registros[MÊS],$AE$1,tabela_registros[DIA],agototal3059718395107119[[#Headers],[7]],tabela_registros[REGISTRO],DADOS!$N$6)</f>
        <v>0</v>
      </c>
      <c r="L26" s="119" t="n">
        <f aca="false">SUMIFS(tabela_registros[VALOR],tabela_registros[MÊS],$AE$1,tabela_registros[DIA],agototal3059718395107119[[#Headers],[8]],tabela_registros[REGISTRO],DADOS!$N$6)</f>
        <v>0</v>
      </c>
      <c r="M26" s="119" t="n">
        <f aca="false">SUMIFS(tabela_registros[VALOR],tabela_registros[MÊS],$AE$1,tabela_registros[DIA],agototal3059718395107119[[#Headers],[9]],tabela_registros[REGISTRO],DADOS!$N$6)</f>
        <v>0</v>
      </c>
      <c r="N26" s="119" t="n">
        <f aca="false">SUMIFS(tabela_registros[VALOR],tabela_registros[MÊS],$AE$1,tabela_registros[DIA],agototal3059718395107119[[#Headers],[10]],tabela_registros[REGISTRO],DADOS!$N$6)</f>
        <v>0</v>
      </c>
      <c r="O26" s="119" t="n">
        <f aca="false">SUMIFS(tabela_registros[VALOR],tabela_registros[MÊS],$AE$1,tabela_registros[DIA],agototal3059718395107119[[#Headers],[11]],tabela_registros[REGISTRO],DADOS!$N$6)</f>
        <v>0</v>
      </c>
      <c r="P26" s="119" t="n">
        <f aca="false">SUMIFS(tabela_registros[VALOR],tabela_registros[MÊS],$AE$1,tabela_registros[DIA],agototal3059718395107119[[#Headers],[12]],tabela_registros[REGISTRO],DADOS!$N$6)</f>
        <v>0</v>
      </c>
      <c r="Q26" s="119" t="n">
        <f aca="false">SUMIFS(tabela_registros[VALOR],tabela_registros[MÊS],$AE$1,tabela_registros[DIA],agototal3059718395107119[[#Headers],[13]],tabela_registros[REGISTRO],DADOS!$N$6)</f>
        <v>0</v>
      </c>
      <c r="R26" s="119" t="n">
        <f aca="false">SUMIFS(tabela_registros[VALOR],tabela_registros[MÊS],$AE$1,tabela_registros[DIA],agototal3059718395107119[[#Headers],[14]],tabela_registros[REGISTRO],DADOS!$N$6)</f>
        <v>0</v>
      </c>
      <c r="S26" s="119" t="n">
        <f aca="false">SUMIFS(tabela_registros[VALOR],tabela_registros[MÊS],$AE$1,tabela_registros[DIA],agototal3059718395107119[[#Headers],[15]],tabela_registros[REGISTRO],DADOS!$N$6)</f>
        <v>0</v>
      </c>
      <c r="T26" s="119" t="n">
        <f aca="false">SUMIFS(tabela_registros[VALOR],tabela_registros[MÊS],$AE$1,tabela_registros[DIA],agototal3059718395107119[[#Headers],[16]],tabela_registros[REGISTRO],DADOS!$N$6)</f>
        <v>0</v>
      </c>
      <c r="U26" s="119" t="n">
        <f aca="false">SUMIFS(tabela_registros[VALOR],tabela_registros[MÊS],$AE$1,tabela_registros[DIA],agototal3059718395107119[[#Headers],[17]],tabela_registros[REGISTRO],DADOS!$N$6)</f>
        <v>0</v>
      </c>
      <c r="V26" s="119" t="n">
        <f aca="false">SUMIFS(tabela_registros[VALOR],tabela_registros[MÊS],$AE$1,tabela_registros[DIA],agototal3059718395107119[[#Headers],[18]],tabela_registros[REGISTRO],DADOS!$N$6)</f>
        <v>0</v>
      </c>
      <c r="W26" s="119" t="n">
        <f aca="false">SUMIFS(tabela_registros[VALOR],tabela_registros[MÊS],$AE$1,tabela_registros[DIA],agototal3059718395107119[[#Headers],[19]],tabela_registros[REGISTRO],DADOS!$N$6)</f>
        <v>0</v>
      </c>
      <c r="X26" s="119" t="n">
        <f aca="false">SUMIFS(tabela_registros[VALOR],tabela_registros[MÊS],$AE$1,tabela_registros[DIA],agototal3059718395107119[[#Headers],[20]],tabela_registros[REGISTRO],DADOS!$N$6)</f>
        <v>0</v>
      </c>
      <c r="Y26" s="119" t="n">
        <f aca="false">SUMIFS(tabela_registros[VALOR],tabela_registros[MÊS],$AE$1,tabela_registros[DIA],agototal3059718395107119[[#Headers],[21]],tabela_registros[REGISTRO],DADOS!$N$6)</f>
        <v>0</v>
      </c>
      <c r="Z26" s="119" t="n">
        <f aca="false">SUMIFS(tabela_registros[VALOR],tabela_registros[MÊS],$AE$1,tabela_registros[DIA],agototal3059718395107119[[#Headers],[22]],tabela_registros[REGISTRO],DADOS!$N$6)</f>
        <v>0</v>
      </c>
      <c r="AA26" s="119" t="n">
        <f aca="false">SUMIFS(tabela_registros[VALOR],tabela_registros[MÊS],$AE$1,tabela_registros[DIA],agototal3059718395107119[[#Headers],[23]],tabela_registros[REGISTRO],DADOS!$N$6)</f>
        <v>0</v>
      </c>
      <c r="AB26" s="119" t="n">
        <f aca="false">SUMIFS(tabela_registros[VALOR],tabela_registros[MÊS],$AE$1,tabela_registros[DIA],agototal3059718395107119[[#Headers],[24]],tabela_registros[REGISTRO],DADOS!$N$6)</f>
        <v>0</v>
      </c>
      <c r="AC26" s="119" t="n">
        <f aca="false">SUMIFS(tabela_registros[VALOR],tabela_registros[MÊS],$AE$1,tabela_registros[DIA],agototal3059718395107119[[#Headers],[25]],tabela_registros[REGISTRO],DADOS!$N$6)</f>
        <v>0</v>
      </c>
      <c r="AD26" s="119" t="n">
        <f aca="false">SUMIFS(tabela_registros[VALOR],tabela_registros[MÊS],$AE$1,tabela_registros[DIA],agototal3059718395107119[[#Headers],[26]],tabela_registros[REGISTRO],DADOS!$N$6)</f>
        <v>0</v>
      </c>
      <c r="AE26" s="119" t="n">
        <f aca="false">SUMIFS(tabela_registros[VALOR],tabela_registros[MÊS],$AE$1,tabela_registros[DIA],agototal3059718395107119[[#Headers],[27]],tabela_registros[REGISTRO],DADOS!$N$6)</f>
        <v>0</v>
      </c>
      <c r="AF26" s="119" t="n">
        <f aca="false">SUMIFS(tabela_registros[VALOR],tabela_registros[MÊS],$AE$1,tabela_registros[DIA],agototal3059718395107119[[#Headers],[28]],tabela_registros[REGISTRO],DADOS!$N$6)</f>
        <v>0</v>
      </c>
      <c r="AG26" s="119" t="n">
        <f aca="false">SUMIFS(tabela_registros[VALOR],tabela_registros[MÊS],$AE$1,tabela_registros[DIA],agototal3059718395107119[[#Headers],[29]],tabela_registros[REGISTRO],DADOS!$N$6)</f>
        <v>0</v>
      </c>
      <c r="AH26" s="119" t="n">
        <f aca="false">SUMIFS(tabela_registros[VALOR],tabela_registros[MÊS],$AE$1,tabela_registros[DIA],agototal3059718395107119[[#Headers],[30]],tabela_registros[REGISTRO],DADOS!$N$6)</f>
        <v>0</v>
      </c>
      <c r="AI26" s="120" t="n">
        <f aca="false">SUMIFS(tabela_registros[VALOR],tabela_registros[MÊS],$AE$1,tabela_registros[DIA],agototal3059718395107119[[#Headers],[31]],tabela_registros[REGISTRO],DADOS!$N$6)</f>
        <v>0</v>
      </c>
      <c r="AJ26" s="121" t="n">
        <f aca="false">SUM(E26:AI26)</f>
        <v>0</v>
      </c>
      <c r="AK26" s="107"/>
    </row>
    <row r="27" s="122" customFormat="true" ht="21" hidden="false" customHeight="true" outlineLevel="0" collapsed="false">
      <c r="B27" s="123"/>
      <c r="C27" s="124" t="s">
        <v>2</v>
      </c>
      <c r="D27" s="137"/>
      <c r="E27" s="126" t="n">
        <f aca="false">SUM(E25:E26)</f>
        <v>0</v>
      </c>
      <c r="F27" s="127" t="n">
        <f aca="false">SUM(F25:F26)+agoinvestir2158708294106118[[#This Row],[1]]</f>
        <v>0</v>
      </c>
      <c r="G27" s="127" t="n">
        <f aca="false">SUM(G25:G26)+agoinvestir2158708294106118[[#This Row],[2]]</f>
        <v>0</v>
      </c>
      <c r="H27" s="127" t="n">
        <f aca="false">SUM(H25:H26)+agoinvestir2158708294106118[[#This Row],[3]]</f>
        <v>0</v>
      </c>
      <c r="I27" s="127" t="n">
        <f aca="false">SUM(I25:I26)+agoinvestir2158708294106118[[#This Row],[4]]</f>
        <v>0</v>
      </c>
      <c r="J27" s="127" t="n">
        <f aca="false">SUM(J25:J26)+agoinvestir2158708294106118[[#This Row],[5]]</f>
        <v>0</v>
      </c>
      <c r="K27" s="127" t="n">
        <f aca="false">SUM(K25:K26)+agoinvestir2158708294106118[[#This Row],[6]]</f>
        <v>0</v>
      </c>
      <c r="L27" s="127" t="n">
        <f aca="false">SUM(L25:L26)+agoinvestir2158708294106118[[#This Row],[7]]</f>
        <v>0</v>
      </c>
      <c r="M27" s="127" t="n">
        <f aca="false">SUM(M25:M26)+agoinvestir2158708294106118[[#This Row],[8]]</f>
        <v>0</v>
      </c>
      <c r="N27" s="127" t="n">
        <f aca="false">SUM(N25:N26)+agoinvestir2158708294106118[[#This Row],[9]]</f>
        <v>0</v>
      </c>
      <c r="O27" s="127" t="n">
        <f aca="false">SUM(O25:O26)+agoinvestir2158708294106118[[#This Row],[10]]</f>
        <v>0</v>
      </c>
      <c r="P27" s="127" t="n">
        <f aca="false">SUM(P25:P26)+agoinvestir2158708294106118[[#This Row],[11]]</f>
        <v>0</v>
      </c>
      <c r="Q27" s="127" t="n">
        <f aca="false">SUM(Q25:Q26)+agoinvestir2158708294106118[[#This Row],[12]]</f>
        <v>0</v>
      </c>
      <c r="R27" s="127" t="n">
        <f aca="false">SUM(R25:R26)+agoinvestir2158708294106118[[#This Row],[13]]</f>
        <v>0</v>
      </c>
      <c r="S27" s="127" t="n">
        <f aca="false">SUM(S25:S26)+agoinvestir2158708294106118[[#This Row],[14]]</f>
        <v>0</v>
      </c>
      <c r="T27" s="127" t="n">
        <f aca="false">SUM(T25:T26)+agoinvestir2158708294106118[[#This Row],[15]]</f>
        <v>0</v>
      </c>
      <c r="U27" s="127" t="n">
        <f aca="false">SUM(U25:U26)+agoinvestir2158708294106118[[#This Row],[16]]</f>
        <v>0</v>
      </c>
      <c r="V27" s="127" t="n">
        <f aca="false">SUM(V25:V26)+agoinvestir2158708294106118[[#This Row],[17]]</f>
        <v>0</v>
      </c>
      <c r="W27" s="127" t="n">
        <f aca="false">SUM(W25:W26)+agoinvestir2158708294106118[[#This Row],[18]]</f>
        <v>0</v>
      </c>
      <c r="X27" s="127" t="n">
        <f aca="false">SUM(X25:X26)+agoinvestir2158708294106118[[#This Row],[19]]</f>
        <v>0</v>
      </c>
      <c r="Y27" s="127" t="n">
        <f aca="false">SUM(Y25:Y26)+agoinvestir2158708294106118[[#This Row],[20]]</f>
        <v>0</v>
      </c>
      <c r="Z27" s="127" t="n">
        <f aca="false">SUM(Z25:Z26)+agoinvestir2158708294106118[[#This Row],[21]]</f>
        <v>0</v>
      </c>
      <c r="AA27" s="127" t="n">
        <f aca="false">SUM(AA25:AA26)+agoinvestir2158708294106118[[#This Row],[22]]</f>
        <v>0</v>
      </c>
      <c r="AB27" s="127" t="n">
        <f aca="false">SUM(AB25:AB26)+agoinvestir2158708294106118[[#This Row],[23]]</f>
        <v>0</v>
      </c>
      <c r="AC27" s="127" t="n">
        <f aca="false">SUM(AC25:AC26)+agoinvestir2158708294106118[[#This Row],[24]]</f>
        <v>0</v>
      </c>
      <c r="AD27" s="127" t="n">
        <f aca="false">SUM(AD25:AD26)+agoinvestir2158708294106118[[#This Row],[25]]</f>
        <v>0</v>
      </c>
      <c r="AE27" s="127" t="n">
        <f aca="false">SUM(AE25:AE26)+agoinvestir2158708294106118[[#This Row],[26]]</f>
        <v>0</v>
      </c>
      <c r="AF27" s="127" t="n">
        <f aca="false">SUM(AF25:AF26)+agoinvestir2158708294106118[[#This Row],[27]]</f>
        <v>0</v>
      </c>
      <c r="AG27" s="127" t="n">
        <f aca="false">SUM(AG25:AG26)+agoinvestir2158708294106118[[#This Row],[28]]</f>
        <v>0</v>
      </c>
      <c r="AH27" s="127" t="n">
        <f aca="false">SUM(AH25:AH26)+agoinvestir2158708294106118[[#This Row],[29]]</f>
        <v>0</v>
      </c>
      <c r="AI27" s="128" t="n">
        <f aca="false">SUM(AI25:AI26)+agoinvestir2158708294106118[[#This Row],[30]]</f>
        <v>0</v>
      </c>
      <c r="AJ27" s="129" t="n">
        <f aca="false">agoinvestir2158708294106118[[#This Row],[31]]</f>
        <v>0</v>
      </c>
      <c r="AK27" s="123"/>
    </row>
    <row r="28" customFormat="false" ht="6.75" hidden="true" customHeight="true" outlineLevel="0" collapsed="false">
      <c r="B28" s="107"/>
      <c r="C28" s="78" t="s">
        <v>73</v>
      </c>
      <c r="E28" s="138" t="n">
        <f aca="false">SUBTOTAL(109,agoinvestir2158708294106118[1])</f>
        <v>0</v>
      </c>
      <c r="F28" s="138" t="n">
        <f aca="false">SUBTOTAL(109,agoinvestir2158708294106118[2])</f>
        <v>0</v>
      </c>
      <c r="G28" s="138" t="n">
        <f aca="false">SUBTOTAL(109,agoinvestir2158708294106118[3])</f>
        <v>0</v>
      </c>
      <c r="H28" s="138" t="n">
        <f aca="false">SUBTOTAL(109,agoinvestir2158708294106118[4])</f>
        <v>0</v>
      </c>
      <c r="I28" s="138" t="n">
        <f aca="false">SUBTOTAL(109,agoinvestir2158708294106118[5])</f>
        <v>0</v>
      </c>
      <c r="J28" s="138" t="n">
        <f aca="false">SUBTOTAL(109,agoinvestir2158708294106118[6])</f>
        <v>0</v>
      </c>
      <c r="K28" s="138" t="n">
        <f aca="false">SUBTOTAL(109,agoinvestir2158708294106118[7])</f>
        <v>0</v>
      </c>
      <c r="L28" s="138" t="n">
        <f aca="false">SUBTOTAL(109,agoinvestir2158708294106118[8])</f>
        <v>0</v>
      </c>
      <c r="M28" s="138" t="n">
        <f aca="false">SUBTOTAL(109,agoinvestir2158708294106118[9])</f>
        <v>0</v>
      </c>
      <c r="N28" s="138" t="n">
        <f aca="false">SUBTOTAL(109,agoinvestir2158708294106118[10])</f>
        <v>0</v>
      </c>
      <c r="O28" s="138" t="n">
        <f aca="false">SUBTOTAL(109,agoinvestir2158708294106118[11])</f>
        <v>0</v>
      </c>
      <c r="P28" s="138" t="n">
        <f aca="false">SUBTOTAL(109,agoinvestir2158708294106118[12])</f>
        <v>0</v>
      </c>
      <c r="Q28" s="138" t="n">
        <f aca="false">SUBTOTAL(109,agoinvestir2158708294106118[13])</f>
        <v>0</v>
      </c>
      <c r="R28" s="138" t="n">
        <f aca="false">SUBTOTAL(109,agoinvestir2158708294106118[14])</f>
        <v>0</v>
      </c>
      <c r="S28" s="138" t="n">
        <f aca="false">SUBTOTAL(109,agoinvestir2158708294106118[15])</f>
        <v>0</v>
      </c>
      <c r="T28" s="138" t="n">
        <f aca="false">SUBTOTAL(109,agoinvestir2158708294106118[16])</f>
        <v>0</v>
      </c>
      <c r="U28" s="138" t="n">
        <f aca="false">SUBTOTAL(109,agoinvestir2158708294106118[17])</f>
        <v>0</v>
      </c>
      <c r="V28" s="138" t="n">
        <f aca="false">SUBTOTAL(109,agoinvestir2158708294106118[18])</f>
        <v>0</v>
      </c>
      <c r="W28" s="138" t="n">
        <f aca="false">SUBTOTAL(109,agoinvestir2158708294106118[19])</f>
        <v>0</v>
      </c>
      <c r="X28" s="138" t="n">
        <f aca="false">SUBTOTAL(109,agoinvestir2158708294106118[20])</f>
        <v>0</v>
      </c>
      <c r="Y28" s="138" t="n">
        <f aca="false">SUBTOTAL(109,agoinvestir2158708294106118[21])</f>
        <v>0</v>
      </c>
      <c r="Z28" s="138" t="n">
        <f aca="false">SUBTOTAL(109,agoinvestir2158708294106118[22])</f>
        <v>0</v>
      </c>
      <c r="AA28" s="138" t="n">
        <f aca="false">SUBTOTAL(109,agoinvestir2158708294106118[23])</f>
        <v>0</v>
      </c>
      <c r="AB28" s="138" t="n">
        <f aca="false">SUBTOTAL(109,agoinvestir2158708294106118[24])</f>
        <v>0</v>
      </c>
      <c r="AC28" s="138" t="n">
        <f aca="false">SUBTOTAL(109,agoinvestir2158708294106118[25])</f>
        <v>0</v>
      </c>
      <c r="AD28" s="138" t="n">
        <f aca="false">SUBTOTAL(109,agoinvestir2158708294106118[26])</f>
        <v>0</v>
      </c>
      <c r="AE28" s="138" t="n">
        <f aca="false">SUBTOTAL(109,agoinvestir2158708294106118[27])</f>
        <v>0</v>
      </c>
      <c r="AF28" s="138" t="n">
        <f aca="false">SUBTOTAL(109,agoinvestir2158708294106118[28])</f>
        <v>0</v>
      </c>
      <c r="AG28" s="138" t="n">
        <f aca="false">SUBTOTAL(109,agoinvestir2158708294106118[29])</f>
        <v>0</v>
      </c>
      <c r="AH28" s="138" t="n">
        <f aca="false">SUBTOTAL(109,agoinvestir2158708294106118[30])</f>
        <v>0</v>
      </c>
      <c r="AI28" s="138" t="n">
        <f aca="false">SUBTOTAL(109,agoinvestir2158708294106118[31])</f>
        <v>0</v>
      </c>
      <c r="AJ28" s="138" t="n">
        <f aca="false">SUBTOTAL(109,agoinvestir2158708294106118[TOTAL (R$)])</f>
        <v>0</v>
      </c>
      <c r="AK28" s="107"/>
    </row>
    <row r="29" customFormat="false" ht="6.75" hidden="false" customHeight="true" outlineLevel="0" collapsed="false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94"/>
      <c r="AJ29" s="107"/>
      <c r="AK29" s="107"/>
    </row>
    <row r="30" customFormat="false" ht="12.75" hidden="false" customHeight="false" outlineLevel="0" collapsed="false">
      <c r="C30" s="133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</row>
    <row r="31" customFormat="false" ht="12" hidden="false" customHeight="false" outlineLevel="0" collapsed="false">
      <c r="C31" s="133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</row>
    <row r="32" customFormat="false" ht="12" hidden="false" customHeight="false" outlineLevel="0" collapsed="false">
      <c r="C32" s="133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</row>
    <row r="33" customFormat="false" ht="39.75" hidden="false" customHeight="true" outlineLevel="0" collapsed="false">
      <c r="C33" s="133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3" t="s">
        <v>2</v>
      </c>
    </row>
    <row r="34" s="78" customFormat="true" ht="11.25" hidden="false" customHeight="true" outlineLevel="0" collapsed="false">
      <c r="C34" s="101"/>
      <c r="AJ34" s="106" t="s">
        <v>64</v>
      </c>
    </row>
    <row r="35" customFormat="false" ht="6.75" hidden="false" customHeight="true" outlineLevel="0" collapsed="false">
      <c r="B35" s="139"/>
      <c r="C35" s="140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212"/>
      <c r="AK35" s="139"/>
    </row>
    <row r="36" customFormat="false" ht="12.75" hidden="true" customHeight="false" outlineLevel="0" collapsed="false">
      <c r="B36" s="86"/>
      <c r="C36" s="109" t="s">
        <v>74</v>
      </c>
      <c r="D36" s="110" t="s">
        <v>69</v>
      </c>
      <c r="E36" s="110" t="s">
        <v>30</v>
      </c>
      <c r="F36" s="110" t="s">
        <v>31</v>
      </c>
      <c r="G36" s="110" t="s">
        <v>32</v>
      </c>
      <c r="H36" s="110" t="s">
        <v>33</v>
      </c>
      <c r="I36" s="110" t="s">
        <v>34</v>
      </c>
      <c r="J36" s="110" t="s">
        <v>35</v>
      </c>
      <c r="K36" s="110" t="s">
        <v>36</v>
      </c>
      <c r="L36" s="110" t="s">
        <v>37</v>
      </c>
      <c r="M36" s="110" t="s">
        <v>38</v>
      </c>
      <c r="N36" s="110" t="s">
        <v>39</v>
      </c>
      <c r="O36" s="110" t="s">
        <v>40</v>
      </c>
      <c r="P36" s="110" t="s">
        <v>41</v>
      </c>
      <c r="Q36" s="110" t="s">
        <v>81</v>
      </c>
      <c r="R36" s="110" t="s">
        <v>82</v>
      </c>
      <c r="S36" s="110" t="s">
        <v>83</v>
      </c>
      <c r="T36" s="110" t="s">
        <v>84</v>
      </c>
      <c r="U36" s="110" t="s">
        <v>85</v>
      </c>
      <c r="V36" s="110" t="s">
        <v>86</v>
      </c>
      <c r="W36" s="110" t="s">
        <v>87</v>
      </c>
      <c r="X36" s="110" t="s">
        <v>88</v>
      </c>
      <c r="Y36" s="110" t="s">
        <v>89</v>
      </c>
      <c r="Z36" s="110" t="s">
        <v>90</v>
      </c>
      <c r="AA36" s="110" t="s">
        <v>91</v>
      </c>
      <c r="AB36" s="110" t="s">
        <v>92</v>
      </c>
      <c r="AC36" s="110" t="s">
        <v>93</v>
      </c>
      <c r="AD36" s="110" t="s">
        <v>94</v>
      </c>
      <c r="AE36" s="110" t="s">
        <v>95</v>
      </c>
      <c r="AF36" s="110" t="s">
        <v>96</v>
      </c>
      <c r="AG36" s="110" t="s">
        <v>97</v>
      </c>
      <c r="AH36" s="110" t="s">
        <v>98</v>
      </c>
      <c r="AI36" s="110" t="s">
        <v>99</v>
      </c>
      <c r="AJ36" s="142" t="s">
        <v>2</v>
      </c>
      <c r="AK36" s="86" t="s">
        <v>75</v>
      </c>
    </row>
    <row r="37" customFormat="false" ht="19.5" hidden="false" customHeight="true" outlineLevel="0" collapsed="false">
      <c r="B37" s="143"/>
      <c r="C37" s="144" t="str">
        <f aca="false">DADOS!$R$3</f>
        <v>💧 ÁGUA</v>
      </c>
      <c r="D37" s="145" t="str">
        <f aca="false">IF(despesafixaconsolidadoago[[#This Row],[TOTAL]]=0,"",IF(OR(despesafixaconsolidadoago[[#This Row],[TOTAL]]=LARGE($AJ$37:$AJ$50,1),despesafixaconsolidadoago[[#This Row],[TOTAL]]=LARGE($AJ$37:$AJ$50,2),despesafixaconsolidadoago[[#This Row],[TOTAL]]=LARGE($AJ$37:$AJ$50,3),despesafixaconsolidadoago[[#This Row],[TOTAL]]=LARGE($AJ$37:$AJ$50,4),despesafixaconsolidadoago[[#This Row],[TOTAL]]=LARGE($AJ$37:$AJ$50,5)),DADOS!$I$8,""))</f>
        <v/>
      </c>
      <c r="E37" s="146" t="n">
        <f aca="false">SUMIFS(tabela_registros[VALOR],tabela_registros[MÊS],$AE$1,tabela_registros[DIA],agototal3059718395107119[[#Headers],[1]],tabela_registros[REGISTRO],DADOS!$N$4,tabela_registros[TIPO],DADOS!$P$3,tabela_registros[CATEGORIA],despesafixaconsolidadoago[[#This Row],[DESPESA FIXA]])</f>
        <v>0</v>
      </c>
      <c r="F37" s="114" t="n">
        <f aca="false">SUMIFS(tabela_registros[VALOR],tabela_registros[MÊS],$AE$1,tabela_registros[DIA],agototal3059718395107119[[#Headers],[2]],tabela_registros[REGISTRO],DADOS!$N$4,tabela_registros[TIPO],DADOS!$P$3,tabela_registros[CATEGORIA],despesafixaconsolidadoago[[#This Row],[DESPESA FIXA]])</f>
        <v>0</v>
      </c>
      <c r="G37" s="114" t="n">
        <f aca="false">SUMIFS(tabela_registros[VALOR],tabela_registros[MÊS],$AE$1,tabela_registros[DIA],agototal3059718395107119[[#Headers],[3]],tabela_registros[REGISTRO],DADOS!$N$4,tabela_registros[TIPO],DADOS!$P$3,tabela_registros[CATEGORIA],despesafixaconsolidadoago[[#This Row],[DESPESA FIXA]])</f>
        <v>0</v>
      </c>
      <c r="H37" s="114" t="n">
        <f aca="false">SUMIFS(tabela_registros[VALOR],tabela_registros[MÊS],$AE$1,tabela_registros[DIA],agototal3059718395107119[[#Headers],[4]],tabela_registros[REGISTRO],DADOS!$N$4,tabela_registros[TIPO],DADOS!$P$3,tabela_registros[CATEGORIA],despesafixaconsolidadoago[[#This Row],[DESPESA FIXA]])</f>
        <v>0</v>
      </c>
      <c r="I37" s="114" t="n">
        <f aca="false">SUMIFS(tabela_registros[VALOR],tabela_registros[MÊS],$AE$1,tabela_registros[DIA],agototal3059718395107119[[#Headers],[5]],tabela_registros[REGISTRO],DADOS!$N$4,tabela_registros[TIPO],DADOS!$P$3,tabela_registros[CATEGORIA],despesafixaconsolidadoago[[#This Row],[DESPESA FIXA]])</f>
        <v>0</v>
      </c>
      <c r="J37" s="114" t="n">
        <f aca="false">SUMIFS(tabela_registros[VALOR],tabela_registros[MÊS],$AE$1,tabela_registros[DIA],agototal3059718395107119[[#Headers],[6]],tabela_registros[REGISTRO],DADOS!$N$4,tabela_registros[TIPO],DADOS!$P$3,tabela_registros[CATEGORIA],despesafixaconsolidadoago[[#This Row],[DESPESA FIXA]])</f>
        <v>0</v>
      </c>
      <c r="K37" s="114" t="n">
        <f aca="false">SUMIFS(tabela_registros[VALOR],tabela_registros[MÊS],$AE$1,tabela_registros[DIA],agototal3059718395107119[[#Headers],[7]],tabela_registros[REGISTRO],DADOS!$N$4,tabela_registros[TIPO],DADOS!$P$3,tabela_registros[CATEGORIA],despesafixaconsolidadoago[[#This Row],[DESPESA FIXA]])</f>
        <v>0</v>
      </c>
      <c r="L37" s="114" t="n">
        <f aca="false">SUMIFS(tabela_registros[VALOR],tabela_registros[MÊS],$AE$1,tabela_registros[DIA],agototal3059718395107119[[#Headers],[8]],tabela_registros[REGISTRO],DADOS!$N$4,tabela_registros[TIPO],DADOS!$P$3,tabela_registros[CATEGORIA],despesafixaconsolidadoago[[#This Row],[DESPESA FIXA]])</f>
        <v>0</v>
      </c>
      <c r="M37" s="114" t="n">
        <f aca="false">SUMIFS(tabela_registros[VALOR],tabela_registros[MÊS],$AE$1,tabela_registros[DIA],agototal3059718395107119[[#Headers],[9]],tabela_registros[REGISTRO],DADOS!$N$4,tabela_registros[TIPO],DADOS!$P$3,tabela_registros[CATEGORIA],despesafixaconsolidadoago[[#This Row],[DESPESA FIXA]])</f>
        <v>0</v>
      </c>
      <c r="N37" s="114" t="n">
        <f aca="false">SUMIFS(tabela_registros[VALOR],tabela_registros[MÊS],$AE$1,tabela_registros[DIA],agototal3059718395107119[[#Headers],[10]],tabela_registros[REGISTRO],DADOS!$N$4,tabela_registros[TIPO],DADOS!$P$3,tabela_registros[CATEGORIA],despesafixaconsolidadoago[[#This Row],[DESPESA FIXA]])</f>
        <v>0</v>
      </c>
      <c r="O37" s="114" t="n">
        <f aca="false">SUMIFS(tabela_registros[VALOR],tabela_registros[MÊS],$AE$1,tabela_registros[DIA],agototal3059718395107119[[#Headers],[11]],tabela_registros[REGISTRO],DADOS!$N$4,tabela_registros[TIPO],DADOS!$P$3,tabela_registros[CATEGORIA],despesafixaconsolidadoago[[#This Row],[DESPESA FIXA]])</f>
        <v>0</v>
      </c>
      <c r="P37" s="114" t="n">
        <f aca="false">SUMIFS(tabela_registros[VALOR],tabela_registros[MÊS],$AE$1,tabela_registros[DIA],agototal3059718395107119[[#Headers],[12]],tabela_registros[REGISTRO],DADOS!$N$4,tabela_registros[TIPO],DADOS!$P$3,tabela_registros[CATEGORIA],despesafixaconsolidadoago[[#This Row],[DESPESA FIXA]])</f>
        <v>0</v>
      </c>
      <c r="Q37" s="114" t="n">
        <f aca="false">SUMIFS(tabela_registros[VALOR],tabela_registros[MÊS],$AE$1,tabela_registros[DIA],agototal3059718395107119[[#Headers],[13]],tabela_registros[REGISTRO],DADOS!$N$4,tabela_registros[TIPO],DADOS!$P$3,tabela_registros[CATEGORIA],despesafixaconsolidadoago[[#This Row],[DESPESA FIXA]])</f>
        <v>0</v>
      </c>
      <c r="R37" s="114" t="n">
        <f aca="false">SUMIFS(tabela_registros[VALOR],tabela_registros[MÊS],$AE$1,tabela_registros[DIA],agototal3059718395107119[[#Headers],[14]],tabela_registros[REGISTRO],DADOS!$N$4,tabela_registros[TIPO],DADOS!$P$3,tabela_registros[CATEGORIA],despesafixaconsolidadoago[[#This Row],[DESPESA FIXA]])</f>
        <v>0</v>
      </c>
      <c r="S37" s="114" t="n">
        <f aca="false">SUMIFS(tabela_registros[VALOR],tabela_registros[MÊS],$AE$1,tabela_registros[DIA],agototal3059718395107119[[#Headers],[15]],tabela_registros[REGISTRO],DADOS!$N$4,tabela_registros[TIPO],DADOS!$P$3,tabela_registros[CATEGORIA],despesafixaconsolidadoago[[#This Row],[DESPESA FIXA]])</f>
        <v>0</v>
      </c>
      <c r="T37" s="114" t="n">
        <f aca="false">SUMIFS(tabela_registros[VALOR],tabela_registros[MÊS],$AE$1,tabela_registros[DIA],agototal3059718395107119[[#Headers],[16]],tabela_registros[REGISTRO],DADOS!$N$4,tabela_registros[TIPO],DADOS!$P$3,tabela_registros[CATEGORIA],despesafixaconsolidadoago[[#This Row],[DESPESA FIXA]])</f>
        <v>0</v>
      </c>
      <c r="U37" s="114" t="n">
        <f aca="false">SUMIFS(tabela_registros[VALOR],tabela_registros[MÊS],$AE$1,tabela_registros[DIA],agototal3059718395107119[[#Headers],[17]],tabela_registros[REGISTRO],DADOS!$N$4,tabela_registros[TIPO],DADOS!$P$3,tabela_registros[CATEGORIA],despesafixaconsolidadoago[[#This Row],[DESPESA FIXA]])</f>
        <v>0</v>
      </c>
      <c r="V37" s="114" t="n">
        <f aca="false">SUMIFS(tabela_registros[VALOR],tabela_registros[MÊS],$AE$1,tabela_registros[DIA],agototal3059718395107119[[#Headers],[18]],tabela_registros[REGISTRO],DADOS!$N$4,tabela_registros[TIPO],DADOS!$P$3,tabela_registros[CATEGORIA],despesafixaconsolidadoago[[#This Row],[DESPESA FIXA]])</f>
        <v>0</v>
      </c>
      <c r="W37" s="114" t="n">
        <f aca="false">SUMIFS(tabela_registros[VALOR],tabela_registros[MÊS],$AE$1,tabela_registros[DIA],agototal3059718395107119[[#Headers],[19]],tabela_registros[REGISTRO],DADOS!$N$4,tabela_registros[TIPO],DADOS!$P$3,tabela_registros[CATEGORIA],despesafixaconsolidadoago[[#This Row],[DESPESA FIXA]])</f>
        <v>0</v>
      </c>
      <c r="X37" s="114" t="n">
        <f aca="false">SUMIFS(tabela_registros[VALOR],tabela_registros[MÊS],$AE$1,tabela_registros[DIA],agototal3059718395107119[[#Headers],[20]],tabela_registros[REGISTRO],DADOS!$N$4,tabela_registros[TIPO],DADOS!$P$3,tabela_registros[CATEGORIA],despesafixaconsolidadoago[[#This Row],[DESPESA FIXA]])</f>
        <v>0</v>
      </c>
      <c r="Y37" s="114" t="n">
        <f aca="false">SUMIFS(tabela_registros[VALOR],tabela_registros[MÊS],$AE$1,tabela_registros[DIA],agototal3059718395107119[[#Headers],[21]],tabela_registros[REGISTRO],DADOS!$N$4,tabela_registros[TIPO],DADOS!$P$3,tabela_registros[CATEGORIA],despesafixaconsolidadoago[[#This Row],[DESPESA FIXA]])</f>
        <v>0</v>
      </c>
      <c r="Z37" s="114" t="n">
        <f aca="false">SUMIFS(tabela_registros[VALOR],tabela_registros[MÊS],$AE$1,tabela_registros[DIA],agototal3059718395107119[[#Headers],[22]],tabela_registros[REGISTRO],DADOS!$N$4,tabela_registros[TIPO],DADOS!$P$3,tabela_registros[CATEGORIA],despesafixaconsolidadoago[[#This Row],[DESPESA FIXA]])</f>
        <v>0</v>
      </c>
      <c r="AA37" s="114" t="n">
        <f aca="false">SUMIFS(tabela_registros[VALOR],tabela_registros[MÊS],$AE$1,tabela_registros[DIA],agototal3059718395107119[[#Headers],[23]],tabela_registros[REGISTRO],DADOS!$N$4,tabela_registros[TIPO],DADOS!$P$3,tabela_registros[CATEGORIA],despesafixaconsolidadoago[[#This Row],[DESPESA FIXA]])</f>
        <v>0</v>
      </c>
      <c r="AB37" s="114" t="n">
        <f aca="false">SUMIFS(tabela_registros[VALOR],tabela_registros[MÊS],$AE$1,tabela_registros[DIA],agototal3059718395107119[[#Headers],[24]],tabela_registros[REGISTRO],DADOS!$N$4,tabela_registros[TIPO],DADOS!$P$3,tabela_registros[CATEGORIA],despesafixaconsolidadoago[[#This Row],[DESPESA FIXA]])</f>
        <v>0</v>
      </c>
      <c r="AC37" s="114" t="n">
        <f aca="false">SUMIFS(tabela_registros[VALOR],tabela_registros[MÊS],$AE$1,tabela_registros[DIA],agototal3059718395107119[[#Headers],[25]],tabela_registros[REGISTRO],DADOS!$N$4,tabela_registros[TIPO],DADOS!$P$3,tabela_registros[CATEGORIA],despesafixaconsolidadoago[[#This Row],[DESPESA FIXA]])</f>
        <v>0</v>
      </c>
      <c r="AD37" s="114" t="n">
        <f aca="false">SUMIFS(tabela_registros[VALOR],tabela_registros[MÊS],$AE$1,tabela_registros[DIA],agototal3059718395107119[[#Headers],[26]],tabela_registros[REGISTRO],DADOS!$N$4,tabela_registros[TIPO],DADOS!$P$3,tabela_registros[CATEGORIA],despesafixaconsolidadoago[[#This Row],[DESPESA FIXA]])</f>
        <v>0</v>
      </c>
      <c r="AE37" s="114" t="n">
        <f aca="false">SUMIFS(tabela_registros[VALOR],tabela_registros[MÊS],$AE$1,tabela_registros[DIA],agototal3059718395107119[[#Headers],[27]],tabela_registros[REGISTRO],DADOS!$N$4,tabela_registros[TIPO],DADOS!$P$3,tabela_registros[CATEGORIA],despesafixaconsolidadoago[[#This Row],[DESPESA FIXA]])</f>
        <v>0</v>
      </c>
      <c r="AF37" s="114" t="n">
        <f aca="false">SUMIFS(tabela_registros[VALOR],tabela_registros[MÊS],$AE$1,tabela_registros[DIA],agototal3059718395107119[[#Headers],[28]],tabela_registros[REGISTRO],DADOS!$N$4,tabela_registros[TIPO],DADOS!$P$3,tabela_registros[CATEGORIA],despesafixaconsolidadoago[[#This Row],[DESPESA FIXA]])</f>
        <v>0</v>
      </c>
      <c r="AG37" s="114" t="n">
        <f aca="false">SUMIFS(tabela_registros[VALOR],tabela_registros[MÊS],$AE$1,tabela_registros[DIA],agototal3059718395107119[[#Headers],[29]],tabela_registros[REGISTRO],DADOS!$N$4,tabela_registros[TIPO],DADOS!$P$3,tabela_registros[CATEGORIA],despesafixaconsolidadoago[[#This Row],[DESPESA FIXA]])</f>
        <v>0</v>
      </c>
      <c r="AH37" s="114" t="n">
        <f aca="false">SUMIFS(tabela_registros[VALOR],tabela_registros[MÊS],$AE$1,tabela_registros[DIA],agototal3059718395107119[[#Headers],[30]],tabela_registros[REGISTRO],DADOS!$N$4,tabela_registros[TIPO],DADOS!$P$3,tabela_registros[CATEGORIA],despesafixaconsolidadoago[[#This Row],[DESPESA FIXA]])</f>
        <v>0</v>
      </c>
      <c r="AI37" s="216" t="n">
        <f aca="false">SUMIFS(tabela_registros[VALOR],tabela_registros[MÊS],$AE$1,tabela_registros[DIA],agototal3059718395107119[[#Headers],[31]],tabela_registros[REGISTRO],DADOS!$N$4,tabela_registros[TIPO],DADOS!$P$3,tabela_registros[CATEGORIA],despesafixaconsolidadoago[[#This Row],[DESPESA FIXA]])</f>
        <v>0</v>
      </c>
      <c r="AJ37" s="147" t="n">
        <f aca="false">SUM(despesafixaconsolidadoago[[#This Row],[1]:[31]])</f>
        <v>0</v>
      </c>
      <c r="AK37" s="143"/>
    </row>
    <row r="38" customFormat="false" ht="18" hidden="false" customHeight="true" outlineLevel="0" collapsed="false">
      <c r="B38" s="143"/>
      <c r="C38" s="144" t="str">
        <f aca="false">DADOS!$R$4</f>
        <v>🐶 ANIMAIS DE ESTIMAÇÃO</v>
      </c>
      <c r="D38" s="145" t="str">
        <f aca="false">IF(despesafixaconsolidadoago[[#This Row],[TOTAL]]=0,"",IF(OR(despesafixaconsolidadoago[[#This Row],[TOTAL]]=LARGE($AJ$37:$AJ$50,1),despesafixaconsolidadoago[[#This Row],[TOTAL]]=LARGE($AJ$37:$AJ$50,2),despesafixaconsolidadoago[[#This Row],[TOTAL]]=LARGE($AJ$37:$AJ$50,3),despesafixaconsolidadoago[[#This Row],[TOTAL]]=LARGE($AJ$37:$AJ$50,4),despesafixaconsolidadoago[[#This Row],[TOTAL]]=LARGE($AJ$37:$AJ$50,5)),DADOS!$I$8,""))</f>
        <v/>
      </c>
      <c r="E38" s="148" t="n">
        <f aca="false">SUMIFS(tabela_registros[VALOR],tabela_registros[MÊS],$AE$1,tabela_registros[DIA],agototal3059718395107119[[#Headers],[1]],tabela_registros[REGISTRO],DADOS!$N$4,tabela_registros[TIPO],DADOS!$P$3,tabela_registros[CATEGORIA],despesafixaconsolidadoago[[#This Row],[DESPESA FIXA]])</f>
        <v>0</v>
      </c>
      <c r="F38" s="119" t="n">
        <f aca="false">SUMIFS(tabela_registros[VALOR],tabela_registros[MÊS],$AE$1,tabela_registros[DIA],agototal3059718395107119[[#Headers],[2]],tabela_registros[REGISTRO],DADOS!$N$4,tabela_registros[TIPO],DADOS!$P$3,tabela_registros[CATEGORIA],despesafixaconsolidadoago[[#This Row],[DESPESA FIXA]])</f>
        <v>0</v>
      </c>
      <c r="G38" s="119" t="n">
        <f aca="false">SUMIFS(tabela_registros[VALOR],tabela_registros[MÊS],$AE$1,tabela_registros[DIA],agototal3059718395107119[[#Headers],[3]],tabela_registros[REGISTRO],DADOS!$N$4,tabela_registros[TIPO],DADOS!$P$3,tabela_registros[CATEGORIA],despesafixaconsolidadoago[[#This Row],[DESPESA FIXA]])</f>
        <v>0</v>
      </c>
      <c r="H38" s="119" t="n">
        <f aca="false">SUMIFS(tabela_registros[VALOR],tabela_registros[MÊS],$AE$1,tabela_registros[DIA],agototal3059718395107119[[#Headers],[4]],tabela_registros[REGISTRO],DADOS!$N$4,tabela_registros[TIPO],DADOS!$P$3,tabela_registros[CATEGORIA],despesafixaconsolidadoago[[#This Row],[DESPESA FIXA]])</f>
        <v>0</v>
      </c>
      <c r="I38" s="119" t="n">
        <f aca="false">SUMIFS(tabela_registros[VALOR],tabela_registros[MÊS],$AE$1,tabela_registros[DIA],agototal3059718395107119[[#Headers],[5]],tabela_registros[REGISTRO],DADOS!$N$4,tabela_registros[TIPO],DADOS!$P$3,tabela_registros[CATEGORIA],despesafixaconsolidadoago[[#This Row],[DESPESA FIXA]])</f>
        <v>0</v>
      </c>
      <c r="J38" s="119" t="n">
        <f aca="false">SUMIFS(tabela_registros[VALOR],tabela_registros[MÊS],$AE$1,tabela_registros[DIA],agototal3059718395107119[[#Headers],[6]],tabela_registros[REGISTRO],DADOS!$N$4,tabela_registros[TIPO],DADOS!$P$3,tabela_registros[CATEGORIA],despesafixaconsolidadoago[[#This Row],[DESPESA FIXA]])</f>
        <v>0</v>
      </c>
      <c r="K38" s="119" t="n">
        <f aca="false">SUMIFS(tabela_registros[VALOR],tabela_registros[MÊS],$AE$1,tabela_registros[DIA],agototal3059718395107119[[#Headers],[7]],tabela_registros[REGISTRO],DADOS!$N$4,tabela_registros[TIPO],DADOS!$P$3,tabela_registros[CATEGORIA],despesafixaconsolidadoago[[#This Row],[DESPESA FIXA]])</f>
        <v>0</v>
      </c>
      <c r="L38" s="119" t="n">
        <f aca="false">SUMIFS(tabela_registros[VALOR],tabela_registros[MÊS],$AE$1,tabela_registros[DIA],agototal3059718395107119[[#Headers],[8]],tabela_registros[REGISTRO],DADOS!$N$4,tabela_registros[TIPO],DADOS!$P$3,tabela_registros[CATEGORIA],despesafixaconsolidadoago[[#This Row],[DESPESA FIXA]])</f>
        <v>0</v>
      </c>
      <c r="M38" s="119" t="n">
        <f aca="false">SUMIFS(tabela_registros[VALOR],tabela_registros[MÊS],$AE$1,tabela_registros[DIA],agototal3059718395107119[[#Headers],[9]],tabela_registros[REGISTRO],DADOS!$N$4,tabela_registros[TIPO],DADOS!$P$3,tabela_registros[CATEGORIA],despesafixaconsolidadoago[[#This Row],[DESPESA FIXA]])</f>
        <v>0</v>
      </c>
      <c r="N38" s="119" t="n">
        <f aca="false">SUMIFS(tabela_registros[VALOR],tabela_registros[MÊS],$AE$1,tabela_registros[DIA],agototal3059718395107119[[#Headers],[10]],tabela_registros[REGISTRO],DADOS!$N$4,tabela_registros[TIPO],DADOS!$P$3,tabela_registros[CATEGORIA],despesafixaconsolidadoago[[#This Row],[DESPESA FIXA]])</f>
        <v>0</v>
      </c>
      <c r="O38" s="119" t="n">
        <f aca="false">SUMIFS(tabela_registros[VALOR],tabela_registros[MÊS],$AE$1,tabela_registros[DIA],agototal3059718395107119[[#Headers],[11]],tabela_registros[REGISTRO],DADOS!$N$4,tabela_registros[TIPO],DADOS!$P$3,tabela_registros[CATEGORIA],despesafixaconsolidadoago[[#This Row],[DESPESA FIXA]])</f>
        <v>0</v>
      </c>
      <c r="P38" s="119" t="n">
        <f aca="false">SUMIFS(tabela_registros[VALOR],tabela_registros[MÊS],$AE$1,tabela_registros[DIA],agototal3059718395107119[[#Headers],[12]],tabela_registros[REGISTRO],DADOS!$N$4,tabela_registros[TIPO],DADOS!$P$3,tabela_registros[CATEGORIA],despesafixaconsolidadoago[[#This Row],[DESPESA FIXA]])</f>
        <v>0</v>
      </c>
      <c r="Q38" s="119" t="n">
        <f aca="false">SUMIFS(tabela_registros[VALOR],tabela_registros[MÊS],$AE$1,tabela_registros[DIA],agototal3059718395107119[[#Headers],[13]],tabela_registros[REGISTRO],DADOS!$N$4,tabela_registros[TIPO],DADOS!$P$3,tabela_registros[CATEGORIA],despesafixaconsolidadoago[[#This Row],[DESPESA FIXA]])</f>
        <v>0</v>
      </c>
      <c r="R38" s="119" t="n">
        <f aca="false">SUMIFS(tabela_registros[VALOR],tabela_registros[MÊS],$AE$1,tabela_registros[DIA],agototal3059718395107119[[#Headers],[14]],tabela_registros[REGISTRO],DADOS!$N$4,tabela_registros[TIPO],DADOS!$P$3,tabela_registros[CATEGORIA],despesafixaconsolidadoago[[#This Row],[DESPESA FIXA]])</f>
        <v>0</v>
      </c>
      <c r="S38" s="119" t="n">
        <f aca="false">SUMIFS(tabela_registros[VALOR],tabela_registros[MÊS],$AE$1,tabela_registros[DIA],agototal3059718395107119[[#Headers],[15]],tabela_registros[REGISTRO],DADOS!$N$4,tabela_registros[TIPO],DADOS!$P$3,tabela_registros[CATEGORIA],despesafixaconsolidadoago[[#This Row],[DESPESA FIXA]])</f>
        <v>0</v>
      </c>
      <c r="T38" s="119" t="n">
        <f aca="false">SUMIFS(tabela_registros[VALOR],tabela_registros[MÊS],$AE$1,tabela_registros[DIA],agototal3059718395107119[[#Headers],[16]],tabela_registros[REGISTRO],DADOS!$N$4,tabela_registros[TIPO],DADOS!$P$3,tabela_registros[CATEGORIA],despesafixaconsolidadoago[[#This Row],[DESPESA FIXA]])</f>
        <v>0</v>
      </c>
      <c r="U38" s="119" t="n">
        <f aca="false">SUMIFS(tabela_registros[VALOR],tabela_registros[MÊS],$AE$1,tabela_registros[DIA],agototal3059718395107119[[#Headers],[17]],tabela_registros[REGISTRO],DADOS!$N$4,tabela_registros[TIPO],DADOS!$P$3,tabela_registros[CATEGORIA],despesafixaconsolidadoago[[#This Row],[DESPESA FIXA]])</f>
        <v>0</v>
      </c>
      <c r="V38" s="119" t="n">
        <f aca="false">SUMIFS(tabela_registros[VALOR],tabela_registros[MÊS],$AE$1,tabela_registros[DIA],agototal3059718395107119[[#Headers],[18]],tabela_registros[REGISTRO],DADOS!$N$4,tabela_registros[TIPO],DADOS!$P$3,tabela_registros[CATEGORIA],despesafixaconsolidadoago[[#This Row],[DESPESA FIXA]])</f>
        <v>0</v>
      </c>
      <c r="W38" s="119" t="n">
        <f aca="false">SUMIFS(tabela_registros[VALOR],tabela_registros[MÊS],$AE$1,tabela_registros[DIA],agototal3059718395107119[[#Headers],[19]],tabela_registros[REGISTRO],DADOS!$N$4,tabela_registros[TIPO],DADOS!$P$3,tabela_registros[CATEGORIA],despesafixaconsolidadoago[[#This Row],[DESPESA FIXA]])</f>
        <v>0</v>
      </c>
      <c r="X38" s="119" t="n">
        <f aca="false">SUMIFS(tabela_registros[VALOR],tabela_registros[MÊS],$AE$1,tabela_registros[DIA],agototal3059718395107119[[#Headers],[20]],tabela_registros[REGISTRO],DADOS!$N$4,tabela_registros[TIPO],DADOS!$P$3,tabela_registros[CATEGORIA],despesafixaconsolidadoago[[#This Row],[DESPESA FIXA]])</f>
        <v>0</v>
      </c>
      <c r="Y38" s="119" t="n">
        <f aca="false">SUMIFS(tabela_registros[VALOR],tabela_registros[MÊS],$AE$1,tabela_registros[DIA],agototal3059718395107119[[#Headers],[21]],tabela_registros[REGISTRO],DADOS!$N$4,tabela_registros[TIPO],DADOS!$P$3,tabela_registros[CATEGORIA],despesafixaconsolidadoago[[#This Row],[DESPESA FIXA]])</f>
        <v>0</v>
      </c>
      <c r="Z38" s="119" t="n">
        <f aca="false">SUMIFS(tabela_registros[VALOR],tabela_registros[MÊS],$AE$1,tabela_registros[DIA],agototal3059718395107119[[#Headers],[22]],tabela_registros[REGISTRO],DADOS!$N$4,tabela_registros[TIPO],DADOS!$P$3,tabela_registros[CATEGORIA],despesafixaconsolidadoago[[#This Row],[DESPESA FIXA]])</f>
        <v>0</v>
      </c>
      <c r="AA38" s="119" t="n">
        <f aca="false">SUMIFS(tabela_registros[VALOR],tabela_registros[MÊS],$AE$1,tabela_registros[DIA],agototal3059718395107119[[#Headers],[23]],tabela_registros[REGISTRO],DADOS!$N$4,tabela_registros[TIPO],DADOS!$P$3,tabela_registros[CATEGORIA],despesafixaconsolidadoago[[#This Row],[DESPESA FIXA]])</f>
        <v>0</v>
      </c>
      <c r="AB38" s="119" t="n">
        <f aca="false">SUMIFS(tabela_registros[VALOR],tabela_registros[MÊS],$AE$1,tabela_registros[DIA],agototal3059718395107119[[#Headers],[24]],tabela_registros[REGISTRO],DADOS!$N$4,tabela_registros[TIPO],DADOS!$P$3,tabela_registros[CATEGORIA],despesafixaconsolidadoago[[#This Row],[DESPESA FIXA]])</f>
        <v>0</v>
      </c>
      <c r="AC38" s="119" t="n">
        <f aca="false">SUMIFS(tabela_registros[VALOR],tabela_registros[MÊS],$AE$1,tabela_registros[DIA],agototal3059718395107119[[#Headers],[25]],tabela_registros[REGISTRO],DADOS!$N$4,tabela_registros[TIPO],DADOS!$P$3,tabela_registros[CATEGORIA],despesafixaconsolidadoago[[#This Row],[DESPESA FIXA]])</f>
        <v>0</v>
      </c>
      <c r="AD38" s="119" t="n">
        <f aca="false">SUMIFS(tabela_registros[VALOR],tabela_registros[MÊS],$AE$1,tabela_registros[DIA],agototal3059718395107119[[#Headers],[26]],tabela_registros[REGISTRO],DADOS!$N$4,tabela_registros[TIPO],DADOS!$P$3,tabela_registros[CATEGORIA],despesafixaconsolidadoago[[#This Row],[DESPESA FIXA]])</f>
        <v>0</v>
      </c>
      <c r="AE38" s="119" t="n">
        <f aca="false">SUMIFS(tabela_registros[VALOR],tabela_registros[MÊS],$AE$1,tabela_registros[DIA],agototal3059718395107119[[#Headers],[27]],tabela_registros[REGISTRO],DADOS!$N$4,tabela_registros[TIPO],DADOS!$P$3,tabela_registros[CATEGORIA],despesafixaconsolidadoago[[#This Row],[DESPESA FIXA]])</f>
        <v>0</v>
      </c>
      <c r="AF38" s="119" t="n">
        <f aca="false">SUMIFS(tabela_registros[VALOR],tabela_registros[MÊS],$AE$1,tabela_registros[DIA],agototal3059718395107119[[#Headers],[28]],tabela_registros[REGISTRO],DADOS!$N$4,tabela_registros[TIPO],DADOS!$P$3,tabela_registros[CATEGORIA],despesafixaconsolidadoago[[#This Row],[DESPESA FIXA]])</f>
        <v>0</v>
      </c>
      <c r="AG38" s="119" t="n">
        <f aca="false">SUMIFS(tabela_registros[VALOR],tabela_registros[MÊS],$AE$1,tabela_registros[DIA],agototal3059718395107119[[#Headers],[29]],tabela_registros[REGISTRO],DADOS!$N$4,tabela_registros[TIPO],DADOS!$P$3,tabela_registros[CATEGORIA],despesafixaconsolidadoago[[#This Row],[DESPESA FIXA]])</f>
        <v>0</v>
      </c>
      <c r="AH38" s="119" t="n">
        <f aca="false">SUMIFS(tabela_registros[VALOR],tabela_registros[MÊS],$AE$1,tabela_registros[DIA],agototal3059718395107119[[#Headers],[30]],tabela_registros[REGISTRO],DADOS!$N$4,tabela_registros[TIPO],DADOS!$P$3,tabela_registros[CATEGORIA],despesafixaconsolidadoago[[#This Row],[DESPESA FIXA]])</f>
        <v>0</v>
      </c>
      <c r="AI38" s="217" t="n">
        <f aca="false">SUMIFS(tabela_registros[VALOR],tabela_registros[MÊS],$AE$1,tabela_registros[DIA],agototal3059718395107119[[#Headers],[31]],tabela_registros[REGISTRO],DADOS!$N$4,tabela_registros[TIPO],DADOS!$P$3,tabela_registros[CATEGORIA],despesafixaconsolidadoago[[#This Row],[DESPESA FIXA]])</f>
        <v>0</v>
      </c>
      <c r="AJ38" s="149" t="n">
        <f aca="false">SUM(despesafixaconsolidadoago[[#This Row],[1]:[31]])</f>
        <v>0</v>
      </c>
      <c r="AK38" s="143"/>
    </row>
    <row r="39" customFormat="false" ht="18" hidden="false" customHeight="true" outlineLevel="0" collapsed="false">
      <c r="B39" s="143"/>
      <c r="C39" s="144" t="str">
        <f aca="false">DADOS!$R$5</f>
        <v>🔖 ASSINATURAS E SERVIÇOS</v>
      </c>
      <c r="D39" s="145" t="str">
        <f aca="false">IF(despesafixaconsolidadoago[[#This Row],[TOTAL]]=0,"",IF(OR(despesafixaconsolidadoago[[#This Row],[TOTAL]]=LARGE($AJ$37:$AJ$50,1),despesafixaconsolidadoago[[#This Row],[TOTAL]]=LARGE($AJ$37:$AJ$50,2),despesafixaconsolidadoago[[#This Row],[TOTAL]]=LARGE($AJ$37:$AJ$50,3),despesafixaconsolidadoago[[#This Row],[TOTAL]]=LARGE($AJ$37:$AJ$50,4),despesafixaconsolidadoago[[#This Row],[TOTAL]]=LARGE($AJ$37:$AJ$50,5)),DADOS!$I$8,""))</f>
        <v/>
      </c>
      <c r="E39" s="148" t="n">
        <f aca="false">SUMIFS(tabela_registros[VALOR],tabela_registros[MÊS],$AE$1,tabela_registros[DIA],agototal3059718395107119[[#Headers],[1]],tabela_registros[REGISTRO],DADOS!$N$4,tabela_registros[TIPO],DADOS!$P$3,tabela_registros[CATEGORIA],despesafixaconsolidadoago[[#This Row],[DESPESA FIXA]])</f>
        <v>0</v>
      </c>
      <c r="F39" s="119" t="n">
        <f aca="false">SUMIFS(tabela_registros[VALOR],tabela_registros[MÊS],$AE$1,tabela_registros[DIA],agototal3059718395107119[[#Headers],[2]],tabela_registros[REGISTRO],DADOS!$N$4,tabela_registros[TIPO],DADOS!$P$3,tabela_registros[CATEGORIA],despesafixaconsolidadoago[[#This Row],[DESPESA FIXA]])</f>
        <v>0</v>
      </c>
      <c r="G39" s="119" t="n">
        <f aca="false">SUMIFS(tabela_registros[VALOR],tabela_registros[MÊS],$AE$1,tabela_registros[DIA],agototal3059718395107119[[#Headers],[3]],tabela_registros[REGISTRO],DADOS!$N$4,tabela_registros[TIPO],DADOS!$P$3,tabela_registros[CATEGORIA],despesafixaconsolidadoago[[#This Row],[DESPESA FIXA]])</f>
        <v>0</v>
      </c>
      <c r="H39" s="119" t="n">
        <f aca="false">SUMIFS(tabela_registros[VALOR],tabela_registros[MÊS],$AE$1,tabela_registros[DIA],agototal3059718395107119[[#Headers],[4]],tabela_registros[REGISTRO],DADOS!$N$4,tabela_registros[TIPO],DADOS!$P$3,tabela_registros[CATEGORIA],despesafixaconsolidadoago[[#This Row],[DESPESA FIXA]])</f>
        <v>0</v>
      </c>
      <c r="I39" s="119" t="n">
        <f aca="false">SUMIFS(tabela_registros[VALOR],tabela_registros[MÊS],$AE$1,tabela_registros[DIA],agototal3059718395107119[[#Headers],[5]],tabela_registros[REGISTRO],DADOS!$N$4,tabela_registros[TIPO],DADOS!$P$3,tabela_registros[CATEGORIA],despesafixaconsolidadoago[[#This Row],[DESPESA FIXA]])</f>
        <v>0</v>
      </c>
      <c r="J39" s="119" t="n">
        <f aca="false">SUMIFS(tabela_registros[VALOR],tabela_registros[MÊS],$AE$1,tabela_registros[DIA],agototal3059718395107119[[#Headers],[6]],tabela_registros[REGISTRO],DADOS!$N$4,tabela_registros[TIPO],DADOS!$P$3,tabela_registros[CATEGORIA],despesafixaconsolidadoago[[#This Row],[DESPESA FIXA]])</f>
        <v>0</v>
      </c>
      <c r="K39" s="119" t="n">
        <f aca="false">SUMIFS(tabela_registros[VALOR],tabela_registros[MÊS],$AE$1,tabela_registros[DIA],agototal3059718395107119[[#Headers],[7]],tabela_registros[REGISTRO],DADOS!$N$4,tabela_registros[TIPO],DADOS!$P$3,tabela_registros[CATEGORIA],despesafixaconsolidadoago[[#This Row],[DESPESA FIXA]])</f>
        <v>0</v>
      </c>
      <c r="L39" s="119" t="n">
        <f aca="false">SUMIFS(tabela_registros[VALOR],tabela_registros[MÊS],$AE$1,tabela_registros[DIA],agototal3059718395107119[[#Headers],[8]],tabela_registros[REGISTRO],DADOS!$N$4,tabela_registros[TIPO],DADOS!$P$3,tabela_registros[CATEGORIA],despesafixaconsolidadoago[[#This Row],[DESPESA FIXA]])</f>
        <v>0</v>
      </c>
      <c r="M39" s="119" t="n">
        <f aca="false">SUMIFS(tabela_registros[VALOR],tabela_registros[MÊS],$AE$1,tabela_registros[DIA],agototal3059718395107119[[#Headers],[9]],tabela_registros[REGISTRO],DADOS!$N$4,tabela_registros[TIPO],DADOS!$P$3,tabela_registros[CATEGORIA],despesafixaconsolidadoago[[#This Row],[DESPESA FIXA]])</f>
        <v>0</v>
      </c>
      <c r="N39" s="119" t="n">
        <f aca="false">SUMIFS(tabela_registros[VALOR],tabela_registros[MÊS],$AE$1,tabela_registros[DIA],agototal3059718395107119[[#Headers],[10]],tabela_registros[REGISTRO],DADOS!$N$4,tabela_registros[TIPO],DADOS!$P$3,tabela_registros[CATEGORIA],despesafixaconsolidadoago[[#This Row],[DESPESA FIXA]])</f>
        <v>0</v>
      </c>
      <c r="O39" s="119" t="n">
        <f aca="false">SUMIFS(tabela_registros[VALOR],tabela_registros[MÊS],$AE$1,tabela_registros[DIA],agototal3059718395107119[[#Headers],[11]],tabela_registros[REGISTRO],DADOS!$N$4,tabela_registros[TIPO],DADOS!$P$3,tabela_registros[CATEGORIA],despesafixaconsolidadoago[[#This Row],[DESPESA FIXA]])</f>
        <v>0</v>
      </c>
      <c r="P39" s="119" t="n">
        <f aca="false">SUMIFS(tabela_registros[VALOR],tabela_registros[MÊS],$AE$1,tabela_registros[DIA],agototal3059718395107119[[#Headers],[12]],tabela_registros[REGISTRO],DADOS!$N$4,tabela_registros[TIPO],DADOS!$P$3,tabela_registros[CATEGORIA],despesafixaconsolidadoago[[#This Row],[DESPESA FIXA]])</f>
        <v>0</v>
      </c>
      <c r="Q39" s="119" t="n">
        <f aca="false">SUMIFS(tabela_registros[VALOR],tabela_registros[MÊS],$AE$1,tabela_registros[DIA],agototal3059718395107119[[#Headers],[13]],tabela_registros[REGISTRO],DADOS!$N$4,tabela_registros[TIPO],DADOS!$P$3,tabela_registros[CATEGORIA],despesafixaconsolidadoago[[#This Row],[DESPESA FIXA]])</f>
        <v>0</v>
      </c>
      <c r="R39" s="119" t="n">
        <f aca="false">SUMIFS(tabela_registros[VALOR],tabela_registros[MÊS],$AE$1,tabela_registros[DIA],agototal3059718395107119[[#Headers],[14]],tabela_registros[REGISTRO],DADOS!$N$4,tabela_registros[TIPO],DADOS!$P$3,tabela_registros[CATEGORIA],despesafixaconsolidadoago[[#This Row],[DESPESA FIXA]])</f>
        <v>0</v>
      </c>
      <c r="S39" s="119" t="n">
        <f aca="false">SUMIFS(tabela_registros[VALOR],tabela_registros[MÊS],$AE$1,tabela_registros[DIA],agototal3059718395107119[[#Headers],[15]],tabela_registros[REGISTRO],DADOS!$N$4,tabela_registros[TIPO],DADOS!$P$3,tabela_registros[CATEGORIA],despesafixaconsolidadoago[[#This Row],[DESPESA FIXA]])</f>
        <v>0</v>
      </c>
      <c r="T39" s="119" t="n">
        <f aca="false">SUMIFS(tabela_registros[VALOR],tabela_registros[MÊS],$AE$1,tabela_registros[DIA],agototal3059718395107119[[#Headers],[16]],tabela_registros[REGISTRO],DADOS!$N$4,tabela_registros[TIPO],DADOS!$P$3,tabela_registros[CATEGORIA],despesafixaconsolidadoago[[#This Row],[DESPESA FIXA]])</f>
        <v>0</v>
      </c>
      <c r="U39" s="119" t="n">
        <f aca="false">SUMIFS(tabela_registros[VALOR],tabela_registros[MÊS],$AE$1,tabela_registros[DIA],agototal3059718395107119[[#Headers],[17]],tabela_registros[REGISTRO],DADOS!$N$4,tabela_registros[TIPO],DADOS!$P$3,tabela_registros[CATEGORIA],despesafixaconsolidadoago[[#This Row],[DESPESA FIXA]])</f>
        <v>0</v>
      </c>
      <c r="V39" s="119" t="n">
        <f aca="false">SUMIFS(tabela_registros[VALOR],tabela_registros[MÊS],$AE$1,tabela_registros[DIA],agototal3059718395107119[[#Headers],[18]],tabela_registros[REGISTRO],DADOS!$N$4,tabela_registros[TIPO],DADOS!$P$3,tabela_registros[CATEGORIA],despesafixaconsolidadoago[[#This Row],[DESPESA FIXA]])</f>
        <v>0</v>
      </c>
      <c r="W39" s="119" t="n">
        <f aca="false">SUMIFS(tabela_registros[VALOR],tabela_registros[MÊS],$AE$1,tabela_registros[DIA],agototal3059718395107119[[#Headers],[19]],tabela_registros[REGISTRO],DADOS!$N$4,tabela_registros[TIPO],DADOS!$P$3,tabela_registros[CATEGORIA],despesafixaconsolidadoago[[#This Row],[DESPESA FIXA]])</f>
        <v>0</v>
      </c>
      <c r="X39" s="119" t="n">
        <f aca="false">SUMIFS(tabela_registros[VALOR],tabela_registros[MÊS],$AE$1,tabela_registros[DIA],agototal3059718395107119[[#Headers],[20]],tabela_registros[REGISTRO],DADOS!$N$4,tabela_registros[TIPO],DADOS!$P$3,tabela_registros[CATEGORIA],despesafixaconsolidadoago[[#This Row],[DESPESA FIXA]])</f>
        <v>0</v>
      </c>
      <c r="Y39" s="119" t="n">
        <f aca="false">SUMIFS(tabela_registros[VALOR],tabela_registros[MÊS],$AE$1,tabela_registros[DIA],agototal3059718395107119[[#Headers],[21]],tabela_registros[REGISTRO],DADOS!$N$4,tabela_registros[TIPO],DADOS!$P$3,tabela_registros[CATEGORIA],despesafixaconsolidadoago[[#This Row],[DESPESA FIXA]])</f>
        <v>0</v>
      </c>
      <c r="Z39" s="119" t="n">
        <f aca="false">SUMIFS(tabela_registros[VALOR],tabela_registros[MÊS],$AE$1,tabela_registros[DIA],agototal3059718395107119[[#Headers],[22]],tabela_registros[REGISTRO],DADOS!$N$4,tabela_registros[TIPO],DADOS!$P$3,tabela_registros[CATEGORIA],despesafixaconsolidadoago[[#This Row],[DESPESA FIXA]])</f>
        <v>0</v>
      </c>
      <c r="AA39" s="119" t="n">
        <f aca="false">SUMIFS(tabela_registros[VALOR],tabela_registros[MÊS],$AE$1,tabela_registros[DIA],agototal3059718395107119[[#Headers],[23]],tabela_registros[REGISTRO],DADOS!$N$4,tabela_registros[TIPO],DADOS!$P$3,tabela_registros[CATEGORIA],despesafixaconsolidadoago[[#This Row],[DESPESA FIXA]])</f>
        <v>0</v>
      </c>
      <c r="AB39" s="119" t="n">
        <f aca="false">SUMIFS(tabela_registros[VALOR],tabela_registros[MÊS],$AE$1,tabela_registros[DIA],agototal3059718395107119[[#Headers],[24]],tabela_registros[REGISTRO],DADOS!$N$4,tabela_registros[TIPO],DADOS!$P$3,tabela_registros[CATEGORIA],despesafixaconsolidadoago[[#This Row],[DESPESA FIXA]])</f>
        <v>0</v>
      </c>
      <c r="AC39" s="119" t="n">
        <f aca="false">SUMIFS(tabela_registros[VALOR],tabela_registros[MÊS],$AE$1,tabela_registros[DIA],agototal3059718395107119[[#Headers],[25]],tabela_registros[REGISTRO],DADOS!$N$4,tabela_registros[TIPO],DADOS!$P$3,tabela_registros[CATEGORIA],despesafixaconsolidadoago[[#This Row],[DESPESA FIXA]])</f>
        <v>0</v>
      </c>
      <c r="AD39" s="119" t="n">
        <f aca="false">SUMIFS(tabela_registros[VALOR],tabela_registros[MÊS],$AE$1,tabela_registros[DIA],agototal3059718395107119[[#Headers],[26]],tabela_registros[REGISTRO],DADOS!$N$4,tabela_registros[TIPO],DADOS!$P$3,tabela_registros[CATEGORIA],despesafixaconsolidadoago[[#This Row],[DESPESA FIXA]])</f>
        <v>0</v>
      </c>
      <c r="AE39" s="119" t="n">
        <f aca="false">SUMIFS(tabela_registros[VALOR],tabela_registros[MÊS],$AE$1,tabela_registros[DIA],agototal3059718395107119[[#Headers],[27]],tabela_registros[REGISTRO],DADOS!$N$4,tabela_registros[TIPO],DADOS!$P$3,tabela_registros[CATEGORIA],despesafixaconsolidadoago[[#This Row],[DESPESA FIXA]])</f>
        <v>0</v>
      </c>
      <c r="AF39" s="119" t="n">
        <f aca="false">SUMIFS(tabela_registros[VALOR],tabela_registros[MÊS],$AE$1,tabela_registros[DIA],agototal3059718395107119[[#Headers],[28]],tabela_registros[REGISTRO],DADOS!$N$4,tabela_registros[TIPO],DADOS!$P$3,tabela_registros[CATEGORIA],despesafixaconsolidadoago[[#This Row],[DESPESA FIXA]])</f>
        <v>0</v>
      </c>
      <c r="AG39" s="119" t="n">
        <f aca="false">SUMIFS(tabela_registros[VALOR],tabela_registros[MÊS],$AE$1,tabela_registros[DIA],agototal3059718395107119[[#Headers],[29]],tabela_registros[REGISTRO],DADOS!$N$4,tabela_registros[TIPO],DADOS!$P$3,tabela_registros[CATEGORIA],despesafixaconsolidadoago[[#This Row],[DESPESA FIXA]])</f>
        <v>0</v>
      </c>
      <c r="AH39" s="119" t="n">
        <f aca="false">SUMIFS(tabela_registros[VALOR],tabela_registros[MÊS],$AE$1,tabela_registros[DIA],agototal3059718395107119[[#Headers],[30]],tabela_registros[REGISTRO],DADOS!$N$4,tabela_registros[TIPO],DADOS!$P$3,tabela_registros[CATEGORIA],despesafixaconsolidadoago[[#This Row],[DESPESA FIXA]])</f>
        <v>0</v>
      </c>
      <c r="AI39" s="217" t="n">
        <f aca="false">SUMIFS(tabela_registros[VALOR],tabela_registros[MÊS],$AE$1,tabela_registros[DIA],agototal3059718395107119[[#Headers],[31]],tabela_registros[REGISTRO],DADOS!$N$4,tabela_registros[TIPO],DADOS!$P$3,tabela_registros[CATEGORIA],despesafixaconsolidadoago[[#This Row],[DESPESA FIXA]])</f>
        <v>0</v>
      </c>
      <c r="AJ39" s="149" t="n">
        <f aca="false">SUM(despesafixaconsolidadoago[[#This Row],[1]:[31]])</f>
        <v>0</v>
      </c>
      <c r="AK39" s="143"/>
    </row>
    <row r="40" customFormat="false" ht="18" hidden="false" customHeight="true" outlineLevel="0" collapsed="false">
      <c r="B40" s="143"/>
      <c r="C40" s="144" t="str">
        <f aca="false">DADOS!$R$6</f>
        <v>📱 CELULAR</v>
      </c>
      <c r="D40" s="145" t="str">
        <f aca="false">IF(despesafixaconsolidadoago[[#This Row],[TOTAL]]=0,"",IF(OR(despesafixaconsolidadoago[[#This Row],[TOTAL]]=LARGE($AJ$37:$AJ$50,1),despesafixaconsolidadoago[[#This Row],[TOTAL]]=LARGE($AJ$37:$AJ$50,2),despesafixaconsolidadoago[[#This Row],[TOTAL]]=LARGE($AJ$37:$AJ$50,3),despesafixaconsolidadoago[[#This Row],[TOTAL]]=LARGE($AJ$37:$AJ$50,4),despesafixaconsolidadoago[[#This Row],[TOTAL]]=LARGE($AJ$37:$AJ$50,5)),DADOS!$I$8,""))</f>
        <v/>
      </c>
      <c r="E40" s="148" t="n">
        <f aca="false">SUMIFS(tabela_registros[VALOR],tabela_registros[MÊS],$AE$1,tabela_registros[DIA],agototal3059718395107119[[#Headers],[1]],tabela_registros[REGISTRO],DADOS!$N$4,tabela_registros[TIPO],DADOS!$P$3,tabela_registros[CATEGORIA],despesafixaconsolidadoago[[#This Row],[DESPESA FIXA]])</f>
        <v>0</v>
      </c>
      <c r="F40" s="119" t="n">
        <f aca="false">SUMIFS(tabela_registros[VALOR],tabela_registros[MÊS],$AE$1,tabela_registros[DIA],agototal3059718395107119[[#Headers],[2]],tabela_registros[REGISTRO],DADOS!$N$4,tabela_registros[TIPO],DADOS!$P$3,tabela_registros[CATEGORIA],despesafixaconsolidadoago[[#This Row],[DESPESA FIXA]])</f>
        <v>0</v>
      </c>
      <c r="G40" s="119" t="n">
        <f aca="false">SUMIFS(tabela_registros[VALOR],tabela_registros[MÊS],$AE$1,tabela_registros[DIA],agototal3059718395107119[[#Headers],[3]],tabela_registros[REGISTRO],DADOS!$N$4,tabela_registros[TIPO],DADOS!$P$3,tabela_registros[CATEGORIA],despesafixaconsolidadoago[[#This Row],[DESPESA FIXA]])</f>
        <v>0</v>
      </c>
      <c r="H40" s="119" t="n">
        <f aca="false">SUMIFS(tabela_registros[VALOR],tabela_registros[MÊS],$AE$1,tabela_registros[DIA],agototal3059718395107119[[#Headers],[4]],tabela_registros[REGISTRO],DADOS!$N$4,tabela_registros[TIPO],DADOS!$P$3,tabela_registros[CATEGORIA],despesafixaconsolidadoago[[#This Row],[DESPESA FIXA]])</f>
        <v>0</v>
      </c>
      <c r="I40" s="119" t="n">
        <f aca="false">SUMIFS(tabela_registros[VALOR],tabela_registros[MÊS],$AE$1,tabela_registros[DIA],agototal3059718395107119[[#Headers],[5]],tabela_registros[REGISTRO],DADOS!$N$4,tabela_registros[TIPO],DADOS!$P$3,tabela_registros[CATEGORIA],despesafixaconsolidadoago[[#This Row],[DESPESA FIXA]])</f>
        <v>0</v>
      </c>
      <c r="J40" s="119" t="n">
        <f aca="false">SUMIFS(tabela_registros[VALOR],tabela_registros[MÊS],$AE$1,tabela_registros[DIA],agototal3059718395107119[[#Headers],[6]],tabela_registros[REGISTRO],DADOS!$N$4,tabela_registros[TIPO],DADOS!$P$3,tabela_registros[CATEGORIA],despesafixaconsolidadoago[[#This Row],[DESPESA FIXA]])</f>
        <v>0</v>
      </c>
      <c r="K40" s="119" t="n">
        <f aca="false">SUMIFS(tabela_registros[VALOR],tabela_registros[MÊS],$AE$1,tabela_registros[DIA],agototal3059718395107119[[#Headers],[7]],tabela_registros[REGISTRO],DADOS!$N$4,tabela_registros[TIPO],DADOS!$P$3,tabela_registros[CATEGORIA],despesafixaconsolidadoago[[#This Row],[DESPESA FIXA]])</f>
        <v>0</v>
      </c>
      <c r="L40" s="119" t="n">
        <f aca="false">SUMIFS(tabela_registros[VALOR],tabela_registros[MÊS],$AE$1,tabela_registros[DIA],agototal3059718395107119[[#Headers],[8]],tabela_registros[REGISTRO],DADOS!$N$4,tabela_registros[TIPO],DADOS!$P$3,tabela_registros[CATEGORIA],despesafixaconsolidadoago[[#This Row],[DESPESA FIXA]])</f>
        <v>0</v>
      </c>
      <c r="M40" s="119" t="n">
        <f aca="false">SUMIFS(tabela_registros[VALOR],tabela_registros[MÊS],$AE$1,tabela_registros[DIA],agototal3059718395107119[[#Headers],[9]],tabela_registros[REGISTRO],DADOS!$N$4,tabela_registros[TIPO],DADOS!$P$3,tabela_registros[CATEGORIA],despesafixaconsolidadoago[[#This Row],[DESPESA FIXA]])</f>
        <v>0</v>
      </c>
      <c r="N40" s="119" t="n">
        <f aca="false">SUMIFS(tabela_registros[VALOR],tabela_registros[MÊS],$AE$1,tabela_registros[DIA],agototal3059718395107119[[#Headers],[10]],tabela_registros[REGISTRO],DADOS!$N$4,tabela_registros[TIPO],DADOS!$P$3,tabela_registros[CATEGORIA],despesafixaconsolidadoago[[#This Row],[DESPESA FIXA]])</f>
        <v>0</v>
      </c>
      <c r="O40" s="119" t="n">
        <f aca="false">SUMIFS(tabela_registros[VALOR],tabela_registros[MÊS],$AE$1,tabela_registros[DIA],agototal3059718395107119[[#Headers],[11]],tabela_registros[REGISTRO],DADOS!$N$4,tabela_registros[TIPO],DADOS!$P$3,tabela_registros[CATEGORIA],despesafixaconsolidadoago[[#This Row],[DESPESA FIXA]])</f>
        <v>0</v>
      </c>
      <c r="P40" s="119" t="n">
        <f aca="false">SUMIFS(tabela_registros[VALOR],tabela_registros[MÊS],$AE$1,tabela_registros[DIA],agototal3059718395107119[[#Headers],[12]],tabela_registros[REGISTRO],DADOS!$N$4,tabela_registros[TIPO],DADOS!$P$3,tabela_registros[CATEGORIA],despesafixaconsolidadoago[[#This Row],[DESPESA FIXA]])</f>
        <v>0</v>
      </c>
      <c r="Q40" s="119" t="n">
        <f aca="false">SUMIFS(tabela_registros[VALOR],tabela_registros[MÊS],$AE$1,tabela_registros[DIA],agototal3059718395107119[[#Headers],[13]],tabela_registros[REGISTRO],DADOS!$N$4,tabela_registros[TIPO],DADOS!$P$3,tabela_registros[CATEGORIA],despesafixaconsolidadoago[[#This Row],[DESPESA FIXA]])</f>
        <v>0</v>
      </c>
      <c r="R40" s="119" t="n">
        <f aca="false">SUMIFS(tabela_registros[VALOR],tabela_registros[MÊS],$AE$1,tabela_registros[DIA],agototal3059718395107119[[#Headers],[14]],tabela_registros[REGISTRO],DADOS!$N$4,tabela_registros[TIPO],DADOS!$P$3,tabela_registros[CATEGORIA],despesafixaconsolidadoago[[#This Row],[DESPESA FIXA]])</f>
        <v>0</v>
      </c>
      <c r="S40" s="119" t="n">
        <f aca="false">SUMIFS(tabela_registros[VALOR],tabela_registros[MÊS],$AE$1,tabela_registros[DIA],agototal3059718395107119[[#Headers],[15]],tabela_registros[REGISTRO],DADOS!$N$4,tabela_registros[TIPO],DADOS!$P$3,tabela_registros[CATEGORIA],despesafixaconsolidadoago[[#This Row],[DESPESA FIXA]])</f>
        <v>0</v>
      </c>
      <c r="T40" s="119" t="n">
        <f aca="false">SUMIFS(tabela_registros[VALOR],tabela_registros[MÊS],$AE$1,tabela_registros[DIA],agototal3059718395107119[[#Headers],[16]],tabela_registros[REGISTRO],DADOS!$N$4,tabela_registros[TIPO],DADOS!$P$3,tabela_registros[CATEGORIA],despesafixaconsolidadoago[[#This Row],[DESPESA FIXA]])</f>
        <v>0</v>
      </c>
      <c r="U40" s="119" t="n">
        <f aca="false">SUMIFS(tabela_registros[VALOR],tabela_registros[MÊS],$AE$1,tabela_registros[DIA],agototal3059718395107119[[#Headers],[17]],tabela_registros[REGISTRO],DADOS!$N$4,tabela_registros[TIPO],DADOS!$P$3,tabela_registros[CATEGORIA],despesafixaconsolidadoago[[#This Row],[DESPESA FIXA]])</f>
        <v>0</v>
      </c>
      <c r="V40" s="119" t="n">
        <f aca="false">SUMIFS(tabela_registros[VALOR],tabela_registros[MÊS],$AE$1,tabela_registros[DIA],agototal3059718395107119[[#Headers],[18]],tabela_registros[REGISTRO],DADOS!$N$4,tabela_registros[TIPO],DADOS!$P$3,tabela_registros[CATEGORIA],despesafixaconsolidadoago[[#This Row],[DESPESA FIXA]])</f>
        <v>0</v>
      </c>
      <c r="W40" s="119" t="n">
        <f aca="false">SUMIFS(tabela_registros[VALOR],tabela_registros[MÊS],$AE$1,tabela_registros[DIA],agototal3059718395107119[[#Headers],[19]],tabela_registros[REGISTRO],DADOS!$N$4,tabela_registros[TIPO],DADOS!$P$3,tabela_registros[CATEGORIA],despesafixaconsolidadoago[[#This Row],[DESPESA FIXA]])</f>
        <v>0</v>
      </c>
      <c r="X40" s="119" t="n">
        <f aca="false">SUMIFS(tabela_registros[VALOR],tabela_registros[MÊS],$AE$1,tabela_registros[DIA],agototal3059718395107119[[#Headers],[20]],tabela_registros[REGISTRO],DADOS!$N$4,tabela_registros[TIPO],DADOS!$P$3,tabela_registros[CATEGORIA],despesafixaconsolidadoago[[#This Row],[DESPESA FIXA]])</f>
        <v>0</v>
      </c>
      <c r="Y40" s="119" t="n">
        <f aca="false">SUMIFS(tabela_registros[VALOR],tabela_registros[MÊS],$AE$1,tabela_registros[DIA],agototal3059718395107119[[#Headers],[21]],tabela_registros[REGISTRO],DADOS!$N$4,tabela_registros[TIPO],DADOS!$P$3,tabela_registros[CATEGORIA],despesafixaconsolidadoago[[#This Row],[DESPESA FIXA]])</f>
        <v>0</v>
      </c>
      <c r="Z40" s="119" t="n">
        <f aca="false">SUMIFS(tabela_registros[VALOR],tabela_registros[MÊS],$AE$1,tabela_registros[DIA],agototal3059718395107119[[#Headers],[22]],tabela_registros[REGISTRO],DADOS!$N$4,tabela_registros[TIPO],DADOS!$P$3,tabela_registros[CATEGORIA],despesafixaconsolidadoago[[#This Row],[DESPESA FIXA]])</f>
        <v>0</v>
      </c>
      <c r="AA40" s="119" t="n">
        <f aca="false">SUMIFS(tabela_registros[VALOR],tabela_registros[MÊS],$AE$1,tabela_registros[DIA],agototal3059718395107119[[#Headers],[23]],tabela_registros[REGISTRO],DADOS!$N$4,tabela_registros[TIPO],DADOS!$P$3,tabela_registros[CATEGORIA],despesafixaconsolidadoago[[#This Row],[DESPESA FIXA]])</f>
        <v>0</v>
      </c>
      <c r="AB40" s="119" t="n">
        <f aca="false">SUMIFS(tabela_registros[VALOR],tabela_registros[MÊS],$AE$1,tabela_registros[DIA],agototal3059718395107119[[#Headers],[24]],tabela_registros[REGISTRO],DADOS!$N$4,tabela_registros[TIPO],DADOS!$P$3,tabela_registros[CATEGORIA],despesafixaconsolidadoago[[#This Row],[DESPESA FIXA]])</f>
        <v>0</v>
      </c>
      <c r="AC40" s="119" t="n">
        <f aca="false">SUMIFS(tabela_registros[VALOR],tabela_registros[MÊS],$AE$1,tabela_registros[DIA],agototal3059718395107119[[#Headers],[25]],tabela_registros[REGISTRO],DADOS!$N$4,tabela_registros[TIPO],DADOS!$P$3,tabela_registros[CATEGORIA],despesafixaconsolidadoago[[#This Row],[DESPESA FIXA]])</f>
        <v>0</v>
      </c>
      <c r="AD40" s="119" t="n">
        <f aca="false">SUMIFS(tabela_registros[VALOR],tabela_registros[MÊS],$AE$1,tabela_registros[DIA],agototal3059718395107119[[#Headers],[26]],tabela_registros[REGISTRO],DADOS!$N$4,tabela_registros[TIPO],DADOS!$P$3,tabela_registros[CATEGORIA],despesafixaconsolidadoago[[#This Row],[DESPESA FIXA]])</f>
        <v>0</v>
      </c>
      <c r="AE40" s="119" t="n">
        <f aca="false">SUMIFS(tabela_registros[VALOR],tabela_registros[MÊS],$AE$1,tabela_registros[DIA],agototal3059718395107119[[#Headers],[27]],tabela_registros[REGISTRO],DADOS!$N$4,tabela_registros[TIPO],DADOS!$P$3,tabela_registros[CATEGORIA],despesafixaconsolidadoago[[#This Row],[DESPESA FIXA]])</f>
        <v>0</v>
      </c>
      <c r="AF40" s="119" t="n">
        <f aca="false">SUMIFS(tabela_registros[VALOR],tabela_registros[MÊS],$AE$1,tabela_registros[DIA],agototal3059718395107119[[#Headers],[28]],tabela_registros[REGISTRO],DADOS!$N$4,tabela_registros[TIPO],DADOS!$P$3,tabela_registros[CATEGORIA],despesafixaconsolidadoago[[#This Row],[DESPESA FIXA]])</f>
        <v>0</v>
      </c>
      <c r="AG40" s="119" t="n">
        <f aca="false">SUMIFS(tabela_registros[VALOR],tabela_registros[MÊS],$AE$1,tabela_registros[DIA],agototal3059718395107119[[#Headers],[29]],tabela_registros[REGISTRO],DADOS!$N$4,tabela_registros[TIPO],DADOS!$P$3,tabela_registros[CATEGORIA],despesafixaconsolidadoago[[#This Row],[DESPESA FIXA]])</f>
        <v>0</v>
      </c>
      <c r="AH40" s="119" t="n">
        <f aca="false">SUMIFS(tabela_registros[VALOR],tabela_registros[MÊS],$AE$1,tabela_registros[DIA],agototal3059718395107119[[#Headers],[30]],tabela_registros[REGISTRO],DADOS!$N$4,tabela_registros[TIPO],DADOS!$P$3,tabela_registros[CATEGORIA],despesafixaconsolidadoago[[#This Row],[DESPESA FIXA]])</f>
        <v>0</v>
      </c>
      <c r="AI40" s="217" t="n">
        <f aca="false">SUMIFS(tabela_registros[VALOR],tabela_registros[MÊS],$AE$1,tabela_registros[DIA],agototal3059718395107119[[#Headers],[31]],tabela_registros[REGISTRO],DADOS!$N$4,tabela_registros[TIPO],DADOS!$P$3,tabela_registros[CATEGORIA],despesafixaconsolidadoago[[#This Row],[DESPESA FIXA]])</f>
        <v>0</v>
      </c>
      <c r="AJ40" s="149" t="n">
        <f aca="false">SUM(despesafixaconsolidadoago[[#This Row],[1]:[31]])</f>
        <v>0</v>
      </c>
      <c r="AK40" s="143"/>
    </row>
    <row r="41" customFormat="false" ht="18" hidden="false" customHeight="true" outlineLevel="0" collapsed="false">
      <c r="B41" s="143"/>
      <c r="C41" s="144" t="str">
        <f aca="false">DADOS!$R$7</f>
        <v>📖 EDUCAÇÃO</v>
      </c>
      <c r="D41" s="145" t="str">
        <f aca="false">IF(despesafixaconsolidadoago[[#This Row],[TOTAL]]=0,"",IF(OR(despesafixaconsolidadoago[[#This Row],[TOTAL]]=LARGE($AJ$37:$AJ$50,1),despesafixaconsolidadoago[[#This Row],[TOTAL]]=LARGE($AJ$37:$AJ$50,2),despesafixaconsolidadoago[[#This Row],[TOTAL]]=LARGE($AJ$37:$AJ$50,3),despesafixaconsolidadoago[[#This Row],[TOTAL]]=LARGE($AJ$37:$AJ$50,4),despesafixaconsolidadoago[[#This Row],[TOTAL]]=LARGE($AJ$37:$AJ$50,5)),DADOS!$I$8,""))</f>
        <v/>
      </c>
      <c r="E41" s="148" t="n">
        <f aca="false">SUMIFS(tabela_registros[VALOR],tabela_registros[MÊS],$AE$1,tabela_registros[DIA],agototal3059718395107119[[#Headers],[1]],tabela_registros[REGISTRO],DADOS!$N$4,tabela_registros[TIPO],DADOS!$P$3,tabela_registros[CATEGORIA],despesafixaconsolidadoago[[#This Row],[DESPESA FIXA]])</f>
        <v>0</v>
      </c>
      <c r="F41" s="119" t="n">
        <f aca="false">SUMIFS(tabela_registros[VALOR],tabela_registros[MÊS],$AE$1,tabela_registros[DIA],agototal3059718395107119[[#Headers],[2]],tabela_registros[REGISTRO],DADOS!$N$4,tabela_registros[TIPO],DADOS!$P$3,tabela_registros[CATEGORIA],despesafixaconsolidadoago[[#This Row],[DESPESA FIXA]])</f>
        <v>0</v>
      </c>
      <c r="G41" s="119" t="n">
        <f aca="false">SUMIFS(tabela_registros[VALOR],tabela_registros[MÊS],$AE$1,tabela_registros[DIA],agototal3059718395107119[[#Headers],[3]],tabela_registros[REGISTRO],DADOS!$N$4,tabela_registros[TIPO],DADOS!$P$3,tabela_registros[CATEGORIA],despesafixaconsolidadoago[[#This Row],[DESPESA FIXA]])</f>
        <v>0</v>
      </c>
      <c r="H41" s="119" t="n">
        <f aca="false">SUMIFS(tabela_registros[VALOR],tabela_registros[MÊS],$AE$1,tabela_registros[DIA],agototal3059718395107119[[#Headers],[4]],tabela_registros[REGISTRO],DADOS!$N$4,tabela_registros[TIPO],DADOS!$P$3,tabela_registros[CATEGORIA],despesafixaconsolidadoago[[#This Row],[DESPESA FIXA]])</f>
        <v>0</v>
      </c>
      <c r="I41" s="119" t="n">
        <f aca="false">SUMIFS(tabela_registros[VALOR],tabela_registros[MÊS],$AE$1,tabela_registros[DIA],agototal3059718395107119[[#Headers],[5]],tabela_registros[REGISTRO],DADOS!$N$4,tabela_registros[TIPO],DADOS!$P$3,tabela_registros[CATEGORIA],despesafixaconsolidadoago[[#This Row],[DESPESA FIXA]])</f>
        <v>0</v>
      </c>
      <c r="J41" s="119" t="n">
        <f aca="false">SUMIFS(tabela_registros[VALOR],tabela_registros[MÊS],$AE$1,tabela_registros[DIA],agototal3059718395107119[[#Headers],[6]],tabela_registros[REGISTRO],DADOS!$N$4,tabela_registros[TIPO],DADOS!$P$3,tabela_registros[CATEGORIA],despesafixaconsolidadoago[[#This Row],[DESPESA FIXA]])</f>
        <v>0</v>
      </c>
      <c r="K41" s="119" t="n">
        <f aca="false">SUMIFS(tabela_registros[VALOR],tabela_registros[MÊS],$AE$1,tabela_registros[DIA],agototal3059718395107119[[#Headers],[7]],tabela_registros[REGISTRO],DADOS!$N$4,tabela_registros[TIPO],DADOS!$P$3,tabela_registros[CATEGORIA],despesafixaconsolidadoago[[#This Row],[DESPESA FIXA]])</f>
        <v>0</v>
      </c>
      <c r="L41" s="119" t="n">
        <f aca="false">SUMIFS(tabela_registros[VALOR],tabela_registros[MÊS],$AE$1,tabela_registros[DIA],agototal3059718395107119[[#Headers],[8]],tabela_registros[REGISTRO],DADOS!$N$4,tabela_registros[TIPO],DADOS!$P$3,tabela_registros[CATEGORIA],despesafixaconsolidadoago[[#This Row],[DESPESA FIXA]])</f>
        <v>0</v>
      </c>
      <c r="M41" s="119" t="n">
        <f aca="false">SUMIFS(tabela_registros[VALOR],tabela_registros[MÊS],$AE$1,tabela_registros[DIA],agototal3059718395107119[[#Headers],[9]],tabela_registros[REGISTRO],DADOS!$N$4,tabela_registros[TIPO],DADOS!$P$3,tabela_registros[CATEGORIA],despesafixaconsolidadoago[[#This Row],[DESPESA FIXA]])</f>
        <v>0</v>
      </c>
      <c r="N41" s="119" t="n">
        <f aca="false">SUMIFS(tabela_registros[VALOR],tabela_registros[MÊS],$AE$1,tabela_registros[DIA],agototal3059718395107119[[#Headers],[10]],tabela_registros[REGISTRO],DADOS!$N$4,tabela_registros[TIPO],DADOS!$P$3,tabela_registros[CATEGORIA],despesafixaconsolidadoago[[#This Row],[DESPESA FIXA]])</f>
        <v>0</v>
      </c>
      <c r="O41" s="119" t="n">
        <f aca="false">SUMIFS(tabela_registros[VALOR],tabela_registros[MÊS],$AE$1,tabela_registros[DIA],agototal3059718395107119[[#Headers],[11]],tabela_registros[REGISTRO],DADOS!$N$4,tabela_registros[TIPO],DADOS!$P$3,tabela_registros[CATEGORIA],despesafixaconsolidadoago[[#This Row],[DESPESA FIXA]])</f>
        <v>0</v>
      </c>
      <c r="P41" s="119" t="n">
        <f aca="false">SUMIFS(tabela_registros[VALOR],tabela_registros[MÊS],$AE$1,tabela_registros[DIA],agototal3059718395107119[[#Headers],[12]],tabela_registros[REGISTRO],DADOS!$N$4,tabela_registros[TIPO],DADOS!$P$3,tabela_registros[CATEGORIA],despesafixaconsolidadoago[[#This Row],[DESPESA FIXA]])</f>
        <v>0</v>
      </c>
      <c r="Q41" s="119" t="n">
        <f aca="false">SUMIFS(tabela_registros[VALOR],tabela_registros[MÊS],$AE$1,tabela_registros[DIA],agototal3059718395107119[[#Headers],[13]],tabela_registros[REGISTRO],DADOS!$N$4,tabela_registros[TIPO],DADOS!$P$3,tabela_registros[CATEGORIA],despesafixaconsolidadoago[[#This Row],[DESPESA FIXA]])</f>
        <v>0</v>
      </c>
      <c r="R41" s="119" t="n">
        <f aca="false">SUMIFS(tabela_registros[VALOR],tabela_registros[MÊS],$AE$1,tabela_registros[DIA],agototal3059718395107119[[#Headers],[14]],tabela_registros[REGISTRO],DADOS!$N$4,tabela_registros[TIPO],DADOS!$P$3,tabela_registros[CATEGORIA],despesafixaconsolidadoago[[#This Row],[DESPESA FIXA]])</f>
        <v>0</v>
      </c>
      <c r="S41" s="119" t="n">
        <f aca="false">SUMIFS(tabela_registros[VALOR],tabela_registros[MÊS],$AE$1,tabela_registros[DIA],agototal3059718395107119[[#Headers],[15]],tabela_registros[REGISTRO],DADOS!$N$4,tabela_registros[TIPO],DADOS!$P$3,tabela_registros[CATEGORIA],despesafixaconsolidadoago[[#This Row],[DESPESA FIXA]])</f>
        <v>0</v>
      </c>
      <c r="T41" s="119" t="n">
        <f aca="false">SUMIFS(tabela_registros[VALOR],tabela_registros[MÊS],$AE$1,tabela_registros[DIA],agototal3059718395107119[[#Headers],[16]],tabela_registros[REGISTRO],DADOS!$N$4,tabela_registros[TIPO],DADOS!$P$3,tabela_registros[CATEGORIA],despesafixaconsolidadoago[[#This Row],[DESPESA FIXA]])</f>
        <v>0</v>
      </c>
      <c r="U41" s="119" t="n">
        <f aca="false">SUMIFS(tabela_registros[VALOR],tabela_registros[MÊS],$AE$1,tabela_registros[DIA],agototal3059718395107119[[#Headers],[17]],tabela_registros[REGISTRO],DADOS!$N$4,tabela_registros[TIPO],DADOS!$P$3,tabela_registros[CATEGORIA],despesafixaconsolidadoago[[#This Row],[DESPESA FIXA]])</f>
        <v>0</v>
      </c>
      <c r="V41" s="119" t="n">
        <f aca="false">SUMIFS(tabela_registros[VALOR],tabela_registros[MÊS],$AE$1,tabela_registros[DIA],agototal3059718395107119[[#Headers],[18]],tabela_registros[REGISTRO],DADOS!$N$4,tabela_registros[TIPO],DADOS!$P$3,tabela_registros[CATEGORIA],despesafixaconsolidadoago[[#This Row],[DESPESA FIXA]])</f>
        <v>0</v>
      </c>
      <c r="W41" s="119" t="n">
        <f aca="false">SUMIFS(tabela_registros[VALOR],tabela_registros[MÊS],$AE$1,tabela_registros[DIA],agototal3059718395107119[[#Headers],[19]],tabela_registros[REGISTRO],DADOS!$N$4,tabela_registros[TIPO],DADOS!$P$3,tabela_registros[CATEGORIA],despesafixaconsolidadoago[[#This Row],[DESPESA FIXA]])</f>
        <v>0</v>
      </c>
      <c r="X41" s="119" t="n">
        <f aca="false">SUMIFS(tabela_registros[VALOR],tabela_registros[MÊS],$AE$1,tabela_registros[DIA],agototal3059718395107119[[#Headers],[20]],tabela_registros[REGISTRO],DADOS!$N$4,tabela_registros[TIPO],DADOS!$P$3,tabela_registros[CATEGORIA],despesafixaconsolidadoago[[#This Row],[DESPESA FIXA]])</f>
        <v>0</v>
      </c>
      <c r="Y41" s="119" t="n">
        <f aca="false">SUMIFS(tabela_registros[VALOR],tabela_registros[MÊS],$AE$1,tabela_registros[DIA],agototal3059718395107119[[#Headers],[21]],tabela_registros[REGISTRO],DADOS!$N$4,tabela_registros[TIPO],DADOS!$P$3,tabela_registros[CATEGORIA],despesafixaconsolidadoago[[#This Row],[DESPESA FIXA]])</f>
        <v>0</v>
      </c>
      <c r="Z41" s="119" t="n">
        <f aca="false">SUMIFS(tabela_registros[VALOR],tabela_registros[MÊS],$AE$1,tabela_registros[DIA],agototal3059718395107119[[#Headers],[22]],tabela_registros[REGISTRO],DADOS!$N$4,tabela_registros[TIPO],DADOS!$P$3,tabela_registros[CATEGORIA],despesafixaconsolidadoago[[#This Row],[DESPESA FIXA]])</f>
        <v>0</v>
      </c>
      <c r="AA41" s="119" t="n">
        <f aca="false">SUMIFS(tabela_registros[VALOR],tabela_registros[MÊS],$AE$1,tabela_registros[DIA],agototal3059718395107119[[#Headers],[23]],tabela_registros[REGISTRO],DADOS!$N$4,tabela_registros[TIPO],DADOS!$P$3,tabela_registros[CATEGORIA],despesafixaconsolidadoago[[#This Row],[DESPESA FIXA]])</f>
        <v>0</v>
      </c>
      <c r="AB41" s="119" t="n">
        <f aca="false">SUMIFS(tabela_registros[VALOR],tabela_registros[MÊS],$AE$1,tabela_registros[DIA],agototal3059718395107119[[#Headers],[24]],tabela_registros[REGISTRO],DADOS!$N$4,tabela_registros[TIPO],DADOS!$P$3,tabela_registros[CATEGORIA],despesafixaconsolidadoago[[#This Row],[DESPESA FIXA]])</f>
        <v>0</v>
      </c>
      <c r="AC41" s="119" t="n">
        <f aca="false">SUMIFS(tabela_registros[VALOR],tabela_registros[MÊS],$AE$1,tabela_registros[DIA],agototal3059718395107119[[#Headers],[25]],tabela_registros[REGISTRO],DADOS!$N$4,tabela_registros[TIPO],DADOS!$P$3,tabela_registros[CATEGORIA],despesafixaconsolidadoago[[#This Row],[DESPESA FIXA]])</f>
        <v>0</v>
      </c>
      <c r="AD41" s="119" t="n">
        <f aca="false">SUMIFS(tabela_registros[VALOR],tabela_registros[MÊS],$AE$1,tabela_registros[DIA],agototal3059718395107119[[#Headers],[26]],tabela_registros[REGISTRO],DADOS!$N$4,tabela_registros[TIPO],DADOS!$P$3,tabela_registros[CATEGORIA],despesafixaconsolidadoago[[#This Row],[DESPESA FIXA]])</f>
        <v>0</v>
      </c>
      <c r="AE41" s="119" t="n">
        <f aca="false">SUMIFS(tabela_registros[VALOR],tabela_registros[MÊS],$AE$1,tabela_registros[DIA],agototal3059718395107119[[#Headers],[27]],tabela_registros[REGISTRO],DADOS!$N$4,tabela_registros[TIPO],DADOS!$P$3,tabela_registros[CATEGORIA],despesafixaconsolidadoago[[#This Row],[DESPESA FIXA]])</f>
        <v>0</v>
      </c>
      <c r="AF41" s="119" t="n">
        <f aca="false">SUMIFS(tabela_registros[VALOR],tabela_registros[MÊS],$AE$1,tabela_registros[DIA],agototal3059718395107119[[#Headers],[28]],tabela_registros[REGISTRO],DADOS!$N$4,tabela_registros[TIPO],DADOS!$P$3,tabela_registros[CATEGORIA],despesafixaconsolidadoago[[#This Row],[DESPESA FIXA]])</f>
        <v>0</v>
      </c>
      <c r="AG41" s="119" t="n">
        <f aca="false">SUMIFS(tabela_registros[VALOR],tabela_registros[MÊS],$AE$1,tabela_registros[DIA],agototal3059718395107119[[#Headers],[29]],tabela_registros[REGISTRO],DADOS!$N$4,tabela_registros[TIPO],DADOS!$P$3,tabela_registros[CATEGORIA],despesafixaconsolidadoago[[#This Row],[DESPESA FIXA]])</f>
        <v>0</v>
      </c>
      <c r="AH41" s="119" t="n">
        <f aca="false">SUMIFS(tabela_registros[VALOR],tabela_registros[MÊS],$AE$1,tabela_registros[DIA],agototal3059718395107119[[#Headers],[30]],tabela_registros[REGISTRO],DADOS!$N$4,tabela_registros[TIPO],DADOS!$P$3,tabela_registros[CATEGORIA],despesafixaconsolidadoago[[#This Row],[DESPESA FIXA]])</f>
        <v>0</v>
      </c>
      <c r="AI41" s="217" t="n">
        <f aca="false">SUMIFS(tabela_registros[VALOR],tabela_registros[MÊS],$AE$1,tabela_registros[DIA],agototal3059718395107119[[#Headers],[31]],tabela_registros[REGISTRO],DADOS!$N$4,tabela_registros[TIPO],DADOS!$P$3,tabela_registros[CATEGORIA],despesafixaconsolidadoago[[#This Row],[DESPESA FIXA]])</f>
        <v>0</v>
      </c>
      <c r="AJ41" s="149" t="n">
        <f aca="false">SUM(despesafixaconsolidadoago[[#This Row],[1]:[31]])</f>
        <v>0</v>
      </c>
      <c r="AK41" s="143"/>
    </row>
    <row r="42" customFormat="false" ht="18" hidden="false" customHeight="true" outlineLevel="0" collapsed="false">
      <c r="B42" s="143"/>
      <c r="C42" s="144" t="str">
        <f aca="false">DADOS!$R$8</f>
        <v>🏦 EMPRÉSTIMO</v>
      </c>
      <c r="D42" s="145" t="str">
        <f aca="false">IF(despesafixaconsolidadoago[[#This Row],[TOTAL]]=0,"",IF(OR(despesafixaconsolidadoago[[#This Row],[TOTAL]]=LARGE($AJ$37:$AJ$50,1),despesafixaconsolidadoago[[#This Row],[TOTAL]]=LARGE($AJ$37:$AJ$50,2),despesafixaconsolidadoago[[#This Row],[TOTAL]]=LARGE($AJ$37:$AJ$50,3),despesafixaconsolidadoago[[#This Row],[TOTAL]]=LARGE($AJ$37:$AJ$50,4),despesafixaconsolidadoago[[#This Row],[TOTAL]]=LARGE($AJ$37:$AJ$50,5)),DADOS!$I$8,""))</f>
        <v/>
      </c>
      <c r="E42" s="148" t="n">
        <f aca="false">SUMIFS(tabela_registros[VALOR],tabela_registros[MÊS],$AE$1,tabela_registros[DIA],agototal3059718395107119[[#Headers],[1]],tabela_registros[REGISTRO],DADOS!$N$4,tabela_registros[TIPO],DADOS!$P$3,tabela_registros[CATEGORIA],despesafixaconsolidadoago[[#This Row],[DESPESA FIXA]])</f>
        <v>0</v>
      </c>
      <c r="F42" s="119" t="n">
        <f aca="false">SUMIFS(tabela_registros[VALOR],tabela_registros[MÊS],$AE$1,tabela_registros[DIA],agototal3059718395107119[[#Headers],[2]],tabela_registros[REGISTRO],DADOS!$N$4,tabela_registros[TIPO],DADOS!$P$3,tabela_registros[CATEGORIA],despesafixaconsolidadoago[[#This Row],[DESPESA FIXA]])</f>
        <v>0</v>
      </c>
      <c r="G42" s="119" t="n">
        <f aca="false">SUMIFS(tabela_registros[VALOR],tabela_registros[MÊS],$AE$1,tabela_registros[DIA],agototal3059718395107119[[#Headers],[3]],tabela_registros[REGISTRO],DADOS!$N$4,tabela_registros[TIPO],DADOS!$P$3,tabela_registros[CATEGORIA],despesafixaconsolidadoago[[#This Row],[DESPESA FIXA]])</f>
        <v>0</v>
      </c>
      <c r="H42" s="119" t="n">
        <f aca="false">SUMIFS(tabela_registros[VALOR],tabela_registros[MÊS],$AE$1,tabela_registros[DIA],agototal3059718395107119[[#Headers],[4]],tabela_registros[REGISTRO],DADOS!$N$4,tabela_registros[TIPO],DADOS!$P$3,tabela_registros[CATEGORIA],despesafixaconsolidadoago[[#This Row],[DESPESA FIXA]])</f>
        <v>0</v>
      </c>
      <c r="I42" s="119" t="n">
        <f aca="false">SUMIFS(tabela_registros[VALOR],tabela_registros[MÊS],$AE$1,tabela_registros[DIA],agototal3059718395107119[[#Headers],[5]],tabela_registros[REGISTRO],DADOS!$N$4,tabela_registros[TIPO],DADOS!$P$3,tabela_registros[CATEGORIA],despesafixaconsolidadoago[[#This Row],[DESPESA FIXA]])</f>
        <v>0</v>
      </c>
      <c r="J42" s="119" t="n">
        <f aca="false">SUMIFS(tabela_registros[VALOR],tabela_registros[MÊS],$AE$1,tabela_registros[DIA],agototal3059718395107119[[#Headers],[6]],tabela_registros[REGISTRO],DADOS!$N$4,tabela_registros[TIPO],DADOS!$P$3,tabela_registros[CATEGORIA],despesafixaconsolidadoago[[#This Row],[DESPESA FIXA]])</f>
        <v>0</v>
      </c>
      <c r="K42" s="119" t="n">
        <f aca="false">SUMIFS(tabela_registros[VALOR],tabela_registros[MÊS],$AE$1,tabela_registros[DIA],agototal3059718395107119[[#Headers],[7]],tabela_registros[REGISTRO],DADOS!$N$4,tabela_registros[TIPO],DADOS!$P$3,tabela_registros[CATEGORIA],despesafixaconsolidadoago[[#This Row],[DESPESA FIXA]])</f>
        <v>0</v>
      </c>
      <c r="L42" s="119" t="n">
        <f aca="false">SUMIFS(tabela_registros[VALOR],tabela_registros[MÊS],$AE$1,tabela_registros[DIA],agototal3059718395107119[[#Headers],[8]],tabela_registros[REGISTRO],DADOS!$N$4,tabela_registros[TIPO],DADOS!$P$3,tabela_registros[CATEGORIA],despesafixaconsolidadoago[[#This Row],[DESPESA FIXA]])</f>
        <v>0</v>
      </c>
      <c r="M42" s="119" t="n">
        <f aca="false">SUMIFS(tabela_registros[VALOR],tabela_registros[MÊS],$AE$1,tabela_registros[DIA],agototal3059718395107119[[#Headers],[9]],tabela_registros[REGISTRO],DADOS!$N$4,tabela_registros[TIPO],DADOS!$P$3,tabela_registros[CATEGORIA],despesafixaconsolidadoago[[#This Row],[DESPESA FIXA]])</f>
        <v>0</v>
      </c>
      <c r="N42" s="119" t="n">
        <f aca="false">SUMIFS(tabela_registros[VALOR],tabela_registros[MÊS],$AE$1,tabela_registros[DIA],agototal3059718395107119[[#Headers],[10]],tabela_registros[REGISTRO],DADOS!$N$4,tabela_registros[TIPO],DADOS!$P$3,tabela_registros[CATEGORIA],despesafixaconsolidadoago[[#This Row],[DESPESA FIXA]])</f>
        <v>0</v>
      </c>
      <c r="O42" s="119" t="n">
        <f aca="false">SUMIFS(tabela_registros[VALOR],tabela_registros[MÊS],$AE$1,tabela_registros[DIA],agototal3059718395107119[[#Headers],[11]],tabela_registros[REGISTRO],DADOS!$N$4,tabela_registros[TIPO],DADOS!$P$3,tabela_registros[CATEGORIA],despesafixaconsolidadoago[[#This Row],[DESPESA FIXA]])</f>
        <v>0</v>
      </c>
      <c r="P42" s="119" t="n">
        <f aca="false">SUMIFS(tabela_registros[VALOR],tabela_registros[MÊS],$AE$1,tabela_registros[DIA],agototal3059718395107119[[#Headers],[12]],tabela_registros[REGISTRO],DADOS!$N$4,tabela_registros[TIPO],DADOS!$P$3,tabela_registros[CATEGORIA],despesafixaconsolidadoago[[#This Row],[DESPESA FIXA]])</f>
        <v>0</v>
      </c>
      <c r="Q42" s="119" t="n">
        <f aca="false">SUMIFS(tabela_registros[VALOR],tabela_registros[MÊS],$AE$1,tabela_registros[DIA],agototal3059718395107119[[#Headers],[13]],tabela_registros[REGISTRO],DADOS!$N$4,tabela_registros[TIPO],DADOS!$P$3,tabela_registros[CATEGORIA],despesafixaconsolidadoago[[#This Row],[DESPESA FIXA]])</f>
        <v>0</v>
      </c>
      <c r="R42" s="119" t="n">
        <f aca="false">SUMIFS(tabela_registros[VALOR],tabela_registros[MÊS],$AE$1,tabela_registros[DIA],agototal3059718395107119[[#Headers],[14]],tabela_registros[REGISTRO],DADOS!$N$4,tabela_registros[TIPO],DADOS!$P$3,tabela_registros[CATEGORIA],despesafixaconsolidadoago[[#This Row],[DESPESA FIXA]])</f>
        <v>0</v>
      </c>
      <c r="S42" s="119" t="n">
        <f aca="false">SUMIFS(tabela_registros[VALOR],tabela_registros[MÊS],$AE$1,tabela_registros[DIA],agototal3059718395107119[[#Headers],[15]],tabela_registros[REGISTRO],DADOS!$N$4,tabela_registros[TIPO],DADOS!$P$3,tabela_registros[CATEGORIA],despesafixaconsolidadoago[[#This Row],[DESPESA FIXA]])</f>
        <v>0</v>
      </c>
      <c r="T42" s="119" t="n">
        <f aca="false">SUMIFS(tabela_registros[VALOR],tabela_registros[MÊS],$AE$1,tabela_registros[DIA],agototal3059718395107119[[#Headers],[16]],tabela_registros[REGISTRO],DADOS!$N$4,tabela_registros[TIPO],DADOS!$P$3,tabela_registros[CATEGORIA],despesafixaconsolidadoago[[#This Row],[DESPESA FIXA]])</f>
        <v>0</v>
      </c>
      <c r="U42" s="119" t="n">
        <f aca="false">SUMIFS(tabela_registros[VALOR],tabela_registros[MÊS],$AE$1,tabela_registros[DIA],agototal3059718395107119[[#Headers],[17]],tabela_registros[REGISTRO],DADOS!$N$4,tabela_registros[TIPO],DADOS!$P$3,tabela_registros[CATEGORIA],despesafixaconsolidadoago[[#This Row],[DESPESA FIXA]])</f>
        <v>0</v>
      </c>
      <c r="V42" s="119" t="n">
        <f aca="false">SUMIFS(tabela_registros[VALOR],tabela_registros[MÊS],$AE$1,tabela_registros[DIA],agototal3059718395107119[[#Headers],[18]],tabela_registros[REGISTRO],DADOS!$N$4,tabela_registros[TIPO],DADOS!$P$3,tabela_registros[CATEGORIA],despesafixaconsolidadoago[[#This Row],[DESPESA FIXA]])</f>
        <v>0</v>
      </c>
      <c r="W42" s="119" t="n">
        <f aca="false">SUMIFS(tabela_registros[VALOR],tabela_registros[MÊS],$AE$1,tabela_registros[DIA],agototal3059718395107119[[#Headers],[19]],tabela_registros[REGISTRO],DADOS!$N$4,tabela_registros[TIPO],DADOS!$P$3,tabela_registros[CATEGORIA],despesafixaconsolidadoago[[#This Row],[DESPESA FIXA]])</f>
        <v>0</v>
      </c>
      <c r="X42" s="119" t="n">
        <f aca="false">SUMIFS(tabela_registros[VALOR],tabela_registros[MÊS],$AE$1,tabela_registros[DIA],agototal3059718395107119[[#Headers],[20]],tabela_registros[REGISTRO],DADOS!$N$4,tabela_registros[TIPO],DADOS!$P$3,tabela_registros[CATEGORIA],despesafixaconsolidadoago[[#This Row],[DESPESA FIXA]])</f>
        <v>0</v>
      </c>
      <c r="Y42" s="119" t="n">
        <f aca="false">SUMIFS(tabela_registros[VALOR],tabela_registros[MÊS],$AE$1,tabela_registros[DIA],agototal3059718395107119[[#Headers],[21]],tabela_registros[REGISTRO],DADOS!$N$4,tabela_registros[TIPO],DADOS!$P$3,tabela_registros[CATEGORIA],despesafixaconsolidadoago[[#This Row],[DESPESA FIXA]])</f>
        <v>0</v>
      </c>
      <c r="Z42" s="119" t="n">
        <f aca="false">SUMIFS(tabela_registros[VALOR],tabela_registros[MÊS],$AE$1,tabela_registros[DIA],agototal3059718395107119[[#Headers],[22]],tabela_registros[REGISTRO],DADOS!$N$4,tabela_registros[TIPO],DADOS!$P$3,tabela_registros[CATEGORIA],despesafixaconsolidadoago[[#This Row],[DESPESA FIXA]])</f>
        <v>0</v>
      </c>
      <c r="AA42" s="119" t="n">
        <f aca="false">SUMIFS(tabela_registros[VALOR],tabela_registros[MÊS],$AE$1,tabela_registros[DIA],agototal3059718395107119[[#Headers],[23]],tabela_registros[REGISTRO],DADOS!$N$4,tabela_registros[TIPO],DADOS!$P$3,tabela_registros[CATEGORIA],despesafixaconsolidadoago[[#This Row],[DESPESA FIXA]])</f>
        <v>0</v>
      </c>
      <c r="AB42" s="119" t="n">
        <f aca="false">SUMIFS(tabela_registros[VALOR],tabela_registros[MÊS],$AE$1,tabela_registros[DIA],agototal3059718395107119[[#Headers],[24]],tabela_registros[REGISTRO],DADOS!$N$4,tabela_registros[TIPO],DADOS!$P$3,tabela_registros[CATEGORIA],despesafixaconsolidadoago[[#This Row],[DESPESA FIXA]])</f>
        <v>0</v>
      </c>
      <c r="AC42" s="119" t="n">
        <f aca="false">SUMIFS(tabela_registros[VALOR],tabela_registros[MÊS],$AE$1,tabela_registros[DIA],agototal3059718395107119[[#Headers],[25]],tabela_registros[REGISTRO],DADOS!$N$4,tabela_registros[TIPO],DADOS!$P$3,tabela_registros[CATEGORIA],despesafixaconsolidadoago[[#This Row],[DESPESA FIXA]])</f>
        <v>0</v>
      </c>
      <c r="AD42" s="119" t="n">
        <f aca="false">SUMIFS(tabela_registros[VALOR],tabela_registros[MÊS],$AE$1,tabela_registros[DIA],agototal3059718395107119[[#Headers],[26]],tabela_registros[REGISTRO],DADOS!$N$4,tabela_registros[TIPO],DADOS!$P$3,tabela_registros[CATEGORIA],despesafixaconsolidadoago[[#This Row],[DESPESA FIXA]])</f>
        <v>0</v>
      </c>
      <c r="AE42" s="119" t="n">
        <f aca="false">SUMIFS(tabela_registros[VALOR],tabela_registros[MÊS],$AE$1,tabela_registros[DIA],agototal3059718395107119[[#Headers],[27]],tabela_registros[REGISTRO],DADOS!$N$4,tabela_registros[TIPO],DADOS!$P$3,tabela_registros[CATEGORIA],despesafixaconsolidadoago[[#This Row],[DESPESA FIXA]])</f>
        <v>0</v>
      </c>
      <c r="AF42" s="119" t="n">
        <f aca="false">SUMIFS(tabela_registros[VALOR],tabela_registros[MÊS],$AE$1,tabela_registros[DIA],agototal3059718395107119[[#Headers],[28]],tabela_registros[REGISTRO],DADOS!$N$4,tabela_registros[TIPO],DADOS!$P$3,tabela_registros[CATEGORIA],despesafixaconsolidadoago[[#This Row],[DESPESA FIXA]])</f>
        <v>0</v>
      </c>
      <c r="AG42" s="119" t="n">
        <f aca="false">SUMIFS(tabela_registros[VALOR],tabela_registros[MÊS],$AE$1,tabela_registros[DIA],agototal3059718395107119[[#Headers],[29]],tabela_registros[REGISTRO],DADOS!$N$4,tabela_registros[TIPO],DADOS!$P$3,tabela_registros[CATEGORIA],despesafixaconsolidadoago[[#This Row],[DESPESA FIXA]])</f>
        <v>0</v>
      </c>
      <c r="AH42" s="119" t="n">
        <f aca="false">SUMIFS(tabela_registros[VALOR],tabela_registros[MÊS],$AE$1,tabela_registros[DIA],agototal3059718395107119[[#Headers],[30]],tabela_registros[REGISTRO],DADOS!$N$4,tabela_registros[TIPO],DADOS!$P$3,tabela_registros[CATEGORIA],despesafixaconsolidadoago[[#This Row],[DESPESA FIXA]])</f>
        <v>0</v>
      </c>
      <c r="AI42" s="217" t="n">
        <f aca="false">SUMIFS(tabela_registros[VALOR],tabela_registros[MÊS],$AE$1,tabela_registros[DIA],agototal3059718395107119[[#Headers],[31]],tabela_registros[REGISTRO],DADOS!$N$4,tabela_registros[TIPO],DADOS!$P$3,tabela_registros[CATEGORIA],despesafixaconsolidadoago[[#This Row],[DESPESA FIXA]])</f>
        <v>0</v>
      </c>
      <c r="AJ42" s="149" t="n">
        <f aca="false">SUM(despesafixaconsolidadoago[[#This Row],[1]:[31]])</f>
        <v>0</v>
      </c>
      <c r="AK42" s="143"/>
    </row>
    <row r="43" customFormat="false" ht="18" hidden="false" customHeight="true" outlineLevel="0" collapsed="false">
      <c r="B43" s="143"/>
      <c r="C43" s="144" t="str">
        <f aca="false">DADOS!$R$9</f>
        <v>💡 ENERGIA</v>
      </c>
      <c r="D43" s="145" t="str">
        <f aca="false">IF(despesafixaconsolidadoago[[#This Row],[TOTAL]]=0,"",IF(OR(despesafixaconsolidadoago[[#This Row],[TOTAL]]=LARGE($AJ$37:$AJ$50,1),despesafixaconsolidadoago[[#This Row],[TOTAL]]=LARGE($AJ$37:$AJ$50,2),despesafixaconsolidadoago[[#This Row],[TOTAL]]=LARGE($AJ$37:$AJ$50,3),despesafixaconsolidadoago[[#This Row],[TOTAL]]=LARGE($AJ$37:$AJ$50,4),despesafixaconsolidadoago[[#This Row],[TOTAL]]=LARGE($AJ$37:$AJ$50,5)),DADOS!$I$8,""))</f>
        <v/>
      </c>
      <c r="E43" s="148" t="n">
        <f aca="false">SUMIFS(tabela_registros[VALOR],tabela_registros[MÊS],$AE$1,tabela_registros[DIA],agototal3059718395107119[[#Headers],[1]],tabela_registros[REGISTRO],DADOS!$N$4,tabela_registros[TIPO],DADOS!$P$3,tabela_registros[CATEGORIA],despesafixaconsolidadoago[[#This Row],[DESPESA FIXA]])</f>
        <v>0</v>
      </c>
      <c r="F43" s="119" t="n">
        <f aca="false">SUMIFS(tabela_registros[VALOR],tabela_registros[MÊS],$AE$1,tabela_registros[DIA],agototal3059718395107119[[#Headers],[2]],tabela_registros[REGISTRO],DADOS!$N$4,tabela_registros[TIPO],DADOS!$P$3,tabela_registros[CATEGORIA],despesafixaconsolidadoago[[#This Row],[DESPESA FIXA]])</f>
        <v>0</v>
      </c>
      <c r="G43" s="119" t="n">
        <f aca="false">SUMIFS(tabela_registros[VALOR],tabela_registros[MÊS],$AE$1,tabela_registros[DIA],agototal3059718395107119[[#Headers],[3]],tabela_registros[REGISTRO],DADOS!$N$4,tabela_registros[TIPO],DADOS!$P$3,tabela_registros[CATEGORIA],despesafixaconsolidadoago[[#This Row],[DESPESA FIXA]])</f>
        <v>0</v>
      </c>
      <c r="H43" s="119" t="n">
        <f aca="false">SUMIFS(tabela_registros[VALOR],tabela_registros[MÊS],$AE$1,tabela_registros[DIA],agototal3059718395107119[[#Headers],[4]],tabela_registros[REGISTRO],DADOS!$N$4,tabela_registros[TIPO],DADOS!$P$3,tabela_registros[CATEGORIA],despesafixaconsolidadoago[[#This Row],[DESPESA FIXA]])</f>
        <v>0</v>
      </c>
      <c r="I43" s="119" t="n">
        <f aca="false">SUMIFS(tabela_registros[VALOR],tabela_registros[MÊS],$AE$1,tabela_registros[DIA],agototal3059718395107119[[#Headers],[5]],tabela_registros[REGISTRO],DADOS!$N$4,tabela_registros[TIPO],DADOS!$P$3,tabela_registros[CATEGORIA],despesafixaconsolidadoago[[#This Row],[DESPESA FIXA]])</f>
        <v>0</v>
      </c>
      <c r="J43" s="119" t="n">
        <f aca="false">SUMIFS(tabela_registros[VALOR],tabela_registros[MÊS],$AE$1,tabela_registros[DIA],agototal3059718395107119[[#Headers],[6]],tabela_registros[REGISTRO],DADOS!$N$4,tabela_registros[TIPO],DADOS!$P$3,tabela_registros[CATEGORIA],despesafixaconsolidadoago[[#This Row],[DESPESA FIXA]])</f>
        <v>0</v>
      </c>
      <c r="K43" s="119" t="n">
        <f aca="false">SUMIFS(tabela_registros[VALOR],tabela_registros[MÊS],$AE$1,tabela_registros[DIA],agototal3059718395107119[[#Headers],[7]],tabela_registros[REGISTRO],DADOS!$N$4,tabela_registros[TIPO],DADOS!$P$3,tabela_registros[CATEGORIA],despesafixaconsolidadoago[[#This Row],[DESPESA FIXA]])</f>
        <v>0</v>
      </c>
      <c r="L43" s="119" t="n">
        <f aca="false">SUMIFS(tabela_registros[VALOR],tabela_registros[MÊS],$AE$1,tabela_registros[DIA],agototal3059718395107119[[#Headers],[8]],tabela_registros[REGISTRO],DADOS!$N$4,tabela_registros[TIPO],DADOS!$P$3,tabela_registros[CATEGORIA],despesafixaconsolidadoago[[#This Row],[DESPESA FIXA]])</f>
        <v>0</v>
      </c>
      <c r="M43" s="119" t="n">
        <f aca="false">SUMIFS(tabela_registros[VALOR],tabela_registros[MÊS],$AE$1,tabela_registros[DIA],agototal3059718395107119[[#Headers],[9]],tabela_registros[REGISTRO],DADOS!$N$4,tabela_registros[TIPO],DADOS!$P$3,tabela_registros[CATEGORIA],despesafixaconsolidadoago[[#This Row],[DESPESA FIXA]])</f>
        <v>0</v>
      </c>
      <c r="N43" s="119" t="n">
        <f aca="false">SUMIFS(tabela_registros[VALOR],tabela_registros[MÊS],$AE$1,tabela_registros[DIA],agototal3059718395107119[[#Headers],[10]],tabela_registros[REGISTRO],DADOS!$N$4,tabela_registros[TIPO],DADOS!$P$3,tabela_registros[CATEGORIA],despesafixaconsolidadoago[[#This Row],[DESPESA FIXA]])</f>
        <v>0</v>
      </c>
      <c r="O43" s="119" t="n">
        <f aca="false">SUMIFS(tabela_registros[VALOR],tabela_registros[MÊS],$AE$1,tabela_registros[DIA],agototal3059718395107119[[#Headers],[11]],tabela_registros[REGISTRO],DADOS!$N$4,tabela_registros[TIPO],DADOS!$P$3,tabela_registros[CATEGORIA],despesafixaconsolidadoago[[#This Row],[DESPESA FIXA]])</f>
        <v>0</v>
      </c>
      <c r="P43" s="119" t="n">
        <f aca="false">SUMIFS(tabela_registros[VALOR],tabela_registros[MÊS],$AE$1,tabela_registros[DIA],agototal3059718395107119[[#Headers],[12]],tabela_registros[REGISTRO],DADOS!$N$4,tabela_registros[TIPO],DADOS!$P$3,tabela_registros[CATEGORIA],despesafixaconsolidadoago[[#This Row],[DESPESA FIXA]])</f>
        <v>0</v>
      </c>
      <c r="Q43" s="119" t="n">
        <f aca="false">SUMIFS(tabela_registros[VALOR],tabela_registros[MÊS],$AE$1,tabela_registros[DIA],agototal3059718395107119[[#Headers],[13]],tabela_registros[REGISTRO],DADOS!$N$4,tabela_registros[TIPO],DADOS!$P$3,tabela_registros[CATEGORIA],despesafixaconsolidadoago[[#This Row],[DESPESA FIXA]])</f>
        <v>0</v>
      </c>
      <c r="R43" s="119" t="n">
        <f aca="false">SUMIFS(tabela_registros[VALOR],tabela_registros[MÊS],$AE$1,tabela_registros[DIA],agototal3059718395107119[[#Headers],[14]],tabela_registros[REGISTRO],DADOS!$N$4,tabela_registros[TIPO],DADOS!$P$3,tabela_registros[CATEGORIA],despesafixaconsolidadoago[[#This Row],[DESPESA FIXA]])</f>
        <v>0</v>
      </c>
      <c r="S43" s="119" t="n">
        <f aca="false">SUMIFS(tabela_registros[VALOR],tabela_registros[MÊS],$AE$1,tabela_registros[DIA],agototal3059718395107119[[#Headers],[15]],tabela_registros[REGISTRO],DADOS!$N$4,tabela_registros[TIPO],DADOS!$P$3,tabela_registros[CATEGORIA],despesafixaconsolidadoago[[#This Row],[DESPESA FIXA]])</f>
        <v>0</v>
      </c>
      <c r="T43" s="119" t="n">
        <f aca="false">SUMIFS(tabela_registros[VALOR],tabela_registros[MÊS],$AE$1,tabela_registros[DIA],agototal3059718395107119[[#Headers],[16]],tabela_registros[REGISTRO],DADOS!$N$4,tabela_registros[TIPO],DADOS!$P$3,tabela_registros[CATEGORIA],despesafixaconsolidadoago[[#This Row],[DESPESA FIXA]])</f>
        <v>0</v>
      </c>
      <c r="U43" s="119" t="n">
        <f aca="false">SUMIFS(tabela_registros[VALOR],tabela_registros[MÊS],$AE$1,tabela_registros[DIA],agototal3059718395107119[[#Headers],[17]],tabela_registros[REGISTRO],DADOS!$N$4,tabela_registros[TIPO],DADOS!$P$3,tabela_registros[CATEGORIA],despesafixaconsolidadoago[[#This Row],[DESPESA FIXA]])</f>
        <v>0</v>
      </c>
      <c r="V43" s="119" t="n">
        <f aca="false">SUMIFS(tabela_registros[VALOR],tabela_registros[MÊS],$AE$1,tabela_registros[DIA],agototal3059718395107119[[#Headers],[18]],tabela_registros[REGISTRO],DADOS!$N$4,tabela_registros[TIPO],DADOS!$P$3,tabela_registros[CATEGORIA],despesafixaconsolidadoago[[#This Row],[DESPESA FIXA]])</f>
        <v>0</v>
      </c>
      <c r="W43" s="119" t="n">
        <f aca="false">SUMIFS(tabela_registros[VALOR],tabela_registros[MÊS],$AE$1,tabela_registros[DIA],agototal3059718395107119[[#Headers],[19]],tabela_registros[REGISTRO],DADOS!$N$4,tabela_registros[TIPO],DADOS!$P$3,tabela_registros[CATEGORIA],despesafixaconsolidadoago[[#This Row],[DESPESA FIXA]])</f>
        <v>0</v>
      </c>
      <c r="X43" s="119" t="n">
        <f aca="false">SUMIFS(tabela_registros[VALOR],tabela_registros[MÊS],$AE$1,tabela_registros[DIA],agototal3059718395107119[[#Headers],[20]],tabela_registros[REGISTRO],DADOS!$N$4,tabela_registros[TIPO],DADOS!$P$3,tabela_registros[CATEGORIA],despesafixaconsolidadoago[[#This Row],[DESPESA FIXA]])</f>
        <v>0</v>
      </c>
      <c r="Y43" s="119" t="n">
        <f aca="false">SUMIFS(tabela_registros[VALOR],tabela_registros[MÊS],$AE$1,tabela_registros[DIA],agototal3059718395107119[[#Headers],[21]],tabela_registros[REGISTRO],DADOS!$N$4,tabela_registros[TIPO],DADOS!$P$3,tabela_registros[CATEGORIA],despesafixaconsolidadoago[[#This Row],[DESPESA FIXA]])</f>
        <v>0</v>
      </c>
      <c r="Z43" s="119" t="n">
        <f aca="false">SUMIFS(tabela_registros[VALOR],tabela_registros[MÊS],$AE$1,tabela_registros[DIA],agototal3059718395107119[[#Headers],[22]],tabela_registros[REGISTRO],DADOS!$N$4,tabela_registros[TIPO],DADOS!$P$3,tabela_registros[CATEGORIA],despesafixaconsolidadoago[[#This Row],[DESPESA FIXA]])</f>
        <v>0</v>
      </c>
      <c r="AA43" s="119" t="n">
        <f aca="false">SUMIFS(tabela_registros[VALOR],tabela_registros[MÊS],$AE$1,tabela_registros[DIA],agototal3059718395107119[[#Headers],[23]],tabela_registros[REGISTRO],DADOS!$N$4,tabela_registros[TIPO],DADOS!$P$3,tabela_registros[CATEGORIA],despesafixaconsolidadoago[[#This Row],[DESPESA FIXA]])</f>
        <v>0</v>
      </c>
      <c r="AB43" s="119" t="n">
        <f aca="false">SUMIFS(tabela_registros[VALOR],tabela_registros[MÊS],$AE$1,tabela_registros[DIA],agototal3059718395107119[[#Headers],[24]],tabela_registros[REGISTRO],DADOS!$N$4,tabela_registros[TIPO],DADOS!$P$3,tabela_registros[CATEGORIA],despesafixaconsolidadoago[[#This Row],[DESPESA FIXA]])</f>
        <v>0</v>
      </c>
      <c r="AC43" s="119" t="n">
        <f aca="false">SUMIFS(tabela_registros[VALOR],tabela_registros[MÊS],$AE$1,tabela_registros[DIA],agototal3059718395107119[[#Headers],[25]],tabela_registros[REGISTRO],DADOS!$N$4,tabela_registros[TIPO],DADOS!$P$3,tabela_registros[CATEGORIA],despesafixaconsolidadoago[[#This Row],[DESPESA FIXA]])</f>
        <v>0</v>
      </c>
      <c r="AD43" s="119" t="n">
        <f aca="false">SUMIFS(tabela_registros[VALOR],tabela_registros[MÊS],$AE$1,tabela_registros[DIA],agototal3059718395107119[[#Headers],[26]],tabela_registros[REGISTRO],DADOS!$N$4,tabela_registros[TIPO],DADOS!$P$3,tabela_registros[CATEGORIA],despesafixaconsolidadoago[[#This Row],[DESPESA FIXA]])</f>
        <v>0</v>
      </c>
      <c r="AE43" s="119" t="n">
        <f aca="false">SUMIFS(tabela_registros[VALOR],tabela_registros[MÊS],$AE$1,tabela_registros[DIA],agototal3059718395107119[[#Headers],[27]],tabela_registros[REGISTRO],DADOS!$N$4,tabela_registros[TIPO],DADOS!$P$3,tabela_registros[CATEGORIA],despesafixaconsolidadoago[[#This Row],[DESPESA FIXA]])</f>
        <v>0</v>
      </c>
      <c r="AF43" s="119" t="n">
        <f aca="false">SUMIFS(tabela_registros[VALOR],tabela_registros[MÊS],$AE$1,tabela_registros[DIA],agototal3059718395107119[[#Headers],[28]],tabela_registros[REGISTRO],DADOS!$N$4,tabela_registros[TIPO],DADOS!$P$3,tabela_registros[CATEGORIA],despesafixaconsolidadoago[[#This Row],[DESPESA FIXA]])</f>
        <v>0</v>
      </c>
      <c r="AG43" s="119" t="n">
        <f aca="false">SUMIFS(tabela_registros[VALOR],tabela_registros[MÊS],$AE$1,tabela_registros[DIA],agototal3059718395107119[[#Headers],[29]],tabela_registros[REGISTRO],DADOS!$N$4,tabela_registros[TIPO],DADOS!$P$3,tabela_registros[CATEGORIA],despesafixaconsolidadoago[[#This Row],[DESPESA FIXA]])</f>
        <v>0</v>
      </c>
      <c r="AH43" s="119" t="n">
        <f aca="false">SUMIFS(tabela_registros[VALOR],tabela_registros[MÊS],$AE$1,tabela_registros[DIA],agototal3059718395107119[[#Headers],[30]],tabela_registros[REGISTRO],DADOS!$N$4,tabela_registros[TIPO],DADOS!$P$3,tabela_registros[CATEGORIA],despesafixaconsolidadoago[[#This Row],[DESPESA FIXA]])</f>
        <v>0</v>
      </c>
      <c r="AI43" s="217" t="n">
        <f aca="false">SUMIFS(tabela_registros[VALOR],tabela_registros[MÊS],$AE$1,tabela_registros[DIA],agototal3059718395107119[[#Headers],[31]],tabela_registros[REGISTRO],DADOS!$N$4,tabela_registros[TIPO],DADOS!$P$3,tabela_registros[CATEGORIA],despesafixaconsolidadoago[[#This Row],[DESPESA FIXA]])</f>
        <v>0</v>
      </c>
      <c r="AJ43" s="149" t="n">
        <f aca="false">SUM(despesafixaconsolidadoago[[#This Row],[1]:[31]])</f>
        <v>0</v>
      </c>
      <c r="AK43" s="143"/>
    </row>
    <row r="44" customFormat="false" ht="18" hidden="false" customHeight="true" outlineLevel="0" collapsed="false">
      <c r="B44" s="143"/>
      <c r="C44" s="144" t="str">
        <f aca="false">DADOS!$R$10</f>
        <v>👨‍👩‍👧 FAMÍLIA</v>
      </c>
      <c r="D44" s="145" t="str">
        <f aca="false">IF(despesafixaconsolidadoago[[#This Row],[TOTAL]]=0,"",IF(OR(despesafixaconsolidadoago[[#This Row],[TOTAL]]=LARGE($AJ$37:$AJ$50,1),despesafixaconsolidadoago[[#This Row],[TOTAL]]=LARGE($AJ$37:$AJ$50,2),despesafixaconsolidadoago[[#This Row],[TOTAL]]=LARGE($AJ$37:$AJ$50,3),despesafixaconsolidadoago[[#This Row],[TOTAL]]=LARGE($AJ$37:$AJ$50,4),despesafixaconsolidadoago[[#This Row],[TOTAL]]=LARGE($AJ$37:$AJ$50,5)),DADOS!$I$8,""))</f>
        <v/>
      </c>
      <c r="E44" s="148" t="n">
        <f aca="false">SUMIFS(tabela_registros[VALOR],tabela_registros[MÊS],$AE$1,tabela_registros[DIA],agototal3059718395107119[[#Headers],[1]],tabela_registros[REGISTRO],DADOS!$N$4,tabela_registros[TIPO],DADOS!$P$3,tabela_registros[CATEGORIA],despesafixaconsolidadoago[[#This Row],[DESPESA FIXA]])</f>
        <v>0</v>
      </c>
      <c r="F44" s="119" t="n">
        <f aca="false">SUMIFS(tabela_registros[VALOR],tabela_registros[MÊS],$AE$1,tabela_registros[DIA],agototal3059718395107119[[#Headers],[2]],tabela_registros[REGISTRO],DADOS!$N$4,tabela_registros[TIPO],DADOS!$P$3,tabela_registros[CATEGORIA],despesafixaconsolidadoago[[#This Row],[DESPESA FIXA]])</f>
        <v>0</v>
      </c>
      <c r="G44" s="119" t="n">
        <f aca="false">SUMIFS(tabela_registros[VALOR],tabela_registros[MÊS],$AE$1,tabela_registros[DIA],agototal3059718395107119[[#Headers],[3]],tabela_registros[REGISTRO],DADOS!$N$4,tabela_registros[TIPO],DADOS!$P$3,tabela_registros[CATEGORIA],despesafixaconsolidadoago[[#This Row],[DESPESA FIXA]])</f>
        <v>0</v>
      </c>
      <c r="H44" s="119" t="n">
        <f aca="false">SUMIFS(tabela_registros[VALOR],tabela_registros[MÊS],$AE$1,tabela_registros[DIA],agototal3059718395107119[[#Headers],[4]],tabela_registros[REGISTRO],DADOS!$N$4,tabela_registros[TIPO],DADOS!$P$3,tabela_registros[CATEGORIA],despesafixaconsolidadoago[[#This Row],[DESPESA FIXA]])</f>
        <v>0</v>
      </c>
      <c r="I44" s="119" t="n">
        <f aca="false">SUMIFS(tabela_registros[VALOR],tabela_registros[MÊS],$AE$1,tabela_registros[DIA],agototal3059718395107119[[#Headers],[5]],tabela_registros[REGISTRO],DADOS!$N$4,tabela_registros[TIPO],DADOS!$P$3,tabela_registros[CATEGORIA],despesafixaconsolidadoago[[#This Row],[DESPESA FIXA]])</f>
        <v>0</v>
      </c>
      <c r="J44" s="119" t="n">
        <f aca="false">SUMIFS(tabela_registros[VALOR],tabela_registros[MÊS],$AE$1,tabela_registros[DIA],agototal3059718395107119[[#Headers],[6]],tabela_registros[REGISTRO],DADOS!$N$4,tabela_registros[TIPO],DADOS!$P$3,tabela_registros[CATEGORIA],despesafixaconsolidadoago[[#This Row],[DESPESA FIXA]])</f>
        <v>0</v>
      </c>
      <c r="K44" s="119" t="n">
        <f aca="false">SUMIFS(tabela_registros[VALOR],tabela_registros[MÊS],$AE$1,tabela_registros[DIA],agototal3059718395107119[[#Headers],[7]],tabela_registros[REGISTRO],DADOS!$N$4,tabela_registros[TIPO],DADOS!$P$3,tabela_registros[CATEGORIA],despesafixaconsolidadoago[[#This Row],[DESPESA FIXA]])</f>
        <v>0</v>
      </c>
      <c r="L44" s="119" t="n">
        <f aca="false">SUMIFS(tabela_registros[VALOR],tabela_registros[MÊS],$AE$1,tabela_registros[DIA],agototal3059718395107119[[#Headers],[8]],tabela_registros[REGISTRO],DADOS!$N$4,tabela_registros[TIPO],DADOS!$P$3,tabela_registros[CATEGORIA],despesafixaconsolidadoago[[#This Row],[DESPESA FIXA]])</f>
        <v>0</v>
      </c>
      <c r="M44" s="119" t="n">
        <f aca="false">SUMIFS(tabela_registros[VALOR],tabela_registros[MÊS],$AE$1,tabela_registros[DIA],agototal3059718395107119[[#Headers],[9]],tabela_registros[REGISTRO],DADOS!$N$4,tabela_registros[TIPO],DADOS!$P$3,tabela_registros[CATEGORIA],despesafixaconsolidadoago[[#This Row],[DESPESA FIXA]])</f>
        <v>0</v>
      </c>
      <c r="N44" s="119" t="n">
        <f aca="false">SUMIFS(tabela_registros[VALOR],tabela_registros[MÊS],$AE$1,tabela_registros[DIA],agototal3059718395107119[[#Headers],[10]],tabela_registros[REGISTRO],DADOS!$N$4,tabela_registros[TIPO],DADOS!$P$3,tabela_registros[CATEGORIA],despesafixaconsolidadoago[[#This Row],[DESPESA FIXA]])</f>
        <v>0</v>
      </c>
      <c r="O44" s="119" t="n">
        <f aca="false">SUMIFS(tabela_registros[VALOR],tabela_registros[MÊS],$AE$1,tabela_registros[DIA],agototal3059718395107119[[#Headers],[11]],tabela_registros[REGISTRO],DADOS!$N$4,tabela_registros[TIPO],DADOS!$P$3,tabela_registros[CATEGORIA],despesafixaconsolidadoago[[#This Row],[DESPESA FIXA]])</f>
        <v>0</v>
      </c>
      <c r="P44" s="119" t="n">
        <f aca="false">SUMIFS(tabela_registros[VALOR],tabela_registros[MÊS],$AE$1,tabela_registros[DIA],agototal3059718395107119[[#Headers],[12]],tabela_registros[REGISTRO],DADOS!$N$4,tabela_registros[TIPO],DADOS!$P$3,tabela_registros[CATEGORIA],despesafixaconsolidadoago[[#This Row],[DESPESA FIXA]])</f>
        <v>0</v>
      </c>
      <c r="Q44" s="119" t="n">
        <f aca="false">SUMIFS(tabela_registros[VALOR],tabela_registros[MÊS],$AE$1,tabela_registros[DIA],agototal3059718395107119[[#Headers],[13]],tabela_registros[REGISTRO],DADOS!$N$4,tabela_registros[TIPO],DADOS!$P$3,tabela_registros[CATEGORIA],despesafixaconsolidadoago[[#This Row],[DESPESA FIXA]])</f>
        <v>0</v>
      </c>
      <c r="R44" s="119" t="n">
        <f aca="false">SUMIFS(tabela_registros[VALOR],tabela_registros[MÊS],$AE$1,tabela_registros[DIA],agototal3059718395107119[[#Headers],[14]],tabela_registros[REGISTRO],DADOS!$N$4,tabela_registros[TIPO],DADOS!$P$3,tabela_registros[CATEGORIA],despesafixaconsolidadoago[[#This Row],[DESPESA FIXA]])</f>
        <v>0</v>
      </c>
      <c r="S44" s="119" t="n">
        <f aca="false">SUMIFS(tabela_registros[VALOR],tabela_registros[MÊS],$AE$1,tabela_registros[DIA],agototal3059718395107119[[#Headers],[15]],tabela_registros[REGISTRO],DADOS!$N$4,tabela_registros[TIPO],DADOS!$P$3,tabela_registros[CATEGORIA],despesafixaconsolidadoago[[#This Row],[DESPESA FIXA]])</f>
        <v>0</v>
      </c>
      <c r="T44" s="119" t="n">
        <f aca="false">SUMIFS(tabela_registros[VALOR],tabela_registros[MÊS],$AE$1,tabela_registros[DIA],agototal3059718395107119[[#Headers],[16]],tabela_registros[REGISTRO],DADOS!$N$4,tabela_registros[TIPO],DADOS!$P$3,tabela_registros[CATEGORIA],despesafixaconsolidadoago[[#This Row],[DESPESA FIXA]])</f>
        <v>0</v>
      </c>
      <c r="U44" s="119" t="n">
        <f aca="false">SUMIFS(tabela_registros[VALOR],tabela_registros[MÊS],$AE$1,tabela_registros[DIA],agototal3059718395107119[[#Headers],[17]],tabela_registros[REGISTRO],DADOS!$N$4,tabela_registros[TIPO],DADOS!$P$3,tabela_registros[CATEGORIA],despesafixaconsolidadoago[[#This Row],[DESPESA FIXA]])</f>
        <v>0</v>
      </c>
      <c r="V44" s="119" t="n">
        <f aca="false">SUMIFS(tabela_registros[VALOR],tabela_registros[MÊS],$AE$1,tabela_registros[DIA],agototal3059718395107119[[#Headers],[18]],tabela_registros[REGISTRO],DADOS!$N$4,tabela_registros[TIPO],DADOS!$P$3,tabela_registros[CATEGORIA],despesafixaconsolidadoago[[#This Row],[DESPESA FIXA]])</f>
        <v>0</v>
      </c>
      <c r="W44" s="119" t="n">
        <f aca="false">SUMIFS(tabela_registros[VALOR],tabela_registros[MÊS],$AE$1,tabela_registros[DIA],agototal3059718395107119[[#Headers],[19]],tabela_registros[REGISTRO],DADOS!$N$4,tabela_registros[TIPO],DADOS!$P$3,tabela_registros[CATEGORIA],despesafixaconsolidadoago[[#This Row],[DESPESA FIXA]])</f>
        <v>0</v>
      </c>
      <c r="X44" s="119" t="n">
        <f aca="false">SUMIFS(tabela_registros[VALOR],tabela_registros[MÊS],$AE$1,tabela_registros[DIA],agototal3059718395107119[[#Headers],[20]],tabela_registros[REGISTRO],DADOS!$N$4,tabela_registros[TIPO],DADOS!$P$3,tabela_registros[CATEGORIA],despesafixaconsolidadoago[[#This Row],[DESPESA FIXA]])</f>
        <v>0</v>
      </c>
      <c r="Y44" s="119" t="n">
        <f aca="false">SUMIFS(tabela_registros[VALOR],tabela_registros[MÊS],$AE$1,tabela_registros[DIA],agototal3059718395107119[[#Headers],[21]],tabela_registros[REGISTRO],DADOS!$N$4,tabela_registros[TIPO],DADOS!$P$3,tabela_registros[CATEGORIA],despesafixaconsolidadoago[[#This Row],[DESPESA FIXA]])</f>
        <v>0</v>
      </c>
      <c r="Z44" s="119" t="n">
        <f aca="false">SUMIFS(tabela_registros[VALOR],tabela_registros[MÊS],$AE$1,tabela_registros[DIA],agototal3059718395107119[[#Headers],[22]],tabela_registros[REGISTRO],DADOS!$N$4,tabela_registros[TIPO],DADOS!$P$3,tabela_registros[CATEGORIA],despesafixaconsolidadoago[[#This Row],[DESPESA FIXA]])</f>
        <v>0</v>
      </c>
      <c r="AA44" s="119" t="n">
        <f aca="false">SUMIFS(tabela_registros[VALOR],tabela_registros[MÊS],$AE$1,tabela_registros[DIA],agototal3059718395107119[[#Headers],[23]],tabela_registros[REGISTRO],DADOS!$N$4,tabela_registros[TIPO],DADOS!$P$3,tabela_registros[CATEGORIA],despesafixaconsolidadoago[[#This Row],[DESPESA FIXA]])</f>
        <v>0</v>
      </c>
      <c r="AB44" s="119" t="n">
        <f aca="false">SUMIFS(tabela_registros[VALOR],tabela_registros[MÊS],$AE$1,tabela_registros[DIA],agototal3059718395107119[[#Headers],[24]],tabela_registros[REGISTRO],DADOS!$N$4,tabela_registros[TIPO],DADOS!$P$3,tabela_registros[CATEGORIA],despesafixaconsolidadoago[[#This Row],[DESPESA FIXA]])</f>
        <v>0</v>
      </c>
      <c r="AC44" s="119" t="n">
        <f aca="false">SUMIFS(tabela_registros[VALOR],tabela_registros[MÊS],$AE$1,tabela_registros[DIA],agototal3059718395107119[[#Headers],[25]],tabela_registros[REGISTRO],DADOS!$N$4,tabela_registros[TIPO],DADOS!$P$3,tabela_registros[CATEGORIA],despesafixaconsolidadoago[[#This Row],[DESPESA FIXA]])</f>
        <v>0</v>
      </c>
      <c r="AD44" s="119" t="n">
        <f aca="false">SUMIFS(tabela_registros[VALOR],tabela_registros[MÊS],$AE$1,tabela_registros[DIA],agototal3059718395107119[[#Headers],[26]],tabela_registros[REGISTRO],DADOS!$N$4,tabela_registros[TIPO],DADOS!$P$3,tabela_registros[CATEGORIA],despesafixaconsolidadoago[[#This Row],[DESPESA FIXA]])</f>
        <v>0</v>
      </c>
      <c r="AE44" s="119" t="n">
        <f aca="false">SUMIFS(tabela_registros[VALOR],tabela_registros[MÊS],$AE$1,tabela_registros[DIA],agototal3059718395107119[[#Headers],[27]],tabela_registros[REGISTRO],DADOS!$N$4,tabela_registros[TIPO],DADOS!$P$3,tabela_registros[CATEGORIA],despesafixaconsolidadoago[[#This Row],[DESPESA FIXA]])</f>
        <v>0</v>
      </c>
      <c r="AF44" s="119" t="n">
        <f aca="false">SUMIFS(tabela_registros[VALOR],tabela_registros[MÊS],$AE$1,tabela_registros[DIA],agototal3059718395107119[[#Headers],[28]],tabela_registros[REGISTRO],DADOS!$N$4,tabela_registros[TIPO],DADOS!$P$3,tabela_registros[CATEGORIA],despesafixaconsolidadoago[[#This Row],[DESPESA FIXA]])</f>
        <v>0</v>
      </c>
      <c r="AG44" s="119" t="n">
        <f aca="false">SUMIFS(tabela_registros[VALOR],tabela_registros[MÊS],$AE$1,tabela_registros[DIA],agototal3059718395107119[[#Headers],[29]],tabela_registros[REGISTRO],DADOS!$N$4,tabela_registros[TIPO],DADOS!$P$3,tabela_registros[CATEGORIA],despesafixaconsolidadoago[[#This Row],[DESPESA FIXA]])</f>
        <v>0</v>
      </c>
      <c r="AH44" s="119" t="n">
        <f aca="false">SUMIFS(tabela_registros[VALOR],tabela_registros[MÊS],$AE$1,tabela_registros[DIA],agototal3059718395107119[[#Headers],[30]],tabela_registros[REGISTRO],DADOS!$N$4,tabela_registros[TIPO],DADOS!$P$3,tabela_registros[CATEGORIA],despesafixaconsolidadoago[[#This Row],[DESPESA FIXA]])</f>
        <v>0</v>
      </c>
      <c r="AI44" s="217" t="n">
        <f aca="false">SUMIFS(tabela_registros[VALOR],tabela_registros[MÊS],$AE$1,tabela_registros[DIA],agototal3059718395107119[[#Headers],[31]],tabela_registros[REGISTRO],DADOS!$N$4,tabela_registros[TIPO],DADOS!$P$3,tabela_registros[CATEGORIA],despesafixaconsolidadoago[[#This Row],[DESPESA FIXA]])</f>
        <v>0</v>
      </c>
      <c r="AJ44" s="149" t="n">
        <f aca="false">SUM(despesafixaconsolidadoago[[#This Row],[1]:[31]])</f>
        <v>0</v>
      </c>
      <c r="AK44" s="143"/>
    </row>
    <row r="45" customFormat="false" ht="18" hidden="false" customHeight="true" outlineLevel="0" collapsed="false">
      <c r="B45" s="143"/>
      <c r="C45" s="144" t="str">
        <f aca="false">DADOS!$R$11</f>
        <v>🔢 IMPOSTOS</v>
      </c>
      <c r="D45" s="145" t="str">
        <f aca="false">IF(despesafixaconsolidadoago[[#This Row],[TOTAL]]=0,"",IF(OR(despesafixaconsolidadoago[[#This Row],[TOTAL]]=LARGE($AJ$37:$AJ$50,1),despesafixaconsolidadoago[[#This Row],[TOTAL]]=LARGE($AJ$37:$AJ$50,2),despesafixaconsolidadoago[[#This Row],[TOTAL]]=LARGE($AJ$37:$AJ$50,3),despesafixaconsolidadoago[[#This Row],[TOTAL]]=LARGE($AJ$37:$AJ$50,4),despesafixaconsolidadoago[[#This Row],[TOTAL]]=LARGE($AJ$37:$AJ$50,5)),DADOS!$I$8,""))</f>
        <v/>
      </c>
      <c r="E45" s="148" t="n">
        <f aca="false">SUMIFS(tabela_registros[VALOR],tabela_registros[MÊS],$AE$1,tabela_registros[DIA],agototal3059718395107119[[#Headers],[1]],tabela_registros[REGISTRO],DADOS!$N$4,tabela_registros[TIPO],DADOS!$P$3,tabela_registros[CATEGORIA],despesafixaconsolidadoago[[#This Row],[DESPESA FIXA]])</f>
        <v>0</v>
      </c>
      <c r="F45" s="119" t="n">
        <f aca="false">SUMIFS(tabela_registros[VALOR],tabela_registros[MÊS],$AE$1,tabela_registros[DIA],agototal3059718395107119[[#Headers],[2]],tabela_registros[REGISTRO],DADOS!$N$4,tabela_registros[TIPO],DADOS!$P$3,tabela_registros[CATEGORIA],despesafixaconsolidadoago[[#This Row],[DESPESA FIXA]])</f>
        <v>0</v>
      </c>
      <c r="G45" s="119" t="n">
        <f aca="false">SUMIFS(tabela_registros[VALOR],tabela_registros[MÊS],$AE$1,tabela_registros[DIA],agototal3059718395107119[[#Headers],[3]],tabela_registros[REGISTRO],DADOS!$N$4,tabela_registros[TIPO],DADOS!$P$3,tabela_registros[CATEGORIA],despesafixaconsolidadoago[[#This Row],[DESPESA FIXA]])</f>
        <v>0</v>
      </c>
      <c r="H45" s="119" t="n">
        <f aca="false">SUMIFS(tabela_registros[VALOR],tabela_registros[MÊS],$AE$1,tabela_registros[DIA],agototal3059718395107119[[#Headers],[4]],tabela_registros[REGISTRO],DADOS!$N$4,tabela_registros[TIPO],DADOS!$P$3,tabela_registros[CATEGORIA],despesafixaconsolidadoago[[#This Row],[DESPESA FIXA]])</f>
        <v>0</v>
      </c>
      <c r="I45" s="119" t="n">
        <f aca="false">SUMIFS(tabela_registros[VALOR],tabela_registros[MÊS],$AE$1,tabela_registros[DIA],agototal3059718395107119[[#Headers],[5]],tabela_registros[REGISTRO],DADOS!$N$4,tabela_registros[TIPO],DADOS!$P$3,tabela_registros[CATEGORIA],despesafixaconsolidadoago[[#This Row],[DESPESA FIXA]])</f>
        <v>0</v>
      </c>
      <c r="J45" s="119" t="n">
        <f aca="false">SUMIFS(tabela_registros[VALOR],tabela_registros[MÊS],$AE$1,tabela_registros[DIA],agototal3059718395107119[[#Headers],[6]],tabela_registros[REGISTRO],DADOS!$N$4,tabela_registros[TIPO],DADOS!$P$3,tabela_registros[CATEGORIA],despesafixaconsolidadoago[[#This Row],[DESPESA FIXA]])</f>
        <v>0</v>
      </c>
      <c r="K45" s="119" t="n">
        <f aca="false">SUMIFS(tabela_registros[VALOR],tabela_registros[MÊS],$AE$1,tabela_registros[DIA],agototal3059718395107119[[#Headers],[7]],tabela_registros[REGISTRO],DADOS!$N$4,tabela_registros[TIPO],DADOS!$P$3,tabela_registros[CATEGORIA],despesafixaconsolidadoago[[#This Row],[DESPESA FIXA]])</f>
        <v>0</v>
      </c>
      <c r="L45" s="119" t="n">
        <f aca="false">SUMIFS(tabela_registros[VALOR],tabela_registros[MÊS],$AE$1,tabela_registros[DIA],agototal3059718395107119[[#Headers],[8]],tabela_registros[REGISTRO],DADOS!$N$4,tabela_registros[TIPO],DADOS!$P$3,tabela_registros[CATEGORIA],despesafixaconsolidadoago[[#This Row],[DESPESA FIXA]])</f>
        <v>0</v>
      </c>
      <c r="M45" s="119" t="n">
        <f aca="false">SUMIFS(tabela_registros[VALOR],tabela_registros[MÊS],$AE$1,tabela_registros[DIA],agototal3059718395107119[[#Headers],[9]],tabela_registros[REGISTRO],DADOS!$N$4,tabela_registros[TIPO],DADOS!$P$3,tabela_registros[CATEGORIA],despesafixaconsolidadoago[[#This Row],[DESPESA FIXA]])</f>
        <v>0</v>
      </c>
      <c r="N45" s="119" t="n">
        <f aca="false">SUMIFS(tabela_registros[VALOR],tabela_registros[MÊS],$AE$1,tabela_registros[DIA],agototal3059718395107119[[#Headers],[10]],tabela_registros[REGISTRO],DADOS!$N$4,tabela_registros[TIPO],DADOS!$P$3,tabela_registros[CATEGORIA],despesafixaconsolidadoago[[#This Row],[DESPESA FIXA]])</f>
        <v>0</v>
      </c>
      <c r="O45" s="119" t="n">
        <f aca="false">SUMIFS(tabela_registros[VALOR],tabela_registros[MÊS],$AE$1,tabela_registros[DIA],agototal3059718395107119[[#Headers],[11]],tabela_registros[REGISTRO],DADOS!$N$4,tabela_registros[TIPO],DADOS!$P$3,tabela_registros[CATEGORIA],despesafixaconsolidadoago[[#This Row],[DESPESA FIXA]])</f>
        <v>0</v>
      </c>
      <c r="P45" s="119" t="n">
        <f aca="false">SUMIFS(tabela_registros[VALOR],tabela_registros[MÊS],$AE$1,tabela_registros[DIA],agototal3059718395107119[[#Headers],[12]],tabela_registros[REGISTRO],DADOS!$N$4,tabela_registros[TIPO],DADOS!$P$3,tabela_registros[CATEGORIA],despesafixaconsolidadoago[[#This Row],[DESPESA FIXA]])</f>
        <v>0</v>
      </c>
      <c r="Q45" s="119" t="n">
        <f aca="false">SUMIFS(tabela_registros[VALOR],tabela_registros[MÊS],$AE$1,tabela_registros[DIA],agototal3059718395107119[[#Headers],[13]],tabela_registros[REGISTRO],DADOS!$N$4,tabela_registros[TIPO],DADOS!$P$3,tabela_registros[CATEGORIA],despesafixaconsolidadoago[[#This Row],[DESPESA FIXA]])</f>
        <v>0</v>
      </c>
      <c r="R45" s="119" t="n">
        <f aca="false">SUMIFS(tabela_registros[VALOR],tabela_registros[MÊS],$AE$1,tabela_registros[DIA],agototal3059718395107119[[#Headers],[14]],tabela_registros[REGISTRO],DADOS!$N$4,tabela_registros[TIPO],DADOS!$P$3,tabela_registros[CATEGORIA],despesafixaconsolidadoago[[#This Row],[DESPESA FIXA]])</f>
        <v>0</v>
      </c>
      <c r="S45" s="119" t="n">
        <f aca="false">SUMIFS(tabela_registros[VALOR],tabela_registros[MÊS],$AE$1,tabela_registros[DIA],agototal3059718395107119[[#Headers],[15]],tabela_registros[REGISTRO],DADOS!$N$4,tabela_registros[TIPO],DADOS!$P$3,tabela_registros[CATEGORIA],despesafixaconsolidadoago[[#This Row],[DESPESA FIXA]])</f>
        <v>0</v>
      </c>
      <c r="T45" s="119" t="n">
        <f aca="false">SUMIFS(tabela_registros[VALOR],tabela_registros[MÊS],$AE$1,tabela_registros[DIA],agototal3059718395107119[[#Headers],[16]],tabela_registros[REGISTRO],DADOS!$N$4,tabela_registros[TIPO],DADOS!$P$3,tabela_registros[CATEGORIA],despesafixaconsolidadoago[[#This Row],[DESPESA FIXA]])</f>
        <v>0</v>
      </c>
      <c r="U45" s="119" t="n">
        <f aca="false">SUMIFS(tabela_registros[VALOR],tabela_registros[MÊS],$AE$1,tabela_registros[DIA],agototal3059718395107119[[#Headers],[17]],tabela_registros[REGISTRO],DADOS!$N$4,tabela_registros[TIPO],DADOS!$P$3,tabela_registros[CATEGORIA],despesafixaconsolidadoago[[#This Row],[DESPESA FIXA]])</f>
        <v>0</v>
      </c>
      <c r="V45" s="119" t="n">
        <f aca="false">SUMIFS(tabela_registros[VALOR],tabela_registros[MÊS],$AE$1,tabela_registros[DIA],agototal3059718395107119[[#Headers],[18]],tabela_registros[REGISTRO],DADOS!$N$4,tabela_registros[TIPO],DADOS!$P$3,tabela_registros[CATEGORIA],despesafixaconsolidadoago[[#This Row],[DESPESA FIXA]])</f>
        <v>0</v>
      </c>
      <c r="W45" s="119" t="n">
        <f aca="false">SUMIFS(tabela_registros[VALOR],tabela_registros[MÊS],$AE$1,tabela_registros[DIA],agototal3059718395107119[[#Headers],[19]],tabela_registros[REGISTRO],DADOS!$N$4,tabela_registros[TIPO],DADOS!$P$3,tabela_registros[CATEGORIA],despesafixaconsolidadoago[[#This Row],[DESPESA FIXA]])</f>
        <v>0</v>
      </c>
      <c r="X45" s="119" t="n">
        <f aca="false">SUMIFS(tabela_registros[VALOR],tabela_registros[MÊS],$AE$1,tabela_registros[DIA],agototal3059718395107119[[#Headers],[20]],tabela_registros[REGISTRO],DADOS!$N$4,tabela_registros[TIPO],DADOS!$P$3,tabela_registros[CATEGORIA],despesafixaconsolidadoago[[#This Row],[DESPESA FIXA]])</f>
        <v>0</v>
      </c>
      <c r="Y45" s="119" t="n">
        <f aca="false">SUMIFS(tabela_registros[VALOR],tabela_registros[MÊS],$AE$1,tabela_registros[DIA],agototal3059718395107119[[#Headers],[21]],tabela_registros[REGISTRO],DADOS!$N$4,tabela_registros[TIPO],DADOS!$P$3,tabela_registros[CATEGORIA],despesafixaconsolidadoago[[#This Row],[DESPESA FIXA]])</f>
        <v>0</v>
      </c>
      <c r="Z45" s="119" t="n">
        <f aca="false">SUMIFS(tabela_registros[VALOR],tabela_registros[MÊS],$AE$1,tabela_registros[DIA],agototal3059718395107119[[#Headers],[22]],tabela_registros[REGISTRO],DADOS!$N$4,tabela_registros[TIPO],DADOS!$P$3,tabela_registros[CATEGORIA],despesafixaconsolidadoago[[#This Row],[DESPESA FIXA]])</f>
        <v>0</v>
      </c>
      <c r="AA45" s="119" t="n">
        <f aca="false">SUMIFS(tabela_registros[VALOR],tabela_registros[MÊS],$AE$1,tabela_registros[DIA],agototal3059718395107119[[#Headers],[23]],tabela_registros[REGISTRO],DADOS!$N$4,tabela_registros[TIPO],DADOS!$P$3,tabela_registros[CATEGORIA],despesafixaconsolidadoago[[#This Row],[DESPESA FIXA]])</f>
        <v>0</v>
      </c>
      <c r="AB45" s="119" t="n">
        <f aca="false">SUMIFS(tabela_registros[VALOR],tabela_registros[MÊS],$AE$1,tabela_registros[DIA],agototal3059718395107119[[#Headers],[24]],tabela_registros[REGISTRO],DADOS!$N$4,tabela_registros[TIPO],DADOS!$P$3,tabela_registros[CATEGORIA],despesafixaconsolidadoago[[#This Row],[DESPESA FIXA]])</f>
        <v>0</v>
      </c>
      <c r="AC45" s="119" t="n">
        <f aca="false">SUMIFS(tabela_registros[VALOR],tabela_registros[MÊS],$AE$1,tabela_registros[DIA],agototal3059718395107119[[#Headers],[25]],tabela_registros[REGISTRO],DADOS!$N$4,tabela_registros[TIPO],DADOS!$P$3,tabela_registros[CATEGORIA],despesafixaconsolidadoago[[#This Row],[DESPESA FIXA]])</f>
        <v>0</v>
      </c>
      <c r="AD45" s="119" t="n">
        <f aca="false">SUMIFS(tabela_registros[VALOR],tabela_registros[MÊS],$AE$1,tabela_registros[DIA],agototal3059718395107119[[#Headers],[26]],tabela_registros[REGISTRO],DADOS!$N$4,tabela_registros[TIPO],DADOS!$P$3,tabela_registros[CATEGORIA],despesafixaconsolidadoago[[#This Row],[DESPESA FIXA]])</f>
        <v>0</v>
      </c>
      <c r="AE45" s="119" t="n">
        <f aca="false">SUMIFS(tabela_registros[VALOR],tabela_registros[MÊS],$AE$1,tabela_registros[DIA],agototal3059718395107119[[#Headers],[27]],tabela_registros[REGISTRO],DADOS!$N$4,tabela_registros[TIPO],DADOS!$P$3,tabela_registros[CATEGORIA],despesafixaconsolidadoago[[#This Row],[DESPESA FIXA]])</f>
        <v>0</v>
      </c>
      <c r="AF45" s="119" t="n">
        <f aca="false">SUMIFS(tabela_registros[VALOR],tabela_registros[MÊS],$AE$1,tabela_registros[DIA],agototal3059718395107119[[#Headers],[28]],tabela_registros[REGISTRO],DADOS!$N$4,tabela_registros[TIPO],DADOS!$P$3,tabela_registros[CATEGORIA],despesafixaconsolidadoago[[#This Row],[DESPESA FIXA]])</f>
        <v>0</v>
      </c>
      <c r="AG45" s="119" t="n">
        <f aca="false">SUMIFS(tabela_registros[VALOR],tabela_registros[MÊS],$AE$1,tabela_registros[DIA],agototal3059718395107119[[#Headers],[29]],tabela_registros[REGISTRO],DADOS!$N$4,tabela_registros[TIPO],DADOS!$P$3,tabela_registros[CATEGORIA],despesafixaconsolidadoago[[#This Row],[DESPESA FIXA]])</f>
        <v>0</v>
      </c>
      <c r="AH45" s="119" t="n">
        <f aca="false">SUMIFS(tabela_registros[VALOR],tabela_registros[MÊS],$AE$1,tabela_registros[DIA],agototal3059718395107119[[#Headers],[30]],tabela_registros[REGISTRO],DADOS!$N$4,tabela_registros[TIPO],DADOS!$P$3,tabela_registros[CATEGORIA],despesafixaconsolidadoago[[#This Row],[DESPESA FIXA]])</f>
        <v>0</v>
      </c>
      <c r="AI45" s="217" t="n">
        <f aca="false">SUMIFS(tabela_registros[VALOR],tabela_registros[MÊS],$AE$1,tabela_registros[DIA],agototal3059718395107119[[#Headers],[31]],tabela_registros[REGISTRO],DADOS!$N$4,tabela_registros[TIPO],DADOS!$P$3,tabela_registros[CATEGORIA],despesafixaconsolidadoago[[#This Row],[DESPESA FIXA]])</f>
        <v>0</v>
      </c>
      <c r="AJ45" s="149" t="n">
        <f aca="false">SUM(despesafixaconsolidadoago[[#This Row],[1]:[31]])</f>
        <v>0</v>
      </c>
      <c r="AK45" s="143"/>
    </row>
    <row r="46" customFormat="false" ht="18" hidden="false" customHeight="true" outlineLevel="0" collapsed="false">
      <c r="B46" s="143"/>
      <c r="C46" s="144" t="str">
        <f aca="false">DADOS!$R$12</f>
        <v>🖱️ INTERNET</v>
      </c>
      <c r="D46" s="145" t="str">
        <f aca="false">IF(despesafixaconsolidadoago[[#This Row],[TOTAL]]=0,"",IF(OR(despesafixaconsolidadoago[[#This Row],[TOTAL]]=LARGE($AJ$37:$AJ$50,1),despesafixaconsolidadoago[[#This Row],[TOTAL]]=LARGE($AJ$37:$AJ$50,2),despesafixaconsolidadoago[[#This Row],[TOTAL]]=LARGE($AJ$37:$AJ$50,3),despesafixaconsolidadoago[[#This Row],[TOTAL]]=LARGE($AJ$37:$AJ$50,4),despesafixaconsolidadoago[[#This Row],[TOTAL]]=LARGE($AJ$37:$AJ$50,5)),DADOS!$I$8,""))</f>
        <v/>
      </c>
      <c r="E46" s="148" t="n">
        <f aca="false">SUMIFS(tabela_registros[VALOR],tabela_registros[MÊS],$AE$1,tabela_registros[DIA],agototal3059718395107119[[#Headers],[1]],tabela_registros[REGISTRO],DADOS!$N$4,tabela_registros[TIPO],DADOS!$P$3,tabela_registros[CATEGORIA],despesafixaconsolidadoago[[#This Row],[DESPESA FIXA]])</f>
        <v>0</v>
      </c>
      <c r="F46" s="119" t="n">
        <f aca="false">SUMIFS(tabela_registros[VALOR],tabela_registros[MÊS],$AE$1,tabela_registros[DIA],agototal3059718395107119[[#Headers],[2]],tabela_registros[REGISTRO],DADOS!$N$4,tabela_registros[TIPO],DADOS!$P$3,tabela_registros[CATEGORIA],despesafixaconsolidadoago[[#This Row],[DESPESA FIXA]])</f>
        <v>0</v>
      </c>
      <c r="G46" s="119" t="n">
        <f aca="false">SUMIFS(tabela_registros[VALOR],tabela_registros[MÊS],$AE$1,tabela_registros[DIA],agototal3059718395107119[[#Headers],[3]],tabela_registros[REGISTRO],DADOS!$N$4,tabela_registros[TIPO],DADOS!$P$3,tabela_registros[CATEGORIA],despesafixaconsolidadoago[[#This Row],[DESPESA FIXA]])</f>
        <v>0</v>
      </c>
      <c r="H46" s="119" t="n">
        <f aca="false">SUMIFS(tabela_registros[VALOR],tabela_registros[MÊS],$AE$1,tabela_registros[DIA],agototal3059718395107119[[#Headers],[4]],tabela_registros[REGISTRO],DADOS!$N$4,tabela_registros[TIPO],DADOS!$P$3,tabela_registros[CATEGORIA],despesafixaconsolidadoago[[#This Row],[DESPESA FIXA]])</f>
        <v>0</v>
      </c>
      <c r="I46" s="119" t="n">
        <f aca="false">SUMIFS(tabela_registros[VALOR],tabela_registros[MÊS],$AE$1,tabela_registros[DIA],agototal3059718395107119[[#Headers],[5]],tabela_registros[REGISTRO],DADOS!$N$4,tabela_registros[TIPO],DADOS!$P$3,tabela_registros[CATEGORIA],despesafixaconsolidadoago[[#This Row],[DESPESA FIXA]])</f>
        <v>0</v>
      </c>
      <c r="J46" s="119" t="n">
        <f aca="false">SUMIFS(tabela_registros[VALOR],tabela_registros[MÊS],$AE$1,tabela_registros[DIA],agototal3059718395107119[[#Headers],[6]],tabela_registros[REGISTRO],DADOS!$N$4,tabela_registros[TIPO],DADOS!$P$3,tabela_registros[CATEGORIA],despesafixaconsolidadoago[[#This Row],[DESPESA FIXA]])</f>
        <v>0</v>
      </c>
      <c r="K46" s="119" t="n">
        <f aca="false">SUMIFS(tabela_registros[VALOR],tabela_registros[MÊS],$AE$1,tabela_registros[DIA],agototal3059718395107119[[#Headers],[7]],tabela_registros[REGISTRO],DADOS!$N$4,tabela_registros[TIPO],DADOS!$P$3,tabela_registros[CATEGORIA],despesafixaconsolidadoago[[#This Row],[DESPESA FIXA]])</f>
        <v>0</v>
      </c>
      <c r="L46" s="119" t="n">
        <f aca="false">SUMIFS(tabela_registros[VALOR],tabela_registros[MÊS],$AE$1,tabela_registros[DIA],agototal3059718395107119[[#Headers],[8]],tabela_registros[REGISTRO],DADOS!$N$4,tabela_registros[TIPO],DADOS!$P$3,tabela_registros[CATEGORIA],despesafixaconsolidadoago[[#This Row],[DESPESA FIXA]])</f>
        <v>0</v>
      </c>
      <c r="M46" s="119" t="n">
        <f aca="false">SUMIFS(tabela_registros[VALOR],tabela_registros[MÊS],$AE$1,tabela_registros[DIA],agototal3059718395107119[[#Headers],[9]],tabela_registros[REGISTRO],DADOS!$N$4,tabela_registros[TIPO],DADOS!$P$3,tabela_registros[CATEGORIA],despesafixaconsolidadoago[[#This Row],[DESPESA FIXA]])</f>
        <v>0</v>
      </c>
      <c r="N46" s="119" t="n">
        <f aca="false">SUMIFS(tabela_registros[VALOR],tabela_registros[MÊS],$AE$1,tabela_registros[DIA],agototal3059718395107119[[#Headers],[10]],tabela_registros[REGISTRO],DADOS!$N$4,tabela_registros[TIPO],DADOS!$P$3,tabela_registros[CATEGORIA],despesafixaconsolidadoago[[#This Row],[DESPESA FIXA]])</f>
        <v>0</v>
      </c>
      <c r="O46" s="119" t="n">
        <f aca="false">SUMIFS(tabela_registros[VALOR],tabela_registros[MÊS],$AE$1,tabela_registros[DIA],agototal3059718395107119[[#Headers],[11]],tabela_registros[REGISTRO],DADOS!$N$4,tabela_registros[TIPO],DADOS!$P$3,tabela_registros[CATEGORIA],despesafixaconsolidadoago[[#This Row],[DESPESA FIXA]])</f>
        <v>0</v>
      </c>
      <c r="P46" s="119" t="n">
        <f aca="false">SUMIFS(tabela_registros[VALOR],tabela_registros[MÊS],$AE$1,tabela_registros[DIA],agototal3059718395107119[[#Headers],[12]],tabela_registros[REGISTRO],DADOS!$N$4,tabela_registros[TIPO],DADOS!$P$3,tabela_registros[CATEGORIA],despesafixaconsolidadoago[[#This Row],[DESPESA FIXA]])</f>
        <v>0</v>
      </c>
      <c r="Q46" s="119" t="n">
        <f aca="false">SUMIFS(tabela_registros[VALOR],tabela_registros[MÊS],$AE$1,tabela_registros[DIA],agototal3059718395107119[[#Headers],[13]],tabela_registros[REGISTRO],DADOS!$N$4,tabela_registros[TIPO],DADOS!$P$3,tabela_registros[CATEGORIA],despesafixaconsolidadoago[[#This Row],[DESPESA FIXA]])</f>
        <v>0</v>
      </c>
      <c r="R46" s="119" t="n">
        <f aca="false">SUMIFS(tabela_registros[VALOR],tabela_registros[MÊS],$AE$1,tabela_registros[DIA],agototal3059718395107119[[#Headers],[14]],tabela_registros[REGISTRO],DADOS!$N$4,tabela_registros[TIPO],DADOS!$P$3,tabela_registros[CATEGORIA],despesafixaconsolidadoago[[#This Row],[DESPESA FIXA]])</f>
        <v>0</v>
      </c>
      <c r="S46" s="119" t="n">
        <f aca="false">SUMIFS(tabela_registros[VALOR],tabela_registros[MÊS],$AE$1,tabela_registros[DIA],agototal3059718395107119[[#Headers],[15]],tabela_registros[REGISTRO],DADOS!$N$4,tabela_registros[TIPO],DADOS!$P$3,tabela_registros[CATEGORIA],despesafixaconsolidadoago[[#This Row],[DESPESA FIXA]])</f>
        <v>0</v>
      </c>
      <c r="T46" s="119" t="n">
        <f aca="false">SUMIFS(tabela_registros[VALOR],tabela_registros[MÊS],$AE$1,tabela_registros[DIA],agototal3059718395107119[[#Headers],[16]],tabela_registros[REGISTRO],DADOS!$N$4,tabela_registros[TIPO],DADOS!$P$3,tabela_registros[CATEGORIA],despesafixaconsolidadoago[[#This Row],[DESPESA FIXA]])</f>
        <v>0</v>
      </c>
      <c r="U46" s="119" t="n">
        <f aca="false">SUMIFS(tabela_registros[VALOR],tabela_registros[MÊS],$AE$1,tabela_registros[DIA],agototal3059718395107119[[#Headers],[17]],tabela_registros[REGISTRO],DADOS!$N$4,tabela_registros[TIPO],DADOS!$P$3,tabela_registros[CATEGORIA],despesafixaconsolidadoago[[#This Row],[DESPESA FIXA]])</f>
        <v>0</v>
      </c>
      <c r="V46" s="119" t="n">
        <f aca="false">SUMIFS(tabela_registros[VALOR],tabela_registros[MÊS],$AE$1,tabela_registros[DIA],agototal3059718395107119[[#Headers],[18]],tabela_registros[REGISTRO],DADOS!$N$4,tabela_registros[TIPO],DADOS!$P$3,tabela_registros[CATEGORIA],despesafixaconsolidadoago[[#This Row],[DESPESA FIXA]])</f>
        <v>0</v>
      </c>
      <c r="W46" s="119" t="n">
        <f aca="false">SUMIFS(tabela_registros[VALOR],tabela_registros[MÊS],$AE$1,tabela_registros[DIA],agototal3059718395107119[[#Headers],[19]],tabela_registros[REGISTRO],DADOS!$N$4,tabela_registros[TIPO],DADOS!$P$3,tabela_registros[CATEGORIA],despesafixaconsolidadoago[[#This Row],[DESPESA FIXA]])</f>
        <v>0</v>
      </c>
      <c r="X46" s="119" t="n">
        <f aca="false">SUMIFS(tabela_registros[VALOR],tabela_registros[MÊS],$AE$1,tabela_registros[DIA],agototal3059718395107119[[#Headers],[20]],tabela_registros[REGISTRO],DADOS!$N$4,tabela_registros[TIPO],DADOS!$P$3,tabela_registros[CATEGORIA],despesafixaconsolidadoago[[#This Row],[DESPESA FIXA]])</f>
        <v>0</v>
      </c>
      <c r="Y46" s="119" t="n">
        <f aca="false">SUMIFS(tabela_registros[VALOR],tabela_registros[MÊS],$AE$1,tabela_registros[DIA],agototal3059718395107119[[#Headers],[21]],tabela_registros[REGISTRO],DADOS!$N$4,tabela_registros[TIPO],DADOS!$P$3,tabela_registros[CATEGORIA],despesafixaconsolidadoago[[#This Row],[DESPESA FIXA]])</f>
        <v>0</v>
      </c>
      <c r="Z46" s="119" t="n">
        <f aca="false">SUMIFS(tabela_registros[VALOR],tabela_registros[MÊS],$AE$1,tabela_registros[DIA],agototal3059718395107119[[#Headers],[22]],tabela_registros[REGISTRO],DADOS!$N$4,tabela_registros[TIPO],DADOS!$P$3,tabela_registros[CATEGORIA],despesafixaconsolidadoago[[#This Row],[DESPESA FIXA]])</f>
        <v>0</v>
      </c>
      <c r="AA46" s="119" t="n">
        <f aca="false">SUMIFS(tabela_registros[VALOR],tabela_registros[MÊS],$AE$1,tabela_registros[DIA],agototal3059718395107119[[#Headers],[23]],tabela_registros[REGISTRO],DADOS!$N$4,tabela_registros[TIPO],DADOS!$P$3,tabela_registros[CATEGORIA],despesafixaconsolidadoago[[#This Row],[DESPESA FIXA]])</f>
        <v>0</v>
      </c>
      <c r="AB46" s="119" t="n">
        <f aca="false">SUMIFS(tabela_registros[VALOR],tabela_registros[MÊS],$AE$1,tabela_registros[DIA],agototal3059718395107119[[#Headers],[24]],tabela_registros[REGISTRO],DADOS!$N$4,tabela_registros[TIPO],DADOS!$P$3,tabela_registros[CATEGORIA],despesafixaconsolidadoago[[#This Row],[DESPESA FIXA]])</f>
        <v>0</v>
      </c>
      <c r="AC46" s="119" t="n">
        <f aca="false">SUMIFS(tabela_registros[VALOR],tabela_registros[MÊS],$AE$1,tabela_registros[DIA],agototal3059718395107119[[#Headers],[25]],tabela_registros[REGISTRO],DADOS!$N$4,tabela_registros[TIPO],DADOS!$P$3,tabela_registros[CATEGORIA],despesafixaconsolidadoago[[#This Row],[DESPESA FIXA]])</f>
        <v>0</v>
      </c>
      <c r="AD46" s="119" t="n">
        <f aca="false">SUMIFS(tabela_registros[VALOR],tabela_registros[MÊS],$AE$1,tabela_registros[DIA],agototal3059718395107119[[#Headers],[26]],tabela_registros[REGISTRO],DADOS!$N$4,tabela_registros[TIPO],DADOS!$P$3,tabela_registros[CATEGORIA],despesafixaconsolidadoago[[#This Row],[DESPESA FIXA]])</f>
        <v>0</v>
      </c>
      <c r="AE46" s="119" t="n">
        <f aca="false">SUMIFS(tabela_registros[VALOR],tabela_registros[MÊS],$AE$1,tabela_registros[DIA],agototal3059718395107119[[#Headers],[27]],tabela_registros[REGISTRO],DADOS!$N$4,tabela_registros[TIPO],DADOS!$P$3,tabela_registros[CATEGORIA],despesafixaconsolidadoago[[#This Row],[DESPESA FIXA]])</f>
        <v>0</v>
      </c>
      <c r="AF46" s="119" t="n">
        <f aca="false">SUMIFS(tabela_registros[VALOR],tabela_registros[MÊS],$AE$1,tabela_registros[DIA],agototal3059718395107119[[#Headers],[28]],tabela_registros[REGISTRO],DADOS!$N$4,tabela_registros[TIPO],DADOS!$P$3,tabela_registros[CATEGORIA],despesafixaconsolidadoago[[#This Row],[DESPESA FIXA]])</f>
        <v>0</v>
      </c>
      <c r="AG46" s="119" t="n">
        <f aca="false">SUMIFS(tabela_registros[VALOR],tabela_registros[MÊS],$AE$1,tabela_registros[DIA],agototal3059718395107119[[#Headers],[29]],tabela_registros[REGISTRO],DADOS!$N$4,tabela_registros[TIPO],DADOS!$P$3,tabela_registros[CATEGORIA],despesafixaconsolidadoago[[#This Row],[DESPESA FIXA]])</f>
        <v>0</v>
      </c>
      <c r="AH46" s="119" t="n">
        <f aca="false">SUMIFS(tabela_registros[VALOR],tabela_registros[MÊS],$AE$1,tabela_registros[DIA],agototal3059718395107119[[#Headers],[30]],tabela_registros[REGISTRO],DADOS!$N$4,tabela_registros[TIPO],DADOS!$P$3,tabela_registros[CATEGORIA],despesafixaconsolidadoago[[#This Row],[DESPESA FIXA]])</f>
        <v>0</v>
      </c>
      <c r="AI46" s="217" t="n">
        <f aca="false">SUMIFS(tabela_registros[VALOR],tabela_registros[MÊS],$AE$1,tabela_registros[DIA],agototal3059718395107119[[#Headers],[31]],tabela_registros[REGISTRO],DADOS!$N$4,tabela_registros[TIPO],DADOS!$P$3,tabela_registros[CATEGORIA],despesafixaconsolidadoago[[#This Row],[DESPESA FIXA]])</f>
        <v>0</v>
      </c>
      <c r="AJ46" s="149" t="n">
        <f aca="false">SUM(despesafixaconsolidadoago[[#This Row],[1]:[31]])</f>
        <v>0</v>
      </c>
      <c r="AK46" s="143"/>
    </row>
    <row r="47" customFormat="false" ht="18" hidden="false" customHeight="true" outlineLevel="0" collapsed="false">
      <c r="B47" s="143"/>
      <c r="C47" s="144" t="str">
        <f aca="false">DADOS!$R$13</f>
        <v>🏠 MORADIA</v>
      </c>
      <c r="D47" s="145" t="str">
        <f aca="false">IF(despesafixaconsolidadoago[[#This Row],[TOTAL]]=0,"",IF(OR(despesafixaconsolidadoago[[#This Row],[TOTAL]]=LARGE($AJ$37:$AJ$50,1),despesafixaconsolidadoago[[#This Row],[TOTAL]]=LARGE($AJ$37:$AJ$50,2),despesafixaconsolidadoago[[#This Row],[TOTAL]]=LARGE($AJ$37:$AJ$50,3),despesafixaconsolidadoago[[#This Row],[TOTAL]]=LARGE($AJ$37:$AJ$50,4),despesafixaconsolidadoago[[#This Row],[TOTAL]]=LARGE($AJ$37:$AJ$50,5)),DADOS!$I$8,""))</f>
        <v/>
      </c>
      <c r="E47" s="148" t="n">
        <f aca="false">SUMIFS(tabela_registros[VALOR],tabela_registros[MÊS],$AE$1,tabela_registros[DIA],agototal3059718395107119[[#Headers],[1]],tabela_registros[REGISTRO],DADOS!$N$4,tabela_registros[TIPO],DADOS!$P$3,tabela_registros[CATEGORIA],despesafixaconsolidadoago[[#This Row],[DESPESA FIXA]])</f>
        <v>0</v>
      </c>
      <c r="F47" s="119" t="n">
        <f aca="false">SUMIFS(tabela_registros[VALOR],tabela_registros[MÊS],$AE$1,tabela_registros[DIA],agototal3059718395107119[[#Headers],[2]],tabela_registros[REGISTRO],DADOS!$N$4,tabela_registros[TIPO],DADOS!$P$3,tabela_registros[CATEGORIA],despesafixaconsolidadoago[[#This Row],[DESPESA FIXA]])</f>
        <v>0</v>
      </c>
      <c r="G47" s="119" t="n">
        <f aca="false">SUMIFS(tabela_registros[VALOR],tabela_registros[MÊS],$AE$1,tabela_registros[DIA],agototal3059718395107119[[#Headers],[3]],tabela_registros[REGISTRO],DADOS!$N$4,tabela_registros[TIPO],DADOS!$P$3,tabela_registros[CATEGORIA],despesafixaconsolidadoago[[#This Row],[DESPESA FIXA]])</f>
        <v>0</v>
      </c>
      <c r="H47" s="119" t="n">
        <f aca="false">SUMIFS(tabela_registros[VALOR],tabela_registros[MÊS],$AE$1,tabela_registros[DIA],agototal3059718395107119[[#Headers],[4]],tabela_registros[REGISTRO],DADOS!$N$4,tabela_registros[TIPO],DADOS!$P$3,tabela_registros[CATEGORIA],despesafixaconsolidadoago[[#This Row],[DESPESA FIXA]])</f>
        <v>0</v>
      </c>
      <c r="I47" s="119" t="n">
        <f aca="false">SUMIFS(tabela_registros[VALOR],tabela_registros[MÊS],$AE$1,tabela_registros[DIA],agototal3059718395107119[[#Headers],[5]],tabela_registros[REGISTRO],DADOS!$N$4,tabela_registros[TIPO],DADOS!$P$3,tabela_registros[CATEGORIA],despesafixaconsolidadoago[[#This Row],[DESPESA FIXA]])</f>
        <v>0</v>
      </c>
      <c r="J47" s="119" t="n">
        <f aca="false">SUMIFS(tabela_registros[VALOR],tabela_registros[MÊS],$AE$1,tabela_registros[DIA],agototal3059718395107119[[#Headers],[6]],tabela_registros[REGISTRO],DADOS!$N$4,tabela_registros[TIPO],DADOS!$P$3,tabela_registros[CATEGORIA],despesafixaconsolidadoago[[#This Row],[DESPESA FIXA]])</f>
        <v>0</v>
      </c>
      <c r="K47" s="119" t="n">
        <f aca="false">SUMIFS(tabela_registros[VALOR],tabela_registros[MÊS],$AE$1,tabela_registros[DIA],agototal3059718395107119[[#Headers],[7]],tabela_registros[REGISTRO],DADOS!$N$4,tabela_registros[TIPO],DADOS!$P$3,tabela_registros[CATEGORIA],despesafixaconsolidadoago[[#This Row],[DESPESA FIXA]])</f>
        <v>0</v>
      </c>
      <c r="L47" s="119" t="n">
        <f aca="false">SUMIFS(tabela_registros[VALOR],tabela_registros[MÊS],$AE$1,tabela_registros[DIA],agototal3059718395107119[[#Headers],[8]],tabela_registros[REGISTRO],DADOS!$N$4,tabela_registros[TIPO],DADOS!$P$3,tabela_registros[CATEGORIA],despesafixaconsolidadoago[[#This Row],[DESPESA FIXA]])</f>
        <v>0</v>
      </c>
      <c r="M47" s="119" t="n">
        <f aca="false">SUMIFS(tabela_registros[VALOR],tabela_registros[MÊS],$AE$1,tabela_registros[DIA],agototal3059718395107119[[#Headers],[9]],tabela_registros[REGISTRO],DADOS!$N$4,tabela_registros[TIPO],DADOS!$P$3,tabela_registros[CATEGORIA],despesafixaconsolidadoago[[#This Row],[DESPESA FIXA]])</f>
        <v>0</v>
      </c>
      <c r="N47" s="119" t="n">
        <f aca="false">SUMIFS(tabela_registros[VALOR],tabela_registros[MÊS],$AE$1,tabela_registros[DIA],agototal3059718395107119[[#Headers],[10]],tabela_registros[REGISTRO],DADOS!$N$4,tabela_registros[TIPO],DADOS!$P$3,tabela_registros[CATEGORIA],despesafixaconsolidadoago[[#This Row],[DESPESA FIXA]])</f>
        <v>0</v>
      </c>
      <c r="O47" s="119" t="n">
        <f aca="false">SUMIFS(tabela_registros[VALOR],tabela_registros[MÊS],$AE$1,tabela_registros[DIA],agototal3059718395107119[[#Headers],[11]],tabela_registros[REGISTRO],DADOS!$N$4,tabela_registros[TIPO],DADOS!$P$3,tabela_registros[CATEGORIA],despesafixaconsolidadoago[[#This Row],[DESPESA FIXA]])</f>
        <v>0</v>
      </c>
      <c r="P47" s="119" t="n">
        <f aca="false">SUMIFS(tabela_registros[VALOR],tabela_registros[MÊS],$AE$1,tabela_registros[DIA],agototal3059718395107119[[#Headers],[12]],tabela_registros[REGISTRO],DADOS!$N$4,tabela_registros[TIPO],DADOS!$P$3,tabela_registros[CATEGORIA],despesafixaconsolidadoago[[#This Row],[DESPESA FIXA]])</f>
        <v>0</v>
      </c>
      <c r="Q47" s="119" t="n">
        <f aca="false">SUMIFS(tabela_registros[VALOR],tabela_registros[MÊS],$AE$1,tabela_registros[DIA],agototal3059718395107119[[#Headers],[13]],tabela_registros[REGISTRO],DADOS!$N$4,tabela_registros[TIPO],DADOS!$P$3,tabela_registros[CATEGORIA],despesafixaconsolidadoago[[#This Row],[DESPESA FIXA]])</f>
        <v>0</v>
      </c>
      <c r="R47" s="119" t="n">
        <f aca="false">SUMIFS(tabela_registros[VALOR],tabela_registros[MÊS],$AE$1,tabela_registros[DIA],agototal3059718395107119[[#Headers],[14]],tabela_registros[REGISTRO],DADOS!$N$4,tabela_registros[TIPO],DADOS!$P$3,tabela_registros[CATEGORIA],despesafixaconsolidadoago[[#This Row],[DESPESA FIXA]])</f>
        <v>0</v>
      </c>
      <c r="S47" s="119" t="n">
        <f aca="false">SUMIFS(tabela_registros[VALOR],tabela_registros[MÊS],$AE$1,tabela_registros[DIA],agototal3059718395107119[[#Headers],[15]],tabela_registros[REGISTRO],DADOS!$N$4,tabela_registros[TIPO],DADOS!$P$3,tabela_registros[CATEGORIA],despesafixaconsolidadoago[[#This Row],[DESPESA FIXA]])</f>
        <v>0</v>
      </c>
      <c r="T47" s="119" t="n">
        <f aca="false">SUMIFS(tabela_registros[VALOR],tabela_registros[MÊS],$AE$1,tabela_registros[DIA],agototal3059718395107119[[#Headers],[16]],tabela_registros[REGISTRO],DADOS!$N$4,tabela_registros[TIPO],DADOS!$P$3,tabela_registros[CATEGORIA],despesafixaconsolidadoago[[#This Row],[DESPESA FIXA]])</f>
        <v>0</v>
      </c>
      <c r="U47" s="119" t="n">
        <f aca="false">SUMIFS(tabela_registros[VALOR],tabela_registros[MÊS],$AE$1,tabela_registros[DIA],agototal3059718395107119[[#Headers],[17]],tabela_registros[REGISTRO],DADOS!$N$4,tabela_registros[TIPO],DADOS!$P$3,tabela_registros[CATEGORIA],despesafixaconsolidadoago[[#This Row],[DESPESA FIXA]])</f>
        <v>0</v>
      </c>
      <c r="V47" s="119" t="n">
        <f aca="false">SUMIFS(tabela_registros[VALOR],tabela_registros[MÊS],$AE$1,tabela_registros[DIA],agototal3059718395107119[[#Headers],[18]],tabela_registros[REGISTRO],DADOS!$N$4,tabela_registros[TIPO],DADOS!$P$3,tabela_registros[CATEGORIA],despesafixaconsolidadoago[[#This Row],[DESPESA FIXA]])</f>
        <v>0</v>
      </c>
      <c r="W47" s="119" t="n">
        <f aca="false">SUMIFS(tabela_registros[VALOR],tabela_registros[MÊS],$AE$1,tabela_registros[DIA],agototal3059718395107119[[#Headers],[19]],tabela_registros[REGISTRO],DADOS!$N$4,tabela_registros[TIPO],DADOS!$P$3,tabela_registros[CATEGORIA],despesafixaconsolidadoago[[#This Row],[DESPESA FIXA]])</f>
        <v>0</v>
      </c>
      <c r="X47" s="119" t="n">
        <f aca="false">SUMIFS(tabela_registros[VALOR],tabela_registros[MÊS],$AE$1,tabela_registros[DIA],agototal3059718395107119[[#Headers],[20]],tabela_registros[REGISTRO],DADOS!$N$4,tabela_registros[TIPO],DADOS!$P$3,tabela_registros[CATEGORIA],despesafixaconsolidadoago[[#This Row],[DESPESA FIXA]])</f>
        <v>0</v>
      </c>
      <c r="Y47" s="119" t="n">
        <f aca="false">SUMIFS(tabela_registros[VALOR],tabela_registros[MÊS],$AE$1,tabela_registros[DIA],agototal3059718395107119[[#Headers],[21]],tabela_registros[REGISTRO],DADOS!$N$4,tabela_registros[TIPO],DADOS!$P$3,tabela_registros[CATEGORIA],despesafixaconsolidadoago[[#This Row],[DESPESA FIXA]])</f>
        <v>0</v>
      </c>
      <c r="Z47" s="119" t="n">
        <f aca="false">SUMIFS(tabela_registros[VALOR],tabela_registros[MÊS],$AE$1,tabela_registros[DIA],agototal3059718395107119[[#Headers],[22]],tabela_registros[REGISTRO],DADOS!$N$4,tabela_registros[TIPO],DADOS!$P$3,tabela_registros[CATEGORIA],despesafixaconsolidadoago[[#This Row],[DESPESA FIXA]])</f>
        <v>0</v>
      </c>
      <c r="AA47" s="119" t="n">
        <f aca="false">SUMIFS(tabela_registros[VALOR],tabela_registros[MÊS],$AE$1,tabela_registros[DIA],agototal3059718395107119[[#Headers],[23]],tabela_registros[REGISTRO],DADOS!$N$4,tabela_registros[TIPO],DADOS!$P$3,tabela_registros[CATEGORIA],despesafixaconsolidadoago[[#This Row],[DESPESA FIXA]])</f>
        <v>0</v>
      </c>
      <c r="AB47" s="119" t="n">
        <f aca="false">SUMIFS(tabela_registros[VALOR],tabela_registros[MÊS],$AE$1,tabela_registros[DIA],agototal3059718395107119[[#Headers],[24]],tabela_registros[REGISTRO],DADOS!$N$4,tabela_registros[TIPO],DADOS!$P$3,tabela_registros[CATEGORIA],despesafixaconsolidadoago[[#This Row],[DESPESA FIXA]])</f>
        <v>0</v>
      </c>
      <c r="AC47" s="119" t="n">
        <f aca="false">SUMIFS(tabela_registros[VALOR],tabela_registros[MÊS],$AE$1,tabela_registros[DIA],agototal3059718395107119[[#Headers],[25]],tabela_registros[REGISTRO],DADOS!$N$4,tabela_registros[TIPO],DADOS!$P$3,tabela_registros[CATEGORIA],despesafixaconsolidadoago[[#This Row],[DESPESA FIXA]])</f>
        <v>0</v>
      </c>
      <c r="AD47" s="119" t="n">
        <f aca="false">SUMIFS(tabela_registros[VALOR],tabela_registros[MÊS],$AE$1,tabela_registros[DIA],agototal3059718395107119[[#Headers],[26]],tabela_registros[REGISTRO],DADOS!$N$4,tabela_registros[TIPO],DADOS!$P$3,tabela_registros[CATEGORIA],despesafixaconsolidadoago[[#This Row],[DESPESA FIXA]])</f>
        <v>0</v>
      </c>
      <c r="AE47" s="119" t="n">
        <f aca="false">SUMIFS(tabela_registros[VALOR],tabela_registros[MÊS],$AE$1,tabela_registros[DIA],agototal3059718395107119[[#Headers],[27]],tabela_registros[REGISTRO],DADOS!$N$4,tabela_registros[TIPO],DADOS!$P$3,tabela_registros[CATEGORIA],despesafixaconsolidadoago[[#This Row],[DESPESA FIXA]])</f>
        <v>0</v>
      </c>
      <c r="AF47" s="119" t="n">
        <f aca="false">SUMIFS(tabela_registros[VALOR],tabela_registros[MÊS],$AE$1,tabela_registros[DIA],agototal3059718395107119[[#Headers],[28]],tabela_registros[REGISTRO],DADOS!$N$4,tabela_registros[TIPO],DADOS!$P$3,tabela_registros[CATEGORIA],despesafixaconsolidadoago[[#This Row],[DESPESA FIXA]])</f>
        <v>0</v>
      </c>
      <c r="AG47" s="119" t="n">
        <f aca="false">SUMIFS(tabela_registros[VALOR],tabela_registros[MÊS],$AE$1,tabela_registros[DIA],agototal3059718395107119[[#Headers],[29]],tabela_registros[REGISTRO],DADOS!$N$4,tabela_registros[TIPO],DADOS!$P$3,tabela_registros[CATEGORIA],despesafixaconsolidadoago[[#This Row],[DESPESA FIXA]])</f>
        <v>0</v>
      </c>
      <c r="AH47" s="119" t="n">
        <f aca="false">SUMIFS(tabela_registros[VALOR],tabela_registros[MÊS],$AE$1,tabela_registros[DIA],agototal3059718395107119[[#Headers],[30]],tabela_registros[REGISTRO],DADOS!$N$4,tabela_registros[TIPO],DADOS!$P$3,tabela_registros[CATEGORIA],despesafixaconsolidadoago[[#This Row],[DESPESA FIXA]])</f>
        <v>0</v>
      </c>
      <c r="AI47" s="217" t="n">
        <f aca="false">SUMIFS(tabela_registros[VALOR],tabela_registros[MÊS],$AE$1,tabela_registros[DIA],agototal3059718395107119[[#Headers],[31]],tabela_registros[REGISTRO],DADOS!$N$4,tabela_registros[TIPO],DADOS!$P$3,tabela_registros[CATEGORIA],despesafixaconsolidadoago[[#This Row],[DESPESA FIXA]])</f>
        <v>0</v>
      </c>
      <c r="AJ47" s="149" t="n">
        <f aca="false">SUM(despesafixaconsolidadoago[[#This Row],[1]:[31]])</f>
        <v>0</v>
      </c>
      <c r="AK47" s="143"/>
    </row>
    <row r="48" customFormat="false" ht="18" hidden="false" customHeight="true" outlineLevel="0" collapsed="false">
      <c r="B48" s="143"/>
      <c r="C48" s="144" t="str">
        <f aca="false">DADOS!$R$14</f>
        <v>💊 SAÚDE</v>
      </c>
      <c r="D48" s="145" t="str">
        <f aca="false">IF(despesafixaconsolidadoago[[#This Row],[TOTAL]]=0,"",IF(OR(despesafixaconsolidadoago[[#This Row],[TOTAL]]=LARGE($AJ$37:$AJ$50,1),despesafixaconsolidadoago[[#This Row],[TOTAL]]=LARGE($AJ$37:$AJ$50,2),despesafixaconsolidadoago[[#This Row],[TOTAL]]=LARGE($AJ$37:$AJ$50,3),despesafixaconsolidadoago[[#This Row],[TOTAL]]=LARGE($AJ$37:$AJ$50,4),despesafixaconsolidadoago[[#This Row],[TOTAL]]=LARGE($AJ$37:$AJ$50,5)),DADOS!$I$8,""))</f>
        <v/>
      </c>
      <c r="E48" s="148" t="n">
        <f aca="false">SUMIFS(tabela_registros[VALOR],tabela_registros[MÊS],$AE$1,tabela_registros[DIA],agototal3059718395107119[[#Headers],[1]],tabela_registros[REGISTRO],DADOS!$N$4,tabela_registros[TIPO],DADOS!$P$3,tabela_registros[CATEGORIA],despesafixaconsolidadoago[[#This Row],[DESPESA FIXA]])</f>
        <v>0</v>
      </c>
      <c r="F48" s="119" t="n">
        <f aca="false">SUMIFS(tabela_registros[VALOR],tabela_registros[MÊS],$AE$1,tabela_registros[DIA],agototal3059718395107119[[#Headers],[2]],tabela_registros[REGISTRO],DADOS!$N$4,tabela_registros[TIPO],DADOS!$P$3,tabela_registros[CATEGORIA],despesafixaconsolidadoago[[#This Row],[DESPESA FIXA]])</f>
        <v>0</v>
      </c>
      <c r="G48" s="119" t="n">
        <f aca="false">SUMIFS(tabela_registros[VALOR],tabela_registros[MÊS],$AE$1,tabela_registros[DIA],agototal3059718395107119[[#Headers],[3]],tabela_registros[REGISTRO],DADOS!$N$4,tabela_registros[TIPO],DADOS!$P$3,tabela_registros[CATEGORIA],despesafixaconsolidadoago[[#This Row],[DESPESA FIXA]])</f>
        <v>0</v>
      </c>
      <c r="H48" s="119" t="n">
        <f aca="false">SUMIFS(tabela_registros[VALOR],tabela_registros[MÊS],$AE$1,tabela_registros[DIA],agototal3059718395107119[[#Headers],[4]],tabela_registros[REGISTRO],DADOS!$N$4,tabela_registros[TIPO],DADOS!$P$3,tabela_registros[CATEGORIA],despesafixaconsolidadoago[[#This Row],[DESPESA FIXA]])</f>
        <v>0</v>
      </c>
      <c r="I48" s="119" t="n">
        <f aca="false">SUMIFS(tabela_registros[VALOR],tabela_registros[MÊS],$AE$1,tabela_registros[DIA],agototal3059718395107119[[#Headers],[5]],tabela_registros[REGISTRO],DADOS!$N$4,tabela_registros[TIPO],DADOS!$P$3,tabela_registros[CATEGORIA],despesafixaconsolidadoago[[#This Row],[DESPESA FIXA]])</f>
        <v>0</v>
      </c>
      <c r="J48" s="119" t="n">
        <f aca="false">SUMIFS(tabela_registros[VALOR],tabela_registros[MÊS],$AE$1,tabela_registros[DIA],agototal3059718395107119[[#Headers],[6]],tabela_registros[REGISTRO],DADOS!$N$4,tabela_registros[TIPO],DADOS!$P$3,tabela_registros[CATEGORIA],despesafixaconsolidadoago[[#This Row],[DESPESA FIXA]])</f>
        <v>0</v>
      </c>
      <c r="K48" s="119" t="n">
        <f aca="false">SUMIFS(tabela_registros[VALOR],tabela_registros[MÊS],$AE$1,tabela_registros[DIA],agototal3059718395107119[[#Headers],[7]],tabela_registros[REGISTRO],DADOS!$N$4,tabela_registros[TIPO],DADOS!$P$3,tabela_registros[CATEGORIA],despesafixaconsolidadoago[[#This Row],[DESPESA FIXA]])</f>
        <v>0</v>
      </c>
      <c r="L48" s="119" t="n">
        <f aca="false">SUMIFS(tabela_registros[VALOR],tabela_registros[MÊS],$AE$1,tabela_registros[DIA],agototal3059718395107119[[#Headers],[8]],tabela_registros[REGISTRO],DADOS!$N$4,tabela_registros[TIPO],DADOS!$P$3,tabela_registros[CATEGORIA],despesafixaconsolidadoago[[#This Row],[DESPESA FIXA]])</f>
        <v>0</v>
      </c>
      <c r="M48" s="119" t="n">
        <f aca="false">SUMIFS(tabela_registros[VALOR],tabela_registros[MÊS],$AE$1,tabela_registros[DIA],agototal3059718395107119[[#Headers],[9]],tabela_registros[REGISTRO],DADOS!$N$4,tabela_registros[TIPO],DADOS!$P$3,tabela_registros[CATEGORIA],despesafixaconsolidadoago[[#This Row],[DESPESA FIXA]])</f>
        <v>0</v>
      </c>
      <c r="N48" s="119" t="n">
        <f aca="false">SUMIFS(tabela_registros[VALOR],tabela_registros[MÊS],$AE$1,tabela_registros[DIA],agototal3059718395107119[[#Headers],[10]],tabela_registros[REGISTRO],DADOS!$N$4,tabela_registros[TIPO],DADOS!$P$3,tabela_registros[CATEGORIA],despesafixaconsolidadoago[[#This Row],[DESPESA FIXA]])</f>
        <v>0</v>
      </c>
      <c r="O48" s="119" t="n">
        <f aca="false">SUMIFS(tabela_registros[VALOR],tabela_registros[MÊS],$AE$1,tabela_registros[DIA],agototal3059718395107119[[#Headers],[11]],tabela_registros[REGISTRO],DADOS!$N$4,tabela_registros[TIPO],DADOS!$P$3,tabela_registros[CATEGORIA],despesafixaconsolidadoago[[#This Row],[DESPESA FIXA]])</f>
        <v>0</v>
      </c>
      <c r="P48" s="119" t="n">
        <f aca="false">SUMIFS(tabela_registros[VALOR],tabela_registros[MÊS],$AE$1,tabela_registros[DIA],agototal3059718395107119[[#Headers],[12]],tabela_registros[REGISTRO],DADOS!$N$4,tabela_registros[TIPO],DADOS!$P$3,tabela_registros[CATEGORIA],despesafixaconsolidadoago[[#This Row],[DESPESA FIXA]])</f>
        <v>0</v>
      </c>
      <c r="Q48" s="119" t="n">
        <f aca="false">SUMIFS(tabela_registros[VALOR],tabela_registros[MÊS],$AE$1,tabela_registros[DIA],agototal3059718395107119[[#Headers],[13]],tabela_registros[REGISTRO],DADOS!$N$4,tabela_registros[TIPO],DADOS!$P$3,tabela_registros[CATEGORIA],despesafixaconsolidadoago[[#This Row],[DESPESA FIXA]])</f>
        <v>0</v>
      </c>
      <c r="R48" s="119" t="n">
        <f aca="false">SUMIFS(tabela_registros[VALOR],tabela_registros[MÊS],$AE$1,tabela_registros[DIA],agototal3059718395107119[[#Headers],[14]],tabela_registros[REGISTRO],DADOS!$N$4,tabela_registros[TIPO],DADOS!$P$3,tabela_registros[CATEGORIA],despesafixaconsolidadoago[[#This Row],[DESPESA FIXA]])</f>
        <v>0</v>
      </c>
      <c r="S48" s="119" t="n">
        <f aca="false">SUMIFS(tabela_registros[VALOR],tabela_registros[MÊS],$AE$1,tabela_registros[DIA],agototal3059718395107119[[#Headers],[15]],tabela_registros[REGISTRO],DADOS!$N$4,tabela_registros[TIPO],DADOS!$P$3,tabela_registros[CATEGORIA],despesafixaconsolidadoago[[#This Row],[DESPESA FIXA]])</f>
        <v>0</v>
      </c>
      <c r="T48" s="119" t="n">
        <f aca="false">SUMIFS(tabela_registros[VALOR],tabela_registros[MÊS],$AE$1,tabela_registros[DIA],agototal3059718395107119[[#Headers],[16]],tabela_registros[REGISTRO],DADOS!$N$4,tabela_registros[TIPO],DADOS!$P$3,tabela_registros[CATEGORIA],despesafixaconsolidadoago[[#This Row],[DESPESA FIXA]])</f>
        <v>0</v>
      </c>
      <c r="U48" s="119" t="n">
        <f aca="false">SUMIFS(tabela_registros[VALOR],tabela_registros[MÊS],$AE$1,tabela_registros[DIA],agototal3059718395107119[[#Headers],[17]],tabela_registros[REGISTRO],DADOS!$N$4,tabela_registros[TIPO],DADOS!$P$3,tabela_registros[CATEGORIA],despesafixaconsolidadoago[[#This Row],[DESPESA FIXA]])</f>
        <v>0</v>
      </c>
      <c r="V48" s="119" t="n">
        <f aca="false">SUMIFS(tabela_registros[VALOR],tabela_registros[MÊS],$AE$1,tabela_registros[DIA],agototal3059718395107119[[#Headers],[18]],tabela_registros[REGISTRO],DADOS!$N$4,tabela_registros[TIPO],DADOS!$P$3,tabela_registros[CATEGORIA],despesafixaconsolidadoago[[#This Row],[DESPESA FIXA]])</f>
        <v>0</v>
      </c>
      <c r="W48" s="119" t="n">
        <f aca="false">SUMIFS(tabela_registros[VALOR],tabela_registros[MÊS],$AE$1,tabela_registros[DIA],agototal3059718395107119[[#Headers],[19]],tabela_registros[REGISTRO],DADOS!$N$4,tabela_registros[TIPO],DADOS!$P$3,tabela_registros[CATEGORIA],despesafixaconsolidadoago[[#This Row],[DESPESA FIXA]])</f>
        <v>0</v>
      </c>
      <c r="X48" s="119" t="n">
        <f aca="false">SUMIFS(tabela_registros[VALOR],tabela_registros[MÊS],$AE$1,tabela_registros[DIA],agototal3059718395107119[[#Headers],[20]],tabela_registros[REGISTRO],DADOS!$N$4,tabela_registros[TIPO],DADOS!$P$3,tabela_registros[CATEGORIA],despesafixaconsolidadoago[[#This Row],[DESPESA FIXA]])</f>
        <v>0</v>
      </c>
      <c r="Y48" s="119" t="n">
        <f aca="false">SUMIFS(tabela_registros[VALOR],tabela_registros[MÊS],$AE$1,tabela_registros[DIA],agototal3059718395107119[[#Headers],[21]],tabela_registros[REGISTRO],DADOS!$N$4,tabela_registros[TIPO],DADOS!$P$3,tabela_registros[CATEGORIA],despesafixaconsolidadoago[[#This Row],[DESPESA FIXA]])</f>
        <v>0</v>
      </c>
      <c r="Z48" s="119" t="n">
        <f aca="false">SUMIFS(tabela_registros[VALOR],tabela_registros[MÊS],$AE$1,tabela_registros[DIA],agototal3059718395107119[[#Headers],[22]],tabela_registros[REGISTRO],DADOS!$N$4,tabela_registros[TIPO],DADOS!$P$3,tabela_registros[CATEGORIA],despesafixaconsolidadoago[[#This Row],[DESPESA FIXA]])</f>
        <v>0</v>
      </c>
      <c r="AA48" s="119" t="n">
        <f aca="false">SUMIFS(tabela_registros[VALOR],tabela_registros[MÊS],$AE$1,tabela_registros[DIA],agototal3059718395107119[[#Headers],[23]],tabela_registros[REGISTRO],DADOS!$N$4,tabela_registros[TIPO],DADOS!$P$3,tabela_registros[CATEGORIA],despesafixaconsolidadoago[[#This Row],[DESPESA FIXA]])</f>
        <v>0</v>
      </c>
      <c r="AB48" s="119" t="n">
        <f aca="false">SUMIFS(tabela_registros[VALOR],tabela_registros[MÊS],$AE$1,tabela_registros[DIA],agototal3059718395107119[[#Headers],[24]],tabela_registros[REGISTRO],DADOS!$N$4,tabela_registros[TIPO],DADOS!$P$3,tabela_registros[CATEGORIA],despesafixaconsolidadoago[[#This Row],[DESPESA FIXA]])</f>
        <v>0</v>
      </c>
      <c r="AC48" s="119" t="n">
        <f aca="false">SUMIFS(tabela_registros[VALOR],tabela_registros[MÊS],$AE$1,tabela_registros[DIA],agototal3059718395107119[[#Headers],[25]],tabela_registros[REGISTRO],DADOS!$N$4,tabela_registros[TIPO],DADOS!$P$3,tabela_registros[CATEGORIA],despesafixaconsolidadoago[[#This Row],[DESPESA FIXA]])</f>
        <v>0</v>
      </c>
      <c r="AD48" s="119" t="n">
        <f aca="false">SUMIFS(tabela_registros[VALOR],tabela_registros[MÊS],$AE$1,tabela_registros[DIA],agototal3059718395107119[[#Headers],[26]],tabela_registros[REGISTRO],DADOS!$N$4,tabela_registros[TIPO],DADOS!$P$3,tabela_registros[CATEGORIA],despesafixaconsolidadoago[[#This Row],[DESPESA FIXA]])</f>
        <v>0</v>
      </c>
      <c r="AE48" s="119" t="n">
        <f aca="false">SUMIFS(tabela_registros[VALOR],tabela_registros[MÊS],$AE$1,tabela_registros[DIA],agototal3059718395107119[[#Headers],[27]],tabela_registros[REGISTRO],DADOS!$N$4,tabela_registros[TIPO],DADOS!$P$3,tabela_registros[CATEGORIA],despesafixaconsolidadoago[[#This Row],[DESPESA FIXA]])</f>
        <v>0</v>
      </c>
      <c r="AF48" s="119" t="n">
        <f aca="false">SUMIFS(tabela_registros[VALOR],tabela_registros[MÊS],$AE$1,tabela_registros[DIA],agototal3059718395107119[[#Headers],[28]],tabela_registros[REGISTRO],DADOS!$N$4,tabela_registros[TIPO],DADOS!$P$3,tabela_registros[CATEGORIA],despesafixaconsolidadoago[[#This Row],[DESPESA FIXA]])</f>
        <v>0</v>
      </c>
      <c r="AG48" s="119" t="n">
        <f aca="false">SUMIFS(tabela_registros[VALOR],tabela_registros[MÊS],$AE$1,tabela_registros[DIA],agototal3059718395107119[[#Headers],[29]],tabela_registros[REGISTRO],DADOS!$N$4,tabela_registros[TIPO],DADOS!$P$3,tabela_registros[CATEGORIA],despesafixaconsolidadoago[[#This Row],[DESPESA FIXA]])</f>
        <v>0</v>
      </c>
      <c r="AH48" s="119" t="n">
        <f aca="false">SUMIFS(tabela_registros[VALOR],tabela_registros[MÊS],$AE$1,tabela_registros[DIA],agototal3059718395107119[[#Headers],[30]],tabela_registros[REGISTRO],DADOS!$N$4,tabela_registros[TIPO],DADOS!$P$3,tabela_registros[CATEGORIA],despesafixaconsolidadoago[[#This Row],[DESPESA FIXA]])</f>
        <v>0</v>
      </c>
      <c r="AI48" s="217" t="n">
        <f aca="false">SUMIFS(tabela_registros[VALOR],tabela_registros[MÊS],$AE$1,tabela_registros[DIA],agototal3059718395107119[[#Headers],[31]],tabela_registros[REGISTRO],DADOS!$N$4,tabela_registros[TIPO],DADOS!$P$3,tabela_registros[CATEGORIA],despesafixaconsolidadoago[[#This Row],[DESPESA FIXA]])</f>
        <v>0</v>
      </c>
      <c r="AJ48" s="149" t="n">
        <f aca="false">SUM(despesafixaconsolidadoago[[#This Row],[1]:[31]])</f>
        <v>0</v>
      </c>
      <c r="AK48" s="143"/>
    </row>
    <row r="49" customFormat="false" ht="18" hidden="false" customHeight="true" outlineLevel="0" collapsed="false">
      <c r="B49" s="143"/>
      <c r="C49" s="144" t="str">
        <f aca="false">DADOS!$R$15</f>
        <v>📞 TELEFONE</v>
      </c>
      <c r="D49" s="145" t="str">
        <f aca="false">IF(despesafixaconsolidadoago[[#This Row],[TOTAL]]=0,"",IF(OR(despesafixaconsolidadoago[[#This Row],[TOTAL]]=LARGE($AJ$37:$AJ$50,1),despesafixaconsolidadoago[[#This Row],[TOTAL]]=LARGE($AJ$37:$AJ$50,2),despesafixaconsolidadoago[[#This Row],[TOTAL]]=LARGE($AJ$37:$AJ$50,3),despesafixaconsolidadoago[[#This Row],[TOTAL]]=LARGE($AJ$37:$AJ$50,4),despesafixaconsolidadoago[[#This Row],[TOTAL]]=LARGE($AJ$37:$AJ$50,5)),DADOS!$I$8,""))</f>
        <v/>
      </c>
      <c r="E49" s="148" t="n">
        <f aca="false">SUMIFS(tabela_registros[VALOR],tabela_registros[MÊS],$AE$1,tabela_registros[DIA],agototal3059718395107119[[#Headers],[1]],tabela_registros[REGISTRO],DADOS!$N$4,tabela_registros[TIPO],DADOS!$P$3,tabela_registros[CATEGORIA],despesafixaconsolidadoago[[#This Row],[DESPESA FIXA]])</f>
        <v>0</v>
      </c>
      <c r="F49" s="119" t="n">
        <f aca="false">SUMIFS(tabela_registros[VALOR],tabela_registros[MÊS],$AE$1,tabela_registros[DIA],agototal3059718395107119[[#Headers],[2]],tabela_registros[REGISTRO],DADOS!$N$4,tabela_registros[TIPO],DADOS!$P$3,tabela_registros[CATEGORIA],despesafixaconsolidadoago[[#This Row],[DESPESA FIXA]])</f>
        <v>0</v>
      </c>
      <c r="G49" s="119" t="n">
        <f aca="false">SUMIFS(tabela_registros[VALOR],tabela_registros[MÊS],$AE$1,tabela_registros[DIA],agototal3059718395107119[[#Headers],[3]],tabela_registros[REGISTRO],DADOS!$N$4,tabela_registros[TIPO],DADOS!$P$3,tabela_registros[CATEGORIA],despesafixaconsolidadoago[[#This Row],[DESPESA FIXA]])</f>
        <v>0</v>
      </c>
      <c r="H49" s="119" t="n">
        <f aca="false">SUMIFS(tabela_registros[VALOR],tabela_registros[MÊS],$AE$1,tabela_registros[DIA],agototal3059718395107119[[#Headers],[4]],tabela_registros[REGISTRO],DADOS!$N$4,tabela_registros[TIPO],DADOS!$P$3,tabela_registros[CATEGORIA],despesafixaconsolidadoago[[#This Row],[DESPESA FIXA]])</f>
        <v>0</v>
      </c>
      <c r="I49" s="119" t="n">
        <f aca="false">SUMIFS(tabela_registros[VALOR],tabela_registros[MÊS],$AE$1,tabela_registros[DIA],agototal3059718395107119[[#Headers],[5]],tabela_registros[REGISTRO],DADOS!$N$4,tabela_registros[TIPO],DADOS!$P$3,tabela_registros[CATEGORIA],despesafixaconsolidadoago[[#This Row],[DESPESA FIXA]])</f>
        <v>0</v>
      </c>
      <c r="J49" s="119" t="n">
        <f aca="false">SUMIFS(tabela_registros[VALOR],tabela_registros[MÊS],$AE$1,tabela_registros[DIA],agototal3059718395107119[[#Headers],[6]],tabela_registros[REGISTRO],DADOS!$N$4,tabela_registros[TIPO],DADOS!$P$3,tabela_registros[CATEGORIA],despesafixaconsolidadoago[[#This Row],[DESPESA FIXA]])</f>
        <v>0</v>
      </c>
      <c r="K49" s="119" t="n">
        <f aca="false">SUMIFS(tabela_registros[VALOR],tabela_registros[MÊS],$AE$1,tabela_registros[DIA],agototal3059718395107119[[#Headers],[7]],tabela_registros[REGISTRO],DADOS!$N$4,tabela_registros[TIPO],DADOS!$P$3,tabela_registros[CATEGORIA],despesafixaconsolidadoago[[#This Row],[DESPESA FIXA]])</f>
        <v>0</v>
      </c>
      <c r="L49" s="119" t="n">
        <f aca="false">SUMIFS(tabela_registros[VALOR],tabela_registros[MÊS],$AE$1,tabela_registros[DIA],agototal3059718395107119[[#Headers],[8]],tabela_registros[REGISTRO],DADOS!$N$4,tabela_registros[TIPO],DADOS!$P$3,tabela_registros[CATEGORIA],despesafixaconsolidadoago[[#This Row],[DESPESA FIXA]])</f>
        <v>0</v>
      </c>
      <c r="M49" s="119" t="n">
        <f aca="false">SUMIFS(tabela_registros[VALOR],tabela_registros[MÊS],$AE$1,tabela_registros[DIA],agototal3059718395107119[[#Headers],[9]],tabela_registros[REGISTRO],DADOS!$N$4,tabela_registros[TIPO],DADOS!$P$3,tabela_registros[CATEGORIA],despesafixaconsolidadoago[[#This Row],[DESPESA FIXA]])</f>
        <v>0</v>
      </c>
      <c r="N49" s="119" t="n">
        <f aca="false">SUMIFS(tabela_registros[VALOR],tabela_registros[MÊS],$AE$1,tabela_registros[DIA],agototal3059718395107119[[#Headers],[10]],tabela_registros[REGISTRO],DADOS!$N$4,tabela_registros[TIPO],DADOS!$P$3,tabela_registros[CATEGORIA],despesafixaconsolidadoago[[#This Row],[DESPESA FIXA]])</f>
        <v>0</v>
      </c>
      <c r="O49" s="119" t="n">
        <f aca="false">SUMIFS(tabela_registros[VALOR],tabela_registros[MÊS],$AE$1,tabela_registros[DIA],agototal3059718395107119[[#Headers],[11]],tabela_registros[REGISTRO],DADOS!$N$4,tabela_registros[TIPO],DADOS!$P$3,tabela_registros[CATEGORIA],despesafixaconsolidadoago[[#This Row],[DESPESA FIXA]])</f>
        <v>0</v>
      </c>
      <c r="P49" s="119" t="n">
        <f aca="false">SUMIFS(tabela_registros[VALOR],tabela_registros[MÊS],$AE$1,tabela_registros[DIA],agototal3059718395107119[[#Headers],[12]],tabela_registros[REGISTRO],DADOS!$N$4,tabela_registros[TIPO],DADOS!$P$3,tabela_registros[CATEGORIA],despesafixaconsolidadoago[[#This Row],[DESPESA FIXA]])</f>
        <v>0</v>
      </c>
      <c r="Q49" s="119" t="n">
        <f aca="false">SUMIFS(tabela_registros[VALOR],tabela_registros[MÊS],$AE$1,tabela_registros[DIA],agototal3059718395107119[[#Headers],[13]],tabela_registros[REGISTRO],DADOS!$N$4,tabela_registros[TIPO],DADOS!$P$3,tabela_registros[CATEGORIA],despesafixaconsolidadoago[[#This Row],[DESPESA FIXA]])</f>
        <v>0</v>
      </c>
      <c r="R49" s="119" t="n">
        <f aca="false">SUMIFS(tabela_registros[VALOR],tabela_registros[MÊS],$AE$1,tabela_registros[DIA],agototal3059718395107119[[#Headers],[14]],tabela_registros[REGISTRO],DADOS!$N$4,tabela_registros[TIPO],DADOS!$P$3,tabela_registros[CATEGORIA],despesafixaconsolidadoago[[#This Row],[DESPESA FIXA]])</f>
        <v>0</v>
      </c>
      <c r="S49" s="119" t="n">
        <f aca="false">SUMIFS(tabela_registros[VALOR],tabela_registros[MÊS],$AE$1,tabela_registros[DIA],agototal3059718395107119[[#Headers],[15]],tabela_registros[REGISTRO],DADOS!$N$4,tabela_registros[TIPO],DADOS!$P$3,tabela_registros[CATEGORIA],despesafixaconsolidadoago[[#This Row],[DESPESA FIXA]])</f>
        <v>0</v>
      </c>
      <c r="T49" s="119" t="n">
        <f aca="false">SUMIFS(tabela_registros[VALOR],tabela_registros[MÊS],$AE$1,tabela_registros[DIA],agototal3059718395107119[[#Headers],[16]],tabela_registros[REGISTRO],DADOS!$N$4,tabela_registros[TIPO],DADOS!$P$3,tabela_registros[CATEGORIA],despesafixaconsolidadoago[[#This Row],[DESPESA FIXA]])</f>
        <v>0</v>
      </c>
      <c r="U49" s="119" t="n">
        <f aca="false">SUMIFS(tabela_registros[VALOR],tabela_registros[MÊS],$AE$1,tabela_registros[DIA],agototal3059718395107119[[#Headers],[17]],tabela_registros[REGISTRO],DADOS!$N$4,tabela_registros[TIPO],DADOS!$P$3,tabela_registros[CATEGORIA],despesafixaconsolidadoago[[#This Row],[DESPESA FIXA]])</f>
        <v>0</v>
      </c>
      <c r="V49" s="119" t="n">
        <f aca="false">SUMIFS(tabela_registros[VALOR],tabela_registros[MÊS],$AE$1,tabela_registros[DIA],agototal3059718395107119[[#Headers],[18]],tabela_registros[REGISTRO],DADOS!$N$4,tabela_registros[TIPO],DADOS!$P$3,tabela_registros[CATEGORIA],despesafixaconsolidadoago[[#This Row],[DESPESA FIXA]])</f>
        <v>0</v>
      </c>
      <c r="W49" s="119" t="n">
        <f aca="false">SUMIFS(tabela_registros[VALOR],tabela_registros[MÊS],$AE$1,tabela_registros[DIA],agototal3059718395107119[[#Headers],[19]],tabela_registros[REGISTRO],DADOS!$N$4,tabela_registros[TIPO],DADOS!$P$3,tabela_registros[CATEGORIA],despesafixaconsolidadoago[[#This Row],[DESPESA FIXA]])</f>
        <v>0</v>
      </c>
      <c r="X49" s="119" t="n">
        <f aca="false">SUMIFS(tabela_registros[VALOR],tabela_registros[MÊS],$AE$1,tabela_registros[DIA],agototal3059718395107119[[#Headers],[20]],tabela_registros[REGISTRO],DADOS!$N$4,tabela_registros[TIPO],DADOS!$P$3,tabela_registros[CATEGORIA],despesafixaconsolidadoago[[#This Row],[DESPESA FIXA]])</f>
        <v>0</v>
      </c>
      <c r="Y49" s="119" t="n">
        <f aca="false">SUMIFS(tabela_registros[VALOR],tabela_registros[MÊS],$AE$1,tabela_registros[DIA],agototal3059718395107119[[#Headers],[21]],tabela_registros[REGISTRO],DADOS!$N$4,tabela_registros[TIPO],DADOS!$P$3,tabela_registros[CATEGORIA],despesafixaconsolidadoago[[#This Row],[DESPESA FIXA]])</f>
        <v>0</v>
      </c>
      <c r="Z49" s="119" t="n">
        <f aca="false">SUMIFS(tabela_registros[VALOR],tabela_registros[MÊS],$AE$1,tabela_registros[DIA],agototal3059718395107119[[#Headers],[22]],tabela_registros[REGISTRO],DADOS!$N$4,tabela_registros[TIPO],DADOS!$P$3,tabela_registros[CATEGORIA],despesafixaconsolidadoago[[#This Row],[DESPESA FIXA]])</f>
        <v>0</v>
      </c>
      <c r="AA49" s="119" t="n">
        <f aca="false">SUMIFS(tabela_registros[VALOR],tabela_registros[MÊS],$AE$1,tabela_registros[DIA],agototal3059718395107119[[#Headers],[23]],tabela_registros[REGISTRO],DADOS!$N$4,tabela_registros[TIPO],DADOS!$P$3,tabela_registros[CATEGORIA],despesafixaconsolidadoago[[#This Row],[DESPESA FIXA]])</f>
        <v>0</v>
      </c>
      <c r="AB49" s="119" t="n">
        <f aca="false">SUMIFS(tabela_registros[VALOR],tabela_registros[MÊS],$AE$1,tabela_registros[DIA],agototal3059718395107119[[#Headers],[24]],tabela_registros[REGISTRO],DADOS!$N$4,tabela_registros[TIPO],DADOS!$P$3,tabela_registros[CATEGORIA],despesafixaconsolidadoago[[#This Row],[DESPESA FIXA]])</f>
        <v>0</v>
      </c>
      <c r="AC49" s="119" t="n">
        <f aca="false">SUMIFS(tabela_registros[VALOR],tabela_registros[MÊS],$AE$1,tabela_registros[DIA],agototal3059718395107119[[#Headers],[25]],tabela_registros[REGISTRO],DADOS!$N$4,tabela_registros[TIPO],DADOS!$P$3,tabela_registros[CATEGORIA],despesafixaconsolidadoago[[#This Row],[DESPESA FIXA]])</f>
        <v>0</v>
      </c>
      <c r="AD49" s="119" t="n">
        <f aca="false">SUMIFS(tabela_registros[VALOR],tabela_registros[MÊS],$AE$1,tabela_registros[DIA],agototal3059718395107119[[#Headers],[26]],tabela_registros[REGISTRO],DADOS!$N$4,tabela_registros[TIPO],DADOS!$P$3,tabela_registros[CATEGORIA],despesafixaconsolidadoago[[#This Row],[DESPESA FIXA]])</f>
        <v>0</v>
      </c>
      <c r="AE49" s="119" t="n">
        <f aca="false">SUMIFS(tabela_registros[VALOR],tabela_registros[MÊS],$AE$1,tabela_registros[DIA],agototal3059718395107119[[#Headers],[27]],tabela_registros[REGISTRO],DADOS!$N$4,tabela_registros[TIPO],DADOS!$P$3,tabela_registros[CATEGORIA],despesafixaconsolidadoago[[#This Row],[DESPESA FIXA]])</f>
        <v>0</v>
      </c>
      <c r="AF49" s="119" t="n">
        <f aca="false">SUMIFS(tabela_registros[VALOR],tabela_registros[MÊS],$AE$1,tabela_registros[DIA],agototal3059718395107119[[#Headers],[28]],tabela_registros[REGISTRO],DADOS!$N$4,tabela_registros[TIPO],DADOS!$P$3,tabela_registros[CATEGORIA],despesafixaconsolidadoago[[#This Row],[DESPESA FIXA]])</f>
        <v>0</v>
      </c>
      <c r="AG49" s="119" t="n">
        <f aca="false">SUMIFS(tabela_registros[VALOR],tabela_registros[MÊS],$AE$1,tabela_registros[DIA],agototal3059718395107119[[#Headers],[29]],tabela_registros[REGISTRO],DADOS!$N$4,tabela_registros[TIPO],DADOS!$P$3,tabela_registros[CATEGORIA],despesafixaconsolidadoago[[#This Row],[DESPESA FIXA]])</f>
        <v>0</v>
      </c>
      <c r="AH49" s="119" t="n">
        <f aca="false">SUMIFS(tabela_registros[VALOR],tabela_registros[MÊS],$AE$1,tabela_registros[DIA],agototal3059718395107119[[#Headers],[30]],tabela_registros[REGISTRO],DADOS!$N$4,tabela_registros[TIPO],DADOS!$P$3,tabela_registros[CATEGORIA],despesafixaconsolidadoago[[#This Row],[DESPESA FIXA]])</f>
        <v>0</v>
      </c>
      <c r="AI49" s="217" t="n">
        <f aca="false">SUMIFS(tabela_registros[VALOR],tabela_registros[MÊS],$AE$1,tabela_registros[DIA],agototal3059718395107119[[#Headers],[31]],tabela_registros[REGISTRO],DADOS!$N$4,tabela_registros[TIPO],DADOS!$P$3,tabela_registros[CATEGORIA],despesafixaconsolidadoago[[#This Row],[DESPESA FIXA]])</f>
        <v>0</v>
      </c>
      <c r="AJ49" s="149" t="n">
        <f aca="false">SUM(despesafixaconsolidadoago[[#This Row],[1]:[31]])</f>
        <v>0</v>
      </c>
      <c r="AK49" s="143"/>
    </row>
    <row r="50" customFormat="false" ht="18" hidden="false" customHeight="true" outlineLevel="0" collapsed="false">
      <c r="B50" s="143"/>
      <c r="C50" s="144" t="str">
        <f aca="false">DADOS!$R$16</f>
        <v>📎 OUTROS</v>
      </c>
      <c r="D50" s="145" t="str">
        <f aca="false">IF(despesafixaconsolidadoago[[#This Row],[TOTAL]]=0,"",IF(OR(despesafixaconsolidadoago[[#This Row],[TOTAL]]=LARGE($AJ$37:$AJ$50,1),despesafixaconsolidadoago[[#This Row],[TOTAL]]=LARGE($AJ$37:$AJ$50,2),despesafixaconsolidadoago[[#This Row],[TOTAL]]=LARGE($AJ$37:$AJ$50,3),despesafixaconsolidadoago[[#This Row],[TOTAL]]=LARGE($AJ$37:$AJ$50,4),despesafixaconsolidadoago[[#This Row],[TOTAL]]=LARGE($AJ$37:$AJ$50,5)),DADOS!$I$8,""))</f>
        <v/>
      </c>
      <c r="E50" s="150" t="n">
        <f aca="false">SUMIFS(tabela_registros[VALOR],tabela_registros[MÊS],$AE$1,tabela_registros[DIA],agototal3059718395107119[[#Headers],[1]],tabela_registros[REGISTRO],DADOS!$N$4,tabela_registros[TIPO],DADOS!$P$3,tabela_registros[CATEGORIA],despesafixaconsolidadoago[[#This Row],[DESPESA FIXA]])</f>
        <v>0</v>
      </c>
      <c r="F50" s="151" t="n">
        <f aca="false">SUMIFS(tabela_registros[VALOR],tabela_registros[MÊS],$AE$1,tabela_registros[DIA],agototal3059718395107119[[#Headers],[2]],tabela_registros[REGISTRO],DADOS!$N$4,tabela_registros[TIPO],DADOS!$P$3,tabela_registros[CATEGORIA],despesafixaconsolidadoago[[#This Row],[DESPESA FIXA]])</f>
        <v>0</v>
      </c>
      <c r="G50" s="151" t="n">
        <f aca="false">SUMIFS(tabela_registros[VALOR],tabela_registros[MÊS],$AE$1,tabela_registros[DIA],agototal3059718395107119[[#Headers],[3]],tabela_registros[REGISTRO],DADOS!$N$4,tabela_registros[TIPO],DADOS!$P$3,tabela_registros[CATEGORIA],despesafixaconsolidadoago[[#This Row],[DESPESA FIXA]])</f>
        <v>0</v>
      </c>
      <c r="H50" s="151" t="n">
        <f aca="false">SUMIFS(tabela_registros[VALOR],tabela_registros[MÊS],$AE$1,tabela_registros[DIA],agototal3059718395107119[[#Headers],[4]],tabela_registros[REGISTRO],DADOS!$N$4,tabela_registros[TIPO],DADOS!$P$3,tabela_registros[CATEGORIA],despesafixaconsolidadoago[[#This Row],[DESPESA FIXA]])</f>
        <v>0</v>
      </c>
      <c r="I50" s="151" t="n">
        <f aca="false">SUMIFS(tabela_registros[VALOR],tabela_registros[MÊS],$AE$1,tabela_registros[DIA],agototal3059718395107119[[#Headers],[5]],tabela_registros[REGISTRO],DADOS!$N$4,tabela_registros[TIPO],DADOS!$P$3,tabela_registros[CATEGORIA],despesafixaconsolidadoago[[#This Row],[DESPESA FIXA]])</f>
        <v>0</v>
      </c>
      <c r="J50" s="151" t="n">
        <f aca="false">SUMIFS(tabela_registros[VALOR],tabela_registros[MÊS],$AE$1,tabela_registros[DIA],agototal3059718395107119[[#Headers],[6]],tabela_registros[REGISTRO],DADOS!$N$4,tabela_registros[TIPO],DADOS!$P$3,tabela_registros[CATEGORIA],despesafixaconsolidadoago[[#This Row],[DESPESA FIXA]])</f>
        <v>0</v>
      </c>
      <c r="K50" s="151" t="n">
        <f aca="false">SUMIFS(tabela_registros[VALOR],tabela_registros[MÊS],$AE$1,tabela_registros[DIA],agototal3059718395107119[[#Headers],[7]],tabela_registros[REGISTRO],DADOS!$N$4,tabela_registros[TIPO],DADOS!$P$3,tabela_registros[CATEGORIA],despesafixaconsolidadoago[[#This Row],[DESPESA FIXA]])</f>
        <v>0</v>
      </c>
      <c r="L50" s="151" t="n">
        <f aca="false">SUMIFS(tabela_registros[VALOR],tabela_registros[MÊS],$AE$1,tabela_registros[DIA],agototal3059718395107119[[#Headers],[8]],tabela_registros[REGISTRO],DADOS!$N$4,tabela_registros[TIPO],DADOS!$P$3,tabela_registros[CATEGORIA],despesafixaconsolidadoago[[#This Row],[DESPESA FIXA]])</f>
        <v>0</v>
      </c>
      <c r="M50" s="151" t="n">
        <f aca="false">SUMIFS(tabela_registros[VALOR],tabela_registros[MÊS],$AE$1,tabela_registros[DIA],agototal3059718395107119[[#Headers],[9]],tabela_registros[REGISTRO],DADOS!$N$4,tabela_registros[TIPO],DADOS!$P$3,tabela_registros[CATEGORIA],despesafixaconsolidadoago[[#This Row],[DESPESA FIXA]])</f>
        <v>0</v>
      </c>
      <c r="N50" s="151" t="n">
        <f aca="false">SUMIFS(tabela_registros[VALOR],tabela_registros[MÊS],$AE$1,tabela_registros[DIA],agototal3059718395107119[[#Headers],[10]],tabela_registros[REGISTRO],DADOS!$N$4,tabela_registros[TIPO],DADOS!$P$3,tabela_registros[CATEGORIA],despesafixaconsolidadoago[[#This Row],[DESPESA FIXA]])</f>
        <v>0</v>
      </c>
      <c r="O50" s="151" t="n">
        <f aca="false">SUMIFS(tabela_registros[VALOR],tabela_registros[MÊS],$AE$1,tabela_registros[DIA],agototal3059718395107119[[#Headers],[11]],tabela_registros[REGISTRO],DADOS!$N$4,tabela_registros[TIPO],DADOS!$P$3,tabela_registros[CATEGORIA],despesafixaconsolidadoago[[#This Row],[DESPESA FIXA]])</f>
        <v>0</v>
      </c>
      <c r="P50" s="151" t="n">
        <f aca="false">SUMIFS(tabela_registros[VALOR],tabela_registros[MÊS],$AE$1,tabela_registros[DIA],agototal3059718395107119[[#Headers],[12]],tabela_registros[REGISTRO],DADOS!$N$4,tabela_registros[TIPO],DADOS!$P$3,tabela_registros[CATEGORIA],despesafixaconsolidadoago[[#This Row],[DESPESA FIXA]])</f>
        <v>0</v>
      </c>
      <c r="Q50" s="151" t="n">
        <f aca="false">SUMIFS(tabela_registros[VALOR],tabela_registros[MÊS],$AE$1,tabela_registros[DIA],agototal3059718395107119[[#Headers],[13]],tabela_registros[REGISTRO],DADOS!$N$4,tabela_registros[TIPO],DADOS!$P$3,tabela_registros[CATEGORIA],despesafixaconsolidadoago[[#This Row],[DESPESA FIXA]])</f>
        <v>0</v>
      </c>
      <c r="R50" s="151" t="n">
        <f aca="false">SUMIFS(tabela_registros[VALOR],tabela_registros[MÊS],$AE$1,tabela_registros[DIA],agototal3059718395107119[[#Headers],[14]],tabela_registros[REGISTRO],DADOS!$N$4,tabela_registros[TIPO],DADOS!$P$3,tabela_registros[CATEGORIA],despesafixaconsolidadoago[[#This Row],[DESPESA FIXA]])</f>
        <v>0</v>
      </c>
      <c r="S50" s="151" t="n">
        <f aca="false">SUMIFS(tabela_registros[VALOR],tabela_registros[MÊS],$AE$1,tabela_registros[DIA],agototal3059718395107119[[#Headers],[15]],tabela_registros[REGISTRO],DADOS!$N$4,tabela_registros[TIPO],DADOS!$P$3,tabela_registros[CATEGORIA],despesafixaconsolidadoago[[#This Row],[DESPESA FIXA]])</f>
        <v>0</v>
      </c>
      <c r="T50" s="151" t="n">
        <f aca="false">SUMIFS(tabela_registros[VALOR],tabela_registros[MÊS],$AE$1,tabela_registros[DIA],agototal3059718395107119[[#Headers],[16]],tabela_registros[REGISTRO],DADOS!$N$4,tabela_registros[TIPO],DADOS!$P$3,tabela_registros[CATEGORIA],despesafixaconsolidadoago[[#This Row],[DESPESA FIXA]])</f>
        <v>0</v>
      </c>
      <c r="U50" s="151" t="n">
        <f aca="false">SUMIFS(tabela_registros[VALOR],tabela_registros[MÊS],$AE$1,tabela_registros[DIA],agototal3059718395107119[[#Headers],[17]],tabela_registros[REGISTRO],DADOS!$N$4,tabela_registros[TIPO],DADOS!$P$3,tabela_registros[CATEGORIA],despesafixaconsolidadoago[[#This Row],[DESPESA FIXA]])</f>
        <v>0</v>
      </c>
      <c r="V50" s="151" t="n">
        <f aca="false">SUMIFS(tabela_registros[VALOR],tabela_registros[MÊS],$AE$1,tabela_registros[DIA],agototal3059718395107119[[#Headers],[18]],tabela_registros[REGISTRO],DADOS!$N$4,tabela_registros[TIPO],DADOS!$P$3,tabela_registros[CATEGORIA],despesafixaconsolidadoago[[#This Row],[DESPESA FIXA]])</f>
        <v>0</v>
      </c>
      <c r="W50" s="151" t="n">
        <f aca="false">SUMIFS(tabela_registros[VALOR],tabela_registros[MÊS],$AE$1,tabela_registros[DIA],agototal3059718395107119[[#Headers],[19]],tabela_registros[REGISTRO],DADOS!$N$4,tabela_registros[TIPO],DADOS!$P$3,tabela_registros[CATEGORIA],despesafixaconsolidadoago[[#This Row],[DESPESA FIXA]])</f>
        <v>0</v>
      </c>
      <c r="X50" s="151" t="n">
        <f aca="false">SUMIFS(tabela_registros[VALOR],tabela_registros[MÊS],$AE$1,tabela_registros[DIA],agototal3059718395107119[[#Headers],[20]],tabela_registros[REGISTRO],DADOS!$N$4,tabela_registros[TIPO],DADOS!$P$3,tabela_registros[CATEGORIA],despesafixaconsolidadoago[[#This Row],[DESPESA FIXA]])</f>
        <v>0</v>
      </c>
      <c r="Y50" s="151" t="n">
        <f aca="false">SUMIFS(tabela_registros[VALOR],tabela_registros[MÊS],$AE$1,tabela_registros[DIA],agototal3059718395107119[[#Headers],[21]],tabela_registros[REGISTRO],DADOS!$N$4,tabela_registros[TIPO],DADOS!$P$3,tabela_registros[CATEGORIA],despesafixaconsolidadoago[[#This Row],[DESPESA FIXA]])</f>
        <v>0</v>
      </c>
      <c r="Z50" s="151" t="n">
        <f aca="false">SUMIFS(tabela_registros[VALOR],tabela_registros[MÊS],$AE$1,tabela_registros[DIA],agototal3059718395107119[[#Headers],[22]],tabela_registros[REGISTRO],DADOS!$N$4,tabela_registros[TIPO],DADOS!$P$3,tabela_registros[CATEGORIA],despesafixaconsolidadoago[[#This Row],[DESPESA FIXA]])</f>
        <v>0</v>
      </c>
      <c r="AA50" s="151" t="n">
        <f aca="false">SUMIFS(tabela_registros[VALOR],tabela_registros[MÊS],$AE$1,tabela_registros[DIA],agototal3059718395107119[[#Headers],[23]],tabela_registros[REGISTRO],DADOS!$N$4,tabela_registros[TIPO],DADOS!$P$3,tabela_registros[CATEGORIA],despesafixaconsolidadoago[[#This Row],[DESPESA FIXA]])</f>
        <v>0</v>
      </c>
      <c r="AB50" s="151" t="n">
        <f aca="false">SUMIFS(tabela_registros[VALOR],tabela_registros[MÊS],$AE$1,tabela_registros[DIA],agototal3059718395107119[[#Headers],[24]],tabela_registros[REGISTRO],DADOS!$N$4,tabela_registros[TIPO],DADOS!$P$3,tabela_registros[CATEGORIA],despesafixaconsolidadoago[[#This Row],[DESPESA FIXA]])</f>
        <v>0</v>
      </c>
      <c r="AC50" s="151" t="n">
        <f aca="false">SUMIFS(tabela_registros[VALOR],tabela_registros[MÊS],$AE$1,tabela_registros[DIA],agototal3059718395107119[[#Headers],[25]],tabela_registros[REGISTRO],DADOS!$N$4,tabela_registros[TIPO],DADOS!$P$3,tabela_registros[CATEGORIA],despesafixaconsolidadoago[[#This Row],[DESPESA FIXA]])</f>
        <v>0</v>
      </c>
      <c r="AD50" s="151" t="n">
        <f aca="false">SUMIFS(tabela_registros[VALOR],tabela_registros[MÊS],$AE$1,tabela_registros[DIA],agototal3059718395107119[[#Headers],[26]],tabela_registros[REGISTRO],DADOS!$N$4,tabela_registros[TIPO],DADOS!$P$3,tabela_registros[CATEGORIA],despesafixaconsolidadoago[[#This Row],[DESPESA FIXA]])</f>
        <v>0</v>
      </c>
      <c r="AE50" s="151" t="n">
        <f aca="false">SUMIFS(tabela_registros[VALOR],tabela_registros[MÊS],$AE$1,tabela_registros[DIA],agototal3059718395107119[[#Headers],[27]],tabela_registros[REGISTRO],DADOS!$N$4,tabela_registros[TIPO],DADOS!$P$3,tabela_registros[CATEGORIA],despesafixaconsolidadoago[[#This Row],[DESPESA FIXA]])</f>
        <v>0</v>
      </c>
      <c r="AF50" s="151" t="n">
        <f aca="false">SUMIFS(tabela_registros[VALOR],tabela_registros[MÊS],$AE$1,tabela_registros[DIA],agototal3059718395107119[[#Headers],[28]],tabela_registros[REGISTRO],DADOS!$N$4,tabela_registros[TIPO],DADOS!$P$3,tabela_registros[CATEGORIA],despesafixaconsolidadoago[[#This Row],[DESPESA FIXA]])</f>
        <v>0</v>
      </c>
      <c r="AG50" s="151" t="n">
        <f aca="false">SUMIFS(tabela_registros[VALOR],tabela_registros[MÊS],$AE$1,tabela_registros[DIA],agototal3059718395107119[[#Headers],[29]],tabela_registros[REGISTRO],DADOS!$N$4,tabela_registros[TIPO],DADOS!$P$3,tabela_registros[CATEGORIA],despesafixaconsolidadoago[[#This Row],[DESPESA FIXA]])</f>
        <v>0</v>
      </c>
      <c r="AH50" s="151" t="n">
        <f aca="false">SUMIFS(tabela_registros[VALOR],tabela_registros[MÊS],$AE$1,tabela_registros[DIA],agototal3059718395107119[[#Headers],[30]],tabela_registros[REGISTRO],DADOS!$N$4,tabela_registros[TIPO],DADOS!$P$3,tabela_registros[CATEGORIA],despesafixaconsolidadoago[[#This Row],[DESPESA FIXA]])</f>
        <v>0</v>
      </c>
      <c r="AI50" s="218" t="n">
        <f aca="false">SUMIFS(tabela_registros[VALOR],tabela_registros[MÊS],$AE$1,tabela_registros[DIA],agototal3059718395107119[[#Headers],[31]],tabela_registros[REGISTRO],DADOS!$N$4,tabela_registros[TIPO],DADOS!$P$3,tabela_registros[CATEGORIA],despesafixaconsolidadoago[[#This Row],[DESPESA FIXA]])</f>
        <v>0</v>
      </c>
      <c r="AJ50" s="219" t="n">
        <f aca="false">SUM(despesafixaconsolidadoago[[#This Row],[1]:[31]])</f>
        <v>0</v>
      </c>
      <c r="AK50" s="143"/>
    </row>
    <row r="51" s="122" customFormat="true" ht="21" hidden="false" customHeight="true" outlineLevel="0" collapsed="false">
      <c r="B51" s="152"/>
      <c r="C51" s="153" t="s">
        <v>2</v>
      </c>
      <c r="D51" s="154" t="str">
        <f aca="false">IF(despesafixaconsolidadoago[[#This Row],[TOTAL]]=0,"",IF(OR(despesafixaconsolidadoago[[#This Row],[TOTAL]]=SMALL($AJ$37:$AJ$50,1),despesafixaconsolidadoago[[#This Row],[TOTAL]]=SMALL($AJ$37:$AJ$50,2),despesafixaconsolidadoago[[#This Row],[TOTAL]]=SMALL($AJ$37:$AJ$50,3),despesafixaconsolidadoago[[#This Row],[TOTAL]]=SMALL($AJ$37:$AJ$50,4),despesafixaconsolidadoago[[#This Row],[TOTAL]]=SMALL($AJ$37:$AJ$50,5)),DADOS!$I$8,""))</f>
        <v/>
      </c>
      <c r="E51" s="155" t="n">
        <f aca="false">SUM(E37:E50)</f>
        <v>0</v>
      </c>
      <c r="F51" s="156" t="n">
        <f aca="false">SUM(F37:F50)+despesafixaconsolidadoago[[#This Row],[1]]</f>
        <v>0</v>
      </c>
      <c r="G51" s="156" t="n">
        <f aca="false">SUM(G37:G50)+despesafixaconsolidadoago[[#This Row],[2]]</f>
        <v>0</v>
      </c>
      <c r="H51" s="156" t="n">
        <f aca="false">SUM(H37:H50)+despesafixaconsolidadoago[[#This Row],[3]]</f>
        <v>0</v>
      </c>
      <c r="I51" s="156" t="n">
        <f aca="false">SUM(I37:I50)+despesafixaconsolidadoago[[#This Row],[4]]</f>
        <v>0</v>
      </c>
      <c r="J51" s="156" t="n">
        <f aca="false">SUM(J37:J50)+despesafixaconsolidadoago[[#This Row],[5]]</f>
        <v>0</v>
      </c>
      <c r="K51" s="156" t="n">
        <f aca="false">SUM(K37:K50)+despesafixaconsolidadoago[[#This Row],[6]]</f>
        <v>0</v>
      </c>
      <c r="L51" s="156" t="n">
        <f aca="false">SUM(L37:L50)+despesafixaconsolidadoago[[#This Row],[7]]</f>
        <v>0</v>
      </c>
      <c r="M51" s="156" t="n">
        <f aca="false">SUM(M37:M50)+despesafixaconsolidadoago[[#This Row],[8]]</f>
        <v>0</v>
      </c>
      <c r="N51" s="156" t="n">
        <f aca="false">SUM(N37:N50)+despesafixaconsolidadoago[[#This Row],[9]]</f>
        <v>0</v>
      </c>
      <c r="O51" s="156" t="n">
        <f aca="false">SUM(O37:O50)+despesafixaconsolidadoago[[#This Row],[10]]</f>
        <v>0</v>
      </c>
      <c r="P51" s="156" t="n">
        <f aca="false">SUM(P37:P50)+despesafixaconsolidadoago[[#This Row],[11]]</f>
        <v>0</v>
      </c>
      <c r="Q51" s="156" t="n">
        <f aca="false">SUM(Q37:Q50)+despesafixaconsolidadoago[[#This Row],[12]]</f>
        <v>0</v>
      </c>
      <c r="R51" s="156" t="n">
        <f aca="false">SUM(R37:R50)+despesafixaconsolidadoago[[#This Row],[13]]</f>
        <v>0</v>
      </c>
      <c r="S51" s="156" t="n">
        <f aca="false">SUM(S37:S50)+despesafixaconsolidadoago[[#This Row],[14]]</f>
        <v>0</v>
      </c>
      <c r="T51" s="156" t="n">
        <f aca="false">SUM(T37:T50)+despesafixaconsolidadoago[[#This Row],[15]]</f>
        <v>0</v>
      </c>
      <c r="U51" s="156" t="n">
        <f aca="false">SUM(U37:U50)+despesafixaconsolidadoago[[#This Row],[16]]</f>
        <v>0</v>
      </c>
      <c r="V51" s="156" t="n">
        <f aca="false">SUM(V37:V50)+despesafixaconsolidadoago[[#This Row],[17]]</f>
        <v>0</v>
      </c>
      <c r="W51" s="156" t="n">
        <f aca="false">SUM(W37:W50)+despesafixaconsolidadoago[[#This Row],[18]]</f>
        <v>0</v>
      </c>
      <c r="X51" s="156" t="n">
        <f aca="false">SUM(X37:X50)+despesafixaconsolidadoago[[#This Row],[19]]</f>
        <v>0</v>
      </c>
      <c r="Y51" s="156" t="n">
        <f aca="false">SUM(Y37:Y50)+despesafixaconsolidadoago[[#This Row],[20]]</f>
        <v>0</v>
      </c>
      <c r="Z51" s="156" t="n">
        <f aca="false">SUM(Z37:Z50)+despesafixaconsolidadoago[[#This Row],[21]]</f>
        <v>0</v>
      </c>
      <c r="AA51" s="156" t="n">
        <f aca="false">SUM(AA37:AA50)+despesafixaconsolidadoago[[#This Row],[22]]</f>
        <v>0</v>
      </c>
      <c r="AB51" s="156" t="n">
        <f aca="false">SUM(AB37:AB50)+despesafixaconsolidadoago[[#This Row],[23]]</f>
        <v>0</v>
      </c>
      <c r="AC51" s="156" t="n">
        <f aca="false">SUM(AC37:AC50)+despesafixaconsolidadoago[[#This Row],[24]]</f>
        <v>0</v>
      </c>
      <c r="AD51" s="156" t="n">
        <f aca="false">SUM(AD37:AD50)+despesafixaconsolidadoago[[#This Row],[25]]</f>
        <v>0</v>
      </c>
      <c r="AE51" s="156" t="n">
        <f aca="false">SUM(AE37:AE50)+despesafixaconsolidadoago[[#This Row],[26]]</f>
        <v>0</v>
      </c>
      <c r="AF51" s="156" t="n">
        <f aca="false">SUM(AF37:AF50)+despesafixaconsolidadoago[[#This Row],[27]]</f>
        <v>0</v>
      </c>
      <c r="AG51" s="156" t="n">
        <f aca="false">SUM(AG37:AG50)+despesafixaconsolidadoago[[#This Row],[28]]</f>
        <v>0</v>
      </c>
      <c r="AH51" s="156" t="n">
        <f aca="false">SUM(AH37:AH50)+despesafixaconsolidadoago[[#This Row],[29]]</f>
        <v>0</v>
      </c>
      <c r="AI51" s="223" t="n">
        <f aca="false">SUM(AI37:AI50)+despesafixaconsolidadoago[[#This Row],[30]]</f>
        <v>0</v>
      </c>
      <c r="AJ51" s="157" t="n">
        <f aca="false">despesafixaconsolidadoago[[#This Row],[31]]</f>
        <v>0</v>
      </c>
      <c r="AK51" s="158"/>
    </row>
    <row r="52" customFormat="false" ht="6.75" hidden="false" customHeight="true" outlineLevel="0" collapsed="false">
      <c r="B52" s="97"/>
      <c r="C52" s="159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227"/>
      <c r="AJ52" s="97"/>
      <c r="AK52" s="244"/>
    </row>
    <row r="53" customFormat="false" ht="12.75" hidden="false" customHeight="false" outlineLevel="0" collapsed="false">
      <c r="C53" s="133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K53" s="100"/>
    </row>
    <row r="54" customFormat="false" ht="12" hidden="false" customHeight="false" outlineLevel="0" collapsed="false">
      <c r="C54" s="133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</row>
    <row r="55" customFormat="false" ht="12" hidden="false" customHeight="false" outlineLevel="0" collapsed="false">
      <c r="C55" s="133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</row>
    <row r="56" customFormat="false" ht="39.75" hidden="false" customHeight="true" outlineLevel="0" collapsed="false">
      <c r="C56" s="133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3" t="s">
        <v>2</v>
      </c>
    </row>
    <row r="57" s="78" customFormat="true" ht="11.25" hidden="false" customHeight="true" outlineLevel="0" collapsed="false">
      <c r="C57" s="101"/>
      <c r="AJ57" s="106" t="s">
        <v>64</v>
      </c>
    </row>
    <row r="58" customFormat="false" ht="6.75" hidden="false" customHeight="true" outlineLevel="0" collapsed="false">
      <c r="B58" s="139"/>
      <c r="C58" s="140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212"/>
      <c r="AK58" s="139"/>
    </row>
    <row r="59" customFormat="false" ht="12.75" hidden="true" customHeight="false" outlineLevel="0" collapsed="false">
      <c r="B59" s="86"/>
      <c r="C59" s="109" t="s">
        <v>79</v>
      </c>
      <c r="D59" s="110" t="s">
        <v>69</v>
      </c>
      <c r="E59" s="110" t="s">
        <v>30</v>
      </c>
      <c r="F59" s="110" t="s">
        <v>31</v>
      </c>
      <c r="G59" s="110" t="s">
        <v>32</v>
      </c>
      <c r="H59" s="110" t="s">
        <v>33</v>
      </c>
      <c r="I59" s="110" t="s">
        <v>34</v>
      </c>
      <c r="J59" s="110" t="s">
        <v>35</v>
      </c>
      <c r="K59" s="110" t="s">
        <v>36</v>
      </c>
      <c r="L59" s="110" t="s">
        <v>37</v>
      </c>
      <c r="M59" s="110" t="s">
        <v>38</v>
      </c>
      <c r="N59" s="110" t="s">
        <v>39</v>
      </c>
      <c r="O59" s="110" t="s">
        <v>40</v>
      </c>
      <c r="P59" s="110" t="s">
        <v>41</v>
      </c>
      <c r="Q59" s="110" t="s">
        <v>81</v>
      </c>
      <c r="R59" s="110" t="s">
        <v>82</v>
      </c>
      <c r="S59" s="110" t="s">
        <v>83</v>
      </c>
      <c r="T59" s="110" t="s">
        <v>84</v>
      </c>
      <c r="U59" s="110" t="s">
        <v>85</v>
      </c>
      <c r="V59" s="110" t="s">
        <v>86</v>
      </c>
      <c r="W59" s="110" t="s">
        <v>87</v>
      </c>
      <c r="X59" s="110" t="s">
        <v>88</v>
      </c>
      <c r="Y59" s="110" t="s">
        <v>89</v>
      </c>
      <c r="Z59" s="110" t="s">
        <v>90</v>
      </c>
      <c r="AA59" s="110" t="s">
        <v>91</v>
      </c>
      <c r="AB59" s="110" t="s">
        <v>92</v>
      </c>
      <c r="AC59" s="110" t="s">
        <v>93</v>
      </c>
      <c r="AD59" s="110" t="s">
        <v>94</v>
      </c>
      <c r="AE59" s="110" t="s">
        <v>95</v>
      </c>
      <c r="AF59" s="110" t="s">
        <v>96</v>
      </c>
      <c r="AG59" s="110" t="s">
        <v>97</v>
      </c>
      <c r="AH59" s="110" t="s">
        <v>98</v>
      </c>
      <c r="AI59" s="110" t="s">
        <v>99</v>
      </c>
      <c r="AJ59" s="142" t="s">
        <v>2</v>
      </c>
      <c r="AK59" s="86" t="s">
        <v>75</v>
      </c>
    </row>
    <row r="60" customFormat="false" ht="19.5" hidden="false" customHeight="true" outlineLevel="0" collapsed="false">
      <c r="B60" s="143"/>
      <c r="C60" s="144" t="str">
        <f aca="false">DADOS!$T$3</f>
        <v>🍕 ALIMENTAÇÃO</v>
      </c>
      <c r="D60" s="145" t="str">
        <f aca="false">IF(despesavariávelconsolidadoago[[#This Row],[TOTAL]]=0,"",IF(OR(despesavariávelconsolidadoago[[#This Row],[TOTAL]]=LARGE($AJ$60:$AJ$72,1),despesavariávelconsolidadoago[[#This Row],[TOTAL]]=LARGE($AJ$60:$AJ$72,2),despesavariávelconsolidadoago[[#This Row],[TOTAL]]=LARGE($AJ$60:$AJ$72,3),despesavariávelconsolidadoago[[#This Row],[TOTAL]]=LARGE($AJ$60:$AJ$72,4),despesavariávelconsolidadoago[[#This Row],[TOTAL]]=LARGE($AJ$60:$AJ$72,5)),DADOS!$I$8,""))</f>
        <v/>
      </c>
      <c r="E60" s="146" t="n">
        <f aca="false">SUMIFS(tabela_registros[VALOR],tabela_registros[MÊS],$AE$1,tabela_registros[DIA],agototal3059718395107119[[#Headers],[1]],tabela_registros[REGISTRO],DADOS!$N$4,tabela_registros[TIPO],DADOS!$P$4,tabela_registros[CATEGORIA],despesavariávelconsolidadoago[[#This Row],[DESPESA VARIÁVEL]])</f>
        <v>0</v>
      </c>
      <c r="F60" s="114" t="n">
        <f aca="false">SUMIFS(tabela_registros[VALOR],tabela_registros[MÊS],$AE$1,tabela_registros[DIA],agototal3059718395107119[[#Headers],[2]],tabela_registros[REGISTRO],DADOS!$N$4,tabela_registros[TIPO],DADOS!$P$4,tabela_registros[CATEGORIA],despesavariávelconsolidadoago[[#This Row],[DESPESA VARIÁVEL]])</f>
        <v>0</v>
      </c>
      <c r="G60" s="114" t="n">
        <f aca="false">SUMIFS(tabela_registros[VALOR],tabela_registros[MÊS],$AE$1,tabela_registros[DIA],agototal3059718395107119[[#Headers],[3]],tabela_registros[REGISTRO],DADOS!$N$4,tabela_registros[TIPO],DADOS!$P$4,tabela_registros[CATEGORIA],despesavariávelconsolidadoago[[#This Row],[DESPESA VARIÁVEL]])</f>
        <v>0</v>
      </c>
      <c r="H60" s="114" t="n">
        <f aca="false">SUMIFS(tabela_registros[VALOR],tabela_registros[MÊS],$AE$1,tabela_registros[DIA],agototal3059718395107119[[#Headers],[4]],tabela_registros[REGISTRO],DADOS!$N$4,tabela_registros[TIPO],DADOS!$P$4,tabela_registros[CATEGORIA],despesavariávelconsolidadoago[[#This Row],[DESPESA VARIÁVEL]])</f>
        <v>0</v>
      </c>
      <c r="I60" s="114" t="n">
        <f aca="false">SUMIFS(tabela_registros[VALOR],tabela_registros[MÊS],$AE$1,tabela_registros[DIA],agototal3059718395107119[[#Headers],[5]],tabela_registros[REGISTRO],DADOS!$N$4,tabela_registros[TIPO],DADOS!$P$4,tabela_registros[CATEGORIA],despesavariávelconsolidadoago[[#This Row],[DESPESA VARIÁVEL]])</f>
        <v>0</v>
      </c>
      <c r="J60" s="114" t="n">
        <f aca="false">SUMIFS(tabela_registros[VALOR],tabela_registros[MÊS],$AE$1,tabela_registros[DIA],agototal3059718395107119[[#Headers],[6]],tabela_registros[REGISTRO],DADOS!$N$4,tabela_registros[TIPO],DADOS!$P$4,tabela_registros[CATEGORIA],despesavariávelconsolidadoago[[#This Row],[DESPESA VARIÁVEL]])</f>
        <v>0</v>
      </c>
      <c r="K60" s="114" t="n">
        <f aca="false">SUMIFS(tabela_registros[VALOR],tabela_registros[MÊS],$AE$1,tabela_registros[DIA],agototal3059718395107119[[#Headers],[7]],tabela_registros[REGISTRO],DADOS!$N$4,tabela_registros[TIPO],DADOS!$P$4,tabela_registros[CATEGORIA],despesavariávelconsolidadoago[[#This Row],[DESPESA VARIÁVEL]])</f>
        <v>0</v>
      </c>
      <c r="L60" s="114" t="n">
        <f aca="false">SUMIFS(tabela_registros[VALOR],tabela_registros[MÊS],$AE$1,tabela_registros[DIA],agototal3059718395107119[[#Headers],[8]],tabela_registros[REGISTRO],DADOS!$N$4,tabela_registros[TIPO],DADOS!$P$4,tabela_registros[CATEGORIA],despesavariávelconsolidadoago[[#This Row],[DESPESA VARIÁVEL]])</f>
        <v>0</v>
      </c>
      <c r="M60" s="114" t="n">
        <f aca="false">SUMIFS(tabela_registros[VALOR],tabela_registros[MÊS],$AE$1,tabela_registros[DIA],agototal3059718395107119[[#Headers],[9]],tabela_registros[REGISTRO],DADOS!$N$4,tabela_registros[TIPO],DADOS!$P$4,tabela_registros[CATEGORIA],despesavariávelconsolidadoago[[#This Row],[DESPESA VARIÁVEL]])</f>
        <v>0</v>
      </c>
      <c r="N60" s="114" t="n">
        <f aca="false">SUMIFS(tabela_registros[VALOR],tabela_registros[MÊS],$AE$1,tabela_registros[DIA],agototal3059718395107119[[#Headers],[10]],tabela_registros[REGISTRO],DADOS!$N$4,tabela_registros[TIPO],DADOS!$P$4,tabela_registros[CATEGORIA],despesavariávelconsolidadoago[[#This Row],[DESPESA VARIÁVEL]])</f>
        <v>0</v>
      </c>
      <c r="O60" s="114" t="n">
        <f aca="false">SUMIFS(tabela_registros[VALOR],tabela_registros[MÊS],$AE$1,tabela_registros[DIA],agototal3059718395107119[[#Headers],[11]],tabela_registros[REGISTRO],DADOS!$N$4,tabela_registros[TIPO],DADOS!$P$4,tabela_registros[CATEGORIA],despesavariávelconsolidadoago[[#This Row],[DESPESA VARIÁVEL]])</f>
        <v>0</v>
      </c>
      <c r="P60" s="114" t="n">
        <f aca="false">SUMIFS(tabela_registros[VALOR],tabela_registros[MÊS],$AE$1,tabela_registros[DIA],agototal3059718395107119[[#Headers],[12]],tabela_registros[REGISTRO],DADOS!$N$4,tabela_registros[TIPO],DADOS!$P$4,tabela_registros[CATEGORIA],despesavariávelconsolidadoago[[#This Row],[DESPESA VARIÁVEL]])</f>
        <v>0</v>
      </c>
      <c r="Q60" s="114" t="n">
        <f aca="false">SUMIFS(tabela_registros[VALOR],tabela_registros[MÊS],$AE$1,tabela_registros[DIA],agototal3059718395107119[[#Headers],[13]],tabela_registros[REGISTRO],DADOS!$N$4,tabela_registros[TIPO],DADOS!$P$4,tabela_registros[CATEGORIA],despesavariávelconsolidadoago[[#This Row],[DESPESA VARIÁVEL]])</f>
        <v>0</v>
      </c>
      <c r="R60" s="114" t="n">
        <f aca="false">SUMIFS(tabela_registros[VALOR],tabela_registros[MÊS],$AE$1,tabela_registros[DIA],agototal3059718395107119[[#Headers],[14]],tabela_registros[REGISTRO],DADOS!$N$4,tabela_registros[TIPO],DADOS!$P$4,tabela_registros[CATEGORIA],despesavariávelconsolidadoago[[#This Row],[DESPESA VARIÁVEL]])</f>
        <v>0</v>
      </c>
      <c r="S60" s="114" t="n">
        <f aca="false">SUMIFS(tabela_registros[VALOR],tabela_registros[MÊS],$AE$1,tabela_registros[DIA],agototal3059718395107119[[#Headers],[15]],tabela_registros[REGISTRO],DADOS!$N$4,tabela_registros[TIPO],DADOS!$P$4,tabela_registros[CATEGORIA],despesavariávelconsolidadoago[[#This Row],[DESPESA VARIÁVEL]])</f>
        <v>0</v>
      </c>
      <c r="T60" s="114" t="n">
        <f aca="false">SUMIFS(tabela_registros[VALOR],tabela_registros[MÊS],$AE$1,tabela_registros[DIA],agototal3059718395107119[[#Headers],[16]],tabela_registros[REGISTRO],DADOS!$N$4,tabela_registros[TIPO],DADOS!$P$4,tabela_registros[CATEGORIA],despesavariávelconsolidadoago[[#This Row],[DESPESA VARIÁVEL]])</f>
        <v>0</v>
      </c>
      <c r="U60" s="114" t="n">
        <f aca="false">SUMIFS(tabela_registros[VALOR],tabela_registros[MÊS],$AE$1,tabela_registros[DIA],agototal3059718395107119[[#Headers],[17]],tabela_registros[REGISTRO],DADOS!$N$4,tabela_registros[TIPO],DADOS!$P$4,tabela_registros[CATEGORIA],despesavariávelconsolidadoago[[#This Row],[DESPESA VARIÁVEL]])</f>
        <v>0</v>
      </c>
      <c r="V60" s="114" t="n">
        <f aca="false">SUMIFS(tabela_registros[VALOR],tabela_registros[MÊS],$AE$1,tabela_registros[DIA],agototal3059718395107119[[#Headers],[18]],tabela_registros[REGISTRO],DADOS!$N$4,tabela_registros[TIPO],DADOS!$P$4,tabela_registros[CATEGORIA],despesavariávelconsolidadoago[[#This Row],[DESPESA VARIÁVEL]])</f>
        <v>0</v>
      </c>
      <c r="W60" s="114" t="n">
        <f aca="false">SUMIFS(tabela_registros[VALOR],tabela_registros[MÊS],$AE$1,tabela_registros[DIA],agototal3059718395107119[[#Headers],[19]],tabela_registros[REGISTRO],DADOS!$N$4,tabela_registros[TIPO],DADOS!$P$4,tabela_registros[CATEGORIA],despesavariávelconsolidadoago[[#This Row],[DESPESA VARIÁVEL]])</f>
        <v>0</v>
      </c>
      <c r="X60" s="114" t="n">
        <f aca="false">SUMIFS(tabela_registros[VALOR],tabela_registros[MÊS],$AE$1,tabela_registros[DIA],agototal3059718395107119[[#Headers],[20]],tabela_registros[REGISTRO],DADOS!$N$4,tabela_registros[TIPO],DADOS!$P$4,tabela_registros[CATEGORIA],despesavariávelconsolidadoago[[#This Row],[DESPESA VARIÁVEL]])</f>
        <v>0</v>
      </c>
      <c r="Y60" s="114" t="n">
        <f aca="false">SUMIFS(tabela_registros[VALOR],tabela_registros[MÊS],$AE$1,tabela_registros[DIA],agototal3059718395107119[[#Headers],[21]],tabela_registros[REGISTRO],DADOS!$N$4,tabela_registros[TIPO],DADOS!$P$4,tabela_registros[CATEGORIA],despesavariávelconsolidadoago[[#This Row],[DESPESA VARIÁVEL]])</f>
        <v>0</v>
      </c>
      <c r="Z60" s="114" t="n">
        <f aca="false">SUMIFS(tabela_registros[VALOR],tabela_registros[MÊS],$AE$1,tabela_registros[DIA],agototal3059718395107119[[#Headers],[22]],tabela_registros[REGISTRO],DADOS!$N$4,tabela_registros[TIPO],DADOS!$P$4,tabela_registros[CATEGORIA],despesavariávelconsolidadoago[[#This Row],[DESPESA VARIÁVEL]])</f>
        <v>0</v>
      </c>
      <c r="AA60" s="114" t="n">
        <f aca="false">SUMIFS(tabela_registros[VALOR],tabela_registros[MÊS],$AE$1,tabela_registros[DIA],agototal3059718395107119[[#Headers],[23]],tabela_registros[REGISTRO],DADOS!$N$4,tabela_registros[TIPO],DADOS!$P$4,tabela_registros[CATEGORIA],despesavariávelconsolidadoago[[#This Row],[DESPESA VARIÁVEL]])</f>
        <v>0</v>
      </c>
      <c r="AB60" s="114" t="n">
        <f aca="false">SUMIFS(tabela_registros[VALOR],tabela_registros[MÊS],$AE$1,tabela_registros[DIA],agototal3059718395107119[[#Headers],[24]],tabela_registros[REGISTRO],DADOS!$N$4,tabela_registros[TIPO],DADOS!$P$4,tabela_registros[CATEGORIA],despesavariávelconsolidadoago[[#This Row],[DESPESA VARIÁVEL]])</f>
        <v>0</v>
      </c>
      <c r="AC60" s="114" t="n">
        <f aca="false">SUMIFS(tabela_registros[VALOR],tabela_registros[MÊS],$AE$1,tabela_registros[DIA],agototal3059718395107119[[#Headers],[25]],tabela_registros[REGISTRO],DADOS!$N$4,tabela_registros[TIPO],DADOS!$P$4,tabela_registros[CATEGORIA],despesavariávelconsolidadoago[[#This Row],[DESPESA VARIÁVEL]])</f>
        <v>0</v>
      </c>
      <c r="AD60" s="114" t="n">
        <f aca="false">SUMIFS(tabela_registros[VALOR],tabela_registros[MÊS],$AE$1,tabela_registros[DIA],agototal3059718395107119[[#Headers],[26]],tabela_registros[REGISTRO],DADOS!$N$4,tabela_registros[TIPO],DADOS!$P$4,tabela_registros[CATEGORIA],despesavariávelconsolidadoago[[#This Row],[DESPESA VARIÁVEL]])</f>
        <v>0</v>
      </c>
      <c r="AE60" s="114" t="n">
        <f aca="false">SUMIFS(tabela_registros[VALOR],tabela_registros[MÊS],$AE$1,tabela_registros[DIA],agototal3059718395107119[[#Headers],[27]],tabela_registros[REGISTRO],DADOS!$N$4,tabela_registros[TIPO],DADOS!$P$4,tabela_registros[CATEGORIA],despesavariávelconsolidadoago[[#This Row],[DESPESA VARIÁVEL]])</f>
        <v>0</v>
      </c>
      <c r="AF60" s="114" t="n">
        <f aca="false">SUMIFS(tabela_registros[VALOR],tabela_registros[MÊS],$AE$1,tabela_registros[DIA],agototal3059718395107119[[#Headers],[28]],tabela_registros[REGISTRO],DADOS!$N$4,tabela_registros[TIPO],DADOS!$P$4,tabela_registros[CATEGORIA],despesavariávelconsolidadoago[[#This Row],[DESPESA VARIÁVEL]])</f>
        <v>0</v>
      </c>
      <c r="AG60" s="114" t="n">
        <f aca="false">SUMIFS(tabela_registros[VALOR],tabela_registros[MÊS],$AE$1,tabela_registros[DIA],agototal3059718395107119[[#Headers],[29]],tabela_registros[REGISTRO],DADOS!$N$4,tabela_registros[TIPO],DADOS!$P$4,tabela_registros[CATEGORIA],despesavariávelconsolidadoago[[#This Row],[DESPESA VARIÁVEL]])</f>
        <v>0</v>
      </c>
      <c r="AH60" s="114" t="n">
        <f aca="false">SUMIFS(tabela_registros[VALOR],tabela_registros[MÊS],$AE$1,tabela_registros[DIA],agototal3059718395107119[[#Headers],[30]],tabela_registros[REGISTRO],DADOS!$N$4,tabela_registros[TIPO],DADOS!$P$4,tabela_registros[CATEGORIA],despesavariávelconsolidadoago[[#This Row],[DESPESA VARIÁVEL]])</f>
        <v>0</v>
      </c>
      <c r="AI60" s="216" t="n">
        <f aca="false">SUMIFS(tabela_registros[VALOR],tabela_registros[MÊS],$AE$1,tabela_registros[DIA],agototal3059718395107119[[#Headers],[31]],tabela_registros[REGISTRO],DADOS!$N$4,tabela_registros[TIPO],DADOS!$P$4,tabela_registros[CATEGORIA],despesavariávelconsolidadoago[[#This Row],[DESPESA VARIÁVEL]])</f>
        <v>0</v>
      </c>
      <c r="AJ60" s="147" t="n">
        <f aca="false">SUM(despesavariávelconsolidadoago[[#This Row],[1]:[31]])</f>
        <v>0</v>
      </c>
      <c r="AK60" s="143"/>
    </row>
    <row r="61" customFormat="false" ht="18" hidden="false" customHeight="true" outlineLevel="0" collapsed="false">
      <c r="B61" s="143"/>
      <c r="C61" s="144" t="str">
        <f aca="false">DADOS!$T$4</f>
        <v>💳 CARTÃO DE CRÉDITO</v>
      </c>
      <c r="D61" s="145" t="str">
        <f aca="false">IF(despesavariávelconsolidadoago[[#This Row],[TOTAL]]=0,"",IF(OR(despesavariávelconsolidadoago[[#This Row],[TOTAL]]=LARGE($AJ$60:$AJ$72,1),despesavariávelconsolidadoago[[#This Row],[TOTAL]]=LARGE($AJ$60:$AJ$72,2),despesavariávelconsolidadoago[[#This Row],[TOTAL]]=LARGE($AJ$60:$AJ$72,3),despesavariávelconsolidadoago[[#This Row],[TOTAL]]=LARGE($AJ$60:$AJ$72,4),despesavariávelconsolidadoago[[#This Row],[TOTAL]]=LARGE($AJ$60:$AJ$72,5)),DADOS!$I$8,""))</f>
        <v/>
      </c>
      <c r="E61" s="148" t="n">
        <f aca="false">SUMIFS(tabela_registros[VALOR],tabela_registros[MÊS],$AE$1,tabela_registros[DIA],agototal3059718395107119[[#Headers],[1]],tabela_registros[REGISTRO],DADOS!$N$4,tabela_registros[TIPO],DADOS!$P$4,tabela_registros[CATEGORIA],despesavariávelconsolidadoago[[#This Row],[DESPESA VARIÁVEL]])</f>
        <v>0</v>
      </c>
      <c r="F61" s="119" t="n">
        <f aca="false">SUMIFS(tabela_registros[VALOR],tabela_registros[MÊS],$AE$1,tabela_registros[DIA],agototal3059718395107119[[#Headers],[2]],tabela_registros[REGISTRO],DADOS!$N$4,tabela_registros[TIPO],DADOS!$P$4,tabela_registros[CATEGORIA],despesavariávelconsolidadoago[[#This Row],[DESPESA VARIÁVEL]])</f>
        <v>0</v>
      </c>
      <c r="G61" s="119" t="n">
        <f aca="false">SUMIFS(tabela_registros[VALOR],tabela_registros[MÊS],$AE$1,tabela_registros[DIA],agototal3059718395107119[[#Headers],[3]],tabela_registros[REGISTRO],DADOS!$N$4,tabela_registros[TIPO],DADOS!$P$4,tabela_registros[CATEGORIA],despesavariávelconsolidadoago[[#This Row],[DESPESA VARIÁVEL]])</f>
        <v>0</v>
      </c>
      <c r="H61" s="119" t="n">
        <f aca="false">SUMIFS(tabela_registros[VALOR],tabela_registros[MÊS],$AE$1,tabela_registros[DIA],agototal3059718395107119[[#Headers],[4]],tabela_registros[REGISTRO],DADOS!$N$4,tabela_registros[TIPO],DADOS!$P$4,tabela_registros[CATEGORIA],despesavariávelconsolidadoago[[#This Row],[DESPESA VARIÁVEL]])</f>
        <v>0</v>
      </c>
      <c r="I61" s="119" t="n">
        <f aca="false">SUMIFS(tabela_registros[VALOR],tabela_registros[MÊS],$AE$1,tabela_registros[DIA],agototal3059718395107119[[#Headers],[5]],tabela_registros[REGISTRO],DADOS!$N$4,tabela_registros[TIPO],DADOS!$P$4,tabela_registros[CATEGORIA],despesavariávelconsolidadoago[[#This Row],[DESPESA VARIÁVEL]])</f>
        <v>0</v>
      </c>
      <c r="J61" s="119" t="n">
        <f aca="false">SUMIFS(tabela_registros[VALOR],tabela_registros[MÊS],$AE$1,tabela_registros[DIA],agototal3059718395107119[[#Headers],[6]],tabela_registros[REGISTRO],DADOS!$N$4,tabela_registros[TIPO],DADOS!$P$4,tabela_registros[CATEGORIA],despesavariávelconsolidadoago[[#This Row],[DESPESA VARIÁVEL]])</f>
        <v>0</v>
      </c>
      <c r="K61" s="119" t="n">
        <f aca="false">SUMIFS(tabela_registros[VALOR],tabela_registros[MÊS],$AE$1,tabela_registros[DIA],agototal3059718395107119[[#Headers],[7]],tabela_registros[REGISTRO],DADOS!$N$4,tabela_registros[TIPO],DADOS!$P$4,tabela_registros[CATEGORIA],despesavariávelconsolidadoago[[#This Row],[DESPESA VARIÁVEL]])</f>
        <v>0</v>
      </c>
      <c r="L61" s="119" t="n">
        <f aca="false">SUMIFS(tabela_registros[VALOR],tabela_registros[MÊS],$AE$1,tabela_registros[DIA],agototal3059718395107119[[#Headers],[8]],tabela_registros[REGISTRO],DADOS!$N$4,tabela_registros[TIPO],DADOS!$P$4,tabela_registros[CATEGORIA],despesavariávelconsolidadoago[[#This Row],[DESPESA VARIÁVEL]])</f>
        <v>0</v>
      </c>
      <c r="M61" s="119" t="n">
        <f aca="false">SUMIFS(tabela_registros[VALOR],tabela_registros[MÊS],$AE$1,tabela_registros[DIA],agototal3059718395107119[[#Headers],[9]],tabela_registros[REGISTRO],DADOS!$N$4,tabela_registros[TIPO],DADOS!$P$4,tabela_registros[CATEGORIA],despesavariávelconsolidadoago[[#This Row],[DESPESA VARIÁVEL]])</f>
        <v>0</v>
      </c>
      <c r="N61" s="119" t="n">
        <f aca="false">SUMIFS(tabela_registros[VALOR],tabela_registros[MÊS],$AE$1,tabela_registros[DIA],agototal3059718395107119[[#Headers],[10]],tabela_registros[REGISTRO],DADOS!$N$4,tabela_registros[TIPO],DADOS!$P$4,tabela_registros[CATEGORIA],despesavariávelconsolidadoago[[#This Row],[DESPESA VARIÁVEL]])</f>
        <v>0</v>
      </c>
      <c r="O61" s="119" t="n">
        <f aca="false">SUMIFS(tabela_registros[VALOR],tabela_registros[MÊS],$AE$1,tabela_registros[DIA],agototal3059718395107119[[#Headers],[11]],tabela_registros[REGISTRO],DADOS!$N$4,tabela_registros[TIPO],DADOS!$P$4,tabela_registros[CATEGORIA],despesavariávelconsolidadoago[[#This Row],[DESPESA VARIÁVEL]])</f>
        <v>0</v>
      </c>
      <c r="P61" s="119" t="n">
        <f aca="false">SUMIFS(tabela_registros[VALOR],tabela_registros[MÊS],$AE$1,tabela_registros[DIA],agototal3059718395107119[[#Headers],[12]],tabela_registros[REGISTRO],DADOS!$N$4,tabela_registros[TIPO],DADOS!$P$4,tabela_registros[CATEGORIA],despesavariávelconsolidadoago[[#This Row],[DESPESA VARIÁVEL]])</f>
        <v>0</v>
      </c>
      <c r="Q61" s="119" t="n">
        <f aca="false">SUMIFS(tabela_registros[VALOR],tabela_registros[MÊS],$AE$1,tabela_registros[DIA],agototal3059718395107119[[#Headers],[13]],tabela_registros[REGISTRO],DADOS!$N$4,tabela_registros[TIPO],DADOS!$P$4,tabela_registros[CATEGORIA],despesavariávelconsolidadoago[[#This Row],[DESPESA VARIÁVEL]])</f>
        <v>0</v>
      </c>
      <c r="R61" s="119" t="n">
        <f aca="false">SUMIFS(tabela_registros[VALOR],tabela_registros[MÊS],$AE$1,tabela_registros[DIA],agototal3059718395107119[[#Headers],[14]],tabela_registros[REGISTRO],DADOS!$N$4,tabela_registros[TIPO],DADOS!$P$4,tabela_registros[CATEGORIA],despesavariávelconsolidadoago[[#This Row],[DESPESA VARIÁVEL]])</f>
        <v>0</v>
      </c>
      <c r="S61" s="119" t="n">
        <f aca="false">SUMIFS(tabela_registros[VALOR],tabela_registros[MÊS],$AE$1,tabela_registros[DIA],agototal3059718395107119[[#Headers],[15]],tabela_registros[REGISTRO],DADOS!$N$4,tabela_registros[TIPO],DADOS!$P$4,tabela_registros[CATEGORIA],despesavariávelconsolidadoago[[#This Row],[DESPESA VARIÁVEL]])</f>
        <v>0</v>
      </c>
      <c r="T61" s="119" t="n">
        <f aca="false">SUMIFS(tabela_registros[VALOR],tabela_registros[MÊS],$AE$1,tabela_registros[DIA],agototal3059718395107119[[#Headers],[16]],tabela_registros[REGISTRO],DADOS!$N$4,tabela_registros[TIPO],DADOS!$P$4,tabela_registros[CATEGORIA],despesavariávelconsolidadoago[[#This Row],[DESPESA VARIÁVEL]])</f>
        <v>0</v>
      </c>
      <c r="U61" s="119" t="n">
        <f aca="false">SUMIFS(tabela_registros[VALOR],tabela_registros[MÊS],$AE$1,tabela_registros[DIA],agototal3059718395107119[[#Headers],[17]],tabela_registros[REGISTRO],DADOS!$N$4,tabela_registros[TIPO],DADOS!$P$4,tabela_registros[CATEGORIA],despesavariávelconsolidadoago[[#This Row],[DESPESA VARIÁVEL]])</f>
        <v>0</v>
      </c>
      <c r="V61" s="119" t="n">
        <f aca="false">SUMIFS(tabela_registros[VALOR],tabela_registros[MÊS],$AE$1,tabela_registros[DIA],agototal3059718395107119[[#Headers],[18]],tabela_registros[REGISTRO],DADOS!$N$4,tabela_registros[TIPO],DADOS!$P$4,tabela_registros[CATEGORIA],despesavariávelconsolidadoago[[#This Row],[DESPESA VARIÁVEL]])</f>
        <v>0</v>
      </c>
      <c r="W61" s="119" t="n">
        <f aca="false">SUMIFS(tabela_registros[VALOR],tabela_registros[MÊS],$AE$1,tabela_registros[DIA],agototal3059718395107119[[#Headers],[19]],tabela_registros[REGISTRO],DADOS!$N$4,tabela_registros[TIPO],DADOS!$P$4,tabela_registros[CATEGORIA],despesavariávelconsolidadoago[[#This Row],[DESPESA VARIÁVEL]])</f>
        <v>0</v>
      </c>
      <c r="X61" s="119" t="n">
        <f aca="false">SUMIFS(tabela_registros[VALOR],tabela_registros[MÊS],$AE$1,tabela_registros[DIA],agototal3059718395107119[[#Headers],[20]],tabela_registros[REGISTRO],DADOS!$N$4,tabela_registros[TIPO],DADOS!$P$4,tabela_registros[CATEGORIA],despesavariávelconsolidadoago[[#This Row],[DESPESA VARIÁVEL]])</f>
        <v>0</v>
      </c>
      <c r="Y61" s="119" t="n">
        <f aca="false">SUMIFS(tabela_registros[VALOR],tabela_registros[MÊS],$AE$1,tabela_registros[DIA],agototal3059718395107119[[#Headers],[21]],tabela_registros[REGISTRO],DADOS!$N$4,tabela_registros[TIPO],DADOS!$P$4,tabela_registros[CATEGORIA],despesavariávelconsolidadoago[[#This Row],[DESPESA VARIÁVEL]])</f>
        <v>0</v>
      </c>
      <c r="Z61" s="119" t="n">
        <f aca="false">SUMIFS(tabela_registros[VALOR],tabela_registros[MÊS],$AE$1,tabela_registros[DIA],agototal3059718395107119[[#Headers],[22]],tabela_registros[REGISTRO],DADOS!$N$4,tabela_registros[TIPO],DADOS!$P$4,tabela_registros[CATEGORIA],despesavariávelconsolidadoago[[#This Row],[DESPESA VARIÁVEL]])</f>
        <v>0</v>
      </c>
      <c r="AA61" s="119" t="n">
        <f aca="false">SUMIFS(tabela_registros[VALOR],tabela_registros[MÊS],$AE$1,tabela_registros[DIA],agototal3059718395107119[[#Headers],[23]],tabela_registros[REGISTRO],DADOS!$N$4,tabela_registros[TIPO],DADOS!$P$4,tabela_registros[CATEGORIA],despesavariávelconsolidadoago[[#This Row],[DESPESA VARIÁVEL]])</f>
        <v>0</v>
      </c>
      <c r="AB61" s="119" t="n">
        <f aca="false">SUMIFS(tabela_registros[VALOR],tabela_registros[MÊS],$AE$1,tabela_registros[DIA],agototal3059718395107119[[#Headers],[24]],tabela_registros[REGISTRO],DADOS!$N$4,tabela_registros[TIPO],DADOS!$P$4,tabela_registros[CATEGORIA],despesavariávelconsolidadoago[[#This Row],[DESPESA VARIÁVEL]])</f>
        <v>0</v>
      </c>
      <c r="AC61" s="119" t="n">
        <f aca="false">SUMIFS(tabela_registros[VALOR],tabela_registros[MÊS],$AE$1,tabela_registros[DIA],agototal3059718395107119[[#Headers],[25]],tabela_registros[REGISTRO],DADOS!$N$4,tabela_registros[TIPO],DADOS!$P$4,tabela_registros[CATEGORIA],despesavariávelconsolidadoago[[#This Row],[DESPESA VARIÁVEL]])</f>
        <v>0</v>
      </c>
      <c r="AD61" s="119" t="n">
        <f aca="false">SUMIFS(tabela_registros[VALOR],tabela_registros[MÊS],$AE$1,tabela_registros[DIA],agototal3059718395107119[[#Headers],[26]],tabela_registros[REGISTRO],DADOS!$N$4,tabela_registros[TIPO],DADOS!$P$4,tabela_registros[CATEGORIA],despesavariávelconsolidadoago[[#This Row],[DESPESA VARIÁVEL]])</f>
        <v>0</v>
      </c>
      <c r="AE61" s="119" t="n">
        <f aca="false">SUMIFS(tabela_registros[VALOR],tabela_registros[MÊS],$AE$1,tabela_registros[DIA],agototal3059718395107119[[#Headers],[27]],tabela_registros[REGISTRO],DADOS!$N$4,tabela_registros[TIPO],DADOS!$P$4,tabela_registros[CATEGORIA],despesavariávelconsolidadoago[[#This Row],[DESPESA VARIÁVEL]])</f>
        <v>0</v>
      </c>
      <c r="AF61" s="119" t="n">
        <f aca="false">SUMIFS(tabela_registros[VALOR],tabela_registros[MÊS],$AE$1,tabela_registros[DIA],agototal3059718395107119[[#Headers],[28]],tabela_registros[REGISTRO],DADOS!$N$4,tabela_registros[TIPO],DADOS!$P$4,tabela_registros[CATEGORIA],despesavariávelconsolidadoago[[#This Row],[DESPESA VARIÁVEL]])</f>
        <v>0</v>
      </c>
      <c r="AG61" s="119" t="n">
        <f aca="false">SUMIFS(tabela_registros[VALOR],tabela_registros[MÊS],$AE$1,tabela_registros[DIA],agototal3059718395107119[[#Headers],[29]],tabela_registros[REGISTRO],DADOS!$N$4,tabela_registros[TIPO],DADOS!$P$4,tabela_registros[CATEGORIA],despesavariávelconsolidadoago[[#This Row],[DESPESA VARIÁVEL]])</f>
        <v>0</v>
      </c>
      <c r="AH61" s="119" t="n">
        <f aca="false">SUMIFS(tabela_registros[VALOR],tabela_registros[MÊS],$AE$1,tabela_registros[DIA],agototal3059718395107119[[#Headers],[30]],tabela_registros[REGISTRO],DADOS!$N$4,tabela_registros[TIPO],DADOS!$P$4,tabela_registros[CATEGORIA],despesavariávelconsolidadoago[[#This Row],[DESPESA VARIÁVEL]])</f>
        <v>0</v>
      </c>
      <c r="AI61" s="217" t="n">
        <f aca="false">SUMIFS(tabela_registros[VALOR],tabela_registros[MÊS],$AE$1,tabela_registros[DIA],agototal3059718395107119[[#Headers],[31]],tabela_registros[REGISTRO],DADOS!$N$4,tabela_registros[TIPO],DADOS!$P$4,tabela_registros[CATEGORIA],despesavariávelconsolidadoago[[#This Row],[DESPESA VARIÁVEL]])</f>
        <v>0</v>
      </c>
      <c r="AJ61" s="149" t="n">
        <f aca="false">SUM(despesavariávelconsolidadoago[[#This Row],[1]:[31]])</f>
        <v>0</v>
      </c>
      <c r="AK61" s="143"/>
    </row>
    <row r="62" customFormat="false" ht="18" hidden="false" customHeight="true" outlineLevel="0" collapsed="false">
      <c r="B62" s="143"/>
      <c r="C62" s="144" t="str">
        <f aca="false">DADOS!$T$5</f>
        <v>✍️ CHEQUE ESPECIAL</v>
      </c>
      <c r="D62" s="145" t="str">
        <f aca="false">IF(despesavariávelconsolidadoago[[#This Row],[TOTAL]]=0,"",IF(OR(despesavariávelconsolidadoago[[#This Row],[TOTAL]]=LARGE($AJ$60:$AJ$72,1),despesavariávelconsolidadoago[[#This Row],[TOTAL]]=LARGE($AJ$60:$AJ$72,2),despesavariávelconsolidadoago[[#This Row],[TOTAL]]=LARGE($AJ$60:$AJ$72,3),despesavariávelconsolidadoago[[#This Row],[TOTAL]]=LARGE($AJ$60:$AJ$72,4),despesavariávelconsolidadoago[[#This Row],[TOTAL]]=LARGE($AJ$60:$AJ$72,5)),DADOS!$I$8,""))</f>
        <v/>
      </c>
      <c r="E62" s="148" t="n">
        <f aca="false">SUMIFS(tabela_registros[VALOR],tabela_registros[MÊS],$AE$1,tabela_registros[DIA],agototal3059718395107119[[#Headers],[1]],tabela_registros[REGISTRO],DADOS!$N$4,tabela_registros[TIPO],DADOS!$P$4,tabela_registros[CATEGORIA],despesavariávelconsolidadoago[[#This Row],[DESPESA VARIÁVEL]])</f>
        <v>0</v>
      </c>
      <c r="F62" s="119" t="n">
        <f aca="false">SUMIFS(tabela_registros[VALOR],tabela_registros[MÊS],$AE$1,tabela_registros[DIA],agototal3059718395107119[[#Headers],[2]],tabela_registros[REGISTRO],DADOS!$N$4,tabela_registros[TIPO],DADOS!$P$4,tabela_registros[CATEGORIA],despesavariávelconsolidadoago[[#This Row],[DESPESA VARIÁVEL]])</f>
        <v>0</v>
      </c>
      <c r="G62" s="119" t="n">
        <f aca="false">SUMIFS(tabela_registros[VALOR],tabela_registros[MÊS],$AE$1,tabela_registros[DIA],agototal3059718395107119[[#Headers],[3]],tabela_registros[REGISTRO],DADOS!$N$4,tabela_registros[TIPO],DADOS!$P$4,tabela_registros[CATEGORIA],despesavariávelconsolidadoago[[#This Row],[DESPESA VARIÁVEL]])</f>
        <v>0</v>
      </c>
      <c r="H62" s="119" t="n">
        <f aca="false">SUMIFS(tabela_registros[VALOR],tabela_registros[MÊS],$AE$1,tabela_registros[DIA],agototal3059718395107119[[#Headers],[4]],tabela_registros[REGISTRO],DADOS!$N$4,tabela_registros[TIPO],DADOS!$P$4,tabela_registros[CATEGORIA],despesavariávelconsolidadoago[[#This Row],[DESPESA VARIÁVEL]])</f>
        <v>0</v>
      </c>
      <c r="I62" s="119" t="n">
        <f aca="false">SUMIFS(tabela_registros[VALOR],tabela_registros[MÊS],$AE$1,tabela_registros[DIA],agototal3059718395107119[[#Headers],[5]],tabela_registros[REGISTRO],DADOS!$N$4,tabela_registros[TIPO],DADOS!$P$4,tabela_registros[CATEGORIA],despesavariávelconsolidadoago[[#This Row],[DESPESA VARIÁVEL]])</f>
        <v>0</v>
      </c>
      <c r="J62" s="119" t="n">
        <f aca="false">SUMIFS(tabela_registros[VALOR],tabela_registros[MÊS],$AE$1,tabela_registros[DIA],agototal3059718395107119[[#Headers],[6]],tabela_registros[REGISTRO],DADOS!$N$4,tabela_registros[TIPO],DADOS!$P$4,tabela_registros[CATEGORIA],despesavariávelconsolidadoago[[#This Row],[DESPESA VARIÁVEL]])</f>
        <v>0</v>
      </c>
      <c r="K62" s="119" t="n">
        <f aca="false">SUMIFS(tabela_registros[VALOR],tabela_registros[MÊS],$AE$1,tabela_registros[DIA],agototal3059718395107119[[#Headers],[7]],tabela_registros[REGISTRO],DADOS!$N$4,tabela_registros[TIPO],DADOS!$P$4,tabela_registros[CATEGORIA],despesavariávelconsolidadoago[[#This Row],[DESPESA VARIÁVEL]])</f>
        <v>0</v>
      </c>
      <c r="L62" s="119" t="n">
        <f aca="false">SUMIFS(tabela_registros[VALOR],tabela_registros[MÊS],$AE$1,tabela_registros[DIA],agototal3059718395107119[[#Headers],[8]],tabela_registros[REGISTRO],DADOS!$N$4,tabela_registros[TIPO],DADOS!$P$4,tabela_registros[CATEGORIA],despesavariávelconsolidadoago[[#This Row],[DESPESA VARIÁVEL]])</f>
        <v>0</v>
      </c>
      <c r="M62" s="119" t="n">
        <f aca="false">SUMIFS(tabela_registros[VALOR],tabela_registros[MÊS],$AE$1,tabela_registros[DIA],agototal3059718395107119[[#Headers],[9]],tabela_registros[REGISTRO],DADOS!$N$4,tabela_registros[TIPO],DADOS!$P$4,tabela_registros[CATEGORIA],despesavariávelconsolidadoago[[#This Row],[DESPESA VARIÁVEL]])</f>
        <v>0</v>
      </c>
      <c r="N62" s="119" t="n">
        <f aca="false">SUMIFS(tabela_registros[VALOR],tabela_registros[MÊS],$AE$1,tabela_registros[DIA],agototal3059718395107119[[#Headers],[10]],tabela_registros[REGISTRO],DADOS!$N$4,tabela_registros[TIPO],DADOS!$P$4,tabela_registros[CATEGORIA],despesavariávelconsolidadoago[[#This Row],[DESPESA VARIÁVEL]])</f>
        <v>0</v>
      </c>
      <c r="O62" s="119" t="n">
        <f aca="false">SUMIFS(tabela_registros[VALOR],tabela_registros[MÊS],$AE$1,tabela_registros[DIA],agototal3059718395107119[[#Headers],[11]],tabela_registros[REGISTRO],DADOS!$N$4,tabela_registros[TIPO],DADOS!$P$4,tabela_registros[CATEGORIA],despesavariávelconsolidadoago[[#This Row],[DESPESA VARIÁVEL]])</f>
        <v>0</v>
      </c>
      <c r="P62" s="119" t="n">
        <f aca="false">SUMIFS(tabela_registros[VALOR],tabela_registros[MÊS],$AE$1,tabela_registros[DIA],agototal3059718395107119[[#Headers],[12]],tabela_registros[REGISTRO],DADOS!$N$4,tabela_registros[TIPO],DADOS!$P$4,tabela_registros[CATEGORIA],despesavariávelconsolidadoago[[#This Row],[DESPESA VARIÁVEL]])</f>
        <v>0</v>
      </c>
      <c r="Q62" s="119" t="n">
        <f aca="false">SUMIFS(tabela_registros[VALOR],tabela_registros[MÊS],$AE$1,tabela_registros[DIA],agototal3059718395107119[[#Headers],[13]],tabela_registros[REGISTRO],DADOS!$N$4,tabela_registros[TIPO],DADOS!$P$4,tabela_registros[CATEGORIA],despesavariávelconsolidadoago[[#This Row],[DESPESA VARIÁVEL]])</f>
        <v>0</v>
      </c>
      <c r="R62" s="119" t="n">
        <f aca="false">SUMIFS(tabela_registros[VALOR],tabela_registros[MÊS],$AE$1,tabela_registros[DIA],agototal3059718395107119[[#Headers],[14]],tabela_registros[REGISTRO],DADOS!$N$4,tabela_registros[TIPO],DADOS!$P$4,tabela_registros[CATEGORIA],despesavariávelconsolidadoago[[#This Row],[DESPESA VARIÁVEL]])</f>
        <v>0</v>
      </c>
      <c r="S62" s="119" t="n">
        <f aca="false">SUMIFS(tabela_registros[VALOR],tabela_registros[MÊS],$AE$1,tabela_registros[DIA],agototal3059718395107119[[#Headers],[15]],tabela_registros[REGISTRO],DADOS!$N$4,tabela_registros[TIPO],DADOS!$P$4,tabela_registros[CATEGORIA],despesavariávelconsolidadoago[[#This Row],[DESPESA VARIÁVEL]])</f>
        <v>0</v>
      </c>
      <c r="T62" s="119" t="n">
        <f aca="false">SUMIFS(tabela_registros[VALOR],tabela_registros[MÊS],$AE$1,tabela_registros[DIA],agototal3059718395107119[[#Headers],[16]],tabela_registros[REGISTRO],DADOS!$N$4,tabela_registros[TIPO],DADOS!$P$4,tabela_registros[CATEGORIA],despesavariávelconsolidadoago[[#This Row],[DESPESA VARIÁVEL]])</f>
        <v>0</v>
      </c>
      <c r="U62" s="119" t="n">
        <f aca="false">SUMIFS(tabela_registros[VALOR],tabela_registros[MÊS],$AE$1,tabela_registros[DIA],agototal3059718395107119[[#Headers],[17]],tabela_registros[REGISTRO],DADOS!$N$4,tabela_registros[TIPO],DADOS!$P$4,tabela_registros[CATEGORIA],despesavariávelconsolidadoago[[#This Row],[DESPESA VARIÁVEL]])</f>
        <v>0</v>
      </c>
      <c r="V62" s="119" t="n">
        <f aca="false">SUMIFS(tabela_registros[VALOR],tabela_registros[MÊS],$AE$1,tabela_registros[DIA],agototal3059718395107119[[#Headers],[18]],tabela_registros[REGISTRO],DADOS!$N$4,tabela_registros[TIPO],DADOS!$P$4,tabela_registros[CATEGORIA],despesavariávelconsolidadoago[[#This Row],[DESPESA VARIÁVEL]])</f>
        <v>0</v>
      </c>
      <c r="W62" s="119" t="n">
        <f aca="false">SUMIFS(tabela_registros[VALOR],tabela_registros[MÊS],$AE$1,tabela_registros[DIA],agototal3059718395107119[[#Headers],[19]],tabela_registros[REGISTRO],DADOS!$N$4,tabela_registros[TIPO],DADOS!$P$4,tabela_registros[CATEGORIA],despesavariávelconsolidadoago[[#This Row],[DESPESA VARIÁVEL]])</f>
        <v>0</v>
      </c>
      <c r="X62" s="119" t="n">
        <f aca="false">SUMIFS(tabela_registros[VALOR],tabela_registros[MÊS],$AE$1,tabela_registros[DIA],agototal3059718395107119[[#Headers],[20]],tabela_registros[REGISTRO],DADOS!$N$4,tabela_registros[TIPO],DADOS!$P$4,tabela_registros[CATEGORIA],despesavariávelconsolidadoago[[#This Row],[DESPESA VARIÁVEL]])</f>
        <v>0</v>
      </c>
      <c r="Y62" s="119" t="n">
        <f aca="false">SUMIFS(tabela_registros[VALOR],tabela_registros[MÊS],$AE$1,tabela_registros[DIA],agototal3059718395107119[[#Headers],[21]],tabela_registros[REGISTRO],DADOS!$N$4,tabela_registros[TIPO],DADOS!$P$4,tabela_registros[CATEGORIA],despesavariávelconsolidadoago[[#This Row],[DESPESA VARIÁVEL]])</f>
        <v>0</v>
      </c>
      <c r="Z62" s="119" t="n">
        <f aca="false">SUMIFS(tabela_registros[VALOR],tabela_registros[MÊS],$AE$1,tabela_registros[DIA],agototal3059718395107119[[#Headers],[22]],tabela_registros[REGISTRO],DADOS!$N$4,tabela_registros[TIPO],DADOS!$P$4,tabela_registros[CATEGORIA],despesavariávelconsolidadoago[[#This Row],[DESPESA VARIÁVEL]])</f>
        <v>0</v>
      </c>
      <c r="AA62" s="119" t="n">
        <f aca="false">SUMIFS(tabela_registros[VALOR],tabela_registros[MÊS],$AE$1,tabela_registros[DIA],agototal3059718395107119[[#Headers],[23]],tabela_registros[REGISTRO],DADOS!$N$4,tabela_registros[TIPO],DADOS!$P$4,tabela_registros[CATEGORIA],despesavariávelconsolidadoago[[#This Row],[DESPESA VARIÁVEL]])</f>
        <v>0</v>
      </c>
      <c r="AB62" s="119" t="n">
        <f aca="false">SUMIFS(tabela_registros[VALOR],tabela_registros[MÊS],$AE$1,tabela_registros[DIA],agototal3059718395107119[[#Headers],[24]],tabela_registros[REGISTRO],DADOS!$N$4,tabela_registros[TIPO],DADOS!$P$4,tabela_registros[CATEGORIA],despesavariávelconsolidadoago[[#This Row],[DESPESA VARIÁVEL]])</f>
        <v>0</v>
      </c>
      <c r="AC62" s="119" t="n">
        <f aca="false">SUMIFS(tabela_registros[VALOR],tabela_registros[MÊS],$AE$1,tabela_registros[DIA],agototal3059718395107119[[#Headers],[25]],tabela_registros[REGISTRO],DADOS!$N$4,tabela_registros[TIPO],DADOS!$P$4,tabela_registros[CATEGORIA],despesavariávelconsolidadoago[[#This Row],[DESPESA VARIÁVEL]])</f>
        <v>0</v>
      </c>
      <c r="AD62" s="119" t="n">
        <f aca="false">SUMIFS(tabela_registros[VALOR],tabela_registros[MÊS],$AE$1,tabela_registros[DIA],agototal3059718395107119[[#Headers],[26]],tabela_registros[REGISTRO],DADOS!$N$4,tabela_registros[TIPO],DADOS!$P$4,tabela_registros[CATEGORIA],despesavariávelconsolidadoago[[#This Row],[DESPESA VARIÁVEL]])</f>
        <v>0</v>
      </c>
      <c r="AE62" s="119" t="n">
        <f aca="false">SUMIFS(tabela_registros[VALOR],tabela_registros[MÊS],$AE$1,tabela_registros[DIA],agototal3059718395107119[[#Headers],[27]],tabela_registros[REGISTRO],DADOS!$N$4,tabela_registros[TIPO],DADOS!$P$4,tabela_registros[CATEGORIA],despesavariávelconsolidadoago[[#This Row],[DESPESA VARIÁVEL]])</f>
        <v>0</v>
      </c>
      <c r="AF62" s="119" t="n">
        <f aca="false">SUMIFS(tabela_registros[VALOR],tabela_registros[MÊS],$AE$1,tabela_registros[DIA],agototal3059718395107119[[#Headers],[28]],tabela_registros[REGISTRO],DADOS!$N$4,tabela_registros[TIPO],DADOS!$P$4,tabela_registros[CATEGORIA],despesavariávelconsolidadoago[[#This Row],[DESPESA VARIÁVEL]])</f>
        <v>0</v>
      </c>
      <c r="AG62" s="119" t="n">
        <f aca="false">SUMIFS(tabela_registros[VALOR],tabela_registros[MÊS],$AE$1,tabela_registros[DIA],agototal3059718395107119[[#Headers],[29]],tabela_registros[REGISTRO],DADOS!$N$4,tabela_registros[TIPO],DADOS!$P$4,tabela_registros[CATEGORIA],despesavariávelconsolidadoago[[#This Row],[DESPESA VARIÁVEL]])</f>
        <v>0</v>
      </c>
      <c r="AH62" s="119" t="n">
        <f aca="false">SUMIFS(tabela_registros[VALOR],tabela_registros[MÊS],$AE$1,tabela_registros[DIA],agototal3059718395107119[[#Headers],[30]],tabela_registros[REGISTRO],DADOS!$N$4,tabela_registros[TIPO],DADOS!$P$4,tabela_registros[CATEGORIA],despesavariávelconsolidadoago[[#This Row],[DESPESA VARIÁVEL]])</f>
        <v>0</v>
      </c>
      <c r="AI62" s="217" t="n">
        <f aca="false">SUMIFS(tabela_registros[VALOR],tabela_registros[MÊS],$AE$1,tabela_registros[DIA],agototal3059718395107119[[#Headers],[31]],tabela_registros[REGISTRO],DADOS!$N$4,tabela_registros[TIPO],DADOS!$P$4,tabela_registros[CATEGORIA],despesavariávelconsolidadoago[[#This Row],[DESPESA VARIÁVEL]])</f>
        <v>0</v>
      </c>
      <c r="AJ62" s="149" t="n">
        <f aca="false">SUM(despesavariávelconsolidadoago[[#This Row],[1]:[31]])</f>
        <v>0</v>
      </c>
      <c r="AK62" s="143"/>
    </row>
    <row r="63" customFormat="false" ht="18" hidden="false" customHeight="true" outlineLevel="0" collapsed="false">
      <c r="B63" s="143"/>
      <c r="C63" s="144" t="str">
        <f aca="false">DADOS!$T$6</f>
        <v>💄 CUIDADOS PESSOAIS</v>
      </c>
      <c r="D63" s="145" t="str">
        <f aca="false">IF(despesavariávelconsolidadoago[[#This Row],[TOTAL]]=0,"",IF(OR(despesavariávelconsolidadoago[[#This Row],[TOTAL]]=LARGE($AJ$60:$AJ$72,1),despesavariávelconsolidadoago[[#This Row],[TOTAL]]=LARGE($AJ$60:$AJ$72,2),despesavariávelconsolidadoago[[#This Row],[TOTAL]]=LARGE($AJ$60:$AJ$72,3),despesavariávelconsolidadoago[[#This Row],[TOTAL]]=LARGE($AJ$60:$AJ$72,4),despesavariávelconsolidadoago[[#This Row],[TOTAL]]=LARGE($AJ$60:$AJ$72,5)),DADOS!$I$8,""))</f>
        <v/>
      </c>
      <c r="E63" s="148" t="n">
        <f aca="false">SUMIFS(tabela_registros[VALOR],tabela_registros[MÊS],$AE$1,tabela_registros[DIA],agototal3059718395107119[[#Headers],[1]],tabela_registros[REGISTRO],DADOS!$N$4,tabela_registros[TIPO],DADOS!$P$4,tabela_registros[CATEGORIA],despesavariávelconsolidadoago[[#This Row],[DESPESA VARIÁVEL]])</f>
        <v>0</v>
      </c>
      <c r="F63" s="119" t="n">
        <f aca="false">SUMIFS(tabela_registros[VALOR],tabela_registros[MÊS],$AE$1,tabela_registros[DIA],agototal3059718395107119[[#Headers],[2]],tabela_registros[REGISTRO],DADOS!$N$4,tabela_registros[TIPO],DADOS!$P$4,tabela_registros[CATEGORIA],despesavariávelconsolidadoago[[#This Row],[DESPESA VARIÁVEL]])</f>
        <v>0</v>
      </c>
      <c r="G63" s="119" t="n">
        <f aca="false">SUMIFS(tabela_registros[VALOR],tabela_registros[MÊS],$AE$1,tabela_registros[DIA],agototal3059718395107119[[#Headers],[3]],tabela_registros[REGISTRO],DADOS!$N$4,tabela_registros[TIPO],DADOS!$P$4,tabela_registros[CATEGORIA],despesavariávelconsolidadoago[[#This Row],[DESPESA VARIÁVEL]])</f>
        <v>0</v>
      </c>
      <c r="H63" s="119" t="n">
        <f aca="false">SUMIFS(tabela_registros[VALOR],tabela_registros[MÊS],$AE$1,tabela_registros[DIA],agototal3059718395107119[[#Headers],[4]],tabela_registros[REGISTRO],DADOS!$N$4,tabela_registros[TIPO],DADOS!$P$4,tabela_registros[CATEGORIA],despesavariávelconsolidadoago[[#This Row],[DESPESA VARIÁVEL]])</f>
        <v>0</v>
      </c>
      <c r="I63" s="119" t="n">
        <f aca="false">SUMIFS(tabela_registros[VALOR],tabela_registros[MÊS],$AE$1,tabela_registros[DIA],agototal3059718395107119[[#Headers],[5]],tabela_registros[REGISTRO],DADOS!$N$4,tabela_registros[TIPO],DADOS!$P$4,tabela_registros[CATEGORIA],despesavariávelconsolidadoago[[#This Row],[DESPESA VARIÁVEL]])</f>
        <v>0</v>
      </c>
      <c r="J63" s="119" t="n">
        <f aca="false">SUMIFS(tabela_registros[VALOR],tabela_registros[MÊS],$AE$1,tabela_registros[DIA],agototal3059718395107119[[#Headers],[6]],tabela_registros[REGISTRO],DADOS!$N$4,tabela_registros[TIPO],DADOS!$P$4,tabela_registros[CATEGORIA],despesavariávelconsolidadoago[[#This Row],[DESPESA VARIÁVEL]])</f>
        <v>0</v>
      </c>
      <c r="K63" s="119" t="n">
        <f aca="false">SUMIFS(tabela_registros[VALOR],tabela_registros[MÊS],$AE$1,tabela_registros[DIA],agototal3059718395107119[[#Headers],[7]],tabela_registros[REGISTRO],DADOS!$N$4,tabela_registros[TIPO],DADOS!$P$4,tabela_registros[CATEGORIA],despesavariávelconsolidadoago[[#This Row],[DESPESA VARIÁVEL]])</f>
        <v>0</v>
      </c>
      <c r="L63" s="119" t="n">
        <f aca="false">SUMIFS(tabela_registros[VALOR],tabela_registros[MÊS],$AE$1,tabela_registros[DIA],agototal3059718395107119[[#Headers],[8]],tabela_registros[REGISTRO],DADOS!$N$4,tabela_registros[TIPO],DADOS!$P$4,tabela_registros[CATEGORIA],despesavariávelconsolidadoago[[#This Row],[DESPESA VARIÁVEL]])</f>
        <v>0</v>
      </c>
      <c r="M63" s="119" t="n">
        <f aca="false">SUMIFS(tabela_registros[VALOR],tabela_registros[MÊS],$AE$1,tabela_registros[DIA],agototal3059718395107119[[#Headers],[9]],tabela_registros[REGISTRO],DADOS!$N$4,tabela_registros[TIPO],DADOS!$P$4,tabela_registros[CATEGORIA],despesavariávelconsolidadoago[[#This Row],[DESPESA VARIÁVEL]])</f>
        <v>0</v>
      </c>
      <c r="N63" s="119" t="n">
        <f aca="false">SUMIFS(tabela_registros[VALOR],tabela_registros[MÊS],$AE$1,tabela_registros[DIA],agototal3059718395107119[[#Headers],[10]],tabela_registros[REGISTRO],DADOS!$N$4,tabela_registros[TIPO],DADOS!$P$4,tabela_registros[CATEGORIA],despesavariávelconsolidadoago[[#This Row],[DESPESA VARIÁVEL]])</f>
        <v>0</v>
      </c>
      <c r="O63" s="119" t="n">
        <f aca="false">SUMIFS(tabela_registros[VALOR],tabela_registros[MÊS],$AE$1,tabela_registros[DIA],agototal3059718395107119[[#Headers],[11]],tabela_registros[REGISTRO],DADOS!$N$4,tabela_registros[TIPO],DADOS!$P$4,tabela_registros[CATEGORIA],despesavariávelconsolidadoago[[#This Row],[DESPESA VARIÁVEL]])</f>
        <v>0</v>
      </c>
      <c r="P63" s="119" t="n">
        <f aca="false">SUMIFS(tabela_registros[VALOR],tabela_registros[MÊS],$AE$1,tabela_registros[DIA],agototal3059718395107119[[#Headers],[12]],tabela_registros[REGISTRO],DADOS!$N$4,tabela_registros[TIPO],DADOS!$P$4,tabela_registros[CATEGORIA],despesavariávelconsolidadoago[[#This Row],[DESPESA VARIÁVEL]])</f>
        <v>0</v>
      </c>
      <c r="Q63" s="119" t="n">
        <f aca="false">SUMIFS(tabela_registros[VALOR],tabela_registros[MÊS],$AE$1,tabela_registros[DIA],agototal3059718395107119[[#Headers],[13]],tabela_registros[REGISTRO],DADOS!$N$4,tabela_registros[TIPO],DADOS!$P$4,tabela_registros[CATEGORIA],despesavariávelconsolidadoago[[#This Row],[DESPESA VARIÁVEL]])</f>
        <v>0</v>
      </c>
      <c r="R63" s="119" t="n">
        <f aca="false">SUMIFS(tabela_registros[VALOR],tabela_registros[MÊS],$AE$1,tabela_registros[DIA],agototal3059718395107119[[#Headers],[14]],tabela_registros[REGISTRO],DADOS!$N$4,tabela_registros[TIPO],DADOS!$P$4,tabela_registros[CATEGORIA],despesavariávelconsolidadoago[[#This Row],[DESPESA VARIÁVEL]])</f>
        <v>0</v>
      </c>
      <c r="S63" s="119" t="n">
        <f aca="false">SUMIFS(tabela_registros[VALOR],tabela_registros[MÊS],$AE$1,tabela_registros[DIA],agototal3059718395107119[[#Headers],[15]],tabela_registros[REGISTRO],DADOS!$N$4,tabela_registros[TIPO],DADOS!$P$4,tabela_registros[CATEGORIA],despesavariávelconsolidadoago[[#This Row],[DESPESA VARIÁVEL]])</f>
        <v>0</v>
      </c>
      <c r="T63" s="119" t="n">
        <f aca="false">SUMIFS(tabela_registros[VALOR],tabela_registros[MÊS],$AE$1,tabela_registros[DIA],agototal3059718395107119[[#Headers],[16]],tabela_registros[REGISTRO],DADOS!$N$4,tabela_registros[TIPO],DADOS!$P$4,tabela_registros[CATEGORIA],despesavariávelconsolidadoago[[#This Row],[DESPESA VARIÁVEL]])</f>
        <v>0</v>
      </c>
      <c r="U63" s="119" t="n">
        <f aca="false">SUMIFS(tabela_registros[VALOR],tabela_registros[MÊS],$AE$1,tabela_registros[DIA],agototal3059718395107119[[#Headers],[17]],tabela_registros[REGISTRO],DADOS!$N$4,tabela_registros[TIPO],DADOS!$P$4,tabela_registros[CATEGORIA],despesavariávelconsolidadoago[[#This Row],[DESPESA VARIÁVEL]])</f>
        <v>0</v>
      </c>
      <c r="V63" s="119" t="n">
        <f aca="false">SUMIFS(tabela_registros[VALOR],tabela_registros[MÊS],$AE$1,tabela_registros[DIA],agototal3059718395107119[[#Headers],[18]],tabela_registros[REGISTRO],DADOS!$N$4,tabela_registros[TIPO],DADOS!$P$4,tabela_registros[CATEGORIA],despesavariávelconsolidadoago[[#This Row],[DESPESA VARIÁVEL]])</f>
        <v>0</v>
      </c>
      <c r="W63" s="119" t="n">
        <f aca="false">SUMIFS(tabela_registros[VALOR],tabela_registros[MÊS],$AE$1,tabela_registros[DIA],agototal3059718395107119[[#Headers],[19]],tabela_registros[REGISTRO],DADOS!$N$4,tabela_registros[TIPO],DADOS!$P$4,tabela_registros[CATEGORIA],despesavariávelconsolidadoago[[#This Row],[DESPESA VARIÁVEL]])</f>
        <v>0</v>
      </c>
      <c r="X63" s="119" t="n">
        <f aca="false">SUMIFS(tabela_registros[VALOR],tabela_registros[MÊS],$AE$1,tabela_registros[DIA],agototal3059718395107119[[#Headers],[20]],tabela_registros[REGISTRO],DADOS!$N$4,tabela_registros[TIPO],DADOS!$P$4,tabela_registros[CATEGORIA],despesavariávelconsolidadoago[[#This Row],[DESPESA VARIÁVEL]])</f>
        <v>0</v>
      </c>
      <c r="Y63" s="119" t="n">
        <f aca="false">SUMIFS(tabela_registros[VALOR],tabela_registros[MÊS],$AE$1,tabela_registros[DIA],agototal3059718395107119[[#Headers],[21]],tabela_registros[REGISTRO],DADOS!$N$4,tabela_registros[TIPO],DADOS!$P$4,tabela_registros[CATEGORIA],despesavariávelconsolidadoago[[#This Row],[DESPESA VARIÁVEL]])</f>
        <v>0</v>
      </c>
      <c r="Z63" s="119" t="n">
        <f aca="false">SUMIFS(tabela_registros[VALOR],tabela_registros[MÊS],$AE$1,tabela_registros[DIA],agototal3059718395107119[[#Headers],[22]],tabela_registros[REGISTRO],DADOS!$N$4,tabela_registros[TIPO],DADOS!$P$4,tabela_registros[CATEGORIA],despesavariávelconsolidadoago[[#This Row],[DESPESA VARIÁVEL]])</f>
        <v>0</v>
      </c>
      <c r="AA63" s="119" t="n">
        <f aca="false">SUMIFS(tabela_registros[VALOR],tabela_registros[MÊS],$AE$1,tabela_registros[DIA],agototal3059718395107119[[#Headers],[23]],tabela_registros[REGISTRO],DADOS!$N$4,tabela_registros[TIPO],DADOS!$P$4,tabela_registros[CATEGORIA],despesavariávelconsolidadoago[[#This Row],[DESPESA VARIÁVEL]])</f>
        <v>0</v>
      </c>
      <c r="AB63" s="119" t="n">
        <f aca="false">SUMIFS(tabela_registros[VALOR],tabela_registros[MÊS],$AE$1,tabela_registros[DIA],agototal3059718395107119[[#Headers],[24]],tabela_registros[REGISTRO],DADOS!$N$4,tabela_registros[TIPO],DADOS!$P$4,tabela_registros[CATEGORIA],despesavariávelconsolidadoago[[#This Row],[DESPESA VARIÁVEL]])</f>
        <v>0</v>
      </c>
      <c r="AC63" s="119" t="n">
        <f aca="false">SUMIFS(tabela_registros[VALOR],tabela_registros[MÊS],$AE$1,tabela_registros[DIA],agototal3059718395107119[[#Headers],[25]],tabela_registros[REGISTRO],DADOS!$N$4,tabela_registros[TIPO],DADOS!$P$4,tabela_registros[CATEGORIA],despesavariávelconsolidadoago[[#This Row],[DESPESA VARIÁVEL]])</f>
        <v>0</v>
      </c>
      <c r="AD63" s="119" t="n">
        <f aca="false">SUMIFS(tabela_registros[VALOR],tabela_registros[MÊS],$AE$1,tabela_registros[DIA],agototal3059718395107119[[#Headers],[26]],tabela_registros[REGISTRO],DADOS!$N$4,tabela_registros[TIPO],DADOS!$P$4,tabela_registros[CATEGORIA],despesavariávelconsolidadoago[[#This Row],[DESPESA VARIÁVEL]])</f>
        <v>0</v>
      </c>
      <c r="AE63" s="119" t="n">
        <f aca="false">SUMIFS(tabela_registros[VALOR],tabela_registros[MÊS],$AE$1,tabela_registros[DIA],agototal3059718395107119[[#Headers],[27]],tabela_registros[REGISTRO],DADOS!$N$4,tabela_registros[TIPO],DADOS!$P$4,tabela_registros[CATEGORIA],despesavariávelconsolidadoago[[#This Row],[DESPESA VARIÁVEL]])</f>
        <v>0</v>
      </c>
      <c r="AF63" s="119" t="n">
        <f aca="false">SUMIFS(tabela_registros[VALOR],tabela_registros[MÊS],$AE$1,tabela_registros[DIA],agototal3059718395107119[[#Headers],[28]],tabela_registros[REGISTRO],DADOS!$N$4,tabela_registros[TIPO],DADOS!$P$4,tabela_registros[CATEGORIA],despesavariávelconsolidadoago[[#This Row],[DESPESA VARIÁVEL]])</f>
        <v>0</v>
      </c>
      <c r="AG63" s="119" t="n">
        <f aca="false">SUMIFS(tabela_registros[VALOR],tabela_registros[MÊS],$AE$1,tabela_registros[DIA],agototal3059718395107119[[#Headers],[29]],tabela_registros[REGISTRO],DADOS!$N$4,tabela_registros[TIPO],DADOS!$P$4,tabela_registros[CATEGORIA],despesavariávelconsolidadoago[[#This Row],[DESPESA VARIÁVEL]])</f>
        <v>0</v>
      </c>
      <c r="AH63" s="119" t="n">
        <f aca="false">SUMIFS(tabela_registros[VALOR],tabela_registros[MÊS],$AE$1,tabela_registros[DIA],agototal3059718395107119[[#Headers],[30]],tabela_registros[REGISTRO],DADOS!$N$4,tabela_registros[TIPO],DADOS!$P$4,tabela_registros[CATEGORIA],despesavariávelconsolidadoago[[#This Row],[DESPESA VARIÁVEL]])</f>
        <v>0</v>
      </c>
      <c r="AI63" s="217" t="n">
        <f aca="false">SUMIFS(tabela_registros[VALOR],tabela_registros[MÊS],$AE$1,tabela_registros[DIA],agototal3059718395107119[[#Headers],[31]],tabela_registros[REGISTRO],DADOS!$N$4,tabela_registros[TIPO],DADOS!$P$4,tabela_registros[CATEGORIA],despesavariávelconsolidadoago[[#This Row],[DESPESA VARIÁVEL]])</f>
        <v>0</v>
      </c>
      <c r="AJ63" s="149" t="n">
        <f aca="false">SUM(despesavariávelconsolidadoago[[#This Row],[1]:[31]])</f>
        <v>0</v>
      </c>
      <c r="AK63" s="143"/>
    </row>
    <row r="64" customFormat="false" ht="18" hidden="false" customHeight="true" outlineLevel="0" collapsed="false">
      <c r="B64" s="143"/>
      <c r="C64" s="144" t="str">
        <f aca="false">DADOS!$T$7</f>
        <v>🤝 DOAÇÃO</v>
      </c>
      <c r="D64" s="145" t="str">
        <f aca="false">IF(despesavariávelconsolidadoago[[#This Row],[TOTAL]]=0,"",IF(OR(despesavariávelconsolidadoago[[#This Row],[TOTAL]]=LARGE($AJ$60:$AJ$72,1),despesavariávelconsolidadoago[[#This Row],[TOTAL]]=LARGE($AJ$60:$AJ$72,2),despesavariávelconsolidadoago[[#This Row],[TOTAL]]=LARGE($AJ$60:$AJ$72,3),despesavariávelconsolidadoago[[#This Row],[TOTAL]]=LARGE($AJ$60:$AJ$72,4),despesavariávelconsolidadoago[[#This Row],[TOTAL]]=LARGE($AJ$60:$AJ$72,5)),DADOS!$I$8,""))</f>
        <v/>
      </c>
      <c r="E64" s="148" t="n">
        <f aca="false">SUMIFS(tabela_registros[VALOR],tabela_registros[MÊS],$AE$1,tabela_registros[DIA],agototal3059718395107119[[#Headers],[1]],tabela_registros[REGISTRO],DADOS!$N$4,tabela_registros[TIPO],DADOS!$P$4,tabela_registros[CATEGORIA],despesavariávelconsolidadoago[[#This Row],[DESPESA VARIÁVEL]])</f>
        <v>0</v>
      </c>
      <c r="F64" s="119" t="n">
        <f aca="false">SUMIFS(tabela_registros[VALOR],tabela_registros[MÊS],$AE$1,tabela_registros[DIA],agototal3059718395107119[[#Headers],[2]],tabela_registros[REGISTRO],DADOS!$N$4,tabela_registros[TIPO],DADOS!$P$4,tabela_registros[CATEGORIA],despesavariávelconsolidadoago[[#This Row],[DESPESA VARIÁVEL]])</f>
        <v>0</v>
      </c>
      <c r="G64" s="119" t="n">
        <f aca="false">SUMIFS(tabela_registros[VALOR],tabela_registros[MÊS],$AE$1,tabela_registros[DIA],agototal3059718395107119[[#Headers],[3]],tabela_registros[REGISTRO],DADOS!$N$4,tabela_registros[TIPO],DADOS!$P$4,tabela_registros[CATEGORIA],despesavariávelconsolidadoago[[#This Row],[DESPESA VARIÁVEL]])</f>
        <v>0</v>
      </c>
      <c r="H64" s="119" t="n">
        <f aca="false">SUMIFS(tabela_registros[VALOR],tabela_registros[MÊS],$AE$1,tabela_registros[DIA],agototal3059718395107119[[#Headers],[4]],tabela_registros[REGISTRO],DADOS!$N$4,tabela_registros[TIPO],DADOS!$P$4,tabela_registros[CATEGORIA],despesavariávelconsolidadoago[[#This Row],[DESPESA VARIÁVEL]])</f>
        <v>0</v>
      </c>
      <c r="I64" s="119" t="n">
        <f aca="false">SUMIFS(tabela_registros[VALOR],tabela_registros[MÊS],$AE$1,tabela_registros[DIA],agototal3059718395107119[[#Headers],[5]],tabela_registros[REGISTRO],DADOS!$N$4,tabela_registros[TIPO],DADOS!$P$4,tabela_registros[CATEGORIA],despesavariávelconsolidadoago[[#This Row],[DESPESA VARIÁVEL]])</f>
        <v>0</v>
      </c>
      <c r="J64" s="119" t="n">
        <f aca="false">SUMIFS(tabela_registros[VALOR],tabela_registros[MÊS],$AE$1,tabela_registros[DIA],agototal3059718395107119[[#Headers],[6]],tabela_registros[REGISTRO],DADOS!$N$4,tabela_registros[TIPO],DADOS!$P$4,tabela_registros[CATEGORIA],despesavariávelconsolidadoago[[#This Row],[DESPESA VARIÁVEL]])</f>
        <v>0</v>
      </c>
      <c r="K64" s="119" t="n">
        <f aca="false">SUMIFS(tabela_registros[VALOR],tabela_registros[MÊS],$AE$1,tabela_registros[DIA],agototal3059718395107119[[#Headers],[7]],tabela_registros[REGISTRO],DADOS!$N$4,tabela_registros[TIPO],DADOS!$P$4,tabela_registros[CATEGORIA],despesavariávelconsolidadoago[[#This Row],[DESPESA VARIÁVEL]])</f>
        <v>0</v>
      </c>
      <c r="L64" s="119" t="n">
        <f aca="false">SUMIFS(tabela_registros[VALOR],tabela_registros[MÊS],$AE$1,tabela_registros[DIA],agototal3059718395107119[[#Headers],[8]],tabela_registros[REGISTRO],DADOS!$N$4,tabela_registros[TIPO],DADOS!$P$4,tabela_registros[CATEGORIA],despesavariávelconsolidadoago[[#This Row],[DESPESA VARIÁVEL]])</f>
        <v>0</v>
      </c>
      <c r="M64" s="119" t="n">
        <f aca="false">SUMIFS(tabela_registros[VALOR],tabela_registros[MÊS],$AE$1,tabela_registros[DIA],agototal3059718395107119[[#Headers],[9]],tabela_registros[REGISTRO],DADOS!$N$4,tabela_registros[TIPO],DADOS!$P$4,tabela_registros[CATEGORIA],despesavariávelconsolidadoago[[#This Row],[DESPESA VARIÁVEL]])</f>
        <v>0</v>
      </c>
      <c r="N64" s="119" t="n">
        <f aca="false">SUMIFS(tabela_registros[VALOR],tabela_registros[MÊS],$AE$1,tabela_registros[DIA],agototal3059718395107119[[#Headers],[10]],tabela_registros[REGISTRO],DADOS!$N$4,tabela_registros[TIPO],DADOS!$P$4,tabela_registros[CATEGORIA],despesavariávelconsolidadoago[[#This Row],[DESPESA VARIÁVEL]])</f>
        <v>0</v>
      </c>
      <c r="O64" s="119" t="n">
        <f aca="false">SUMIFS(tabela_registros[VALOR],tabela_registros[MÊS],$AE$1,tabela_registros[DIA],agototal3059718395107119[[#Headers],[11]],tabela_registros[REGISTRO],DADOS!$N$4,tabela_registros[TIPO],DADOS!$P$4,tabela_registros[CATEGORIA],despesavariávelconsolidadoago[[#This Row],[DESPESA VARIÁVEL]])</f>
        <v>0</v>
      </c>
      <c r="P64" s="119" t="n">
        <f aca="false">SUMIFS(tabela_registros[VALOR],tabela_registros[MÊS],$AE$1,tabela_registros[DIA],agototal3059718395107119[[#Headers],[12]],tabela_registros[REGISTRO],DADOS!$N$4,tabela_registros[TIPO],DADOS!$P$4,tabela_registros[CATEGORIA],despesavariávelconsolidadoago[[#This Row],[DESPESA VARIÁVEL]])</f>
        <v>0</v>
      </c>
      <c r="Q64" s="119" t="n">
        <f aca="false">SUMIFS(tabela_registros[VALOR],tabela_registros[MÊS],$AE$1,tabela_registros[DIA],agototal3059718395107119[[#Headers],[13]],tabela_registros[REGISTRO],DADOS!$N$4,tabela_registros[TIPO],DADOS!$P$4,tabela_registros[CATEGORIA],despesavariávelconsolidadoago[[#This Row],[DESPESA VARIÁVEL]])</f>
        <v>0</v>
      </c>
      <c r="R64" s="119" t="n">
        <f aca="false">SUMIFS(tabela_registros[VALOR],tabela_registros[MÊS],$AE$1,tabela_registros[DIA],agototal3059718395107119[[#Headers],[14]],tabela_registros[REGISTRO],DADOS!$N$4,tabela_registros[TIPO],DADOS!$P$4,tabela_registros[CATEGORIA],despesavariávelconsolidadoago[[#This Row],[DESPESA VARIÁVEL]])</f>
        <v>0</v>
      </c>
      <c r="S64" s="119" t="n">
        <f aca="false">SUMIFS(tabela_registros[VALOR],tabela_registros[MÊS],$AE$1,tabela_registros[DIA],agototal3059718395107119[[#Headers],[15]],tabela_registros[REGISTRO],DADOS!$N$4,tabela_registros[TIPO],DADOS!$P$4,tabela_registros[CATEGORIA],despesavariávelconsolidadoago[[#This Row],[DESPESA VARIÁVEL]])</f>
        <v>0</v>
      </c>
      <c r="T64" s="119" t="n">
        <f aca="false">SUMIFS(tabela_registros[VALOR],tabela_registros[MÊS],$AE$1,tabela_registros[DIA],agototal3059718395107119[[#Headers],[16]],tabela_registros[REGISTRO],DADOS!$N$4,tabela_registros[TIPO],DADOS!$P$4,tabela_registros[CATEGORIA],despesavariávelconsolidadoago[[#This Row],[DESPESA VARIÁVEL]])</f>
        <v>0</v>
      </c>
      <c r="U64" s="119" t="n">
        <f aca="false">SUMIFS(tabela_registros[VALOR],tabela_registros[MÊS],$AE$1,tabela_registros[DIA],agototal3059718395107119[[#Headers],[17]],tabela_registros[REGISTRO],DADOS!$N$4,tabela_registros[TIPO],DADOS!$P$4,tabela_registros[CATEGORIA],despesavariávelconsolidadoago[[#This Row],[DESPESA VARIÁVEL]])</f>
        <v>0</v>
      </c>
      <c r="V64" s="119" t="n">
        <f aca="false">SUMIFS(tabela_registros[VALOR],tabela_registros[MÊS],$AE$1,tabela_registros[DIA],agototal3059718395107119[[#Headers],[18]],tabela_registros[REGISTRO],DADOS!$N$4,tabela_registros[TIPO],DADOS!$P$4,tabela_registros[CATEGORIA],despesavariávelconsolidadoago[[#This Row],[DESPESA VARIÁVEL]])</f>
        <v>0</v>
      </c>
      <c r="W64" s="119" t="n">
        <f aca="false">SUMIFS(tabela_registros[VALOR],tabela_registros[MÊS],$AE$1,tabela_registros[DIA],agototal3059718395107119[[#Headers],[19]],tabela_registros[REGISTRO],DADOS!$N$4,tabela_registros[TIPO],DADOS!$P$4,tabela_registros[CATEGORIA],despesavariávelconsolidadoago[[#This Row],[DESPESA VARIÁVEL]])</f>
        <v>0</v>
      </c>
      <c r="X64" s="119" t="n">
        <f aca="false">SUMIFS(tabela_registros[VALOR],tabela_registros[MÊS],$AE$1,tabela_registros[DIA],agototal3059718395107119[[#Headers],[20]],tabela_registros[REGISTRO],DADOS!$N$4,tabela_registros[TIPO],DADOS!$P$4,tabela_registros[CATEGORIA],despesavariávelconsolidadoago[[#This Row],[DESPESA VARIÁVEL]])</f>
        <v>0</v>
      </c>
      <c r="Y64" s="119" t="n">
        <f aca="false">SUMIFS(tabela_registros[VALOR],tabela_registros[MÊS],$AE$1,tabela_registros[DIA],agototal3059718395107119[[#Headers],[21]],tabela_registros[REGISTRO],DADOS!$N$4,tabela_registros[TIPO],DADOS!$P$4,tabela_registros[CATEGORIA],despesavariávelconsolidadoago[[#This Row],[DESPESA VARIÁVEL]])</f>
        <v>0</v>
      </c>
      <c r="Z64" s="119" t="n">
        <f aca="false">SUMIFS(tabela_registros[VALOR],tabela_registros[MÊS],$AE$1,tabela_registros[DIA],agototal3059718395107119[[#Headers],[22]],tabela_registros[REGISTRO],DADOS!$N$4,tabela_registros[TIPO],DADOS!$P$4,tabela_registros[CATEGORIA],despesavariávelconsolidadoago[[#This Row],[DESPESA VARIÁVEL]])</f>
        <v>0</v>
      </c>
      <c r="AA64" s="119" t="n">
        <f aca="false">SUMIFS(tabela_registros[VALOR],tabela_registros[MÊS],$AE$1,tabela_registros[DIA],agototal3059718395107119[[#Headers],[23]],tabela_registros[REGISTRO],DADOS!$N$4,tabela_registros[TIPO],DADOS!$P$4,tabela_registros[CATEGORIA],despesavariávelconsolidadoago[[#This Row],[DESPESA VARIÁVEL]])</f>
        <v>0</v>
      </c>
      <c r="AB64" s="119" t="n">
        <f aca="false">SUMIFS(tabela_registros[VALOR],tabela_registros[MÊS],$AE$1,tabela_registros[DIA],agototal3059718395107119[[#Headers],[24]],tabela_registros[REGISTRO],DADOS!$N$4,tabela_registros[TIPO],DADOS!$P$4,tabela_registros[CATEGORIA],despesavariávelconsolidadoago[[#This Row],[DESPESA VARIÁVEL]])</f>
        <v>0</v>
      </c>
      <c r="AC64" s="119" t="n">
        <f aca="false">SUMIFS(tabela_registros[VALOR],tabela_registros[MÊS],$AE$1,tabela_registros[DIA],agototal3059718395107119[[#Headers],[25]],tabela_registros[REGISTRO],DADOS!$N$4,tabela_registros[TIPO],DADOS!$P$4,tabela_registros[CATEGORIA],despesavariávelconsolidadoago[[#This Row],[DESPESA VARIÁVEL]])</f>
        <v>0</v>
      </c>
      <c r="AD64" s="119" t="n">
        <f aca="false">SUMIFS(tabela_registros[VALOR],tabela_registros[MÊS],$AE$1,tabela_registros[DIA],agototal3059718395107119[[#Headers],[26]],tabela_registros[REGISTRO],DADOS!$N$4,tabela_registros[TIPO],DADOS!$P$4,tabela_registros[CATEGORIA],despesavariávelconsolidadoago[[#This Row],[DESPESA VARIÁVEL]])</f>
        <v>0</v>
      </c>
      <c r="AE64" s="119" t="n">
        <f aca="false">SUMIFS(tabela_registros[VALOR],tabela_registros[MÊS],$AE$1,tabela_registros[DIA],agototal3059718395107119[[#Headers],[27]],tabela_registros[REGISTRO],DADOS!$N$4,tabela_registros[TIPO],DADOS!$P$4,tabela_registros[CATEGORIA],despesavariávelconsolidadoago[[#This Row],[DESPESA VARIÁVEL]])</f>
        <v>0</v>
      </c>
      <c r="AF64" s="119" t="n">
        <f aca="false">SUMIFS(tabela_registros[VALOR],tabela_registros[MÊS],$AE$1,tabela_registros[DIA],agototal3059718395107119[[#Headers],[28]],tabela_registros[REGISTRO],DADOS!$N$4,tabela_registros[TIPO],DADOS!$P$4,tabela_registros[CATEGORIA],despesavariávelconsolidadoago[[#This Row],[DESPESA VARIÁVEL]])</f>
        <v>0</v>
      </c>
      <c r="AG64" s="119" t="n">
        <f aca="false">SUMIFS(tabela_registros[VALOR],tabela_registros[MÊS],$AE$1,tabela_registros[DIA],agototal3059718395107119[[#Headers],[29]],tabela_registros[REGISTRO],DADOS!$N$4,tabela_registros[TIPO],DADOS!$P$4,tabela_registros[CATEGORIA],despesavariávelconsolidadoago[[#This Row],[DESPESA VARIÁVEL]])</f>
        <v>0</v>
      </c>
      <c r="AH64" s="119" t="n">
        <f aca="false">SUMIFS(tabela_registros[VALOR],tabela_registros[MÊS],$AE$1,tabela_registros[DIA],agototal3059718395107119[[#Headers],[30]],tabela_registros[REGISTRO],DADOS!$N$4,tabela_registros[TIPO],DADOS!$P$4,tabela_registros[CATEGORIA],despesavariávelconsolidadoago[[#This Row],[DESPESA VARIÁVEL]])</f>
        <v>0</v>
      </c>
      <c r="AI64" s="217" t="n">
        <f aca="false">SUMIFS(tabela_registros[VALOR],tabela_registros[MÊS],$AE$1,tabela_registros[DIA],agototal3059718395107119[[#Headers],[31]],tabela_registros[REGISTRO],DADOS!$N$4,tabela_registros[TIPO],DADOS!$P$4,tabela_registros[CATEGORIA],despesavariávelconsolidadoago[[#This Row],[DESPESA VARIÁVEL]])</f>
        <v>0</v>
      </c>
      <c r="AJ64" s="149" t="n">
        <f aca="false">SUM(despesavariávelconsolidadoago[[#This Row],[1]:[31]])</f>
        <v>0</v>
      </c>
      <c r="AK64" s="143"/>
    </row>
    <row r="65" customFormat="false" ht="18" hidden="false" customHeight="true" outlineLevel="0" collapsed="false">
      <c r="B65" s="143"/>
      <c r="C65" s="144" t="str">
        <f aca="false">DADOS!$T$8</f>
        <v>📖 EDUCAÇÃO</v>
      </c>
      <c r="D65" s="145" t="str">
        <f aca="false">IF(despesavariávelconsolidadoago[[#This Row],[TOTAL]]=0,"",IF(OR(despesavariávelconsolidadoago[[#This Row],[TOTAL]]=LARGE($AJ$60:$AJ$72,1),despesavariávelconsolidadoago[[#This Row],[TOTAL]]=LARGE($AJ$60:$AJ$72,2),despesavariávelconsolidadoago[[#This Row],[TOTAL]]=LARGE($AJ$60:$AJ$72,3),despesavariávelconsolidadoago[[#This Row],[TOTAL]]=LARGE($AJ$60:$AJ$72,4),despesavariávelconsolidadoago[[#This Row],[TOTAL]]=LARGE($AJ$60:$AJ$72,5)),DADOS!$I$8,""))</f>
        <v/>
      </c>
      <c r="E65" s="148" t="n">
        <f aca="false">SUMIFS(tabela_registros[VALOR],tabela_registros[MÊS],$AE$1,tabela_registros[DIA],agototal3059718395107119[[#Headers],[1]],tabela_registros[REGISTRO],DADOS!$N$4,tabela_registros[TIPO],DADOS!$P$4,tabela_registros[CATEGORIA],despesavariávelconsolidadoago[[#This Row],[DESPESA VARIÁVEL]])</f>
        <v>0</v>
      </c>
      <c r="F65" s="119" t="n">
        <f aca="false">SUMIFS(tabela_registros[VALOR],tabela_registros[MÊS],$AE$1,tabela_registros[DIA],agototal3059718395107119[[#Headers],[2]],tabela_registros[REGISTRO],DADOS!$N$4,tabela_registros[TIPO],DADOS!$P$4,tabela_registros[CATEGORIA],despesavariávelconsolidadoago[[#This Row],[DESPESA VARIÁVEL]])</f>
        <v>0</v>
      </c>
      <c r="G65" s="119" t="n">
        <f aca="false">SUMIFS(tabela_registros[VALOR],tabela_registros[MÊS],$AE$1,tabela_registros[DIA],agototal3059718395107119[[#Headers],[3]],tabela_registros[REGISTRO],DADOS!$N$4,tabela_registros[TIPO],DADOS!$P$4,tabela_registros[CATEGORIA],despesavariávelconsolidadoago[[#This Row],[DESPESA VARIÁVEL]])</f>
        <v>0</v>
      </c>
      <c r="H65" s="119" t="n">
        <f aca="false">SUMIFS(tabela_registros[VALOR],tabela_registros[MÊS],$AE$1,tabela_registros[DIA],agototal3059718395107119[[#Headers],[4]],tabela_registros[REGISTRO],DADOS!$N$4,tabela_registros[TIPO],DADOS!$P$4,tabela_registros[CATEGORIA],despesavariávelconsolidadoago[[#This Row],[DESPESA VARIÁVEL]])</f>
        <v>0</v>
      </c>
      <c r="I65" s="119" t="n">
        <f aca="false">SUMIFS(tabela_registros[VALOR],tabela_registros[MÊS],$AE$1,tabela_registros[DIA],agototal3059718395107119[[#Headers],[5]],tabela_registros[REGISTRO],DADOS!$N$4,tabela_registros[TIPO],DADOS!$P$4,tabela_registros[CATEGORIA],despesavariávelconsolidadoago[[#This Row],[DESPESA VARIÁVEL]])</f>
        <v>0</v>
      </c>
      <c r="J65" s="119" t="n">
        <f aca="false">SUMIFS(tabela_registros[VALOR],tabela_registros[MÊS],$AE$1,tabela_registros[DIA],agototal3059718395107119[[#Headers],[6]],tabela_registros[REGISTRO],DADOS!$N$4,tabela_registros[TIPO],DADOS!$P$4,tabela_registros[CATEGORIA],despesavariávelconsolidadoago[[#This Row],[DESPESA VARIÁVEL]])</f>
        <v>0</v>
      </c>
      <c r="K65" s="119" t="n">
        <f aca="false">SUMIFS(tabela_registros[VALOR],tabela_registros[MÊS],$AE$1,tabela_registros[DIA],agototal3059718395107119[[#Headers],[7]],tabela_registros[REGISTRO],DADOS!$N$4,tabela_registros[TIPO],DADOS!$P$4,tabela_registros[CATEGORIA],despesavariávelconsolidadoago[[#This Row],[DESPESA VARIÁVEL]])</f>
        <v>0</v>
      </c>
      <c r="L65" s="119" t="n">
        <f aca="false">SUMIFS(tabela_registros[VALOR],tabela_registros[MÊS],$AE$1,tabela_registros[DIA],agototal3059718395107119[[#Headers],[8]],tabela_registros[REGISTRO],DADOS!$N$4,tabela_registros[TIPO],DADOS!$P$4,tabela_registros[CATEGORIA],despesavariávelconsolidadoago[[#This Row],[DESPESA VARIÁVEL]])</f>
        <v>0</v>
      </c>
      <c r="M65" s="119" t="n">
        <f aca="false">SUMIFS(tabela_registros[VALOR],tabela_registros[MÊS],$AE$1,tabela_registros[DIA],agototal3059718395107119[[#Headers],[9]],tabela_registros[REGISTRO],DADOS!$N$4,tabela_registros[TIPO],DADOS!$P$4,tabela_registros[CATEGORIA],despesavariávelconsolidadoago[[#This Row],[DESPESA VARIÁVEL]])</f>
        <v>0</v>
      </c>
      <c r="N65" s="119" t="n">
        <f aca="false">SUMIFS(tabela_registros[VALOR],tabela_registros[MÊS],$AE$1,tabela_registros[DIA],agototal3059718395107119[[#Headers],[10]],tabela_registros[REGISTRO],DADOS!$N$4,tabela_registros[TIPO],DADOS!$P$4,tabela_registros[CATEGORIA],despesavariávelconsolidadoago[[#This Row],[DESPESA VARIÁVEL]])</f>
        <v>0</v>
      </c>
      <c r="O65" s="119" t="n">
        <f aca="false">SUMIFS(tabela_registros[VALOR],tabela_registros[MÊS],$AE$1,tabela_registros[DIA],agototal3059718395107119[[#Headers],[11]],tabela_registros[REGISTRO],DADOS!$N$4,tabela_registros[TIPO],DADOS!$P$4,tabela_registros[CATEGORIA],despesavariávelconsolidadoago[[#This Row],[DESPESA VARIÁVEL]])</f>
        <v>0</v>
      </c>
      <c r="P65" s="119" t="n">
        <f aca="false">SUMIFS(tabela_registros[VALOR],tabela_registros[MÊS],$AE$1,tabela_registros[DIA],agototal3059718395107119[[#Headers],[12]],tabela_registros[REGISTRO],DADOS!$N$4,tabela_registros[TIPO],DADOS!$P$4,tabela_registros[CATEGORIA],despesavariávelconsolidadoago[[#This Row],[DESPESA VARIÁVEL]])</f>
        <v>0</v>
      </c>
      <c r="Q65" s="119" t="n">
        <f aca="false">SUMIFS(tabela_registros[VALOR],tabela_registros[MÊS],$AE$1,tabela_registros[DIA],agototal3059718395107119[[#Headers],[13]],tabela_registros[REGISTRO],DADOS!$N$4,tabela_registros[TIPO],DADOS!$P$4,tabela_registros[CATEGORIA],despesavariávelconsolidadoago[[#This Row],[DESPESA VARIÁVEL]])</f>
        <v>0</v>
      </c>
      <c r="R65" s="119" t="n">
        <f aca="false">SUMIFS(tabela_registros[VALOR],tabela_registros[MÊS],$AE$1,tabela_registros[DIA],agototal3059718395107119[[#Headers],[14]],tabela_registros[REGISTRO],DADOS!$N$4,tabela_registros[TIPO],DADOS!$P$4,tabela_registros[CATEGORIA],despesavariávelconsolidadoago[[#This Row],[DESPESA VARIÁVEL]])</f>
        <v>0</v>
      </c>
      <c r="S65" s="119" t="n">
        <f aca="false">SUMIFS(tabela_registros[VALOR],tabela_registros[MÊS],$AE$1,tabela_registros[DIA],agototal3059718395107119[[#Headers],[15]],tabela_registros[REGISTRO],DADOS!$N$4,tabela_registros[TIPO],DADOS!$P$4,tabela_registros[CATEGORIA],despesavariávelconsolidadoago[[#This Row],[DESPESA VARIÁVEL]])</f>
        <v>0</v>
      </c>
      <c r="T65" s="119" t="n">
        <f aca="false">SUMIFS(tabela_registros[VALOR],tabela_registros[MÊS],$AE$1,tabela_registros[DIA],agototal3059718395107119[[#Headers],[16]],tabela_registros[REGISTRO],DADOS!$N$4,tabela_registros[TIPO],DADOS!$P$4,tabela_registros[CATEGORIA],despesavariávelconsolidadoago[[#This Row],[DESPESA VARIÁVEL]])</f>
        <v>0</v>
      </c>
      <c r="U65" s="119" t="n">
        <f aca="false">SUMIFS(tabela_registros[VALOR],tabela_registros[MÊS],$AE$1,tabela_registros[DIA],agototal3059718395107119[[#Headers],[17]],tabela_registros[REGISTRO],DADOS!$N$4,tabela_registros[TIPO],DADOS!$P$4,tabela_registros[CATEGORIA],despesavariávelconsolidadoago[[#This Row],[DESPESA VARIÁVEL]])</f>
        <v>0</v>
      </c>
      <c r="V65" s="119" t="n">
        <f aca="false">SUMIFS(tabela_registros[VALOR],tabela_registros[MÊS],$AE$1,tabela_registros[DIA],agototal3059718395107119[[#Headers],[18]],tabela_registros[REGISTRO],DADOS!$N$4,tabela_registros[TIPO],DADOS!$P$4,tabela_registros[CATEGORIA],despesavariávelconsolidadoago[[#This Row],[DESPESA VARIÁVEL]])</f>
        <v>0</v>
      </c>
      <c r="W65" s="119" t="n">
        <f aca="false">SUMIFS(tabela_registros[VALOR],tabela_registros[MÊS],$AE$1,tabela_registros[DIA],agototal3059718395107119[[#Headers],[19]],tabela_registros[REGISTRO],DADOS!$N$4,tabela_registros[TIPO],DADOS!$P$4,tabela_registros[CATEGORIA],despesavariávelconsolidadoago[[#This Row],[DESPESA VARIÁVEL]])</f>
        <v>0</v>
      </c>
      <c r="X65" s="119" t="n">
        <f aca="false">SUMIFS(tabela_registros[VALOR],tabela_registros[MÊS],$AE$1,tabela_registros[DIA],agototal3059718395107119[[#Headers],[20]],tabela_registros[REGISTRO],DADOS!$N$4,tabela_registros[TIPO],DADOS!$P$4,tabela_registros[CATEGORIA],despesavariávelconsolidadoago[[#This Row],[DESPESA VARIÁVEL]])</f>
        <v>0</v>
      </c>
      <c r="Y65" s="119" t="n">
        <f aca="false">SUMIFS(tabela_registros[VALOR],tabela_registros[MÊS],$AE$1,tabela_registros[DIA],agototal3059718395107119[[#Headers],[21]],tabela_registros[REGISTRO],DADOS!$N$4,tabela_registros[TIPO],DADOS!$P$4,tabela_registros[CATEGORIA],despesavariávelconsolidadoago[[#This Row],[DESPESA VARIÁVEL]])</f>
        <v>0</v>
      </c>
      <c r="Z65" s="119" t="n">
        <f aca="false">SUMIFS(tabela_registros[VALOR],tabela_registros[MÊS],$AE$1,tabela_registros[DIA],agototal3059718395107119[[#Headers],[22]],tabela_registros[REGISTRO],DADOS!$N$4,tabela_registros[TIPO],DADOS!$P$4,tabela_registros[CATEGORIA],despesavariávelconsolidadoago[[#This Row],[DESPESA VARIÁVEL]])</f>
        <v>0</v>
      </c>
      <c r="AA65" s="119" t="n">
        <f aca="false">SUMIFS(tabela_registros[VALOR],tabela_registros[MÊS],$AE$1,tabela_registros[DIA],agototal3059718395107119[[#Headers],[23]],tabela_registros[REGISTRO],DADOS!$N$4,tabela_registros[TIPO],DADOS!$P$4,tabela_registros[CATEGORIA],despesavariávelconsolidadoago[[#This Row],[DESPESA VARIÁVEL]])</f>
        <v>0</v>
      </c>
      <c r="AB65" s="119" t="n">
        <f aca="false">SUMIFS(tabela_registros[VALOR],tabela_registros[MÊS],$AE$1,tabela_registros[DIA],agototal3059718395107119[[#Headers],[24]],tabela_registros[REGISTRO],DADOS!$N$4,tabela_registros[TIPO],DADOS!$P$4,tabela_registros[CATEGORIA],despesavariávelconsolidadoago[[#This Row],[DESPESA VARIÁVEL]])</f>
        <v>0</v>
      </c>
      <c r="AC65" s="119" t="n">
        <f aca="false">SUMIFS(tabela_registros[VALOR],tabela_registros[MÊS],$AE$1,tabela_registros[DIA],agototal3059718395107119[[#Headers],[25]],tabela_registros[REGISTRO],DADOS!$N$4,tabela_registros[TIPO],DADOS!$P$4,tabela_registros[CATEGORIA],despesavariávelconsolidadoago[[#This Row],[DESPESA VARIÁVEL]])</f>
        <v>0</v>
      </c>
      <c r="AD65" s="119" t="n">
        <f aca="false">SUMIFS(tabela_registros[VALOR],tabela_registros[MÊS],$AE$1,tabela_registros[DIA],agototal3059718395107119[[#Headers],[26]],tabela_registros[REGISTRO],DADOS!$N$4,tabela_registros[TIPO],DADOS!$P$4,tabela_registros[CATEGORIA],despesavariávelconsolidadoago[[#This Row],[DESPESA VARIÁVEL]])</f>
        <v>0</v>
      </c>
      <c r="AE65" s="119" t="n">
        <f aca="false">SUMIFS(tabela_registros[VALOR],tabela_registros[MÊS],$AE$1,tabela_registros[DIA],agototal3059718395107119[[#Headers],[27]],tabela_registros[REGISTRO],DADOS!$N$4,tabela_registros[TIPO],DADOS!$P$4,tabela_registros[CATEGORIA],despesavariávelconsolidadoago[[#This Row],[DESPESA VARIÁVEL]])</f>
        <v>0</v>
      </c>
      <c r="AF65" s="119" t="n">
        <f aca="false">SUMIFS(tabela_registros[VALOR],tabela_registros[MÊS],$AE$1,tabela_registros[DIA],agototal3059718395107119[[#Headers],[28]],tabela_registros[REGISTRO],DADOS!$N$4,tabela_registros[TIPO],DADOS!$P$4,tabela_registros[CATEGORIA],despesavariávelconsolidadoago[[#This Row],[DESPESA VARIÁVEL]])</f>
        <v>0</v>
      </c>
      <c r="AG65" s="119" t="n">
        <f aca="false">SUMIFS(tabela_registros[VALOR],tabela_registros[MÊS],$AE$1,tabela_registros[DIA],agototal3059718395107119[[#Headers],[29]],tabela_registros[REGISTRO],DADOS!$N$4,tabela_registros[TIPO],DADOS!$P$4,tabela_registros[CATEGORIA],despesavariávelconsolidadoago[[#This Row],[DESPESA VARIÁVEL]])</f>
        <v>0</v>
      </c>
      <c r="AH65" s="119" t="n">
        <f aca="false">SUMIFS(tabela_registros[VALOR],tabela_registros[MÊS],$AE$1,tabela_registros[DIA],agototal3059718395107119[[#Headers],[30]],tabela_registros[REGISTRO],DADOS!$N$4,tabela_registros[TIPO],DADOS!$P$4,tabela_registros[CATEGORIA],despesavariávelconsolidadoago[[#This Row],[DESPESA VARIÁVEL]])</f>
        <v>0</v>
      </c>
      <c r="AI65" s="217" t="n">
        <f aca="false">SUMIFS(tabela_registros[VALOR],tabela_registros[MÊS],$AE$1,tabela_registros[DIA],agototal3059718395107119[[#Headers],[31]],tabela_registros[REGISTRO],DADOS!$N$4,tabela_registros[TIPO],DADOS!$P$4,tabela_registros[CATEGORIA],despesavariávelconsolidadoago[[#This Row],[DESPESA VARIÁVEL]])</f>
        <v>0</v>
      </c>
      <c r="AJ65" s="149" t="n">
        <f aca="false">SUM(despesavariávelconsolidadoago[[#This Row],[1]:[31]])</f>
        <v>0</v>
      </c>
      <c r="AK65" s="143"/>
    </row>
    <row r="66" customFormat="false" ht="18" hidden="false" customHeight="true" outlineLevel="0" collapsed="false">
      <c r="B66" s="143"/>
      <c r="C66" s="144" t="str">
        <f aca="false">DADOS!$T$9</f>
        <v>🎭 LAZER</v>
      </c>
      <c r="D66" s="145" t="str">
        <f aca="false">IF(despesavariávelconsolidadoago[[#This Row],[TOTAL]]=0,"",IF(OR(despesavariávelconsolidadoago[[#This Row],[TOTAL]]=LARGE($AJ$60:$AJ$72,1),despesavariávelconsolidadoago[[#This Row],[TOTAL]]=LARGE($AJ$60:$AJ$72,2),despesavariávelconsolidadoago[[#This Row],[TOTAL]]=LARGE($AJ$60:$AJ$72,3),despesavariávelconsolidadoago[[#This Row],[TOTAL]]=LARGE($AJ$60:$AJ$72,4),despesavariávelconsolidadoago[[#This Row],[TOTAL]]=LARGE($AJ$60:$AJ$72,5)),DADOS!$I$8,""))</f>
        <v/>
      </c>
      <c r="E66" s="148" t="n">
        <f aca="false">SUMIFS(tabela_registros[VALOR],tabela_registros[MÊS],$AE$1,tabela_registros[DIA],agototal3059718395107119[[#Headers],[1]],tabela_registros[REGISTRO],DADOS!$N$4,tabela_registros[TIPO],DADOS!$P$4,tabela_registros[CATEGORIA],despesavariávelconsolidadoago[[#This Row],[DESPESA VARIÁVEL]])</f>
        <v>0</v>
      </c>
      <c r="F66" s="119" t="n">
        <f aca="false">SUMIFS(tabela_registros[VALOR],tabela_registros[MÊS],$AE$1,tabela_registros[DIA],agototal3059718395107119[[#Headers],[2]],tabela_registros[REGISTRO],DADOS!$N$4,tabela_registros[TIPO],DADOS!$P$4,tabela_registros[CATEGORIA],despesavariávelconsolidadoago[[#This Row],[DESPESA VARIÁVEL]])</f>
        <v>0</v>
      </c>
      <c r="G66" s="119" t="n">
        <f aca="false">SUMIFS(tabela_registros[VALOR],tabela_registros[MÊS],$AE$1,tabela_registros[DIA],agototal3059718395107119[[#Headers],[3]],tabela_registros[REGISTRO],DADOS!$N$4,tabela_registros[TIPO],DADOS!$P$4,tabela_registros[CATEGORIA],despesavariávelconsolidadoago[[#This Row],[DESPESA VARIÁVEL]])</f>
        <v>0</v>
      </c>
      <c r="H66" s="119" t="n">
        <f aca="false">SUMIFS(tabela_registros[VALOR],tabela_registros[MÊS],$AE$1,tabela_registros[DIA],agototal3059718395107119[[#Headers],[4]],tabela_registros[REGISTRO],DADOS!$N$4,tabela_registros[TIPO],DADOS!$P$4,tabela_registros[CATEGORIA],despesavariávelconsolidadoago[[#This Row],[DESPESA VARIÁVEL]])</f>
        <v>0</v>
      </c>
      <c r="I66" s="119" t="n">
        <f aca="false">SUMIFS(tabela_registros[VALOR],tabela_registros[MÊS],$AE$1,tabela_registros[DIA],agototal3059718395107119[[#Headers],[5]],tabela_registros[REGISTRO],DADOS!$N$4,tabela_registros[TIPO],DADOS!$P$4,tabela_registros[CATEGORIA],despesavariávelconsolidadoago[[#This Row],[DESPESA VARIÁVEL]])</f>
        <v>0</v>
      </c>
      <c r="J66" s="119" t="n">
        <f aca="false">SUMIFS(tabela_registros[VALOR],tabela_registros[MÊS],$AE$1,tabela_registros[DIA],agototal3059718395107119[[#Headers],[6]],tabela_registros[REGISTRO],DADOS!$N$4,tabela_registros[TIPO],DADOS!$P$4,tabela_registros[CATEGORIA],despesavariávelconsolidadoago[[#This Row],[DESPESA VARIÁVEL]])</f>
        <v>0</v>
      </c>
      <c r="K66" s="119" t="n">
        <f aca="false">SUMIFS(tabela_registros[VALOR],tabela_registros[MÊS],$AE$1,tabela_registros[DIA],agototal3059718395107119[[#Headers],[7]],tabela_registros[REGISTRO],DADOS!$N$4,tabela_registros[TIPO],DADOS!$P$4,tabela_registros[CATEGORIA],despesavariávelconsolidadoago[[#This Row],[DESPESA VARIÁVEL]])</f>
        <v>0</v>
      </c>
      <c r="L66" s="119" t="n">
        <f aca="false">SUMIFS(tabela_registros[VALOR],tabela_registros[MÊS],$AE$1,tabela_registros[DIA],agototal3059718395107119[[#Headers],[8]],tabela_registros[REGISTRO],DADOS!$N$4,tabela_registros[TIPO],DADOS!$P$4,tabela_registros[CATEGORIA],despesavariávelconsolidadoago[[#This Row],[DESPESA VARIÁVEL]])</f>
        <v>0</v>
      </c>
      <c r="M66" s="119" t="n">
        <f aca="false">SUMIFS(tabela_registros[VALOR],tabela_registros[MÊS],$AE$1,tabela_registros[DIA],agototal3059718395107119[[#Headers],[9]],tabela_registros[REGISTRO],DADOS!$N$4,tabela_registros[TIPO],DADOS!$P$4,tabela_registros[CATEGORIA],despesavariávelconsolidadoago[[#This Row],[DESPESA VARIÁVEL]])</f>
        <v>0</v>
      </c>
      <c r="N66" s="119" t="n">
        <f aca="false">SUMIFS(tabela_registros[VALOR],tabela_registros[MÊS],$AE$1,tabela_registros[DIA],agototal3059718395107119[[#Headers],[10]],tabela_registros[REGISTRO],DADOS!$N$4,tabela_registros[TIPO],DADOS!$P$4,tabela_registros[CATEGORIA],despesavariávelconsolidadoago[[#This Row],[DESPESA VARIÁVEL]])</f>
        <v>0</v>
      </c>
      <c r="O66" s="119" t="n">
        <f aca="false">SUMIFS(tabela_registros[VALOR],tabela_registros[MÊS],$AE$1,tabela_registros[DIA],agototal3059718395107119[[#Headers],[11]],tabela_registros[REGISTRO],DADOS!$N$4,tabela_registros[TIPO],DADOS!$P$4,tabela_registros[CATEGORIA],despesavariávelconsolidadoago[[#This Row],[DESPESA VARIÁVEL]])</f>
        <v>0</v>
      </c>
      <c r="P66" s="119" t="n">
        <f aca="false">SUMIFS(tabela_registros[VALOR],tabela_registros[MÊS],$AE$1,tabela_registros[DIA],agototal3059718395107119[[#Headers],[12]],tabela_registros[REGISTRO],DADOS!$N$4,tabela_registros[TIPO],DADOS!$P$4,tabela_registros[CATEGORIA],despesavariávelconsolidadoago[[#This Row],[DESPESA VARIÁVEL]])</f>
        <v>0</v>
      </c>
      <c r="Q66" s="119" t="n">
        <f aca="false">SUMIFS(tabela_registros[VALOR],tabela_registros[MÊS],$AE$1,tabela_registros[DIA],agototal3059718395107119[[#Headers],[13]],tabela_registros[REGISTRO],DADOS!$N$4,tabela_registros[TIPO],DADOS!$P$4,tabela_registros[CATEGORIA],despesavariávelconsolidadoago[[#This Row],[DESPESA VARIÁVEL]])</f>
        <v>0</v>
      </c>
      <c r="R66" s="119" t="n">
        <f aca="false">SUMIFS(tabela_registros[VALOR],tabela_registros[MÊS],$AE$1,tabela_registros[DIA],agototal3059718395107119[[#Headers],[14]],tabela_registros[REGISTRO],DADOS!$N$4,tabela_registros[TIPO],DADOS!$P$4,tabela_registros[CATEGORIA],despesavariávelconsolidadoago[[#This Row],[DESPESA VARIÁVEL]])</f>
        <v>0</v>
      </c>
      <c r="S66" s="119" t="n">
        <f aca="false">SUMIFS(tabela_registros[VALOR],tabela_registros[MÊS],$AE$1,tabela_registros[DIA],agototal3059718395107119[[#Headers],[15]],tabela_registros[REGISTRO],DADOS!$N$4,tabela_registros[TIPO],DADOS!$P$4,tabela_registros[CATEGORIA],despesavariávelconsolidadoago[[#This Row],[DESPESA VARIÁVEL]])</f>
        <v>0</v>
      </c>
      <c r="T66" s="119" t="n">
        <f aca="false">SUMIFS(tabela_registros[VALOR],tabela_registros[MÊS],$AE$1,tabela_registros[DIA],agototal3059718395107119[[#Headers],[16]],tabela_registros[REGISTRO],DADOS!$N$4,tabela_registros[TIPO],DADOS!$P$4,tabela_registros[CATEGORIA],despesavariávelconsolidadoago[[#This Row],[DESPESA VARIÁVEL]])</f>
        <v>0</v>
      </c>
      <c r="U66" s="119" t="n">
        <f aca="false">SUMIFS(tabela_registros[VALOR],tabela_registros[MÊS],$AE$1,tabela_registros[DIA],agototal3059718395107119[[#Headers],[17]],tabela_registros[REGISTRO],DADOS!$N$4,tabela_registros[TIPO],DADOS!$P$4,tabela_registros[CATEGORIA],despesavariávelconsolidadoago[[#This Row],[DESPESA VARIÁVEL]])</f>
        <v>0</v>
      </c>
      <c r="V66" s="119" t="n">
        <f aca="false">SUMIFS(tabela_registros[VALOR],tabela_registros[MÊS],$AE$1,tabela_registros[DIA],agototal3059718395107119[[#Headers],[18]],tabela_registros[REGISTRO],DADOS!$N$4,tabela_registros[TIPO],DADOS!$P$4,tabela_registros[CATEGORIA],despesavariávelconsolidadoago[[#This Row],[DESPESA VARIÁVEL]])</f>
        <v>0</v>
      </c>
      <c r="W66" s="119" t="n">
        <f aca="false">SUMIFS(tabela_registros[VALOR],tabela_registros[MÊS],$AE$1,tabela_registros[DIA],agototal3059718395107119[[#Headers],[19]],tabela_registros[REGISTRO],DADOS!$N$4,tabela_registros[TIPO],DADOS!$P$4,tabela_registros[CATEGORIA],despesavariávelconsolidadoago[[#This Row],[DESPESA VARIÁVEL]])</f>
        <v>0</v>
      </c>
      <c r="X66" s="119" t="n">
        <f aca="false">SUMIFS(tabela_registros[VALOR],tabela_registros[MÊS],$AE$1,tabela_registros[DIA],agototal3059718395107119[[#Headers],[20]],tabela_registros[REGISTRO],DADOS!$N$4,tabela_registros[TIPO],DADOS!$P$4,tabela_registros[CATEGORIA],despesavariávelconsolidadoago[[#This Row],[DESPESA VARIÁVEL]])</f>
        <v>0</v>
      </c>
      <c r="Y66" s="119" t="n">
        <f aca="false">SUMIFS(tabela_registros[VALOR],tabela_registros[MÊS],$AE$1,tabela_registros[DIA],agototal3059718395107119[[#Headers],[21]],tabela_registros[REGISTRO],DADOS!$N$4,tabela_registros[TIPO],DADOS!$P$4,tabela_registros[CATEGORIA],despesavariávelconsolidadoago[[#This Row],[DESPESA VARIÁVEL]])</f>
        <v>0</v>
      </c>
      <c r="Z66" s="119" t="n">
        <f aca="false">SUMIFS(tabela_registros[VALOR],tabela_registros[MÊS],$AE$1,tabela_registros[DIA],agototal3059718395107119[[#Headers],[22]],tabela_registros[REGISTRO],DADOS!$N$4,tabela_registros[TIPO],DADOS!$P$4,tabela_registros[CATEGORIA],despesavariávelconsolidadoago[[#This Row],[DESPESA VARIÁVEL]])</f>
        <v>0</v>
      </c>
      <c r="AA66" s="119" t="n">
        <f aca="false">SUMIFS(tabela_registros[VALOR],tabela_registros[MÊS],$AE$1,tabela_registros[DIA],agototal3059718395107119[[#Headers],[23]],tabela_registros[REGISTRO],DADOS!$N$4,tabela_registros[TIPO],DADOS!$P$4,tabela_registros[CATEGORIA],despesavariávelconsolidadoago[[#This Row],[DESPESA VARIÁVEL]])</f>
        <v>0</v>
      </c>
      <c r="AB66" s="119" t="n">
        <f aca="false">SUMIFS(tabela_registros[VALOR],tabela_registros[MÊS],$AE$1,tabela_registros[DIA],agototal3059718395107119[[#Headers],[24]],tabela_registros[REGISTRO],DADOS!$N$4,tabela_registros[TIPO],DADOS!$P$4,tabela_registros[CATEGORIA],despesavariávelconsolidadoago[[#This Row],[DESPESA VARIÁVEL]])</f>
        <v>0</v>
      </c>
      <c r="AC66" s="119" t="n">
        <f aca="false">SUMIFS(tabela_registros[VALOR],tabela_registros[MÊS],$AE$1,tabela_registros[DIA],agototal3059718395107119[[#Headers],[25]],tabela_registros[REGISTRO],DADOS!$N$4,tabela_registros[TIPO],DADOS!$P$4,tabela_registros[CATEGORIA],despesavariávelconsolidadoago[[#This Row],[DESPESA VARIÁVEL]])</f>
        <v>0</v>
      </c>
      <c r="AD66" s="119" t="n">
        <f aca="false">SUMIFS(tabela_registros[VALOR],tabela_registros[MÊS],$AE$1,tabela_registros[DIA],agototal3059718395107119[[#Headers],[26]],tabela_registros[REGISTRO],DADOS!$N$4,tabela_registros[TIPO],DADOS!$P$4,tabela_registros[CATEGORIA],despesavariávelconsolidadoago[[#This Row],[DESPESA VARIÁVEL]])</f>
        <v>0</v>
      </c>
      <c r="AE66" s="119" t="n">
        <f aca="false">SUMIFS(tabela_registros[VALOR],tabela_registros[MÊS],$AE$1,tabela_registros[DIA],agototal3059718395107119[[#Headers],[27]],tabela_registros[REGISTRO],DADOS!$N$4,tabela_registros[TIPO],DADOS!$P$4,tabela_registros[CATEGORIA],despesavariávelconsolidadoago[[#This Row],[DESPESA VARIÁVEL]])</f>
        <v>0</v>
      </c>
      <c r="AF66" s="119" t="n">
        <f aca="false">SUMIFS(tabela_registros[VALOR],tabela_registros[MÊS],$AE$1,tabela_registros[DIA],agototal3059718395107119[[#Headers],[28]],tabela_registros[REGISTRO],DADOS!$N$4,tabela_registros[TIPO],DADOS!$P$4,tabela_registros[CATEGORIA],despesavariávelconsolidadoago[[#This Row],[DESPESA VARIÁVEL]])</f>
        <v>0</v>
      </c>
      <c r="AG66" s="119" t="n">
        <f aca="false">SUMIFS(tabela_registros[VALOR],tabela_registros[MÊS],$AE$1,tabela_registros[DIA],agototal3059718395107119[[#Headers],[29]],tabela_registros[REGISTRO],DADOS!$N$4,tabela_registros[TIPO],DADOS!$P$4,tabela_registros[CATEGORIA],despesavariávelconsolidadoago[[#This Row],[DESPESA VARIÁVEL]])</f>
        <v>0</v>
      </c>
      <c r="AH66" s="119" t="n">
        <f aca="false">SUMIFS(tabela_registros[VALOR],tabela_registros[MÊS],$AE$1,tabela_registros[DIA],agototal3059718395107119[[#Headers],[30]],tabela_registros[REGISTRO],DADOS!$N$4,tabela_registros[TIPO],DADOS!$P$4,tabela_registros[CATEGORIA],despesavariávelconsolidadoago[[#This Row],[DESPESA VARIÁVEL]])</f>
        <v>0</v>
      </c>
      <c r="AI66" s="217" t="n">
        <f aca="false">SUMIFS(tabela_registros[VALOR],tabela_registros[MÊS],$AE$1,tabela_registros[DIA],agototal3059718395107119[[#Headers],[31]],tabela_registros[REGISTRO],DADOS!$N$4,tabela_registros[TIPO],DADOS!$P$4,tabela_registros[CATEGORIA],despesavariávelconsolidadoago[[#This Row],[DESPESA VARIÁVEL]])</f>
        <v>0</v>
      </c>
      <c r="AJ66" s="149" t="n">
        <f aca="false">SUM(despesavariávelconsolidadoago[[#This Row],[1]:[31]])</f>
        <v>0</v>
      </c>
      <c r="AK66" s="143"/>
    </row>
    <row r="67" customFormat="false" ht="18" hidden="false" customHeight="true" outlineLevel="0" collapsed="false">
      <c r="B67" s="143"/>
      <c r="C67" s="144" t="str">
        <f aca="false">DADOS!$T$10</f>
        <v>🛒 MERCADO</v>
      </c>
      <c r="D67" s="145" t="str">
        <f aca="false">IF(despesavariávelconsolidadoago[[#This Row],[TOTAL]]=0,"",IF(OR(despesavariávelconsolidadoago[[#This Row],[TOTAL]]=LARGE($AJ$60:$AJ$72,1),despesavariávelconsolidadoago[[#This Row],[TOTAL]]=LARGE($AJ$60:$AJ$72,2),despesavariávelconsolidadoago[[#This Row],[TOTAL]]=LARGE($AJ$60:$AJ$72,3),despesavariávelconsolidadoago[[#This Row],[TOTAL]]=LARGE($AJ$60:$AJ$72,4),despesavariávelconsolidadoago[[#This Row],[TOTAL]]=LARGE($AJ$60:$AJ$72,5)),DADOS!$I$8,""))</f>
        <v/>
      </c>
      <c r="E67" s="148" t="n">
        <f aca="false">SUMIFS(tabela_registros[VALOR],tabela_registros[MÊS],$AE$1,tabela_registros[DIA],agototal3059718395107119[[#Headers],[1]],tabela_registros[REGISTRO],DADOS!$N$4,tabela_registros[TIPO],DADOS!$P$4,tabela_registros[CATEGORIA],despesavariávelconsolidadoago[[#This Row],[DESPESA VARIÁVEL]])</f>
        <v>0</v>
      </c>
      <c r="F67" s="119" t="n">
        <f aca="false">SUMIFS(tabela_registros[VALOR],tabela_registros[MÊS],$AE$1,tabela_registros[DIA],agototal3059718395107119[[#Headers],[2]],tabela_registros[REGISTRO],DADOS!$N$4,tabela_registros[TIPO],DADOS!$P$4,tabela_registros[CATEGORIA],despesavariávelconsolidadoago[[#This Row],[DESPESA VARIÁVEL]])</f>
        <v>0</v>
      </c>
      <c r="G67" s="119" t="n">
        <f aca="false">SUMIFS(tabela_registros[VALOR],tabela_registros[MÊS],$AE$1,tabela_registros[DIA],agototal3059718395107119[[#Headers],[3]],tabela_registros[REGISTRO],DADOS!$N$4,tabela_registros[TIPO],DADOS!$P$4,tabela_registros[CATEGORIA],despesavariávelconsolidadoago[[#This Row],[DESPESA VARIÁVEL]])</f>
        <v>0</v>
      </c>
      <c r="H67" s="119" t="n">
        <f aca="false">SUMIFS(tabela_registros[VALOR],tabela_registros[MÊS],$AE$1,tabela_registros[DIA],agototal3059718395107119[[#Headers],[4]],tabela_registros[REGISTRO],DADOS!$N$4,tabela_registros[TIPO],DADOS!$P$4,tabela_registros[CATEGORIA],despesavariávelconsolidadoago[[#This Row],[DESPESA VARIÁVEL]])</f>
        <v>0</v>
      </c>
      <c r="I67" s="119" t="n">
        <f aca="false">SUMIFS(tabela_registros[VALOR],tabela_registros[MÊS],$AE$1,tabela_registros[DIA],agototal3059718395107119[[#Headers],[5]],tabela_registros[REGISTRO],DADOS!$N$4,tabela_registros[TIPO],DADOS!$P$4,tabela_registros[CATEGORIA],despesavariávelconsolidadoago[[#This Row],[DESPESA VARIÁVEL]])</f>
        <v>0</v>
      </c>
      <c r="J67" s="119" t="n">
        <f aca="false">SUMIFS(tabela_registros[VALOR],tabela_registros[MÊS],$AE$1,tabela_registros[DIA],agototal3059718395107119[[#Headers],[6]],tabela_registros[REGISTRO],DADOS!$N$4,tabela_registros[TIPO],DADOS!$P$4,tabela_registros[CATEGORIA],despesavariávelconsolidadoago[[#This Row],[DESPESA VARIÁVEL]])</f>
        <v>0</v>
      </c>
      <c r="K67" s="119" t="n">
        <f aca="false">SUMIFS(tabela_registros[VALOR],tabela_registros[MÊS],$AE$1,tabela_registros[DIA],agototal3059718395107119[[#Headers],[7]],tabela_registros[REGISTRO],DADOS!$N$4,tabela_registros[TIPO],DADOS!$P$4,tabela_registros[CATEGORIA],despesavariávelconsolidadoago[[#This Row],[DESPESA VARIÁVEL]])</f>
        <v>0</v>
      </c>
      <c r="L67" s="119" t="n">
        <f aca="false">SUMIFS(tabela_registros[VALOR],tabela_registros[MÊS],$AE$1,tabela_registros[DIA],agototal3059718395107119[[#Headers],[8]],tabela_registros[REGISTRO],DADOS!$N$4,tabela_registros[TIPO],DADOS!$P$4,tabela_registros[CATEGORIA],despesavariávelconsolidadoago[[#This Row],[DESPESA VARIÁVEL]])</f>
        <v>0</v>
      </c>
      <c r="M67" s="119" t="n">
        <f aca="false">SUMIFS(tabela_registros[VALOR],tabela_registros[MÊS],$AE$1,tabela_registros[DIA],agototal3059718395107119[[#Headers],[9]],tabela_registros[REGISTRO],DADOS!$N$4,tabela_registros[TIPO],DADOS!$P$4,tabela_registros[CATEGORIA],despesavariávelconsolidadoago[[#This Row],[DESPESA VARIÁVEL]])</f>
        <v>0</v>
      </c>
      <c r="N67" s="119" t="n">
        <f aca="false">SUMIFS(tabela_registros[VALOR],tabela_registros[MÊS],$AE$1,tabela_registros[DIA],agototal3059718395107119[[#Headers],[10]],tabela_registros[REGISTRO],DADOS!$N$4,tabela_registros[TIPO],DADOS!$P$4,tabela_registros[CATEGORIA],despesavariávelconsolidadoago[[#This Row],[DESPESA VARIÁVEL]])</f>
        <v>0</v>
      </c>
      <c r="O67" s="119" t="n">
        <f aca="false">SUMIFS(tabela_registros[VALOR],tabela_registros[MÊS],$AE$1,tabela_registros[DIA],agototal3059718395107119[[#Headers],[11]],tabela_registros[REGISTRO],DADOS!$N$4,tabela_registros[TIPO],DADOS!$P$4,tabela_registros[CATEGORIA],despesavariávelconsolidadoago[[#This Row],[DESPESA VARIÁVEL]])</f>
        <v>0</v>
      </c>
      <c r="P67" s="119" t="n">
        <f aca="false">SUMIFS(tabela_registros[VALOR],tabela_registros[MÊS],$AE$1,tabela_registros[DIA],agototal3059718395107119[[#Headers],[12]],tabela_registros[REGISTRO],DADOS!$N$4,tabela_registros[TIPO],DADOS!$P$4,tabela_registros[CATEGORIA],despesavariávelconsolidadoago[[#This Row],[DESPESA VARIÁVEL]])</f>
        <v>0</v>
      </c>
      <c r="Q67" s="119" t="n">
        <f aca="false">SUMIFS(tabela_registros[VALOR],tabela_registros[MÊS],$AE$1,tabela_registros[DIA],agototal3059718395107119[[#Headers],[13]],tabela_registros[REGISTRO],DADOS!$N$4,tabela_registros[TIPO],DADOS!$P$4,tabela_registros[CATEGORIA],despesavariávelconsolidadoago[[#This Row],[DESPESA VARIÁVEL]])</f>
        <v>0</v>
      </c>
      <c r="R67" s="119" t="n">
        <f aca="false">SUMIFS(tabela_registros[VALOR],tabela_registros[MÊS],$AE$1,tabela_registros[DIA],agototal3059718395107119[[#Headers],[14]],tabela_registros[REGISTRO],DADOS!$N$4,tabela_registros[TIPO],DADOS!$P$4,tabela_registros[CATEGORIA],despesavariávelconsolidadoago[[#This Row],[DESPESA VARIÁVEL]])</f>
        <v>0</v>
      </c>
      <c r="S67" s="119" t="n">
        <f aca="false">SUMIFS(tabela_registros[VALOR],tabela_registros[MÊS],$AE$1,tabela_registros[DIA],agototal3059718395107119[[#Headers],[15]],tabela_registros[REGISTRO],DADOS!$N$4,tabela_registros[TIPO],DADOS!$P$4,tabela_registros[CATEGORIA],despesavariávelconsolidadoago[[#This Row],[DESPESA VARIÁVEL]])</f>
        <v>0</v>
      </c>
      <c r="T67" s="119" t="n">
        <f aca="false">SUMIFS(tabela_registros[VALOR],tabela_registros[MÊS],$AE$1,tabela_registros[DIA],agototal3059718395107119[[#Headers],[16]],tabela_registros[REGISTRO],DADOS!$N$4,tabela_registros[TIPO],DADOS!$P$4,tabela_registros[CATEGORIA],despesavariávelconsolidadoago[[#This Row],[DESPESA VARIÁVEL]])</f>
        <v>0</v>
      </c>
      <c r="U67" s="119" t="n">
        <f aca="false">SUMIFS(tabela_registros[VALOR],tabela_registros[MÊS],$AE$1,tabela_registros[DIA],agototal3059718395107119[[#Headers],[17]],tabela_registros[REGISTRO],DADOS!$N$4,tabela_registros[TIPO],DADOS!$P$4,tabela_registros[CATEGORIA],despesavariávelconsolidadoago[[#This Row],[DESPESA VARIÁVEL]])</f>
        <v>0</v>
      </c>
      <c r="V67" s="119" t="n">
        <f aca="false">SUMIFS(tabela_registros[VALOR],tabela_registros[MÊS],$AE$1,tabela_registros[DIA],agototal3059718395107119[[#Headers],[18]],tabela_registros[REGISTRO],DADOS!$N$4,tabela_registros[TIPO],DADOS!$P$4,tabela_registros[CATEGORIA],despesavariávelconsolidadoago[[#This Row],[DESPESA VARIÁVEL]])</f>
        <v>0</v>
      </c>
      <c r="W67" s="119" t="n">
        <f aca="false">SUMIFS(tabela_registros[VALOR],tabela_registros[MÊS],$AE$1,tabela_registros[DIA],agototal3059718395107119[[#Headers],[19]],tabela_registros[REGISTRO],DADOS!$N$4,tabela_registros[TIPO],DADOS!$P$4,tabela_registros[CATEGORIA],despesavariávelconsolidadoago[[#This Row],[DESPESA VARIÁVEL]])</f>
        <v>0</v>
      </c>
      <c r="X67" s="119" t="n">
        <f aca="false">SUMIFS(tabela_registros[VALOR],tabela_registros[MÊS],$AE$1,tabela_registros[DIA],agototal3059718395107119[[#Headers],[20]],tabela_registros[REGISTRO],DADOS!$N$4,tabela_registros[TIPO],DADOS!$P$4,tabela_registros[CATEGORIA],despesavariávelconsolidadoago[[#This Row],[DESPESA VARIÁVEL]])</f>
        <v>0</v>
      </c>
      <c r="Y67" s="119" t="n">
        <f aca="false">SUMIFS(tabela_registros[VALOR],tabela_registros[MÊS],$AE$1,tabela_registros[DIA],agototal3059718395107119[[#Headers],[21]],tabela_registros[REGISTRO],DADOS!$N$4,tabela_registros[TIPO],DADOS!$P$4,tabela_registros[CATEGORIA],despesavariávelconsolidadoago[[#This Row],[DESPESA VARIÁVEL]])</f>
        <v>0</v>
      </c>
      <c r="Z67" s="119" t="n">
        <f aca="false">SUMIFS(tabela_registros[VALOR],tabela_registros[MÊS],$AE$1,tabela_registros[DIA],agototal3059718395107119[[#Headers],[22]],tabela_registros[REGISTRO],DADOS!$N$4,tabela_registros[TIPO],DADOS!$P$4,tabela_registros[CATEGORIA],despesavariávelconsolidadoago[[#This Row],[DESPESA VARIÁVEL]])</f>
        <v>0</v>
      </c>
      <c r="AA67" s="119" t="n">
        <f aca="false">SUMIFS(tabela_registros[VALOR],tabela_registros[MÊS],$AE$1,tabela_registros[DIA],agototal3059718395107119[[#Headers],[23]],tabela_registros[REGISTRO],DADOS!$N$4,tabela_registros[TIPO],DADOS!$P$4,tabela_registros[CATEGORIA],despesavariávelconsolidadoago[[#This Row],[DESPESA VARIÁVEL]])</f>
        <v>0</v>
      </c>
      <c r="AB67" s="119" t="n">
        <f aca="false">SUMIFS(tabela_registros[VALOR],tabela_registros[MÊS],$AE$1,tabela_registros[DIA],agototal3059718395107119[[#Headers],[24]],tabela_registros[REGISTRO],DADOS!$N$4,tabela_registros[TIPO],DADOS!$P$4,tabela_registros[CATEGORIA],despesavariávelconsolidadoago[[#This Row],[DESPESA VARIÁVEL]])</f>
        <v>0</v>
      </c>
      <c r="AC67" s="119" t="n">
        <f aca="false">SUMIFS(tabela_registros[VALOR],tabela_registros[MÊS],$AE$1,tabela_registros[DIA],agototal3059718395107119[[#Headers],[25]],tabela_registros[REGISTRO],DADOS!$N$4,tabela_registros[TIPO],DADOS!$P$4,tabela_registros[CATEGORIA],despesavariávelconsolidadoago[[#This Row],[DESPESA VARIÁVEL]])</f>
        <v>0</v>
      </c>
      <c r="AD67" s="119" t="n">
        <f aca="false">SUMIFS(tabela_registros[VALOR],tabela_registros[MÊS],$AE$1,tabela_registros[DIA],agototal3059718395107119[[#Headers],[26]],tabela_registros[REGISTRO],DADOS!$N$4,tabela_registros[TIPO],DADOS!$P$4,tabela_registros[CATEGORIA],despesavariávelconsolidadoago[[#This Row],[DESPESA VARIÁVEL]])</f>
        <v>0</v>
      </c>
      <c r="AE67" s="119" t="n">
        <f aca="false">SUMIFS(tabela_registros[VALOR],tabela_registros[MÊS],$AE$1,tabela_registros[DIA],agototal3059718395107119[[#Headers],[27]],tabela_registros[REGISTRO],DADOS!$N$4,tabela_registros[TIPO],DADOS!$P$4,tabela_registros[CATEGORIA],despesavariávelconsolidadoago[[#This Row],[DESPESA VARIÁVEL]])</f>
        <v>0</v>
      </c>
      <c r="AF67" s="119" t="n">
        <f aca="false">SUMIFS(tabela_registros[VALOR],tabela_registros[MÊS],$AE$1,tabela_registros[DIA],agototal3059718395107119[[#Headers],[28]],tabela_registros[REGISTRO],DADOS!$N$4,tabela_registros[TIPO],DADOS!$P$4,tabela_registros[CATEGORIA],despesavariávelconsolidadoago[[#This Row],[DESPESA VARIÁVEL]])</f>
        <v>0</v>
      </c>
      <c r="AG67" s="119" t="n">
        <f aca="false">SUMIFS(tabela_registros[VALOR],tabela_registros[MÊS],$AE$1,tabela_registros[DIA],agototal3059718395107119[[#Headers],[29]],tabela_registros[REGISTRO],DADOS!$N$4,tabela_registros[TIPO],DADOS!$P$4,tabela_registros[CATEGORIA],despesavariávelconsolidadoago[[#This Row],[DESPESA VARIÁVEL]])</f>
        <v>0</v>
      </c>
      <c r="AH67" s="119" t="n">
        <f aca="false">SUMIFS(tabela_registros[VALOR],tabela_registros[MÊS],$AE$1,tabela_registros[DIA],agototal3059718395107119[[#Headers],[30]],tabela_registros[REGISTRO],DADOS!$N$4,tabela_registros[TIPO],DADOS!$P$4,tabela_registros[CATEGORIA],despesavariávelconsolidadoago[[#This Row],[DESPESA VARIÁVEL]])</f>
        <v>0</v>
      </c>
      <c r="AI67" s="217" t="n">
        <f aca="false">SUMIFS(tabela_registros[VALOR],tabela_registros[MÊS],$AE$1,tabela_registros[DIA],agototal3059718395107119[[#Headers],[31]],tabela_registros[REGISTRO],DADOS!$N$4,tabela_registros[TIPO],DADOS!$P$4,tabela_registros[CATEGORIA],despesavariávelconsolidadoago[[#This Row],[DESPESA VARIÁVEL]])</f>
        <v>0</v>
      </c>
      <c r="AJ67" s="149" t="n">
        <f aca="false">SUM(despesavariávelconsolidadoago[[#This Row],[1]:[31]])</f>
        <v>0</v>
      </c>
      <c r="AK67" s="143"/>
    </row>
    <row r="68" customFormat="false" ht="18" hidden="false" customHeight="true" outlineLevel="0" collapsed="false">
      <c r="B68" s="143"/>
      <c r="C68" s="144" t="str">
        <f aca="false">DADOS!$T$11</f>
        <v>🎁 PRESENTES</v>
      </c>
      <c r="D68" s="145" t="str">
        <f aca="false">IF(despesavariávelconsolidadoago[[#This Row],[TOTAL]]=0,"",IF(OR(despesavariávelconsolidadoago[[#This Row],[TOTAL]]=LARGE($AJ$60:$AJ$72,1),despesavariávelconsolidadoago[[#This Row],[TOTAL]]=LARGE($AJ$60:$AJ$72,2),despesavariávelconsolidadoago[[#This Row],[TOTAL]]=LARGE($AJ$60:$AJ$72,3),despesavariávelconsolidadoago[[#This Row],[TOTAL]]=LARGE($AJ$60:$AJ$72,4),despesavariávelconsolidadoago[[#This Row],[TOTAL]]=LARGE($AJ$60:$AJ$72,5)),DADOS!$I$8,""))</f>
        <v/>
      </c>
      <c r="E68" s="148" t="n">
        <f aca="false">SUMIFS(tabela_registros[VALOR],tabela_registros[MÊS],$AE$1,tabela_registros[DIA],agototal3059718395107119[[#Headers],[1]],tabela_registros[REGISTRO],DADOS!$N$4,tabela_registros[TIPO],DADOS!$P$4,tabela_registros[CATEGORIA],despesavariávelconsolidadoago[[#This Row],[DESPESA VARIÁVEL]])</f>
        <v>0</v>
      </c>
      <c r="F68" s="119" t="n">
        <f aca="false">SUMIFS(tabela_registros[VALOR],tabela_registros[MÊS],$AE$1,tabela_registros[DIA],agototal3059718395107119[[#Headers],[2]],tabela_registros[REGISTRO],DADOS!$N$4,tabela_registros[TIPO],DADOS!$P$4,tabela_registros[CATEGORIA],despesavariávelconsolidadoago[[#This Row],[DESPESA VARIÁVEL]])</f>
        <v>0</v>
      </c>
      <c r="G68" s="119" t="n">
        <f aca="false">SUMIFS(tabela_registros[VALOR],tabela_registros[MÊS],$AE$1,tabela_registros[DIA],agototal3059718395107119[[#Headers],[3]],tabela_registros[REGISTRO],DADOS!$N$4,tabela_registros[TIPO],DADOS!$P$4,tabela_registros[CATEGORIA],despesavariávelconsolidadoago[[#This Row],[DESPESA VARIÁVEL]])</f>
        <v>0</v>
      </c>
      <c r="H68" s="119" t="n">
        <f aca="false">SUMIFS(tabela_registros[VALOR],tabela_registros[MÊS],$AE$1,tabela_registros[DIA],agototal3059718395107119[[#Headers],[4]],tabela_registros[REGISTRO],DADOS!$N$4,tabela_registros[TIPO],DADOS!$P$4,tabela_registros[CATEGORIA],despesavariávelconsolidadoago[[#This Row],[DESPESA VARIÁVEL]])</f>
        <v>0</v>
      </c>
      <c r="I68" s="119" t="n">
        <f aca="false">SUMIFS(tabela_registros[VALOR],tabela_registros[MÊS],$AE$1,tabela_registros[DIA],agototal3059718395107119[[#Headers],[5]],tabela_registros[REGISTRO],DADOS!$N$4,tabela_registros[TIPO],DADOS!$P$4,tabela_registros[CATEGORIA],despesavariávelconsolidadoago[[#This Row],[DESPESA VARIÁVEL]])</f>
        <v>0</v>
      </c>
      <c r="J68" s="119" t="n">
        <f aca="false">SUMIFS(tabela_registros[VALOR],tabela_registros[MÊS],$AE$1,tabela_registros[DIA],agototal3059718395107119[[#Headers],[6]],tabela_registros[REGISTRO],DADOS!$N$4,tabela_registros[TIPO],DADOS!$P$4,tabela_registros[CATEGORIA],despesavariávelconsolidadoago[[#This Row],[DESPESA VARIÁVEL]])</f>
        <v>0</v>
      </c>
      <c r="K68" s="119" t="n">
        <f aca="false">SUMIFS(tabela_registros[VALOR],tabela_registros[MÊS],$AE$1,tabela_registros[DIA],agototal3059718395107119[[#Headers],[7]],tabela_registros[REGISTRO],DADOS!$N$4,tabela_registros[TIPO],DADOS!$P$4,tabela_registros[CATEGORIA],despesavariávelconsolidadoago[[#This Row],[DESPESA VARIÁVEL]])</f>
        <v>0</v>
      </c>
      <c r="L68" s="119" t="n">
        <f aca="false">SUMIFS(tabela_registros[VALOR],tabela_registros[MÊS],$AE$1,tabela_registros[DIA],agototal3059718395107119[[#Headers],[8]],tabela_registros[REGISTRO],DADOS!$N$4,tabela_registros[TIPO],DADOS!$P$4,tabela_registros[CATEGORIA],despesavariávelconsolidadoago[[#This Row],[DESPESA VARIÁVEL]])</f>
        <v>0</v>
      </c>
      <c r="M68" s="119" t="n">
        <f aca="false">SUMIFS(tabela_registros[VALOR],tabela_registros[MÊS],$AE$1,tabela_registros[DIA],agototal3059718395107119[[#Headers],[9]],tabela_registros[REGISTRO],DADOS!$N$4,tabela_registros[TIPO],DADOS!$P$4,tabela_registros[CATEGORIA],despesavariávelconsolidadoago[[#This Row],[DESPESA VARIÁVEL]])</f>
        <v>0</v>
      </c>
      <c r="N68" s="119" t="n">
        <f aca="false">SUMIFS(tabela_registros[VALOR],tabela_registros[MÊS],$AE$1,tabela_registros[DIA],agototal3059718395107119[[#Headers],[10]],tabela_registros[REGISTRO],DADOS!$N$4,tabela_registros[TIPO],DADOS!$P$4,tabela_registros[CATEGORIA],despesavariávelconsolidadoago[[#This Row],[DESPESA VARIÁVEL]])</f>
        <v>0</v>
      </c>
      <c r="O68" s="119" t="n">
        <f aca="false">SUMIFS(tabela_registros[VALOR],tabela_registros[MÊS],$AE$1,tabela_registros[DIA],agototal3059718395107119[[#Headers],[11]],tabela_registros[REGISTRO],DADOS!$N$4,tabela_registros[TIPO],DADOS!$P$4,tabela_registros[CATEGORIA],despesavariávelconsolidadoago[[#This Row],[DESPESA VARIÁVEL]])</f>
        <v>0</v>
      </c>
      <c r="P68" s="119" t="n">
        <f aca="false">SUMIFS(tabela_registros[VALOR],tabela_registros[MÊS],$AE$1,tabela_registros[DIA],agototal3059718395107119[[#Headers],[12]],tabela_registros[REGISTRO],DADOS!$N$4,tabela_registros[TIPO],DADOS!$P$4,tabela_registros[CATEGORIA],despesavariávelconsolidadoago[[#This Row],[DESPESA VARIÁVEL]])</f>
        <v>0</v>
      </c>
      <c r="Q68" s="119" t="n">
        <f aca="false">SUMIFS(tabela_registros[VALOR],tabela_registros[MÊS],$AE$1,tabela_registros[DIA],agototal3059718395107119[[#Headers],[13]],tabela_registros[REGISTRO],DADOS!$N$4,tabela_registros[TIPO],DADOS!$P$4,tabela_registros[CATEGORIA],despesavariávelconsolidadoago[[#This Row],[DESPESA VARIÁVEL]])</f>
        <v>0</v>
      </c>
      <c r="R68" s="119" t="n">
        <f aca="false">SUMIFS(tabela_registros[VALOR],tabela_registros[MÊS],$AE$1,tabela_registros[DIA],agototal3059718395107119[[#Headers],[14]],tabela_registros[REGISTRO],DADOS!$N$4,tabela_registros[TIPO],DADOS!$P$4,tabela_registros[CATEGORIA],despesavariávelconsolidadoago[[#This Row],[DESPESA VARIÁVEL]])</f>
        <v>0</v>
      </c>
      <c r="S68" s="119" t="n">
        <f aca="false">SUMIFS(tabela_registros[VALOR],tabela_registros[MÊS],$AE$1,tabela_registros[DIA],agototal3059718395107119[[#Headers],[15]],tabela_registros[REGISTRO],DADOS!$N$4,tabela_registros[TIPO],DADOS!$P$4,tabela_registros[CATEGORIA],despesavariávelconsolidadoago[[#This Row],[DESPESA VARIÁVEL]])</f>
        <v>0</v>
      </c>
      <c r="T68" s="119" t="n">
        <f aca="false">SUMIFS(tabela_registros[VALOR],tabela_registros[MÊS],$AE$1,tabela_registros[DIA],agototal3059718395107119[[#Headers],[16]],tabela_registros[REGISTRO],DADOS!$N$4,tabela_registros[TIPO],DADOS!$P$4,tabela_registros[CATEGORIA],despesavariávelconsolidadoago[[#This Row],[DESPESA VARIÁVEL]])</f>
        <v>0</v>
      </c>
      <c r="U68" s="119" t="n">
        <f aca="false">SUMIFS(tabela_registros[VALOR],tabela_registros[MÊS],$AE$1,tabela_registros[DIA],agototal3059718395107119[[#Headers],[17]],tabela_registros[REGISTRO],DADOS!$N$4,tabela_registros[TIPO],DADOS!$P$4,tabela_registros[CATEGORIA],despesavariávelconsolidadoago[[#This Row],[DESPESA VARIÁVEL]])</f>
        <v>0</v>
      </c>
      <c r="V68" s="119" t="n">
        <f aca="false">SUMIFS(tabela_registros[VALOR],tabela_registros[MÊS],$AE$1,tabela_registros[DIA],agototal3059718395107119[[#Headers],[18]],tabela_registros[REGISTRO],DADOS!$N$4,tabela_registros[TIPO],DADOS!$P$4,tabela_registros[CATEGORIA],despesavariávelconsolidadoago[[#This Row],[DESPESA VARIÁVEL]])</f>
        <v>0</v>
      </c>
      <c r="W68" s="119" t="n">
        <f aca="false">SUMIFS(tabela_registros[VALOR],tabela_registros[MÊS],$AE$1,tabela_registros[DIA],agototal3059718395107119[[#Headers],[19]],tabela_registros[REGISTRO],DADOS!$N$4,tabela_registros[TIPO],DADOS!$P$4,tabela_registros[CATEGORIA],despesavariávelconsolidadoago[[#This Row],[DESPESA VARIÁVEL]])</f>
        <v>0</v>
      </c>
      <c r="X68" s="119" t="n">
        <f aca="false">SUMIFS(tabela_registros[VALOR],tabela_registros[MÊS],$AE$1,tabela_registros[DIA],agototal3059718395107119[[#Headers],[20]],tabela_registros[REGISTRO],DADOS!$N$4,tabela_registros[TIPO],DADOS!$P$4,tabela_registros[CATEGORIA],despesavariávelconsolidadoago[[#This Row],[DESPESA VARIÁVEL]])</f>
        <v>0</v>
      </c>
      <c r="Y68" s="119" t="n">
        <f aca="false">SUMIFS(tabela_registros[VALOR],tabela_registros[MÊS],$AE$1,tabela_registros[DIA],agototal3059718395107119[[#Headers],[21]],tabela_registros[REGISTRO],DADOS!$N$4,tabela_registros[TIPO],DADOS!$P$4,tabela_registros[CATEGORIA],despesavariávelconsolidadoago[[#This Row],[DESPESA VARIÁVEL]])</f>
        <v>0</v>
      </c>
      <c r="Z68" s="119" t="n">
        <f aca="false">SUMIFS(tabela_registros[VALOR],tabela_registros[MÊS],$AE$1,tabela_registros[DIA],agototal3059718395107119[[#Headers],[22]],tabela_registros[REGISTRO],DADOS!$N$4,tabela_registros[TIPO],DADOS!$P$4,tabela_registros[CATEGORIA],despesavariávelconsolidadoago[[#This Row],[DESPESA VARIÁVEL]])</f>
        <v>0</v>
      </c>
      <c r="AA68" s="119" t="n">
        <f aca="false">SUMIFS(tabela_registros[VALOR],tabela_registros[MÊS],$AE$1,tabela_registros[DIA],agototal3059718395107119[[#Headers],[23]],tabela_registros[REGISTRO],DADOS!$N$4,tabela_registros[TIPO],DADOS!$P$4,tabela_registros[CATEGORIA],despesavariávelconsolidadoago[[#This Row],[DESPESA VARIÁVEL]])</f>
        <v>0</v>
      </c>
      <c r="AB68" s="119" t="n">
        <f aca="false">SUMIFS(tabela_registros[VALOR],tabela_registros[MÊS],$AE$1,tabela_registros[DIA],agototal3059718395107119[[#Headers],[24]],tabela_registros[REGISTRO],DADOS!$N$4,tabela_registros[TIPO],DADOS!$P$4,tabela_registros[CATEGORIA],despesavariávelconsolidadoago[[#This Row],[DESPESA VARIÁVEL]])</f>
        <v>0</v>
      </c>
      <c r="AC68" s="119" t="n">
        <f aca="false">SUMIFS(tabela_registros[VALOR],tabela_registros[MÊS],$AE$1,tabela_registros[DIA],agototal3059718395107119[[#Headers],[25]],tabela_registros[REGISTRO],DADOS!$N$4,tabela_registros[TIPO],DADOS!$P$4,tabela_registros[CATEGORIA],despesavariávelconsolidadoago[[#This Row],[DESPESA VARIÁVEL]])</f>
        <v>0</v>
      </c>
      <c r="AD68" s="119" t="n">
        <f aca="false">SUMIFS(tabela_registros[VALOR],tabela_registros[MÊS],$AE$1,tabela_registros[DIA],agototal3059718395107119[[#Headers],[26]],tabela_registros[REGISTRO],DADOS!$N$4,tabela_registros[TIPO],DADOS!$P$4,tabela_registros[CATEGORIA],despesavariávelconsolidadoago[[#This Row],[DESPESA VARIÁVEL]])</f>
        <v>0</v>
      </c>
      <c r="AE68" s="119" t="n">
        <f aca="false">SUMIFS(tabela_registros[VALOR],tabela_registros[MÊS],$AE$1,tabela_registros[DIA],agototal3059718395107119[[#Headers],[27]],tabela_registros[REGISTRO],DADOS!$N$4,tabela_registros[TIPO],DADOS!$P$4,tabela_registros[CATEGORIA],despesavariávelconsolidadoago[[#This Row],[DESPESA VARIÁVEL]])</f>
        <v>0</v>
      </c>
      <c r="AF68" s="119" t="n">
        <f aca="false">SUMIFS(tabela_registros[VALOR],tabela_registros[MÊS],$AE$1,tabela_registros[DIA],agototal3059718395107119[[#Headers],[28]],tabela_registros[REGISTRO],DADOS!$N$4,tabela_registros[TIPO],DADOS!$P$4,tabela_registros[CATEGORIA],despesavariávelconsolidadoago[[#This Row],[DESPESA VARIÁVEL]])</f>
        <v>0</v>
      </c>
      <c r="AG68" s="119" t="n">
        <f aca="false">SUMIFS(tabela_registros[VALOR],tabela_registros[MÊS],$AE$1,tabela_registros[DIA],agototal3059718395107119[[#Headers],[29]],tabela_registros[REGISTRO],DADOS!$N$4,tabela_registros[TIPO],DADOS!$P$4,tabela_registros[CATEGORIA],despesavariávelconsolidadoago[[#This Row],[DESPESA VARIÁVEL]])</f>
        <v>0</v>
      </c>
      <c r="AH68" s="119" t="n">
        <f aca="false">SUMIFS(tabela_registros[VALOR],tabela_registros[MÊS],$AE$1,tabela_registros[DIA],agototal3059718395107119[[#Headers],[30]],tabela_registros[REGISTRO],DADOS!$N$4,tabela_registros[TIPO],DADOS!$P$4,tabela_registros[CATEGORIA],despesavariávelconsolidadoago[[#This Row],[DESPESA VARIÁVEL]])</f>
        <v>0</v>
      </c>
      <c r="AI68" s="217" t="n">
        <f aca="false">SUMIFS(tabela_registros[VALOR],tabela_registros[MÊS],$AE$1,tabela_registros[DIA],agototal3059718395107119[[#Headers],[31]],tabela_registros[REGISTRO],DADOS!$N$4,tabela_registros[TIPO],DADOS!$P$4,tabela_registros[CATEGORIA],despesavariávelconsolidadoago[[#This Row],[DESPESA VARIÁVEL]])</f>
        <v>0</v>
      </c>
      <c r="AJ68" s="149" t="n">
        <f aca="false">SUM(despesavariávelconsolidadoago[[#This Row],[1]:[31]])</f>
        <v>0</v>
      </c>
      <c r="AK68" s="143"/>
    </row>
    <row r="69" customFormat="false" ht="18" hidden="false" customHeight="true" outlineLevel="0" collapsed="false">
      <c r="B69" s="143"/>
      <c r="C69" s="144" t="str">
        <f aca="false">DADOS!$T$12</f>
        <v>💊 SAÚDE</v>
      </c>
      <c r="D69" s="145" t="str">
        <f aca="false">IF(despesavariávelconsolidadoago[[#This Row],[TOTAL]]=0,"",IF(OR(despesavariávelconsolidadoago[[#This Row],[TOTAL]]=LARGE($AJ$60:$AJ$72,1),despesavariávelconsolidadoago[[#This Row],[TOTAL]]=LARGE($AJ$60:$AJ$72,2),despesavariávelconsolidadoago[[#This Row],[TOTAL]]=LARGE($AJ$60:$AJ$72,3),despesavariávelconsolidadoago[[#This Row],[TOTAL]]=LARGE($AJ$60:$AJ$72,4),despesavariávelconsolidadoago[[#This Row],[TOTAL]]=LARGE($AJ$60:$AJ$72,5)),DADOS!$I$8,""))</f>
        <v/>
      </c>
      <c r="E69" s="148" t="n">
        <f aca="false">SUMIFS(tabela_registros[VALOR],tabela_registros[MÊS],$AE$1,tabela_registros[DIA],agototal3059718395107119[[#Headers],[1]],tabela_registros[REGISTRO],DADOS!$N$4,tabela_registros[TIPO],DADOS!$P$4,tabela_registros[CATEGORIA],despesavariávelconsolidadoago[[#This Row],[DESPESA VARIÁVEL]])</f>
        <v>0</v>
      </c>
      <c r="F69" s="119" t="n">
        <f aca="false">SUMIFS(tabela_registros[VALOR],tabela_registros[MÊS],$AE$1,tabela_registros[DIA],agototal3059718395107119[[#Headers],[2]],tabela_registros[REGISTRO],DADOS!$N$4,tabela_registros[TIPO],DADOS!$P$4,tabela_registros[CATEGORIA],despesavariávelconsolidadoago[[#This Row],[DESPESA VARIÁVEL]])</f>
        <v>0</v>
      </c>
      <c r="G69" s="119" t="n">
        <f aca="false">SUMIFS(tabela_registros[VALOR],tabela_registros[MÊS],$AE$1,tabela_registros[DIA],agototal3059718395107119[[#Headers],[3]],tabela_registros[REGISTRO],DADOS!$N$4,tabela_registros[TIPO],DADOS!$P$4,tabela_registros[CATEGORIA],despesavariávelconsolidadoago[[#This Row],[DESPESA VARIÁVEL]])</f>
        <v>0</v>
      </c>
      <c r="H69" s="119" t="n">
        <f aca="false">SUMIFS(tabela_registros[VALOR],tabela_registros[MÊS],$AE$1,tabela_registros[DIA],agototal3059718395107119[[#Headers],[4]],tabela_registros[REGISTRO],DADOS!$N$4,tabela_registros[TIPO],DADOS!$P$4,tabela_registros[CATEGORIA],despesavariávelconsolidadoago[[#This Row],[DESPESA VARIÁVEL]])</f>
        <v>0</v>
      </c>
      <c r="I69" s="119" t="n">
        <f aca="false">SUMIFS(tabela_registros[VALOR],tabela_registros[MÊS],$AE$1,tabela_registros[DIA],agototal3059718395107119[[#Headers],[5]],tabela_registros[REGISTRO],DADOS!$N$4,tabela_registros[TIPO],DADOS!$P$4,tabela_registros[CATEGORIA],despesavariávelconsolidadoago[[#This Row],[DESPESA VARIÁVEL]])</f>
        <v>0</v>
      </c>
      <c r="J69" s="119" t="n">
        <f aca="false">SUMIFS(tabela_registros[VALOR],tabela_registros[MÊS],$AE$1,tabela_registros[DIA],agototal3059718395107119[[#Headers],[6]],tabela_registros[REGISTRO],DADOS!$N$4,tabela_registros[TIPO],DADOS!$P$4,tabela_registros[CATEGORIA],despesavariávelconsolidadoago[[#This Row],[DESPESA VARIÁVEL]])</f>
        <v>0</v>
      </c>
      <c r="K69" s="119" t="n">
        <f aca="false">SUMIFS(tabela_registros[VALOR],tabela_registros[MÊS],$AE$1,tabela_registros[DIA],agototal3059718395107119[[#Headers],[7]],tabela_registros[REGISTRO],DADOS!$N$4,tabela_registros[TIPO],DADOS!$P$4,tabela_registros[CATEGORIA],despesavariávelconsolidadoago[[#This Row],[DESPESA VARIÁVEL]])</f>
        <v>0</v>
      </c>
      <c r="L69" s="119" t="n">
        <f aca="false">SUMIFS(tabela_registros[VALOR],tabela_registros[MÊS],$AE$1,tabela_registros[DIA],agototal3059718395107119[[#Headers],[8]],tabela_registros[REGISTRO],DADOS!$N$4,tabela_registros[TIPO],DADOS!$P$4,tabela_registros[CATEGORIA],despesavariávelconsolidadoago[[#This Row],[DESPESA VARIÁVEL]])</f>
        <v>0</v>
      </c>
      <c r="M69" s="119" t="n">
        <f aca="false">SUMIFS(tabela_registros[VALOR],tabela_registros[MÊS],$AE$1,tabela_registros[DIA],agototal3059718395107119[[#Headers],[9]],tabela_registros[REGISTRO],DADOS!$N$4,tabela_registros[TIPO],DADOS!$P$4,tabela_registros[CATEGORIA],despesavariávelconsolidadoago[[#This Row],[DESPESA VARIÁVEL]])</f>
        <v>0</v>
      </c>
      <c r="N69" s="119" t="n">
        <f aca="false">SUMIFS(tabela_registros[VALOR],tabela_registros[MÊS],$AE$1,tabela_registros[DIA],agototal3059718395107119[[#Headers],[10]],tabela_registros[REGISTRO],DADOS!$N$4,tabela_registros[TIPO],DADOS!$P$4,tabela_registros[CATEGORIA],despesavariávelconsolidadoago[[#This Row],[DESPESA VARIÁVEL]])</f>
        <v>0</v>
      </c>
      <c r="O69" s="119" t="n">
        <f aca="false">SUMIFS(tabela_registros[VALOR],tabela_registros[MÊS],$AE$1,tabela_registros[DIA],agototal3059718395107119[[#Headers],[11]],tabela_registros[REGISTRO],DADOS!$N$4,tabela_registros[TIPO],DADOS!$P$4,tabela_registros[CATEGORIA],despesavariávelconsolidadoago[[#This Row],[DESPESA VARIÁVEL]])</f>
        <v>0</v>
      </c>
      <c r="P69" s="119" t="n">
        <f aca="false">SUMIFS(tabela_registros[VALOR],tabela_registros[MÊS],$AE$1,tabela_registros[DIA],agototal3059718395107119[[#Headers],[12]],tabela_registros[REGISTRO],DADOS!$N$4,tabela_registros[TIPO],DADOS!$P$4,tabela_registros[CATEGORIA],despesavariávelconsolidadoago[[#This Row],[DESPESA VARIÁVEL]])</f>
        <v>0</v>
      </c>
      <c r="Q69" s="119" t="n">
        <f aca="false">SUMIFS(tabela_registros[VALOR],tabela_registros[MÊS],$AE$1,tabela_registros[DIA],agototal3059718395107119[[#Headers],[13]],tabela_registros[REGISTRO],DADOS!$N$4,tabela_registros[TIPO],DADOS!$P$4,tabela_registros[CATEGORIA],despesavariávelconsolidadoago[[#This Row],[DESPESA VARIÁVEL]])</f>
        <v>0</v>
      </c>
      <c r="R69" s="119" t="n">
        <f aca="false">SUMIFS(tabela_registros[VALOR],tabela_registros[MÊS],$AE$1,tabela_registros[DIA],agototal3059718395107119[[#Headers],[14]],tabela_registros[REGISTRO],DADOS!$N$4,tabela_registros[TIPO],DADOS!$P$4,tabela_registros[CATEGORIA],despesavariávelconsolidadoago[[#This Row],[DESPESA VARIÁVEL]])</f>
        <v>0</v>
      </c>
      <c r="S69" s="119" t="n">
        <f aca="false">SUMIFS(tabela_registros[VALOR],tabela_registros[MÊS],$AE$1,tabela_registros[DIA],agototal3059718395107119[[#Headers],[15]],tabela_registros[REGISTRO],DADOS!$N$4,tabela_registros[TIPO],DADOS!$P$4,tabela_registros[CATEGORIA],despesavariávelconsolidadoago[[#This Row],[DESPESA VARIÁVEL]])</f>
        <v>0</v>
      </c>
      <c r="T69" s="119" t="n">
        <f aca="false">SUMIFS(tabela_registros[VALOR],tabela_registros[MÊS],$AE$1,tabela_registros[DIA],agototal3059718395107119[[#Headers],[16]],tabela_registros[REGISTRO],DADOS!$N$4,tabela_registros[TIPO],DADOS!$P$4,tabela_registros[CATEGORIA],despesavariávelconsolidadoago[[#This Row],[DESPESA VARIÁVEL]])</f>
        <v>0</v>
      </c>
      <c r="U69" s="119" t="n">
        <f aca="false">SUMIFS(tabela_registros[VALOR],tabela_registros[MÊS],$AE$1,tabela_registros[DIA],agototal3059718395107119[[#Headers],[17]],tabela_registros[REGISTRO],DADOS!$N$4,tabela_registros[TIPO],DADOS!$P$4,tabela_registros[CATEGORIA],despesavariávelconsolidadoago[[#This Row],[DESPESA VARIÁVEL]])</f>
        <v>0</v>
      </c>
      <c r="V69" s="119" t="n">
        <f aca="false">SUMIFS(tabela_registros[VALOR],tabela_registros[MÊS],$AE$1,tabela_registros[DIA],agototal3059718395107119[[#Headers],[18]],tabela_registros[REGISTRO],DADOS!$N$4,tabela_registros[TIPO],DADOS!$P$4,tabela_registros[CATEGORIA],despesavariávelconsolidadoago[[#This Row],[DESPESA VARIÁVEL]])</f>
        <v>0</v>
      </c>
      <c r="W69" s="119" t="n">
        <f aca="false">SUMIFS(tabela_registros[VALOR],tabela_registros[MÊS],$AE$1,tabela_registros[DIA],agototal3059718395107119[[#Headers],[19]],tabela_registros[REGISTRO],DADOS!$N$4,tabela_registros[TIPO],DADOS!$P$4,tabela_registros[CATEGORIA],despesavariávelconsolidadoago[[#This Row],[DESPESA VARIÁVEL]])</f>
        <v>0</v>
      </c>
      <c r="X69" s="119" t="n">
        <f aca="false">SUMIFS(tabela_registros[VALOR],tabela_registros[MÊS],$AE$1,tabela_registros[DIA],agototal3059718395107119[[#Headers],[20]],tabela_registros[REGISTRO],DADOS!$N$4,tabela_registros[TIPO],DADOS!$P$4,tabela_registros[CATEGORIA],despesavariávelconsolidadoago[[#This Row],[DESPESA VARIÁVEL]])</f>
        <v>0</v>
      </c>
      <c r="Y69" s="119" t="n">
        <f aca="false">SUMIFS(tabela_registros[VALOR],tabela_registros[MÊS],$AE$1,tabela_registros[DIA],agototal3059718395107119[[#Headers],[21]],tabela_registros[REGISTRO],DADOS!$N$4,tabela_registros[TIPO],DADOS!$P$4,tabela_registros[CATEGORIA],despesavariávelconsolidadoago[[#This Row],[DESPESA VARIÁVEL]])</f>
        <v>0</v>
      </c>
      <c r="Z69" s="119" t="n">
        <f aca="false">SUMIFS(tabela_registros[VALOR],tabela_registros[MÊS],$AE$1,tabela_registros[DIA],agototal3059718395107119[[#Headers],[22]],tabela_registros[REGISTRO],DADOS!$N$4,tabela_registros[TIPO],DADOS!$P$4,tabela_registros[CATEGORIA],despesavariávelconsolidadoago[[#This Row],[DESPESA VARIÁVEL]])</f>
        <v>0</v>
      </c>
      <c r="AA69" s="119" t="n">
        <f aca="false">SUMIFS(tabela_registros[VALOR],tabela_registros[MÊS],$AE$1,tabela_registros[DIA],agototal3059718395107119[[#Headers],[23]],tabela_registros[REGISTRO],DADOS!$N$4,tabela_registros[TIPO],DADOS!$P$4,tabela_registros[CATEGORIA],despesavariávelconsolidadoago[[#This Row],[DESPESA VARIÁVEL]])</f>
        <v>0</v>
      </c>
      <c r="AB69" s="119" t="n">
        <f aca="false">SUMIFS(tabela_registros[VALOR],tabela_registros[MÊS],$AE$1,tabela_registros[DIA],agototal3059718395107119[[#Headers],[24]],tabela_registros[REGISTRO],DADOS!$N$4,tabela_registros[TIPO],DADOS!$P$4,tabela_registros[CATEGORIA],despesavariávelconsolidadoago[[#This Row],[DESPESA VARIÁVEL]])</f>
        <v>0</v>
      </c>
      <c r="AC69" s="119" t="n">
        <f aca="false">SUMIFS(tabela_registros[VALOR],tabela_registros[MÊS],$AE$1,tabela_registros[DIA],agototal3059718395107119[[#Headers],[25]],tabela_registros[REGISTRO],DADOS!$N$4,tabela_registros[TIPO],DADOS!$P$4,tabela_registros[CATEGORIA],despesavariávelconsolidadoago[[#This Row],[DESPESA VARIÁVEL]])</f>
        <v>0</v>
      </c>
      <c r="AD69" s="119" t="n">
        <f aca="false">SUMIFS(tabela_registros[VALOR],tabela_registros[MÊS],$AE$1,tabela_registros[DIA],agototal3059718395107119[[#Headers],[26]],tabela_registros[REGISTRO],DADOS!$N$4,tabela_registros[TIPO],DADOS!$P$4,tabela_registros[CATEGORIA],despesavariávelconsolidadoago[[#This Row],[DESPESA VARIÁVEL]])</f>
        <v>0</v>
      </c>
      <c r="AE69" s="119" t="n">
        <f aca="false">SUMIFS(tabela_registros[VALOR],tabela_registros[MÊS],$AE$1,tabela_registros[DIA],agototal3059718395107119[[#Headers],[27]],tabela_registros[REGISTRO],DADOS!$N$4,tabela_registros[TIPO],DADOS!$P$4,tabela_registros[CATEGORIA],despesavariávelconsolidadoago[[#This Row],[DESPESA VARIÁVEL]])</f>
        <v>0</v>
      </c>
      <c r="AF69" s="119" t="n">
        <f aca="false">SUMIFS(tabela_registros[VALOR],tabela_registros[MÊS],$AE$1,tabela_registros[DIA],agototal3059718395107119[[#Headers],[28]],tabela_registros[REGISTRO],DADOS!$N$4,tabela_registros[TIPO],DADOS!$P$4,tabela_registros[CATEGORIA],despesavariávelconsolidadoago[[#This Row],[DESPESA VARIÁVEL]])</f>
        <v>0</v>
      </c>
      <c r="AG69" s="119" t="n">
        <f aca="false">SUMIFS(tabela_registros[VALOR],tabela_registros[MÊS],$AE$1,tabela_registros[DIA],agototal3059718395107119[[#Headers],[29]],tabela_registros[REGISTRO],DADOS!$N$4,tabela_registros[TIPO],DADOS!$P$4,tabela_registros[CATEGORIA],despesavariávelconsolidadoago[[#This Row],[DESPESA VARIÁVEL]])</f>
        <v>0</v>
      </c>
      <c r="AH69" s="119" t="n">
        <f aca="false">SUMIFS(tabela_registros[VALOR],tabela_registros[MÊS],$AE$1,tabela_registros[DIA],agototal3059718395107119[[#Headers],[30]],tabela_registros[REGISTRO],DADOS!$N$4,tabela_registros[TIPO],DADOS!$P$4,tabela_registros[CATEGORIA],despesavariávelconsolidadoago[[#This Row],[DESPESA VARIÁVEL]])</f>
        <v>0</v>
      </c>
      <c r="AI69" s="217" t="n">
        <f aca="false">SUMIFS(tabela_registros[VALOR],tabela_registros[MÊS],$AE$1,tabela_registros[DIA],agototal3059718395107119[[#Headers],[31]],tabela_registros[REGISTRO],DADOS!$N$4,tabela_registros[TIPO],DADOS!$P$4,tabela_registros[CATEGORIA],despesavariávelconsolidadoago[[#This Row],[DESPESA VARIÁVEL]])</f>
        <v>0</v>
      </c>
      <c r="AJ69" s="149" t="n">
        <f aca="false">SUM(despesavariávelconsolidadoago[[#This Row],[1]:[31]])</f>
        <v>0</v>
      </c>
      <c r="AK69" s="143"/>
    </row>
    <row r="70" customFormat="false" ht="18" hidden="false" customHeight="true" outlineLevel="0" collapsed="false">
      <c r="B70" s="143"/>
      <c r="C70" s="144" t="str">
        <f aca="false">DADOS!$T$13</f>
        <v>🚍 TRANSPORTE</v>
      </c>
      <c r="D70" s="145" t="str">
        <f aca="false">IF(despesavariávelconsolidadoago[[#This Row],[TOTAL]]=0,"",IF(OR(despesavariávelconsolidadoago[[#This Row],[TOTAL]]=LARGE($AJ$60:$AJ$72,1),despesavariávelconsolidadoago[[#This Row],[TOTAL]]=LARGE($AJ$60:$AJ$72,2),despesavariávelconsolidadoago[[#This Row],[TOTAL]]=LARGE($AJ$60:$AJ$72,3),despesavariávelconsolidadoago[[#This Row],[TOTAL]]=LARGE($AJ$60:$AJ$72,4),despesavariávelconsolidadoago[[#This Row],[TOTAL]]=LARGE($AJ$60:$AJ$72,5)),DADOS!$I$8,""))</f>
        <v/>
      </c>
      <c r="E70" s="148" t="n">
        <f aca="false">SUMIFS(tabela_registros[VALOR],tabela_registros[MÊS],$AE$1,tabela_registros[DIA],agototal3059718395107119[[#Headers],[1]],tabela_registros[REGISTRO],DADOS!$N$4,tabela_registros[TIPO],DADOS!$P$4,tabela_registros[CATEGORIA],despesavariávelconsolidadoago[[#This Row],[DESPESA VARIÁVEL]])</f>
        <v>0</v>
      </c>
      <c r="F70" s="119" t="n">
        <f aca="false">SUMIFS(tabela_registros[VALOR],tabela_registros[MÊS],$AE$1,tabela_registros[DIA],agototal3059718395107119[[#Headers],[2]],tabela_registros[REGISTRO],DADOS!$N$4,tabela_registros[TIPO],DADOS!$P$4,tabela_registros[CATEGORIA],despesavariávelconsolidadoago[[#This Row],[DESPESA VARIÁVEL]])</f>
        <v>0</v>
      </c>
      <c r="G70" s="119" t="n">
        <f aca="false">SUMIFS(tabela_registros[VALOR],tabela_registros[MÊS],$AE$1,tabela_registros[DIA],agototal3059718395107119[[#Headers],[3]],tabela_registros[REGISTRO],DADOS!$N$4,tabela_registros[TIPO],DADOS!$P$4,tabela_registros[CATEGORIA],despesavariávelconsolidadoago[[#This Row],[DESPESA VARIÁVEL]])</f>
        <v>0</v>
      </c>
      <c r="H70" s="119" t="n">
        <f aca="false">SUMIFS(tabela_registros[VALOR],tabela_registros[MÊS],$AE$1,tabela_registros[DIA],agototal3059718395107119[[#Headers],[4]],tabela_registros[REGISTRO],DADOS!$N$4,tabela_registros[TIPO],DADOS!$P$4,tabela_registros[CATEGORIA],despesavariávelconsolidadoago[[#This Row],[DESPESA VARIÁVEL]])</f>
        <v>0</v>
      </c>
      <c r="I70" s="119" t="n">
        <f aca="false">SUMIFS(tabela_registros[VALOR],tabela_registros[MÊS],$AE$1,tabela_registros[DIA],agototal3059718395107119[[#Headers],[5]],tabela_registros[REGISTRO],DADOS!$N$4,tabela_registros[TIPO],DADOS!$P$4,tabela_registros[CATEGORIA],despesavariávelconsolidadoago[[#This Row],[DESPESA VARIÁVEL]])</f>
        <v>0</v>
      </c>
      <c r="J70" s="119" t="n">
        <f aca="false">SUMIFS(tabela_registros[VALOR],tabela_registros[MÊS],$AE$1,tabela_registros[DIA],agototal3059718395107119[[#Headers],[6]],tabela_registros[REGISTRO],DADOS!$N$4,tabela_registros[TIPO],DADOS!$P$4,tabela_registros[CATEGORIA],despesavariávelconsolidadoago[[#This Row],[DESPESA VARIÁVEL]])</f>
        <v>0</v>
      </c>
      <c r="K70" s="119" t="n">
        <f aca="false">SUMIFS(tabela_registros[VALOR],tabela_registros[MÊS],$AE$1,tabela_registros[DIA],agototal3059718395107119[[#Headers],[7]],tabela_registros[REGISTRO],DADOS!$N$4,tabela_registros[TIPO],DADOS!$P$4,tabela_registros[CATEGORIA],despesavariávelconsolidadoago[[#This Row],[DESPESA VARIÁVEL]])</f>
        <v>0</v>
      </c>
      <c r="L70" s="119" t="n">
        <f aca="false">SUMIFS(tabela_registros[VALOR],tabela_registros[MÊS],$AE$1,tabela_registros[DIA],agototal3059718395107119[[#Headers],[8]],tabela_registros[REGISTRO],DADOS!$N$4,tabela_registros[TIPO],DADOS!$P$4,tabela_registros[CATEGORIA],despesavariávelconsolidadoago[[#This Row],[DESPESA VARIÁVEL]])</f>
        <v>0</v>
      </c>
      <c r="M70" s="119" t="n">
        <f aca="false">SUMIFS(tabela_registros[VALOR],tabela_registros[MÊS],$AE$1,tabela_registros[DIA],agototal3059718395107119[[#Headers],[9]],tabela_registros[REGISTRO],DADOS!$N$4,tabela_registros[TIPO],DADOS!$P$4,tabela_registros[CATEGORIA],despesavariávelconsolidadoago[[#This Row],[DESPESA VARIÁVEL]])</f>
        <v>0</v>
      </c>
      <c r="N70" s="119" t="n">
        <f aca="false">SUMIFS(tabela_registros[VALOR],tabela_registros[MÊS],$AE$1,tabela_registros[DIA],agototal3059718395107119[[#Headers],[10]],tabela_registros[REGISTRO],DADOS!$N$4,tabela_registros[TIPO],DADOS!$P$4,tabela_registros[CATEGORIA],despesavariávelconsolidadoago[[#This Row],[DESPESA VARIÁVEL]])</f>
        <v>0</v>
      </c>
      <c r="O70" s="119" t="n">
        <f aca="false">SUMIFS(tabela_registros[VALOR],tabela_registros[MÊS],$AE$1,tabela_registros[DIA],agototal3059718395107119[[#Headers],[11]],tabela_registros[REGISTRO],DADOS!$N$4,tabela_registros[TIPO],DADOS!$P$4,tabela_registros[CATEGORIA],despesavariávelconsolidadoago[[#This Row],[DESPESA VARIÁVEL]])</f>
        <v>0</v>
      </c>
      <c r="P70" s="119" t="n">
        <f aca="false">SUMIFS(tabela_registros[VALOR],tabela_registros[MÊS],$AE$1,tabela_registros[DIA],agototal3059718395107119[[#Headers],[12]],tabela_registros[REGISTRO],DADOS!$N$4,tabela_registros[TIPO],DADOS!$P$4,tabela_registros[CATEGORIA],despesavariávelconsolidadoago[[#This Row],[DESPESA VARIÁVEL]])</f>
        <v>0</v>
      </c>
      <c r="Q70" s="119" t="n">
        <f aca="false">SUMIFS(tabela_registros[VALOR],tabela_registros[MÊS],$AE$1,tabela_registros[DIA],agototal3059718395107119[[#Headers],[13]],tabela_registros[REGISTRO],DADOS!$N$4,tabela_registros[TIPO],DADOS!$P$4,tabela_registros[CATEGORIA],despesavariávelconsolidadoago[[#This Row],[DESPESA VARIÁVEL]])</f>
        <v>0</v>
      </c>
      <c r="R70" s="119" t="n">
        <f aca="false">SUMIFS(tabela_registros[VALOR],tabela_registros[MÊS],$AE$1,tabela_registros[DIA],agototal3059718395107119[[#Headers],[14]],tabela_registros[REGISTRO],DADOS!$N$4,tabela_registros[TIPO],DADOS!$P$4,tabela_registros[CATEGORIA],despesavariávelconsolidadoago[[#This Row],[DESPESA VARIÁVEL]])</f>
        <v>0</v>
      </c>
      <c r="S70" s="119" t="n">
        <f aca="false">SUMIFS(tabela_registros[VALOR],tabela_registros[MÊS],$AE$1,tabela_registros[DIA],agototal3059718395107119[[#Headers],[15]],tabela_registros[REGISTRO],DADOS!$N$4,tabela_registros[TIPO],DADOS!$P$4,tabela_registros[CATEGORIA],despesavariávelconsolidadoago[[#This Row],[DESPESA VARIÁVEL]])</f>
        <v>0</v>
      </c>
      <c r="T70" s="119" t="n">
        <f aca="false">SUMIFS(tabela_registros[VALOR],tabela_registros[MÊS],$AE$1,tabela_registros[DIA],agototal3059718395107119[[#Headers],[16]],tabela_registros[REGISTRO],DADOS!$N$4,tabela_registros[TIPO],DADOS!$P$4,tabela_registros[CATEGORIA],despesavariávelconsolidadoago[[#This Row],[DESPESA VARIÁVEL]])</f>
        <v>0</v>
      </c>
      <c r="U70" s="119" t="n">
        <f aca="false">SUMIFS(tabela_registros[VALOR],tabela_registros[MÊS],$AE$1,tabela_registros[DIA],agototal3059718395107119[[#Headers],[17]],tabela_registros[REGISTRO],DADOS!$N$4,tabela_registros[TIPO],DADOS!$P$4,tabela_registros[CATEGORIA],despesavariávelconsolidadoago[[#This Row],[DESPESA VARIÁVEL]])</f>
        <v>0</v>
      </c>
      <c r="V70" s="119" t="n">
        <f aca="false">SUMIFS(tabela_registros[VALOR],tabela_registros[MÊS],$AE$1,tabela_registros[DIA],agototal3059718395107119[[#Headers],[18]],tabela_registros[REGISTRO],DADOS!$N$4,tabela_registros[TIPO],DADOS!$P$4,tabela_registros[CATEGORIA],despesavariávelconsolidadoago[[#This Row],[DESPESA VARIÁVEL]])</f>
        <v>0</v>
      </c>
      <c r="W70" s="119" t="n">
        <f aca="false">SUMIFS(tabela_registros[VALOR],tabela_registros[MÊS],$AE$1,tabela_registros[DIA],agototal3059718395107119[[#Headers],[19]],tabela_registros[REGISTRO],DADOS!$N$4,tabela_registros[TIPO],DADOS!$P$4,tabela_registros[CATEGORIA],despesavariávelconsolidadoago[[#This Row],[DESPESA VARIÁVEL]])</f>
        <v>0</v>
      </c>
      <c r="X70" s="119" t="n">
        <f aca="false">SUMIFS(tabela_registros[VALOR],tabela_registros[MÊS],$AE$1,tabela_registros[DIA],agototal3059718395107119[[#Headers],[20]],tabela_registros[REGISTRO],DADOS!$N$4,tabela_registros[TIPO],DADOS!$P$4,tabela_registros[CATEGORIA],despesavariávelconsolidadoago[[#This Row],[DESPESA VARIÁVEL]])</f>
        <v>0</v>
      </c>
      <c r="Y70" s="119" t="n">
        <f aca="false">SUMIFS(tabela_registros[VALOR],tabela_registros[MÊS],$AE$1,tabela_registros[DIA],agototal3059718395107119[[#Headers],[21]],tabela_registros[REGISTRO],DADOS!$N$4,tabela_registros[TIPO],DADOS!$P$4,tabela_registros[CATEGORIA],despesavariávelconsolidadoago[[#This Row],[DESPESA VARIÁVEL]])</f>
        <v>0</v>
      </c>
      <c r="Z70" s="119" t="n">
        <f aca="false">SUMIFS(tabela_registros[VALOR],tabela_registros[MÊS],$AE$1,tabela_registros[DIA],agototal3059718395107119[[#Headers],[22]],tabela_registros[REGISTRO],DADOS!$N$4,tabela_registros[TIPO],DADOS!$P$4,tabela_registros[CATEGORIA],despesavariávelconsolidadoago[[#This Row],[DESPESA VARIÁVEL]])</f>
        <v>0</v>
      </c>
      <c r="AA70" s="119" t="n">
        <f aca="false">SUMIFS(tabela_registros[VALOR],tabela_registros[MÊS],$AE$1,tabela_registros[DIA],agototal3059718395107119[[#Headers],[23]],tabela_registros[REGISTRO],DADOS!$N$4,tabela_registros[TIPO],DADOS!$P$4,tabela_registros[CATEGORIA],despesavariávelconsolidadoago[[#This Row],[DESPESA VARIÁVEL]])</f>
        <v>0</v>
      </c>
      <c r="AB70" s="119" t="n">
        <f aca="false">SUMIFS(tabela_registros[VALOR],tabela_registros[MÊS],$AE$1,tabela_registros[DIA],agototal3059718395107119[[#Headers],[24]],tabela_registros[REGISTRO],DADOS!$N$4,tabela_registros[TIPO],DADOS!$P$4,tabela_registros[CATEGORIA],despesavariávelconsolidadoago[[#This Row],[DESPESA VARIÁVEL]])</f>
        <v>0</v>
      </c>
      <c r="AC70" s="119" t="n">
        <f aca="false">SUMIFS(tabela_registros[VALOR],tabela_registros[MÊS],$AE$1,tabela_registros[DIA],agototal3059718395107119[[#Headers],[25]],tabela_registros[REGISTRO],DADOS!$N$4,tabela_registros[TIPO],DADOS!$P$4,tabela_registros[CATEGORIA],despesavariávelconsolidadoago[[#This Row],[DESPESA VARIÁVEL]])</f>
        <v>0</v>
      </c>
      <c r="AD70" s="119" t="n">
        <f aca="false">SUMIFS(tabela_registros[VALOR],tabela_registros[MÊS],$AE$1,tabela_registros[DIA],agototal3059718395107119[[#Headers],[26]],tabela_registros[REGISTRO],DADOS!$N$4,tabela_registros[TIPO],DADOS!$P$4,tabela_registros[CATEGORIA],despesavariávelconsolidadoago[[#This Row],[DESPESA VARIÁVEL]])</f>
        <v>0</v>
      </c>
      <c r="AE70" s="119" t="n">
        <f aca="false">SUMIFS(tabela_registros[VALOR],tabela_registros[MÊS],$AE$1,tabela_registros[DIA],agototal3059718395107119[[#Headers],[27]],tabela_registros[REGISTRO],DADOS!$N$4,tabela_registros[TIPO],DADOS!$P$4,tabela_registros[CATEGORIA],despesavariávelconsolidadoago[[#This Row],[DESPESA VARIÁVEL]])</f>
        <v>0</v>
      </c>
      <c r="AF70" s="119" t="n">
        <f aca="false">SUMIFS(tabela_registros[VALOR],tabela_registros[MÊS],$AE$1,tabela_registros[DIA],agototal3059718395107119[[#Headers],[28]],tabela_registros[REGISTRO],DADOS!$N$4,tabela_registros[TIPO],DADOS!$P$4,tabela_registros[CATEGORIA],despesavariávelconsolidadoago[[#This Row],[DESPESA VARIÁVEL]])</f>
        <v>0</v>
      </c>
      <c r="AG70" s="119" t="n">
        <f aca="false">SUMIFS(tabela_registros[VALOR],tabela_registros[MÊS],$AE$1,tabela_registros[DIA],agototal3059718395107119[[#Headers],[29]],tabela_registros[REGISTRO],DADOS!$N$4,tabela_registros[TIPO],DADOS!$P$4,tabela_registros[CATEGORIA],despesavariávelconsolidadoago[[#This Row],[DESPESA VARIÁVEL]])</f>
        <v>0</v>
      </c>
      <c r="AH70" s="119" t="n">
        <f aca="false">SUMIFS(tabela_registros[VALOR],tabela_registros[MÊS],$AE$1,tabela_registros[DIA],agototal3059718395107119[[#Headers],[30]],tabela_registros[REGISTRO],DADOS!$N$4,tabela_registros[TIPO],DADOS!$P$4,tabela_registros[CATEGORIA],despesavariávelconsolidadoago[[#This Row],[DESPESA VARIÁVEL]])</f>
        <v>0</v>
      </c>
      <c r="AI70" s="217" t="n">
        <f aca="false">SUMIFS(tabela_registros[VALOR],tabela_registros[MÊS],$AE$1,tabela_registros[DIA],agototal3059718395107119[[#Headers],[31]],tabela_registros[REGISTRO],DADOS!$N$4,tabela_registros[TIPO],DADOS!$P$4,tabela_registros[CATEGORIA],despesavariávelconsolidadoago[[#This Row],[DESPESA VARIÁVEL]])</f>
        <v>0</v>
      </c>
      <c r="AJ70" s="149" t="n">
        <f aca="false">SUM(despesavariávelconsolidadoago[[#This Row],[1]:[31]])</f>
        <v>0</v>
      </c>
      <c r="AK70" s="143"/>
    </row>
    <row r="71" customFormat="false" ht="18" hidden="false" customHeight="true" outlineLevel="0" collapsed="false">
      <c r="B71" s="143"/>
      <c r="C71" s="144" t="str">
        <f aca="false">DADOS!$T$14</f>
        <v>🛍️ VESTUÁRIO</v>
      </c>
      <c r="D71" s="145" t="str">
        <f aca="false">IF(despesavariávelconsolidadoago[[#This Row],[TOTAL]]=0,"",IF(OR(despesavariávelconsolidadoago[[#This Row],[TOTAL]]=LARGE($AJ$60:$AJ$72,1),despesavariávelconsolidadoago[[#This Row],[TOTAL]]=LARGE($AJ$60:$AJ$72,2),despesavariávelconsolidadoago[[#This Row],[TOTAL]]=LARGE($AJ$60:$AJ$72,3),despesavariávelconsolidadoago[[#This Row],[TOTAL]]=LARGE($AJ$60:$AJ$72,4),despesavariávelconsolidadoago[[#This Row],[TOTAL]]=LARGE($AJ$60:$AJ$72,5)),DADOS!$I$8,""))</f>
        <v/>
      </c>
      <c r="E71" s="148" t="n">
        <f aca="false">SUMIFS(tabela_registros[VALOR],tabela_registros[MÊS],$AE$1,tabela_registros[DIA],agototal3059718395107119[[#Headers],[1]],tabela_registros[REGISTRO],DADOS!$N$4,tabela_registros[TIPO],DADOS!$P$4,tabela_registros[CATEGORIA],despesavariávelconsolidadoago[[#This Row],[DESPESA VARIÁVEL]])</f>
        <v>0</v>
      </c>
      <c r="F71" s="119" t="n">
        <f aca="false">SUMIFS(tabela_registros[VALOR],tabela_registros[MÊS],$AE$1,tabela_registros[DIA],agototal3059718395107119[[#Headers],[2]],tabela_registros[REGISTRO],DADOS!$N$4,tabela_registros[TIPO],DADOS!$P$4,tabela_registros[CATEGORIA],despesavariávelconsolidadoago[[#This Row],[DESPESA VARIÁVEL]])</f>
        <v>0</v>
      </c>
      <c r="G71" s="119" t="n">
        <f aca="false">SUMIFS(tabela_registros[VALOR],tabela_registros[MÊS],$AE$1,tabela_registros[DIA],agototal3059718395107119[[#Headers],[3]],tabela_registros[REGISTRO],DADOS!$N$4,tabela_registros[TIPO],DADOS!$P$4,tabela_registros[CATEGORIA],despesavariávelconsolidadoago[[#This Row],[DESPESA VARIÁVEL]])</f>
        <v>0</v>
      </c>
      <c r="H71" s="119" t="n">
        <f aca="false">SUMIFS(tabela_registros[VALOR],tabela_registros[MÊS],$AE$1,tabela_registros[DIA],agototal3059718395107119[[#Headers],[4]],tabela_registros[REGISTRO],DADOS!$N$4,tabela_registros[TIPO],DADOS!$P$4,tabela_registros[CATEGORIA],despesavariávelconsolidadoago[[#This Row],[DESPESA VARIÁVEL]])</f>
        <v>0</v>
      </c>
      <c r="I71" s="119" t="n">
        <f aca="false">SUMIFS(tabela_registros[VALOR],tabela_registros[MÊS],$AE$1,tabela_registros[DIA],agototal3059718395107119[[#Headers],[5]],tabela_registros[REGISTRO],DADOS!$N$4,tabela_registros[TIPO],DADOS!$P$4,tabela_registros[CATEGORIA],despesavariávelconsolidadoago[[#This Row],[DESPESA VARIÁVEL]])</f>
        <v>0</v>
      </c>
      <c r="J71" s="119" t="n">
        <f aca="false">SUMIFS(tabela_registros[VALOR],tabela_registros[MÊS],$AE$1,tabela_registros[DIA],agototal3059718395107119[[#Headers],[6]],tabela_registros[REGISTRO],DADOS!$N$4,tabela_registros[TIPO],DADOS!$P$4,tabela_registros[CATEGORIA],despesavariávelconsolidadoago[[#This Row],[DESPESA VARIÁVEL]])</f>
        <v>0</v>
      </c>
      <c r="K71" s="119" t="n">
        <f aca="false">SUMIFS(tabela_registros[VALOR],tabela_registros[MÊS],$AE$1,tabela_registros[DIA],agototal3059718395107119[[#Headers],[7]],tabela_registros[REGISTRO],DADOS!$N$4,tabela_registros[TIPO],DADOS!$P$4,tabela_registros[CATEGORIA],despesavariávelconsolidadoago[[#This Row],[DESPESA VARIÁVEL]])</f>
        <v>0</v>
      </c>
      <c r="L71" s="119" t="n">
        <f aca="false">SUMIFS(tabela_registros[VALOR],tabela_registros[MÊS],$AE$1,tabela_registros[DIA],agototal3059718395107119[[#Headers],[8]],tabela_registros[REGISTRO],DADOS!$N$4,tabela_registros[TIPO],DADOS!$P$4,tabela_registros[CATEGORIA],despesavariávelconsolidadoago[[#This Row],[DESPESA VARIÁVEL]])</f>
        <v>0</v>
      </c>
      <c r="M71" s="119" t="n">
        <f aca="false">SUMIFS(tabela_registros[VALOR],tabela_registros[MÊS],$AE$1,tabela_registros[DIA],agototal3059718395107119[[#Headers],[9]],tabela_registros[REGISTRO],DADOS!$N$4,tabela_registros[TIPO],DADOS!$P$4,tabela_registros[CATEGORIA],despesavariávelconsolidadoago[[#This Row],[DESPESA VARIÁVEL]])</f>
        <v>0</v>
      </c>
      <c r="N71" s="119" t="n">
        <f aca="false">SUMIFS(tabela_registros[VALOR],tabela_registros[MÊS],$AE$1,tabela_registros[DIA],agototal3059718395107119[[#Headers],[10]],tabela_registros[REGISTRO],DADOS!$N$4,tabela_registros[TIPO],DADOS!$P$4,tabela_registros[CATEGORIA],despesavariávelconsolidadoago[[#This Row],[DESPESA VARIÁVEL]])</f>
        <v>0</v>
      </c>
      <c r="O71" s="119" t="n">
        <f aca="false">SUMIFS(tabela_registros[VALOR],tabela_registros[MÊS],$AE$1,tabela_registros[DIA],agototal3059718395107119[[#Headers],[11]],tabela_registros[REGISTRO],DADOS!$N$4,tabela_registros[TIPO],DADOS!$P$4,tabela_registros[CATEGORIA],despesavariávelconsolidadoago[[#This Row],[DESPESA VARIÁVEL]])</f>
        <v>0</v>
      </c>
      <c r="P71" s="119" t="n">
        <f aca="false">SUMIFS(tabela_registros[VALOR],tabela_registros[MÊS],$AE$1,tabela_registros[DIA],agototal3059718395107119[[#Headers],[12]],tabela_registros[REGISTRO],DADOS!$N$4,tabela_registros[TIPO],DADOS!$P$4,tabela_registros[CATEGORIA],despesavariávelconsolidadoago[[#This Row],[DESPESA VARIÁVEL]])</f>
        <v>0</v>
      </c>
      <c r="Q71" s="119" t="n">
        <f aca="false">SUMIFS(tabela_registros[VALOR],tabela_registros[MÊS],$AE$1,tabela_registros[DIA],agototal3059718395107119[[#Headers],[13]],tabela_registros[REGISTRO],DADOS!$N$4,tabela_registros[TIPO],DADOS!$P$4,tabela_registros[CATEGORIA],despesavariávelconsolidadoago[[#This Row],[DESPESA VARIÁVEL]])</f>
        <v>0</v>
      </c>
      <c r="R71" s="119" t="n">
        <f aca="false">SUMIFS(tabela_registros[VALOR],tabela_registros[MÊS],$AE$1,tabela_registros[DIA],agototal3059718395107119[[#Headers],[14]],tabela_registros[REGISTRO],DADOS!$N$4,tabela_registros[TIPO],DADOS!$P$4,tabela_registros[CATEGORIA],despesavariávelconsolidadoago[[#This Row],[DESPESA VARIÁVEL]])</f>
        <v>0</v>
      </c>
      <c r="S71" s="119" t="n">
        <f aca="false">SUMIFS(tabela_registros[VALOR],tabela_registros[MÊS],$AE$1,tabela_registros[DIA],agototal3059718395107119[[#Headers],[15]],tabela_registros[REGISTRO],DADOS!$N$4,tabela_registros[TIPO],DADOS!$P$4,tabela_registros[CATEGORIA],despesavariávelconsolidadoago[[#This Row],[DESPESA VARIÁVEL]])</f>
        <v>0</v>
      </c>
      <c r="T71" s="119" t="n">
        <f aca="false">SUMIFS(tabela_registros[VALOR],tabela_registros[MÊS],$AE$1,tabela_registros[DIA],agototal3059718395107119[[#Headers],[16]],tabela_registros[REGISTRO],DADOS!$N$4,tabela_registros[TIPO],DADOS!$P$4,tabela_registros[CATEGORIA],despesavariávelconsolidadoago[[#This Row],[DESPESA VARIÁVEL]])</f>
        <v>0</v>
      </c>
      <c r="U71" s="119" t="n">
        <f aca="false">SUMIFS(tabela_registros[VALOR],tabela_registros[MÊS],$AE$1,tabela_registros[DIA],agototal3059718395107119[[#Headers],[17]],tabela_registros[REGISTRO],DADOS!$N$4,tabela_registros[TIPO],DADOS!$P$4,tabela_registros[CATEGORIA],despesavariávelconsolidadoago[[#This Row],[DESPESA VARIÁVEL]])</f>
        <v>0</v>
      </c>
      <c r="V71" s="119" t="n">
        <f aca="false">SUMIFS(tabela_registros[VALOR],tabela_registros[MÊS],$AE$1,tabela_registros[DIA],agototal3059718395107119[[#Headers],[18]],tabela_registros[REGISTRO],DADOS!$N$4,tabela_registros[TIPO],DADOS!$P$4,tabela_registros[CATEGORIA],despesavariávelconsolidadoago[[#This Row],[DESPESA VARIÁVEL]])</f>
        <v>0</v>
      </c>
      <c r="W71" s="119" t="n">
        <f aca="false">SUMIFS(tabela_registros[VALOR],tabela_registros[MÊS],$AE$1,tabela_registros[DIA],agototal3059718395107119[[#Headers],[19]],tabela_registros[REGISTRO],DADOS!$N$4,tabela_registros[TIPO],DADOS!$P$4,tabela_registros[CATEGORIA],despesavariávelconsolidadoago[[#This Row],[DESPESA VARIÁVEL]])</f>
        <v>0</v>
      </c>
      <c r="X71" s="119" t="n">
        <f aca="false">SUMIFS(tabela_registros[VALOR],tabela_registros[MÊS],$AE$1,tabela_registros[DIA],agototal3059718395107119[[#Headers],[20]],tabela_registros[REGISTRO],DADOS!$N$4,tabela_registros[TIPO],DADOS!$P$4,tabela_registros[CATEGORIA],despesavariávelconsolidadoago[[#This Row],[DESPESA VARIÁVEL]])</f>
        <v>0</v>
      </c>
      <c r="Y71" s="119" t="n">
        <f aca="false">SUMIFS(tabela_registros[VALOR],tabela_registros[MÊS],$AE$1,tabela_registros[DIA],agototal3059718395107119[[#Headers],[21]],tabela_registros[REGISTRO],DADOS!$N$4,tabela_registros[TIPO],DADOS!$P$4,tabela_registros[CATEGORIA],despesavariávelconsolidadoago[[#This Row],[DESPESA VARIÁVEL]])</f>
        <v>0</v>
      </c>
      <c r="Z71" s="119" t="n">
        <f aca="false">SUMIFS(tabela_registros[VALOR],tabela_registros[MÊS],$AE$1,tabela_registros[DIA],agototal3059718395107119[[#Headers],[22]],tabela_registros[REGISTRO],DADOS!$N$4,tabela_registros[TIPO],DADOS!$P$4,tabela_registros[CATEGORIA],despesavariávelconsolidadoago[[#This Row],[DESPESA VARIÁVEL]])</f>
        <v>0</v>
      </c>
      <c r="AA71" s="119" t="n">
        <f aca="false">SUMIFS(tabela_registros[VALOR],tabela_registros[MÊS],$AE$1,tabela_registros[DIA],agototal3059718395107119[[#Headers],[23]],tabela_registros[REGISTRO],DADOS!$N$4,tabela_registros[TIPO],DADOS!$P$4,tabela_registros[CATEGORIA],despesavariávelconsolidadoago[[#This Row],[DESPESA VARIÁVEL]])</f>
        <v>0</v>
      </c>
      <c r="AB71" s="119" t="n">
        <f aca="false">SUMIFS(tabela_registros[VALOR],tabela_registros[MÊS],$AE$1,tabela_registros[DIA],agototal3059718395107119[[#Headers],[24]],tabela_registros[REGISTRO],DADOS!$N$4,tabela_registros[TIPO],DADOS!$P$4,tabela_registros[CATEGORIA],despesavariávelconsolidadoago[[#This Row],[DESPESA VARIÁVEL]])</f>
        <v>0</v>
      </c>
      <c r="AC71" s="119" t="n">
        <f aca="false">SUMIFS(tabela_registros[VALOR],tabela_registros[MÊS],$AE$1,tabela_registros[DIA],agototal3059718395107119[[#Headers],[25]],tabela_registros[REGISTRO],DADOS!$N$4,tabela_registros[TIPO],DADOS!$P$4,tabela_registros[CATEGORIA],despesavariávelconsolidadoago[[#This Row],[DESPESA VARIÁVEL]])</f>
        <v>0</v>
      </c>
      <c r="AD71" s="119" t="n">
        <f aca="false">SUMIFS(tabela_registros[VALOR],tabela_registros[MÊS],$AE$1,tabela_registros[DIA],agototal3059718395107119[[#Headers],[26]],tabela_registros[REGISTRO],DADOS!$N$4,tabela_registros[TIPO],DADOS!$P$4,tabela_registros[CATEGORIA],despesavariávelconsolidadoago[[#This Row],[DESPESA VARIÁVEL]])</f>
        <v>0</v>
      </c>
      <c r="AE71" s="119" t="n">
        <f aca="false">SUMIFS(tabela_registros[VALOR],tabela_registros[MÊS],$AE$1,tabela_registros[DIA],agototal3059718395107119[[#Headers],[27]],tabela_registros[REGISTRO],DADOS!$N$4,tabela_registros[TIPO],DADOS!$P$4,tabela_registros[CATEGORIA],despesavariávelconsolidadoago[[#This Row],[DESPESA VARIÁVEL]])</f>
        <v>0</v>
      </c>
      <c r="AF71" s="119" t="n">
        <f aca="false">SUMIFS(tabela_registros[VALOR],tabela_registros[MÊS],$AE$1,tabela_registros[DIA],agototal3059718395107119[[#Headers],[28]],tabela_registros[REGISTRO],DADOS!$N$4,tabela_registros[TIPO],DADOS!$P$4,tabela_registros[CATEGORIA],despesavariávelconsolidadoago[[#This Row],[DESPESA VARIÁVEL]])</f>
        <v>0</v>
      </c>
      <c r="AG71" s="119" t="n">
        <f aca="false">SUMIFS(tabela_registros[VALOR],tabela_registros[MÊS],$AE$1,tabela_registros[DIA],agototal3059718395107119[[#Headers],[29]],tabela_registros[REGISTRO],DADOS!$N$4,tabela_registros[TIPO],DADOS!$P$4,tabela_registros[CATEGORIA],despesavariávelconsolidadoago[[#This Row],[DESPESA VARIÁVEL]])</f>
        <v>0</v>
      </c>
      <c r="AH71" s="119" t="n">
        <f aca="false">SUMIFS(tabela_registros[VALOR],tabela_registros[MÊS],$AE$1,tabela_registros[DIA],agototal3059718395107119[[#Headers],[30]],tabela_registros[REGISTRO],DADOS!$N$4,tabela_registros[TIPO],DADOS!$P$4,tabela_registros[CATEGORIA],despesavariávelconsolidadoago[[#This Row],[DESPESA VARIÁVEL]])</f>
        <v>0</v>
      </c>
      <c r="AI71" s="217" t="n">
        <f aca="false">SUMIFS(tabela_registros[VALOR],tabela_registros[MÊS],$AE$1,tabela_registros[DIA],agototal3059718395107119[[#Headers],[31]],tabela_registros[REGISTRO],DADOS!$N$4,tabela_registros[TIPO],DADOS!$P$4,tabela_registros[CATEGORIA],despesavariávelconsolidadoago[[#This Row],[DESPESA VARIÁVEL]])</f>
        <v>0</v>
      </c>
      <c r="AJ71" s="149" t="n">
        <f aca="false">SUM(despesavariávelconsolidadoago[[#This Row],[1]:[31]])</f>
        <v>0</v>
      </c>
      <c r="AK71" s="143"/>
    </row>
    <row r="72" customFormat="false" ht="18" hidden="false" customHeight="true" outlineLevel="0" collapsed="false">
      <c r="B72" s="143"/>
      <c r="C72" s="144" t="str">
        <f aca="false">DADOS!$T$15</f>
        <v>📎 OUTROS</v>
      </c>
      <c r="D72" s="145" t="str">
        <f aca="false">IF(despesavariávelconsolidadoago[[#This Row],[TOTAL]]=0,"",IF(OR(despesavariávelconsolidadoago[[#This Row],[TOTAL]]=LARGE($AJ$60:$AJ$72,1),despesavariávelconsolidadoago[[#This Row],[TOTAL]]=LARGE($AJ$60:$AJ$72,2),despesavariávelconsolidadoago[[#This Row],[TOTAL]]=LARGE($AJ$60:$AJ$72,3),despesavariávelconsolidadoago[[#This Row],[TOTAL]]=LARGE($AJ$60:$AJ$72,4),despesavariávelconsolidadoago[[#This Row],[TOTAL]]=LARGE($AJ$60:$AJ$72,5)),DADOS!$I$8,""))</f>
        <v/>
      </c>
      <c r="E72" s="148" t="n">
        <f aca="false">SUMIFS(tabela_registros[VALOR],tabela_registros[MÊS],$AE$1,tabela_registros[DIA],agototal3059718395107119[[#Headers],[1]],tabela_registros[REGISTRO],DADOS!$N$4,tabela_registros[TIPO],DADOS!$P$4,tabela_registros[CATEGORIA],despesavariávelconsolidadoago[[#This Row],[DESPESA VARIÁVEL]])</f>
        <v>0</v>
      </c>
      <c r="F72" s="119" t="n">
        <f aca="false">SUMIFS(tabela_registros[VALOR],tabela_registros[MÊS],$AE$1,tabela_registros[DIA],agototal3059718395107119[[#Headers],[2]],tabela_registros[REGISTRO],DADOS!$N$4,tabela_registros[TIPO],DADOS!$P$4,tabela_registros[CATEGORIA],despesavariávelconsolidadoago[[#This Row],[DESPESA VARIÁVEL]])</f>
        <v>0</v>
      </c>
      <c r="G72" s="119" t="n">
        <f aca="false">SUMIFS(tabela_registros[VALOR],tabela_registros[MÊS],$AE$1,tabela_registros[DIA],agototal3059718395107119[[#Headers],[3]],tabela_registros[REGISTRO],DADOS!$N$4,tabela_registros[TIPO],DADOS!$P$4,tabela_registros[CATEGORIA],despesavariávelconsolidadoago[[#This Row],[DESPESA VARIÁVEL]])</f>
        <v>0</v>
      </c>
      <c r="H72" s="119" t="n">
        <f aca="false">SUMIFS(tabela_registros[VALOR],tabela_registros[MÊS],$AE$1,tabela_registros[DIA],agototal3059718395107119[[#Headers],[4]],tabela_registros[REGISTRO],DADOS!$N$4,tabela_registros[TIPO],DADOS!$P$4,tabela_registros[CATEGORIA],despesavariávelconsolidadoago[[#This Row],[DESPESA VARIÁVEL]])</f>
        <v>0</v>
      </c>
      <c r="I72" s="119" t="n">
        <f aca="false">SUMIFS(tabela_registros[VALOR],tabela_registros[MÊS],$AE$1,tabela_registros[DIA],agototal3059718395107119[[#Headers],[5]],tabela_registros[REGISTRO],DADOS!$N$4,tabela_registros[TIPO],DADOS!$P$4,tabela_registros[CATEGORIA],despesavariávelconsolidadoago[[#This Row],[DESPESA VARIÁVEL]])</f>
        <v>0</v>
      </c>
      <c r="J72" s="119" t="n">
        <f aca="false">SUMIFS(tabela_registros[VALOR],tabela_registros[MÊS],$AE$1,tabela_registros[DIA],agototal3059718395107119[[#Headers],[6]],tabela_registros[REGISTRO],DADOS!$N$4,tabela_registros[TIPO],DADOS!$P$4,tabela_registros[CATEGORIA],despesavariávelconsolidadoago[[#This Row],[DESPESA VARIÁVEL]])</f>
        <v>0</v>
      </c>
      <c r="K72" s="119" t="n">
        <f aca="false">SUMIFS(tabela_registros[VALOR],tabela_registros[MÊS],$AE$1,tabela_registros[DIA],agototal3059718395107119[[#Headers],[7]],tabela_registros[REGISTRO],DADOS!$N$4,tabela_registros[TIPO],DADOS!$P$4,tabela_registros[CATEGORIA],despesavariávelconsolidadoago[[#This Row],[DESPESA VARIÁVEL]])</f>
        <v>0</v>
      </c>
      <c r="L72" s="119" t="n">
        <f aca="false">SUMIFS(tabela_registros[VALOR],tabela_registros[MÊS],$AE$1,tabela_registros[DIA],agototal3059718395107119[[#Headers],[8]],tabela_registros[REGISTRO],DADOS!$N$4,tabela_registros[TIPO],DADOS!$P$4,tabela_registros[CATEGORIA],despesavariávelconsolidadoago[[#This Row],[DESPESA VARIÁVEL]])</f>
        <v>0</v>
      </c>
      <c r="M72" s="119" t="n">
        <f aca="false">SUMIFS(tabela_registros[VALOR],tabela_registros[MÊS],$AE$1,tabela_registros[DIA],agototal3059718395107119[[#Headers],[9]],tabela_registros[REGISTRO],DADOS!$N$4,tabela_registros[TIPO],DADOS!$P$4,tabela_registros[CATEGORIA],despesavariávelconsolidadoago[[#This Row],[DESPESA VARIÁVEL]])</f>
        <v>0</v>
      </c>
      <c r="N72" s="119" t="n">
        <f aca="false">SUMIFS(tabela_registros[VALOR],tabela_registros[MÊS],$AE$1,tabela_registros[DIA],agototal3059718395107119[[#Headers],[10]],tabela_registros[REGISTRO],DADOS!$N$4,tabela_registros[TIPO],DADOS!$P$4,tabela_registros[CATEGORIA],despesavariávelconsolidadoago[[#This Row],[DESPESA VARIÁVEL]])</f>
        <v>0</v>
      </c>
      <c r="O72" s="119" t="n">
        <f aca="false">SUMIFS(tabela_registros[VALOR],tabela_registros[MÊS],$AE$1,tabela_registros[DIA],agototal3059718395107119[[#Headers],[11]],tabela_registros[REGISTRO],DADOS!$N$4,tabela_registros[TIPO],DADOS!$P$4,tabela_registros[CATEGORIA],despesavariávelconsolidadoago[[#This Row],[DESPESA VARIÁVEL]])</f>
        <v>0</v>
      </c>
      <c r="P72" s="119" t="n">
        <f aca="false">SUMIFS(tabela_registros[VALOR],tabela_registros[MÊS],$AE$1,tabela_registros[DIA],agototal3059718395107119[[#Headers],[12]],tabela_registros[REGISTRO],DADOS!$N$4,tabela_registros[TIPO],DADOS!$P$4,tabela_registros[CATEGORIA],despesavariávelconsolidadoago[[#This Row],[DESPESA VARIÁVEL]])</f>
        <v>0</v>
      </c>
      <c r="Q72" s="119" t="n">
        <f aca="false">SUMIFS(tabela_registros[VALOR],tabela_registros[MÊS],$AE$1,tabela_registros[DIA],agototal3059718395107119[[#Headers],[13]],tabela_registros[REGISTRO],DADOS!$N$4,tabela_registros[TIPO],DADOS!$P$4,tabela_registros[CATEGORIA],despesavariávelconsolidadoago[[#This Row],[DESPESA VARIÁVEL]])</f>
        <v>0</v>
      </c>
      <c r="R72" s="119" t="n">
        <f aca="false">SUMIFS(tabela_registros[VALOR],tabela_registros[MÊS],$AE$1,tabela_registros[DIA],agototal3059718395107119[[#Headers],[14]],tabela_registros[REGISTRO],DADOS!$N$4,tabela_registros[TIPO],DADOS!$P$4,tabela_registros[CATEGORIA],despesavariávelconsolidadoago[[#This Row],[DESPESA VARIÁVEL]])</f>
        <v>0</v>
      </c>
      <c r="S72" s="119" t="n">
        <f aca="false">SUMIFS(tabela_registros[VALOR],tabela_registros[MÊS],$AE$1,tabela_registros[DIA],agototal3059718395107119[[#Headers],[15]],tabela_registros[REGISTRO],DADOS!$N$4,tabela_registros[TIPO],DADOS!$P$4,tabela_registros[CATEGORIA],despesavariávelconsolidadoago[[#This Row],[DESPESA VARIÁVEL]])</f>
        <v>0</v>
      </c>
      <c r="T72" s="119" t="n">
        <f aca="false">SUMIFS(tabela_registros[VALOR],tabela_registros[MÊS],$AE$1,tabela_registros[DIA],agototal3059718395107119[[#Headers],[16]],tabela_registros[REGISTRO],DADOS!$N$4,tabela_registros[TIPO],DADOS!$P$4,tabela_registros[CATEGORIA],despesavariávelconsolidadoago[[#This Row],[DESPESA VARIÁVEL]])</f>
        <v>0</v>
      </c>
      <c r="U72" s="119" t="n">
        <f aca="false">SUMIFS(tabela_registros[VALOR],tabela_registros[MÊS],$AE$1,tabela_registros[DIA],agototal3059718395107119[[#Headers],[17]],tabela_registros[REGISTRO],DADOS!$N$4,tabela_registros[TIPO],DADOS!$P$4,tabela_registros[CATEGORIA],despesavariávelconsolidadoago[[#This Row],[DESPESA VARIÁVEL]])</f>
        <v>0</v>
      </c>
      <c r="V72" s="119" t="n">
        <f aca="false">SUMIFS(tabela_registros[VALOR],tabela_registros[MÊS],$AE$1,tabela_registros[DIA],agototal3059718395107119[[#Headers],[18]],tabela_registros[REGISTRO],DADOS!$N$4,tabela_registros[TIPO],DADOS!$P$4,tabela_registros[CATEGORIA],despesavariávelconsolidadoago[[#This Row],[DESPESA VARIÁVEL]])</f>
        <v>0</v>
      </c>
      <c r="W72" s="119" t="n">
        <f aca="false">SUMIFS(tabela_registros[VALOR],tabela_registros[MÊS],$AE$1,tabela_registros[DIA],agototal3059718395107119[[#Headers],[19]],tabela_registros[REGISTRO],DADOS!$N$4,tabela_registros[TIPO],DADOS!$P$4,tabela_registros[CATEGORIA],despesavariávelconsolidadoago[[#This Row],[DESPESA VARIÁVEL]])</f>
        <v>0</v>
      </c>
      <c r="X72" s="119" t="n">
        <f aca="false">SUMIFS(tabela_registros[VALOR],tabela_registros[MÊS],$AE$1,tabela_registros[DIA],agototal3059718395107119[[#Headers],[20]],tabela_registros[REGISTRO],DADOS!$N$4,tabela_registros[TIPO],DADOS!$P$4,tabela_registros[CATEGORIA],despesavariávelconsolidadoago[[#This Row],[DESPESA VARIÁVEL]])</f>
        <v>0</v>
      </c>
      <c r="Y72" s="119" t="n">
        <f aca="false">SUMIFS(tabela_registros[VALOR],tabela_registros[MÊS],$AE$1,tabela_registros[DIA],agototal3059718395107119[[#Headers],[21]],tabela_registros[REGISTRO],DADOS!$N$4,tabela_registros[TIPO],DADOS!$P$4,tabela_registros[CATEGORIA],despesavariávelconsolidadoago[[#This Row],[DESPESA VARIÁVEL]])</f>
        <v>0</v>
      </c>
      <c r="Z72" s="119" t="n">
        <f aca="false">SUMIFS(tabela_registros[VALOR],tabela_registros[MÊS],$AE$1,tabela_registros[DIA],agototal3059718395107119[[#Headers],[22]],tabela_registros[REGISTRO],DADOS!$N$4,tabela_registros[TIPO],DADOS!$P$4,tabela_registros[CATEGORIA],despesavariávelconsolidadoago[[#This Row],[DESPESA VARIÁVEL]])</f>
        <v>0</v>
      </c>
      <c r="AA72" s="119" t="n">
        <f aca="false">SUMIFS(tabela_registros[VALOR],tabela_registros[MÊS],$AE$1,tabela_registros[DIA],agototal3059718395107119[[#Headers],[23]],tabela_registros[REGISTRO],DADOS!$N$4,tabela_registros[TIPO],DADOS!$P$4,tabela_registros[CATEGORIA],despesavariávelconsolidadoago[[#This Row],[DESPESA VARIÁVEL]])</f>
        <v>0</v>
      </c>
      <c r="AB72" s="119" t="n">
        <f aca="false">SUMIFS(tabela_registros[VALOR],tabela_registros[MÊS],$AE$1,tabela_registros[DIA],agototal3059718395107119[[#Headers],[24]],tabela_registros[REGISTRO],DADOS!$N$4,tabela_registros[TIPO],DADOS!$P$4,tabela_registros[CATEGORIA],despesavariávelconsolidadoago[[#This Row],[DESPESA VARIÁVEL]])</f>
        <v>0</v>
      </c>
      <c r="AC72" s="119" t="n">
        <f aca="false">SUMIFS(tabela_registros[VALOR],tabela_registros[MÊS],$AE$1,tabela_registros[DIA],agototal3059718395107119[[#Headers],[25]],tabela_registros[REGISTRO],DADOS!$N$4,tabela_registros[TIPO],DADOS!$P$4,tabela_registros[CATEGORIA],despesavariávelconsolidadoago[[#This Row],[DESPESA VARIÁVEL]])</f>
        <v>0</v>
      </c>
      <c r="AD72" s="119" t="n">
        <f aca="false">SUMIFS(tabela_registros[VALOR],tabela_registros[MÊS],$AE$1,tabela_registros[DIA],agototal3059718395107119[[#Headers],[26]],tabela_registros[REGISTRO],DADOS!$N$4,tabela_registros[TIPO],DADOS!$P$4,tabela_registros[CATEGORIA],despesavariávelconsolidadoago[[#This Row],[DESPESA VARIÁVEL]])</f>
        <v>0</v>
      </c>
      <c r="AE72" s="119" t="n">
        <f aca="false">SUMIFS(tabela_registros[VALOR],tabela_registros[MÊS],$AE$1,tabela_registros[DIA],agototal3059718395107119[[#Headers],[27]],tabela_registros[REGISTRO],DADOS!$N$4,tabela_registros[TIPO],DADOS!$P$4,tabela_registros[CATEGORIA],despesavariávelconsolidadoago[[#This Row],[DESPESA VARIÁVEL]])</f>
        <v>0</v>
      </c>
      <c r="AF72" s="119" t="n">
        <f aca="false">SUMIFS(tabela_registros[VALOR],tabela_registros[MÊS],$AE$1,tabela_registros[DIA],agototal3059718395107119[[#Headers],[28]],tabela_registros[REGISTRO],DADOS!$N$4,tabela_registros[TIPO],DADOS!$P$4,tabela_registros[CATEGORIA],despesavariávelconsolidadoago[[#This Row],[DESPESA VARIÁVEL]])</f>
        <v>0</v>
      </c>
      <c r="AG72" s="119" t="n">
        <f aca="false">SUMIFS(tabela_registros[VALOR],tabela_registros[MÊS],$AE$1,tabela_registros[DIA],agototal3059718395107119[[#Headers],[29]],tabela_registros[REGISTRO],DADOS!$N$4,tabela_registros[TIPO],DADOS!$P$4,tabela_registros[CATEGORIA],despesavariávelconsolidadoago[[#This Row],[DESPESA VARIÁVEL]])</f>
        <v>0</v>
      </c>
      <c r="AH72" s="119" t="n">
        <f aca="false">SUMIFS(tabela_registros[VALOR],tabela_registros[MÊS],$AE$1,tabela_registros[DIA],agototal3059718395107119[[#Headers],[30]],tabela_registros[REGISTRO],DADOS!$N$4,tabela_registros[TIPO],DADOS!$P$4,tabela_registros[CATEGORIA],despesavariávelconsolidadoago[[#This Row],[DESPESA VARIÁVEL]])</f>
        <v>0</v>
      </c>
      <c r="AI72" s="218" t="n">
        <f aca="false">SUMIFS(tabela_registros[VALOR],tabela_registros[MÊS],$AE$1,tabela_registros[DIA],agototal3059718395107119[[#Headers],[31]],tabela_registros[REGISTRO],DADOS!$N$4,tabela_registros[TIPO],DADOS!$P$4,tabela_registros[CATEGORIA],despesavariávelconsolidadoago[[#This Row],[DESPESA VARIÁVEL]])</f>
        <v>0</v>
      </c>
      <c r="AJ72" s="149" t="n">
        <f aca="false">SUM(despesavariávelconsolidadoago[[#This Row],[1]:[31]])</f>
        <v>0</v>
      </c>
      <c r="AK72" s="143"/>
    </row>
    <row r="73" s="122" customFormat="true" ht="21" hidden="false" customHeight="true" outlineLevel="0" collapsed="false">
      <c r="B73" s="152"/>
      <c r="C73" s="153" t="s">
        <v>2</v>
      </c>
      <c r="D73" s="154" t="str">
        <f aca="false">IF(despesavariávelconsolidadoago[[#This Row],[TOTAL]]=0,"",IF(OR(despesavariávelconsolidadoago[[#This Row],[TOTAL]]=SMALL(despesavariávelconsolidadoago[TOTAL],1),despesavariávelconsolidadoago[[#This Row],[TOTAL]]=SMALL(despesavariávelconsolidadoago[TOTAL],2),despesavariávelconsolidadoago[[#This Row],[TOTAL]]=SMALL(despesavariávelconsolidadoago[TOTAL],3),despesavariávelconsolidadoago[[#This Row],[TOTAL]]=SMALL(despesavariávelconsolidadoago[TOTAL],4),despesavariávelconsolidadoago[[#This Row],[TOTAL]]=SMALL(despesavariávelconsolidadoago[TOTAL],5)),DADOS!$I$8,""))</f>
        <v/>
      </c>
      <c r="E73" s="155" t="n">
        <f aca="false">SUM(E60:E72)</f>
        <v>0</v>
      </c>
      <c r="F73" s="156" t="n">
        <f aca="false">SUM(F60:F72)+despesavariávelconsolidadoago[[#This Row],[1]]</f>
        <v>0</v>
      </c>
      <c r="G73" s="156" t="n">
        <f aca="false">SUM(G60:G72)+despesavariávelconsolidadoago[[#This Row],[2]]</f>
        <v>0</v>
      </c>
      <c r="H73" s="156" t="n">
        <f aca="false">SUM(H60:H72)+despesavariávelconsolidadoago[[#This Row],[3]]</f>
        <v>0</v>
      </c>
      <c r="I73" s="156" t="n">
        <f aca="false">SUM(I60:I72)+despesavariávelconsolidadoago[[#This Row],[4]]</f>
        <v>0</v>
      </c>
      <c r="J73" s="156" t="n">
        <f aca="false">SUM(J60:J72)+despesavariávelconsolidadoago[[#This Row],[5]]</f>
        <v>0</v>
      </c>
      <c r="K73" s="156" t="n">
        <f aca="false">SUM(K60:K72)+despesavariávelconsolidadoago[[#This Row],[6]]</f>
        <v>0</v>
      </c>
      <c r="L73" s="156" t="n">
        <f aca="false">SUM(L60:L72)+despesavariávelconsolidadoago[[#This Row],[7]]</f>
        <v>0</v>
      </c>
      <c r="M73" s="156" t="n">
        <f aca="false">SUM(M60:M72)+despesavariávelconsolidadoago[[#This Row],[8]]</f>
        <v>0</v>
      </c>
      <c r="N73" s="156" t="n">
        <f aca="false">SUM(N60:N72)+despesavariávelconsolidadoago[[#This Row],[9]]</f>
        <v>0</v>
      </c>
      <c r="O73" s="156" t="n">
        <f aca="false">SUM(O60:O72)+despesavariávelconsolidadoago[[#This Row],[10]]</f>
        <v>0</v>
      </c>
      <c r="P73" s="156" t="n">
        <f aca="false">SUM(P60:P72)+despesavariávelconsolidadoago[[#This Row],[11]]</f>
        <v>0</v>
      </c>
      <c r="Q73" s="156" t="n">
        <f aca="false">SUM(Q60:Q72)+despesavariávelconsolidadoago[[#This Row],[12]]</f>
        <v>0</v>
      </c>
      <c r="R73" s="156" t="n">
        <f aca="false">SUM(R60:R72)+despesavariávelconsolidadoago[[#This Row],[13]]</f>
        <v>0</v>
      </c>
      <c r="S73" s="156" t="n">
        <f aca="false">SUM(S60:S72)+despesavariávelconsolidadoago[[#This Row],[14]]</f>
        <v>0</v>
      </c>
      <c r="T73" s="156" t="n">
        <f aca="false">SUM(T60:T72)+despesavariávelconsolidadoago[[#This Row],[15]]</f>
        <v>0</v>
      </c>
      <c r="U73" s="156" t="n">
        <f aca="false">SUM(U60:U72)+despesavariávelconsolidadoago[[#This Row],[16]]</f>
        <v>0</v>
      </c>
      <c r="V73" s="156" t="n">
        <f aca="false">SUM(V60:V72)+despesavariávelconsolidadoago[[#This Row],[17]]</f>
        <v>0</v>
      </c>
      <c r="W73" s="156" t="n">
        <f aca="false">SUM(W60:W72)+despesavariávelconsolidadoago[[#This Row],[18]]</f>
        <v>0</v>
      </c>
      <c r="X73" s="156" t="n">
        <f aca="false">SUM(X60:X72)+despesavariávelconsolidadoago[[#This Row],[19]]</f>
        <v>0</v>
      </c>
      <c r="Y73" s="156" t="n">
        <f aca="false">SUM(Y60:Y72)+despesavariávelconsolidadoago[[#This Row],[20]]</f>
        <v>0</v>
      </c>
      <c r="Z73" s="156" t="n">
        <f aca="false">SUM(Z60:Z72)+despesavariávelconsolidadoago[[#This Row],[21]]</f>
        <v>0</v>
      </c>
      <c r="AA73" s="156" t="n">
        <f aca="false">SUM(AA60:AA72)+despesavariávelconsolidadoago[[#This Row],[22]]</f>
        <v>0</v>
      </c>
      <c r="AB73" s="156" t="n">
        <f aca="false">SUM(AB60:AB72)+despesavariávelconsolidadoago[[#This Row],[23]]</f>
        <v>0</v>
      </c>
      <c r="AC73" s="156" t="n">
        <f aca="false">SUM(AC60:AC72)+despesavariávelconsolidadoago[[#This Row],[24]]</f>
        <v>0</v>
      </c>
      <c r="AD73" s="156" t="n">
        <f aca="false">SUM(AD60:AD72)+despesavariávelconsolidadoago[[#This Row],[25]]</f>
        <v>0</v>
      </c>
      <c r="AE73" s="156" t="n">
        <f aca="false">SUM(AE60:AE72)+despesavariávelconsolidadoago[[#This Row],[26]]</f>
        <v>0</v>
      </c>
      <c r="AF73" s="156" t="n">
        <f aca="false">SUM(AF60:AF72)+despesavariávelconsolidadoago[[#This Row],[27]]</f>
        <v>0</v>
      </c>
      <c r="AG73" s="156" t="n">
        <f aca="false">SUM(AG60:AG72)+despesavariávelconsolidadoago[[#This Row],[28]]</f>
        <v>0</v>
      </c>
      <c r="AH73" s="156" t="n">
        <f aca="false">SUM(AH60:AH72)+despesavariávelconsolidadoago[[#This Row],[29]]</f>
        <v>0</v>
      </c>
      <c r="AI73" s="223" t="n">
        <f aca="false">SUM(AI60:AI72)+despesavariávelconsolidadoago[[#This Row],[30]]</f>
        <v>0</v>
      </c>
      <c r="AJ73" s="157" t="n">
        <f aca="false">despesavariávelconsolidadoago[[#This Row],[31]]</f>
        <v>0</v>
      </c>
      <c r="AK73" s="158"/>
    </row>
    <row r="74" customFormat="false" ht="6.75" hidden="false" customHeight="true" outlineLevel="0" collapsed="false">
      <c r="B74" s="97"/>
      <c r="C74" s="159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229"/>
      <c r="AJ74" s="97"/>
      <c r="AK74" s="244"/>
    </row>
    <row r="75" s="78" customFormat="true" ht="12.75" hidden="false" customHeight="false" outlineLevel="0" collapsed="false">
      <c r="E75" s="100"/>
    </row>
    <row r="76" s="78" customFormat="true" ht="12" hidden="false" customHeight="false" outlineLevel="0" collapsed="false"/>
    <row r="77" s="78" customFormat="true" ht="12" hidden="false" customHeight="false" outlineLevel="0" collapsed="false"/>
    <row r="78" customFormat="false" ht="39.75" hidden="false" customHeight="true" outlineLevel="0" collapsed="false">
      <c r="C78" s="101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3" t="s">
        <v>2</v>
      </c>
    </row>
    <row r="79" s="78" customFormat="true" ht="12.75" hidden="false" customHeight="false" outlineLevel="0" collapsed="false">
      <c r="B79" s="161"/>
      <c r="AJ79" s="106" t="s">
        <v>64</v>
      </c>
    </row>
    <row r="80" customFormat="false" ht="6.75" hidden="false" customHeight="true" outlineLevel="0" collapsed="false">
      <c r="B80" s="86"/>
      <c r="C80" s="162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233"/>
      <c r="AK80" s="139"/>
    </row>
    <row r="81" customFormat="false" ht="13.5" hidden="true" customHeight="false" outlineLevel="0" collapsed="false">
      <c r="B81" s="86"/>
      <c r="C81" s="109" t="s">
        <v>68</v>
      </c>
      <c r="D81" s="110" t="s">
        <v>69</v>
      </c>
      <c r="E81" s="110" t="s">
        <v>30</v>
      </c>
      <c r="F81" s="110" t="s">
        <v>31</v>
      </c>
      <c r="G81" s="110" t="s">
        <v>32</v>
      </c>
      <c r="H81" s="110" t="s">
        <v>33</v>
      </c>
      <c r="I81" s="110" t="s">
        <v>34</v>
      </c>
      <c r="J81" s="110" t="s">
        <v>35</v>
      </c>
      <c r="K81" s="110" t="s">
        <v>36</v>
      </c>
      <c r="L81" s="110" t="s">
        <v>37</v>
      </c>
      <c r="M81" s="110" t="s">
        <v>38</v>
      </c>
      <c r="N81" s="110" t="s">
        <v>39</v>
      </c>
      <c r="O81" s="110" t="s">
        <v>40</v>
      </c>
      <c r="P81" s="110" t="s">
        <v>41</v>
      </c>
      <c r="Q81" s="110" t="s">
        <v>81</v>
      </c>
      <c r="R81" s="110" t="s">
        <v>82</v>
      </c>
      <c r="S81" s="110" t="s">
        <v>83</v>
      </c>
      <c r="T81" s="110" t="s">
        <v>84</v>
      </c>
      <c r="U81" s="110" t="s">
        <v>85</v>
      </c>
      <c r="V81" s="110" t="s">
        <v>86</v>
      </c>
      <c r="W81" s="110" t="s">
        <v>87</v>
      </c>
      <c r="X81" s="110" t="s">
        <v>88</v>
      </c>
      <c r="Y81" s="110" t="s">
        <v>89</v>
      </c>
      <c r="Z81" s="110" t="s">
        <v>90</v>
      </c>
      <c r="AA81" s="110" t="s">
        <v>91</v>
      </c>
      <c r="AB81" s="110" t="s">
        <v>92</v>
      </c>
      <c r="AC81" s="110" t="s">
        <v>93</v>
      </c>
      <c r="AD81" s="110" t="s">
        <v>94</v>
      </c>
      <c r="AE81" s="110" t="s">
        <v>95</v>
      </c>
      <c r="AF81" s="110" t="s">
        <v>96</v>
      </c>
      <c r="AG81" s="110" t="s">
        <v>97</v>
      </c>
      <c r="AH81" s="110" t="s">
        <v>98</v>
      </c>
      <c r="AI81" s="110" t="s">
        <v>99</v>
      </c>
      <c r="AJ81" s="111" t="s">
        <v>70</v>
      </c>
      <c r="AK81" s="86"/>
    </row>
    <row r="82" customFormat="false" ht="19.5" hidden="false" customHeight="true" outlineLevel="0" collapsed="false">
      <c r="B82" s="143"/>
      <c r="C82" s="144" t="str">
        <f aca="false">DADOS!$X$3</f>
        <v>💵 ALUGUEL</v>
      </c>
      <c r="D82" s="145" t="str">
        <f aca="false">IF(receitasfixasconsolidadoago[[#This Row],[TOTAL (R$)]]=0,"",IF(OR(receitasfixasconsolidadoago[[#This Row],[TOTAL (R$)]]=LARGE($AJ$82:$AJ$86,1),receitasfixasconsolidadoago[[#This Row],[TOTAL (R$)]]=LARGE($AJ$82:$AJ$86,2)),DADOS!$I$9,""))</f>
        <v/>
      </c>
      <c r="E82" s="146" t="n">
        <f aca="false">SUMIFS(tabela_registros[VALOR],tabela_registros[MÊS],$AE$1,tabela_registros[DIA],receitasfixasconsolidadoago[[#Headers],[1]],tabela_registros[REGISTRO],DADOS!$N$3,tabela_registros[TIPO],DADOS!$V$3,tabela_registros[CATEGORIA],receitasfixasconsolidadoago[[#This Row],[ATUAL]])</f>
        <v>0</v>
      </c>
      <c r="F82" s="114" t="n">
        <f aca="false">SUMIFS(tabela_registros[VALOR],tabela_registros[MÊS],$AE$1,tabela_registros[DIA],receitasfixasconsolidadoago[[#Headers],[2]],tabela_registros[REGISTRO],DADOS!$N$3,tabela_registros[TIPO],DADOS!$V$3,tabela_registros[CATEGORIA],receitasfixasconsolidadoago[[#This Row],[ATUAL]])</f>
        <v>0</v>
      </c>
      <c r="G82" s="114" t="n">
        <f aca="false">SUMIFS(tabela_registros[VALOR],tabela_registros[MÊS],$AE$1,tabela_registros[DIA],receitasfixasconsolidadoago[[#Headers],[3]],tabela_registros[REGISTRO],DADOS!$N$3,tabela_registros[TIPO],DADOS!$V$3,tabela_registros[CATEGORIA],receitasfixasconsolidadoago[[#This Row],[ATUAL]])</f>
        <v>0</v>
      </c>
      <c r="H82" s="114" t="n">
        <f aca="false">SUMIFS(tabela_registros[VALOR],tabela_registros[MÊS],$AE$1,tabela_registros[DIA],receitasfixasconsolidadoago[[#Headers],[4]],tabela_registros[REGISTRO],DADOS!$N$3,tabela_registros[TIPO],DADOS!$V$3,tabela_registros[CATEGORIA],receitasfixasconsolidadoago[[#This Row],[ATUAL]])</f>
        <v>0</v>
      </c>
      <c r="I82" s="114" t="n">
        <f aca="false">SUMIFS(tabela_registros[VALOR],tabela_registros[MÊS],$AE$1,tabela_registros[DIA],receitasfixasconsolidadoago[[#Headers],[5]],tabela_registros[REGISTRO],DADOS!$N$3,tabela_registros[TIPO],DADOS!$V$3,tabela_registros[CATEGORIA],receitasfixasconsolidadoago[[#This Row],[ATUAL]])</f>
        <v>0</v>
      </c>
      <c r="J82" s="114" t="n">
        <f aca="false">SUMIFS(tabela_registros[VALOR],tabela_registros[MÊS],$AE$1,tabela_registros[DIA],receitasfixasconsolidadoago[[#Headers],[6]],tabela_registros[REGISTRO],DADOS!$N$3,tabela_registros[TIPO],DADOS!$V$3,tabela_registros[CATEGORIA],receitasfixasconsolidadoago[[#This Row],[ATUAL]])</f>
        <v>0</v>
      </c>
      <c r="K82" s="114" t="n">
        <f aca="false">SUMIFS(tabela_registros[VALOR],tabela_registros[MÊS],$AE$1,tabela_registros[DIA],receitasfixasconsolidadoago[[#Headers],[7]],tabela_registros[REGISTRO],DADOS!$N$3,tabela_registros[TIPO],DADOS!$V$3,tabela_registros[CATEGORIA],receitasfixasconsolidadoago[[#This Row],[ATUAL]])</f>
        <v>0</v>
      </c>
      <c r="L82" s="114" t="n">
        <f aca="false">SUMIFS(tabela_registros[VALOR],tabela_registros[MÊS],$AE$1,tabela_registros[DIA],receitasfixasconsolidadoago[[#Headers],[8]],tabela_registros[REGISTRO],DADOS!$N$3,tabela_registros[TIPO],DADOS!$V$3,tabela_registros[CATEGORIA],receitasfixasconsolidadoago[[#This Row],[ATUAL]])</f>
        <v>0</v>
      </c>
      <c r="M82" s="114" t="n">
        <f aca="false">SUMIFS(tabela_registros[VALOR],tabela_registros[MÊS],$AE$1,tabela_registros[DIA],receitasfixasconsolidadoago[[#Headers],[9]],tabela_registros[REGISTRO],DADOS!$N$3,tabela_registros[TIPO],DADOS!$V$3,tabela_registros[CATEGORIA],receitasfixasconsolidadoago[[#This Row],[ATUAL]])</f>
        <v>0</v>
      </c>
      <c r="N82" s="114" t="n">
        <f aca="false">SUMIFS(tabela_registros[VALOR],tabela_registros[MÊS],$AE$1,tabela_registros[DIA],receitasfixasconsolidadoago[[#Headers],[10]],tabela_registros[REGISTRO],DADOS!$N$3,tabela_registros[TIPO],DADOS!$V$3,tabela_registros[CATEGORIA],receitasfixasconsolidadoago[[#This Row],[ATUAL]])</f>
        <v>0</v>
      </c>
      <c r="O82" s="114" t="n">
        <f aca="false">SUMIFS(tabela_registros[VALOR],tabela_registros[MÊS],$AE$1,tabela_registros[DIA],receitasfixasconsolidadoago[[#Headers],[11]],tabela_registros[REGISTRO],DADOS!$N$3,tabela_registros[TIPO],DADOS!$V$3,tabela_registros[CATEGORIA],receitasfixasconsolidadoago[[#This Row],[ATUAL]])</f>
        <v>0</v>
      </c>
      <c r="P82" s="114" t="n">
        <f aca="false">SUMIFS(tabela_registros[VALOR],tabela_registros[MÊS],$AE$1,tabela_registros[DIA],receitasfixasconsolidadoago[[#Headers],[12]],tabela_registros[REGISTRO],DADOS!$N$3,tabela_registros[TIPO],DADOS!$V$3,tabela_registros[CATEGORIA],receitasfixasconsolidadoago[[#This Row],[ATUAL]])</f>
        <v>0</v>
      </c>
      <c r="Q82" s="114" t="n">
        <f aca="false">SUMIFS(tabela_registros[VALOR],tabela_registros[MÊS],$AE$1,tabela_registros[DIA],receitasfixasconsolidadoago[[#Headers],[13]],tabela_registros[REGISTRO],DADOS!$N$3,tabela_registros[TIPO],DADOS!$V$3,tabela_registros[CATEGORIA],receitasfixasconsolidadoago[[#This Row],[ATUAL]])</f>
        <v>0</v>
      </c>
      <c r="R82" s="114" t="n">
        <f aca="false">SUMIFS(tabela_registros[VALOR],tabela_registros[MÊS],$AE$1,tabela_registros[DIA],receitasfixasconsolidadoago[[#Headers],[14]],tabela_registros[REGISTRO],DADOS!$N$3,tabela_registros[TIPO],DADOS!$V$3,tabela_registros[CATEGORIA],receitasfixasconsolidadoago[[#This Row],[ATUAL]])</f>
        <v>0</v>
      </c>
      <c r="S82" s="114" t="n">
        <f aca="false">SUMIFS(tabela_registros[VALOR],tabela_registros[MÊS],$AE$1,tabela_registros[DIA],receitasfixasconsolidadoago[[#Headers],[15]],tabela_registros[REGISTRO],DADOS!$N$3,tabela_registros[TIPO],DADOS!$V$3,tabela_registros[CATEGORIA],receitasfixasconsolidadoago[[#This Row],[ATUAL]])</f>
        <v>0</v>
      </c>
      <c r="T82" s="114" t="n">
        <f aca="false">SUMIFS(tabela_registros[VALOR],tabela_registros[MÊS],$AE$1,tabela_registros[DIA],receitasfixasconsolidadoago[[#Headers],[16]],tabela_registros[REGISTRO],DADOS!$N$3,tabela_registros[TIPO],DADOS!$V$3,tabela_registros[CATEGORIA],receitasfixasconsolidadoago[[#This Row],[ATUAL]])</f>
        <v>0</v>
      </c>
      <c r="U82" s="114" t="n">
        <f aca="false">SUMIFS(tabela_registros[VALOR],tabela_registros[MÊS],$AE$1,tabela_registros[DIA],receitasfixasconsolidadoago[[#Headers],[17]],tabela_registros[REGISTRO],DADOS!$N$3,tabela_registros[TIPO],DADOS!$V$3,tabela_registros[CATEGORIA],receitasfixasconsolidadoago[[#This Row],[ATUAL]])</f>
        <v>0</v>
      </c>
      <c r="V82" s="114" t="n">
        <f aca="false">SUMIFS(tabela_registros[VALOR],tabela_registros[MÊS],$AE$1,tabela_registros[DIA],receitasfixasconsolidadoago[[#Headers],[18]],tabela_registros[REGISTRO],DADOS!$N$3,tabela_registros[TIPO],DADOS!$V$3,tabela_registros[CATEGORIA],receitasfixasconsolidadoago[[#This Row],[ATUAL]])</f>
        <v>0</v>
      </c>
      <c r="W82" s="114" t="n">
        <f aca="false">SUMIFS(tabela_registros[VALOR],tabela_registros[MÊS],$AE$1,tabela_registros[DIA],receitasfixasconsolidadoago[[#Headers],[19]],tabela_registros[REGISTRO],DADOS!$N$3,tabela_registros[TIPO],DADOS!$V$3,tabela_registros[CATEGORIA],receitasfixasconsolidadoago[[#This Row],[ATUAL]])</f>
        <v>0</v>
      </c>
      <c r="X82" s="114" t="n">
        <f aca="false">SUMIFS(tabela_registros[VALOR],tabela_registros[MÊS],$AE$1,tabela_registros[DIA],receitasfixasconsolidadoago[[#Headers],[20]],tabela_registros[REGISTRO],DADOS!$N$3,tabela_registros[TIPO],DADOS!$V$3,tabela_registros[CATEGORIA],receitasfixasconsolidadoago[[#This Row],[ATUAL]])</f>
        <v>0</v>
      </c>
      <c r="Y82" s="114" t="n">
        <f aca="false">SUMIFS(tabela_registros[VALOR],tabela_registros[MÊS],$AE$1,tabela_registros[DIA],receitasfixasconsolidadoago[[#Headers],[21]],tabela_registros[REGISTRO],DADOS!$N$3,tabela_registros[TIPO],DADOS!$V$3,tabela_registros[CATEGORIA],receitasfixasconsolidadoago[[#This Row],[ATUAL]])</f>
        <v>0</v>
      </c>
      <c r="Z82" s="114" t="n">
        <f aca="false">SUMIFS(tabela_registros[VALOR],tabela_registros[MÊS],$AE$1,tabela_registros[DIA],receitasfixasconsolidadoago[[#Headers],[22]],tabela_registros[REGISTRO],DADOS!$N$3,tabela_registros[TIPO],DADOS!$V$3,tabela_registros[CATEGORIA],receitasfixasconsolidadoago[[#This Row],[ATUAL]])</f>
        <v>0</v>
      </c>
      <c r="AA82" s="114" t="n">
        <f aca="false">SUMIFS(tabela_registros[VALOR],tabela_registros[MÊS],$AE$1,tabela_registros[DIA],receitasfixasconsolidadoago[[#Headers],[23]],tabela_registros[REGISTRO],DADOS!$N$3,tabela_registros[TIPO],DADOS!$V$3,tabela_registros[CATEGORIA],receitasfixasconsolidadoago[[#This Row],[ATUAL]])</f>
        <v>0</v>
      </c>
      <c r="AB82" s="114" t="n">
        <f aca="false">SUMIFS(tabela_registros[VALOR],tabela_registros[MÊS],$AE$1,tabela_registros[DIA],receitasfixasconsolidadoago[[#Headers],[24]],tabela_registros[REGISTRO],DADOS!$N$3,tabela_registros[TIPO],DADOS!$V$3,tabela_registros[CATEGORIA],receitasfixasconsolidadoago[[#This Row],[ATUAL]])</f>
        <v>0</v>
      </c>
      <c r="AC82" s="114" t="n">
        <f aca="false">SUMIFS(tabela_registros[VALOR],tabela_registros[MÊS],$AE$1,tabela_registros[DIA],receitasfixasconsolidadoago[[#Headers],[25]],tabela_registros[REGISTRO],DADOS!$N$3,tabela_registros[TIPO],DADOS!$V$3,tabela_registros[CATEGORIA],receitasfixasconsolidadoago[[#This Row],[ATUAL]])</f>
        <v>0</v>
      </c>
      <c r="AD82" s="114" t="n">
        <f aca="false">SUMIFS(tabela_registros[VALOR],tabela_registros[MÊS],$AE$1,tabela_registros[DIA],receitasfixasconsolidadoago[[#Headers],[26]],tabela_registros[REGISTRO],DADOS!$N$3,tabela_registros[TIPO],DADOS!$V$3,tabela_registros[CATEGORIA],receitasfixasconsolidadoago[[#This Row],[ATUAL]])</f>
        <v>0</v>
      </c>
      <c r="AE82" s="114" t="n">
        <f aca="false">SUMIFS(tabela_registros[VALOR],tabela_registros[MÊS],$AE$1,tabela_registros[DIA],receitasfixasconsolidadoago[[#Headers],[27]],tabela_registros[REGISTRO],DADOS!$N$3,tabela_registros[TIPO],DADOS!$V$3,tabela_registros[CATEGORIA],receitasfixasconsolidadoago[[#This Row],[ATUAL]])</f>
        <v>0</v>
      </c>
      <c r="AF82" s="114" t="n">
        <f aca="false">SUMIFS(tabela_registros[VALOR],tabela_registros[MÊS],$AE$1,tabela_registros[DIA],receitasfixasconsolidadoago[[#Headers],[28]],tabela_registros[REGISTRO],DADOS!$N$3,tabela_registros[TIPO],DADOS!$V$3,tabela_registros[CATEGORIA],receitasfixasconsolidadoago[[#This Row],[ATUAL]])</f>
        <v>0</v>
      </c>
      <c r="AG82" s="114" t="n">
        <f aca="false">SUMIFS(tabela_registros[VALOR],tabela_registros[MÊS],$AE$1,tabela_registros[DIA],receitasfixasconsolidadoago[[#Headers],[29]],tabela_registros[REGISTRO],DADOS!$N$3,tabela_registros[TIPO],DADOS!$V$3,tabela_registros[CATEGORIA],receitasfixasconsolidadoago[[#This Row],[ATUAL]])</f>
        <v>0</v>
      </c>
      <c r="AH82" s="114" t="n">
        <f aca="false">SUMIFS(tabela_registros[VALOR],tabela_registros[MÊS],$AE$1,tabela_registros[DIA],receitasfixasconsolidadoago[[#Headers],[30]],tabela_registros[REGISTRO],DADOS!$N$3,tabela_registros[TIPO],DADOS!$V$3,tabela_registros[CATEGORIA],receitasfixasconsolidadoago[[#This Row],[ATUAL]])</f>
        <v>0</v>
      </c>
      <c r="AI82" s="216" t="n">
        <f aca="false">SUMIFS(tabela_registros[VALOR],tabela_registros[MÊS],$AE$1,tabela_registros[DIA],receitasfixasconsolidadoago[[#Headers],[31]],tabela_registros[REGISTRO],DADOS!$N$3,tabela_registros[TIPO],DADOS!$V$3,tabela_registros[CATEGORIA],receitasfixasconsolidadoago[[#This Row],[ATUAL]])</f>
        <v>0</v>
      </c>
      <c r="AJ82" s="149" t="n">
        <f aca="false">SUM(receitasfixasconsolidadoago[[#This Row],[1]:[31]])</f>
        <v>0</v>
      </c>
      <c r="AK82" s="165"/>
    </row>
    <row r="83" customFormat="false" ht="19.5" hidden="false" customHeight="true" outlineLevel="0" collapsed="false">
      <c r="B83" s="143"/>
      <c r="C83" s="144" t="str">
        <f aca="false">DADOS!$X$4</f>
        <v>💸APOSENTADORIA</v>
      </c>
      <c r="D83" s="145" t="str">
        <f aca="false">IF(receitasfixasconsolidadoago[[#This Row],[TOTAL (R$)]]=0,"",IF(OR(receitasfixasconsolidadoago[[#This Row],[TOTAL (R$)]]=LARGE($AJ$82:$AJ$86,1),receitasfixasconsolidadoago[[#This Row],[TOTAL (R$)]]=LARGE($AJ$82:$AJ$86,2)),DADOS!$I$9,""))</f>
        <v/>
      </c>
      <c r="E83" s="148" t="n">
        <f aca="false">SUMIFS(tabela_registros[VALOR],tabela_registros[MÊS],$AE$1,tabela_registros[DIA],receitasfixasconsolidadoago[[#Headers],[1]],tabela_registros[REGISTRO],DADOS!$N$3,tabela_registros[TIPO],DADOS!$V$3,tabela_registros[CATEGORIA],receitasfixasconsolidadoago[[#This Row],[ATUAL]])</f>
        <v>0</v>
      </c>
      <c r="F83" s="119" t="n">
        <f aca="false">SUMIFS(tabela_registros[VALOR],tabela_registros[MÊS],$AE$1,tabela_registros[DIA],receitasfixasconsolidadoago[[#Headers],[2]],tabela_registros[REGISTRO],DADOS!$N$3,tabela_registros[TIPO],DADOS!$V$3,tabela_registros[CATEGORIA],receitasfixasconsolidadoago[[#This Row],[ATUAL]])</f>
        <v>0</v>
      </c>
      <c r="G83" s="119" t="n">
        <f aca="false">SUMIFS(tabela_registros[VALOR],tabela_registros[MÊS],$AE$1,tabela_registros[DIA],receitasfixasconsolidadoago[[#Headers],[3]],tabela_registros[REGISTRO],DADOS!$N$3,tabela_registros[TIPO],DADOS!$V$3,tabela_registros[CATEGORIA],receitasfixasconsolidadoago[[#This Row],[ATUAL]])</f>
        <v>0</v>
      </c>
      <c r="H83" s="119" t="n">
        <f aca="false">SUMIFS(tabela_registros[VALOR],tabela_registros[MÊS],$AE$1,tabela_registros[DIA],receitasfixasconsolidadoago[[#Headers],[4]],tabela_registros[REGISTRO],DADOS!$N$3,tabela_registros[TIPO],DADOS!$V$3,tabela_registros[CATEGORIA],receitasfixasconsolidadoago[[#This Row],[ATUAL]])</f>
        <v>0</v>
      </c>
      <c r="I83" s="119" t="n">
        <f aca="false">SUMIFS(tabela_registros[VALOR],tabela_registros[MÊS],$AE$1,tabela_registros[DIA],receitasfixasconsolidadoago[[#Headers],[5]],tabela_registros[REGISTRO],DADOS!$N$3,tabela_registros[TIPO],DADOS!$V$3,tabela_registros[CATEGORIA],receitasfixasconsolidadoago[[#This Row],[ATUAL]])</f>
        <v>0</v>
      </c>
      <c r="J83" s="119" t="n">
        <f aca="false">SUMIFS(tabela_registros[VALOR],tabela_registros[MÊS],$AE$1,tabela_registros[DIA],receitasfixasconsolidadoago[[#Headers],[6]],tabela_registros[REGISTRO],DADOS!$N$3,tabela_registros[TIPO],DADOS!$V$3,tabela_registros[CATEGORIA],receitasfixasconsolidadoago[[#This Row],[ATUAL]])</f>
        <v>0</v>
      </c>
      <c r="K83" s="119" t="n">
        <f aca="false">SUMIFS(tabela_registros[VALOR],tabela_registros[MÊS],$AE$1,tabela_registros[DIA],receitasfixasconsolidadoago[[#Headers],[7]],tabela_registros[REGISTRO],DADOS!$N$3,tabela_registros[TIPO],DADOS!$V$3,tabela_registros[CATEGORIA],receitasfixasconsolidadoago[[#This Row],[ATUAL]])</f>
        <v>0</v>
      </c>
      <c r="L83" s="119" t="n">
        <f aca="false">SUMIFS(tabela_registros[VALOR],tabela_registros[MÊS],$AE$1,tabela_registros[DIA],receitasfixasconsolidadoago[[#Headers],[8]],tabela_registros[REGISTRO],DADOS!$N$3,tabela_registros[TIPO],DADOS!$V$3,tabela_registros[CATEGORIA],receitasfixasconsolidadoago[[#This Row],[ATUAL]])</f>
        <v>0</v>
      </c>
      <c r="M83" s="119" t="n">
        <f aca="false">SUMIFS(tabela_registros[VALOR],tabela_registros[MÊS],$AE$1,tabela_registros[DIA],receitasfixasconsolidadoago[[#Headers],[9]],tabela_registros[REGISTRO],DADOS!$N$3,tabela_registros[TIPO],DADOS!$V$3,tabela_registros[CATEGORIA],receitasfixasconsolidadoago[[#This Row],[ATUAL]])</f>
        <v>0</v>
      </c>
      <c r="N83" s="119" t="n">
        <f aca="false">SUMIFS(tabela_registros[VALOR],tabela_registros[MÊS],$AE$1,tabela_registros[DIA],receitasfixasconsolidadoago[[#Headers],[10]],tabela_registros[REGISTRO],DADOS!$N$3,tabela_registros[TIPO],DADOS!$V$3,tabela_registros[CATEGORIA],receitasfixasconsolidadoago[[#This Row],[ATUAL]])</f>
        <v>0</v>
      </c>
      <c r="O83" s="119" t="n">
        <f aca="false">SUMIFS(tabela_registros[VALOR],tabela_registros[MÊS],$AE$1,tabela_registros[DIA],receitasfixasconsolidadoago[[#Headers],[11]],tabela_registros[REGISTRO],DADOS!$N$3,tabela_registros[TIPO],DADOS!$V$3,tabela_registros[CATEGORIA],receitasfixasconsolidadoago[[#This Row],[ATUAL]])</f>
        <v>0</v>
      </c>
      <c r="P83" s="119" t="n">
        <f aca="false">SUMIFS(tabela_registros[VALOR],tabela_registros[MÊS],$AE$1,tabela_registros[DIA],receitasfixasconsolidadoago[[#Headers],[12]],tabela_registros[REGISTRO],DADOS!$N$3,tabela_registros[TIPO],DADOS!$V$3,tabela_registros[CATEGORIA],receitasfixasconsolidadoago[[#This Row],[ATUAL]])</f>
        <v>0</v>
      </c>
      <c r="Q83" s="119" t="n">
        <f aca="false">SUMIFS(tabela_registros[VALOR],tabela_registros[MÊS],$AE$1,tabela_registros[DIA],receitasfixasconsolidadoago[[#Headers],[13]],tabela_registros[REGISTRO],DADOS!$N$3,tabela_registros[TIPO],DADOS!$V$3,tabela_registros[CATEGORIA],receitasfixasconsolidadoago[[#This Row],[ATUAL]])</f>
        <v>0</v>
      </c>
      <c r="R83" s="119" t="n">
        <f aca="false">SUMIFS(tabela_registros[VALOR],tabela_registros[MÊS],$AE$1,tabela_registros[DIA],receitasfixasconsolidadoago[[#Headers],[14]],tabela_registros[REGISTRO],DADOS!$N$3,tabela_registros[TIPO],DADOS!$V$3,tabela_registros[CATEGORIA],receitasfixasconsolidadoago[[#This Row],[ATUAL]])</f>
        <v>0</v>
      </c>
      <c r="S83" s="119" t="n">
        <f aca="false">SUMIFS(tabela_registros[VALOR],tabela_registros[MÊS],$AE$1,tabela_registros[DIA],receitasfixasconsolidadoago[[#Headers],[15]],tabela_registros[REGISTRO],DADOS!$N$3,tabela_registros[TIPO],DADOS!$V$3,tabela_registros[CATEGORIA],receitasfixasconsolidadoago[[#This Row],[ATUAL]])</f>
        <v>0</v>
      </c>
      <c r="T83" s="119" t="n">
        <f aca="false">SUMIFS(tabela_registros[VALOR],tabela_registros[MÊS],$AE$1,tabela_registros[DIA],receitasfixasconsolidadoago[[#Headers],[16]],tabela_registros[REGISTRO],DADOS!$N$3,tabela_registros[TIPO],DADOS!$V$3,tabela_registros[CATEGORIA],receitasfixasconsolidadoago[[#This Row],[ATUAL]])</f>
        <v>0</v>
      </c>
      <c r="U83" s="119" t="n">
        <f aca="false">SUMIFS(tabela_registros[VALOR],tabela_registros[MÊS],$AE$1,tabela_registros[DIA],receitasfixasconsolidadoago[[#Headers],[17]],tabela_registros[REGISTRO],DADOS!$N$3,tabela_registros[TIPO],DADOS!$V$3,tabela_registros[CATEGORIA],receitasfixasconsolidadoago[[#This Row],[ATUAL]])</f>
        <v>0</v>
      </c>
      <c r="V83" s="119" t="n">
        <f aca="false">SUMIFS(tabela_registros[VALOR],tabela_registros[MÊS],$AE$1,tabela_registros[DIA],receitasfixasconsolidadoago[[#Headers],[18]],tabela_registros[REGISTRO],DADOS!$N$3,tabela_registros[TIPO],DADOS!$V$3,tabela_registros[CATEGORIA],receitasfixasconsolidadoago[[#This Row],[ATUAL]])</f>
        <v>0</v>
      </c>
      <c r="W83" s="119" t="n">
        <f aca="false">SUMIFS(tabela_registros[VALOR],tabela_registros[MÊS],$AE$1,tabela_registros[DIA],receitasfixasconsolidadoago[[#Headers],[19]],tabela_registros[REGISTRO],DADOS!$N$3,tabela_registros[TIPO],DADOS!$V$3,tabela_registros[CATEGORIA],receitasfixasconsolidadoago[[#This Row],[ATUAL]])</f>
        <v>0</v>
      </c>
      <c r="X83" s="119" t="n">
        <f aca="false">SUMIFS(tabela_registros[VALOR],tabela_registros[MÊS],$AE$1,tabela_registros[DIA],receitasfixasconsolidadoago[[#Headers],[20]],tabela_registros[REGISTRO],DADOS!$N$3,tabela_registros[TIPO],DADOS!$V$3,tabela_registros[CATEGORIA],receitasfixasconsolidadoago[[#This Row],[ATUAL]])</f>
        <v>0</v>
      </c>
      <c r="Y83" s="119" t="n">
        <f aca="false">SUMIFS(tabela_registros[VALOR],tabela_registros[MÊS],$AE$1,tabela_registros[DIA],receitasfixasconsolidadoago[[#Headers],[21]],tabela_registros[REGISTRO],DADOS!$N$3,tabela_registros[TIPO],DADOS!$V$3,tabela_registros[CATEGORIA],receitasfixasconsolidadoago[[#This Row],[ATUAL]])</f>
        <v>0</v>
      </c>
      <c r="Z83" s="119" t="n">
        <f aca="false">SUMIFS(tabela_registros[VALOR],tabela_registros[MÊS],$AE$1,tabela_registros[DIA],receitasfixasconsolidadoago[[#Headers],[22]],tabela_registros[REGISTRO],DADOS!$N$3,tabela_registros[TIPO],DADOS!$V$3,tabela_registros[CATEGORIA],receitasfixasconsolidadoago[[#This Row],[ATUAL]])</f>
        <v>0</v>
      </c>
      <c r="AA83" s="119" t="n">
        <f aca="false">SUMIFS(tabela_registros[VALOR],tabela_registros[MÊS],$AE$1,tabela_registros[DIA],receitasfixasconsolidadoago[[#Headers],[23]],tabela_registros[REGISTRO],DADOS!$N$3,tabela_registros[TIPO],DADOS!$V$3,tabela_registros[CATEGORIA],receitasfixasconsolidadoago[[#This Row],[ATUAL]])</f>
        <v>0</v>
      </c>
      <c r="AB83" s="119" t="n">
        <f aca="false">SUMIFS(tabela_registros[VALOR],tabela_registros[MÊS],$AE$1,tabela_registros[DIA],receitasfixasconsolidadoago[[#Headers],[24]],tabela_registros[REGISTRO],DADOS!$N$3,tabela_registros[TIPO],DADOS!$V$3,tabela_registros[CATEGORIA],receitasfixasconsolidadoago[[#This Row],[ATUAL]])</f>
        <v>0</v>
      </c>
      <c r="AC83" s="119" t="n">
        <f aca="false">SUMIFS(tabela_registros[VALOR],tabela_registros[MÊS],$AE$1,tabela_registros[DIA],receitasfixasconsolidadoago[[#Headers],[25]],tabela_registros[REGISTRO],DADOS!$N$3,tabela_registros[TIPO],DADOS!$V$3,tabela_registros[CATEGORIA],receitasfixasconsolidadoago[[#This Row],[ATUAL]])</f>
        <v>0</v>
      </c>
      <c r="AD83" s="119" t="n">
        <f aca="false">SUMIFS(tabela_registros[VALOR],tabela_registros[MÊS],$AE$1,tabela_registros[DIA],receitasfixasconsolidadoago[[#Headers],[26]],tabela_registros[REGISTRO],DADOS!$N$3,tabela_registros[TIPO],DADOS!$V$3,tabela_registros[CATEGORIA],receitasfixasconsolidadoago[[#This Row],[ATUAL]])</f>
        <v>0</v>
      </c>
      <c r="AE83" s="119" t="n">
        <f aca="false">SUMIFS(tabela_registros[VALOR],tabela_registros[MÊS],$AE$1,tabela_registros[DIA],receitasfixasconsolidadoago[[#Headers],[27]],tabela_registros[REGISTRO],DADOS!$N$3,tabela_registros[TIPO],DADOS!$V$3,tabela_registros[CATEGORIA],receitasfixasconsolidadoago[[#This Row],[ATUAL]])</f>
        <v>0</v>
      </c>
      <c r="AF83" s="119" t="n">
        <f aca="false">SUMIFS(tabela_registros[VALOR],tabela_registros[MÊS],$AE$1,tabela_registros[DIA],receitasfixasconsolidadoago[[#Headers],[28]],tabela_registros[REGISTRO],DADOS!$N$3,tabela_registros[TIPO],DADOS!$V$3,tabela_registros[CATEGORIA],receitasfixasconsolidadoago[[#This Row],[ATUAL]])</f>
        <v>0</v>
      </c>
      <c r="AG83" s="119" t="n">
        <f aca="false">SUMIFS(tabela_registros[VALOR],tabela_registros[MÊS],$AE$1,tabela_registros[DIA],receitasfixasconsolidadoago[[#Headers],[29]],tabela_registros[REGISTRO],DADOS!$N$3,tabela_registros[TIPO],DADOS!$V$3,tabela_registros[CATEGORIA],receitasfixasconsolidadoago[[#This Row],[ATUAL]])</f>
        <v>0</v>
      </c>
      <c r="AH83" s="119" t="n">
        <f aca="false">SUMIFS(tabela_registros[VALOR],tabela_registros[MÊS],$AE$1,tabela_registros[DIA],receitasfixasconsolidadoago[[#Headers],[30]],tabela_registros[REGISTRO],DADOS!$N$3,tabela_registros[TIPO],DADOS!$V$3,tabela_registros[CATEGORIA],receitasfixasconsolidadoago[[#This Row],[ATUAL]])</f>
        <v>0</v>
      </c>
      <c r="AI83" s="217" t="n">
        <f aca="false">SUMIFS(tabela_registros[VALOR],tabela_registros[MÊS],$AE$1,tabela_registros[DIA],receitasfixasconsolidadoago[[#Headers],[31]],tabela_registros[REGISTRO],DADOS!$N$3,tabela_registros[TIPO],DADOS!$V$3,tabela_registros[CATEGORIA],receitasfixasconsolidadoago[[#This Row],[ATUAL]])</f>
        <v>0</v>
      </c>
      <c r="AJ83" s="149" t="n">
        <f aca="false">SUM(receitasfixasconsolidadoago[[#This Row],[1]:[31]])</f>
        <v>0</v>
      </c>
      <c r="AK83" s="165"/>
    </row>
    <row r="84" customFormat="false" ht="19.5" hidden="false" customHeight="true" outlineLevel="0" collapsed="false">
      <c r="B84" s="143"/>
      <c r="C84" s="144" t="str">
        <f aca="false">DADOS!$X$5</f>
        <v>🎀 MESADA</v>
      </c>
      <c r="D84" s="145" t="str">
        <f aca="false">IF(receitasfixasconsolidadoago[[#This Row],[TOTAL (R$)]]=0,"",IF(OR(receitasfixasconsolidadoago[[#This Row],[TOTAL (R$)]]=LARGE($AJ$82:$AJ$86,1),receitasfixasconsolidadoago[[#This Row],[TOTAL (R$)]]=LARGE($AJ$82:$AJ$86,2)),DADOS!$I$9,""))</f>
        <v/>
      </c>
      <c r="E84" s="148" t="n">
        <f aca="false">SUMIFS(tabela_registros[VALOR],tabela_registros[MÊS],$AE$1,tabela_registros[DIA],receitasfixasconsolidadoago[[#Headers],[1]],tabela_registros[REGISTRO],DADOS!$N$3,tabela_registros[TIPO],DADOS!$V$3,tabela_registros[CATEGORIA],receitasfixasconsolidadoago[[#This Row],[ATUAL]])</f>
        <v>0</v>
      </c>
      <c r="F84" s="119" t="n">
        <f aca="false">SUMIFS(tabela_registros[VALOR],tabela_registros[MÊS],$AE$1,tabela_registros[DIA],receitasfixasconsolidadoago[[#Headers],[2]],tabela_registros[REGISTRO],DADOS!$N$3,tabela_registros[TIPO],DADOS!$V$3,tabela_registros[CATEGORIA],receitasfixasconsolidadoago[[#This Row],[ATUAL]])</f>
        <v>0</v>
      </c>
      <c r="G84" s="119" t="n">
        <f aca="false">SUMIFS(tabela_registros[VALOR],tabela_registros[MÊS],$AE$1,tabela_registros[DIA],receitasfixasconsolidadoago[[#Headers],[3]],tabela_registros[REGISTRO],DADOS!$N$3,tabela_registros[TIPO],DADOS!$V$3,tabela_registros[CATEGORIA],receitasfixasconsolidadoago[[#This Row],[ATUAL]])</f>
        <v>0</v>
      </c>
      <c r="H84" s="119" t="n">
        <f aca="false">SUMIFS(tabela_registros[VALOR],tabela_registros[MÊS],$AE$1,tabela_registros[DIA],receitasfixasconsolidadoago[[#Headers],[4]],tabela_registros[REGISTRO],DADOS!$N$3,tabela_registros[TIPO],DADOS!$V$3,tabela_registros[CATEGORIA],receitasfixasconsolidadoago[[#This Row],[ATUAL]])</f>
        <v>0</v>
      </c>
      <c r="I84" s="119" t="n">
        <f aca="false">SUMIFS(tabela_registros[VALOR],tabela_registros[MÊS],$AE$1,tabela_registros[DIA],receitasfixasconsolidadoago[[#Headers],[5]],tabela_registros[REGISTRO],DADOS!$N$3,tabela_registros[TIPO],DADOS!$V$3,tabela_registros[CATEGORIA],receitasfixasconsolidadoago[[#This Row],[ATUAL]])</f>
        <v>0</v>
      </c>
      <c r="J84" s="119" t="n">
        <f aca="false">SUMIFS(tabela_registros[VALOR],tabela_registros[MÊS],$AE$1,tabela_registros[DIA],receitasfixasconsolidadoago[[#Headers],[6]],tabela_registros[REGISTRO],DADOS!$N$3,tabela_registros[TIPO],DADOS!$V$3,tabela_registros[CATEGORIA],receitasfixasconsolidadoago[[#This Row],[ATUAL]])</f>
        <v>0</v>
      </c>
      <c r="K84" s="119" t="n">
        <f aca="false">SUMIFS(tabela_registros[VALOR],tabela_registros[MÊS],$AE$1,tabela_registros[DIA],receitasfixasconsolidadoago[[#Headers],[7]],tabela_registros[REGISTRO],DADOS!$N$3,tabela_registros[TIPO],DADOS!$V$3,tabela_registros[CATEGORIA],receitasfixasconsolidadoago[[#This Row],[ATUAL]])</f>
        <v>0</v>
      </c>
      <c r="L84" s="119" t="n">
        <f aca="false">SUMIFS(tabela_registros[VALOR],tabela_registros[MÊS],$AE$1,tabela_registros[DIA],receitasfixasconsolidadoago[[#Headers],[8]],tabela_registros[REGISTRO],DADOS!$N$3,tabela_registros[TIPO],DADOS!$V$3,tabela_registros[CATEGORIA],receitasfixasconsolidadoago[[#This Row],[ATUAL]])</f>
        <v>0</v>
      </c>
      <c r="M84" s="119" t="n">
        <f aca="false">SUMIFS(tabela_registros[VALOR],tabela_registros[MÊS],$AE$1,tabela_registros[DIA],receitasfixasconsolidadoago[[#Headers],[9]],tabela_registros[REGISTRO],DADOS!$N$3,tabela_registros[TIPO],DADOS!$V$3,tabela_registros[CATEGORIA],receitasfixasconsolidadoago[[#This Row],[ATUAL]])</f>
        <v>0</v>
      </c>
      <c r="N84" s="119" t="n">
        <f aca="false">SUMIFS(tabela_registros[VALOR],tabela_registros[MÊS],$AE$1,tabela_registros[DIA],receitasfixasconsolidadoago[[#Headers],[10]],tabela_registros[REGISTRO],DADOS!$N$3,tabela_registros[TIPO],DADOS!$V$3,tabela_registros[CATEGORIA],receitasfixasconsolidadoago[[#This Row],[ATUAL]])</f>
        <v>0</v>
      </c>
      <c r="O84" s="119" t="n">
        <f aca="false">SUMIFS(tabela_registros[VALOR],tabela_registros[MÊS],$AE$1,tabela_registros[DIA],receitasfixasconsolidadoago[[#Headers],[11]],tabela_registros[REGISTRO],DADOS!$N$3,tabela_registros[TIPO],DADOS!$V$3,tabela_registros[CATEGORIA],receitasfixasconsolidadoago[[#This Row],[ATUAL]])</f>
        <v>0</v>
      </c>
      <c r="P84" s="119" t="n">
        <f aca="false">SUMIFS(tabela_registros[VALOR],tabela_registros[MÊS],$AE$1,tabela_registros[DIA],receitasfixasconsolidadoago[[#Headers],[12]],tabela_registros[REGISTRO],DADOS!$N$3,tabela_registros[TIPO],DADOS!$V$3,tabela_registros[CATEGORIA],receitasfixasconsolidadoago[[#This Row],[ATUAL]])</f>
        <v>0</v>
      </c>
      <c r="Q84" s="119" t="n">
        <f aca="false">SUMIFS(tabela_registros[VALOR],tabela_registros[MÊS],$AE$1,tabela_registros[DIA],receitasfixasconsolidadoago[[#Headers],[13]],tabela_registros[REGISTRO],DADOS!$N$3,tabela_registros[TIPO],DADOS!$V$3,tabela_registros[CATEGORIA],receitasfixasconsolidadoago[[#This Row],[ATUAL]])</f>
        <v>0</v>
      </c>
      <c r="R84" s="119" t="n">
        <f aca="false">SUMIFS(tabela_registros[VALOR],tabela_registros[MÊS],$AE$1,tabela_registros[DIA],receitasfixasconsolidadoago[[#Headers],[14]],tabela_registros[REGISTRO],DADOS!$N$3,tabela_registros[TIPO],DADOS!$V$3,tabela_registros[CATEGORIA],receitasfixasconsolidadoago[[#This Row],[ATUAL]])</f>
        <v>0</v>
      </c>
      <c r="S84" s="119" t="n">
        <f aca="false">SUMIFS(tabela_registros[VALOR],tabela_registros[MÊS],$AE$1,tabela_registros[DIA],receitasfixasconsolidadoago[[#Headers],[15]],tabela_registros[REGISTRO],DADOS!$N$3,tabela_registros[TIPO],DADOS!$V$3,tabela_registros[CATEGORIA],receitasfixasconsolidadoago[[#This Row],[ATUAL]])</f>
        <v>0</v>
      </c>
      <c r="T84" s="119" t="n">
        <f aca="false">SUMIFS(tabela_registros[VALOR],tabela_registros[MÊS],$AE$1,tabela_registros[DIA],receitasfixasconsolidadoago[[#Headers],[16]],tabela_registros[REGISTRO],DADOS!$N$3,tabela_registros[TIPO],DADOS!$V$3,tabela_registros[CATEGORIA],receitasfixasconsolidadoago[[#This Row],[ATUAL]])</f>
        <v>0</v>
      </c>
      <c r="U84" s="119" t="n">
        <f aca="false">SUMIFS(tabela_registros[VALOR],tabela_registros[MÊS],$AE$1,tabela_registros[DIA],receitasfixasconsolidadoago[[#Headers],[17]],tabela_registros[REGISTRO],DADOS!$N$3,tabela_registros[TIPO],DADOS!$V$3,tabela_registros[CATEGORIA],receitasfixasconsolidadoago[[#This Row],[ATUAL]])</f>
        <v>0</v>
      </c>
      <c r="V84" s="119" t="n">
        <f aca="false">SUMIFS(tabela_registros[VALOR],tabela_registros[MÊS],$AE$1,tabela_registros[DIA],receitasfixasconsolidadoago[[#Headers],[18]],tabela_registros[REGISTRO],DADOS!$N$3,tabela_registros[TIPO],DADOS!$V$3,tabela_registros[CATEGORIA],receitasfixasconsolidadoago[[#This Row],[ATUAL]])</f>
        <v>0</v>
      </c>
      <c r="W84" s="119" t="n">
        <f aca="false">SUMIFS(tabela_registros[VALOR],tabela_registros[MÊS],$AE$1,tabela_registros[DIA],receitasfixasconsolidadoago[[#Headers],[19]],tabela_registros[REGISTRO],DADOS!$N$3,tabela_registros[TIPO],DADOS!$V$3,tabela_registros[CATEGORIA],receitasfixasconsolidadoago[[#This Row],[ATUAL]])</f>
        <v>0</v>
      </c>
      <c r="X84" s="119" t="n">
        <f aca="false">SUMIFS(tabela_registros[VALOR],tabela_registros[MÊS],$AE$1,tabela_registros[DIA],receitasfixasconsolidadoago[[#Headers],[20]],tabela_registros[REGISTRO],DADOS!$N$3,tabela_registros[TIPO],DADOS!$V$3,tabela_registros[CATEGORIA],receitasfixasconsolidadoago[[#This Row],[ATUAL]])</f>
        <v>0</v>
      </c>
      <c r="Y84" s="119" t="n">
        <f aca="false">SUMIFS(tabela_registros[VALOR],tabela_registros[MÊS],$AE$1,tabela_registros[DIA],receitasfixasconsolidadoago[[#Headers],[21]],tabela_registros[REGISTRO],DADOS!$N$3,tabela_registros[TIPO],DADOS!$V$3,tabela_registros[CATEGORIA],receitasfixasconsolidadoago[[#This Row],[ATUAL]])</f>
        <v>0</v>
      </c>
      <c r="Z84" s="119" t="n">
        <f aca="false">SUMIFS(tabela_registros[VALOR],tabela_registros[MÊS],$AE$1,tabela_registros[DIA],receitasfixasconsolidadoago[[#Headers],[22]],tabela_registros[REGISTRO],DADOS!$N$3,tabela_registros[TIPO],DADOS!$V$3,tabela_registros[CATEGORIA],receitasfixasconsolidadoago[[#This Row],[ATUAL]])</f>
        <v>0</v>
      </c>
      <c r="AA84" s="119" t="n">
        <f aca="false">SUMIFS(tabela_registros[VALOR],tabela_registros[MÊS],$AE$1,tabela_registros[DIA],receitasfixasconsolidadoago[[#Headers],[23]],tabela_registros[REGISTRO],DADOS!$N$3,tabela_registros[TIPO],DADOS!$V$3,tabela_registros[CATEGORIA],receitasfixasconsolidadoago[[#This Row],[ATUAL]])</f>
        <v>0</v>
      </c>
      <c r="AB84" s="119" t="n">
        <f aca="false">SUMIFS(tabela_registros[VALOR],tabela_registros[MÊS],$AE$1,tabela_registros[DIA],receitasfixasconsolidadoago[[#Headers],[24]],tabela_registros[REGISTRO],DADOS!$N$3,tabela_registros[TIPO],DADOS!$V$3,tabela_registros[CATEGORIA],receitasfixasconsolidadoago[[#This Row],[ATUAL]])</f>
        <v>0</v>
      </c>
      <c r="AC84" s="119" t="n">
        <f aca="false">SUMIFS(tabela_registros[VALOR],tabela_registros[MÊS],$AE$1,tabela_registros[DIA],receitasfixasconsolidadoago[[#Headers],[25]],tabela_registros[REGISTRO],DADOS!$N$3,tabela_registros[TIPO],DADOS!$V$3,tabela_registros[CATEGORIA],receitasfixasconsolidadoago[[#This Row],[ATUAL]])</f>
        <v>0</v>
      </c>
      <c r="AD84" s="119" t="n">
        <f aca="false">SUMIFS(tabela_registros[VALOR],tabela_registros[MÊS],$AE$1,tabela_registros[DIA],receitasfixasconsolidadoago[[#Headers],[26]],tabela_registros[REGISTRO],DADOS!$N$3,tabela_registros[TIPO],DADOS!$V$3,tabela_registros[CATEGORIA],receitasfixasconsolidadoago[[#This Row],[ATUAL]])</f>
        <v>0</v>
      </c>
      <c r="AE84" s="119" t="n">
        <f aca="false">SUMIFS(tabela_registros[VALOR],tabela_registros[MÊS],$AE$1,tabela_registros[DIA],receitasfixasconsolidadoago[[#Headers],[27]],tabela_registros[REGISTRO],DADOS!$N$3,tabela_registros[TIPO],DADOS!$V$3,tabela_registros[CATEGORIA],receitasfixasconsolidadoago[[#This Row],[ATUAL]])</f>
        <v>0</v>
      </c>
      <c r="AF84" s="119" t="n">
        <f aca="false">SUMIFS(tabela_registros[VALOR],tabela_registros[MÊS],$AE$1,tabela_registros[DIA],receitasfixasconsolidadoago[[#Headers],[28]],tabela_registros[REGISTRO],DADOS!$N$3,tabela_registros[TIPO],DADOS!$V$3,tabela_registros[CATEGORIA],receitasfixasconsolidadoago[[#This Row],[ATUAL]])</f>
        <v>0</v>
      </c>
      <c r="AG84" s="119" t="n">
        <f aca="false">SUMIFS(tabela_registros[VALOR],tabela_registros[MÊS],$AE$1,tabela_registros[DIA],receitasfixasconsolidadoago[[#Headers],[29]],tabela_registros[REGISTRO],DADOS!$N$3,tabela_registros[TIPO],DADOS!$V$3,tabela_registros[CATEGORIA],receitasfixasconsolidadoago[[#This Row],[ATUAL]])</f>
        <v>0</v>
      </c>
      <c r="AH84" s="119" t="n">
        <f aca="false">SUMIFS(tabela_registros[VALOR],tabela_registros[MÊS],$AE$1,tabela_registros[DIA],receitasfixasconsolidadoago[[#Headers],[30]],tabela_registros[REGISTRO],DADOS!$N$3,tabela_registros[TIPO],DADOS!$V$3,tabela_registros[CATEGORIA],receitasfixasconsolidadoago[[#This Row],[ATUAL]])</f>
        <v>0</v>
      </c>
      <c r="AI84" s="217" t="n">
        <f aca="false">SUMIFS(tabela_registros[VALOR],tabela_registros[MÊS],$AE$1,tabela_registros[DIA],receitasfixasconsolidadoago[[#Headers],[31]],tabela_registros[REGISTRO],DADOS!$N$3,tabela_registros[TIPO],DADOS!$V$3,tabela_registros[CATEGORIA],receitasfixasconsolidadoago[[#This Row],[ATUAL]])</f>
        <v>0</v>
      </c>
      <c r="AJ84" s="149" t="n">
        <f aca="false">SUM(receitasfixasconsolidadoago[[#This Row],[1]:[31]])</f>
        <v>0</v>
      </c>
      <c r="AK84" s="165"/>
    </row>
    <row r="85" customFormat="false" ht="19.5" hidden="false" customHeight="true" outlineLevel="0" collapsed="false">
      <c r="B85" s="143"/>
      <c r="C85" s="144" t="str">
        <f aca="false">DADOS!$X$6</f>
        <v>💰 SALÁRIO</v>
      </c>
      <c r="D85" s="145" t="str">
        <f aca="false">IF(receitasfixasconsolidadoago[[#This Row],[TOTAL (R$)]]=0,"",IF(OR(receitasfixasconsolidadoago[[#This Row],[TOTAL (R$)]]=LARGE($AJ$82:$AJ$86,1),receitasfixasconsolidadoago[[#This Row],[TOTAL (R$)]]=LARGE($AJ$82:$AJ$86,2)),DADOS!$I$9,""))</f>
        <v/>
      </c>
      <c r="E85" s="148" t="n">
        <f aca="false">SUMIFS(tabela_registros[VALOR],tabela_registros[MÊS],$AE$1,tabela_registros[DIA],receitasfixasconsolidadoago[[#Headers],[1]],tabela_registros[REGISTRO],DADOS!$N$3,tabela_registros[TIPO],DADOS!$V$3,tabela_registros[CATEGORIA],receitasfixasconsolidadoago[[#This Row],[ATUAL]])</f>
        <v>0</v>
      </c>
      <c r="F85" s="119" t="n">
        <f aca="false">SUMIFS(tabela_registros[VALOR],tabela_registros[MÊS],$AE$1,tabela_registros[DIA],receitasfixasconsolidadoago[[#Headers],[2]],tabela_registros[REGISTRO],DADOS!$N$3,tabela_registros[TIPO],DADOS!$V$3,tabela_registros[CATEGORIA],receitasfixasconsolidadoago[[#This Row],[ATUAL]])</f>
        <v>0</v>
      </c>
      <c r="G85" s="119" t="n">
        <f aca="false">SUMIFS(tabela_registros[VALOR],tabela_registros[MÊS],$AE$1,tabela_registros[DIA],receitasfixasconsolidadoago[[#Headers],[3]],tabela_registros[REGISTRO],DADOS!$N$3,tabela_registros[TIPO],DADOS!$V$3,tabela_registros[CATEGORIA],receitasfixasconsolidadoago[[#This Row],[ATUAL]])</f>
        <v>0</v>
      </c>
      <c r="H85" s="119" t="n">
        <f aca="false">SUMIFS(tabela_registros[VALOR],tabela_registros[MÊS],$AE$1,tabela_registros[DIA],receitasfixasconsolidadoago[[#Headers],[4]],tabela_registros[REGISTRO],DADOS!$N$3,tabela_registros[TIPO],DADOS!$V$3,tabela_registros[CATEGORIA],receitasfixasconsolidadoago[[#This Row],[ATUAL]])</f>
        <v>0</v>
      </c>
      <c r="I85" s="119" t="n">
        <f aca="false">SUMIFS(tabela_registros[VALOR],tabela_registros[MÊS],$AE$1,tabela_registros[DIA],receitasfixasconsolidadoago[[#Headers],[5]],tabela_registros[REGISTRO],DADOS!$N$3,tabela_registros[TIPO],DADOS!$V$3,tabela_registros[CATEGORIA],receitasfixasconsolidadoago[[#This Row],[ATUAL]])</f>
        <v>0</v>
      </c>
      <c r="J85" s="119" t="n">
        <f aca="false">SUMIFS(tabela_registros[VALOR],tabela_registros[MÊS],$AE$1,tabela_registros[DIA],receitasfixasconsolidadoago[[#Headers],[6]],tabela_registros[REGISTRO],DADOS!$N$3,tabela_registros[TIPO],DADOS!$V$3,tabela_registros[CATEGORIA],receitasfixasconsolidadoago[[#This Row],[ATUAL]])</f>
        <v>0</v>
      </c>
      <c r="K85" s="119" t="n">
        <f aca="false">SUMIFS(tabela_registros[VALOR],tabela_registros[MÊS],$AE$1,tabela_registros[DIA],receitasfixasconsolidadoago[[#Headers],[7]],tabela_registros[REGISTRO],DADOS!$N$3,tabela_registros[TIPO],DADOS!$V$3,tabela_registros[CATEGORIA],receitasfixasconsolidadoago[[#This Row],[ATUAL]])</f>
        <v>0</v>
      </c>
      <c r="L85" s="119" t="n">
        <f aca="false">SUMIFS(tabela_registros[VALOR],tabela_registros[MÊS],$AE$1,tabela_registros[DIA],receitasfixasconsolidadoago[[#Headers],[8]],tabela_registros[REGISTRO],DADOS!$N$3,tabela_registros[TIPO],DADOS!$V$3,tabela_registros[CATEGORIA],receitasfixasconsolidadoago[[#This Row],[ATUAL]])</f>
        <v>0</v>
      </c>
      <c r="M85" s="119" t="n">
        <f aca="false">SUMIFS(tabela_registros[VALOR],tabela_registros[MÊS],$AE$1,tabela_registros[DIA],receitasfixasconsolidadoago[[#Headers],[9]],tabela_registros[REGISTRO],DADOS!$N$3,tabela_registros[TIPO],DADOS!$V$3,tabela_registros[CATEGORIA],receitasfixasconsolidadoago[[#This Row],[ATUAL]])</f>
        <v>0</v>
      </c>
      <c r="N85" s="119" t="n">
        <f aca="false">SUMIFS(tabela_registros[VALOR],tabela_registros[MÊS],$AE$1,tabela_registros[DIA],receitasfixasconsolidadoago[[#Headers],[10]],tabela_registros[REGISTRO],DADOS!$N$3,tabela_registros[TIPO],DADOS!$V$3,tabela_registros[CATEGORIA],receitasfixasconsolidadoago[[#This Row],[ATUAL]])</f>
        <v>0</v>
      </c>
      <c r="O85" s="119" t="n">
        <f aca="false">SUMIFS(tabela_registros[VALOR],tabela_registros[MÊS],$AE$1,tabela_registros[DIA],receitasfixasconsolidadoago[[#Headers],[11]],tabela_registros[REGISTRO],DADOS!$N$3,tabela_registros[TIPO],DADOS!$V$3,tabela_registros[CATEGORIA],receitasfixasconsolidadoago[[#This Row],[ATUAL]])</f>
        <v>0</v>
      </c>
      <c r="P85" s="119" t="n">
        <f aca="false">SUMIFS(tabela_registros[VALOR],tabela_registros[MÊS],$AE$1,tabela_registros[DIA],receitasfixasconsolidadoago[[#Headers],[12]],tabela_registros[REGISTRO],DADOS!$N$3,tabela_registros[TIPO],DADOS!$V$3,tabela_registros[CATEGORIA],receitasfixasconsolidadoago[[#This Row],[ATUAL]])</f>
        <v>0</v>
      </c>
      <c r="Q85" s="119" t="n">
        <f aca="false">SUMIFS(tabela_registros[VALOR],tabela_registros[MÊS],$AE$1,tabela_registros[DIA],receitasfixasconsolidadoago[[#Headers],[13]],tabela_registros[REGISTRO],DADOS!$N$3,tabela_registros[TIPO],DADOS!$V$3,tabela_registros[CATEGORIA],receitasfixasconsolidadoago[[#This Row],[ATUAL]])</f>
        <v>0</v>
      </c>
      <c r="R85" s="119" t="n">
        <f aca="false">SUMIFS(tabela_registros[VALOR],tabela_registros[MÊS],$AE$1,tabela_registros[DIA],receitasfixasconsolidadoago[[#Headers],[14]],tabela_registros[REGISTRO],DADOS!$N$3,tabela_registros[TIPO],DADOS!$V$3,tabela_registros[CATEGORIA],receitasfixasconsolidadoago[[#This Row],[ATUAL]])</f>
        <v>0</v>
      </c>
      <c r="S85" s="119" t="n">
        <f aca="false">SUMIFS(tabela_registros[VALOR],tabela_registros[MÊS],$AE$1,tabela_registros[DIA],receitasfixasconsolidadoago[[#Headers],[15]],tabela_registros[REGISTRO],DADOS!$N$3,tabela_registros[TIPO],DADOS!$V$3,tabela_registros[CATEGORIA],receitasfixasconsolidadoago[[#This Row],[ATUAL]])</f>
        <v>0</v>
      </c>
      <c r="T85" s="119" t="n">
        <f aca="false">SUMIFS(tabela_registros[VALOR],tabela_registros[MÊS],$AE$1,tabela_registros[DIA],receitasfixasconsolidadoago[[#Headers],[16]],tabela_registros[REGISTRO],DADOS!$N$3,tabela_registros[TIPO],DADOS!$V$3,tabela_registros[CATEGORIA],receitasfixasconsolidadoago[[#This Row],[ATUAL]])</f>
        <v>0</v>
      </c>
      <c r="U85" s="119" t="n">
        <f aca="false">SUMIFS(tabela_registros[VALOR],tabela_registros[MÊS],$AE$1,tabela_registros[DIA],receitasfixasconsolidadoago[[#Headers],[17]],tabela_registros[REGISTRO],DADOS!$N$3,tabela_registros[TIPO],DADOS!$V$3,tabela_registros[CATEGORIA],receitasfixasconsolidadoago[[#This Row],[ATUAL]])</f>
        <v>0</v>
      </c>
      <c r="V85" s="119" t="n">
        <f aca="false">SUMIFS(tabela_registros[VALOR],tabela_registros[MÊS],$AE$1,tabela_registros[DIA],receitasfixasconsolidadoago[[#Headers],[18]],tabela_registros[REGISTRO],DADOS!$N$3,tabela_registros[TIPO],DADOS!$V$3,tabela_registros[CATEGORIA],receitasfixasconsolidadoago[[#This Row],[ATUAL]])</f>
        <v>0</v>
      </c>
      <c r="W85" s="119" t="n">
        <f aca="false">SUMIFS(tabela_registros[VALOR],tabela_registros[MÊS],$AE$1,tabela_registros[DIA],receitasfixasconsolidadoago[[#Headers],[19]],tabela_registros[REGISTRO],DADOS!$N$3,tabela_registros[TIPO],DADOS!$V$3,tabela_registros[CATEGORIA],receitasfixasconsolidadoago[[#This Row],[ATUAL]])</f>
        <v>0</v>
      </c>
      <c r="X85" s="119" t="n">
        <f aca="false">SUMIFS(tabela_registros[VALOR],tabela_registros[MÊS],$AE$1,tabela_registros[DIA],receitasfixasconsolidadoago[[#Headers],[20]],tabela_registros[REGISTRO],DADOS!$N$3,tabela_registros[TIPO],DADOS!$V$3,tabela_registros[CATEGORIA],receitasfixasconsolidadoago[[#This Row],[ATUAL]])</f>
        <v>0</v>
      </c>
      <c r="Y85" s="119" t="n">
        <f aca="false">SUMIFS(tabela_registros[VALOR],tabela_registros[MÊS],$AE$1,tabela_registros[DIA],receitasfixasconsolidadoago[[#Headers],[21]],tabela_registros[REGISTRO],DADOS!$N$3,tabela_registros[TIPO],DADOS!$V$3,tabela_registros[CATEGORIA],receitasfixasconsolidadoago[[#This Row],[ATUAL]])</f>
        <v>0</v>
      </c>
      <c r="Z85" s="119" t="n">
        <f aca="false">SUMIFS(tabela_registros[VALOR],tabela_registros[MÊS],$AE$1,tabela_registros[DIA],receitasfixasconsolidadoago[[#Headers],[22]],tabela_registros[REGISTRO],DADOS!$N$3,tabela_registros[TIPO],DADOS!$V$3,tabela_registros[CATEGORIA],receitasfixasconsolidadoago[[#This Row],[ATUAL]])</f>
        <v>0</v>
      </c>
      <c r="AA85" s="119" t="n">
        <f aca="false">SUMIFS(tabela_registros[VALOR],tabela_registros[MÊS],$AE$1,tabela_registros[DIA],receitasfixasconsolidadoago[[#Headers],[23]],tabela_registros[REGISTRO],DADOS!$N$3,tabela_registros[TIPO],DADOS!$V$3,tabela_registros[CATEGORIA],receitasfixasconsolidadoago[[#This Row],[ATUAL]])</f>
        <v>0</v>
      </c>
      <c r="AB85" s="119" t="n">
        <f aca="false">SUMIFS(tabela_registros[VALOR],tabela_registros[MÊS],$AE$1,tabela_registros[DIA],receitasfixasconsolidadoago[[#Headers],[24]],tabela_registros[REGISTRO],DADOS!$N$3,tabela_registros[TIPO],DADOS!$V$3,tabela_registros[CATEGORIA],receitasfixasconsolidadoago[[#This Row],[ATUAL]])</f>
        <v>0</v>
      </c>
      <c r="AC85" s="119" t="n">
        <f aca="false">SUMIFS(tabela_registros[VALOR],tabela_registros[MÊS],$AE$1,tabela_registros[DIA],receitasfixasconsolidadoago[[#Headers],[25]],tabela_registros[REGISTRO],DADOS!$N$3,tabela_registros[TIPO],DADOS!$V$3,tabela_registros[CATEGORIA],receitasfixasconsolidadoago[[#This Row],[ATUAL]])</f>
        <v>0</v>
      </c>
      <c r="AD85" s="119" t="n">
        <f aca="false">SUMIFS(tabela_registros[VALOR],tabela_registros[MÊS],$AE$1,tabela_registros[DIA],receitasfixasconsolidadoago[[#Headers],[26]],tabela_registros[REGISTRO],DADOS!$N$3,tabela_registros[TIPO],DADOS!$V$3,tabela_registros[CATEGORIA],receitasfixasconsolidadoago[[#This Row],[ATUAL]])</f>
        <v>0</v>
      </c>
      <c r="AE85" s="119" t="n">
        <f aca="false">SUMIFS(tabela_registros[VALOR],tabela_registros[MÊS],$AE$1,tabela_registros[DIA],receitasfixasconsolidadoago[[#Headers],[27]],tabela_registros[REGISTRO],DADOS!$N$3,tabela_registros[TIPO],DADOS!$V$3,tabela_registros[CATEGORIA],receitasfixasconsolidadoago[[#This Row],[ATUAL]])</f>
        <v>0</v>
      </c>
      <c r="AF85" s="119" t="n">
        <f aca="false">SUMIFS(tabela_registros[VALOR],tabela_registros[MÊS],$AE$1,tabela_registros[DIA],receitasfixasconsolidadoago[[#Headers],[28]],tabela_registros[REGISTRO],DADOS!$N$3,tabela_registros[TIPO],DADOS!$V$3,tabela_registros[CATEGORIA],receitasfixasconsolidadoago[[#This Row],[ATUAL]])</f>
        <v>0</v>
      </c>
      <c r="AG85" s="119" t="n">
        <f aca="false">SUMIFS(tabela_registros[VALOR],tabela_registros[MÊS],$AE$1,tabela_registros[DIA],receitasfixasconsolidadoago[[#Headers],[29]],tabela_registros[REGISTRO],DADOS!$N$3,tabela_registros[TIPO],DADOS!$V$3,tabela_registros[CATEGORIA],receitasfixasconsolidadoago[[#This Row],[ATUAL]])</f>
        <v>0</v>
      </c>
      <c r="AH85" s="119" t="n">
        <f aca="false">SUMIFS(tabela_registros[VALOR],tabela_registros[MÊS],$AE$1,tabela_registros[DIA],receitasfixasconsolidadoago[[#Headers],[30]],tabela_registros[REGISTRO],DADOS!$N$3,tabela_registros[TIPO],DADOS!$V$3,tabela_registros[CATEGORIA],receitasfixasconsolidadoago[[#This Row],[ATUAL]])</f>
        <v>0</v>
      </c>
      <c r="AI85" s="217" t="n">
        <f aca="false">SUMIFS(tabela_registros[VALOR],tabela_registros[MÊS],$AE$1,tabela_registros[DIA],receitasfixasconsolidadoago[[#Headers],[31]],tabela_registros[REGISTRO],DADOS!$N$3,tabela_registros[TIPO],DADOS!$V$3,tabela_registros[CATEGORIA],receitasfixasconsolidadoago[[#This Row],[ATUAL]])</f>
        <v>0</v>
      </c>
      <c r="AJ85" s="149" t="n">
        <f aca="false">SUM(receitasfixasconsolidadoago[[#This Row],[1]:[31]])</f>
        <v>0</v>
      </c>
      <c r="AK85" s="165"/>
    </row>
    <row r="86" customFormat="false" ht="18" hidden="false" customHeight="true" outlineLevel="0" collapsed="false">
      <c r="B86" s="143"/>
      <c r="C86" s="144" t="str">
        <f aca="false">DADOS!$X$7</f>
        <v>📎 OUTROS</v>
      </c>
      <c r="D86" s="145" t="str">
        <f aca="false">IF(receitasfixasconsolidadoago[[#This Row],[TOTAL (R$)]]=0,"",IF(OR(receitasfixasconsolidadoago[[#This Row],[TOTAL (R$)]]=LARGE($AJ$82:$AJ$86,1),receitasfixasconsolidadoago[[#This Row],[TOTAL (R$)]]=LARGE($AJ$82:$AJ$86,2)),DADOS!$I$9,""))</f>
        <v/>
      </c>
      <c r="E86" s="148" t="n">
        <f aca="false">SUMIFS(tabela_registros[VALOR],tabela_registros[MÊS],$AE$1,tabela_registros[DIA],receitasfixasconsolidadoago[[#Headers],[1]],tabela_registros[REGISTRO],DADOS!$N$3,tabela_registros[TIPO],DADOS!$V$3,tabela_registros[CATEGORIA],receitasfixasconsolidadoago[[#This Row],[ATUAL]])</f>
        <v>0</v>
      </c>
      <c r="F86" s="119" t="n">
        <f aca="false">SUMIFS(tabela_registros[VALOR],tabela_registros[MÊS],$AE$1,tabela_registros[DIA],receitasfixasconsolidadoago[[#Headers],[2]],tabela_registros[REGISTRO],DADOS!$N$3,tabela_registros[TIPO],DADOS!$V$3,tabela_registros[CATEGORIA],receitasfixasconsolidadoago[[#This Row],[ATUAL]])</f>
        <v>0</v>
      </c>
      <c r="G86" s="119" t="n">
        <f aca="false">SUMIFS(tabela_registros[VALOR],tabela_registros[MÊS],$AE$1,tabela_registros[DIA],receitasfixasconsolidadoago[[#Headers],[3]],tabela_registros[REGISTRO],DADOS!$N$3,tabela_registros[TIPO],DADOS!$V$3,tabela_registros[CATEGORIA],receitasfixasconsolidadoago[[#This Row],[ATUAL]])</f>
        <v>0</v>
      </c>
      <c r="H86" s="119" t="n">
        <f aca="false">SUMIFS(tabela_registros[VALOR],tabela_registros[MÊS],$AE$1,tabela_registros[DIA],receitasfixasconsolidadoago[[#Headers],[4]],tabela_registros[REGISTRO],DADOS!$N$3,tabela_registros[TIPO],DADOS!$V$3,tabela_registros[CATEGORIA],receitasfixasconsolidadoago[[#This Row],[ATUAL]])</f>
        <v>0</v>
      </c>
      <c r="I86" s="119" t="n">
        <f aca="false">SUMIFS(tabela_registros[VALOR],tabela_registros[MÊS],$AE$1,tabela_registros[DIA],receitasfixasconsolidadoago[[#Headers],[5]],tabela_registros[REGISTRO],DADOS!$N$3,tabela_registros[TIPO],DADOS!$V$3,tabela_registros[CATEGORIA],receitasfixasconsolidadoago[[#This Row],[ATUAL]])</f>
        <v>0</v>
      </c>
      <c r="J86" s="119" t="n">
        <f aca="false">SUMIFS(tabela_registros[VALOR],tabela_registros[MÊS],$AE$1,tabela_registros[DIA],receitasfixasconsolidadoago[[#Headers],[6]],tabela_registros[REGISTRO],DADOS!$N$3,tabela_registros[TIPO],DADOS!$V$3,tabela_registros[CATEGORIA],receitasfixasconsolidadoago[[#This Row],[ATUAL]])</f>
        <v>0</v>
      </c>
      <c r="K86" s="119" t="n">
        <f aca="false">SUMIFS(tabela_registros[VALOR],tabela_registros[MÊS],$AE$1,tabela_registros[DIA],receitasfixasconsolidadoago[[#Headers],[7]],tabela_registros[REGISTRO],DADOS!$N$3,tabela_registros[TIPO],DADOS!$V$3,tabela_registros[CATEGORIA],receitasfixasconsolidadoago[[#This Row],[ATUAL]])</f>
        <v>0</v>
      </c>
      <c r="L86" s="119" t="n">
        <f aca="false">SUMIFS(tabela_registros[VALOR],tabela_registros[MÊS],$AE$1,tabela_registros[DIA],receitasfixasconsolidadoago[[#Headers],[8]],tabela_registros[REGISTRO],DADOS!$N$3,tabela_registros[TIPO],DADOS!$V$3,tabela_registros[CATEGORIA],receitasfixasconsolidadoago[[#This Row],[ATUAL]])</f>
        <v>0</v>
      </c>
      <c r="M86" s="119" t="n">
        <f aca="false">SUMIFS(tabela_registros[VALOR],tabela_registros[MÊS],$AE$1,tabela_registros[DIA],receitasfixasconsolidadoago[[#Headers],[9]],tabela_registros[REGISTRO],DADOS!$N$3,tabela_registros[TIPO],DADOS!$V$3,tabela_registros[CATEGORIA],receitasfixasconsolidadoago[[#This Row],[ATUAL]])</f>
        <v>0</v>
      </c>
      <c r="N86" s="119" t="n">
        <f aca="false">SUMIFS(tabela_registros[VALOR],tabela_registros[MÊS],$AE$1,tabela_registros[DIA],receitasfixasconsolidadoago[[#Headers],[10]],tabela_registros[REGISTRO],DADOS!$N$3,tabela_registros[TIPO],DADOS!$V$3,tabela_registros[CATEGORIA],receitasfixasconsolidadoago[[#This Row],[ATUAL]])</f>
        <v>0</v>
      </c>
      <c r="O86" s="119" t="n">
        <f aca="false">SUMIFS(tabela_registros[VALOR],tabela_registros[MÊS],$AE$1,tabela_registros[DIA],receitasfixasconsolidadoago[[#Headers],[11]],tabela_registros[REGISTRO],DADOS!$N$3,tabela_registros[TIPO],DADOS!$V$3,tabela_registros[CATEGORIA],receitasfixasconsolidadoago[[#This Row],[ATUAL]])</f>
        <v>0</v>
      </c>
      <c r="P86" s="119" t="n">
        <f aca="false">SUMIFS(tabela_registros[VALOR],tabela_registros[MÊS],$AE$1,tabela_registros[DIA],receitasfixasconsolidadoago[[#Headers],[12]],tabela_registros[REGISTRO],DADOS!$N$3,tabela_registros[TIPO],DADOS!$V$3,tabela_registros[CATEGORIA],receitasfixasconsolidadoago[[#This Row],[ATUAL]])</f>
        <v>0</v>
      </c>
      <c r="Q86" s="119" t="n">
        <f aca="false">SUMIFS(tabela_registros[VALOR],tabela_registros[MÊS],$AE$1,tabela_registros[DIA],receitasfixasconsolidadoago[[#Headers],[13]],tabela_registros[REGISTRO],DADOS!$N$3,tabela_registros[TIPO],DADOS!$V$3,tabela_registros[CATEGORIA],receitasfixasconsolidadoago[[#This Row],[ATUAL]])</f>
        <v>0</v>
      </c>
      <c r="R86" s="119" t="n">
        <f aca="false">SUMIFS(tabela_registros[VALOR],tabela_registros[MÊS],$AE$1,tabela_registros[DIA],receitasfixasconsolidadoago[[#Headers],[14]],tabela_registros[REGISTRO],DADOS!$N$3,tabela_registros[TIPO],DADOS!$V$3,tabela_registros[CATEGORIA],receitasfixasconsolidadoago[[#This Row],[ATUAL]])</f>
        <v>0</v>
      </c>
      <c r="S86" s="119" t="n">
        <f aca="false">SUMIFS(tabela_registros[VALOR],tabela_registros[MÊS],$AE$1,tabela_registros[DIA],receitasfixasconsolidadoago[[#Headers],[15]],tabela_registros[REGISTRO],DADOS!$N$3,tabela_registros[TIPO],DADOS!$V$3,tabela_registros[CATEGORIA],receitasfixasconsolidadoago[[#This Row],[ATUAL]])</f>
        <v>0</v>
      </c>
      <c r="T86" s="119" t="n">
        <f aca="false">SUMIFS(tabela_registros[VALOR],tabela_registros[MÊS],$AE$1,tabela_registros[DIA],receitasfixasconsolidadoago[[#Headers],[16]],tabela_registros[REGISTRO],DADOS!$N$3,tabela_registros[TIPO],DADOS!$V$3,tabela_registros[CATEGORIA],receitasfixasconsolidadoago[[#This Row],[ATUAL]])</f>
        <v>0</v>
      </c>
      <c r="U86" s="119" t="n">
        <f aca="false">SUMIFS(tabela_registros[VALOR],tabela_registros[MÊS],$AE$1,tabela_registros[DIA],receitasfixasconsolidadoago[[#Headers],[17]],tabela_registros[REGISTRO],DADOS!$N$3,tabela_registros[TIPO],DADOS!$V$3,tabela_registros[CATEGORIA],receitasfixasconsolidadoago[[#This Row],[ATUAL]])</f>
        <v>0</v>
      </c>
      <c r="V86" s="119" t="n">
        <f aca="false">SUMIFS(tabela_registros[VALOR],tabela_registros[MÊS],$AE$1,tabela_registros[DIA],receitasfixasconsolidadoago[[#Headers],[18]],tabela_registros[REGISTRO],DADOS!$N$3,tabela_registros[TIPO],DADOS!$V$3,tabela_registros[CATEGORIA],receitasfixasconsolidadoago[[#This Row],[ATUAL]])</f>
        <v>0</v>
      </c>
      <c r="W86" s="119" t="n">
        <f aca="false">SUMIFS(tabela_registros[VALOR],tabela_registros[MÊS],$AE$1,tabela_registros[DIA],receitasfixasconsolidadoago[[#Headers],[19]],tabela_registros[REGISTRO],DADOS!$N$3,tabela_registros[TIPO],DADOS!$V$3,tabela_registros[CATEGORIA],receitasfixasconsolidadoago[[#This Row],[ATUAL]])</f>
        <v>0</v>
      </c>
      <c r="X86" s="119" t="n">
        <f aca="false">SUMIFS(tabela_registros[VALOR],tabela_registros[MÊS],$AE$1,tabela_registros[DIA],receitasfixasconsolidadoago[[#Headers],[20]],tabela_registros[REGISTRO],DADOS!$N$3,tabela_registros[TIPO],DADOS!$V$3,tabela_registros[CATEGORIA],receitasfixasconsolidadoago[[#This Row],[ATUAL]])</f>
        <v>0</v>
      </c>
      <c r="Y86" s="119" t="n">
        <f aca="false">SUMIFS(tabela_registros[VALOR],tabela_registros[MÊS],$AE$1,tabela_registros[DIA],receitasfixasconsolidadoago[[#Headers],[21]],tabela_registros[REGISTRO],DADOS!$N$3,tabela_registros[TIPO],DADOS!$V$3,tabela_registros[CATEGORIA],receitasfixasconsolidadoago[[#This Row],[ATUAL]])</f>
        <v>0</v>
      </c>
      <c r="Z86" s="119" t="n">
        <f aca="false">SUMIFS(tabela_registros[VALOR],tabela_registros[MÊS],$AE$1,tabela_registros[DIA],receitasfixasconsolidadoago[[#Headers],[22]],tabela_registros[REGISTRO],DADOS!$N$3,tabela_registros[TIPO],DADOS!$V$3,tabela_registros[CATEGORIA],receitasfixasconsolidadoago[[#This Row],[ATUAL]])</f>
        <v>0</v>
      </c>
      <c r="AA86" s="119" t="n">
        <f aca="false">SUMIFS(tabela_registros[VALOR],tabela_registros[MÊS],$AE$1,tabela_registros[DIA],receitasfixasconsolidadoago[[#Headers],[23]],tabela_registros[REGISTRO],DADOS!$N$3,tabela_registros[TIPO],DADOS!$V$3,tabela_registros[CATEGORIA],receitasfixasconsolidadoago[[#This Row],[ATUAL]])</f>
        <v>0</v>
      </c>
      <c r="AB86" s="119" t="n">
        <f aca="false">SUMIFS(tabela_registros[VALOR],tabela_registros[MÊS],$AE$1,tabela_registros[DIA],receitasfixasconsolidadoago[[#Headers],[24]],tabela_registros[REGISTRO],DADOS!$N$3,tabela_registros[TIPO],DADOS!$V$3,tabela_registros[CATEGORIA],receitasfixasconsolidadoago[[#This Row],[ATUAL]])</f>
        <v>0</v>
      </c>
      <c r="AC86" s="119" t="n">
        <f aca="false">SUMIFS(tabela_registros[VALOR],tabela_registros[MÊS],$AE$1,tabela_registros[DIA],receitasfixasconsolidadoago[[#Headers],[25]],tabela_registros[REGISTRO],DADOS!$N$3,tabela_registros[TIPO],DADOS!$V$3,tabela_registros[CATEGORIA],receitasfixasconsolidadoago[[#This Row],[ATUAL]])</f>
        <v>0</v>
      </c>
      <c r="AD86" s="119" t="n">
        <f aca="false">SUMIFS(tabela_registros[VALOR],tabela_registros[MÊS],$AE$1,tabela_registros[DIA],receitasfixasconsolidadoago[[#Headers],[26]],tabela_registros[REGISTRO],DADOS!$N$3,tabela_registros[TIPO],DADOS!$V$3,tabela_registros[CATEGORIA],receitasfixasconsolidadoago[[#This Row],[ATUAL]])</f>
        <v>0</v>
      </c>
      <c r="AE86" s="119" t="n">
        <f aca="false">SUMIFS(tabela_registros[VALOR],tabela_registros[MÊS],$AE$1,tabela_registros[DIA],receitasfixasconsolidadoago[[#Headers],[27]],tabela_registros[REGISTRO],DADOS!$N$3,tabela_registros[TIPO],DADOS!$V$3,tabela_registros[CATEGORIA],receitasfixasconsolidadoago[[#This Row],[ATUAL]])</f>
        <v>0</v>
      </c>
      <c r="AF86" s="119" t="n">
        <f aca="false">SUMIFS(tabela_registros[VALOR],tabela_registros[MÊS],$AE$1,tabela_registros[DIA],receitasfixasconsolidadoago[[#Headers],[28]],tabela_registros[REGISTRO],DADOS!$N$3,tabela_registros[TIPO],DADOS!$V$3,tabela_registros[CATEGORIA],receitasfixasconsolidadoago[[#This Row],[ATUAL]])</f>
        <v>0</v>
      </c>
      <c r="AG86" s="119" t="n">
        <f aca="false">SUMIFS(tabela_registros[VALOR],tabela_registros[MÊS],$AE$1,tabela_registros[DIA],receitasfixasconsolidadoago[[#Headers],[29]],tabela_registros[REGISTRO],DADOS!$N$3,tabela_registros[TIPO],DADOS!$V$3,tabela_registros[CATEGORIA],receitasfixasconsolidadoago[[#This Row],[ATUAL]])</f>
        <v>0</v>
      </c>
      <c r="AH86" s="119" t="n">
        <f aca="false">SUMIFS(tabela_registros[VALOR],tabela_registros[MÊS],$AE$1,tabela_registros[DIA],receitasfixasconsolidadoago[[#Headers],[30]],tabela_registros[REGISTRO],DADOS!$N$3,tabela_registros[TIPO],DADOS!$V$3,tabela_registros[CATEGORIA],receitasfixasconsolidadoago[[#This Row],[ATUAL]])</f>
        <v>0</v>
      </c>
      <c r="AI86" s="218" t="n">
        <f aca="false">SUMIFS(tabela_registros[VALOR],tabela_registros[MÊS],$AE$1,tabela_registros[DIA],receitasfixasconsolidadoago[[#Headers],[31]],tabela_registros[REGISTRO],DADOS!$N$3,tabela_registros[TIPO],DADOS!$V$3,tabela_registros[CATEGORIA],receitasfixasconsolidadoago[[#This Row],[ATUAL]])</f>
        <v>0</v>
      </c>
      <c r="AJ86" s="149" t="n">
        <f aca="false">SUM(receitasfixasconsolidadoago[[#This Row],[1]:[31]])</f>
        <v>0</v>
      </c>
      <c r="AK86" s="165"/>
    </row>
    <row r="87" s="122" customFormat="true" ht="21" hidden="false" customHeight="true" outlineLevel="0" collapsed="false">
      <c r="B87" s="152"/>
      <c r="C87" s="153" t="s">
        <v>2</v>
      </c>
      <c r="D87" s="166"/>
      <c r="E87" s="155" t="n">
        <f aca="false">SUM(E82:E86)</f>
        <v>0</v>
      </c>
      <c r="F87" s="156" t="n">
        <f aca="false">SUM(F82:F86)+receitasfixasconsolidadoago[[#This Row],[1]]</f>
        <v>0</v>
      </c>
      <c r="G87" s="156" t="n">
        <f aca="false">SUM(G82:G86)+receitasfixasconsolidadoago[[#This Row],[2]]</f>
        <v>0</v>
      </c>
      <c r="H87" s="156" t="n">
        <f aca="false">SUM(H82:H86)+receitasfixasconsolidadoago[[#This Row],[3]]</f>
        <v>0</v>
      </c>
      <c r="I87" s="156" t="n">
        <f aca="false">SUM(I82:I86)+receitasfixasconsolidadoago[[#This Row],[4]]</f>
        <v>0</v>
      </c>
      <c r="J87" s="156" t="n">
        <f aca="false">SUM(J82:J86)+receitasfixasconsolidadoago[[#This Row],[5]]</f>
        <v>0</v>
      </c>
      <c r="K87" s="156" t="n">
        <f aca="false">SUM(K82:K86)+receitasfixasconsolidadoago[[#This Row],[6]]</f>
        <v>0</v>
      </c>
      <c r="L87" s="156" t="n">
        <f aca="false">SUM(L82:L86)+receitasfixasconsolidadoago[[#This Row],[7]]</f>
        <v>0</v>
      </c>
      <c r="M87" s="156" t="n">
        <f aca="false">SUM(M82:M86)+receitasfixasconsolidadoago[[#This Row],[8]]</f>
        <v>0</v>
      </c>
      <c r="N87" s="156" t="n">
        <f aca="false">SUM(N82:N86)+receitasfixasconsolidadoago[[#This Row],[9]]</f>
        <v>0</v>
      </c>
      <c r="O87" s="156" t="n">
        <f aca="false">SUM(O82:O86)+receitasfixasconsolidadoago[[#This Row],[10]]</f>
        <v>0</v>
      </c>
      <c r="P87" s="156" t="n">
        <f aca="false">SUM(P82:P86)+receitasfixasconsolidadoago[[#This Row],[11]]</f>
        <v>0</v>
      </c>
      <c r="Q87" s="156" t="n">
        <f aca="false">SUM(Q82:Q86)+receitasfixasconsolidadoago[[#This Row],[12]]</f>
        <v>0</v>
      </c>
      <c r="R87" s="156" t="n">
        <f aca="false">SUM(R82:R86)+receitasfixasconsolidadoago[[#This Row],[13]]</f>
        <v>0</v>
      </c>
      <c r="S87" s="156" t="n">
        <f aca="false">SUM(S82:S86)+receitasfixasconsolidadoago[[#This Row],[14]]</f>
        <v>0</v>
      </c>
      <c r="T87" s="156" t="n">
        <f aca="false">SUM(T82:T86)+receitasfixasconsolidadoago[[#This Row],[15]]</f>
        <v>0</v>
      </c>
      <c r="U87" s="156" t="n">
        <f aca="false">SUM(U82:U86)+receitasfixasconsolidadoago[[#This Row],[16]]</f>
        <v>0</v>
      </c>
      <c r="V87" s="156" t="n">
        <f aca="false">SUM(V82:V86)+receitasfixasconsolidadoago[[#This Row],[17]]</f>
        <v>0</v>
      </c>
      <c r="W87" s="156" t="n">
        <f aca="false">SUM(W82:W86)+receitasfixasconsolidadoago[[#This Row],[18]]</f>
        <v>0</v>
      </c>
      <c r="X87" s="156" t="n">
        <f aca="false">SUM(X82:X86)+receitasfixasconsolidadoago[[#This Row],[19]]</f>
        <v>0</v>
      </c>
      <c r="Y87" s="156" t="n">
        <f aca="false">SUM(Y82:Y86)+receitasfixasconsolidadoago[[#This Row],[20]]</f>
        <v>0</v>
      </c>
      <c r="Z87" s="156" t="n">
        <f aca="false">SUM(Z82:Z86)+receitasfixasconsolidadoago[[#This Row],[21]]</f>
        <v>0</v>
      </c>
      <c r="AA87" s="156" t="n">
        <f aca="false">SUM(AA82:AA86)+receitasfixasconsolidadoago[[#This Row],[22]]</f>
        <v>0</v>
      </c>
      <c r="AB87" s="156" t="n">
        <f aca="false">SUM(AB82:AB86)+receitasfixasconsolidadoago[[#This Row],[23]]</f>
        <v>0</v>
      </c>
      <c r="AC87" s="156" t="n">
        <f aca="false">SUM(AC82:AC86)+receitasfixasconsolidadoago[[#This Row],[24]]</f>
        <v>0</v>
      </c>
      <c r="AD87" s="156" t="n">
        <f aca="false">SUM(AD82:AD86)+receitasfixasconsolidadoago[[#This Row],[25]]</f>
        <v>0</v>
      </c>
      <c r="AE87" s="156" t="n">
        <f aca="false">SUM(AE82:AE86)+receitasfixasconsolidadoago[[#This Row],[26]]</f>
        <v>0</v>
      </c>
      <c r="AF87" s="156" t="n">
        <f aca="false">SUM(AF82:AF86)+receitasfixasconsolidadoago[[#This Row],[27]]</f>
        <v>0</v>
      </c>
      <c r="AG87" s="156" t="n">
        <f aca="false">SUM(AG82:AG86)+receitasfixasconsolidadoago[[#This Row],[28]]</f>
        <v>0</v>
      </c>
      <c r="AH87" s="156" t="n">
        <f aca="false">SUM(AH82:AH86)+receitasfixasconsolidadoago[[#This Row],[29]]</f>
        <v>0</v>
      </c>
      <c r="AI87" s="223" t="n">
        <f aca="false">SUM(AI82:AI86)+receitasfixasconsolidadoago[[#This Row],[30]]</f>
        <v>0</v>
      </c>
      <c r="AJ87" s="157" t="n">
        <f aca="false">receitasfixasconsolidadoago[[#This Row],[31]]</f>
        <v>0</v>
      </c>
      <c r="AK87" s="158"/>
    </row>
    <row r="88" customFormat="false" ht="6.75" hidden="false" customHeight="true" outlineLevel="0" collapsed="false">
      <c r="B88" s="97"/>
      <c r="C88" s="162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233"/>
      <c r="AJ88" s="164"/>
      <c r="AK88" s="244"/>
    </row>
    <row r="89" s="78" customFormat="true" ht="12.75" hidden="false" customHeight="false" outlineLevel="0" collapsed="false">
      <c r="E89" s="100"/>
    </row>
    <row r="90" s="78" customFormat="true" ht="12" hidden="false" customHeight="false" outlineLevel="0" collapsed="false"/>
    <row r="91" s="78" customFormat="true" ht="12" hidden="false" customHeight="false" outlineLevel="0" collapsed="false"/>
    <row r="92" customFormat="false" ht="39.75" hidden="false" customHeight="true" outlineLevel="0" collapsed="false">
      <c r="C92" s="101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3" t="s">
        <v>2</v>
      </c>
    </row>
    <row r="93" s="78" customFormat="true" ht="12.75" hidden="false" customHeight="false" outlineLevel="0" collapsed="false">
      <c r="B93" s="161"/>
      <c r="AJ93" s="106" t="s">
        <v>64</v>
      </c>
    </row>
    <row r="94" customFormat="false" ht="6.75" hidden="false" customHeight="true" outlineLevel="0" collapsed="false">
      <c r="B94" s="86"/>
      <c r="C94" s="162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233"/>
      <c r="AK94" s="139"/>
    </row>
    <row r="95" customFormat="false" ht="13.5" hidden="true" customHeight="false" outlineLevel="0" collapsed="false">
      <c r="B95" s="86"/>
      <c r="C95" s="109" t="s">
        <v>68</v>
      </c>
      <c r="D95" s="110" t="s">
        <v>69</v>
      </c>
      <c r="E95" s="110" t="s">
        <v>30</v>
      </c>
      <c r="F95" s="110" t="s">
        <v>31</v>
      </c>
      <c r="G95" s="110" t="s">
        <v>32</v>
      </c>
      <c r="H95" s="110" t="s">
        <v>33</v>
      </c>
      <c r="I95" s="110" t="s">
        <v>34</v>
      </c>
      <c r="J95" s="110" t="s">
        <v>35</v>
      </c>
      <c r="K95" s="110" t="s">
        <v>36</v>
      </c>
      <c r="L95" s="110" t="s">
        <v>37</v>
      </c>
      <c r="M95" s="110" t="s">
        <v>38</v>
      </c>
      <c r="N95" s="110" t="s">
        <v>39</v>
      </c>
      <c r="O95" s="110" t="s">
        <v>40</v>
      </c>
      <c r="P95" s="110" t="s">
        <v>41</v>
      </c>
      <c r="Q95" s="110" t="s">
        <v>81</v>
      </c>
      <c r="R95" s="110" t="s">
        <v>82</v>
      </c>
      <c r="S95" s="110" t="s">
        <v>83</v>
      </c>
      <c r="T95" s="110" t="s">
        <v>84</v>
      </c>
      <c r="U95" s="110" t="s">
        <v>85</v>
      </c>
      <c r="V95" s="110" t="s">
        <v>86</v>
      </c>
      <c r="W95" s="110" t="s">
        <v>87</v>
      </c>
      <c r="X95" s="110" t="s">
        <v>88</v>
      </c>
      <c r="Y95" s="110" t="s">
        <v>89</v>
      </c>
      <c r="Z95" s="110" t="s">
        <v>90</v>
      </c>
      <c r="AA95" s="110" t="s">
        <v>91</v>
      </c>
      <c r="AB95" s="110" t="s">
        <v>92</v>
      </c>
      <c r="AC95" s="110" t="s">
        <v>93</v>
      </c>
      <c r="AD95" s="110" t="s">
        <v>94</v>
      </c>
      <c r="AE95" s="110" t="s">
        <v>95</v>
      </c>
      <c r="AF95" s="110" t="s">
        <v>96</v>
      </c>
      <c r="AG95" s="110" t="s">
        <v>97</v>
      </c>
      <c r="AH95" s="110" t="s">
        <v>98</v>
      </c>
      <c r="AI95" s="110" t="s">
        <v>99</v>
      </c>
      <c r="AJ95" s="111" t="s">
        <v>70</v>
      </c>
      <c r="AK95" s="86"/>
    </row>
    <row r="96" customFormat="false" ht="19.5" hidden="false" customHeight="true" outlineLevel="0" collapsed="false">
      <c r="B96" s="143"/>
      <c r="C96" s="144" t="str">
        <f aca="false">DADOS!$Z$3</f>
        <v>🏅 BÔNUS</v>
      </c>
      <c r="D96" s="145" t="str">
        <f aca="false">IF(receitasvariáveisconsolidadoago[[#This Row],[TOTAL (R$)]]=0,"",IF(OR(receitasvariáveisconsolidadoago[[#This Row],[TOTAL (R$)]]=LARGE($AJ$96:$AJ$103,1),receitasvariáveisconsolidadoago[[#This Row],[TOTAL (R$)]]=LARGE($AJ$96:$AJ$103,2)),DADOS!$I$9,""))</f>
        <v/>
      </c>
      <c r="E96" s="148" t="n">
        <f aca="false">SUMIFS(tabela_registros[VALOR],tabela_registros[MÊS],$AE$1,tabela_registros[DIA],receitasvariáveisconsolidadoago[[#Headers],[1]],tabela_registros[REGISTRO],DADOS!$N$3,tabela_registros[TIPO],DADOS!$V$4,tabela_registros[CATEGORIA],receitasvariáveisconsolidadoago[[#This Row],[ATUAL]])</f>
        <v>0</v>
      </c>
      <c r="F96" s="119" t="n">
        <f aca="false">SUMIFS(tabela_registros[VALOR],tabela_registros[MÊS],$AE$1,tabela_registros[DIA],receitasvariáveisconsolidadoago[[#Headers],[2]],tabela_registros[REGISTRO],DADOS!$N$3,tabela_registros[TIPO],DADOS!$V$4,tabela_registros[CATEGORIA],receitasvariáveisconsolidadoago[[#This Row],[ATUAL]])</f>
        <v>0</v>
      </c>
      <c r="G96" s="119" t="n">
        <f aca="false">SUMIFS(tabela_registros[VALOR],tabela_registros[MÊS],$AE$1,tabela_registros[DIA],receitasvariáveisconsolidadoago[[#Headers],[3]],tabela_registros[REGISTRO],DADOS!$N$3,tabela_registros[TIPO],DADOS!$V$4,tabela_registros[CATEGORIA],receitasvariáveisconsolidadoago[[#This Row],[ATUAL]])</f>
        <v>0</v>
      </c>
      <c r="H96" s="119" t="n">
        <f aca="false">SUMIFS(tabela_registros[VALOR],tabela_registros[MÊS],$AE$1,tabela_registros[DIA],receitasvariáveisconsolidadoago[[#Headers],[4]],tabela_registros[REGISTRO],DADOS!$N$3,tabela_registros[TIPO],DADOS!$V$4,tabela_registros[CATEGORIA],receitasvariáveisconsolidadoago[[#This Row],[ATUAL]])</f>
        <v>0</v>
      </c>
      <c r="I96" s="119" t="n">
        <f aca="false">SUMIFS(tabela_registros[VALOR],tabela_registros[MÊS],$AE$1,tabela_registros[DIA],receitasvariáveisconsolidadoago[[#Headers],[5]],tabela_registros[REGISTRO],DADOS!$N$3,tabela_registros[TIPO],DADOS!$V$4,tabela_registros[CATEGORIA],receitasvariáveisconsolidadoago[[#This Row],[ATUAL]])</f>
        <v>0</v>
      </c>
      <c r="J96" s="119" t="n">
        <f aca="false">SUMIFS(tabela_registros[VALOR],tabela_registros[MÊS],$AE$1,tabela_registros[DIA],receitasvariáveisconsolidadoago[[#Headers],[6]],tabela_registros[REGISTRO],DADOS!$N$3,tabela_registros[TIPO],DADOS!$V$4,tabela_registros[CATEGORIA],receitasvariáveisconsolidadoago[[#This Row],[ATUAL]])</f>
        <v>0</v>
      </c>
      <c r="K96" s="119" t="n">
        <f aca="false">SUMIFS(tabela_registros[VALOR],tabela_registros[MÊS],$AE$1,tabela_registros[DIA],receitasvariáveisconsolidadoago[[#Headers],[7]],tabela_registros[REGISTRO],DADOS!$N$3,tabela_registros[TIPO],DADOS!$V$4,tabela_registros[CATEGORIA],receitasvariáveisconsolidadoago[[#This Row],[ATUAL]])</f>
        <v>0</v>
      </c>
      <c r="L96" s="119" t="n">
        <f aca="false">SUMIFS(tabela_registros[VALOR],tabela_registros[MÊS],$AE$1,tabela_registros[DIA],receitasvariáveisconsolidadoago[[#Headers],[8]],tabela_registros[REGISTRO],DADOS!$N$3,tabela_registros[TIPO],DADOS!$V$4,tabela_registros[CATEGORIA],receitasvariáveisconsolidadoago[[#This Row],[ATUAL]])</f>
        <v>0</v>
      </c>
      <c r="M96" s="119" t="n">
        <f aca="false">SUMIFS(tabela_registros[VALOR],tabela_registros[MÊS],$AE$1,tabela_registros[DIA],receitasvariáveisconsolidadoago[[#Headers],[9]],tabela_registros[REGISTRO],DADOS!$N$3,tabela_registros[TIPO],DADOS!$V$4,tabela_registros[CATEGORIA],receitasvariáveisconsolidadoago[[#This Row],[ATUAL]])</f>
        <v>0</v>
      </c>
      <c r="N96" s="119" t="n">
        <f aca="false">SUMIFS(tabela_registros[VALOR],tabela_registros[MÊS],$AE$1,tabela_registros[DIA],receitasvariáveisconsolidadoago[[#Headers],[10]],tabela_registros[REGISTRO],DADOS!$N$3,tabela_registros[TIPO],DADOS!$V$4,tabela_registros[CATEGORIA],receitasvariáveisconsolidadoago[[#This Row],[ATUAL]])</f>
        <v>0</v>
      </c>
      <c r="O96" s="119" t="n">
        <f aca="false">SUMIFS(tabela_registros[VALOR],tabela_registros[MÊS],$AE$1,tabela_registros[DIA],receitasvariáveisconsolidadoago[[#Headers],[11]],tabela_registros[REGISTRO],DADOS!$N$3,tabela_registros[TIPO],DADOS!$V$4,tabela_registros[CATEGORIA],receitasvariáveisconsolidadoago[[#This Row],[ATUAL]])</f>
        <v>0</v>
      </c>
      <c r="P96" s="119" t="n">
        <f aca="false">SUMIFS(tabela_registros[VALOR],tabela_registros[MÊS],$AE$1,tabela_registros[DIA],receitasvariáveisconsolidadoago[[#Headers],[12]],tabela_registros[REGISTRO],DADOS!$N$3,tabela_registros[TIPO],DADOS!$V$4,tabela_registros[CATEGORIA],receitasvariáveisconsolidadoago[[#This Row],[ATUAL]])</f>
        <v>0</v>
      </c>
      <c r="Q96" s="119" t="n">
        <f aca="false">SUMIFS(tabela_registros[VALOR],tabela_registros[MÊS],$AE$1,tabela_registros[DIA],receitasvariáveisconsolidadoago[[#Headers],[13]],tabela_registros[REGISTRO],DADOS!$N$3,tabela_registros[TIPO],DADOS!$V$4,tabela_registros[CATEGORIA],receitasvariáveisconsolidadoago[[#This Row],[ATUAL]])</f>
        <v>0</v>
      </c>
      <c r="R96" s="119" t="n">
        <f aca="false">SUMIFS(tabela_registros[VALOR],tabela_registros[MÊS],$AE$1,tabela_registros[DIA],receitasvariáveisconsolidadoago[[#Headers],[14]],tabela_registros[REGISTRO],DADOS!$N$3,tabela_registros[TIPO],DADOS!$V$4,tabela_registros[CATEGORIA],receitasvariáveisconsolidadoago[[#This Row],[ATUAL]])</f>
        <v>0</v>
      </c>
      <c r="S96" s="119" t="n">
        <f aca="false">SUMIFS(tabela_registros[VALOR],tabela_registros[MÊS],$AE$1,tabela_registros[DIA],receitasvariáveisconsolidadoago[[#Headers],[15]],tabela_registros[REGISTRO],DADOS!$N$3,tabela_registros[TIPO],DADOS!$V$4,tabela_registros[CATEGORIA],receitasvariáveisconsolidadoago[[#This Row],[ATUAL]])</f>
        <v>0</v>
      </c>
      <c r="T96" s="119" t="n">
        <f aca="false">SUMIFS(tabela_registros[VALOR],tabela_registros[MÊS],$AE$1,tabela_registros[DIA],receitasvariáveisconsolidadoago[[#Headers],[16]],tabela_registros[REGISTRO],DADOS!$N$3,tabela_registros[TIPO],DADOS!$V$4,tabela_registros[CATEGORIA],receitasvariáveisconsolidadoago[[#This Row],[ATUAL]])</f>
        <v>0</v>
      </c>
      <c r="U96" s="119" t="n">
        <f aca="false">SUMIFS(tabela_registros[VALOR],tabela_registros[MÊS],$AE$1,tabela_registros[DIA],receitasvariáveisconsolidadoago[[#Headers],[17]],tabela_registros[REGISTRO],DADOS!$N$3,tabela_registros[TIPO],DADOS!$V$4,tabela_registros[CATEGORIA],receitasvariáveisconsolidadoago[[#This Row],[ATUAL]])</f>
        <v>0</v>
      </c>
      <c r="V96" s="119" t="n">
        <f aca="false">SUMIFS(tabela_registros[VALOR],tabela_registros[MÊS],$AE$1,tabela_registros[DIA],receitasvariáveisconsolidadoago[[#Headers],[18]],tabela_registros[REGISTRO],DADOS!$N$3,tabela_registros[TIPO],DADOS!$V$4,tabela_registros[CATEGORIA],receitasvariáveisconsolidadoago[[#This Row],[ATUAL]])</f>
        <v>0</v>
      </c>
      <c r="W96" s="119" t="n">
        <f aca="false">SUMIFS(tabela_registros[VALOR],tabela_registros[MÊS],$AE$1,tabela_registros[DIA],receitasvariáveisconsolidadoago[[#Headers],[19]],tabela_registros[REGISTRO],DADOS!$N$3,tabela_registros[TIPO],DADOS!$V$4,tabela_registros[CATEGORIA],receitasvariáveisconsolidadoago[[#This Row],[ATUAL]])</f>
        <v>0</v>
      </c>
      <c r="X96" s="119" t="n">
        <f aca="false">SUMIFS(tabela_registros[VALOR],tabela_registros[MÊS],$AE$1,tabela_registros[DIA],receitasvariáveisconsolidadoago[[#Headers],[20]],tabela_registros[REGISTRO],DADOS!$N$3,tabela_registros[TIPO],DADOS!$V$4,tabela_registros[CATEGORIA],receitasvariáveisconsolidadoago[[#This Row],[ATUAL]])</f>
        <v>0</v>
      </c>
      <c r="Y96" s="119" t="n">
        <f aca="false">SUMIFS(tabela_registros[VALOR],tabela_registros[MÊS],$AE$1,tabela_registros[DIA],receitasvariáveisconsolidadoago[[#Headers],[21]],tabela_registros[REGISTRO],DADOS!$N$3,tabela_registros[TIPO],DADOS!$V$4,tabela_registros[CATEGORIA],receitasvariáveisconsolidadoago[[#This Row],[ATUAL]])</f>
        <v>0</v>
      </c>
      <c r="Z96" s="119" t="n">
        <f aca="false">SUMIFS(tabela_registros[VALOR],tabela_registros[MÊS],$AE$1,tabela_registros[DIA],receitasvariáveisconsolidadoago[[#Headers],[22]],tabela_registros[REGISTRO],DADOS!$N$3,tabela_registros[TIPO],DADOS!$V$4,tabela_registros[CATEGORIA],receitasvariáveisconsolidadoago[[#This Row],[ATUAL]])</f>
        <v>0</v>
      </c>
      <c r="AA96" s="119" t="n">
        <f aca="false">SUMIFS(tabela_registros[VALOR],tabela_registros[MÊS],$AE$1,tabela_registros[DIA],receitasvariáveisconsolidadoago[[#Headers],[23]],tabela_registros[REGISTRO],DADOS!$N$3,tabela_registros[TIPO],DADOS!$V$4,tabela_registros[CATEGORIA],receitasvariáveisconsolidadoago[[#This Row],[ATUAL]])</f>
        <v>0</v>
      </c>
      <c r="AB96" s="119" t="n">
        <f aca="false">SUMIFS(tabela_registros[VALOR],tabela_registros[MÊS],$AE$1,tabela_registros[DIA],receitasvariáveisconsolidadoago[[#Headers],[24]],tabela_registros[REGISTRO],DADOS!$N$3,tabela_registros[TIPO],DADOS!$V$4,tabela_registros[CATEGORIA],receitasvariáveisconsolidadoago[[#This Row],[ATUAL]])</f>
        <v>0</v>
      </c>
      <c r="AC96" s="119" t="n">
        <f aca="false">SUMIFS(tabela_registros[VALOR],tabela_registros[MÊS],$AE$1,tabela_registros[DIA],receitasvariáveisconsolidadoago[[#Headers],[25]],tabela_registros[REGISTRO],DADOS!$N$3,tabela_registros[TIPO],DADOS!$V$4,tabela_registros[CATEGORIA],receitasvariáveisconsolidadoago[[#This Row],[ATUAL]])</f>
        <v>0</v>
      </c>
      <c r="AD96" s="119" t="n">
        <f aca="false">SUMIFS(tabela_registros[VALOR],tabela_registros[MÊS],$AE$1,tabela_registros[DIA],receitasvariáveisconsolidadoago[[#Headers],[26]],tabela_registros[REGISTRO],DADOS!$N$3,tabela_registros[TIPO],DADOS!$V$4,tabela_registros[CATEGORIA],receitasvariáveisconsolidadoago[[#This Row],[ATUAL]])</f>
        <v>0</v>
      </c>
      <c r="AE96" s="119" t="n">
        <f aca="false">SUMIFS(tabela_registros[VALOR],tabela_registros[MÊS],$AE$1,tabela_registros[DIA],receitasvariáveisconsolidadoago[[#Headers],[27]],tabela_registros[REGISTRO],DADOS!$N$3,tabela_registros[TIPO],DADOS!$V$4,tabela_registros[CATEGORIA],receitasvariáveisconsolidadoago[[#This Row],[ATUAL]])</f>
        <v>0</v>
      </c>
      <c r="AF96" s="119" t="n">
        <f aca="false">SUMIFS(tabela_registros[VALOR],tabela_registros[MÊS],$AE$1,tabela_registros[DIA],receitasvariáveisconsolidadoago[[#Headers],[28]],tabela_registros[REGISTRO],DADOS!$N$3,tabela_registros[TIPO],DADOS!$V$4,tabela_registros[CATEGORIA],receitasvariáveisconsolidadoago[[#This Row],[ATUAL]])</f>
        <v>0</v>
      </c>
      <c r="AG96" s="119" t="n">
        <f aca="false">SUMIFS(tabela_registros[VALOR],tabela_registros[MÊS],$AE$1,tabela_registros[DIA],receitasvariáveisconsolidadoago[[#Headers],[29]],tabela_registros[REGISTRO],DADOS!$N$3,tabela_registros[TIPO],DADOS!$V$4,tabela_registros[CATEGORIA],receitasvariáveisconsolidadoago[[#This Row],[ATUAL]])</f>
        <v>0</v>
      </c>
      <c r="AH96" s="119" t="n">
        <f aca="false">SUMIFS(tabela_registros[VALOR],tabela_registros[MÊS],$AE$1,tabela_registros[DIA],receitasvariáveisconsolidadoago[[#Headers],[30]],tabela_registros[REGISTRO],DADOS!$N$3,tabela_registros[TIPO],DADOS!$V$4,tabela_registros[CATEGORIA],receitasvariáveisconsolidadoago[[#This Row],[ATUAL]])</f>
        <v>0</v>
      </c>
      <c r="AI96" s="217" t="n">
        <f aca="false">SUMIFS(tabela_registros[VALOR],tabela_registros[MÊS],$AE$1,tabela_registros[DIA],receitasvariáveisconsolidadoago[[#Headers],[31]],tabela_registros[REGISTRO],DADOS!$N$3,tabela_registros[TIPO],DADOS!$V$4,tabela_registros[CATEGORIA],receitasvariáveisconsolidadoago[[#This Row],[ATUAL]])</f>
        <v>0</v>
      </c>
      <c r="AJ96" s="149" t="n">
        <f aca="false">SUM(receitasvariáveisconsolidadoago[[#This Row],[1]:[31]])</f>
        <v>0</v>
      </c>
      <c r="AK96" s="165"/>
    </row>
    <row r="97" customFormat="false" ht="19.5" hidden="false" customHeight="true" outlineLevel="0" collapsed="false">
      <c r="B97" s="143"/>
      <c r="C97" s="144" t="str">
        <f aca="false">DADOS!$Z$4</f>
        <v>🤑 COMISSÃO</v>
      </c>
      <c r="D97" s="145" t="str">
        <f aca="false">IF(receitasvariáveisconsolidadoago[[#This Row],[TOTAL (R$)]]=0,"",IF(OR(receitasvariáveisconsolidadoago[[#This Row],[TOTAL (R$)]]=LARGE($AJ$96:$AJ$103,1),receitasvariáveisconsolidadoago[[#This Row],[TOTAL (R$)]]=LARGE($AJ$96:$AJ$103,2)),DADOS!$I$9,""))</f>
        <v/>
      </c>
      <c r="E97" s="148" t="n">
        <f aca="false">SUMIFS(tabela_registros[VALOR],tabela_registros[MÊS],$AE$1,tabela_registros[DIA],receitasvariáveisconsolidadoago[[#Headers],[1]],tabela_registros[REGISTRO],DADOS!$N$3,tabela_registros[TIPO],DADOS!$V$4,tabela_registros[CATEGORIA],receitasvariáveisconsolidadoago[[#This Row],[ATUAL]])</f>
        <v>0</v>
      </c>
      <c r="F97" s="119" t="n">
        <f aca="false">SUMIFS(tabela_registros[VALOR],tabela_registros[MÊS],$AE$1,tabela_registros[DIA],receitasvariáveisconsolidadoago[[#Headers],[2]],tabela_registros[REGISTRO],DADOS!$N$3,tabela_registros[TIPO],DADOS!$V$4,tabela_registros[CATEGORIA],receitasvariáveisconsolidadoago[[#This Row],[ATUAL]])</f>
        <v>0</v>
      </c>
      <c r="G97" s="119" t="n">
        <f aca="false">SUMIFS(tabela_registros[VALOR],tabela_registros[MÊS],$AE$1,tabela_registros[DIA],receitasvariáveisconsolidadoago[[#Headers],[3]],tabela_registros[REGISTRO],DADOS!$N$3,tabela_registros[TIPO],DADOS!$V$4,tabela_registros[CATEGORIA],receitasvariáveisconsolidadoago[[#This Row],[ATUAL]])</f>
        <v>0</v>
      </c>
      <c r="H97" s="119" t="n">
        <f aca="false">SUMIFS(tabela_registros[VALOR],tabela_registros[MÊS],$AE$1,tabela_registros[DIA],receitasvariáveisconsolidadoago[[#Headers],[4]],tabela_registros[REGISTRO],DADOS!$N$3,tabela_registros[TIPO],DADOS!$V$4,tabela_registros[CATEGORIA],receitasvariáveisconsolidadoago[[#This Row],[ATUAL]])</f>
        <v>0</v>
      </c>
      <c r="I97" s="119" t="n">
        <f aca="false">SUMIFS(tabela_registros[VALOR],tabela_registros[MÊS],$AE$1,tabela_registros[DIA],receitasvariáveisconsolidadoago[[#Headers],[5]],tabela_registros[REGISTRO],DADOS!$N$3,tabela_registros[TIPO],DADOS!$V$4,tabela_registros[CATEGORIA],receitasvariáveisconsolidadoago[[#This Row],[ATUAL]])</f>
        <v>0</v>
      </c>
      <c r="J97" s="119" t="n">
        <f aca="false">SUMIFS(tabela_registros[VALOR],tabela_registros[MÊS],$AE$1,tabela_registros[DIA],receitasvariáveisconsolidadoago[[#Headers],[6]],tabela_registros[REGISTRO],DADOS!$N$3,tabela_registros[TIPO],DADOS!$V$4,tabela_registros[CATEGORIA],receitasvariáveisconsolidadoago[[#This Row],[ATUAL]])</f>
        <v>0</v>
      </c>
      <c r="K97" s="119" t="n">
        <f aca="false">SUMIFS(tabela_registros[VALOR],tabela_registros[MÊS],$AE$1,tabela_registros[DIA],receitasvariáveisconsolidadoago[[#Headers],[7]],tabela_registros[REGISTRO],DADOS!$N$3,tabela_registros[TIPO],DADOS!$V$4,tabela_registros[CATEGORIA],receitasvariáveisconsolidadoago[[#This Row],[ATUAL]])</f>
        <v>0</v>
      </c>
      <c r="L97" s="119" t="n">
        <f aca="false">SUMIFS(tabela_registros[VALOR],tabela_registros[MÊS],$AE$1,tabela_registros[DIA],receitasvariáveisconsolidadoago[[#Headers],[8]],tabela_registros[REGISTRO],DADOS!$N$3,tabela_registros[TIPO],DADOS!$V$4,tabela_registros[CATEGORIA],receitasvariáveisconsolidadoago[[#This Row],[ATUAL]])</f>
        <v>0</v>
      </c>
      <c r="M97" s="119" t="n">
        <f aca="false">SUMIFS(tabela_registros[VALOR],tabela_registros[MÊS],$AE$1,tabela_registros[DIA],receitasvariáveisconsolidadoago[[#Headers],[9]],tabela_registros[REGISTRO],DADOS!$N$3,tabela_registros[TIPO],DADOS!$V$4,tabela_registros[CATEGORIA],receitasvariáveisconsolidadoago[[#This Row],[ATUAL]])</f>
        <v>0</v>
      </c>
      <c r="N97" s="119" t="n">
        <f aca="false">SUMIFS(tabela_registros[VALOR],tabela_registros[MÊS],$AE$1,tabela_registros[DIA],receitasvariáveisconsolidadoago[[#Headers],[10]],tabela_registros[REGISTRO],DADOS!$N$3,tabela_registros[TIPO],DADOS!$V$4,tabela_registros[CATEGORIA],receitasvariáveisconsolidadoago[[#This Row],[ATUAL]])</f>
        <v>0</v>
      </c>
      <c r="O97" s="119" t="n">
        <f aca="false">SUMIFS(tabela_registros[VALOR],tabela_registros[MÊS],$AE$1,tabela_registros[DIA],receitasvariáveisconsolidadoago[[#Headers],[11]],tabela_registros[REGISTRO],DADOS!$N$3,tabela_registros[TIPO],DADOS!$V$4,tabela_registros[CATEGORIA],receitasvariáveisconsolidadoago[[#This Row],[ATUAL]])</f>
        <v>0</v>
      </c>
      <c r="P97" s="119" t="n">
        <f aca="false">SUMIFS(tabela_registros[VALOR],tabela_registros[MÊS],$AE$1,tabela_registros[DIA],receitasvariáveisconsolidadoago[[#Headers],[12]],tabela_registros[REGISTRO],DADOS!$N$3,tabela_registros[TIPO],DADOS!$V$4,tabela_registros[CATEGORIA],receitasvariáveisconsolidadoago[[#This Row],[ATUAL]])</f>
        <v>0</v>
      </c>
      <c r="Q97" s="119" t="n">
        <f aca="false">SUMIFS(tabela_registros[VALOR],tabela_registros[MÊS],$AE$1,tabela_registros[DIA],receitasvariáveisconsolidadoago[[#Headers],[13]],tabela_registros[REGISTRO],DADOS!$N$3,tabela_registros[TIPO],DADOS!$V$4,tabela_registros[CATEGORIA],receitasvariáveisconsolidadoago[[#This Row],[ATUAL]])</f>
        <v>0</v>
      </c>
      <c r="R97" s="119" t="n">
        <f aca="false">SUMIFS(tabela_registros[VALOR],tabela_registros[MÊS],$AE$1,tabela_registros[DIA],receitasvariáveisconsolidadoago[[#Headers],[14]],tabela_registros[REGISTRO],DADOS!$N$3,tabela_registros[TIPO],DADOS!$V$4,tabela_registros[CATEGORIA],receitasvariáveisconsolidadoago[[#This Row],[ATUAL]])</f>
        <v>0</v>
      </c>
      <c r="S97" s="119" t="n">
        <f aca="false">SUMIFS(tabela_registros[VALOR],tabela_registros[MÊS],$AE$1,tabela_registros[DIA],receitasvariáveisconsolidadoago[[#Headers],[15]],tabela_registros[REGISTRO],DADOS!$N$3,tabela_registros[TIPO],DADOS!$V$4,tabela_registros[CATEGORIA],receitasvariáveisconsolidadoago[[#This Row],[ATUAL]])</f>
        <v>0</v>
      </c>
      <c r="T97" s="119" t="n">
        <f aca="false">SUMIFS(tabela_registros[VALOR],tabela_registros[MÊS],$AE$1,tabela_registros[DIA],receitasvariáveisconsolidadoago[[#Headers],[16]],tabela_registros[REGISTRO],DADOS!$N$3,tabela_registros[TIPO],DADOS!$V$4,tabela_registros[CATEGORIA],receitasvariáveisconsolidadoago[[#This Row],[ATUAL]])</f>
        <v>0</v>
      </c>
      <c r="U97" s="119" t="n">
        <f aca="false">SUMIFS(tabela_registros[VALOR],tabela_registros[MÊS],$AE$1,tabela_registros[DIA],receitasvariáveisconsolidadoago[[#Headers],[17]],tabela_registros[REGISTRO],DADOS!$N$3,tabela_registros[TIPO],DADOS!$V$4,tabela_registros[CATEGORIA],receitasvariáveisconsolidadoago[[#This Row],[ATUAL]])</f>
        <v>0</v>
      </c>
      <c r="V97" s="119" t="n">
        <f aca="false">SUMIFS(tabela_registros[VALOR],tabela_registros[MÊS],$AE$1,tabela_registros[DIA],receitasvariáveisconsolidadoago[[#Headers],[18]],tabela_registros[REGISTRO],DADOS!$N$3,tabela_registros[TIPO],DADOS!$V$4,tabela_registros[CATEGORIA],receitasvariáveisconsolidadoago[[#This Row],[ATUAL]])</f>
        <v>0</v>
      </c>
      <c r="W97" s="119" t="n">
        <f aca="false">SUMIFS(tabela_registros[VALOR],tabela_registros[MÊS],$AE$1,tabela_registros[DIA],receitasvariáveisconsolidadoago[[#Headers],[19]],tabela_registros[REGISTRO],DADOS!$N$3,tabela_registros[TIPO],DADOS!$V$4,tabela_registros[CATEGORIA],receitasvariáveisconsolidadoago[[#This Row],[ATUAL]])</f>
        <v>0</v>
      </c>
      <c r="X97" s="119" t="n">
        <f aca="false">SUMIFS(tabela_registros[VALOR],tabela_registros[MÊS],$AE$1,tabela_registros[DIA],receitasvariáveisconsolidadoago[[#Headers],[20]],tabela_registros[REGISTRO],DADOS!$N$3,tabela_registros[TIPO],DADOS!$V$4,tabela_registros[CATEGORIA],receitasvariáveisconsolidadoago[[#This Row],[ATUAL]])</f>
        <v>0</v>
      </c>
      <c r="Y97" s="119" t="n">
        <f aca="false">SUMIFS(tabela_registros[VALOR],tabela_registros[MÊS],$AE$1,tabela_registros[DIA],receitasvariáveisconsolidadoago[[#Headers],[21]],tabela_registros[REGISTRO],DADOS!$N$3,tabela_registros[TIPO],DADOS!$V$4,tabela_registros[CATEGORIA],receitasvariáveisconsolidadoago[[#This Row],[ATUAL]])</f>
        <v>0</v>
      </c>
      <c r="Z97" s="119" t="n">
        <f aca="false">SUMIFS(tabela_registros[VALOR],tabela_registros[MÊS],$AE$1,tabela_registros[DIA],receitasvariáveisconsolidadoago[[#Headers],[22]],tabela_registros[REGISTRO],DADOS!$N$3,tabela_registros[TIPO],DADOS!$V$4,tabela_registros[CATEGORIA],receitasvariáveisconsolidadoago[[#This Row],[ATUAL]])</f>
        <v>0</v>
      </c>
      <c r="AA97" s="119" t="n">
        <f aca="false">SUMIFS(tabela_registros[VALOR],tabela_registros[MÊS],$AE$1,tabela_registros[DIA],receitasvariáveisconsolidadoago[[#Headers],[23]],tabela_registros[REGISTRO],DADOS!$N$3,tabela_registros[TIPO],DADOS!$V$4,tabela_registros[CATEGORIA],receitasvariáveisconsolidadoago[[#This Row],[ATUAL]])</f>
        <v>0</v>
      </c>
      <c r="AB97" s="119" t="n">
        <f aca="false">SUMIFS(tabela_registros[VALOR],tabela_registros[MÊS],$AE$1,tabela_registros[DIA],receitasvariáveisconsolidadoago[[#Headers],[24]],tabela_registros[REGISTRO],DADOS!$N$3,tabela_registros[TIPO],DADOS!$V$4,tabela_registros[CATEGORIA],receitasvariáveisconsolidadoago[[#This Row],[ATUAL]])</f>
        <v>0</v>
      </c>
      <c r="AC97" s="119" t="n">
        <f aca="false">SUMIFS(tabela_registros[VALOR],tabela_registros[MÊS],$AE$1,tabela_registros[DIA],receitasvariáveisconsolidadoago[[#Headers],[25]],tabela_registros[REGISTRO],DADOS!$N$3,tabela_registros[TIPO],DADOS!$V$4,tabela_registros[CATEGORIA],receitasvariáveisconsolidadoago[[#This Row],[ATUAL]])</f>
        <v>0</v>
      </c>
      <c r="AD97" s="119" t="n">
        <f aca="false">SUMIFS(tabela_registros[VALOR],tabela_registros[MÊS],$AE$1,tabela_registros[DIA],receitasvariáveisconsolidadoago[[#Headers],[26]],tabela_registros[REGISTRO],DADOS!$N$3,tabela_registros[TIPO],DADOS!$V$4,tabela_registros[CATEGORIA],receitasvariáveisconsolidadoago[[#This Row],[ATUAL]])</f>
        <v>0</v>
      </c>
      <c r="AE97" s="119" t="n">
        <f aca="false">SUMIFS(tabela_registros[VALOR],tabela_registros[MÊS],$AE$1,tabela_registros[DIA],receitasvariáveisconsolidadoago[[#Headers],[27]],tabela_registros[REGISTRO],DADOS!$N$3,tabela_registros[TIPO],DADOS!$V$4,tabela_registros[CATEGORIA],receitasvariáveisconsolidadoago[[#This Row],[ATUAL]])</f>
        <v>0</v>
      </c>
      <c r="AF97" s="119" t="n">
        <f aca="false">SUMIFS(tabela_registros[VALOR],tabela_registros[MÊS],$AE$1,tabela_registros[DIA],receitasvariáveisconsolidadoago[[#Headers],[28]],tabela_registros[REGISTRO],DADOS!$N$3,tabela_registros[TIPO],DADOS!$V$4,tabela_registros[CATEGORIA],receitasvariáveisconsolidadoago[[#This Row],[ATUAL]])</f>
        <v>0</v>
      </c>
      <c r="AG97" s="119" t="n">
        <f aca="false">SUMIFS(tabela_registros[VALOR],tabela_registros[MÊS],$AE$1,tabela_registros[DIA],receitasvariáveisconsolidadoago[[#Headers],[29]],tabela_registros[REGISTRO],DADOS!$N$3,tabela_registros[TIPO],DADOS!$V$4,tabela_registros[CATEGORIA],receitasvariáveisconsolidadoago[[#This Row],[ATUAL]])</f>
        <v>0</v>
      </c>
      <c r="AH97" s="119" t="n">
        <f aca="false">SUMIFS(tabela_registros[VALOR],tabela_registros[MÊS],$AE$1,tabela_registros[DIA],receitasvariáveisconsolidadoago[[#Headers],[30]],tabela_registros[REGISTRO],DADOS!$N$3,tabela_registros[TIPO],DADOS!$V$4,tabela_registros[CATEGORIA],receitasvariáveisconsolidadoago[[#This Row],[ATUAL]])</f>
        <v>0</v>
      </c>
      <c r="AI97" s="217" t="n">
        <f aca="false">SUMIFS(tabela_registros[VALOR],tabela_registros[MÊS],$AE$1,tabela_registros[DIA],receitasvariáveisconsolidadoago[[#Headers],[31]],tabela_registros[REGISTRO],DADOS!$N$3,tabela_registros[TIPO],DADOS!$V$4,tabela_registros[CATEGORIA],receitasvariáveisconsolidadoago[[#This Row],[ATUAL]])</f>
        <v>0</v>
      </c>
      <c r="AJ97" s="149" t="n">
        <f aca="false">SUM(receitasvariáveisconsolidadoago[[#This Row],[1]:[31]])</f>
        <v>0</v>
      </c>
      <c r="AK97" s="165"/>
    </row>
    <row r="98" customFormat="false" ht="19.5" hidden="false" customHeight="true" outlineLevel="0" collapsed="false">
      <c r="B98" s="143"/>
      <c r="C98" s="144" t="str">
        <f aca="false">DADOS!$Z$5</f>
        <v>🎗️ HERANÇA</v>
      </c>
      <c r="D98" s="145" t="str">
        <f aca="false">IF(receitasvariáveisconsolidadoago[[#This Row],[TOTAL (R$)]]=0,"",IF(OR(receitasvariáveisconsolidadoago[[#This Row],[TOTAL (R$)]]=LARGE($AJ$96:$AJ$103,1),receitasvariáveisconsolidadoago[[#This Row],[TOTAL (R$)]]=LARGE($AJ$96:$AJ$103,2)),DADOS!$I$9,""))</f>
        <v/>
      </c>
      <c r="E98" s="148" t="n">
        <f aca="false">SUMIFS(tabela_registros[VALOR],tabela_registros[MÊS],$AE$1,tabela_registros[DIA],receitasvariáveisconsolidadoago[[#Headers],[1]],tabela_registros[REGISTRO],DADOS!$N$3,tabela_registros[TIPO],DADOS!$V$4,tabela_registros[CATEGORIA],receitasvariáveisconsolidadoago[[#This Row],[ATUAL]])</f>
        <v>0</v>
      </c>
      <c r="F98" s="119" t="n">
        <f aca="false">SUMIFS(tabela_registros[VALOR],tabela_registros[MÊS],$AE$1,tabela_registros[DIA],receitasvariáveisconsolidadoago[[#Headers],[2]],tabela_registros[REGISTRO],DADOS!$N$3,tabela_registros[TIPO],DADOS!$V$4,tabela_registros[CATEGORIA],receitasvariáveisconsolidadoago[[#This Row],[ATUAL]])</f>
        <v>0</v>
      </c>
      <c r="G98" s="119" t="n">
        <f aca="false">SUMIFS(tabela_registros[VALOR],tabela_registros[MÊS],$AE$1,tabela_registros[DIA],receitasvariáveisconsolidadoago[[#Headers],[3]],tabela_registros[REGISTRO],DADOS!$N$3,tabela_registros[TIPO],DADOS!$V$4,tabela_registros[CATEGORIA],receitasvariáveisconsolidadoago[[#This Row],[ATUAL]])</f>
        <v>0</v>
      </c>
      <c r="H98" s="119" t="n">
        <f aca="false">SUMIFS(tabela_registros[VALOR],tabela_registros[MÊS],$AE$1,tabela_registros[DIA],receitasvariáveisconsolidadoago[[#Headers],[4]],tabela_registros[REGISTRO],DADOS!$N$3,tabela_registros[TIPO],DADOS!$V$4,tabela_registros[CATEGORIA],receitasvariáveisconsolidadoago[[#This Row],[ATUAL]])</f>
        <v>0</v>
      </c>
      <c r="I98" s="119" t="n">
        <f aca="false">SUMIFS(tabela_registros[VALOR],tabela_registros[MÊS],$AE$1,tabela_registros[DIA],receitasvariáveisconsolidadoago[[#Headers],[5]],tabela_registros[REGISTRO],DADOS!$N$3,tabela_registros[TIPO],DADOS!$V$4,tabela_registros[CATEGORIA],receitasvariáveisconsolidadoago[[#This Row],[ATUAL]])</f>
        <v>0</v>
      </c>
      <c r="J98" s="119" t="n">
        <f aca="false">SUMIFS(tabela_registros[VALOR],tabela_registros[MÊS],$AE$1,tabela_registros[DIA],receitasvariáveisconsolidadoago[[#Headers],[6]],tabela_registros[REGISTRO],DADOS!$N$3,tabela_registros[TIPO],DADOS!$V$4,tabela_registros[CATEGORIA],receitasvariáveisconsolidadoago[[#This Row],[ATUAL]])</f>
        <v>0</v>
      </c>
      <c r="K98" s="119" t="n">
        <f aca="false">SUMIFS(tabela_registros[VALOR],tabela_registros[MÊS],$AE$1,tabela_registros[DIA],receitasvariáveisconsolidadoago[[#Headers],[7]],tabela_registros[REGISTRO],DADOS!$N$3,tabela_registros[TIPO],DADOS!$V$4,tabela_registros[CATEGORIA],receitasvariáveisconsolidadoago[[#This Row],[ATUAL]])</f>
        <v>0</v>
      </c>
      <c r="L98" s="119" t="n">
        <f aca="false">SUMIFS(tabela_registros[VALOR],tabela_registros[MÊS],$AE$1,tabela_registros[DIA],receitasvariáveisconsolidadoago[[#Headers],[8]],tabela_registros[REGISTRO],DADOS!$N$3,tabela_registros[TIPO],DADOS!$V$4,tabela_registros[CATEGORIA],receitasvariáveisconsolidadoago[[#This Row],[ATUAL]])</f>
        <v>0</v>
      </c>
      <c r="M98" s="119" t="n">
        <f aca="false">SUMIFS(tabela_registros[VALOR],tabela_registros[MÊS],$AE$1,tabela_registros[DIA],receitasvariáveisconsolidadoago[[#Headers],[9]],tabela_registros[REGISTRO],DADOS!$N$3,tabela_registros[TIPO],DADOS!$V$4,tabela_registros[CATEGORIA],receitasvariáveisconsolidadoago[[#This Row],[ATUAL]])</f>
        <v>0</v>
      </c>
      <c r="N98" s="119" t="n">
        <f aca="false">SUMIFS(tabela_registros[VALOR],tabela_registros[MÊS],$AE$1,tabela_registros[DIA],receitasvariáveisconsolidadoago[[#Headers],[10]],tabela_registros[REGISTRO],DADOS!$N$3,tabela_registros[TIPO],DADOS!$V$4,tabela_registros[CATEGORIA],receitasvariáveisconsolidadoago[[#This Row],[ATUAL]])</f>
        <v>0</v>
      </c>
      <c r="O98" s="119" t="n">
        <f aca="false">SUMIFS(tabela_registros[VALOR],tabela_registros[MÊS],$AE$1,tabela_registros[DIA],receitasvariáveisconsolidadoago[[#Headers],[11]],tabela_registros[REGISTRO],DADOS!$N$3,tabela_registros[TIPO],DADOS!$V$4,tabela_registros[CATEGORIA],receitasvariáveisconsolidadoago[[#This Row],[ATUAL]])</f>
        <v>0</v>
      </c>
      <c r="P98" s="119" t="n">
        <f aca="false">SUMIFS(tabela_registros[VALOR],tabela_registros[MÊS],$AE$1,tabela_registros[DIA],receitasvariáveisconsolidadoago[[#Headers],[12]],tabela_registros[REGISTRO],DADOS!$N$3,tabela_registros[TIPO],DADOS!$V$4,tabela_registros[CATEGORIA],receitasvariáveisconsolidadoago[[#This Row],[ATUAL]])</f>
        <v>0</v>
      </c>
      <c r="Q98" s="119" t="n">
        <f aca="false">SUMIFS(tabela_registros[VALOR],tabela_registros[MÊS],$AE$1,tabela_registros[DIA],receitasvariáveisconsolidadoago[[#Headers],[13]],tabela_registros[REGISTRO],DADOS!$N$3,tabela_registros[TIPO],DADOS!$V$4,tabela_registros[CATEGORIA],receitasvariáveisconsolidadoago[[#This Row],[ATUAL]])</f>
        <v>0</v>
      </c>
      <c r="R98" s="119" t="n">
        <f aca="false">SUMIFS(tabela_registros[VALOR],tabela_registros[MÊS],$AE$1,tabela_registros[DIA],receitasvariáveisconsolidadoago[[#Headers],[14]],tabela_registros[REGISTRO],DADOS!$N$3,tabela_registros[TIPO],DADOS!$V$4,tabela_registros[CATEGORIA],receitasvariáveisconsolidadoago[[#This Row],[ATUAL]])</f>
        <v>0</v>
      </c>
      <c r="S98" s="119" t="n">
        <f aca="false">SUMIFS(tabela_registros[VALOR],tabela_registros[MÊS],$AE$1,tabela_registros[DIA],receitasvariáveisconsolidadoago[[#Headers],[15]],tabela_registros[REGISTRO],DADOS!$N$3,tabela_registros[TIPO],DADOS!$V$4,tabela_registros[CATEGORIA],receitasvariáveisconsolidadoago[[#This Row],[ATUAL]])</f>
        <v>0</v>
      </c>
      <c r="T98" s="119" t="n">
        <f aca="false">SUMIFS(tabela_registros[VALOR],tabela_registros[MÊS],$AE$1,tabela_registros[DIA],receitasvariáveisconsolidadoago[[#Headers],[16]],tabela_registros[REGISTRO],DADOS!$N$3,tabela_registros[TIPO],DADOS!$V$4,tabela_registros[CATEGORIA],receitasvariáveisconsolidadoago[[#This Row],[ATUAL]])</f>
        <v>0</v>
      </c>
      <c r="U98" s="119" t="n">
        <f aca="false">SUMIFS(tabela_registros[VALOR],tabela_registros[MÊS],$AE$1,tabela_registros[DIA],receitasvariáveisconsolidadoago[[#Headers],[17]],tabela_registros[REGISTRO],DADOS!$N$3,tabela_registros[TIPO],DADOS!$V$4,tabela_registros[CATEGORIA],receitasvariáveisconsolidadoago[[#This Row],[ATUAL]])</f>
        <v>0</v>
      </c>
      <c r="V98" s="119" t="n">
        <f aca="false">SUMIFS(tabela_registros[VALOR],tabela_registros[MÊS],$AE$1,tabela_registros[DIA],receitasvariáveisconsolidadoago[[#Headers],[18]],tabela_registros[REGISTRO],DADOS!$N$3,tabela_registros[TIPO],DADOS!$V$4,tabela_registros[CATEGORIA],receitasvariáveisconsolidadoago[[#This Row],[ATUAL]])</f>
        <v>0</v>
      </c>
      <c r="W98" s="119" t="n">
        <f aca="false">SUMIFS(tabela_registros[VALOR],tabela_registros[MÊS],$AE$1,tabela_registros[DIA],receitasvariáveisconsolidadoago[[#Headers],[19]],tabela_registros[REGISTRO],DADOS!$N$3,tabela_registros[TIPO],DADOS!$V$4,tabela_registros[CATEGORIA],receitasvariáveisconsolidadoago[[#This Row],[ATUAL]])</f>
        <v>0</v>
      </c>
      <c r="X98" s="119" t="n">
        <f aca="false">SUMIFS(tabela_registros[VALOR],tabela_registros[MÊS],$AE$1,tabela_registros[DIA],receitasvariáveisconsolidadoago[[#Headers],[20]],tabela_registros[REGISTRO],DADOS!$N$3,tabela_registros[TIPO],DADOS!$V$4,tabela_registros[CATEGORIA],receitasvariáveisconsolidadoago[[#This Row],[ATUAL]])</f>
        <v>0</v>
      </c>
      <c r="Y98" s="119" t="n">
        <f aca="false">SUMIFS(tabela_registros[VALOR],tabela_registros[MÊS],$AE$1,tabela_registros[DIA],receitasvariáveisconsolidadoago[[#Headers],[21]],tabela_registros[REGISTRO],DADOS!$N$3,tabela_registros[TIPO],DADOS!$V$4,tabela_registros[CATEGORIA],receitasvariáveisconsolidadoago[[#This Row],[ATUAL]])</f>
        <v>0</v>
      </c>
      <c r="Z98" s="119" t="n">
        <f aca="false">SUMIFS(tabela_registros[VALOR],tabela_registros[MÊS],$AE$1,tabela_registros[DIA],receitasvariáveisconsolidadoago[[#Headers],[22]],tabela_registros[REGISTRO],DADOS!$N$3,tabela_registros[TIPO],DADOS!$V$4,tabela_registros[CATEGORIA],receitasvariáveisconsolidadoago[[#This Row],[ATUAL]])</f>
        <v>0</v>
      </c>
      <c r="AA98" s="119" t="n">
        <f aca="false">SUMIFS(tabela_registros[VALOR],tabela_registros[MÊS],$AE$1,tabela_registros[DIA],receitasvariáveisconsolidadoago[[#Headers],[23]],tabela_registros[REGISTRO],DADOS!$N$3,tabela_registros[TIPO],DADOS!$V$4,tabela_registros[CATEGORIA],receitasvariáveisconsolidadoago[[#This Row],[ATUAL]])</f>
        <v>0</v>
      </c>
      <c r="AB98" s="119" t="n">
        <f aca="false">SUMIFS(tabela_registros[VALOR],tabela_registros[MÊS],$AE$1,tabela_registros[DIA],receitasvariáveisconsolidadoago[[#Headers],[24]],tabela_registros[REGISTRO],DADOS!$N$3,tabela_registros[TIPO],DADOS!$V$4,tabela_registros[CATEGORIA],receitasvariáveisconsolidadoago[[#This Row],[ATUAL]])</f>
        <v>0</v>
      </c>
      <c r="AC98" s="119" t="n">
        <f aca="false">SUMIFS(tabela_registros[VALOR],tabela_registros[MÊS],$AE$1,tabela_registros[DIA],receitasvariáveisconsolidadoago[[#Headers],[25]],tabela_registros[REGISTRO],DADOS!$N$3,tabela_registros[TIPO],DADOS!$V$4,tabela_registros[CATEGORIA],receitasvariáveisconsolidadoago[[#This Row],[ATUAL]])</f>
        <v>0</v>
      </c>
      <c r="AD98" s="119" t="n">
        <f aca="false">SUMIFS(tabela_registros[VALOR],tabela_registros[MÊS],$AE$1,tabela_registros[DIA],receitasvariáveisconsolidadoago[[#Headers],[26]],tabela_registros[REGISTRO],DADOS!$N$3,tabela_registros[TIPO],DADOS!$V$4,tabela_registros[CATEGORIA],receitasvariáveisconsolidadoago[[#This Row],[ATUAL]])</f>
        <v>0</v>
      </c>
      <c r="AE98" s="119" t="n">
        <f aca="false">SUMIFS(tabela_registros[VALOR],tabela_registros[MÊS],$AE$1,tabela_registros[DIA],receitasvariáveisconsolidadoago[[#Headers],[27]],tabela_registros[REGISTRO],DADOS!$N$3,tabela_registros[TIPO],DADOS!$V$4,tabela_registros[CATEGORIA],receitasvariáveisconsolidadoago[[#This Row],[ATUAL]])</f>
        <v>0</v>
      </c>
      <c r="AF98" s="119" t="n">
        <f aca="false">SUMIFS(tabela_registros[VALOR],tabela_registros[MÊS],$AE$1,tabela_registros[DIA],receitasvariáveisconsolidadoago[[#Headers],[28]],tabela_registros[REGISTRO],DADOS!$N$3,tabela_registros[TIPO],DADOS!$V$4,tabela_registros[CATEGORIA],receitasvariáveisconsolidadoago[[#This Row],[ATUAL]])</f>
        <v>0</v>
      </c>
      <c r="AG98" s="119" t="n">
        <f aca="false">SUMIFS(tabela_registros[VALOR],tabela_registros[MÊS],$AE$1,tabela_registros[DIA],receitasvariáveisconsolidadoago[[#Headers],[29]],tabela_registros[REGISTRO],DADOS!$N$3,tabela_registros[TIPO],DADOS!$V$4,tabela_registros[CATEGORIA],receitasvariáveisconsolidadoago[[#This Row],[ATUAL]])</f>
        <v>0</v>
      </c>
      <c r="AH98" s="119" t="n">
        <f aca="false">SUMIFS(tabela_registros[VALOR],tabela_registros[MÊS],$AE$1,tabela_registros[DIA],receitasvariáveisconsolidadoago[[#Headers],[30]],tabela_registros[REGISTRO],DADOS!$N$3,tabela_registros[TIPO],DADOS!$V$4,tabela_registros[CATEGORIA],receitasvariáveisconsolidadoago[[#This Row],[ATUAL]])</f>
        <v>0</v>
      </c>
      <c r="AI98" s="217" t="n">
        <f aca="false">SUMIFS(tabela_registros[VALOR],tabela_registros[MÊS],$AE$1,tabela_registros[DIA],receitasvariáveisconsolidadoago[[#Headers],[31]],tabela_registros[REGISTRO],DADOS!$N$3,tabela_registros[TIPO],DADOS!$V$4,tabela_registros[CATEGORIA],receitasvariáveisconsolidadoago[[#This Row],[ATUAL]])</f>
        <v>0</v>
      </c>
      <c r="AJ98" s="149" t="n">
        <f aca="false">SUM(receitasvariáveisconsolidadoago[[#This Row],[1]:[31]])</f>
        <v>0</v>
      </c>
      <c r="AK98" s="165"/>
    </row>
    <row r="99" customFormat="false" ht="19.5" hidden="false" customHeight="true" outlineLevel="0" collapsed="false">
      <c r="B99" s="143"/>
      <c r="C99" s="144" t="str">
        <f aca="false">DADOS!$Z$6</f>
        <v>💲 INVESTIMENTOS</v>
      </c>
      <c r="D99" s="145" t="str">
        <f aca="false">IF(receitasvariáveisconsolidadoago[[#This Row],[TOTAL (R$)]]=0,"",IF(OR(receitasvariáveisconsolidadoago[[#This Row],[TOTAL (R$)]]=LARGE($AJ$96:$AJ$103,1),receitasvariáveisconsolidadoago[[#This Row],[TOTAL (R$)]]=LARGE($AJ$96:$AJ$103,2)),DADOS!$I$9,""))</f>
        <v/>
      </c>
      <c r="E99" s="148" t="n">
        <f aca="false">SUMIFS(tabela_registros[VALOR],tabela_registros[MÊS],$AE$1,tabela_registros[DIA],receitasvariáveisconsolidadoago[[#Headers],[1]],tabela_registros[REGISTRO],DADOS!$N$3,tabela_registros[TIPO],DADOS!$V$4,tabela_registros[CATEGORIA],receitasvariáveisconsolidadoago[[#This Row],[ATUAL]])</f>
        <v>0</v>
      </c>
      <c r="F99" s="119" t="n">
        <f aca="false">SUMIFS(tabela_registros[VALOR],tabela_registros[MÊS],$AE$1,tabela_registros[DIA],receitasvariáveisconsolidadoago[[#Headers],[2]],tabela_registros[REGISTRO],DADOS!$N$3,tabela_registros[TIPO],DADOS!$V$4,tabela_registros[CATEGORIA],receitasvariáveisconsolidadoago[[#This Row],[ATUAL]])</f>
        <v>0</v>
      </c>
      <c r="G99" s="119" t="n">
        <f aca="false">SUMIFS(tabela_registros[VALOR],tabela_registros[MÊS],$AE$1,tabela_registros[DIA],receitasvariáveisconsolidadoago[[#Headers],[3]],tabela_registros[REGISTRO],DADOS!$N$3,tabela_registros[TIPO],DADOS!$V$4,tabela_registros[CATEGORIA],receitasvariáveisconsolidadoago[[#This Row],[ATUAL]])</f>
        <v>0</v>
      </c>
      <c r="H99" s="119" t="n">
        <f aca="false">SUMIFS(tabela_registros[VALOR],tabela_registros[MÊS],$AE$1,tabela_registros[DIA],receitasvariáveisconsolidadoago[[#Headers],[4]],tabela_registros[REGISTRO],DADOS!$N$3,tabela_registros[TIPO],DADOS!$V$4,tabela_registros[CATEGORIA],receitasvariáveisconsolidadoago[[#This Row],[ATUAL]])</f>
        <v>0</v>
      </c>
      <c r="I99" s="119" t="n">
        <f aca="false">SUMIFS(tabela_registros[VALOR],tabela_registros[MÊS],$AE$1,tabela_registros[DIA],receitasvariáveisconsolidadoago[[#Headers],[5]],tabela_registros[REGISTRO],DADOS!$N$3,tabela_registros[TIPO],DADOS!$V$4,tabela_registros[CATEGORIA],receitasvariáveisconsolidadoago[[#This Row],[ATUAL]])</f>
        <v>0</v>
      </c>
      <c r="J99" s="119" t="n">
        <f aca="false">SUMIFS(tabela_registros[VALOR],tabela_registros[MÊS],$AE$1,tabela_registros[DIA],receitasvariáveisconsolidadoago[[#Headers],[6]],tabela_registros[REGISTRO],DADOS!$N$3,tabela_registros[TIPO],DADOS!$V$4,tabela_registros[CATEGORIA],receitasvariáveisconsolidadoago[[#This Row],[ATUAL]])</f>
        <v>0</v>
      </c>
      <c r="K99" s="119" t="n">
        <f aca="false">SUMIFS(tabela_registros[VALOR],tabela_registros[MÊS],$AE$1,tabela_registros[DIA],receitasvariáveisconsolidadoago[[#Headers],[7]],tabela_registros[REGISTRO],DADOS!$N$3,tabela_registros[TIPO],DADOS!$V$4,tabela_registros[CATEGORIA],receitasvariáveisconsolidadoago[[#This Row],[ATUAL]])</f>
        <v>0</v>
      </c>
      <c r="L99" s="119" t="n">
        <f aca="false">SUMIFS(tabela_registros[VALOR],tabela_registros[MÊS],$AE$1,tabela_registros[DIA],receitasvariáveisconsolidadoago[[#Headers],[8]],tabela_registros[REGISTRO],DADOS!$N$3,tabela_registros[TIPO],DADOS!$V$4,tabela_registros[CATEGORIA],receitasvariáveisconsolidadoago[[#This Row],[ATUAL]])</f>
        <v>0</v>
      </c>
      <c r="M99" s="119" t="n">
        <f aca="false">SUMIFS(tabela_registros[VALOR],tabela_registros[MÊS],$AE$1,tabela_registros[DIA],receitasvariáveisconsolidadoago[[#Headers],[9]],tabela_registros[REGISTRO],DADOS!$N$3,tabela_registros[TIPO],DADOS!$V$4,tabela_registros[CATEGORIA],receitasvariáveisconsolidadoago[[#This Row],[ATUAL]])</f>
        <v>0</v>
      </c>
      <c r="N99" s="119" t="n">
        <f aca="false">SUMIFS(tabela_registros[VALOR],tabela_registros[MÊS],$AE$1,tabela_registros[DIA],receitasvariáveisconsolidadoago[[#Headers],[10]],tabela_registros[REGISTRO],DADOS!$N$3,tabela_registros[TIPO],DADOS!$V$4,tabela_registros[CATEGORIA],receitasvariáveisconsolidadoago[[#This Row],[ATUAL]])</f>
        <v>0</v>
      </c>
      <c r="O99" s="119" t="n">
        <f aca="false">SUMIFS(tabela_registros[VALOR],tabela_registros[MÊS],$AE$1,tabela_registros[DIA],receitasvariáveisconsolidadoago[[#Headers],[11]],tabela_registros[REGISTRO],DADOS!$N$3,tabela_registros[TIPO],DADOS!$V$4,tabela_registros[CATEGORIA],receitasvariáveisconsolidadoago[[#This Row],[ATUAL]])</f>
        <v>0</v>
      </c>
      <c r="P99" s="119" t="n">
        <f aca="false">SUMIFS(tabela_registros[VALOR],tabela_registros[MÊS],$AE$1,tabela_registros[DIA],receitasvariáveisconsolidadoago[[#Headers],[12]],tabela_registros[REGISTRO],DADOS!$N$3,tabela_registros[TIPO],DADOS!$V$4,tabela_registros[CATEGORIA],receitasvariáveisconsolidadoago[[#This Row],[ATUAL]])</f>
        <v>0</v>
      </c>
      <c r="Q99" s="119" t="n">
        <f aca="false">SUMIFS(tabela_registros[VALOR],tabela_registros[MÊS],$AE$1,tabela_registros[DIA],receitasvariáveisconsolidadoago[[#Headers],[13]],tabela_registros[REGISTRO],DADOS!$N$3,tabela_registros[TIPO],DADOS!$V$4,tabela_registros[CATEGORIA],receitasvariáveisconsolidadoago[[#This Row],[ATUAL]])</f>
        <v>0</v>
      </c>
      <c r="R99" s="119" t="n">
        <f aca="false">SUMIFS(tabela_registros[VALOR],tabela_registros[MÊS],$AE$1,tabela_registros[DIA],receitasvariáveisconsolidadoago[[#Headers],[14]],tabela_registros[REGISTRO],DADOS!$N$3,tabela_registros[TIPO],DADOS!$V$4,tabela_registros[CATEGORIA],receitasvariáveisconsolidadoago[[#This Row],[ATUAL]])</f>
        <v>0</v>
      </c>
      <c r="S99" s="119" t="n">
        <f aca="false">SUMIFS(tabela_registros[VALOR],tabela_registros[MÊS],$AE$1,tabela_registros[DIA],receitasvariáveisconsolidadoago[[#Headers],[15]],tabela_registros[REGISTRO],DADOS!$N$3,tabela_registros[TIPO],DADOS!$V$4,tabela_registros[CATEGORIA],receitasvariáveisconsolidadoago[[#This Row],[ATUAL]])</f>
        <v>0</v>
      </c>
      <c r="T99" s="119" t="n">
        <f aca="false">SUMIFS(tabela_registros[VALOR],tabela_registros[MÊS],$AE$1,tabela_registros[DIA],receitasvariáveisconsolidadoago[[#Headers],[16]],tabela_registros[REGISTRO],DADOS!$N$3,tabela_registros[TIPO],DADOS!$V$4,tabela_registros[CATEGORIA],receitasvariáveisconsolidadoago[[#This Row],[ATUAL]])</f>
        <v>0</v>
      </c>
      <c r="U99" s="119" t="n">
        <f aca="false">SUMIFS(tabela_registros[VALOR],tabela_registros[MÊS],$AE$1,tabela_registros[DIA],receitasvariáveisconsolidadoago[[#Headers],[17]],tabela_registros[REGISTRO],DADOS!$N$3,tabela_registros[TIPO],DADOS!$V$4,tabela_registros[CATEGORIA],receitasvariáveisconsolidadoago[[#This Row],[ATUAL]])</f>
        <v>0</v>
      </c>
      <c r="V99" s="119" t="n">
        <f aca="false">SUMIFS(tabela_registros[VALOR],tabela_registros[MÊS],$AE$1,tabela_registros[DIA],receitasvariáveisconsolidadoago[[#Headers],[18]],tabela_registros[REGISTRO],DADOS!$N$3,tabela_registros[TIPO],DADOS!$V$4,tabela_registros[CATEGORIA],receitasvariáveisconsolidadoago[[#This Row],[ATUAL]])</f>
        <v>0</v>
      </c>
      <c r="W99" s="119" t="n">
        <f aca="false">SUMIFS(tabela_registros[VALOR],tabela_registros[MÊS],$AE$1,tabela_registros[DIA],receitasvariáveisconsolidadoago[[#Headers],[19]],tabela_registros[REGISTRO],DADOS!$N$3,tabela_registros[TIPO],DADOS!$V$4,tabela_registros[CATEGORIA],receitasvariáveisconsolidadoago[[#This Row],[ATUAL]])</f>
        <v>0</v>
      </c>
      <c r="X99" s="119" t="n">
        <f aca="false">SUMIFS(tabela_registros[VALOR],tabela_registros[MÊS],$AE$1,tabela_registros[DIA],receitasvariáveisconsolidadoago[[#Headers],[20]],tabela_registros[REGISTRO],DADOS!$N$3,tabela_registros[TIPO],DADOS!$V$4,tabela_registros[CATEGORIA],receitasvariáveisconsolidadoago[[#This Row],[ATUAL]])</f>
        <v>0</v>
      </c>
      <c r="Y99" s="119" t="n">
        <f aca="false">SUMIFS(tabela_registros[VALOR],tabela_registros[MÊS],$AE$1,tabela_registros[DIA],receitasvariáveisconsolidadoago[[#Headers],[21]],tabela_registros[REGISTRO],DADOS!$N$3,tabela_registros[TIPO],DADOS!$V$4,tabela_registros[CATEGORIA],receitasvariáveisconsolidadoago[[#This Row],[ATUAL]])</f>
        <v>0</v>
      </c>
      <c r="Z99" s="119" t="n">
        <f aca="false">SUMIFS(tabela_registros[VALOR],tabela_registros[MÊS],$AE$1,tabela_registros[DIA],receitasvariáveisconsolidadoago[[#Headers],[22]],tabela_registros[REGISTRO],DADOS!$N$3,tabela_registros[TIPO],DADOS!$V$4,tabela_registros[CATEGORIA],receitasvariáveisconsolidadoago[[#This Row],[ATUAL]])</f>
        <v>0</v>
      </c>
      <c r="AA99" s="119" t="n">
        <f aca="false">SUMIFS(tabela_registros[VALOR],tabela_registros[MÊS],$AE$1,tabela_registros[DIA],receitasvariáveisconsolidadoago[[#Headers],[23]],tabela_registros[REGISTRO],DADOS!$N$3,tabela_registros[TIPO],DADOS!$V$4,tabela_registros[CATEGORIA],receitasvariáveisconsolidadoago[[#This Row],[ATUAL]])</f>
        <v>0</v>
      </c>
      <c r="AB99" s="119" t="n">
        <f aca="false">SUMIFS(tabela_registros[VALOR],tabela_registros[MÊS],$AE$1,tabela_registros[DIA],receitasvariáveisconsolidadoago[[#Headers],[24]],tabela_registros[REGISTRO],DADOS!$N$3,tabela_registros[TIPO],DADOS!$V$4,tabela_registros[CATEGORIA],receitasvariáveisconsolidadoago[[#This Row],[ATUAL]])</f>
        <v>0</v>
      </c>
      <c r="AC99" s="119" t="n">
        <f aca="false">SUMIFS(tabela_registros[VALOR],tabela_registros[MÊS],$AE$1,tabela_registros[DIA],receitasvariáveisconsolidadoago[[#Headers],[25]],tabela_registros[REGISTRO],DADOS!$N$3,tabela_registros[TIPO],DADOS!$V$4,tabela_registros[CATEGORIA],receitasvariáveisconsolidadoago[[#This Row],[ATUAL]])</f>
        <v>0</v>
      </c>
      <c r="AD99" s="119" t="n">
        <f aca="false">SUMIFS(tabela_registros[VALOR],tabela_registros[MÊS],$AE$1,tabela_registros[DIA],receitasvariáveisconsolidadoago[[#Headers],[26]],tabela_registros[REGISTRO],DADOS!$N$3,tabela_registros[TIPO],DADOS!$V$4,tabela_registros[CATEGORIA],receitasvariáveisconsolidadoago[[#This Row],[ATUAL]])</f>
        <v>0</v>
      </c>
      <c r="AE99" s="119" t="n">
        <f aca="false">SUMIFS(tabela_registros[VALOR],tabela_registros[MÊS],$AE$1,tabela_registros[DIA],receitasvariáveisconsolidadoago[[#Headers],[27]],tabela_registros[REGISTRO],DADOS!$N$3,tabela_registros[TIPO],DADOS!$V$4,tabela_registros[CATEGORIA],receitasvariáveisconsolidadoago[[#This Row],[ATUAL]])</f>
        <v>0</v>
      </c>
      <c r="AF99" s="119" t="n">
        <f aca="false">SUMIFS(tabela_registros[VALOR],tabela_registros[MÊS],$AE$1,tabela_registros[DIA],receitasvariáveisconsolidadoago[[#Headers],[28]],tabela_registros[REGISTRO],DADOS!$N$3,tabela_registros[TIPO],DADOS!$V$4,tabela_registros[CATEGORIA],receitasvariáveisconsolidadoago[[#This Row],[ATUAL]])</f>
        <v>0</v>
      </c>
      <c r="AG99" s="119" t="n">
        <f aca="false">SUMIFS(tabela_registros[VALOR],tabela_registros[MÊS],$AE$1,tabela_registros[DIA],receitasvariáveisconsolidadoago[[#Headers],[29]],tabela_registros[REGISTRO],DADOS!$N$3,tabela_registros[TIPO],DADOS!$V$4,tabela_registros[CATEGORIA],receitasvariáveisconsolidadoago[[#This Row],[ATUAL]])</f>
        <v>0</v>
      </c>
      <c r="AH99" s="119" t="n">
        <f aca="false">SUMIFS(tabela_registros[VALOR],tabela_registros[MÊS],$AE$1,tabela_registros[DIA],receitasvariáveisconsolidadoago[[#Headers],[30]],tabela_registros[REGISTRO],DADOS!$N$3,tabela_registros[TIPO],DADOS!$V$4,tabela_registros[CATEGORIA],receitasvariáveisconsolidadoago[[#This Row],[ATUAL]])</f>
        <v>0</v>
      </c>
      <c r="AI99" s="217" t="n">
        <f aca="false">SUMIFS(tabela_registros[VALOR],tabela_registros[MÊS],$AE$1,tabela_registros[DIA],receitasvariáveisconsolidadoago[[#Headers],[31]],tabela_registros[REGISTRO],DADOS!$N$3,tabela_registros[TIPO],DADOS!$V$4,tabela_registros[CATEGORIA],receitasvariáveisconsolidadoago[[#This Row],[ATUAL]])</f>
        <v>0</v>
      </c>
      <c r="AJ99" s="149" t="n">
        <f aca="false">SUM(receitasvariáveisconsolidadoago[[#This Row],[1]:[31]])</f>
        <v>0</v>
      </c>
      <c r="AK99" s="165"/>
    </row>
    <row r="100" customFormat="false" ht="19.5" hidden="false" customHeight="true" outlineLevel="0" collapsed="false">
      <c r="B100" s="143"/>
      <c r="C100" s="144" t="str">
        <f aca="false">DADOS!$Z$7</f>
        <v>🧾 NOTA DE SERVIÇO</v>
      </c>
      <c r="D100" s="145" t="str">
        <f aca="false">IF(receitasvariáveisconsolidadoago[[#This Row],[TOTAL (R$)]]=0,"",IF(OR(receitasvariáveisconsolidadoago[[#This Row],[TOTAL (R$)]]=LARGE($AJ$96:$AJ$103,1),receitasvariáveisconsolidadoago[[#This Row],[TOTAL (R$)]]=LARGE($AJ$96:$AJ$103,2)),DADOS!$I$9,""))</f>
        <v/>
      </c>
      <c r="E100" s="148" t="n">
        <f aca="false">SUMIFS(tabela_registros[VALOR],tabela_registros[MÊS],$AE$1,tabela_registros[DIA],receitasvariáveisconsolidadoago[[#Headers],[1]],tabela_registros[REGISTRO],DADOS!$N$3,tabela_registros[TIPO],DADOS!$V$4,tabela_registros[CATEGORIA],receitasvariáveisconsolidadoago[[#This Row],[ATUAL]])</f>
        <v>0</v>
      </c>
      <c r="F100" s="119" t="n">
        <f aca="false">SUMIFS(tabela_registros[VALOR],tabela_registros[MÊS],$AE$1,tabela_registros[DIA],receitasvariáveisconsolidadoago[[#Headers],[2]],tabela_registros[REGISTRO],DADOS!$N$3,tabela_registros[TIPO],DADOS!$V$4,tabela_registros[CATEGORIA],receitasvariáveisconsolidadoago[[#This Row],[ATUAL]])</f>
        <v>0</v>
      </c>
      <c r="G100" s="119" t="n">
        <f aca="false">SUMIFS(tabela_registros[VALOR],tabela_registros[MÊS],$AE$1,tabela_registros[DIA],receitasvariáveisconsolidadoago[[#Headers],[3]],tabela_registros[REGISTRO],DADOS!$N$3,tabela_registros[TIPO],DADOS!$V$4,tabela_registros[CATEGORIA],receitasvariáveisconsolidadoago[[#This Row],[ATUAL]])</f>
        <v>0</v>
      </c>
      <c r="H100" s="119" t="n">
        <f aca="false">SUMIFS(tabela_registros[VALOR],tabela_registros[MÊS],$AE$1,tabela_registros[DIA],receitasvariáveisconsolidadoago[[#Headers],[4]],tabela_registros[REGISTRO],DADOS!$N$3,tabela_registros[TIPO],DADOS!$V$4,tabela_registros[CATEGORIA],receitasvariáveisconsolidadoago[[#This Row],[ATUAL]])</f>
        <v>0</v>
      </c>
      <c r="I100" s="119" t="n">
        <f aca="false">SUMIFS(tabela_registros[VALOR],tabela_registros[MÊS],$AE$1,tabela_registros[DIA],receitasvariáveisconsolidadoago[[#Headers],[5]],tabela_registros[REGISTRO],DADOS!$N$3,tabela_registros[TIPO],DADOS!$V$4,tabela_registros[CATEGORIA],receitasvariáveisconsolidadoago[[#This Row],[ATUAL]])</f>
        <v>0</v>
      </c>
      <c r="J100" s="119" t="n">
        <f aca="false">SUMIFS(tabela_registros[VALOR],tabela_registros[MÊS],$AE$1,tabela_registros[DIA],receitasvariáveisconsolidadoago[[#Headers],[6]],tabela_registros[REGISTRO],DADOS!$N$3,tabela_registros[TIPO],DADOS!$V$4,tabela_registros[CATEGORIA],receitasvariáveisconsolidadoago[[#This Row],[ATUAL]])</f>
        <v>0</v>
      </c>
      <c r="K100" s="119" t="n">
        <f aca="false">SUMIFS(tabela_registros[VALOR],tabela_registros[MÊS],$AE$1,tabela_registros[DIA],receitasvariáveisconsolidadoago[[#Headers],[7]],tabela_registros[REGISTRO],DADOS!$N$3,tabela_registros[TIPO],DADOS!$V$4,tabela_registros[CATEGORIA],receitasvariáveisconsolidadoago[[#This Row],[ATUAL]])</f>
        <v>0</v>
      </c>
      <c r="L100" s="119" t="n">
        <f aca="false">SUMIFS(tabela_registros[VALOR],tabela_registros[MÊS],$AE$1,tabela_registros[DIA],receitasvariáveisconsolidadoago[[#Headers],[8]],tabela_registros[REGISTRO],DADOS!$N$3,tabela_registros[TIPO],DADOS!$V$4,tabela_registros[CATEGORIA],receitasvariáveisconsolidadoago[[#This Row],[ATUAL]])</f>
        <v>0</v>
      </c>
      <c r="M100" s="119" t="n">
        <f aca="false">SUMIFS(tabela_registros[VALOR],tabela_registros[MÊS],$AE$1,tabela_registros[DIA],receitasvariáveisconsolidadoago[[#Headers],[9]],tabela_registros[REGISTRO],DADOS!$N$3,tabela_registros[TIPO],DADOS!$V$4,tabela_registros[CATEGORIA],receitasvariáveisconsolidadoago[[#This Row],[ATUAL]])</f>
        <v>0</v>
      </c>
      <c r="N100" s="119" t="n">
        <f aca="false">SUMIFS(tabela_registros[VALOR],tabela_registros[MÊS],$AE$1,tabela_registros[DIA],receitasvariáveisconsolidadoago[[#Headers],[10]],tabela_registros[REGISTRO],DADOS!$N$3,tabela_registros[TIPO],DADOS!$V$4,tabela_registros[CATEGORIA],receitasvariáveisconsolidadoago[[#This Row],[ATUAL]])</f>
        <v>0</v>
      </c>
      <c r="O100" s="119" t="n">
        <f aca="false">SUMIFS(tabela_registros[VALOR],tabela_registros[MÊS],$AE$1,tabela_registros[DIA],receitasvariáveisconsolidadoago[[#Headers],[11]],tabela_registros[REGISTRO],DADOS!$N$3,tabela_registros[TIPO],DADOS!$V$4,tabela_registros[CATEGORIA],receitasvariáveisconsolidadoago[[#This Row],[ATUAL]])</f>
        <v>0</v>
      </c>
      <c r="P100" s="119" t="n">
        <f aca="false">SUMIFS(tabela_registros[VALOR],tabela_registros[MÊS],$AE$1,tabela_registros[DIA],receitasvariáveisconsolidadoago[[#Headers],[12]],tabela_registros[REGISTRO],DADOS!$N$3,tabela_registros[TIPO],DADOS!$V$4,tabela_registros[CATEGORIA],receitasvariáveisconsolidadoago[[#This Row],[ATUAL]])</f>
        <v>0</v>
      </c>
      <c r="Q100" s="119" t="n">
        <f aca="false">SUMIFS(tabela_registros[VALOR],tabela_registros[MÊS],$AE$1,tabela_registros[DIA],receitasvariáveisconsolidadoago[[#Headers],[13]],tabela_registros[REGISTRO],DADOS!$N$3,tabela_registros[TIPO],DADOS!$V$4,tabela_registros[CATEGORIA],receitasvariáveisconsolidadoago[[#This Row],[ATUAL]])</f>
        <v>0</v>
      </c>
      <c r="R100" s="119" t="n">
        <f aca="false">SUMIFS(tabela_registros[VALOR],tabela_registros[MÊS],$AE$1,tabela_registros[DIA],receitasvariáveisconsolidadoago[[#Headers],[14]],tabela_registros[REGISTRO],DADOS!$N$3,tabela_registros[TIPO],DADOS!$V$4,tabela_registros[CATEGORIA],receitasvariáveisconsolidadoago[[#This Row],[ATUAL]])</f>
        <v>0</v>
      </c>
      <c r="S100" s="119" t="n">
        <f aca="false">SUMIFS(tabela_registros[VALOR],tabela_registros[MÊS],$AE$1,tabela_registros[DIA],receitasvariáveisconsolidadoago[[#Headers],[15]],tabela_registros[REGISTRO],DADOS!$N$3,tabela_registros[TIPO],DADOS!$V$4,tabela_registros[CATEGORIA],receitasvariáveisconsolidadoago[[#This Row],[ATUAL]])</f>
        <v>0</v>
      </c>
      <c r="T100" s="119" t="n">
        <f aca="false">SUMIFS(tabela_registros[VALOR],tabela_registros[MÊS],$AE$1,tabela_registros[DIA],receitasvariáveisconsolidadoago[[#Headers],[16]],tabela_registros[REGISTRO],DADOS!$N$3,tabela_registros[TIPO],DADOS!$V$4,tabela_registros[CATEGORIA],receitasvariáveisconsolidadoago[[#This Row],[ATUAL]])</f>
        <v>0</v>
      </c>
      <c r="U100" s="119" t="n">
        <f aca="false">SUMIFS(tabela_registros[VALOR],tabela_registros[MÊS],$AE$1,tabela_registros[DIA],receitasvariáveisconsolidadoago[[#Headers],[17]],tabela_registros[REGISTRO],DADOS!$N$3,tabela_registros[TIPO],DADOS!$V$4,tabela_registros[CATEGORIA],receitasvariáveisconsolidadoago[[#This Row],[ATUAL]])</f>
        <v>0</v>
      </c>
      <c r="V100" s="119" t="n">
        <f aca="false">SUMIFS(tabela_registros[VALOR],tabela_registros[MÊS],$AE$1,tabela_registros[DIA],receitasvariáveisconsolidadoago[[#Headers],[18]],tabela_registros[REGISTRO],DADOS!$N$3,tabela_registros[TIPO],DADOS!$V$4,tabela_registros[CATEGORIA],receitasvariáveisconsolidadoago[[#This Row],[ATUAL]])</f>
        <v>0</v>
      </c>
      <c r="W100" s="119" t="n">
        <f aca="false">SUMIFS(tabela_registros[VALOR],tabela_registros[MÊS],$AE$1,tabela_registros[DIA],receitasvariáveisconsolidadoago[[#Headers],[19]],tabela_registros[REGISTRO],DADOS!$N$3,tabela_registros[TIPO],DADOS!$V$4,tabela_registros[CATEGORIA],receitasvariáveisconsolidadoago[[#This Row],[ATUAL]])</f>
        <v>0</v>
      </c>
      <c r="X100" s="119" t="n">
        <f aca="false">SUMIFS(tabela_registros[VALOR],tabela_registros[MÊS],$AE$1,tabela_registros[DIA],receitasvariáveisconsolidadoago[[#Headers],[20]],tabela_registros[REGISTRO],DADOS!$N$3,tabela_registros[TIPO],DADOS!$V$4,tabela_registros[CATEGORIA],receitasvariáveisconsolidadoago[[#This Row],[ATUAL]])</f>
        <v>0</v>
      </c>
      <c r="Y100" s="119" t="n">
        <f aca="false">SUMIFS(tabela_registros[VALOR],tabela_registros[MÊS],$AE$1,tabela_registros[DIA],receitasvariáveisconsolidadoago[[#Headers],[21]],tabela_registros[REGISTRO],DADOS!$N$3,tabela_registros[TIPO],DADOS!$V$4,tabela_registros[CATEGORIA],receitasvariáveisconsolidadoago[[#This Row],[ATUAL]])</f>
        <v>0</v>
      </c>
      <c r="Z100" s="119" t="n">
        <f aca="false">SUMIFS(tabela_registros[VALOR],tabela_registros[MÊS],$AE$1,tabela_registros[DIA],receitasvariáveisconsolidadoago[[#Headers],[22]],tabela_registros[REGISTRO],DADOS!$N$3,tabela_registros[TIPO],DADOS!$V$4,tabela_registros[CATEGORIA],receitasvariáveisconsolidadoago[[#This Row],[ATUAL]])</f>
        <v>0</v>
      </c>
      <c r="AA100" s="119" t="n">
        <f aca="false">SUMIFS(tabela_registros[VALOR],tabela_registros[MÊS],$AE$1,tabela_registros[DIA],receitasvariáveisconsolidadoago[[#Headers],[23]],tabela_registros[REGISTRO],DADOS!$N$3,tabela_registros[TIPO],DADOS!$V$4,tabela_registros[CATEGORIA],receitasvariáveisconsolidadoago[[#This Row],[ATUAL]])</f>
        <v>0</v>
      </c>
      <c r="AB100" s="119" t="n">
        <f aca="false">SUMIFS(tabela_registros[VALOR],tabela_registros[MÊS],$AE$1,tabela_registros[DIA],receitasvariáveisconsolidadoago[[#Headers],[24]],tabela_registros[REGISTRO],DADOS!$N$3,tabela_registros[TIPO],DADOS!$V$4,tabela_registros[CATEGORIA],receitasvariáveisconsolidadoago[[#This Row],[ATUAL]])</f>
        <v>0</v>
      </c>
      <c r="AC100" s="119" t="n">
        <f aca="false">SUMIFS(tabela_registros[VALOR],tabela_registros[MÊS],$AE$1,tabela_registros[DIA],receitasvariáveisconsolidadoago[[#Headers],[25]],tabela_registros[REGISTRO],DADOS!$N$3,tabela_registros[TIPO],DADOS!$V$4,tabela_registros[CATEGORIA],receitasvariáveisconsolidadoago[[#This Row],[ATUAL]])</f>
        <v>0</v>
      </c>
      <c r="AD100" s="119" t="n">
        <f aca="false">SUMIFS(tabela_registros[VALOR],tabela_registros[MÊS],$AE$1,tabela_registros[DIA],receitasvariáveisconsolidadoago[[#Headers],[26]],tabela_registros[REGISTRO],DADOS!$N$3,tabela_registros[TIPO],DADOS!$V$4,tabela_registros[CATEGORIA],receitasvariáveisconsolidadoago[[#This Row],[ATUAL]])</f>
        <v>0</v>
      </c>
      <c r="AE100" s="119" t="n">
        <f aca="false">SUMIFS(tabela_registros[VALOR],tabela_registros[MÊS],$AE$1,tabela_registros[DIA],receitasvariáveisconsolidadoago[[#Headers],[27]],tabela_registros[REGISTRO],DADOS!$N$3,tabela_registros[TIPO],DADOS!$V$4,tabela_registros[CATEGORIA],receitasvariáveisconsolidadoago[[#This Row],[ATUAL]])</f>
        <v>0</v>
      </c>
      <c r="AF100" s="119" t="n">
        <f aca="false">SUMIFS(tabela_registros[VALOR],tabela_registros[MÊS],$AE$1,tabela_registros[DIA],receitasvariáveisconsolidadoago[[#Headers],[28]],tabela_registros[REGISTRO],DADOS!$N$3,tabela_registros[TIPO],DADOS!$V$4,tabela_registros[CATEGORIA],receitasvariáveisconsolidadoago[[#This Row],[ATUAL]])</f>
        <v>0</v>
      </c>
      <c r="AG100" s="119" t="n">
        <f aca="false">SUMIFS(tabela_registros[VALOR],tabela_registros[MÊS],$AE$1,tabela_registros[DIA],receitasvariáveisconsolidadoago[[#Headers],[29]],tabela_registros[REGISTRO],DADOS!$N$3,tabela_registros[TIPO],DADOS!$V$4,tabela_registros[CATEGORIA],receitasvariáveisconsolidadoago[[#This Row],[ATUAL]])</f>
        <v>0</v>
      </c>
      <c r="AH100" s="119" t="n">
        <f aca="false">SUMIFS(tabela_registros[VALOR],tabela_registros[MÊS],$AE$1,tabela_registros[DIA],receitasvariáveisconsolidadoago[[#Headers],[30]],tabela_registros[REGISTRO],DADOS!$N$3,tabela_registros[TIPO],DADOS!$V$4,tabela_registros[CATEGORIA],receitasvariáveisconsolidadoago[[#This Row],[ATUAL]])</f>
        <v>0</v>
      </c>
      <c r="AI100" s="217" t="n">
        <f aca="false">SUMIFS(tabela_registros[VALOR],tabela_registros[MÊS],$AE$1,tabela_registros[DIA],receitasvariáveisconsolidadoago[[#Headers],[31]],tabela_registros[REGISTRO],DADOS!$N$3,tabela_registros[TIPO],DADOS!$V$4,tabela_registros[CATEGORIA],receitasvariáveisconsolidadoago[[#This Row],[ATUAL]])</f>
        <v>0</v>
      </c>
      <c r="AJ100" s="237" t="n">
        <f aca="false">SUM(receitasvariáveisconsolidadoago[[#This Row],[1]:[31]])</f>
        <v>0</v>
      </c>
      <c r="AK100" s="165"/>
    </row>
    <row r="101" customFormat="false" ht="19.5" hidden="false" customHeight="true" outlineLevel="0" collapsed="false">
      <c r="B101" s="143"/>
      <c r="C101" s="144" t="str">
        <f aca="false">DADOS!$Z$8</f>
        <v>🎁 PRESENTE</v>
      </c>
      <c r="D101" s="145" t="str">
        <f aca="false">IF(receitasvariáveisconsolidadoago[[#This Row],[TOTAL (R$)]]=0,"",IF(OR(receitasvariáveisconsolidadoago[[#This Row],[TOTAL (R$)]]=LARGE($AJ$96:$AJ$103,1),receitasvariáveisconsolidadoago[[#This Row],[TOTAL (R$)]]=LARGE($AJ$96:$AJ$103,2)),DADOS!$I$9,""))</f>
        <v/>
      </c>
      <c r="E101" s="148" t="n">
        <f aca="false">SUMIFS(tabela_registros[VALOR],tabela_registros[MÊS],$AE$1,tabela_registros[DIA],receitasvariáveisconsolidadoago[[#Headers],[1]],tabela_registros[REGISTRO],DADOS!$N$3,tabela_registros[TIPO],DADOS!$V$4,tabela_registros[CATEGORIA],receitasvariáveisconsolidadoago[[#This Row],[ATUAL]])</f>
        <v>0</v>
      </c>
      <c r="F101" s="119" t="n">
        <f aca="false">SUMIFS(tabela_registros[VALOR],tabela_registros[MÊS],$AE$1,tabela_registros[DIA],receitasvariáveisconsolidadoago[[#Headers],[2]],tabela_registros[REGISTRO],DADOS!$N$3,tabela_registros[TIPO],DADOS!$V$4,tabela_registros[CATEGORIA],receitasvariáveisconsolidadoago[[#This Row],[ATUAL]])</f>
        <v>0</v>
      </c>
      <c r="G101" s="119" t="n">
        <f aca="false">SUMIFS(tabela_registros[VALOR],tabela_registros[MÊS],$AE$1,tabela_registros[DIA],receitasvariáveisconsolidadoago[[#Headers],[3]],tabela_registros[REGISTRO],DADOS!$N$3,tabela_registros[TIPO],DADOS!$V$4,tabela_registros[CATEGORIA],receitasvariáveisconsolidadoago[[#This Row],[ATUAL]])</f>
        <v>0</v>
      </c>
      <c r="H101" s="119" t="n">
        <f aca="false">SUMIFS(tabela_registros[VALOR],tabela_registros[MÊS],$AE$1,tabela_registros[DIA],receitasvariáveisconsolidadoago[[#Headers],[4]],tabela_registros[REGISTRO],DADOS!$N$3,tabela_registros[TIPO],DADOS!$V$4,tabela_registros[CATEGORIA],receitasvariáveisconsolidadoago[[#This Row],[ATUAL]])</f>
        <v>0</v>
      </c>
      <c r="I101" s="119" t="n">
        <f aca="false">SUMIFS(tabela_registros[VALOR],tabela_registros[MÊS],$AE$1,tabela_registros[DIA],receitasvariáveisconsolidadoago[[#Headers],[5]],tabela_registros[REGISTRO],DADOS!$N$3,tabela_registros[TIPO],DADOS!$V$4,tabela_registros[CATEGORIA],receitasvariáveisconsolidadoago[[#This Row],[ATUAL]])</f>
        <v>0</v>
      </c>
      <c r="J101" s="119" t="n">
        <f aca="false">SUMIFS(tabela_registros[VALOR],tabela_registros[MÊS],$AE$1,tabela_registros[DIA],receitasvariáveisconsolidadoago[[#Headers],[6]],tabela_registros[REGISTRO],DADOS!$N$3,tabela_registros[TIPO],DADOS!$V$4,tabela_registros[CATEGORIA],receitasvariáveisconsolidadoago[[#This Row],[ATUAL]])</f>
        <v>0</v>
      </c>
      <c r="K101" s="119" t="n">
        <f aca="false">SUMIFS(tabela_registros[VALOR],tabela_registros[MÊS],$AE$1,tabela_registros[DIA],receitasvariáveisconsolidadoago[[#Headers],[7]],tabela_registros[REGISTRO],DADOS!$N$3,tabela_registros[TIPO],DADOS!$V$4,tabela_registros[CATEGORIA],receitasvariáveisconsolidadoago[[#This Row],[ATUAL]])</f>
        <v>0</v>
      </c>
      <c r="L101" s="119" t="n">
        <f aca="false">SUMIFS(tabela_registros[VALOR],tabela_registros[MÊS],$AE$1,tabela_registros[DIA],receitasvariáveisconsolidadoago[[#Headers],[8]],tabela_registros[REGISTRO],DADOS!$N$3,tabela_registros[TIPO],DADOS!$V$4,tabela_registros[CATEGORIA],receitasvariáveisconsolidadoago[[#This Row],[ATUAL]])</f>
        <v>0</v>
      </c>
      <c r="M101" s="119" t="n">
        <f aca="false">SUMIFS(tabela_registros[VALOR],tabela_registros[MÊS],$AE$1,tabela_registros[DIA],receitasvariáveisconsolidadoago[[#Headers],[9]],tabela_registros[REGISTRO],DADOS!$N$3,tabela_registros[TIPO],DADOS!$V$4,tabela_registros[CATEGORIA],receitasvariáveisconsolidadoago[[#This Row],[ATUAL]])</f>
        <v>0</v>
      </c>
      <c r="N101" s="119" t="n">
        <f aca="false">SUMIFS(tabela_registros[VALOR],tabela_registros[MÊS],$AE$1,tabela_registros[DIA],receitasvariáveisconsolidadoago[[#Headers],[10]],tabela_registros[REGISTRO],DADOS!$N$3,tabela_registros[TIPO],DADOS!$V$4,tabela_registros[CATEGORIA],receitasvariáveisconsolidadoago[[#This Row],[ATUAL]])</f>
        <v>0</v>
      </c>
      <c r="O101" s="119" t="n">
        <f aca="false">SUMIFS(tabela_registros[VALOR],tabela_registros[MÊS],$AE$1,tabela_registros[DIA],receitasvariáveisconsolidadoago[[#Headers],[11]],tabela_registros[REGISTRO],DADOS!$N$3,tabela_registros[TIPO],DADOS!$V$4,tabela_registros[CATEGORIA],receitasvariáveisconsolidadoago[[#This Row],[ATUAL]])</f>
        <v>0</v>
      </c>
      <c r="P101" s="119" t="n">
        <f aca="false">SUMIFS(tabela_registros[VALOR],tabela_registros[MÊS],$AE$1,tabela_registros[DIA],receitasvariáveisconsolidadoago[[#Headers],[12]],tabela_registros[REGISTRO],DADOS!$N$3,tabela_registros[TIPO],DADOS!$V$4,tabela_registros[CATEGORIA],receitasvariáveisconsolidadoago[[#This Row],[ATUAL]])</f>
        <v>0</v>
      </c>
      <c r="Q101" s="119" t="n">
        <f aca="false">SUMIFS(tabela_registros[VALOR],tabela_registros[MÊS],$AE$1,tabela_registros[DIA],receitasvariáveisconsolidadoago[[#Headers],[13]],tabela_registros[REGISTRO],DADOS!$N$3,tabela_registros[TIPO],DADOS!$V$4,tabela_registros[CATEGORIA],receitasvariáveisconsolidadoago[[#This Row],[ATUAL]])</f>
        <v>0</v>
      </c>
      <c r="R101" s="119" t="n">
        <f aca="false">SUMIFS(tabela_registros[VALOR],tabela_registros[MÊS],$AE$1,tabela_registros[DIA],receitasvariáveisconsolidadoago[[#Headers],[14]],tabela_registros[REGISTRO],DADOS!$N$3,tabela_registros[TIPO],DADOS!$V$4,tabela_registros[CATEGORIA],receitasvariáveisconsolidadoago[[#This Row],[ATUAL]])</f>
        <v>0</v>
      </c>
      <c r="S101" s="119" t="n">
        <f aca="false">SUMIFS(tabela_registros[VALOR],tabela_registros[MÊS],$AE$1,tabela_registros[DIA],receitasvariáveisconsolidadoago[[#Headers],[15]],tabela_registros[REGISTRO],DADOS!$N$3,tabela_registros[TIPO],DADOS!$V$4,tabela_registros[CATEGORIA],receitasvariáveisconsolidadoago[[#This Row],[ATUAL]])</f>
        <v>0</v>
      </c>
      <c r="T101" s="119" t="n">
        <f aca="false">SUMIFS(tabela_registros[VALOR],tabela_registros[MÊS],$AE$1,tabela_registros[DIA],receitasvariáveisconsolidadoago[[#Headers],[16]],tabela_registros[REGISTRO],DADOS!$N$3,tabela_registros[TIPO],DADOS!$V$4,tabela_registros[CATEGORIA],receitasvariáveisconsolidadoago[[#This Row],[ATUAL]])</f>
        <v>0</v>
      </c>
      <c r="U101" s="119" t="n">
        <f aca="false">SUMIFS(tabela_registros[VALOR],tabela_registros[MÊS],$AE$1,tabela_registros[DIA],receitasvariáveisconsolidadoago[[#Headers],[17]],tabela_registros[REGISTRO],DADOS!$N$3,tabela_registros[TIPO],DADOS!$V$4,tabela_registros[CATEGORIA],receitasvariáveisconsolidadoago[[#This Row],[ATUAL]])</f>
        <v>0</v>
      </c>
      <c r="V101" s="119" t="n">
        <f aca="false">SUMIFS(tabela_registros[VALOR],tabela_registros[MÊS],$AE$1,tabela_registros[DIA],receitasvariáveisconsolidadoago[[#Headers],[18]],tabela_registros[REGISTRO],DADOS!$N$3,tabela_registros[TIPO],DADOS!$V$4,tabela_registros[CATEGORIA],receitasvariáveisconsolidadoago[[#This Row],[ATUAL]])</f>
        <v>0</v>
      </c>
      <c r="W101" s="119" t="n">
        <f aca="false">SUMIFS(tabela_registros[VALOR],tabela_registros[MÊS],$AE$1,tabela_registros[DIA],receitasvariáveisconsolidadoago[[#Headers],[19]],tabela_registros[REGISTRO],DADOS!$N$3,tabela_registros[TIPO],DADOS!$V$4,tabela_registros[CATEGORIA],receitasvariáveisconsolidadoago[[#This Row],[ATUAL]])</f>
        <v>0</v>
      </c>
      <c r="X101" s="119" t="n">
        <f aca="false">SUMIFS(tabela_registros[VALOR],tabela_registros[MÊS],$AE$1,tabela_registros[DIA],receitasvariáveisconsolidadoago[[#Headers],[20]],tabela_registros[REGISTRO],DADOS!$N$3,tabela_registros[TIPO],DADOS!$V$4,tabela_registros[CATEGORIA],receitasvariáveisconsolidadoago[[#This Row],[ATUAL]])</f>
        <v>0</v>
      </c>
      <c r="Y101" s="119" t="n">
        <f aca="false">SUMIFS(tabela_registros[VALOR],tabela_registros[MÊS],$AE$1,tabela_registros[DIA],receitasvariáveisconsolidadoago[[#Headers],[21]],tabela_registros[REGISTRO],DADOS!$N$3,tabela_registros[TIPO],DADOS!$V$4,tabela_registros[CATEGORIA],receitasvariáveisconsolidadoago[[#This Row],[ATUAL]])</f>
        <v>0</v>
      </c>
      <c r="Z101" s="119" t="n">
        <f aca="false">SUMIFS(tabela_registros[VALOR],tabela_registros[MÊS],$AE$1,tabela_registros[DIA],receitasvariáveisconsolidadoago[[#Headers],[22]],tabela_registros[REGISTRO],DADOS!$N$3,tabela_registros[TIPO],DADOS!$V$4,tabela_registros[CATEGORIA],receitasvariáveisconsolidadoago[[#This Row],[ATUAL]])</f>
        <v>0</v>
      </c>
      <c r="AA101" s="119" t="n">
        <f aca="false">SUMIFS(tabela_registros[VALOR],tabela_registros[MÊS],$AE$1,tabela_registros[DIA],receitasvariáveisconsolidadoago[[#Headers],[23]],tabela_registros[REGISTRO],DADOS!$N$3,tabela_registros[TIPO],DADOS!$V$4,tabela_registros[CATEGORIA],receitasvariáveisconsolidadoago[[#This Row],[ATUAL]])</f>
        <v>0</v>
      </c>
      <c r="AB101" s="119" t="n">
        <f aca="false">SUMIFS(tabela_registros[VALOR],tabela_registros[MÊS],$AE$1,tabela_registros[DIA],receitasvariáveisconsolidadoago[[#Headers],[24]],tabela_registros[REGISTRO],DADOS!$N$3,tabela_registros[TIPO],DADOS!$V$4,tabela_registros[CATEGORIA],receitasvariáveisconsolidadoago[[#This Row],[ATUAL]])</f>
        <v>0</v>
      </c>
      <c r="AC101" s="119" t="n">
        <f aca="false">SUMIFS(tabela_registros[VALOR],tabela_registros[MÊS],$AE$1,tabela_registros[DIA],receitasvariáveisconsolidadoago[[#Headers],[25]],tabela_registros[REGISTRO],DADOS!$N$3,tabela_registros[TIPO],DADOS!$V$4,tabela_registros[CATEGORIA],receitasvariáveisconsolidadoago[[#This Row],[ATUAL]])</f>
        <v>0</v>
      </c>
      <c r="AD101" s="119" t="n">
        <f aca="false">SUMIFS(tabela_registros[VALOR],tabela_registros[MÊS],$AE$1,tabela_registros[DIA],receitasvariáveisconsolidadoago[[#Headers],[26]],tabela_registros[REGISTRO],DADOS!$N$3,tabela_registros[TIPO],DADOS!$V$4,tabela_registros[CATEGORIA],receitasvariáveisconsolidadoago[[#This Row],[ATUAL]])</f>
        <v>0</v>
      </c>
      <c r="AE101" s="119" t="n">
        <f aca="false">SUMIFS(tabela_registros[VALOR],tabela_registros[MÊS],$AE$1,tabela_registros[DIA],receitasvariáveisconsolidadoago[[#Headers],[27]],tabela_registros[REGISTRO],DADOS!$N$3,tabela_registros[TIPO],DADOS!$V$4,tabela_registros[CATEGORIA],receitasvariáveisconsolidadoago[[#This Row],[ATUAL]])</f>
        <v>0</v>
      </c>
      <c r="AF101" s="119" t="n">
        <f aca="false">SUMIFS(tabela_registros[VALOR],tabela_registros[MÊS],$AE$1,tabela_registros[DIA],receitasvariáveisconsolidadoago[[#Headers],[28]],tabela_registros[REGISTRO],DADOS!$N$3,tabela_registros[TIPO],DADOS!$V$4,tabela_registros[CATEGORIA],receitasvariáveisconsolidadoago[[#This Row],[ATUAL]])</f>
        <v>0</v>
      </c>
      <c r="AG101" s="119" t="n">
        <f aca="false">SUMIFS(tabela_registros[VALOR],tabela_registros[MÊS],$AE$1,tabela_registros[DIA],receitasvariáveisconsolidadoago[[#Headers],[29]],tabela_registros[REGISTRO],DADOS!$N$3,tabela_registros[TIPO],DADOS!$V$4,tabela_registros[CATEGORIA],receitasvariáveisconsolidadoago[[#This Row],[ATUAL]])</f>
        <v>0</v>
      </c>
      <c r="AH101" s="119" t="n">
        <f aca="false">SUMIFS(tabela_registros[VALOR],tabela_registros[MÊS],$AE$1,tabela_registros[DIA],receitasvariáveisconsolidadoago[[#Headers],[30]],tabela_registros[REGISTRO],DADOS!$N$3,tabela_registros[TIPO],DADOS!$V$4,tabela_registros[CATEGORIA],receitasvariáveisconsolidadoago[[#This Row],[ATUAL]])</f>
        <v>0</v>
      </c>
      <c r="AI101" s="217" t="n">
        <f aca="false">SUMIFS(tabela_registros[VALOR],tabela_registros[MÊS],$AE$1,tabela_registros[DIA],receitasvariáveisconsolidadoago[[#Headers],[31]],tabela_registros[REGISTRO],DADOS!$N$3,tabela_registros[TIPO],DADOS!$V$4,tabela_registros[CATEGORIA],receitasvariáveisconsolidadoago[[#This Row],[ATUAL]])</f>
        <v>0</v>
      </c>
      <c r="AJ101" s="237" t="n">
        <f aca="false">SUM(receitasvariáveisconsolidadoago[[#This Row],[1]:[31]])</f>
        <v>0</v>
      </c>
      <c r="AK101" s="165"/>
    </row>
    <row r="102" customFormat="false" ht="19.5" hidden="false" customHeight="true" outlineLevel="0" collapsed="false">
      <c r="B102" s="143"/>
      <c r="C102" s="144" t="str">
        <f aca="false">DADOS!$Z$9</f>
        <v>👷‍♀️ TRABALHO TEMPORÁRIO</v>
      </c>
      <c r="D102" s="145" t="str">
        <f aca="false">IF(receitasvariáveisconsolidadoago[[#This Row],[TOTAL (R$)]]=0,"",IF(OR(receitasvariáveisconsolidadoago[[#This Row],[TOTAL (R$)]]=LARGE($AJ$96:$AJ$103,1),receitasvariáveisconsolidadoago[[#This Row],[TOTAL (R$)]]=LARGE($AJ$96:$AJ$103,2)),DADOS!$I$9,""))</f>
        <v/>
      </c>
      <c r="E102" s="148" t="n">
        <f aca="false">SUMIFS(tabela_registros[VALOR],tabela_registros[MÊS],$AE$1,tabela_registros[DIA],receitasvariáveisconsolidadoago[[#Headers],[1]],tabela_registros[REGISTRO],DADOS!$N$3,tabela_registros[TIPO],DADOS!$V$4,tabela_registros[CATEGORIA],receitasvariáveisconsolidadoago[[#This Row],[ATUAL]])</f>
        <v>0</v>
      </c>
      <c r="F102" s="119" t="n">
        <f aca="false">SUMIFS(tabela_registros[VALOR],tabela_registros[MÊS],$AE$1,tabela_registros[DIA],receitasvariáveisconsolidadoago[[#Headers],[2]],tabela_registros[REGISTRO],DADOS!$N$3,tabela_registros[TIPO],DADOS!$V$4,tabela_registros[CATEGORIA],receitasvariáveisconsolidadoago[[#This Row],[ATUAL]])</f>
        <v>0</v>
      </c>
      <c r="G102" s="119" t="n">
        <f aca="false">SUMIFS(tabela_registros[VALOR],tabela_registros[MÊS],$AE$1,tabela_registros[DIA],receitasvariáveisconsolidadoago[[#Headers],[3]],tabela_registros[REGISTRO],DADOS!$N$3,tabela_registros[TIPO],DADOS!$V$4,tabela_registros[CATEGORIA],receitasvariáveisconsolidadoago[[#This Row],[ATUAL]])</f>
        <v>0</v>
      </c>
      <c r="H102" s="119" t="n">
        <f aca="false">SUMIFS(tabela_registros[VALOR],tabela_registros[MÊS],$AE$1,tabela_registros[DIA],receitasvariáveisconsolidadoago[[#Headers],[4]],tabela_registros[REGISTRO],DADOS!$N$3,tabela_registros[TIPO],DADOS!$V$4,tabela_registros[CATEGORIA],receitasvariáveisconsolidadoago[[#This Row],[ATUAL]])</f>
        <v>0</v>
      </c>
      <c r="I102" s="119" t="n">
        <f aca="false">SUMIFS(tabela_registros[VALOR],tabela_registros[MÊS],$AE$1,tabela_registros[DIA],receitasvariáveisconsolidadoago[[#Headers],[5]],tabela_registros[REGISTRO],DADOS!$N$3,tabela_registros[TIPO],DADOS!$V$4,tabela_registros[CATEGORIA],receitasvariáveisconsolidadoago[[#This Row],[ATUAL]])</f>
        <v>0</v>
      </c>
      <c r="J102" s="119" t="n">
        <f aca="false">SUMIFS(tabela_registros[VALOR],tabela_registros[MÊS],$AE$1,tabela_registros[DIA],receitasvariáveisconsolidadoago[[#Headers],[6]],tabela_registros[REGISTRO],DADOS!$N$3,tabela_registros[TIPO],DADOS!$V$4,tabela_registros[CATEGORIA],receitasvariáveisconsolidadoago[[#This Row],[ATUAL]])</f>
        <v>0</v>
      </c>
      <c r="K102" s="119" t="n">
        <f aca="false">SUMIFS(tabela_registros[VALOR],tabela_registros[MÊS],$AE$1,tabela_registros[DIA],receitasvariáveisconsolidadoago[[#Headers],[7]],tabela_registros[REGISTRO],DADOS!$N$3,tabela_registros[TIPO],DADOS!$V$4,tabela_registros[CATEGORIA],receitasvariáveisconsolidadoago[[#This Row],[ATUAL]])</f>
        <v>0</v>
      </c>
      <c r="L102" s="119" t="n">
        <f aca="false">SUMIFS(tabela_registros[VALOR],tabela_registros[MÊS],$AE$1,tabela_registros[DIA],receitasvariáveisconsolidadoago[[#Headers],[8]],tabela_registros[REGISTRO],DADOS!$N$3,tabela_registros[TIPO],DADOS!$V$4,tabela_registros[CATEGORIA],receitasvariáveisconsolidadoago[[#This Row],[ATUAL]])</f>
        <v>0</v>
      </c>
      <c r="M102" s="119" t="n">
        <f aca="false">SUMIFS(tabela_registros[VALOR],tabela_registros[MÊS],$AE$1,tabela_registros[DIA],receitasvariáveisconsolidadoago[[#Headers],[9]],tabela_registros[REGISTRO],DADOS!$N$3,tabela_registros[TIPO],DADOS!$V$4,tabela_registros[CATEGORIA],receitasvariáveisconsolidadoago[[#This Row],[ATUAL]])</f>
        <v>0</v>
      </c>
      <c r="N102" s="119" t="n">
        <f aca="false">SUMIFS(tabela_registros[VALOR],tabela_registros[MÊS],$AE$1,tabela_registros[DIA],receitasvariáveisconsolidadoago[[#Headers],[10]],tabela_registros[REGISTRO],DADOS!$N$3,tabela_registros[TIPO],DADOS!$V$4,tabela_registros[CATEGORIA],receitasvariáveisconsolidadoago[[#This Row],[ATUAL]])</f>
        <v>0</v>
      </c>
      <c r="O102" s="119" t="n">
        <f aca="false">SUMIFS(tabela_registros[VALOR],tabela_registros[MÊS],$AE$1,tabela_registros[DIA],receitasvariáveisconsolidadoago[[#Headers],[11]],tabela_registros[REGISTRO],DADOS!$N$3,tabela_registros[TIPO],DADOS!$V$4,tabela_registros[CATEGORIA],receitasvariáveisconsolidadoago[[#This Row],[ATUAL]])</f>
        <v>0</v>
      </c>
      <c r="P102" s="119" t="n">
        <f aca="false">SUMIFS(tabela_registros[VALOR],tabela_registros[MÊS],$AE$1,tabela_registros[DIA],receitasvariáveisconsolidadoago[[#Headers],[12]],tabela_registros[REGISTRO],DADOS!$N$3,tabela_registros[TIPO],DADOS!$V$4,tabela_registros[CATEGORIA],receitasvariáveisconsolidadoago[[#This Row],[ATUAL]])</f>
        <v>0</v>
      </c>
      <c r="Q102" s="119" t="n">
        <f aca="false">SUMIFS(tabela_registros[VALOR],tabela_registros[MÊS],$AE$1,tabela_registros[DIA],receitasvariáveisconsolidadoago[[#Headers],[13]],tabela_registros[REGISTRO],DADOS!$N$3,tabela_registros[TIPO],DADOS!$V$4,tabela_registros[CATEGORIA],receitasvariáveisconsolidadoago[[#This Row],[ATUAL]])</f>
        <v>0</v>
      </c>
      <c r="R102" s="119" t="n">
        <f aca="false">SUMIFS(tabela_registros[VALOR],tabela_registros[MÊS],$AE$1,tabela_registros[DIA],receitasvariáveisconsolidadoago[[#Headers],[14]],tabela_registros[REGISTRO],DADOS!$N$3,tabela_registros[TIPO],DADOS!$V$4,tabela_registros[CATEGORIA],receitasvariáveisconsolidadoago[[#This Row],[ATUAL]])</f>
        <v>0</v>
      </c>
      <c r="S102" s="119" t="n">
        <f aca="false">SUMIFS(tabela_registros[VALOR],tabela_registros[MÊS],$AE$1,tabela_registros[DIA],receitasvariáveisconsolidadoago[[#Headers],[15]],tabela_registros[REGISTRO],DADOS!$N$3,tabela_registros[TIPO],DADOS!$V$4,tabela_registros[CATEGORIA],receitasvariáveisconsolidadoago[[#This Row],[ATUAL]])</f>
        <v>0</v>
      </c>
      <c r="T102" s="119" t="n">
        <f aca="false">SUMIFS(tabela_registros[VALOR],tabela_registros[MÊS],$AE$1,tabela_registros[DIA],receitasvariáveisconsolidadoago[[#Headers],[16]],tabela_registros[REGISTRO],DADOS!$N$3,tabela_registros[TIPO],DADOS!$V$4,tabela_registros[CATEGORIA],receitasvariáveisconsolidadoago[[#This Row],[ATUAL]])</f>
        <v>0</v>
      </c>
      <c r="U102" s="119" t="n">
        <f aca="false">SUMIFS(tabela_registros[VALOR],tabela_registros[MÊS],$AE$1,tabela_registros[DIA],receitasvariáveisconsolidadoago[[#Headers],[17]],tabela_registros[REGISTRO],DADOS!$N$3,tabela_registros[TIPO],DADOS!$V$4,tabela_registros[CATEGORIA],receitasvariáveisconsolidadoago[[#This Row],[ATUAL]])</f>
        <v>0</v>
      </c>
      <c r="V102" s="119" t="n">
        <f aca="false">SUMIFS(tabela_registros[VALOR],tabela_registros[MÊS],$AE$1,tabela_registros[DIA],receitasvariáveisconsolidadoago[[#Headers],[18]],tabela_registros[REGISTRO],DADOS!$N$3,tabela_registros[TIPO],DADOS!$V$4,tabela_registros[CATEGORIA],receitasvariáveisconsolidadoago[[#This Row],[ATUAL]])</f>
        <v>0</v>
      </c>
      <c r="W102" s="119" t="n">
        <f aca="false">SUMIFS(tabela_registros[VALOR],tabela_registros[MÊS],$AE$1,tabela_registros[DIA],receitasvariáveisconsolidadoago[[#Headers],[19]],tabela_registros[REGISTRO],DADOS!$N$3,tabela_registros[TIPO],DADOS!$V$4,tabela_registros[CATEGORIA],receitasvariáveisconsolidadoago[[#This Row],[ATUAL]])</f>
        <v>0</v>
      </c>
      <c r="X102" s="119" t="n">
        <f aca="false">SUMIFS(tabela_registros[VALOR],tabela_registros[MÊS],$AE$1,tabela_registros[DIA],receitasvariáveisconsolidadoago[[#Headers],[20]],tabela_registros[REGISTRO],DADOS!$N$3,tabela_registros[TIPO],DADOS!$V$4,tabela_registros[CATEGORIA],receitasvariáveisconsolidadoago[[#This Row],[ATUAL]])</f>
        <v>0</v>
      </c>
      <c r="Y102" s="119" t="n">
        <f aca="false">SUMIFS(tabela_registros[VALOR],tabela_registros[MÊS],$AE$1,tabela_registros[DIA],receitasvariáveisconsolidadoago[[#Headers],[21]],tabela_registros[REGISTRO],DADOS!$N$3,tabela_registros[TIPO],DADOS!$V$4,tabela_registros[CATEGORIA],receitasvariáveisconsolidadoago[[#This Row],[ATUAL]])</f>
        <v>0</v>
      </c>
      <c r="Z102" s="119" t="n">
        <f aca="false">SUMIFS(tabela_registros[VALOR],tabela_registros[MÊS],$AE$1,tabela_registros[DIA],receitasvariáveisconsolidadoago[[#Headers],[22]],tabela_registros[REGISTRO],DADOS!$N$3,tabela_registros[TIPO],DADOS!$V$4,tabela_registros[CATEGORIA],receitasvariáveisconsolidadoago[[#This Row],[ATUAL]])</f>
        <v>0</v>
      </c>
      <c r="AA102" s="119" t="n">
        <f aca="false">SUMIFS(tabela_registros[VALOR],tabela_registros[MÊS],$AE$1,tabela_registros[DIA],receitasvariáveisconsolidadoago[[#Headers],[23]],tabela_registros[REGISTRO],DADOS!$N$3,tabela_registros[TIPO],DADOS!$V$4,tabela_registros[CATEGORIA],receitasvariáveisconsolidadoago[[#This Row],[ATUAL]])</f>
        <v>0</v>
      </c>
      <c r="AB102" s="119" t="n">
        <f aca="false">SUMIFS(tabela_registros[VALOR],tabela_registros[MÊS],$AE$1,tabela_registros[DIA],receitasvariáveisconsolidadoago[[#Headers],[24]],tabela_registros[REGISTRO],DADOS!$N$3,tabela_registros[TIPO],DADOS!$V$4,tabela_registros[CATEGORIA],receitasvariáveisconsolidadoago[[#This Row],[ATUAL]])</f>
        <v>0</v>
      </c>
      <c r="AC102" s="119" t="n">
        <f aca="false">SUMIFS(tabela_registros[VALOR],tabela_registros[MÊS],$AE$1,tabela_registros[DIA],receitasvariáveisconsolidadoago[[#Headers],[25]],tabela_registros[REGISTRO],DADOS!$N$3,tabela_registros[TIPO],DADOS!$V$4,tabela_registros[CATEGORIA],receitasvariáveisconsolidadoago[[#This Row],[ATUAL]])</f>
        <v>0</v>
      </c>
      <c r="AD102" s="119" t="n">
        <f aca="false">SUMIFS(tabela_registros[VALOR],tabela_registros[MÊS],$AE$1,tabela_registros[DIA],receitasvariáveisconsolidadoago[[#Headers],[26]],tabela_registros[REGISTRO],DADOS!$N$3,tabela_registros[TIPO],DADOS!$V$4,tabela_registros[CATEGORIA],receitasvariáveisconsolidadoago[[#This Row],[ATUAL]])</f>
        <v>0</v>
      </c>
      <c r="AE102" s="119" t="n">
        <f aca="false">SUMIFS(tabela_registros[VALOR],tabela_registros[MÊS],$AE$1,tabela_registros[DIA],receitasvariáveisconsolidadoago[[#Headers],[27]],tabela_registros[REGISTRO],DADOS!$N$3,tabela_registros[TIPO],DADOS!$V$4,tabela_registros[CATEGORIA],receitasvariáveisconsolidadoago[[#This Row],[ATUAL]])</f>
        <v>0</v>
      </c>
      <c r="AF102" s="119" t="n">
        <f aca="false">SUMIFS(tabela_registros[VALOR],tabela_registros[MÊS],$AE$1,tabela_registros[DIA],receitasvariáveisconsolidadoago[[#Headers],[28]],tabela_registros[REGISTRO],DADOS!$N$3,tabela_registros[TIPO],DADOS!$V$4,tabela_registros[CATEGORIA],receitasvariáveisconsolidadoago[[#This Row],[ATUAL]])</f>
        <v>0</v>
      </c>
      <c r="AG102" s="119" t="n">
        <f aca="false">SUMIFS(tabela_registros[VALOR],tabela_registros[MÊS],$AE$1,tabela_registros[DIA],receitasvariáveisconsolidadoago[[#Headers],[29]],tabela_registros[REGISTRO],DADOS!$N$3,tabela_registros[TIPO],DADOS!$V$4,tabela_registros[CATEGORIA],receitasvariáveisconsolidadoago[[#This Row],[ATUAL]])</f>
        <v>0</v>
      </c>
      <c r="AH102" s="119" t="n">
        <f aca="false">SUMIFS(tabela_registros[VALOR],tabela_registros[MÊS],$AE$1,tabela_registros[DIA],receitasvariáveisconsolidadoago[[#Headers],[30]],tabela_registros[REGISTRO],DADOS!$N$3,tabela_registros[TIPO],DADOS!$V$4,tabela_registros[CATEGORIA],receitasvariáveisconsolidadoago[[#This Row],[ATUAL]])</f>
        <v>0</v>
      </c>
      <c r="AI102" s="217" t="n">
        <f aca="false">SUMIFS(tabela_registros[VALOR],tabela_registros[MÊS],$AE$1,tabela_registros[DIA],receitasvariáveisconsolidadoago[[#Headers],[31]],tabela_registros[REGISTRO],DADOS!$N$3,tabela_registros[TIPO],DADOS!$V$4,tabela_registros[CATEGORIA],receitasvariáveisconsolidadoago[[#This Row],[ATUAL]])</f>
        <v>0</v>
      </c>
      <c r="AJ102" s="237" t="n">
        <f aca="false">SUM(receitasvariáveisconsolidadoago[[#This Row],[1]:[31]])</f>
        <v>0</v>
      </c>
      <c r="AK102" s="165"/>
    </row>
    <row r="103" customFormat="false" ht="18" hidden="false" customHeight="true" outlineLevel="0" collapsed="false">
      <c r="B103" s="143"/>
      <c r="C103" s="144" t="str">
        <f aca="false">DADOS!$Z$10</f>
        <v>📎 OUTROS</v>
      </c>
      <c r="D103" s="145" t="str">
        <f aca="false">IF(receitasvariáveisconsolidadoago[[#This Row],[TOTAL (R$)]]=0,"",IF(OR(receitasvariáveisconsolidadoago[[#This Row],[TOTAL (R$)]]=LARGE($AJ$96:$AJ$103,1),receitasvariáveisconsolidadoago[[#This Row],[TOTAL (R$)]]=LARGE($AJ$96:$AJ$103,2)),DADOS!$I$9,""))</f>
        <v/>
      </c>
      <c r="E103" s="148" t="n">
        <f aca="false">SUMIFS(tabela_registros[VALOR],tabela_registros[MÊS],$AE$1,tabela_registros[DIA],receitasvariáveisconsolidadoago[[#Headers],[1]],tabela_registros[REGISTRO],DADOS!$N$3,tabela_registros[TIPO],DADOS!$V$4,tabela_registros[CATEGORIA],receitasvariáveisconsolidadoago[[#This Row],[ATUAL]])</f>
        <v>0</v>
      </c>
      <c r="F103" s="119" t="n">
        <f aca="false">SUMIFS(tabela_registros[VALOR],tabela_registros[MÊS],$AE$1,tabela_registros[DIA],receitasvariáveisconsolidadoago[[#Headers],[2]],tabela_registros[REGISTRO],DADOS!$N$3,tabela_registros[TIPO],DADOS!$V$4,tabela_registros[CATEGORIA],receitasvariáveisconsolidadoago[[#This Row],[ATUAL]])</f>
        <v>0</v>
      </c>
      <c r="G103" s="119" t="n">
        <f aca="false">SUMIFS(tabela_registros[VALOR],tabela_registros[MÊS],$AE$1,tabela_registros[DIA],receitasvariáveisconsolidadoago[[#Headers],[3]],tabela_registros[REGISTRO],DADOS!$N$3,tabela_registros[TIPO],DADOS!$V$4,tabela_registros[CATEGORIA],receitasvariáveisconsolidadoago[[#This Row],[ATUAL]])</f>
        <v>0</v>
      </c>
      <c r="H103" s="119" t="n">
        <f aca="false">SUMIFS(tabela_registros[VALOR],tabela_registros[MÊS],$AE$1,tabela_registros[DIA],receitasvariáveisconsolidadoago[[#Headers],[4]],tabela_registros[REGISTRO],DADOS!$N$3,tabela_registros[TIPO],DADOS!$V$4,tabela_registros[CATEGORIA],receitasvariáveisconsolidadoago[[#This Row],[ATUAL]])</f>
        <v>0</v>
      </c>
      <c r="I103" s="119" t="n">
        <f aca="false">SUMIFS(tabela_registros[VALOR],tabela_registros[MÊS],$AE$1,tabela_registros[DIA],receitasvariáveisconsolidadoago[[#Headers],[5]],tabela_registros[REGISTRO],DADOS!$N$3,tabela_registros[TIPO],DADOS!$V$4,tabela_registros[CATEGORIA],receitasvariáveisconsolidadoago[[#This Row],[ATUAL]])</f>
        <v>0</v>
      </c>
      <c r="J103" s="119" t="n">
        <f aca="false">SUMIFS(tabela_registros[VALOR],tabela_registros[MÊS],$AE$1,tabela_registros[DIA],receitasvariáveisconsolidadoago[[#Headers],[6]],tabela_registros[REGISTRO],DADOS!$N$3,tabela_registros[TIPO],DADOS!$V$4,tabela_registros[CATEGORIA],receitasvariáveisconsolidadoago[[#This Row],[ATUAL]])</f>
        <v>0</v>
      </c>
      <c r="K103" s="119" t="n">
        <f aca="false">SUMIFS(tabela_registros[VALOR],tabela_registros[MÊS],$AE$1,tabela_registros[DIA],receitasvariáveisconsolidadoago[[#Headers],[7]],tabela_registros[REGISTRO],DADOS!$N$3,tabela_registros[TIPO],DADOS!$V$4,tabela_registros[CATEGORIA],receitasvariáveisconsolidadoago[[#This Row],[ATUAL]])</f>
        <v>0</v>
      </c>
      <c r="L103" s="119" t="n">
        <f aca="false">SUMIFS(tabela_registros[VALOR],tabela_registros[MÊS],$AE$1,tabela_registros[DIA],receitasvariáveisconsolidadoago[[#Headers],[8]],tabela_registros[REGISTRO],DADOS!$N$3,tabela_registros[TIPO],DADOS!$V$4,tabela_registros[CATEGORIA],receitasvariáveisconsolidadoago[[#This Row],[ATUAL]])</f>
        <v>0</v>
      </c>
      <c r="M103" s="119" t="n">
        <f aca="false">SUMIFS(tabela_registros[VALOR],tabela_registros[MÊS],$AE$1,tabela_registros[DIA],receitasvariáveisconsolidadoago[[#Headers],[9]],tabela_registros[REGISTRO],DADOS!$N$3,tabela_registros[TIPO],DADOS!$V$4,tabela_registros[CATEGORIA],receitasvariáveisconsolidadoago[[#This Row],[ATUAL]])</f>
        <v>0</v>
      </c>
      <c r="N103" s="119" t="n">
        <f aca="false">SUMIFS(tabela_registros[VALOR],tabela_registros[MÊS],$AE$1,tabela_registros[DIA],receitasvariáveisconsolidadoago[[#Headers],[10]],tabela_registros[REGISTRO],DADOS!$N$3,tabela_registros[TIPO],DADOS!$V$4,tabela_registros[CATEGORIA],receitasvariáveisconsolidadoago[[#This Row],[ATUAL]])</f>
        <v>0</v>
      </c>
      <c r="O103" s="119" t="n">
        <f aca="false">SUMIFS(tabela_registros[VALOR],tabela_registros[MÊS],$AE$1,tabela_registros[DIA],receitasvariáveisconsolidadoago[[#Headers],[11]],tabela_registros[REGISTRO],DADOS!$N$3,tabela_registros[TIPO],DADOS!$V$4,tabela_registros[CATEGORIA],receitasvariáveisconsolidadoago[[#This Row],[ATUAL]])</f>
        <v>0</v>
      </c>
      <c r="P103" s="119" t="n">
        <f aca="false">SUMIFS(tabela_registros[VALOR],tabela_registros[MÊS],$AE$1,tabela_registros[DIA],receitasvariáveisconsolidadoago[[#Headers],[12]],tabela_registros[REGISTRO],DADOS!$N$3,tabela_registros[TIPO],DADOS!$V$4,tabela_registros[CATEGORIA],receitasvariáveisconsolidadoago[[#This Row],[ATUAL]])</f>
        <v>0</v>
      </c>
      <c r="Q103" s="119" t="n">
        <f aca="false">SUMIFS(tabela_registros[VALOR],tabela_registros[MÊS],$AE$1,tabela_registros[DIA],receitasvariáveisconsolidadoago[[#Headers],[13]],tabela_registros[REGISTRO],DADOS!$N$3,tabela_registros[TIPO],DADOS!$V$4,tabela_registros[CATEGORIA],receitasvariáveisconsolidadoago[[#This Row],[ATUAL]])</f>
        <v>0</v>
      </c>
      <c r="R103" s="119" t="n">
        <f aca="false">SUMIFS(tabela_registros[VALOR],tabela_registros[MÊS],$AE$1,tabela_registros[DIA],receitasvariáveisconsolidadoago[[#Headers],[14]],tabela_registros[REGISTRO],DADOS!$N$3,tabela_registros[TIPO],DADOS!$V$4,tabela_registros[CATEGORIA],receitasvariáveisconsolidadoago[[#This Row],[ATUAL]])</f>
        <v>0</v>
      </c>
      <c r="S103" s="119" t="n">
        <f aca="false">SUMIFS(tabela_registros[VALOR],tabela_registros[MÊS],$AE$1,tabela_registros[DIA],receitasvariáveisconsolidadoago[[#Headers],[15]],tabela_registros[REGISTRO],DADOS!$N$3,tabela_registros[TIPO],DADOS!$V$4,tabela_registros[CATEGORIA],receitasvariáveisconsolidadoago[[#This Row],[ATUAL]])</f>
        <v>0</v>
      </c>
      <c r="T103" s="119" t="n">
        <f aca="false">SUMIFS(tabela_registros[VALOR],tabela_registros[MÊS],$AE$1,tabela_registros[DIA],receitasvariáveisconsolidadoago[[#Headers],[16]],tabela_registros[REGISTRO],DADOS!$N$3,tabela_registros[TIPO],DADOS!$V$4,tabela_registros[CATEGORIA],receitasvariáveisconsolidadoago[[#This Row],[ATUAL]])</f>
        <v>0</v>
      </c>
      <c r="U103" s="119" t="n">
        <f aca="false">SUMIFS(tabela_registros[VALOR],tabela_registros[MÊS],$AE$1,tabela_registros[DIA],receitasvariáveisconsolidadoago[[#Headers],[17]],tabela_registros[REGISTRO],DADOS!$N$3,tabela_registros[TIPO],DADOS!$V$4,tabela_registros[CATEGORIA],receitasvariáveisconsolidadoago[[#This Row],[ATUAL]])</f>
        <v>0</v>
      </c>
      <c r="V103" s="119" t="n">
        <f aca="false">SUMIFS(tabela_registros[VALOR],tabela_registros[MÊS],$AE$1,tabela_registros[DIA],receitasvariáveisconsolidadoago[[#Headers],[18]],tabela_registros[REGISTRO],DADOS!$N$3,tabela_registros[TIPO],DADOS!$V$4,tabela_registros[CATEGORIA],receitasvariáveisconsolidadoago[[#This Row],[ATUAL]])</f>
        <v>0</v>
      </c>
      <c r="W103" s="119" t="n">
        <f aca="false">SUMIFS(tabela_registros[VALOR],tabela_registros[MÊS],$AE$1,tabela_registros[DIA],receitasvariáveisconsolidadoago[[#Headers],[19]],tabela_registros[REGISTRO],DADOS!$N$3,tabela_registros[TIPO],DADOS!$V$4,tabela_registros[CATEGORIA],receitasvariáveisconsolidadoago[[#This Row],[ATUAL]])</f>
        <v>0</v>
      </c>
      <c r="X103" s="119" t="n">
        <f aca="false">SUMIFS(tabela_registros[VALOR],tabela_registros[MÊS],$AE$1,tabela_registros[DIA],receitasvariáveisconsolidadoago[[#Headers],[20]],tabela_registros[REGISTRO],DADOS!$N$3,tabela_registros[TIPO],DADOS!$V$4,tabela_registros[CATEGORIA],receitasvariáveisconsolidadoago[[#This Row],[ATUAL]])</f>
        <v>0</v>
      </c>
      <c r="Y103" s="119" t="n">
        <f aca="false">SUMIFS(tabela_registros[VALOR],tabela_registros[MÊS],$AE$1,tabela_registros[DIA],receitasvariáveisconsolidadoago[[#Headers],[21]],tabela_registros[REGISTRO],DADOS!$N$3,tabela_registros[TIPO],DADOS!$V$4,tabela_registros[CATEGORIA],receitasvariáveisconsolidadoago[[#This Row],[ATUAL]])</f>
        <v>0</v>
      </c>
      <c r="Z103" s="119" t="n">
        <f aca="false">SUMIFS(tabela_registros[VALOR],tabela_registros[MÊS],$AE$1,tabela_registros[DIA],receitasvariáveisconsolidadoago[[#Headers],[22]],tabela_registros[REGISTRO],DADOS!$N$3,tabela_registros[TIPO],DADOS!$V$4,tabela_registros[CATEGORIA],receitasvariáveisconsolidadoago[[#This Row],[ATUAL]])</f>
        <v>0</v>
      </c>
      <c r="AA103" s="119" t="n">
        <f aca="false">SUMIFS(tabela_registros[VALOR],tabela_registros[MÊS],$AE$1,tabela_registros[DIA],receitasvariáveisconsolidadoago[[#Headers],[23]],tabela_registros[REGISTRO],DADOS!$N$3,tabela_registros[TIPO],DADOS!$V$4,tabela_registros[CATEGORIA],receitasvariáveisconsolidadoago[[#This Row],[ATUAL]])</f>
        <v>0</v>
      </c>
      <c r="AB103" s="119" t="n">
        <f aca="false">SUMIFS(tabela_registros[VALOR],tabela_registros[MÊS],$AE$1,tabela_registros[DIA],receitasvariáveisconsolidadoago[[#Headers],[24]],tabela_registros[REGISTRO],DADOS!$N$3,tabela_registros[TIPO],DADOS!$V$4,tabela_registros[CATEGORIA],receitasvariáveisconsolidadoago[[#This Row],[ATUAL]])</f>
        <v>0</v>
      </c>
      <c r="AC103" s="119" t="n">
        <f aca="false">SUMIFS(tabela_registros[VALOR],tabela_registros[MÊS],$AE$1,tabela_registros[DIA],receitasvariáveisconsolidadoago[[#Headers],[25]],tabela_registros[REGISTRO],DADOS!$N$3,tabela_registros[TIPO],DADOS!$V$4,tabela_registros[CATEGORIA],receitasvariáveisconsolidadoago[[#This Row],[ATUAL]])</f>
        <v>0</v>
      </c>
      <c r="AD103" s="119" t="n">
        <f aca="false">SUMIFS(tabela_registros[VALOR],tabela_registros[MÊS],$AE$1,tabela_registros[DIA],receitasvariáveisconsolidadoago[[#Headers],[26]],tabela_registros[REGISTRO],DADOS!$N$3,tabela_registros[TIPO],DADOS!$V$4,tabela_registros[CATEGORIA],receitasvariáveisconsolidadoago[[#This Row],[ATUAL]])</f>
        <v>0</v>
      </c>
      <c r="AE103" s="119" t="n">
        <f aca="false">SUMIFS(tabela_registros[VALOR],tabela_registros[MÊS],$AE$1,tabela_registros[DIA],receitasvariáveisconsolidadoago[[#Headers],[27]],tabela_registros[REGISTRO],DADOS!$N$3,tabela_registros[TIPO],DADOS!$V$4,tabela_registros[CATEGORIA],receitasvariáveisconsolidadoago[[#This Row],[ATUAL]])</f>
        <v>0</v>
      </c>
      <c r="AF103" s="119" t="n">
        <f aca="false">SUMIFS(tabela_registros[VALOR],tabela_registros[MÊS],$AE$1,tabela_registros[DIA],receitasvariáveisconsolidadoago[[#Headers],[28]],tabela_registros[REGISTRO],DADOS!$N$3,tabela_registros[TIPO],DADOS!$V$4,tabela_registros[CATEGORIA],receitasvariáveisconsolidadoago[[#This Row],[ATUAL]])</f>
        <v>0</v>
      </c>
      <c r="AG103" s="119" t="n">
        <f aca="false">SUMIFS(tabela_registros[VALOR],tabela_registros[MÊS],$AE$1,tabela_registros[DIA],receitasvariáveisconsolidadoago[[#Headers],[29]],tabela_registros[REGISTRO],DADOS!$N$3,tabela_registros[TIPO],DADOS!$V$4,tabela_registros[CATEGORIA],receitasvariáveisconsolidadoago[[#This Row],[ATUAL]])</f>
        <v>0</v>
      </c>
      <c r="AH103" s="119" t="n">
        <f aca="false">SUMIFS(tabela_registros[VALOR],tabela_registros[MÊS],$AE$1,tabela_registros[DIA],receitasvariáveisconsolidadoago[[#Headers],[30]],tabela_registros[REGISTRO],DADOS!$N$3,tabela_registros[TIPO],DADOS!$V$4,tabela_registros[CATEGORIA],receitasvariáveisconsolidadoago[[#This Row],[ATUAL]])</f>
        <v>0</v>
      </c>
      <c r="AI103" s="218" t="n">
        <f aca="false">SUMIFS(tabela_registros[VALOR],tabela_registros[MÊS],$AE$1,tabela_registros[DIA],receitasvariáveisconsolidadoago[[#Headers],[31]],tabela_registros[REGISTRO],DADOS!$N$3,tabela_registros[TIPO],DADOS!$V$4,tabela_registros[CATEGORIA],receitasvariáveisconsolidadoago[[#This Row],[ATUAL]])</f>
        <v>0</v>
      </c>
      <c r="AJ103" s="149" t="n">
        <f aca="false">SUM(receitasvariáveisconsolidadoago[[#This Row],[1]:[31]])</f>
        <v>0</v>
      </c>
      <c r="AK103" s="165"/>
    </row>
    <row r="104" s="122" customFormat="true" ht="21" hidden="false" customHeight="true" outlineLevel="0" collapsed="false">
      <c r="B104" s="152"/>
      <c r="C104" s="153" t="s">
        <v>2</v>
      </c>
      <c r="D104" s="166"/>
      <c r="E104" s="155" t="n">
        <f aca="false">SUM(E96:E103)</f>
        <v>0</v>
      </c>
      <c r="F104" s="156" t="n">
        <f aca="false">SUM(F96:F103)+receitasvariáveisconsolidadoago[[#This Row],[1]]</f>
        <v>0</v>
      </c>
      <c r="G104" s="156" t="n">
        <f aca="false">SUM(G96:G103)+receitasvariáveisconsolidadoago[[#This Row],[2]]</f>
        <v>0</v>
      </c>
      <c r="H104" s="156" t="n">
        <f aca="false">SUM(H96:H103)+receitasvariáveisconsolidadoago[[#This Row],[3]]</f>
        <v>0</v>
      </c>
      <c r="I104" s="156" t="n">
        <f aca="false">SUM(I96:I103)+receitasvariáveisconsolidadoago[[#This Row],[4]]</f>
        <v>0</v>
      </c>
      <c r="J104" s="156" t="n">
        <f aca="false">SUM(J96:J103)+receitasvariáveisconsolidadoago[[#This Row],[5]]</f>
        <v>0</v>
      </c>
      <c r="K104" s="156" t="n">
        <f aca="false">SUM(K96:K103)+receitasvariáveisconsolidadoago[[#This Row],[6]]</f>
        <v>0</v>
      </c>
      <c r="L104" s="156" t="n">
        <f aca="false">SUM(L96:L103)+receitasvariáveisconsolidadoago[[#This Row],[7]]</f>
        <v>0</v>
      </c>
      <c r="M104" s="156" t="n">
        <f aca="false">SUM(M96:M103)+receitasvariáveisconsolidadoago[[#This Row],[8]]</f>
        <v>0</v>
      </c>
      <c r="N104" s="156" t="n">
        <f aca="false">SUM(N96:N103)+receitasvariáveisconsolidadoago[[#This Row],[9]]</f>
        <v>0</v>
      </c>
      <c r="O104" s="156" t="n">
        <f aca="false">SUM(O96:O103)+receitasvariáveisconsolidadoago[[#This Row],[10]]</f>
        <v>0</v>
      </c>
      <c r="P104" s="156" t="n">
        <f aca="false">SUM(P96:P103)+receitasvariáveisconsolidadoago[[#This Row],[11]]</f>
        <v>0</v>
      </c>
      <c r="Q104" s="156" t="n">
        <f aca="false">SUM(Q96:Q103)+receitasvariáveisconsolidadoago[[#This Row],[12]]</f>
        <v>0</v>
      </c>
      <c r="R104" s="156" t="n">
        <f aca="false">SUM(R96:R103)+receitasvariáveisconsolidadoago[[#This Row],[13]]</f>
        <v>0</v>
      </c>
      <c r="S104" s="156" t="n">
        <f aca="false">SUM(S96:S103)+receitasvariáveisconsolidadoago[[#This Row],[14]]</f>
        <v>0</v>
      </c>
      <c r="T104" s="156" t="n">
        <f aca="false">SUM(T96:T103)+receitasvariáveisconsolidadoago[[#This Row],[15]]</f>
        <v>0</v>
      </c>
      <c r="U104" s="156" t="n">
        <f aca="false">SUM(U96:U103)+receitasvariáveisconsolidadoago[[#This Row],[16]]</f>
        <v>0</v>
      </c>
      <c r="V104" s="156" t="n">
        <f aca="false">SUM(V96:V103)+receitasvariáveisconsolidadoago[[#This Row],[17]]</f>
        <v>0</v>
      </c>
      <c r="W104" s="156" t="n">
        <f aca="false">SUM(W96:W103)+receitasvariáveisconsolidadoago[[#This Row],[18]]</f>
        <v>0</v>
      </c>
      <c r="X104" s="156" t="n">
        <f aca="false">SUM(X96:X103)+receitasvariáveisconsolidadoago[[#This Row],[19]]</f>
        <v>0</v>
      </c>
      <c r="Y104" s="156" t="n">
        <f aca="false">SUM(Y96:Y103)+receitasvariáveisconsolidadoago[[#This Row],[20]]</f>
        <v>0</v>
      </c>
      <c r="Z104" s="156" t="n">
        <f aca="false">SUM(Z96:Z103)+receitasvariáveisconsolidadoago[[#This Row],[21]]</f>
        <v>0</v>
      </c>
      <c r="AA104" s="156" t="n">
        <f aca="false">SUM(AA96:AA103)+receitasvariáveisconsolidadoago[[#This Row],[22]]</f>
        <v>0</v>
      </c>
      <c r="AB104" s="156" t="n">
        <f aca="false">SUM(AB96:AB103)+receitasvariáveisconsolidadoago[[#This Row],[23]]</f>
        <v>0</v>
      </c>
      <c r="AC104" s="156" t="n">
        <f aca="false">SUM(AC96:AC103)+receitasvariáveisconsolidadoago[[#This Row],[24]]</f>
        <v>0</v>
      </c>
      <c r="AD104" s="156" t="n">
        <f aca="false">SUM(AD96:AD103)+receitasvariáveisconsolidadoago[[#This Row],[25]]</f>
        <v>0</v>
      </c>
      <c r="AE104" s="156" t="n">
        <f aca="false">SUM(AE96:AE103)+receitasvariáveisconsolidadoago[[#This Row],[26]]</f>
        <v>0</v>
      </c>
      <c r="AF104" s="156" t="n">
        <f aca="false">SUM(AF96:AF103)+receitasvariáveisconsolidadoago[[#This Row],[27]]</f>
        <v>0</v>
      </c>
      <c r="AG104" s="156" t="n">
        <f aca="false">SUM(AG96:AG103)+receitasvariáveisconsolidadoago[[#This Row],[28]]</f>
        <v>0</v>
      </c>
      <c r="AH104" s="156" t="n">
        <f aca="false">SUM(AH96:AH103)+receitasvariáveisconsolidadoago[[#This Row],[29]]</f>
        <v>0</v>
      </c>
      <c r="AI104" s="223" t="n">
        <f aca="false">SUM(AI96:AI103)+receitasvariáveisconsolidadoago[[#This Row],[30]]</f>
        <v>0</v>
      </c>
      <c r="AJ104" s="157" t="n">
        <f aca="false">receitasvariáveisconsolidadoago[[#This Row],[31]]</f>
        <v>0</v>
      </c>
      <c r="AK104" s="158"/>
    </row>
    <row r="105" customFormat="false" ht="6.75" hidden="false" customHeight="true" outlineLevel="0" collapsed="false">
      <c r="B105" s="97"/>
      <c r="C105" s="162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233"/>
      <c r="AJ105" s="164"/>
      <c r="AK105" s="244"/>
    </row>
    <row r="106" s="78" customFormat="true" ht="12.75" hidden="false" customHeight="false" outlineLevel="0" collapsed="false">
      <c r="E106" s="100"/>
    </row>
    <row r="107" s="78" customFormat="true" ht="12" hidden="false" customHeight="false" outlineLevel="0" collapsed="false"/>
    <row r="108" s="78" customFormat="true" ht="12" hidden="false" customHeight="false" outlineLevel="0" collapsed="false"/>
    <row r="109" customFormat="false" ht="39.75" hidden="false" customHeight="true" outlineLevel="0" collapsed="false">
      <c r="C109" s="101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3" t="s">
        <v>2</v>
      </c>
    </row>
    <row r="110" s="78" customFormat="true" ht="12.75" hidden="false" customHeight="false" outlineLevel="0" collapsed="false">
      <c r="B110" s="161"/>
      <c r="AJ110" s="106" t="s">
        <v>64</v>
      </c>
    </row>
    <row r="111" customFormat="false" ht="6.75" hidden="false" customHeight="true" outlineLevel="0" collapsed="false">
      <c r="B111" s="86"/>
      <c r="C111" s="162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233"/>
      <c r="AK111" s="139"/>
    </row>
    <row r="112" customFormat="false" ht="13.5" hidden="true" customHeight="false" outlineLevel="0" collapsed="false">
      <c r="B112" s="86"/>
      <c r="C112" s="109" t="s">
        <v>68</v>
      </c>
      <c r="D112" s="110" t="s">
        <v>69</v>
      </c>
      <c r="E112" s="110" t="s">
        <v>30</v>
      </c>
      <c r="F112" s="110" t="s">
        <v>31</v>
      </c>
      <c r="G112" s="110" t="s">
        <v>32</v>
      </c>
      <c r="H112" s="110" t="s">
        <v>33</v>
      </c>
      <c r="I112" s="110" t="s">
        <v>34</v>
      </c>
      <c r="J112" s="110" t="s">
        <v>35</v>
      </c>
      <c r="K112" s="110" t="s">
        <v>36</v>
      </c>
      <c r="L112" s="110" t="s">
        <v>37</v>
      </c>
      <c r="M112" s="110" t="s">
        <v>38</v>
      </c>
      <c r="N112" s="110" t="s">
        <v>39</v>
      </c>
      <c r="O112" s="110" t="s">
        <v>40</v>
      </c>
      <c r="P112" s="110" t="s">
        <v>41</v>
      </c>
      <c r="Q112" s="110" t="s">
        <v>81</v>
      </c>
      <c r="R112" s="110" t="s">
        <v>82</v>
      </c>
      <c r="S112" s="110" t="s">
        <v>83</v>
      </c>
      <c r="T112" s="110" t="s">
        <v>84</v>
      </c>
      <c r="U112" s="110" t="s">
        <v>85</v>
      </c>
      <c r="V112" s="110" t="s">
        <v>86</v>
      </c>
      <c r="W112" s="110" t="s">
        <v>87</v>
      </c>
      <c r="X112" s="110" t="s">
        <v>88</v>
      </c>
      <c r="Y112" s="110" t="s">
        <v>89</v>
      </c>
      <c r="Z112" s="110" t="s">
        <v>90</v>
      </c>
      <c r="AA112" s="110" t="s">
        <v>91</v>
      </c>
      <c r="AB112" s="110" t="s">
        <v>92</v>
      </c>
      <c r="AC112" s="110" t="s">
        <v>93</v>
      </c>
      <c r="AD112" s="110" t="s">
        <v>94</v>
      </c>
      <c r="AE112" s="110" t="s">
        <v>95</v>
      </c>
      <c r="AF112" s="110" t="s">
        <v>96</v>
      </c>
      <c r="AG112" s="110" t="s">
        <v>97</v>
      </c>
      <c r="AH112" s="110" t="s">
        <v>98</v>
      </c>
      <c r="AI112" s="110" t="s">
        <v>99</v>
      </c>
      <c r="AJ112" s="111" t="s">
        <v>70</v>
      </c>
      <c r="AK112" s="86"/>
    </row>
    <row r="113" customFormat="false" ht="19.5" hidden="false" customHeight="true" outlineLevel="0" collapsed="false">
      <c r="B113" s="143"/>
      <c r="C113" s="144" t="str">
        <f aca="false">DADOS!$AD$3</f>
        <v>📝 CDB</v>
      </c>
      <c r="D113" s="145" t="str">
        <f aca="false">IF(investirrendafixaconsolidadoago[[#This Row],[TOTAL (R$)]]=0,"",IF(OR(investirrendafixaconsolidadoago[[#This Row],[TOTAL (R$)]]=LARGE($AJ$113:$AJ$122,1),investirrendafixaconsolidadoago[[#This Row],[TOTAL (R$)]]=LARGE($AJ$113:$AJ$122,2)),DADOS!$I$10,""))</f>
        <v/>
      </c>
      <c r="E113" s="148" t="n">
        <f aca="false">SUMIFS(tabela_registros[VALOR],tabela_registros[MÊS],$AE$1,tabela_registros[DIA],investirrendafixaconsolidadoago[[#Headers],[1]],tabela_registros[REGISTRO],DADOS!$N$5,tabela_registros[TIPO],DADOS!$AB$3,tabela_registros[CATEGORIA],investirrendafixaconsolidadoago[[#This Row],[ATUAL]])</f>
        <v>0</v>
      </c>
      <c r="F113" s="119" t="n">
        <f aca="false">SUMIFS(tabela_registros[VALOR],tabela_registros[MÊS],$AE$1,tabela_registros[DIA],investirrendafixaconsolidadoago[[#Headers],[2]],tabela_registros[REGISTRO],DADOS!$N$5,tabela_registros[TIPO],DADOS!$AB$3,tabela_registros[CATEGORIA],investirrendafixaconsolidadoago[[#This Row],[ATUAL]])</f>
        <v>0</v>
      </c>
      <c r="G113" s="119" t="n">
        <f aca="false">SUMIFS(tabela_registros[VALOR],tabela_registros[MÊS],$AE$1,tabela_registros[DIA],investirrendafixaconsolidadoago[[#Headers],[3]],tabela_registros[REGISTRO],DADOS!$N$5,tabela_registros[TIPO],DADOS!$AB$3,tabela_registros[CATEGORIA],investirrendafixaconsolidadoago[[#This Row],[ATUAL]])</f>
        <v>0</v>
      </c>
      <c r="H113" s="119" t="n">
        <f aca="false">SUMIFS(tabela_registros[VALOR],tabela_registros[MÊS],$AE$1,tabela_registros[DIA],investirrendafixaconsolidadoago[[#Headers],[4]],tabela_registros[REGISTRO],DADOS!$N$5,tabela_registros[TIPO],DADOS!$AB$3,tabela_registros[CATEGORIA],investirrendafixaconsolidadoago[[#This Row],[ATUAL]])</f>
        <v>0</v>
      </c>
      <c r="I113" s="119" t="n">
        <f aca="false">SUMIFS(tabela_registros[VALOR],tabela_registros[MÊS],$AE$1,tabela_registros[DIA],investirrendafixaconsolidadoago[[#Headers],[5]],tabela_registros[REGISTRO],DADOS!$N$5,tabela_registros[TIPO],DADOS!$AB$3,tabela_registros[CATEGORIA],investirrendafixaconsolidadoago[[#This Row],[ATUAL]])</f>
        <v>0</v>
      </c>
      <c r="J113" s="119" t="n">
        <f aca="false">SUMIFS(tabela_registros[VALOR],tabela_registros[MÊS],$AE$1,tabela_registros[DIA],investirrendafixaconsolidadoago[[#Headers],[6]],tabela_registros[REGISTRO],DADOS!$N$5,tabela_registros[TIPO],DADOS!$AB$3,tabela_registros[CATEGORIA],investirrendafixaconsolidadoago[[#This Row],[ATUAL]])</f>
        <v>0</v>
      </c>
      <c r="K113" s="119" t="n">
        <f aca="false">SUMIFS(tabela_registros[VALOR],tabela_registros[MÊS],$AE$1,tabela_registros[DIA],investirrendafixaconsolidadoago[[#Headers],[7]],tabela_registros[REGISTRO],DADOS!$N$5,tabela_registros[TIPO],DADOS!$AB$3,tabela_registros[CATEGORIA],investirrendafixaconsolidadoago[[#This Row],[ATUAL]])</f>
        <v>0</v>
      </c>
      <c r="L113" s="119" t="n">
        <f aca="false">SUMIFS(tabela_registros[VALOR],tabela_registros[MÊS],$AE$1,tabela_registros[DIA],investirrendafixaconsolidadoago[[#Headers],[8]],tabela_registros[REGISTRO],DADOS!$N$5,tabela_registros[TIPO],DADOS!$AB$3,tabela_registros[CATEGORIA],investirrendafixaconsolidadoago[[#This Row],[ATUAL]])</f>
        <v>0</v>
      </c>
      <c r="M113" s="119" t="n">
        <f aca="false">SUMIFS(tabela_registros[VALOR],tabela_registros[MÊS],$AE$1,tabela_registros[DIA],investirrendafixaconsolidadoago[[#Headers],[9]],tabela_registros[REGISTRO],DADOS!$N$5,tabela_registros[TIPO],DADOS!$AB$3,tabela_registros[CATEGORIA],investirrendafixaconsolidadoago[[#This Row],[ATUAL]])</f>
        <v>0</v>
      </c>
      <c r="N113" s="119" t="n">
        <f aca="false">SUMIFS(tabela_registros[VALOR],tabela_registros[MÊS],$AE$1,tabela_registros[DIA],investirrendafixaconsolidadoago[[#Headers],[10]],tabela_registros[REGISTRO],DADOS!$N$5,tabela_registros[TIPO],DADOS!$AB$3,tabela_registros[CATEGORIA],investirrendafixaconsolidadoago[[#This Row],[ATUAL]])</f>
        <v>0</v>
      </c>
      <c r="O113" s="119" t="n">
        <f aca="false">SUMIFS(tabela_registros[VALOR],tabela_registros[MÊS],$AE$1,tabela_registros[DIA],investirrendafixaconsolidadoago[[#Headers],[11]],tabela_registros[REGISTRO],DADOS!$N$5,tabela_registros[TIPO],DADOS!$AB$3,tabela_registros[CATEGORIA],investirrendafixaconsolidadoago[[#This Row],[ATUAL]])</f>
        <v>0</v>
      </c>
      <c r="P113" s="119" t="n">
        <f aca="false">SUMIFS(tabela_registros[VALOR],tabela_registros[MÊS],$AE$1,tabela_registros[DIA],investirrendafixaconsolidadoago[[#Headers],[12]],tabela_registros[REGISTRO],DADOS!$N$5,tabela_registros[TIPO],DADOS!$AB$3,tabela_registros[CATEGORIA],investirrendafixaconsolidadoago[[#This Row],[ATUAL]])</f>
        <v>0</v>
      </c>
      <c r="Q113" s="119" t="n">
        <f aca="false">SUMIFS(tabela_registros[VALOR],tabela_registros[MÊS],$AE$1,tabela_registros[DIA],investirrendafixaconsolidadoago[[#Headers],[13]],tabela_registros[REGISTRO],DADOS!$N$5,tabela_registros[TIPO],DADOS!$AB$3,tabela_registros[CATEGORIA],investirrendafixaconsolidadoago[[#This Row],[ATUAL]])</f>
        <v>0</v>
      </c>
      <c r="R113" s="119" t="n">
        <f aca="false">SUMIFS(tabela_registros[VALOR],tabela_registros[MÊS],$AE$1,tabela_registros[DIA],investirrendafixaconsolidadoago[[#Headers],[14]],tabela_registros[REGISTRO],DADOS!$N$5,tabela_registros[TIPO],DADOS!$AB$3,tabela_registros[CATEGORIA],investirrendafixaconsolidadoago[[#This Row],[ATUAL]])</f>
        <v>0</v>
      </c>
      <c r="S113" s="119" t="n">
        <f aca="false">SUMIFS(tabela_registros[VALOR],tabela_registros[MÊS],$AE$1,tabela_registros[DIA],investirrendafixaconsolidadoago[[#Headers],[15]],tabela_registros[REGISTRO],DADOS!$N$5,tabela_registros[TIPO],DADOS!$AB$3,tabela_registros[CATEGORIA],investirrendafixaconsolidadoago[[#This Row],[ATUAL]])</f>
        <v>0</v>
      </c>
      <c r="T113" s="119" t="n">
        <f aca="false">SUMIFS(tabela_registros[VALOR],tabela_registros[MÊS],$AE$1,tabela_registros[DIA],investirrendafixaconsolidadoago[[#Headers],[16]],tabela_registros[REGISTRO],DADOS!$N$5,tabela_registros[TIPO],DADOS!$AB$3,tabela_registros[CATEGORIA],investirrendafixaconsolidadoago[[#This Row],[ATUAL]])</f>
        <v>0</v>
      </c>
      <c r="U113" s="119" t="n">
        <f aca="false">SUMIFS(tabela_registros[VALOR],tabela_registros[MÊS],$AE$1,tabela_registros[DIA],investirrendafixaconsolidadoago[[#Headers],[17]],tabela_registros[REGISTRO],DADOS!$N$5,tabela_registros[TIPO],DADOS!$AB$3,tabela_registros[CATEGORIA],investirrendafixaconsolidadoago[[#This Row],[ATUAL]])</f>
        <v>0</v>
      </c>
      <c r="V113" s="119" t="n">
        <f aca="false">SUMIFS(tabela_registros[VALOR],tabela_registros[MÊS],$AE$1,tabela_registros[DIA],investirrendafixaconsolidadoago[[#Headers],[18]],tabela_registros[REGISTRO],DADOS!$N$5,tabela_registros[TIPO],DADOS!$AB$3,tabela_registros[CATEGORIA],investirrendafixaconsolidadoago[[#This Row],[ATUAL]])</f>
        <v>0</v>
      </c>
      <c r="W113" s="119" t="n">
        <f aca="false">SUMIFS(tabela_registros[VALOR],tabela_registros[MÊS],$AE$1,tabela_registros[DIA],investirrendafixaconsolidadoago[[#Headers],[19]],tabela_registros[REGISTRO],DADOS!$N$5,tabela_registros[TIPO],DADOS!$AB$3,tabela_registros[CATEGORIA],investirrendafixaconsolidadoago[[#This Row],[ATUAL]])</f>
        <v>0</v>
      </c>
      <c r="X113" s="119" t="n">
        <f aca="false">SUMIFS(tabela_registros[VALOR],tabela_registros[MÊS],$AE$1,tabela_registros[DIA],investirrendafixaconsolidadoago[[#Headers],[20]],tabela_registros[REGISTRO],DADOS!$N$5,tabela_registros[TIPO],DADOS!$AB$3,tabela_registros[CATEGORIA],investirrendafixaconsolidadoago[[#This Row],[ATUAL]])</f>
        <v>0</v>
      </c>
      <c r="Y113" s="119" t="n">
        <f aca="false">SUMIFS(tabela_registros[VALOR],tabela_registros[MÊS],$AE$1,tabela_registros[DIA],investirrendafixaconsolidadoago[[#Headers],[21]],tabela_registros[REGISTRO],DADOS!$N$5,tabela_registros[TIPO],DADOS!$AB$3,tabela_registros[CATEGORIA],investirrendafixaconsolidadoago[[#This Row],[ATUAL]])</f>
        <v>0</v>
      </c>
      <c r="Z113" s="119" t="n">
        <f aca="false">SUMIFS(tabela_registros[VALOR],tabela_registros[MÊS],$AE$1,tabela_registros[DIA],investirrendafixaconsolidadoago[[#Headers],[22]],tabela_registros[REGISTRO],DADOS!$N$5,tabela_registros[TIPO],DADOS!$AB$3,tabela_registros[CATEGORIA],investirrendafixaconsolidadoago[[#This Row],[ATUAL]])</f>
        <v>0</v>
      </c>
      <c r="AA113" s="119" t="n">
        <f aca="false">SUMIFS(tabela_registros[VALOR],tabela_registros[MÊS],$AE$1,tabela_registros[DIA],investirrendafixaconsolidadoago[[#Headers],[23]],tabela_registros[REGISTRO],DADOS!$N$5,tabela_registros[TIPO],DADOS!$AB$3,tabela_registros[CATEGORIA],investirrendafixaconsolidadoago[[#This Row],[ATUAL]])</f>
        <v>0</v>
      </c>
      <c r="AB113" s="119" t="n">
        <f aca="false">SUMIFS(tabela_registros[VALOR],tabela_registros[MÊS],$AE$1,tabela_registros[DIA],investirrendafixaconsolidadoago[[#Headers],[24]],tabela_registros[REGISTRO],DADOS!$N$5,tabela_registros[TIPO],DADOS!$AB$3,tabela_registros[CATEGORIA],investirrendafixaconsolidadoago[[#This Row],[ATUAL]])</f>
        <v>0</v>
      </c>
      <c r="AC113" s="119" t="n">
        <f aca="false">SUMIFS(tabela_registros[VALOR],tabela_registros[MÊS],$AE$1,tabela_registros[DIA],investirrendafixaconsolidadoago[[#Headers],[25]],tabela_registros[REGISTRO],DADOS!$N$5,tabela_registros[TIPO],DADOS!$AB$3,tabela_registros[CATEGORIA],investirrendafixaconsolidadoago[[#This Row],[ATUAL]])</f>
        <v>0</v>
      </c>
      <c r="AD113" s="119" t="n">
        <f aca="false">SUMIFS(tabela_registros[VALOR],tabela_registros[MÊS],$AE$1,tabela_registros[DIA],investirrendafixaconsolidadoago[[#Headers],[26]],tabela_registros[REGISTRO],DADOS!$N$5,tabela_registros[TIPO],DADOS!$AB$3,tabela_registros[CATEGORIA],investirrendafixaconsolidadoago[[#This Row],[ATUAL]])</f>
        <v>0</v>
      </c>
      <c r="AE113" s="119" t="n">
        <f aca="false">SUMIFS(tabela_registros[VALOR],tabela_registros[MÊS],$AE$1,tabela_registros[DIA],investirrendafixaconsolidadoago[[#Headers],[27]],tabela_registros[REGISTRO],DADOS!$N$5,tabela_registros[TIPO],DADOS!$AB$3,tabela_registros[CATEGORIA],investirrendafixaconsolidadoago[[#This Row],[ATUAL]])</f>
        <v>0</v>
      </c>
      <c r="AF113" s="119" t="n">
        <f aca="false">SUMIFS(tabela_registros[VALOR],tabela_registros[MÊS],$AE$1,tabela_registros[DIA],investirrendafixaconsolidadoago[[#Headers],[28]],tabela_registros[REGISTRO],DADOS!$N$5,tabela_registros[TIPO],DADOS!$AB$3,tabela_registros[CATEGORIA],investirrendafixaconsolidadoago[[#This Row],[ATUAL]])</f>
        <v>0</v>
      </c>
      <c r="AG113" s="119" t="n">
        <f aca="false">SUMIFS(tabela_registros[VALOR],tabela_registros[MÊS],$AE$1,tabela_registros[DIA],investirrendafixaconsolidadoago[[#Headers],[29]],tabela_registros[REGISTRO],DADOS!$N$5,tabela_registros[TIPO],DADOS!$AB$3,tabela_registros[CATEGORIA],investirrendafixaconsolidadoago[[#This Row],[ATUAL]])</f>
        <v>0</v>
      </c>
      <c r="AH113" s="119" t="n">
        <f aca="false">SUMIFS(tabela_registros[VALOR],tabela_registros[MÊS],$AE$1,tabela_registros[DIA],investirrendafixaconsolidadoago[[#Headers],[30]],tabela_registros[REGISTRO],DADOS!$N$5,tabela_registros[TIPO],DADOS!$AB$3,tabela_registros[CATEGORIA],investirrendafixaconsolidadoago[[#This Row],[ATUAL]])</f>
        <v>0</v>
      </c>
      <c r="AI113" s="217" t="n">
        <f aca="false">SUMIFS(tabela_registros[VALOR],tabela_registros[MÊS],$AE$1,tabela_registros[DIA],investirrendafixaconsolidadoago[[#Headers],[31]],tabela_registros[REGISTRO],DADOS!$N$5,tabela_registros[TIPO],DADOS!$AB$3,tabela_registros[CATEGORIA],investirrendafixaconsolidadoago[[#This Row],[ATUAL]])</f>
        <v>0</v>
      </c>
      <c r="AJ113" s="149" t="n">
        <f aca="false">SUM(investirrendafixaconsolidadoago[[#This Row],[1]:[31]])</f>
        <v>0</v>
      </c>
      <c r="AK113" s="165"/>
    </row>
    <row r="114" customFormat="false" ht="19.5" hidden="false" customHeight="true" outlineLevel="0" collapsed="false">
      <c r="B114" s="143"/>
      <c r="C114" s="144" t="str">
        <f aca="false">DADOS!$AD$4</f>
        <v>📝 CRA</v>
      </c>
      <c r="D114" s="145" t="str">
        <f aca="false">IF(investirrendafixaconsolidadoago[[#This Row],[TOTAL (R$)]]=0,"",IF(OR(investirrendafixaconsolidadoago[[#This Row],[TOTAL (R$)]]=LARGE($AJ$113:$AJ$122,1),investirrendafixaconsolidadoago[[#This Row],[TOTAL (R$)]]=LARGE($AJ$113:$AJ$122,2)),DADOS!$I$10,""))</f>
        <v/>
      </c>
      <c r="E114" s="148" t="n">
        <f aca="false">SUMIFS(tabela_registros[VALOR],tabela_registros[MÊS],$AE$1,tabela_registros[DIA],investirrendafixaconsolidadoago[[#Headers],[1]],tabela_registros[REGISTRO],DADOS!$N$5,tabela_registros[TIPO],DADOS!$AB$3,tabela_registros[CATEGORIA],investirrendafixaconsolidadoago[[#This Row],[ATUAL]])</f>
        <v>0</v>
      </c>
      <c r="F114" s="119" t="n">
        <f aca="false">SUMIFS(tabela_registros[VALOR],tabela_registros[MÊS],$AE$1,tabela_registros[DIA],investirrendafixaconsolidadoago[[#Headers],[2]],tabela_registros[REGISTRO],DADOS!$N$5,tabela_registros[TIPO],DADOS!$AB$3,tabela_registros[CATEGORIA],investirrendafixaconsolidadoago[[#This Row],[ATUAL]])</f>
        <v>0</v>
      </c>
      <c r="G114" s="119" t="n">
        <f aca="false">SUMIFS(tabela_registros[VALOR],tabela_registros[MÊS],$AE$1,tabela_registros[DIA],investirrendafixaconsolidadoago[[#Headers],[3]],tabela_registros[REGISTRO],DADOS!$N$5,tabela_registros[TIPO],DADOS!$AB$3,tabela_registros[CATEGORIA],investirrendafixaconsolidadoago[[#This Row],[ATUAL]])</f>
        <v>0</v>
      </c>
      <c r="H114" s="119" t="n">
        <f aca="false">SUMIFS(tabela_registros[VALOR],tabela_registros[MÊS],$AE$1,tabela_registros[DIA],investirrendafixaconsolidadoago[[#Headers],[4]],tabela_registros[REGISTRO],DADOS!$N$5,tabela_registros[TIPO],DADOS!$AB$3,tabela_registros[CATEGORIA],investirrendafixaconsolidadoago[[#This Row],[ATUAL]])</f>
        <v>0</v>
      </c>
      <c r="I114" s="119" t="n">
        <f aca="false">SUMIFS(tabela_registros[VALOR],tabela_registros[MÊS],$AE$1,tabela_registros[DIA],investirrendafixaconsolidadoago[[#Headers],[5]],tabela_registros[REGISTRO],DADOS!$N$5,tabela_registros[TIPO],DADOS!$AB$3,tabela_registros[CATEGORIA],investirrendafixaconsolidadoago[[#This Row],[ATUAL]])</f>
        <v>0</v>
      </c>
      <c r="J114" s="119" t="n">
        <f aca="false">SUMIFS(tabela_registros[VALOR],tabela_registros[MÊS],$AE$1,tabela_registros[DIA],investirrendafixaconsolidadoago[[#Headers],[6]],tabela_registros[REGISTRO],DADOS!$N$5,tabela_registros[TIPO],DADOS!$AB$3,tabela_registros[CATEGORIA],investirrendafixaconsolidadoago[[#This Row],[ATUAL]])</f>
        <v>0</v>
      </c>
      <c r="K114" s="119" t="n">
        <f aca="false">SUMIFS(tabela_registros[VALOR],tabela_registros[MÊS],$AE$1,tabela_registros[DIA],investirrendafixaconsolidadoago[[#Headers],[7]],tabela_registros[REGISTRO],DADOS!$N$5,tabela_registros[TIPO],DADOS!$AB$3,tabela_registros[CATEGORIA],investirrendafixaconsolidadoago[[#This Row],[ATUAL]])</f>
        <v>0</v>
      </c>
      <c r="L114" s="119" t="n">
        <f aca="false">SUMIFS(tabela_registros[VALOR],tabela_registros[MÊS],$AE$1,tabela_registros[DIA],investirrendafixaconsolidadoago[[#Headers],[8]],tabela_registros[REGISTRO],DADOS!$N$5,tabela_registros[TIPO],DADOS!$AB$3,tabela_registros[CATEGORIA],investirrendafixaconsolidadoago[[#This Row],[ATUAL]])</f>
        <v>0</v>
      </c>
      <c r="M114" s="119" t="n">
        <f aca="false">SUMIFS(tabela_registros[VALOR],tabela_registros[MÊS],$AE$1,tabela_registros[DIA],investirrendafixaconsolidadoago[[#Headers],[9]],tabela_registros[REGISTRO],DADOS!$N$5,tabela_registros[TIPO],DADOS!$AB$3,tabela_registros[CATEGORIA],investirrendafixaconsolidadoago[[#This Row],[ATUAL]])</f>
        <v>0</v>
      </c>
      <c r="N114" s="119" t="n">
        <f aca="false">SUMIFS(tabela_registros[VALOR],tabela_registros[MÊS],$AE$1,tabela_registros[DIA],investirrendafixaconsolidadoago[[#Headers],[10]],tabela_registros[REGISTRO],DADOS!$N$5,tabela_registros[TIPO],DADOS!$AB$3,tabela_registros[CATEGORIA],investirrendafixaconsolidadoago[[#This Row],[ATUAL]])</f>
        <v>0</v>
      </c>
      <c r="O114" s="119" t="n">
        <f aca="false">SUMIFS(tabela_registros[VALOR],tabela_registros[MÊS],$AE$1,tabela_registros[DIA],investirrendafixaconsolidadoago[[#Headers],[11]],tabela_registros[REGISTRO],DADOS!$N$5,tabela_registros[TIPO],DADOS!$AB$3,tabela_registros[CATEGORIA],investirrendafixaconsolidadoago[[#This Row],[ATUAL]])</f>
        <v>0</v>
      </c>
      <c r="P114" s="119" t="n">
        <f aca="false">SUMIFS(tabela_registros[VALOR],tabela_registros[MÊS],$AE$1,tabela_registros[DIA],investirrendafixaconsolidadoago[[#Headers],[12]],tabela_registros[REGISTRO],DADOS!$N$5,tabela_registros[TIPO],DADOS!$AB$3,tabela_registros[CATEGORIA],investirrendafixaconsolidadoago[[#This Row],[ATUAL]])</f>
        <v>0</v>
      </c>
      <c r="Q114" s="119" t="n">
        <f aca="false">SUMIFS(tabela_registros[VALOR],tabela_registros[MÊS],$AE$1,tabela_registros[DIA],investirrendafixaconsolidadoago[[#Headers],[13]],tabela_registros[REGISTRO],DADOS!$N$5,tabela_registros[TIPO],DADOS!$AB$3,tabela_registros[CATEGORIA],investirrendafixaconsolidadoago[[#This Row],[ATUAL]])</f>
        <v>0</v>
      </c>
      <c r="R114" s="119" t="n">
        <f aca="false">SUMIFS(tabela_registros[VALOR],tabela_registros[MÊS],$AE$1,tabela_registros[DIA],investirrendafixaconsolidadoago[[#Headers],[14]],tabela_registros[REGISTRO],DADOS!$N$5,tabela_registros[TIPO],DADOS!$AB$3,tabela_registros[CATEGORIA],investirrendafixaconsolidadoago[[#This Row],[ATUAL]])</f>
        <v>0</v>
      </c>
      <c r="S114" s="119" t="n">
        <f aca="false">SUMIFS(tabela_registros[VALOR],tabela_registros[MÊS],$AE$1,tabela_registros[DIA],investirrendafixaconsolidadoago[[#Headers],[15]],tabela_registros[REGISTRO],DADOS!$N$5,tabela_registros[TIPO],DADOS!$AB$3,tabela_registros[CATEGORIA],investirrendafixaconsolidadoago[[#This Row],[ATUAL]])</f>
        <v>0</v>
      </c>
      <c r="T114" s="119" t="n">
        <f aca="false">SUMIFS(tabela_registros[VALOR],tabela_registros[MÊS],$AE$1,tabela_registros[DIA],investirrendafixaconsolidadoago[[#Headers],[16]],tabela_registros[REGISTRO],DADOS!$N$5,tabela_registros[TIPO],DADOS!$AB$3,tabela_registros[CATEGORIA],investirrendafixaconsolidadoago[[#This Row],[ATUAL]])</f>
        <v>0</v>
      </c>
      <c r="U114" s="119" t="n">
        <f aca="false">SUMIFS(tabela_registros[VALOR],tabela_registros[MÊS],$AE$1,tabela_registros[DIA],investirrendafixaconsolidadoago[[#Headers],[17]],tabela_registros[REGISTRO],DADOS!$N$5,tabela_registros[TIPO],DADOS!$AB$3,tabela_registros[CATEGORIA],investirrendafixaconsolidadoago[[#This Row],[ATUAL]])</f>
        <v>0</v>
      </c>
      <c r="V114" s="119" t="n">
        <f aca="false">SUMIFS(tabela_registros[VALOR],tabela_registros[MÊS],$AE$1,tabela_registros[DIA],investirrendafixaconsolidadoago[[#Headers],[18]],tabela_registros[REGISTRO],DADOS!$N$5,tabela_registros[TIPO],DADOS!$AB$3,tabela_registros[CATEGORIA],investirrendafixaconsolidadoago[[#This Row],[ATUAL]])</f>
        <v>0</v>
      </c>
      <c r="W114" s="119" t="n">
        <f aca="false">SUMIFS(tabela_registros[VALOR],tabela_registros[MÊS],$AE$1,tabela_registros[DIA],investirrendafixaconsolidadoago[[#Headers],[19]],tabela_registros[REGISTRO],DADOS!$N$5,tabela_registros[TIPO],DADOS!$AB$3,tabela_registros[CATEGORIA],investirrendafixaconsolidadoago[[#This Row],[ATUAL]])</f>
        <v>0</v>
      </c>
      <c r="X114" s="119" t="n">
        <f aca="false">SUMIFS(tabela_registros[VALOR],tabela_registros[MÊS],$AE$1,tabela_registros[DIA],investirrendafixaconsolidadoago[[#Headers],[20]],tabela_registros[REGISTRO],DADOS!$N$5,tabela_registros[TIPO],DADOS!$AB$3,tabela_registros[CATEGORIA],investirrendafixaconsolidadoago[[#This Row],[ATUAL]])</f>
        <v>0</v>
      </c>
      <c r="Y114" s="119" t="n">
        <f aca="false">SUMIFS(tabela_registros[VALOR],tabela_registros[MÊS],$AE$1,tabela_registros[DIA],investirrendafixaconsolidadoago[[#Headers],[21]],tabela_registros[REGISTRO],DADOS!$N$5,tabela_registros[TIPO],DADOS!$AB$3,tabela_registros[CATEGORIA],investirrendafixaconsolidadoago[[#This Row],[ATUAL]])</f>
        <v>0</v>
      </c>
      <c r="Z114" s="119" t="n">
        <f aca="false">SUMIFS(tabela_registros[VALOR],tabela_registros[MÊS],$AE$1,tabela_registros[DIA],investirrendafixaconsolidadoago[[#Headers],[22]],tabela_registros[REGISTRO],DADOS!$N$5,tabela_registros[TIPO],DADOS!$AB$3,tabela_registros[CATEGORIA],investirrendafixaconsolidadoago[[#This Row],[ATUAL]])</f>
        <v>0</v>
      </c>
      <c r="AA114" s="119" t="n">
        <f aca="false">SUMIFS(tabela_registros[VALOR],tabela_registros[MÊS],$AE$1,tabela_registros[DIA],investirrendafixaconsolidadoago[[#Headers],[23]],tabela_registros[REGISTRO],DADOS!$N$5,tabela_registros[TIPO],DADOS!$AB$3,tabela_registros[CATEGORIA],investirrendafixaconsolidadoago[[#This Row],[ATUAL]])</f>
        <v>0</v>
      </c>
      <c r="AB114" s="119" t="n">
        <f aca="false">SUMIFS(tabela_registros[VALOR],tabela_registros[MÊS],$AE$1,tabela_registros[DIA],investirrendafixaconsolidadoago[[#Headers],[24]],tabela_registros[REGISTRO],DADOS!$N$5,tabela_registros[TIPO],DADOS!$AB$3,tabela_registros[CATEGORIA],investirrendafixaconsolidadoago[[#This Row],[ATUAL]])</f>
        <v>0</v>
      </c>
      <c r="AC114" s="119" t="n">
        <f aca="false">SUMIFS(tabela_registros[VALOR],tabela_registros[MÊS],$AE$1,tabela_registros[DIA],investirrendafixaconsolidadoago[[#Headers],[25]],tabela_registros[REGISTRO],DADOS!$N$5,tabela_registros[TIPO],DADOS!$AB$3,tabela_registros[CATEGORIA],investirrendafixaconsolidadoago[[#This Row],[ATUAL]])</f>
        <v>0</v>
      </c>
      <c r="AD114" s="119" t="n">
        <f aca="false">SUMIFS(tabela_registros[VALOR],tabela_registros[MÊS],$AE$1,tabela_registros[DIA],investirrendafixaconsolidadoago[[#Headers],[26]],tabela_registros[REGISTRO],DADOS!$N$5,tabela_registros[TIPO],DADOS!$AB$3,tabela_registros[CATEGORIA],investirrendafixaconsolidadoago[[#This Row],[ATUAL]])</f>
        <v>0</v>
      </c>
      <c r="AE114" s="119" t="n">
        <f aca="false">SUMIFS(tabela_registros[VALOR],tabela_registros[MÊS],$AE$1,tabela_registros[DIA],investirrendafixaconsolidadoago[[#Headers],[27]],tabela_registros[REGISTRO],DADOS!$N$5,tabela_registros[TIPO],DADOS!$AB$3,tabela_registros[CATEGORIA],investirrendafixaconsolidadoago[[#This Row],[ATUAL]])</f>
        <v>0</v>
      </c>
      <c r="AF114" s="119" t="n">
        <f aca="false">SUMIFS(tabela_registros[VALOR],tabela_registros[MÊS],$AE$1,tabela_registros[DIA],investirrendafixaconsolidadoago[[#Headers],[28]],tabela_registros[REGISTRO],DADOS!$N$5,tabela_registros[TIPO],DADOS!$AB$3,tabela_registros[CATEGORIA],investirrendafixaconsolidadoago[[#This Row],[ATUAL]])</f>
        <v>0</v>
      </c>
      <c r="AG114" s="119" t="n">
        <f aca="false">SUMIFS(tabela_registros[VALOR],tabela_registros[MÊS],$AE$1,tabela_registros[DIA],investirrendafixaconsolidadoago[[#Headers],[29]],tabela_registros[REGISTRO],DADOS!$N$5,tabela_registros[TIPO],DADOS!$AB$3,tabela_registros[CATEGORIA],investirrendafixaconsolidadoago[[#This Row],[ATUAL]])</f>
        <v>0</v>
      </c>
      <c r="AH114" s="119" t="n">
        <f aca="false">SUMIFS(tabela_registros[VALOR],tabela_registros[MÊS],$AE$1,tabela_registros[DIA],investirrendafixaconsolidadoago[[#Headers],[30]],tabela_registros[REGISTRO],DADOS!$N$5,tabela_registros[TIPO],DADOS!$AB$3,tabela_registros[CATEGORIA],investirrendafixaconsolidadoago[[#This Row],[ATUAL]])</f>
        <v>0</v>
      </c>
      <c r="AI114" s="217" t="n">
        <f aca="false">SUMIFS(tabela_registros[VALOR],tabela_registros[MÊS],$AE$1,tabela_registros[DIA],investirrendafixaconsolidadoago[[#Headers],[31]],tabela_registros[REGISTRO],DADOS!$N$5,tabela_registros[TIPO],DADOS!$AB$3,tabela_registros[CATEGORIA],investirrendafixaconsolidadoago[[#This Row],[ATUAL]])</f>
        <v>0</v>
      </c>
      <c r="AJ114" s="149" t="n">
        <f aca="false">SUM(investirrendafixaconsolidadoago[[#This Row],[1]:[31]])</f>
        <v>0</v>
      </c>
      <c r="AK114" s="165"/>
    </row>
    <row r="115" customFormat="false" ht="19.5" hidden="false" customHeight="true" outlineLevel="0" collapsed="false">
      <c r="B115" s="143"/>
      <c r="C115" s="144" t="str">
        <f aca="false">DADOS!$AD$5</f>
        <v>📝 CRI</v>
      </c>
      <c r="D115" s="145" t="str">
        <f aca="false">IF(investirrendafixaconsolidadoago[[#This Row],[TOTAL (R$)]]=0,"",IF(OR(investirrendafixaconsolidadoago[[#This Row],[TOTAL (R$)]]=LARGE($AJ$113:$AJ$122,1),investirrendafixaconsolidadoago[[#This Row],[TOTAL (R$)]]=LARGE($AJ$113:$AJ$122,2)),DADOS!$I$10,""))</f>
        <v/>
      </c>
      <c r="E115" s="148" t="n">
        <f aca="false">SUMIFS(tabela_registros[VALOR],tabela_registros[MÊS],$AE$1,tabela_registros[DIA],investirrendafixaconsolidadoago[[#Headers],[1]],tabela_registros[REGISTRO],DADOS!$N$5,tabela_registros[TIPO],DADOS!$AB$3,tabela_registros[CATEGORIA],investirrendafixaconsolidadoago[[#This Row],[ATUAL]])</f>
        <v>0</v>
      </c>
      <c r="F115" s="119" t="n">
        <f aca="false">SUMIFS(tabela_registros[VALOR],tabela_registros[MÊS],$AE$1,tabela_registros[DIA],investirrendafixaconsolidadoago[[#Headers],[2]],tabela_registros[REGISTRO],DADOS!$N$5,tabela_registros[TIPO],DADOS!$AB$3,tabela_registros[CATEGORIA],investirrendafixaconsolidadoago[[#This Row],[ATUAL]])</f>
        <v>0</v>
      </c>
      <c r="G115" s="119" t="n">
        <f aca="false">SUMIFS(tabela_registros[VALOR],tabela_registros[MÊS],$AE$1,tabela_registros[DIA],investirrendafixaconsolidadoago[[#Headers],[3]],tabela_registros[REGISTRO],DADOS!$N$5,tabela_registros[TIPO],DADOS!$AB$3,tabela_registros[CATEGORIA],investirrendafixaconsolidadoago[[#This Row],[ATUAL]])</f>
        <v>0</v>
      </c>
      <c r="H115" s="119" t="n">
        <f aca="false">SUMIFS(tabela_registros[VALOR],tabela_registros[MÊS],$AE$1,tabela_registros[DIA],investirrendafixaconsolidadoago[[#Headers],[4]],tabela_registros[REGISTRO],DADOS!$N$5,tabela_registros[TIPO],DADOS!$AB$3,tabela_registros[CATEGORIA],investirrendafixaconsolidadoago[[#This Row],[ATUAL]])</f>
        <v>0</v>
      </c>
      <c r="I115" s="119" t="n">
        <f aca="false">SUMIFS(tabela_registros[VALOR],tabela_registros[MÊS],$AE$1,tabela_registros[DIA],investirrendafixaconsolidadoago[[#Headers],[5]],tabela_registros[REGISTRO],DADOS!$N$5,tabela_registros[TIPO],DADOS!$AB$3,tabela_registros[CATEGORIA],investirrendafixaconsolidadoago[[#This Row],[ATUAL]])</f>
        <v>0</v>
      </c>
      <c r="J115" s="119" t="n">
        <f aca="false">SUMIFS(tabela_registros[VALOR],tabela_registros[MÊS],$AE$1,tabela_registros[DIA],investirrendafixaconsolidadoago[[#Headers],[6]],tabela_registros[REGISTRO],DADOS!$N$5,tabela_registros[TIPO],DADOS!$AB$3,tabela_registros[CATEGORIA],investirrendafixaconsolidadoago[[#This Row],[ATUAL]])</f>
        <v>0</v>
      </c>
      <c r="K115" s="119" t="n">
        <f aca="false">SUMIFS(tabela_registros[VALOR],tabela_registros[MÊS],$AE$1,tabela_registros[DIA],investirrendafixaconsolidadoago[[#Headers],[7]],tabela_registros[REGISTRO],DADOS!$N$5,tabela_registros[TIPO],DADOS!$AB$3,tabela_registros[CATEGORIA],investirrendafixaconsolidadoago[[#This Row],[ATUAL]])</f>
        <v>0</v>
      </c>
      <c r="L115" s="119" t="n">
        <f aca="false">SUMIFS(tabela_registros[VALOR],tabela_registros[MÊS],$AE$1,tabela_registros[DIA],investirrendafixaconsolidadoago[[#Headers],[8]],tabela_registros[REGISTRO],DADOS!$N$5,tabela_registros[TIPO],DADOS!$AB$3,tabela_registros[CATEGORIA],investirrendafixaconsolidadoago[[#This Row],[ATUAL]])</f>
        <v>0</v>
      </c>
      <c r="M115" s="119" t="n">
        <f aca="false">SUMIFS(tabela_registros[VALOR],tabela_registros[MÊS],$AE$1,tabela_registros[DIA],investirrendafixaconsolidadoago[[#Headers],[9]],tabela_registros[REGISTRO],DADOS!$N$5,tabela_registros[TIPO],DADOS!$AB$3,tabela_registros[CATEGORIA],investirrendafixaconsolidadoago[[#This Row],[ATUAL]])</f>
        <v>0</v>
      </c>
      <c r="N115" s="119" t="n">
        <f aca="false">SUMIFS(tabela_registros[VALOR],tabela_registros[MÊS],$AE$1,tabela_registros[DIA],investirrendafixaconsolidadoago[[#Headers],[10]],tabela_registros[REGISTRO],DADOS!$N$5,tabela_registros[TIPO],DADOS!$AB$3,tabela_registros[CATEGORIA],investirrendafixaconsolidadoago[[#This Row],[ATUAL]])</f>
        <v>0</v>
      </c>
      <c r="O115" s="119" t="n">
        <f aca="false">SUMIFS(tabela_registros[VALOR],tabela_registros[MÊS],$AE$1,tabela_registros[DIA],investirrendafixaconsolidadoago[[#Headers],[11]],tabela_registros[REGISTRO],DADOS!$N$5,tabela_registros[TIPO],DADOS!$AB$3,tabela_registros[CATEGORIA],investirrendafixaconsolidadoago[[#This Row],[ATUAL]])</f>
        <v>0</v>
      </c>
      <c r="P115" s="119" t="n">
        <f aca="false">SUMIFS(tabela_registros[VALOR],tabela_registros[MÊS],$AE$1,tabela_registros[DIA],investirrendafixaconsolidadoago[[#Headers],[12]],tabela_registros[REGISTRO],DADOS!$N$5,tabela_registros[TIPO],DADOS!$AB$3,tabela_registros[CATEGORIA],investirrendafixaconsolidadoago[[#This Row],[ATUAL]])</f>
        <v>0</v>
      </c>
      <c r="Q115" s="119" t="n">
        <f aca="false">SUMIFS(tabela_registros[VALOR],tabela_registros[MÊS],$AE$1,tabela_registros[DIA],investirrendafixaconsolidadoago[[#Headers],[13]],tabela_registros[REGISTRO],DADOS!$N$5,tabela_registros[TIPO],DADOS!$AB$3,tabela_registros[CATEGORIA],investirrendafixaconsolidadoago[[#This Row],[ATUAL]])</f>
        <v>0</v>
      </c>
      <c r="R115" s="119" t="n">
        <f aca="false">SUMIFS(tabela_registros[VALOR],tabela_registros[MÊS],$AE$1,tabela_registros[DIA],investirrendafixaconsolidadoago[[#Headers],[14]],tabela_registros[REGISTRO],DADOS!$N$5,tabela_registros[TIPO],DADOS!$AB$3,tabela_registros[CATEGORIA],investirrendafixaconsolidadoago[[#This Row],[ATUAL]])</f>
        <v>0</v>
      </c>
      <c r="S115" s="119" t="n">
        <f aca="false">SUMIFS(tabela_registros[VALOR],tabela_registros[MÊS],$AE$1,tabela_registros[DIA],investirrendafixaconsolidadoago[[#Headers],[15]],tabela_registros[REGISTRO],DADOS!$N$5,tabela_registros[TIPO],DADOS!$AB$3,tabela_registros[CATEGORIA],investirrendafixaconsolidadoago[[#This Row],[ATUAL]])</f>
        <v>0</v>
      </c>
      <c r="T115" s="119" t="n">
        <f aca="false">SUMIFS(tabela_registros[VALOR],tabela_registros[MÊS],$AE$1,tabela_registros[DIA],investirrendafixaconsolidadoago[[#Headers],[16]],tabela_registros[REGISTRO],DADOS!$N$5,tabela_registros[TIPO],DADOS!$AB$3,tabela_registros[CATEGORIA],investirrendafixaconsolidadoago[[#This Row],[ATUAL]])</f>
        <v>0</v>
      </c>
      <c r="U115" s="119" t="n">
        <f aca="false">SUMIFS(tabela_registros[VALOR],tabela_registros[MÊS],$AE$1,tabela_registros[DIA],investirrendafixaconsolidadoago[[#Headers],[17]],tabela_registros[REGISTRO],DADOS!$N$5,tabela_registros[TIPO],DADOS!$AB$3,tabela_registros[CATEGORIA],investirrendafixaconsolidadoago[[#This Row],[ATUAL]])</f>
        <v>0</v>
      </c>
      <c r="V115" s="119" t="n">
        <f aca="false">SUMIFS(tabela_registros[VALOR],tabela_registros[MÊS],$AE$1,tabela_registros[DIA],investirrendafixaconsolidadoago[[#Headers],[18]],tabela_registros[REGISTRO],DADOS!$N$5,tabela_registros[TIPO],DADOS!$AB$3,tabela_registros[CATEGORIA],investirrendafixaconsolidadoago[[#This Row],[ATUAL]])</f>
        <v>0</v>
      </c>
      <c r="W115" s="119" t="n">
        <f aca="false">SUMIFS(tabela_registros[VALOR],tabela_registros[MÊS],$AE$1,tabela_registros[DIA],investirrendafixaconsolidadoago[[#Headers],[19]],tabela_registros[REGISTRO],DADOS!$N$5,tabela_registros[TIPO],DADOS!$AB$3,tabela_registros[CATEGORIA],investirrendafixaconsolidadoago[[#This Row],[ATUAL]])</f>
        <v>0</v>
      </c>
      <c r="X115" s="119" t="n">
        <f aca="false">SUMIFS(tabela_registros[VALOR],tabela_registros[MÊS],$AE$1,tabela_registros[DIA],investirrendafixaconsolidadoago[[#Headers],[20]],tabela_registros[REGISTRO],DADOS!$N$5,tabela_registros[TIPO],DADOS!$AB$3,tabela_registros[CATEGORIA],investirrendafixaconsolidadoago[[#This Row],[ATUAL]])</f>
        <v>0</v>
      </c>
      <c r="Y115" s="119" t="n">
        <f aca="false">SUMIFS(tabela_registros[VALOR],tabela_registros[MÊS],$AE$1,tabela_registros[DIA],investirrendafixaconsolidadoago[[#Headers],[21]],tabela_registros[REGISTRO],DADOS!$N$5,tabela_registros[TIPO],DADOS!$AB$3,tabela_registros[CATEGORIA],investirrendafixaconsolidadoago[[#This Row],[ATUAL]])</f>
        <v>0</v>
      </c>
      <c r="Z115" s="119" t="n">
        <f aca="false">SUMIFS(tabela_registros[VALOR],tabela_registros[MÊS],$AE$1,tabela_registros[DIA],investirrendafixaconsolidadoago[[#Headers],[22]],tabela_registros[REGISTRO],DADOS!$N$5,tabela_registros[TIPO],DADOS!$AB$3,tabela_registros[CATEGORIA],investirrendafixaconsolidadoago[[#This Row],[ATUAL]])</f>
        <v>0</v>
      </c>
      <c r="AA115" s="119" t="n">
        <f aca="false">SUMIFS(tabela_registros[VALOR],tabela_registros[MÊS],$AE$1,tabela_registros[DIA],investirrendafixaconsolidadoago[[#Headers],[23]],tabela_registros[REGISTRO],DADOS!$N$5,tabela_registros[TIPO],DADOS!$AB$3,tabela_registros[CATEGORIA],investirrendafixaconsolidadoago[[#This Row],[ATUAL]])</f>
        <v>0</v>
      </c>
      <c r="AB115" s="119" t="n">
        <f aca="false">SUMIFS(tabela_registros[VALOR],tabela_registros[MÊS],$AE$1,tabela_registros[DIA],investirrendafixaconsolidadoago[[#Headers],[24]],tabela_registros[REGISTRO],DADOS!$N$5,tabela_registros[TIPO],DADOS!$AB$3,tabela_registros[CATEGORIA],investirrendafixaconsolidadoago[[#This Row],[ATUAL]])</f>
        <v>0</v>
      </c>
      <c r="AC115" s="119" t="n">
        <f aca="false">SUMIFS(tabela_registros[VALOR],tabela_registros[MÊS],$AE$1,tabela_registros[DIA],investirrendafixaconsolidadoago[[#Headers],[25]],tabela_registros[REGISTRO],DADOS!$N$5,tabela_registros[TIPO],DADOS!$AB$3,tabela_registros[CATEGORIA],investirrendafixaconsolidadoago[[#This Row],[ATUAL]])</f>
        <v>0</v>
      </c>
      <c r="AD115" s="119" t="n">
        <f aca="false">SUMIFS(tabela_registros[VALOR],tabela_registros[MÊS],$AE$1,tabela_registros[DIA],investirrendafixaconsolidadoago[[#Headers],[26]],tabela_registros[REGISTRO],DADOS!$N$5,tabela_registros[TIPO],DADOS!$AB$3,tabela_registros[CATEGORIA],investirrendafixaconsolidadoago[[#This Row],[ATUAL]])</f>
        <v>0</v>
      </c>
      <c r="AE115" s="119" t="n">
        <f aca="false">SUMIFS(tabela_registros[VALOR],tabela_registros[MÊS],$AE$1,tabela_registros[DIA],investirrendafixaconsolidadoago[[#Headers],[27]],tabela_registros[REGISTRO],DADOS!$N$5,tabela_registros[TIPO],DADOS!$AB$3,tabela_registros[CATEGORIA],investirrendafixaconsolidadoago[[#This Row],[ATUAL]])</f>
        <v>0</v>
      </c>
      <c r="AF115" s="119" t="n">
        <f aca="false">SUMIFS(tabela_registros[VALOR],tabela_registros[MÊS],$AE$1,tabela_registros[DIA],investirrendafixaconsolidadoago[[#Headers],[28]],tabela_registros[REGISTRO],DADOS!$N$5,tabela_registros[TIPO],DADOS!$AB$3,tabela_registros[CATEGORIA],investirrendafixaconsolidadoago[[#This Row],[ATUAL]])</f>
        <v>0</v>
      </c>
      <c r="AG115" s="119" t="n">
        <f aca="false">SUMIFS(tabela_registros[VALOR],tabela_registros[MÊS],$AE$1,tabela_registros[DIA],investirrendafixaconsolidadoago[[#Headers],[29]],tabela_registros[REGISTRO],DADOS!$N$5,tabela_registros[TIPO],DADOS!$AB$3,tabela_registros[CATEGORIA],investirrendafixaconsolidadoago[[#This Row],[ATUAL]])</f>
        <v>0</v>
      </c>
      <c r="AH115" s="119" t="n">
        <f aca="false">SUMIFS(tabela_registros[VALOR],tabela_registros[MÊS],$AE$1,tabela_registros[DIA],investirrendafixaconsolidadoago[[#Headers],[30]],tabela_registros[REGISTRO],DADOS!$N$5,tabela_registros[TIPO],DADOS!$AB$3,tabela_registros[CATEGORIA],investirrendafixaconsolidadoago[[#This Row],[ATUAL]])</f>
        <v>0</v>
      </c>
      <c r="AI115" s="217" t="n">
        <f aca="false">SUMIFS(tabela_registros[VALOR],tabela_registros[MÊS],$AE$1,tabela_registros[DIA],investirrendafixaconsolidadoago[[#Headers],[31]],tabela_registros[REGISTRO],DADOS!$N$5,tabela_registros[TIPO],DADOS!$AB$3,tabela_registros[CATEGORIA],investirrendafixaconsolidadoago[[#This Row],[ATUAL]])</f>
        <v>0</v>
      </c>
      <c r="AJ115" s="149" t="n">
        <f aca="false">SUM(investirrendafixaconsolidadoago[[#This Row],[1]:[31]])</f>
        <v>0</v>
      </c>
      <c r="AK115" s="165"/>
    </row>
    <row r="116" customFormat="false" ht="19.5" hidden="false" customHeight="true" outlineLevel="0" collapsed="false">
      <c r="B116" s="143"/>
      <c r="C116" s="144" t="str">
        <f aca="false">DADOS!$AD$6</f>
        <v>📝 DEBÊNTURE</v>
      </c>
      <c r="D116" s="145" t="str">
        <f aca="false">IF(investirrendafixaconsolidadoago[[#This Row],[TOTAL (R$)]]=0,"",IF(OR(investirrendafixaconsolidadoago[[#This Row],[TOTAL (R$)]]=LARGE($AJ$113:$AJ$122,1),investirrendafixaconsolidadoago[[#This Row],[TOTAL (R$)]]=LARGE($AJ$113:$AJ$122,2)),DADOS!$I$10,""))</f>
        <v/>
      </c>
      <c r="E116" s="148" t="n">
        <f aca="false">SUMIFS(tabela_registros[VALOR],tabela_registros[MÊS],$AE$1,tabela_registros[DIA],investirrendafixaconsolidadoago[[#Headers],[1]],tabela_registros[REGISTRO],DADOS!$N$5,tabela_registros[TIPO],DADOS!$AB$3,tabela_registros[CATEGORIA],investirrendafixaconsolidadoago[[#This Row],[ATUAL]])</f>
        <v>0</v>
      </c>
      <c r="F116" s="119" t="n">
        <f aca="false">SUMIFS(tabela_registros[VALOR],tabela_registros[MÊS],$AE$1,tabela_registros[DIA],investirrendafixaconsolidadoago[[#Headers],[2]],tabela_registros[REGISTRO],DADOS!$N$5,tabela_registros[TIPO],DADOS!$AB$3,tabela_registros[CATEGORIA],investirrendafixaconsolidadoago[[#This Row],[ATUAL]])</f>
        <v>0</v>
      </c>
      <c r="G116" s="119" t="n">
        <f aca="false">SUMIFS(tabela_registros[VALOR],tabela_registros[MÊS],$AE$1,tabela_registros[DIA],investirrendafixaconsolidadoago[[#Headers],[3]],tabela_registros[REGISTRO],DADOS!$N$5,tabela_registros[TIPO],DADOS!$AB$3,tabela_registros[CATEGORIA],investirrendafixaconsolidadoago[[#This Row],[ATUAL]])</f>
        <v>0</v>
      </c>
      <c r="H116" s="119" t="n">
        <f aca="false">SUMIFS(tabela_registros[VALOR],tabela_registros[MÊS],$AE$1,tabela_registros[DIA],investirrendafixaconsolidadoago[[#Headers],[4]],tabela_registros[REGISTRO],DADOS!$N$5,tabela_registros[TIPO],DADOS!$AB$3,tabela_registros[CATEGORIA],investirrendafixaconsolidadoago[[#This Row],[ATUAL]])</f>
        <v>0</v>
      </c>
      <c r="I116" s="119" t="n">
        <f aca="false">SUMIFS(tabela_registros[VALOR],tabela_registros[MÊS],$AE$1,tabela_registros[DIA],investirrendafixaconsolidadoago[[#Headers],[5]],tabela_registros[REGISTRO],DADOS!$N$5,tabela_registros[TIPO],DADOS!$AB$3,tabela_registros[CATEGORIA],investirrendafixaconsolidadoago[[#This Row],[ATUAL]])</f>
        <v>0</v>
      </c>
      <c r="J116" s="119" t="n">
        <f aca="false">SUMIFS(tabela_registros[VALOR],tabela_registros[MÊS],$AE$1,tabela_registros[DIA],investirrendafixaconsolidadoago[[#Headers],[6]],tabela_registros[REGISTRO],DADOS!$N$5,tabela_registros[TIPO],DADOS!$AB$3,tabela_registros[CATEGORIA],investirrendafixaconsolidadoago[[#This Row],[ATUAL]])</f>
        <v>0</v>
      </c>
      <c r="K116" s="119" t="n">
        <f aca="false">SUMIFS(tabela_registros[VALOR],tabela_registros[MÊS],$AE$1,tabela_registros[DIA],investirrendafixaconsolidadoago[[#Headers],[7]],tabela_registros[REGISTRO],DADOS!$N$5,tabela_registros[TIPO],DADOS!$AB$3,tabela_registros[CATEGORIA],investirrendafixaconsolidadoago[[#This Row],[ATUAL]])</f>
        <v>0</v>
      </c>
      <c r="L116" s="119" t="n">
        <f aca="false">SUMIFS(tabela_registros[VALOR],tabela_registros[MÊS],$AE$1,tabela_registros[DIA],investirrendafixaconsolidadoago[[#Headers],[8]],tabela_registros[REGISTRO],DADOS!$N$5,tabela_registros[TIPO],DADOS!$AB$3,tabela_registros[CATEGORIA],investirrendafixaconsolidadoago[[#This Row],[ATUAL]])</f>
        <v>0</v>
      </c>
      <c r="M116" s="119" t="n">
        <f aca="false">SUMIFS(tabela_registros[VALOR],tabela_registros[MÊS],$AE$1,tabela_registros[DIA],investirrendafixaconsolidadoago[[#Headers],[9]],tabela_registros[REGISTRO],DADOS!$N$5,tabela_registros[TIPO],DADOS!$AB$3,tabela_registros[CATEGORIA],investirrendafixaconsolidadoago[[#This Row],[ATUAL]])</f>
        <v>0</v>
      </c>
      <c r="N116" s="119" t="n">
        <f aca="false">SUMIFS(tabela_registros[VALOR],tabela_registros[MÊS],$AE$1,tabela_registros[DIA],investirrendafixaconsolidadoago[[#Headers],[10]],tabela_registros[REGISTRO],DADOS!$N$5,tabela_registros[TIPO],DADOS!$AB$3,tabela_registros[CATEGORIA],investirrendafixaconsolidadoago[[#This Row],[ATUAL]])</f>
        <v>0</v>
      </c>
      <c r="O116" s="119" t="n">
        <f aca="false">SUMIFS(tabela_registros[VALOR],tabela_registros[MÊS],$AE$1,tabela_registros[DIA],investirrendafixaconsolidadoago[[#Headers],[11]],tabela_registros[REGISTRO],DADOS!$N$5,tabela_registros[TIPO],DADOS!$AB$3,tabela_registros[CATEGORIA],investirrendafixaconsolidadoago[[#This Row],[ATUAL]])</f>
        <v>0</v>
      </c>
      <c r="P116" s="119" t="n">
        <f aca="false">SUMIFS(tabela_registros[VALOR],tabela_registros[MÊS],$AE$1,tabela_registros[DIA],investirrendafixaconsolidadoago[[#Headers],[12]],tabela_registros[REGISTRO],DADOS!$N$5,tabela_registros[TIPO],DADOS!$AB$3,tabela_registros[CATEGORIA],investirrendafixaconsolidadoago[[#This Row],[ATUAL]])</f>
        <v>0</v>
      </c>
      <c r="Q116" s="119" t="n">
        <f aca="false">SUMIFS(tabela_registros[VALOR],tabela_registros[MÊS],$AE$1,tabela_registros[DIA],investirrendafixaconsolidadoago[[#Headers],[13]],tabela_registros[REGISTRO],DADOS!$N$5,tabela_registros[TIPO],DADOS!$AB$3,tabela_registros[CATEGORIA],investirrendafixaconsolidadoago[[#This Row],[ATUAL]])</f>
        <v>0</v>
      </c>
      <c r="R116" s="119" t="n">
        <f aca="false">SUMIFS(tabela_registros[VALOR],tabela_registros[MÊS],$AE$1,tabela_registros[DIA],investirrendafixaconsolidadoago[[#Headers],[14]],tabela_registros[REGISTRO],DADOS!$N$5,tabela_registros[TIPO],DADOS!$AB$3,tabela_registros[CATEGORIA],investirrendafixaconsolidadoago[[#This Row],[ATUAL]])</f>
        <v>0</v>
      </c>
      <c r="S116" s="119" t="n">
        <f aca="false">SUMIFS(tabela_registros[VALOR],tabela_registros[MÊS],$AE$1,tabela_registros[DIA],investirrendafixaconsolidadoago[[#Headers],[15]],tabela_registros[REGISTRO],DADOS!$N$5,tabela_registros[TIPO],DADOS!$AB$3,tabela_registros[CATEGORIA],investirrendafixaconsolidadoago[[#This Row],[ATUAL]])</f>
        <v>0</v>
      </c>
      <c r="T116" s="119" t="n">
        <f aca="false">SUMIFS(tabela_registros[VALOR],tabela_registros[MÊS],$AE$1,tabela_registros[DIA],investirrendafixaconsolidadoago[[#Headers],[16]],tabela_registros[REGISTRO],DADOS!$N$5,tabela_registros[TIPO],DADOS!$AB$3,tabela_registros[CATEGORIA],investirrendafixaconsolidadoago[[#This Row],[ATUAL]])</f>
        <v>0</v>
      </c>
      <c r="U116" s="119" t="n">
        <f aca="false">SUMIFS(tabela_registros[VALOR],tabela_registros[MÊS],$AE$1,tabela_registros[DIA],investirrendafixaconsolidadoago[[#Headers],[17]],tabela_registros[REGISTRO],DADOS!$N$5,tabela_registros[TIPO],DADOS!$AB$3,tabela_registros[CATEGORIA],investirrendafixaconsolidadoago[[#This Row],[ATUAL]])</f>
        <v>0</v>
      </c>
      <c r="V116" s="119" t="n">
        <f aca="false">SUMIFS(tabela_registros[VALOR],tabela_registros[MÊS],$AE$1,tabela_registros[DIA],investirrendafixaconsolidadoago[[#Headers],[18]],tabela_registros[REGISTRO],DADOS!$N$5,tabela_registros[TIPO],DADOS!$AB$3,tabela_registros[CATEGORIA],investirrendafixaconsolidadoago[[#This Row],[ATUAL]])</f>
        <v>0</v>
      </c>
      <c r="W116" s="119" t="n">
        <f aca="false">SUMIFS(tabela_registros[VALOR],tabela_registros[MÊS],$AE$1,tabela_registros[DIA],investirrendafixaconsolidadoago[[#Headers],[19]],tabela_registros[REGISTRO],DADOS!$N$5,tabela_registros[TIPO],DADOS!$AB$3,tabela_registros[CATEGORIA],investirrendafixaconsolidadoago[[#This Row],[ATUAL]])</f>
        <v>0</v>
      </c>
      <c r="X116" s="119" t="n">
        <f aca="false">SUMIFS(tabela_registros[VALOR],tabela_registros[MÊS],$AE$1,tabela_registros[DIA],investirrendafixaconsolidadoago[[#Headers],[20]],tabela_registros[REGISTRO],DADOS!$N$5,tabela_registros[TIPO],DADOS!$AB$3,tabela_registros[CATEGORIA],investirrendafixaconsolidadoago[[#This Row],[ATUAL]])</f>
        <v>0</v>
      </c>
      <c r="Y116" s="119" t="n">
        <f aca="false">SUMIFS(tabela_registros[VALOR],tabela_registros[MÊS],$AE$1,tabela_registros[DIA],investirrendafixaconsolidadoago[[#Headers],[21]],tabela_registros[REGISTRO],DADOS!$N$5,tabela_registros[TIPO],DADOS!$AB$3,tabela_registros[CATEGORIA],investirrendafixaconsolidadoago[[#This Row],[ATUAL]])</f>
        <v>0</v>
      </c>
      <c r="Z116" s="119" t="n">
        <f aca="false">SUMIFS(tabela_registros[VALOR],tabela_registros[MÊS],$AE$1,tabela_registros[DIA],investirrendafixaconsolidadoago[[#Headers],[22]],tabela_registros[REGISTRO],DADOS!$N$5,tabela_registros[TIPO],DADOS!$AB$3,tabela_registros[CATEGORIA],investirrendafixaconsolidadoago[[#This Row],[ATUAL]])</f>
        <v>0</v>
      </c>
      <c r="AA116" s="119" t="n">
        <f aca="false">SUMIFS(tabela_registros[VALOR],tabela_registros[MÊS],$AE$1,tabela_registros[DIA],investirrendafixaconsolidadoago[[#Headers],[23]],tabela_registros[REGISTRO],DADOS!$N$5,tabela_registros[TIPO],DADOS!$AB$3,tabela_registros[CATEGORIA],investirrendafixaconsolidadoago[[#This Row],[ATUAL]])</f>
        <v>0</v>
      </c>
      <c r="AB116" s="119" t="n">
        <f aca="false">SUMIFS(tabela_registros[VALOR],tabela_registros[MÊS],$AE$1,tabela_registros[DIA],investirrendafixaconsolidadoago[[#Headers],[24]],tabela_registros[REGISTRO],DADOS!$N$5,tabela_registros[TIPO],DADOS!$AB$3,tabela_registros[CATEGORIA],investirrendafixaconsolidadoago[[#This Row],[ATUAL]])</f>
        <v>0</v>
      </c>
      <c r="AC116" s="119" t="n">
        <f aca="false">SUMIFS(tabela_registros[VALOR],tabela_registros[MÊS],$AE$1,tabela_registros[DIA],investirrendafixaconsolidadoago[[#Headers],[25]],tabela_registros[REGISTRO],DADOS!$N$5,tabela_registros[TIPO],DADOS!$AB$3,tabela_registros[CATEGORIA],investirrendafixaconsolidadoago[[#This Row],[ATUAL]])</f>
        <v>0</v>
      </c>
      <c r="AD116" s="119" t="n">
        <f aca="false">SUMIFS(tabela_registros[VALOR],tabela_registros[MÊS],$AE$1,tabela_registros[DIA],investirrendafixaconsolidadoago[[#Headers],[26]],tabela_registros[REGISTRO],DADOS!$N$5,tabela_registros[TIPO],DADOS!$AB$3,tabela_registros[CATEGORIA],investirrendafixaconsolidadoago[[#This Row],[ATUAL]])</f>
        <v>0</v>
      </c>
      <c r="AE116" s="119" t="n">
        <f aca="false">SUMIFS(tabela_registros[VALOR],tabela_registros[MÊS],$AE$1,tabela_registros[DIA],investirrendafixaconsolidadoago[[#Headers],[27]],tabela_registros[REGISTRO],DADOS!$N$5,tabela_registros[TIPO],DADOS!$AB$3,tabela_registros[CATEGORIA],investirrendafixaconsolidadoago[[#This Row],[ATUAL]])</f>
        <v>0</v>
      </c>
      <c r="AF116" s="119" t="n">
        <f aca="false">SUMIFS(tabela_registros[VALOR],tabela_registros[MÊS],$AE$1,tabela_registros[DIA],investirrendafixaconsolidadoago[[#Headers],[28]],tabela_registros[REGISTRO],DADOS!$N$5,tabela_registros[TIPO],DADOS!$AB$3,tabela_registros[CATEGORIA],investirrendafixaconsolidadoago[[#This Row],[ATUAL]])</f>
        <v>0</v>
      </c>
      <c r="AG116" s="119" t="n">
        <f aca="false">SUMIFS(tabela_registros[VALOR],tabela_registros[MÊS],$AE$1,tabela_registros[DIA],investirrendafixaconsolidadoago[[#Headers],[29]],tabela_registros[REGISTRO],DADOS!$N$5,tabela_registros[TIPO],DADOS!$AB$3,tabela_registros[CATEGORIA],investirrendafixaconsolidadoago[[#This Row],[ATUAL]])</f>
        <v>0</v>
      </c>
      <c r="AH116" s="119" t="n">
        <f aca="false">SUMIFS(tabela_registros[VALOR],tabela_registros[MÊS],$AE$1,tabela_registros[DIA],investirrendafixaconsolidadoago[[#Headers],[30]],tabela_registros[REGISTRO],DADOS!$N$5,tabela_registros[TIPO],DADOS!$AB$3,tabela_registros[CATEGORIA],investirrendafixaconsolidadoago[[#This Row],[ATUAL]])</f>
        <v>0</v>
      </c>
      <c r="AI116" s="217" t="n">
        <f aca="false">SUMIFS(tabela_registros[VALOR],tabela_registros[MÊS],$AE$1,tabela_registros[DIA],investirrendafixaconsolidadoago[[#Headers],[31]],tabela_registros[REGISTRO],DADOS!$N$5,tabela_registros[TIPO],DADOS!$AB$3,tabela_registros[CATEGORIA],investirrendafixaconsolidadoago[[#This Row],[ATUAL]])</f>
        <v>0</v>
      </c>
      <c r="AJ116" s="149" t="n">
        <f aca="false">SUM(investirrendafixaconsolidadoago[[#This Row],[1]:[31]])</f>
        <v>0</v>
      </c>
      <c r="AK116" s="165"/>
    </row>
    <row r="117" customFormat="false" ht="19.5" hidden="false" customHeight="true" outlineLevel="0" collapsed="false">
      <c r="B117" s="143"/>
      <c r="C117" s="144" t="str">
        <f aca="false">DADOS!$AD$7</f>
        <v>📝 EXTERIOR</v>
      </c>
      <c r="D117" s="145" t="str">
        <f aca="false">IF(investirrendafixaconsolidadoago[[#This Row],[TOTAL (R$)]]=0,"",IF(OR(investirrendafixaconsolidadoago[[#This Row],[TOTAL (R$)]]=LARGE($AJ$113:$AJ$122,1),investirrendafixaconsolidadoago[[#This Row],[TOTAL (R$)]]=LARGE($AJ$113:$AJ$122,2)),DADOS!$I$10,""))</f>
        <v/>
      </c>
      <c r="E117" s="148" t="n">
        <f aca="false">SUMIFS(tabela_registros[VALOR],tabela_registros[MÊS],$AE$1,tabela_registros[DIA],investirrendafixaconsolidadoago[[#Headers],[1]],tabela_registros[REGISTRO],DADOS!$N$5,tabela_registros[TIPO],DADOS!$AB$3,tabela_registros[CATEGORIA],investirrendafixaconsolidadoago[[#This Row],[ATUAL]])</f>
        <v>0</v>
      </c>
      <c r="F117" s="119" t="n">
        <f aca="false">SUMIFS(tabela_registros[VALOR],tabela_registros[MÊS],$AE$1,tabela_registros[DIA],investirrendafixaconsolidadoago[[#Headers],[2]],tabela_registros[REGISTRO],DADOS!$N$5,tabela_registros[TIPO],DADOS!$AB$3,tabela_registros[CATEGORIA],investirrendafixaconsolidadoago[[#This Row],[ATUAL]])</f>
        <v>0</v>
      </c>
      <c r="G117" s="119" t="n">
        <f aca="false">SUMIFS(tabela_registros[VALOR],tabela_registros[MÊS],$AE$1,tabela_registros[DIA],investirrendafixaconsolidadoago[[#Headers],[3]],tabela_registros[REGISTRO],DADOS!$N$5,tabela_registros[TIPO],DADOS!$AB$3,tabela_registros[CATEGORIA],investirrendafixaconsolidadoago[[#This Row],[ATUAL]])</f>
        <v>0</v>
      </c>
      <c r="H117" s="119" t="n">
        <f aca="false">SUMIFS(tabela_registros[VALOR],tabela_registros[MÊS],$AE$1,tabela_registros[DIA],investirrendafixaconsolidadoago[[#Headers],[4]],tabela_registros[REGISTRO],DADOS!$N$5,tabela_registros[TIPO],DADOS!$AB$3,tabela_registros[CATEGORIA],investirrendafixaconsolidadoago[[#This Row],[ATUAL]])</f>
        <v>0</v>
      </c>
      <c r="I117" s="119" t="n">
        <f aca="false">SUMIFS(tabela_registros[VALOR],tabela_registros[MÊS],$AE$1,tabela_registros[DIA],investirrendafixaconsolidadoago[[#Headers],[5]],tabela_registros[REGISTRO],DADOS!$N$5,tabela_registros[TIPO],DADOS!$AB$3,tabela_registros[CATEGORIA],investirrendafixaconsolidadoago[[#This Row],[ATUAL]])</f>
        <v>0</v>
      </c>
      <c r="J117" s="119" t="n">
        <f aca="false">SUMIFS(tabela_registros[VALOR],tabela_registros[MÊS],$AE$1,tabela_registros[DIA],investirrendafixaconsolidadoago[[#Headers],[6]],tabela_registros[REGISTRO],DADOS!$N$5,tabela_registros[TIPO],DADOS!$AB$3,tabela_registros[CATEGORIA],investirrendafixaconsolidadoago[[#This Row],[ATUAL]])</f>
        <v>0</v>
      </c>
      <c r="K117" s="119" t="n">
        <f aca="false">SUMIFS(tabela_registros[VALOR],tabela_registros[MÊS],$AE$1,tabela_registros[DIA],investirrendafixaconsolidadoago[[#Headers],[7]],tabela_registros[REGISTRO],DADOS!$N$5,tabela_registros[TIPO],DADOS!$AB$3,tabela_registros[CATEGORIA],investirrendafixaconsolidadoago[[#This Row],[ATUAL]])</f>
        <v>0</v>
      </c>
      <c r="L117" s="119" t="n">
        <f aca="false">SUMIFS(tabela_registros[VALOR],tabela_registros[MÊS],$AE$1,tabela_registros[DIA],investirrendafixaconsolidadoago[[#Headers],[8]],tabela_registros[REGISTRO],DADOS!$N$5,tabela_registros[TIPO],DADOS!$AB$3,tabela_registros[CATEGORIA],investirrendafixaconsolidadoago[[#This Row],[ATUAL]])</f>
        <v>0</v>
      </c>
      <c r="M117" s="119" t="n">
        <f aca="false">SUMIFS(tabela_registros[VALOR],tabela_registros[MÊS],$AE$1,tabela_registros[DIA],investirrendafixaconsolidadoago[[#Headers],[9]],tabela_registros[REGISTRO],DADOS!$N$5,tabela_registros[TIPO],DADOS!$AB$3,tabela_registros[CATEGORIA],investirrendafixaconsolidadoago[[#This Row],[ATUAL]])</f>
        <v>0</v>
      </c>
      <c r="N117" s="119" t="n">
        <f aca="false">SUMIFS(tabela_registros[VALOR],tabela_registros[MÊS],$AE$1,tabela_registros[DIA],investirrendafixaconsolidadoago[[#Headers],[10]],tabela_registros[REGISTRO],DADOS!$N$5,tabela_registros[TIPO],DADOS!$AB$3,tabela_registros[CATEGORIA],investirrendafixaconsolidadoago[[#This Row],[ATUAL]])</f>
        <v>0</v>
      </c>
      <c r="O117" s="119" t="n">
        <f aca="false">SUMIFS(tabela_registros[VALOR],tabela_registros[MÊS],$AE$1,tabela_registros[DIA],investirrendafixaconsolidadoago[[#Headers],[11]],tabela_registros[REGISTRO],DADOS!$N$5,tabela_registros[TIPO],DADOS!$AB$3,tabela_registros[CATEGORIA],investirrendafixaconsolidadoago[[#This Row],[ATUAL]])</f>
        <v>0</v>
      </c>
      <c r="P117" s="119" t="n">
        <f aca="false">SUMIFS(tabela_registros[VALOR],tabela_registros[MÊS],$AE$1,tabela_registros[DIA],investirrendafixaconsolidadoago[[#Headers],[12]],tabela_registros[REGISTRO],DADOS!$N$5,tabela_registros[TIPO],DADOS!$AB$3,tabela_registros[CATEGORIA],investirrendafixaconsolidadoago[[#This Row],[ATUAL]])</f>
        <v>0</v>
      </c>
      <c r="Q117" s="119" t="n">
        <f aca="false">SUMIFS(tabela_registros[VALOR],tabela_registros[MÊS],$AE$1,tabela_registros[DIA],investirrendafixaconsolidadoago[[#Headers],[13]],tabela_registros[REGISTRO],DADOS!$N$5,tabela_registros[TIPO],DADOS!$AB$3,tabela_registros[CATEGORIA],investirrendafixaconsolidadoago[[#This Row],[ATUAL]])</f>
        <v>0</v>
      </c>
      <c r="R117" s="119" t="n">
        <f aca="false">SUMIFS(tabela_registros[VALOR],tabela_registros[MÊS],$AE$1,tabela_registros[DIA],investirrendafixaconsolidadoago[[#Headers],[14]],tabela_registros[REGISTRO],DADOS!$N$5,tabela_registros[TIPO],DADOS!$AB$3,tabela_registros[CATEGORIA],investirrendafixaconsolidadoago[[#This Row],[ATUAL]])</f>
        <v>0</v>
      </c>
      <c r="S117" s="119" t="n">
        <f aca="false">SUMIFS(tabela_registros[VALOR],tabela_registros[MÊS],$AE$1,tabela_registros[DIA],investirrendafixaconsolidadoago[[#Headers],[15]],tabela_registros[REGISTRO],DADOS!$N$5,tabela_registros[TIPO],DADOS!$AB$3,tabela_registros[CATEGORIA],investirrendafixaconsolidadoago[[#This Row],[ATUAL]])</f>
        <v>0</v>
      </c>
      <c r="T117" s="119" t="n">
        <f aca="false">SUMIFS(tabela_registros[VALOR],tabela_registros[MÊS],$AE$1,tabela_registros[DIA],investirrendafixaconsolidadoago[[#Headers],[16]],tabela_registros[REGISTRO],DADOS!$N$5,tabela_registros[TIPO],DADOS!$AB$3,tabela_registros[CATEGORIA],investirrendafixaconsolidadoago[[#This Row],[ATUAL]])</f>
        <v>0</v>
      </c>
      <c r="U117" s="119" t="n">
        <f aca="false">SUMIFS(tabela_registros[VALOR],tabela_registros[MÊS],$AE$1,tabela_registros[DIA],investirrendafixaconsolidadoago[[#Headers],[17]],tabela_registros[REGISTRO],DADOS!$N$5,tabela_registros[TIPO],DADOS!$AB$3,tabela_registros[CATEGORIA],investirrendafixaconsolidadoago[[#This Row],[ATUAL]])</f>
        <v>0</v>
      </c>
      <c r="V117" s="119" t="n">
        <f aca="false">SUMIFS(tabela_registros[VALOR],tabela_registros[MÊS],$AE$1,tabela_registros[DIA],investirrendafixaconsolidadoago[[#Headers],[18]],tabela_registros[REGISTRO],DADOS!$N$5,tabela_registros[TIPO],DADOS!$AB$3,tabela_registros[CATEGORIA],investirrendafixaconsolidadoago[[#This Row],[ATUAL]])</f>
        <v>0</v>
      </c>
      <c r="W117" s="119" t="n">
        <f aca="false">SUMIFS(tabela_registros[VALOR],tabela_registros[MÊS],$AE$1,tabela_registros[DIA],investirrendafixaconsolidadoago[[#Headers],[19]],tabela_registros[REGISTRO],DADOS!$N$5,tabela_registros[TIPO],DADOS!$AB$3,tabela_registros[CATEGORIA],investirrendafixaconsolidadoago[[#This Row],[ATUAL]])</f>
        <v>0</v>
      </c>
      <c r="X117" s="119" t="n">
        <f aca="false">SUMIFS(tabela_registros[VALOR],tabela_registros[MÊS],$AE$1,tabela_registros[DIA],investirrendafixaconsolidadoago[[#Headers],[20]],tabela_registros[REGISTRO],DADOS!$N$5,tabela_registros[TIPO],DADOS!$AB$3,tabela_registros[CATEGORIA],investirrendafixaconsolidadoago[[#This Row],[ATUAL]])</f>
        <v>0</v>
      </c>
      <c r="Y117" s="119" t="n">
        <f aca="false">SUMIFS(tabela_registros[VALOR],tabela_registros[MÊS],$AE$1,tabela_registros[DIA],investirrendafixaconsolidadoago[[#Headers],[21]],tabela_registros[REGISTRO],DADOS!$N$5,tabela_registros[TIPO],DADOS!$AB$3,tabela_registros[CATEGORIA],investirrendafixaconsolidadoago[[#This Row],[ATUAL]])</f>
        <v>0</v>
      </c>
      <c r="Z117" s="119" t="n">
        <f aca="false">SUMIFS(tabela_registros[VALOR],tabela_registros[MÊS],$AE$1,tabela_registros[DIA],investirrendafixaconsolidadoago[[#Headers],[22]],tabela_registros[REGISTRO],DADOS!$N$5,tabela_registros[TIPO],DADOS!$AB$3,tabela_registros[CATEGORIA],investirrendafixaconsolidadoago[[#This Row],[ATUAL]])</f>
        <v>0</v>
      </c>
      <c r="AA117" s="119" t="n">
        <f aca="false">SUMIFS(tabela_registros[VALOR],tabela_registros[MÊS],$AE$1,tabela_registros[DIA],investirrendafixaconsolidadoago[[#Headers],[23]],tabela_registros[REGISTRO],DADOS!$N$5,tabela_registros[TIPO],DADOS!$AB$3,tabela_registros[CATEGORIA],investirrendafixaconsolidadoago[[#This Row],[ATUAL]])</f>
        <v>0</v>
      </c>
      <c r="AB117" s="119" t="n">
        <f aca="false">SUMIFS(tabela_registros[VALOR],tabela_registros[MÊS],$AE$1,tabela_registros[DIA],investirrendafixaconsolidadoago[[#Headers],[24]],tabela_registros[REGISTRO],DADOS!$N$5,tabela_registros[TIPO],DADOS!$AB$3,tabela_registros[CATEGORIA],investirrendafixaconsolidadoago[[#This Row],[ATUAL]])</f>
        <v>0</v>
      </c>
      <c r="AC117" s="119" t="n">
        <f aca="false">SUMIFS(tabela_registros[VALOR],tabela_registros[MÊS],$AE$1,tabela_registros[DIA],investirrendafixaconsolidadoago[[#Headers],[25]],tabela_registros[REGISTRO],DADOS!$N$5,tabela_registros[TIPO],DADOS!$AB$3,tabela_registros[CATEGORIA],investirrendafixaconsolidadoago[[#This Row],[ATUAL]])</f>
        <v>0</v>
      </c>
      <c r="AD117" s="119" t="n">
        <f aca="false">SUMIFS(tabela_registros[VALOR],tabela_registros[MÊS],$AE$1,tabela_registros[DIA],investirrendafixaconsolidadoago[[#Headers],[26]],tabela_registros[REGISTRO],DADOS!$N$5,tabela_registros[TIPO],DADOS!$AB$3,tabela_registros[CATEGORIA],investirrendafixaconsolidadoago[[#This Row],[ATUAL]])</f>
        <v>0</v>
      </c>
      <c r="AE117" s="119" t="n">
        <f aca="false">SUMIFS(tabela_registros[VALOR],tabela_registros[MÊS],$AE$1,tabela_registros[DIA],investirrendafixaconsolidadoago[[#Headers],[27]],tabela_registros[REGISTRO],DADOS!$N$5,tabela_registros[TIPO],DADOS!$AB$3,tabela_registros[CATEGORIA],investirrendafixaconsolidadoago[[#This Row],[ATUAL]])</f>
        <v>0</v>
      </c>
      <c r="AF117" s="119" t="n">
        <f aca="false">SUMIFS(tabela_registros[VALOR],tabela_registros[MÊS],$AE$1,tabela_registros[DIA],investirrendafixaconsolidadoago[[#Headers],[28]],tabela_registros[REGISTRO],DADOS!$N$5,tabela_registros[TIPO],DADOS!$AB$3,tabela_registros[CATEGORIA],investirrendafixaconsolidadoago[[#This Row],[ATUAL]])</f>
        <v>0</v>
      </c>
      <c r="AG117" s="119" t="n">
        <f aca="false">SUMIFS(tabela_registros[VALOR],tabela_registros[MÊS],$AE$1,tabela_registros[DIA],investirrendafixaconsolidadoago[[#Headers],[29]],tabela_registros[REGISTRO],DADOS!$N$5,tabela_registros[TIPO],DADOS!$AB$3,tabela_registros[CATEGORIA],investirrendafixaconsolidadoago[[#This Row],[ATUAL]])</f>
        <v>0</v>
      </c>
      <c r="AH117" s="119" t="n">
        <f aca="false">SUMIFS(tabela_registros[VALOR],tabela_registros[MÊS],$AE$1,tabela_registros[DIA],investirrendafixaconsolidadoago[[#Headers],[30]],tabela_registros[REGISTRO],DADOS!$N$5,tabela_registros[TIPO],DADOS!$AB$3,tabela_registros[CATEGORIA],investirrendafixaconsolidadoago[[#This Row],[ATUAL]])</f>
        <v>0</v>
      </c>
      <c r="AI117" s="217" t="n">
        <f aca="false">SUMIFS(tabela_registros[VALOR],tabela_registros[MÊS],$AE$1,tabela_registros[DIA],investirrendafixaconsolidadoago[[#Headers],[31]],tabela_registros[REGISTRO],DADOS!$N$5,tabela_registros[TIPO],DADOS!$AB$3,tabela_registros[CATEGORIA],investirrendafixaconsolidadoago[[#This Row],[ATUAL]])</f>
        <v>0</v>
      </c>
      <c r="AJ117" s="149" t="n">
        <f aca="false">SUM(investirrendafixaconsolidadoago[[#This Row],[1]:[31]])</f>
        <v>0</v>
      </c>
      <c r="AK117" s="165"/>
    </row>
    <row r="118" customFormat="false" ht="19.5" hidden="false" customHeight="true" outlineLevel="0" collapsed="false">
      <c r="B118" s="143"/>
      <c r="C118" s="144" t="str">
        <f aca="false">DADOS!$AD$8</f>
        <v>📝 LC</v>
      </c>
      <c r="D118" s="145" t="str">
        <f aca="false">IF(investirrendafixaconsolidadoago[[#This Row],[TOTAL (R$)]]=0,"",IF(OR(investirrendafixaconsolidadoago[[#This Row],[TOTAL (R$)]]=LARGE($AJ$113:$AJ$122,1),investirrendafixaconsolidadoago[[#This Row],[TOTAL (R$)]]=LARGE($AJ$113:$AJ$122,2)),DADOS!$I$10,""))</f>
        <v/>
      </c>
      <c r="E118" s="148" t="n">
        <f aca="false">SUMIFS(tabela_registros[VALOR],tabela_registros[MÊS],$AE$1,tabela_registros[DIA],investirrendafixaconsolidadoago[[#Headers],[1]],tabela_registros[REGISTRO],DADOS!$N$5,tabela_registros[TIPO],DADOS!$AB$3,tabela_registros[CATEGORIA],investirrendafixaconsolidadoago[[#This Row],[ATUAL]])</f>
        <v>0</v>
      </c>
      <c r="F118" s="119" t="n">
        <f aca="false">SUMIFS(tabela_registros[VALOR],tabela_registros[MÊS],$AE$1,tabela_registros[DIA],investirrendafixaconsolidadoago[[#Headers],[2]],tabela_registros[REGISTRO],DADOS!$N$5,tabela_registros[TIPO],DADOS!$AB$3,tabela_registros[CATEGORIA],investirrendafixaconsolidadoago[[#This Row],[ATUAL]])</f>
        <v>0</v>
      </c>
      <c r="G118" s="119" t="n">
        <f aca="false">SUMIFS(tabela_registros[VALOR],tabela_registros[MÊS],$AE$1,tabela_registros[DIA],investirrendafixaconsolidadoago[[#Headers],[3]],tabela_registros[REGISTRO],DADOS!$N$5,tabela_registros[TIPO],DADOS!$AB$3,tabela_registros[CATEGORIA],investirrendafixaconsolidadoago[[#This Row],[ATUAL]])</f>
        <v>0</v>
      </c>
      <c r="H118" s="119" t="n">
        <f aca="false">SUMIFS(tabela_registros[VALOR],tabela_registros[MÊS],$AE$1,tabela_registros[DIA],investirrendafixaconsolidadoago[[#Headers],[4]],tabela_registros[REGISTRO],DADOS!$N$5,tabela_registros[TIPO],DADOS!$AB$3,tabela_registros[CATEGORIA],investirrendafixaconsolidadoago[[#This Row],[ATUAL]])</f>
        <v>0</v>
      </c>
      <c r="I118" s="119" t="n">
        <f aca="false">SUMIFS(tabela_registros[VALOR],tabela_registros[MÊS],$AE$1,tabela_registros[DIA],investirrendafixaconsolidadoago[[#Headers],[5]],tabela_registros[REGISTRO],DADOS!$N$5,tabela_registros[TIPO],DADOS!$AB$3,tabela_registros[CATEGORIA],investirrendafixaconsolidadoago[[#This Row],[ATUAL]])</f>
        <v>0</v>
      </c>
      <c r="J118" s="119" t="n">
        <f aca="false">SUMIFS(tabela_registros[VALOR],tabela_registros[MÊS],$AE$1,tabela_registros[DIA],investirrendafixaconsolidadoago[[#Headers],[6]],tabela_registros[REGISTRO],DADOS!$N$5,tabela_registros[TIPO],DADOS!$AB$3,tabela_registros[CATEGORIA],investirrendafixaconsolidadoago[[#This Row],[ATUAL]])</f>
        <v>0</v>
      </c>
      <c r="K118" s="119" t="n">
        <f aca="false">SUMIFS(tabela_registros[VALOR],tabela_registros[MÊS],$AE$1,tabela_registros[DIA],investirrendafixaconsolidadoago[[#Headers],[7]],tabela_registros[REGISTRO],DADOS!$N$5,tabela_registros[TIPO],DADOS!$AB$3,tabela_registros[CATEGORIA],investirrendafixaconsolidadoago[[#This Row],[ATUAL]])</f>
        <v>0</v>
      </c>
      <c r="L118" s="119" t="n">
        <f aca="false">SUMIFS(tabela_registros[VALOR],tabela_registros[MÊS],$AE$1,tabela_registros[DIA],investirrendafixaconsolidadoago[[#Headers],[8]],tabela_registros[REGISTRO],DADOS!$N$5,tabela_registros[TIPO],DADOS!$AB$3,tabela_registros[CATEGORIA],investirrendafixaconsolidadoago[[#This Row],[ATUAL]])</f>
        <v>0</v>
      </c>
      <c r="M118" s="119" t="n">
        <f aca="false">SUMIFS(tabela_registros[VALOR],tabela_registros[MÊS],$AE$1,tabela_registros[DIA],investirrendafixaconsolidadoago[[#Headers],[9]],tabela_registros[REGISTRO],DADOS!$N$5,tabela_registros[TIPO],DADOS!$AB$3,tabela_registros[CATEGORIA],investirrendafixaconsolidadoago[[#This Row],[ATUAL]])</f>
        <v>0</v>
      </c>
      <c r="N118" s="119" t="n">
        <f aca="false">SUMIFS(tabela_registros[VALOR],tabela_registros[MÊS],$AE$1,tabela_registros[DIA],investirrendafixaconsolidadoago[[#Headers],[10]],tabela_registros[REGISTRO],DADOS!$N$5,tabela_registros[TIPO],DADOS!$AB$3,tabela_registros[CATEGORIA],investirrendafixaconsolidadoago[[#This Row],[ATUAL]])</f>
        <v>0</v>
      </c>
      <c r="O118" s="119" t="n">
        <f aca="false">SUMIFS(tabela_registros[VALOR],tabela_registros[MÊS],$AE$1,tabela_registros[DIA],investirrendafixaconsolidadoago[[#Headers],[11]],tabela_registros[REGISTRO],DADOS!$N$5,tabela_registros[TIPO],DADOS!$AB$3,tabela_registros[CATEGORIA],investirrendafixaconsolidadoago[[#This Row],[ATUAL]])</f>
        <v>0</v>
      </c>
      <c r="P118" s="119" t="n">
        <f aca="false">SUMIFS(tabela_registros[VALOR],tabela_registros[MÊS],$AE$1,tabela_registros[DIA],investirrendafixaconsolidadoago[[#Headers],[12]],tabela_registros[REGISTRO],DADOS!$N$5,tabela_registros[TIPO],DADOS!$AB$3,tabela_registros[CATEGORIA],investirrendafixaconsolidadoago[[#This Row],[ATUAL]])</f>
        <v>0</v>
      </c>
      <c r="Q118" s="119" t="n">
        <f aca="false">SUMIFS(tabela_registros[VALOR],tabela_registros[MÊS],$AE$1,tabela_registros[DIA],investirrendafixaconsolidadoago[[#Headers],[13]],tabela_registros[REGISTRO],DADOS!$N$5,tabela_registros[TIPO],DADOS!$AB$3,tabela_registros[CATEGORIA],investirrendafixaconsolidadoago[[#This Row],[ATUAL]])</f>
        <v>0</v>
      </c>
      <c r="R118" s="119" t="n">
        <f aca="false">SUMIFS(tabela_registros[VALOR],tabela_registros[MÊS],$AE$1,tabela_registros[DIA],investirrendafixaconsolidadoago[[#Headers],[14]],tabela_registros[REGISTRO],DADOS!$N$5,tabela_registros[TIPO],DADOS!$AB$3,tabela_registros[CATEGORIA],investirrendafixaconsolidadoago[[#This Row],[ATUAL]])</f>
        <v>0</v>
      </c>
      <c r="S118" s="119" t="n">
        <f aca="false">SUMIFS(tabela_registros[VALOR],tabela_registros[MÊS],$AE$1,tabela_registros[DIA],investirrendafixaconsolidadoago[[#Headers],[15]],tabela_registros[REGISTRO],DADOS!$N$5,tabela_registros[TIPO],DADOS!$AB$3,tabela_registros[CATEGORIA],investirrendafixaconsolidadoago[[#This Row],[ATUAL]])</f>
        <v>0</v>
      </c>
      <c r="T118" s="119" t="n">
        <f aca="false">SUMIFS(tabela_registros[VALOR],tabela_registros[MÊS],$AE$1,tabela_registros[DIA],investirrendafixaconsolidadoago[[#Headers],[16]],tabela_registros[REGISTRO],DADOS!$N$5,tabela_registros[TIPO],DADOS!$AB$3,tabela_registros[CATEGORIA],investirrendafixaconsolidadoago[[#This Row],[ATUAL]])</f>
        <v>0</v>
      </c>
      <c r="U118" s="119" t="n">
        <f aca="false">SUMIFS(tabela_registros[VALOR],tabela_registros[MÊS],$AE$1,tabela_registros[DIA],investirrendafixaconsolidadoago[[#Headers],[17]],tabela_registros[REGISTRO],DADOS!$N$5,tabela_registros[TIPO],DADOS!$AB$3,tabela_registros[CATEGORIA],investirrendafixaconsolidadoago[[#This Row],[ATUAL]])</f>
        <v>0</v>
      </c>
      <c r="V118" s="119" t="n">
        <f aca="false">SUMIFS(tabela_registros[VALOR],tabela_registros[MÊS],$AE$1,tabela_registros[DIA],investirrendafixaconsolidadoago[[#Headers],[18]],tabela_registros[REGISTRO],DADOS!$N$5,tabela_registros[TIPO],DADOS!$AB$3,tabela_registros[CATEGORIA],investirrendafixaconsolidadoago[[#This Row],[ATUAL]])</f>
        <v>0</v>
      </c>
      <c r="W118" s="119" t="n">
        <f aca="false">SUMIFS(tabela_registros[VALOR],tabela_registros[MÊS],$AE$1,tabela_registros[DIA],investirrendafixaconsolidadoago[[#Headers],[19]],tabela_registros[REGISTRO],DADOS!$N$5,tabela_registros[TIPO],DADOS!$AB$3,tabela_registros[CATEGORIA],investirrendafixaconsolidadoago[[#This Row],[ATUAL]])</f>
        <v>0</v>
      </c>
      <c r="X118" s="119" t="n">
        <f aca="false">SUMIFS(tabela_registros[VALOR],tabela_registros[MÊS],$AE$1,tabela_registros[DIA],investirrendafixaconsolidadoago[[#Headers],[20]],tabela_registros[REGISTRO],DADOS!$N$5,tabela_registros[TIPO],DADOS!$AB$3,tabela_registros[CATEGORIA],investirrendafixaconsolidadoago[[#This Row],[ATUAL]])</f>
        <v>0</v>
      </c>
      <c r="Y118" s="119" t="n">
        <f aca="false">SUMIFS(tabela_registros[VALOR],tabela_registros[MÊS],$AE$1,tabela_registros[DIA],investirrendafixaconsolidadoago[[#Headers],[21]],tabela_registros[REGISTRO],DADOS!$N$5,tabela_registros[TIPO],DADOS!$AB$3,tabela_registros[CATEGORIA],investirrendafixaconsolidadoago[[#This Row],[ATUAL]])</f>
        <v>0</v>
      </c>
      <c r="Z118" s="119" t="n">
        <f aca="false">SUMIFS(tabela_registros[VALOR],tabela_registros[MÊS],$AE$1,tabela_registros[DIA],investirrendafixaconsolidadoago[[#Headers],[22]],tabela_registros[REGISTRO],DADOS!$N$5,tabela_registros[TIPO],DADOS!$AB$3,tabela_registros[CATEGORIA],investirrendafixaconsolidadoago[[#This Row],[ATUAL]])</f>
        <v>0</v>
      </c>
      <c r="AA118" s="119" t="n">
        <f aca="false">SUMIFS(tabela_registros[VALOR],tabela_registros[MÊS],$AE$1,tabela_registros[DIA],investirrendafixaconsolidadoago[[#Headers],[23]],tabela_registros[REGISTRO],DADOS!$N$5,tabela_registros[TIPO],DADOS!$AB$3,tabela_registros[CATEGORIA],investirrendafixaconsolidadoago[[#This Row],[ATUAL]])</f>
        <v>0</v>
      </c>
      <c r="AB118" s="119" t="n">
        <f aca="false">SUMIFS(tabela_registros[VALOR],tabela_registros[MÊS],$AE$1,tabela_registros[DIA],investirrendafixaconsolidadoago[[#Headers],[24]],tabela_registros[REGISTRO],DADOS!$N$5,tabela_registros[TIPO],DADOS!$AB$3,tabela_registros[CATEGORIA],investirrendafixaconsolidadoago[[#This Row],[ATUAL]])</f>
        <v>0</v>
      </c>
      <c r="AC118" s="119" t="n">
        <f aca="false">SUMIFS(tabela_registros[VALOR],tabela_registros[MÊS],$AE$1,tabela_registros[DIA],investirrendafixaconsolidadoago[[#Headers],[25]],tabela_registros[REGISTRO],DADOS!$N$5,tabela_registros[TIPO],DADOS!$AB$3,tabela_registros[CATEGORIA],investirrendafixaconsolidadoago[[#This Row],[ATUAL]])</f>
        <v>0</v>
      </c>
      <c r="AD118" s="119" t="n">
        <f aca="false">SUMIFS(tabela_registros[VALOR],tabela_registros[MÊS],$AE$1,tabela_registros[DIA],investirrendafixaconsolidadoago[[#Headers],[26]],tabela_registros[REGISTRO],DADOS!$N$5,tabela_registros[TIPO],DADOS!$AB$3,tabela_registros[CATEGORIA],investirrendafixaconsolidadoago[[#This Row],[ATUAL]])</f>
        <v>0</v>
      </c>
      <c r="AE118" s="119" t="n">
        <f aca="false">SUMIFS(tabela_registros[VALOR],tabela_registros[MÊS],$AE$1,tabela_registros[DIA],investirrendafixaconsolidadoago[[#Headers],[27]],tabela_registros[REGISTRO],DADOS!$N$5,tabela_registros[TIPO],DADOS!$AB$3,tabela_registros[CATEGORIA],investirrendafixaconsolidadoago[[#This Row],[ATUAL]])</f>
        <v>0</v>
      </c>
      <c r="AF118" s="119" t="n">
        <f aca="false">SUMIFS(tabela_registros[VALOR],tabela_registros[MÊS],$AE$1,tabela_registros[DIA],investirrendafixaconsolidadoago[[#Headers],[28]],tabela_registros[REGISTRO],DADOS!$N$5,tabela_registros[TIPO],DADOS!$AB$3,tabela_registros[CATEGORIA],investirrendafixaconsolidadoago[[#This Row],[ATUAL]])</f>
        <v>0</v>
      </c>
      <c r="AG118" s="119" t="n">
        <f aca="false">SUMIFS(tabela_registros[VALOR],tabela_registros[MÊS],$AE$1,tabela_registros[DIA],investirrendafixaconsolidadoago[[#Headers],[29]],tabela_registros[REGISTRO],DADOS!$N$5,tabela_registros[TIPO],DADOS!$AB$3,tabela_registros[CATEGORIA],investirrendafixaconsolidadoago[[#This Row],[ATUAL]])</f>
        <v>0</v>
      </c>
      <c r="AH118" s="119" t="n">
        <f aca="false">SUMIFS(tabela_registros[VALOR],tabela_registros[MÊS],$AE$1,tabela_registros[DIA],investirrendafixaconsolidadoago[[#Headers],[30]],tabela_registros[REGISTRO],DADOS!$N$5,tabela_registros[TIPO],DADOS!$AB$3,tabela_registros[CATEGORIA],investirrendafixaconsolidadoago[[#This Row],[ATUAL]])</f>
        <v>0</v>
      </c>
      <c r="AI118" s="217" t="n">
        <f aca="false">SUMIFS(tabela_registros[VALOR],tabela_registros[MÊS],$AE$1,tabela_registros[DIA],investirrendafixaconsolidadoago[[#Headers],[31]],tabela_registros[REGISTRO],DADOS!$N$5,tabela_registros[TIPO],DADOS!$AB$3,tabela_registros[CATEGORIA],investirrendafixaconsolidadoago[[#This Row],[ATUAL]])</f>
        <v>0</v>
      </c>
      <c r="AJ118" s="149" t="n">
        <f aca="false">SUM(investirrendafixaconsolidadoago[[#This Row],[1]:[31]])</f>
        <v>0</v>
      </c>
      <c r="AK118" s="165"/>
    </row>
    <row r="119" customFormat="false" ht="19.5" hidden="false" customHeight="true" outlineLevel="0" collapsed="false">
      <c r="B119" s="143"/>
      <c r="C119" s="144" t="str">
        <f aca="false">DADOS!$AD$9</f>
        <v>📝 LCA</v>
      </c>
      <c r="D119" s="145" t="str">
        <f aca="false">IF(investirrendafixaconsolidadoago[[#This Row],[TOTAL (R$)]]=0,"",IF(OR(investirrendafixaconsolidadoago[[#This Row],[TOTAL (R$)]]=LARGE($AJ$113:$AJ$122,1),investirrendafixaconsolidadoago[[#This Row],[TOTAL (R$)]]=LARGE($AJ$113:$AJ$122,2)),DADOS!$I$10,""))</f>
        <v/>
      </c>
      <c r="E119" s="148" t="n">
        <f aca="false">SUMIFS(tabela_registros[VALOR],tabela_registros[MÊS],$AE$1,tabela_registros[DIA],investirrendafixaconsolidadoago[[#Headers],[1]],tabela_registros[REGISTRO],DADOS!$N$5,tabela_registros[TIPO],DADOS!$AB$3,tabela_registros[CATEGORIA],investirrendafixaconsolidadoago[[#This Row],[ATUAL]])</f>
        <v>0</v>
      </c>
      <c r="F119" s="119" t="n">
        <f aca="false">SUMIFS(tabela_registros[VALOR],tabela_registros[MÊS],$AE$1,tabela_registros[DIA],investirrendafixaconsolidadoago[[#Headers],[2]],tabela_registros[REGISTRO],DADOS!$N$5,tabela_registros[TIPO],DADOS!$AB$3,tabela_registros[CATEGORIA],investirrendafixaconsolidadoago[[#This Row],[ATUAL]])</f>
        <v>0</v>
      </c>
      <c r="G119" s="119" t="n">
        <f aca="false">SUMIFS(tabela_registros[VALOR],tabela_registros[MÊS],$AE$1,tabela_registros[DIA],investirrendafixaconsolidadoago[[#Headers],[3]],tabela_registros[REGISTRO],DADOS!$N$5,tabela_registros[TIPO],DADOS!$AB$3,tabela_registros[CATEGORIA],investirrendafixaconsolidadoago[[#This Row],[ATUAL]])</f>
        <v>0</v>
      </c>
      <c r="H119" s="119" t="n">
        <f aca="false">SUMIFS(tabela_registros[VALOR],tabela_registros[MÊS],$AE$1,tabela_registros[DIA],investirrendafixaconsolidadoago[[#Headers],[4]],tabela_registros[REGISTRO],DADOS!$N$5,tabela_registros[TIPO],DADOS!$AB$3,tabela_registros[CATEGORIA],investirrendafixaconsolidadoago[[#This Row],[ATUAL]])</f>
        <v>0</v>
      </c>
      <c r="I119" s="119" t="n">
        <f aca="false">SUMIFS(tabela_registros[VALOR],tabela_registros[MÊS],$AE$1,tabela_registros[DIA],investirrendafixaconsolidadoago[[#Headers],[5]],tabela_registros[REGISTRO],DADOS!$N$5,tabela_registros[TIPO],DADOS!$AB$3,tabela_registros[CATEGORIA],investirrendafixaconsolidadoago[[#This Row],[ATUAL]])</f>
        <v>0</v>
      </c>
      <c r="J119" s="119" t="n">
        <f aca="false">SUMIFS(tabela_registros[VALOR],tabela_registros[MÊS],$AE$1,tabela_registros[DIA],investirrendafixaconsolidadoago[[#Headers],[6]],tabela_registros[REGISTRO],DADOS!$N$5,tabela_registros[TIPO],DADOS!$AB$3,tabela_registros[CATEGORIA],investirrendafixaconsolidadoago[[#This Row],[ATUAL]])</f>
        <v>0</v>
      </c>
      <c r="K119" s="119" t="n">
        <f aca="false">SUMIFS(tabela_registros[VALOR],tabela_registros[MÊS],$AE$1,tabela_registros[DIA],investirrendafixaconsolidadoago[[#Headers],[7]],tabela_registros[REGISTRO],DADOS!$N$5,tabela_registros[TIPO],DADOS!$AB$3,tabela_registros[CATEGORIA],investirrendafixaconsolidadoago[[#This Row],[ATUAL]])</f>
        <v>0</v>
      </c>
      <c r="L119" s="119" t="n">
        <f aca="false">SUMIFS(tabela_registros[VALOR],tabela_registros[MÊS],$AE$1,tabela_registros[DIA],investirrendafixaconsolidadoago[[#Headers],[8]],tabela_registros[REGISTRO],DADOS!$N$5,tabela_registros[TIPO],DADOS!$AB$3,tabela_registros[CATEGORIA],investirrendafixaconsolidadoago[[#This Row],[ATUAL]])</f>
        <v>0</v>
      </c>
      <c r="M119" s="119" t="n">
        <f aca="false">SUMIFS(tabela_registros[VALOR],tabela_registros[MÊS],$AE$1,tabela_registros[DIA],investirrendafixaconsolidadoago[[#Headers],[9]],tabela_registros[REGISTRO],DADOS!$N$5,tabela_registros[TIPO],DADOS!$AB$3,tabela_registros[CATEGORIA],investirrendafixaconsolidadoago[[#This Row],[ATUAL]])</f>
        <v>0</v>
      </c>
      <c r="N119" s="119" t="n">
        <f aca="false">SUMIFS(tabela_registros[VALOR],tabela_registros[MÊS],$AE$1,tabela_registros[DIA],investirrendafixaconsolidadoago[[#Headers],[10]],tabela_registros[REGISTRO],DADOS!$N$5,tabela_registros[TIPO],DADOS!$AB$3,tabela_registros[CATEGORIA],investirrendafixaconsolidadoago[[#This Row],[ATUAL]])</f>
        <v>0</v>
      </c>
      <c r="O119" s="119" t="n">
        <f aca="false">SUMIFS(tabela_registros[VALOR],tabela_registros[MÊS],$AE$1,tabela_registros[DIA],investirrendafixaconsolidadoago[[#Headers],[11]],tabela_registros[REGISTRO],DADOS!$N$5,tabela_registros[TIPO],DADOS!$AB$3,tabela_registros[CATEGORIA],investirrendafixaconsolidadoago[[#This Row],[ATUAL]])</f>
        <v>0</v>
      </c>
      <c r="P119" s="119" t="n">
        <f aca="false">SUMIFS(tabela_registros[VALOR],tabela_registros[MÊS],$AE$1,tabela_registros[DIA],investirrendafixaconsolidadoago[[#Headers],[12]],tabela_registros[REGISTRO],DADOS!$N$5,tabela_registros[TIPO],DADOS!$AB$3,tabela_registros[CATEGORIA],investirrendafixaconsolidadoago[[#This Row],[ATUAL]])</f>
        <v>0</v>
      </c>
      <c r="Q119" s="119" t="n">
        <f aca="false">SUMIFS(tabela_registros[VALOR],tabela_registros[MÊS],$AE$1,tabela_registros[DIA],investirrendafixaconsolidadoago[[#Headers],[13]],tabela_registros[REGISTRO],DADOS!$N$5,tabela_registros[TIPO],DADOS!$AB$3,tabela_registros[CATEGORIA],investirrendafixaconsolidadoago[[#This Row],[ATUAL]])</f>
        <v>0</v>
      </c>
      <c r="R119" s="119" t="n">
        <f aca="false">SUMIFS(tabela_registros[VALOR],tabela_registros[MÊS],$AE$1,tabela_registros[DIA],investirrendafixaconsolidadoago[[#Headers],[14]],tabela_registros[REGISTRO],DADOS!$N$5,tabela_registros[TIPO],DADOS!$AB$3,tabela_registros[CATEGORIA],investirrendafixaconsolidadoago[[#This Row],[ATUAL]])</f>
        <v>0</v>
      </c>
      <c r="S119" s="119" t="n">
        <f aca="false">SUMIFS(tabela_registros[VALOR],tabela_registros[MÊS],$AE$1,tabela_registros[DIA],investirrendafixaconsolidadoago[[#Headers],[15]],tabela_registros[REGISTRO],DADOS!$N$5,tabela_registros[TIPO],DADOS!$AB$3,tabela_registros[CATEGORIA],investirrendafixaconsolidadoago[[#This Row],[ATUAL]])</f>
        <v>0</v>
      </c>
      <c r="T119" s="119" t="n">
        <f aca="false">SUMIFS(tabela_registros[VALOR],tabela_registros[MÊS],$AE$1,tabela_registros[DIA],investirrendafixaconsolidadoago[[#Headers],[16]],tabela_registros[REGISTRO],DADOS!$N$5,tabela_registros[TIPO],DADOS!$AB$3,tabela_registros[CATEGORIA],investirrendafixaconsolidadoago[[#This Row],[ATUAL]])</f>
        <v>0</v>
      </c>
      <c r="U119" s="119" t="n">
        <f aca="false">SUMIFS(tabela_registros[VALOR],tabela_registros[MÊS],$AE$1,tabela_registros[DIA],investirrendafixaconsolidadoago[[#Headers],[17]],tabela_registros[REGISTRO],DADOS!$N$5,tabela_registros[TIPO],DADOS!$AB$3,tabela_registros[CATEGORIA],investirrendafixaconsolidadoago[[#This Row],[ATUAL]])</f>
        <v>0</v>
      </c>
      <c r="V119" s="119" t="n">
        <f aca="false">SUMIFS(tabela_registros[VALOR],tabela_registros[MÊS],$AE$1,tabela_registros[DIA],investirrendafixaconsolidadoago[[#Headers],[18]],tabela_registros[REGISTRO],DADOS!$N$5,tabela_registros[TIPO],DADOS!$AB$3,tabela_registros[CATEGORIA],investirrendafixaconsolidadoago[[#This Row],[ATUAL]])</f>
        <v>0</v>
      </c>
      <c r="W119" s="119" t="n">
        <f aca="false">SUMIFS(tabela_registros[VALOR],tabela_registros[MÊS],$AE$1,tabela_registros[DIA],investirrendafixaconsolidadoago[[#Headers],[19]],tabela_registros[REGISTRO],DADOS!$N$5,tabela_registros[TIPO],DADOS!$AB$3,tabela_registros[CATEGORIA],investirrendafixaconsolidadoago[[#This Row],[ATUAL]])</f>
        <v>0</v>
      </c>
      <c r="X119" s="119" t="n">
        <f aca="false">SUMIFS(tabela_registros[VALOR],tabela_registros[MÊS],$AE$1,tabela_registros[DIA],investirrendafixaconsolidadoago[[#Headers],[20]],tabela_registros[REGISTRO],DADOS!$N$5,tabela_registros[TIPO],DADOS!$AB$3,tabela_registros[CATEGORIA],investirrendafixaconsolidadoago[[#This Row],[ATUAL]])</f>
        <v>0</v>
      </c>
      <c r="Y119" s="119" t="n">
        <f aca="false">SUMIFS(tabela_registros[VALOR],tabela_registros[MÊS],$AE$1,tabela_registros[DIA],investirrendafixaconsolidadoago[[#Headers],[21]],tabela_registros[REGISTRO],DADOS!$N$5,tabela_registros[TIPO],DADOS!$AB$3,tabela_registros[CATEGORIA],investirrendafixaconsolidadoago[[#This Row],[ATUAL]])</f>
        <v>0</v>
      </c>
      <c r="Z119" s="119" t="n">
        <f aca="false">SUMIFS(tabela_registros[VALOR],tabela_registros[MÊS],$AE$1,tabela_registros[DIA],investirrendafixaconsolidadoago[[#Headers],[22]],tabela_registros[REGISTRO],DADOS!$N$5,tabela_registros[TIPO],DADOS!$AB$3,tabela_registros[CATEGORIA],investirrendafixaconsolidadoago[[#This Row],[ATUAL]])</f>
        <v>0</v>
      </c>
      <c r="AA119" s="119" t="n">
        <f aca="false">SUMIFS(tabela_registros[VALOR],tabela_registros[MÊS],$AE$1,tabela_registros[DIA],investirrendafixaconsolidadoago[[#Headers],[23]],tabela_registros[REGISTRO],DADOS!$N$5,tabela_registros[TIPO],DADOS!$AB$3,tabela_registros[CATEGORIA],investirrendafixaconsolidadoago[[#This Row],[ATUAL]])</f>
        <v>0</v>
      </c>
      <c r="AB119" s="119" t="n">
        <f aca="false">SUMIFS(tabela_registros[VALOR],tabela_registros[MÊS],$AE$1,tabela_registros[DIA],investirrendafixaconsolidadoago[[#Headers],[24]],tabela_registros[REGISTRO],DADOS!$N$5,tabela_registros[TIPO],DADOS!$AB$3,tabela_registros[CATEGORIA],investirrendafixaconsolidadoago[[#This Row],[ATUAL]])</f>
        <v>0</v>
      </c>
      <c r="AC119" s="119" t="n">
        <f aca="false">SUMIFS(tabela_registros[VALOR],tabela_registros[MÊS],$AE$1,tabela_registros[DIA],investirrendafixaconsolidadoago[[#Headers],[25]],tabela_registros[REGISTRO],DADOS!$N$5,tabela_registros[TIPO],DADOS!$AB$3,tabela_registros[CATEGORIA],investirrendafixaconsolidadoago[[#This Row],[ATUAL]])</f>
        <v>0</v>
      </c>
      <c r="AD119" s="119" t="n">
        <f aca="false">SUMIFS(tabela_registros[VALOR],tabela_registros[MÊS],$AE$1,tabela_registros[DIA],investirrendafixaconsolidadoago[[#Headers],[26]],tabela_registros[REGISTRO],DADOS!$N$5,tabela_registros[TIPO],DADOS!$AB$3,tabela_registros[CATEGORIA],investirrendafixaconsolidadoago[[#This Row],[ATUAL]])</f>
        <v>0</v>
      </c>
      <c r="AE119" s="119" t="n">
        <f aca="false">SUMIFS(tabela_registros[VALOR],tabela_registros[MÊS],$AE$1,tabela_registros[DIA],investirrendafixaconsolidadoago[[#Headers],[27]],tabela_registros[REGISTRO],DADOS!$N$5,tabela_registros[TIPO],DADOS!$AB$3,tabela_registros[CATEGORIA],investirrendafixaconsolidadoago[[#This Row],[ATUAL]])</f>
        <v>0</v>
      </c>
      <c r="AF119" s="119" t="n">
        <f aca="false">SUMIFS(tabela_registros[VALOR],tabela_registros[MÊS],$AE$1,tabela_registros[DIA],investirrendafixaconsolidadoago[[#Headers],[28]],tabela_registros[REGISTRO],DADOS!$N$5,tabela_registros[TIPO],DADOS!$AB$3,tabela_registros[CATEGORIA],investirrendafixaconsolidadoago[[#This Row],[ATUAL]])</f>
        <v>0</v>
      </c>
      <c r="AG119" s="119" t="n">
        <f aca="false">SUMIFS(tabela_registros[VALOR],tabela_registros[MÊS],$AE$1,tabela_registros[DIA],investirrendafixaconsolidadoago[[#Headers],[29]],tabela_registros[REGISTRO],DADOS!$N$5,tabela_registros[TIPO],DADOS!$AB$3,tabela_registros[CATEGORIA],investirrendafixaconsolidadoago[[#This Row],[ATUAL]])</f>
        <v>0</v>
      </c>
      <c r="AH119" s="119" t="n">
        <f aca="false">SUMIFS(tabela_registros[VALOR],tabela_registros[MÊS],$AE$1,tabela_registros[DIA],investirrendafixaconsolidadoago[[#Headers],[30]],tabela_registros[REGISTRO],DADOS!$N$5,tabela_registros[TIPO],DADOS!$AB$3,tabela_registros[CATEGORIA],investirrendafixaconsolidadoago[[#This Row],[ATUAL]])</f>
        <v>0</v>
      </c>
      <c r="AI119" s="217" t="n">
        <f aca="false">SUMIFS(tabela_registros[VALOR],tabela_registros[MÊS],$AE$1,tabela_registros[DIA],investirrendafixaconsolidadoago[[#Headers],[31]],tabela_registros[REGISTRO],DADOS!$N$5,tabela_registros[TIPO],DADOS!$AB$3,tabela_registros[CATEGORIA],investirrendafixaconsolidadoago[[#This Row],[ATUAL]])</f>
        <v>0</v>
      </c>
      <c r="AJ119" s="149" t="n">
        <f aca="false">SUM(investirrendafixaconsolidadoago[[#This Row],[1]:[31]])</f>
        <v>0</v>
      </c>
      <c r="AK119" s="165"/>
    </row>
    <row r="120" customFormat="false" ht="19.5" hidden="false" customHeight="true" outlineLevel="0" collapsed="false">
      <c r="B120" s="143"/>
      <c r="C120" s="144" t="str">
        <f aca="false">DADOS!$AD$10</f>
        <v>📝 LCI</v>
      </c>
      <c r="D120" s="145" t="str">
        <f aca="false">IF(investirrendafixaconsolidadoago[[#This Row],[TOTAL (R$)]]=0,"",IF(OR(investirrendafixaconsolidadoago[[#This Row],[TOTAL (R$)]]=LARGE($AJ$113:$AJ$122,1),investirrendafixaconsolidadoago[[#This Row],[TOTAL (R$)]]=LARGE($AJ$113:$AJ$122,2)),DADOS!$I$10,""))</f>
        <v/>
      </c>
      <c r="E120" s="148" t="n">
        <f aca="false">SUMIFS(tabela_registros[VALOR],tabela_registros[MÊS],$AE$1,tabela_registros[DIA],investirrendafixaconsolidadoago[[#Headers],[1]],tabela_registros[REGISTRO],DADOS!$N$5,tabela_registros[TIPO],DADOS!$AB$3,tabela_registros[CATEGORIA],investirrendafixaconsolidadoago[[#This Row],[ATUAL]])</f>
        <v>0</v>
      </c>
      <c r="F120" s="119" t="n">
        <f aca="false">SUMIFS(tabela_registros[VALOR],tabela_registros[MÊS],$AE$1,tabela_registros[DIA],investirrendafixaconsolidadoago[[#Headers],[2]],tabela_registros[REGISTRO],DADOS!$N$5,tabela_registros[TIPO],DADOS!$AB$3,tabela_registros[CATEGORIA],investirrendafixaconsolidadoago[[#This Row],[ATUAL]])</f>
        <v>0</v>
      </c>
      <c r="G120" s="119" t="n">
        <f aca="false">SUMIFS(tabela_registros[VALOR],tabela_registros[MÊS],$AE$1,tabela_registros[DIA],investirrendafixaconsolidadoago[[#Headers],[3]],tabela_registros[REGISTRO],DADOS!$N$5,tabela_registros[TIPO],DADOS!$AB$3,tabela_registros[CATEGORIA],investirrendafixaconsolidadoago[[#This Row],[ATUAL]])</f>
        <v>0</v>
      </c>
      <c r="H120" s="119" t="n">
        <f aca="false">SUMIFS(tabela_registros[VALOR],tabela_registros[MÊS],$AE$1,tabela_registros[DIA],investirrendafixaconsolidadoago[[#Headers],[4]],tabela_registros[REGISTRO],DADOS!$N$5,tabela_registros[TIPO],DADOS!$AB$3,tabela_registros[CATEGORIA],investirrendafixaconsolidadoago[[#This Row],[ATUAL]])</f>
        <v>0</v>
      </c>
      <c r="I120" s="119" t="n">
        <f aca="false">SUMIFS(tabela_registros[VALOR],tabela_registros[MÊS],$AE$1,tabela_registros[DIA],investirrendafixaconsolidadoago[[#Headers],[5]],tabela_registros[REGISTRO],DADOS!$N$5,tabela_registros[TIPO],DADOS!$AB$3,tabela_registros[CATEGORIA],investirrendafixaconsolidadoago[[#This Row],[ATUAL]])</f>
        <v>0</v>
      </c>
      <c r="J120" s="119" t="n">
        <f aca="false">SUMIFS(tabela_registros[VALOR],tabela_registros[MÊS],$AE$1,tabela_registros[DIA],investirrendafixaconsolidadoago[[#Headers],[6]],tabela_registros[REGISTRO],DADOS!$N$5,tabela_registros[TIPO],DADOS!$AB$3,tabela_registros[CATEGORIA],investirrendafixaconsolidadoago[[#This Row],[ATUAL]])</f>
        <v>0</v>
      </c>
      <c r="K120" s="119" t="n">
        <f aca="false">SUMIFS(tabela_registros[VALOR],tabela_registros[MÊS],$AE$1,tabela_registros[DIA],investirrendafixaconsolidadoago[[#Headers],[7]],tabela_registros[REGISTRO],DADOS!$N$5,tabela_registros[TIPO],DADOS!$AB$3,tabela_registros[CATEGORIA],investirrendafixaconsolidadoago[[#This Row],[ATUAL]])</f>
        <v>0</v>
      </c>
      <c r="L120" s="119" t="n">
        <f aca="false">SUMIFS(tabela_registros[VALOR],tabela_registros[MÊS],$AE$1,tabela_registros[DIA],investirrendafixaconsolidadoago[[#Headers],[8]],tabela_registros[REGISTRO],DADOS!$N$5,tabela_registros[TIPO],DADOS!$AB$3,tabela_registros[CATEGORIA],investirrendafixaconsolidadoago[[#This Row],[ATUAL]])</f>
        <v>0</v>
      </c>
      <c r="M120" s="119" t="n">
        <f aca="false">SUMIFS(tabela_registros[VALOR],tabela_registros[MÊS],$AE$1,tabela_registros[DIA],investirrendafixaconsolidadoago[[#Headers],[9]],tabela_registros[REGISTRO],DADOS!$N$5,tabela_registros[TIPO],DADOS!$AB$3,tabela_registros[CATEGORIA],investirrendafixaconsolidadoago[[#This Row],[ATUAL]])</f>
        <v>0</v>
      </c>
      <c r="N120" s="119" t="n">
        <f aca="false">SUMIFS(tabela_registros[VALOR],tabela_registros[MÊS],$AE$1,tabela_registros[DIA],investirrendafixaconsolidadoago[[#Headers],[10]],tabela_registros[REGISTRO],DADOS!$N$5,tabela_registros[TIPO],DADOS!$AB$3,tabela_registros[CATEGORIA],investirrendafixaconsolidadoago[[#This Row],[ATUAL]])</f>
        <v>0</v>
      </c>
      <c r="O120" s="119" t="n">
        <f aca="false">SUMIFS(tabela_registros[VALOR],tabela_registros[MÊS],$AE$1,tabela_registros[DIA],investirrendafixaconsolidadoago[[#Headers],[11]],tabela_registros[REGISTRO],DADOS!$N$5,tabela_registros[TIPO],DADOS!$AB$3,tabela_registros[CATEGORIA],investirrendafixaconsolidadoago[[#This Row],[ATUAL]])</f>
        <v>0</v>
      </c>
      <c r="P120" s="119" t="n">
        <f aca="false">SUMIFS(tabela_registros[VALOR],tabela_registros[MÊS],$AE$1,tabela_registros[DIA],investirrendafixaconsolidadoago[[#Headers],[12]],tabela_registros[REGISTRO],DADOS!$N$5,tabela_registros[TIPO],DADOS!$AB$3,tabela_registros[CATEGORIA],investirrendafixaconsolidadoago[[#This Row],[ATUAL]])</f>
        <v>0</v>
      </c>
      <c r="Q120" s="119" t="n">
        <f aca="false">SUMIFS(tabela_registros[VALOR],tabela_registros[MÊS],$AE$1,tabela_registros[DIA],investirrendafixaconsolidadoago[[#Headers],[13]],tabela_registros[REGISTRO],DADOS!$N$5,tabela_registros[TIPO],DADOS!$AB$3,tabela_registros[CATEGORIA],investirrendafixaconsolidadoago[[#This Row],[ATUAL]])</f>
        <v>0</v>
      </c>
      <c r="R120" s="119" t="n">
        <f aca="false">SUMIFS(tabela_registros[VALOR],tabela_registros[MÊS],$AE$1,tabela_registros[DIA],investirrendafixaconsolidadoago[[#Headers],[14]],tabela_registros[REGISTRO],DADOS!$N$5,tabela_registros[TIPO],DADOS!$AB$3,tabela_registros[CATEGORIA],investirrendafixaconsolidadoago[[#This Row],[ATUAL]])</f>
        <v>0</v>
      </c>
      <c r="S120" s="119" t="n">
        <f aca="false">SUMIFS(tabela_registros[VALOR],tabela_registros[MÊS],$AE$1,tabela_registros[DIA],investirrendafixaconsolidadoago[[#Headers],[15]],tabela_registros[REGISTRO],DADOS!$N$5,tabela_registros[TIPO],DADOS!$AB$3,tabela_registros[CATEGORIA],investirrendafixaconsolidadoago[[#This Row],[ATUAL]])</f>
        <v>0</v>
      </c>
      <c r="T120" s="119" t="n">
        <f aca="false">SUMIFS(tabela_registros[VALOR],tabela_registros[MÊS],$AE$1,tabela_registros[DIA],investirrendafixaconsolidadoago[[#Headers],[16]],tabela_registros[REGISTRO],DADOS!$N$5,tabela_registros[TIPO],DADOS!$AB$3,tabela_registros[CATEGORIA],investirrendafixaconsolidadoago[[#This Row],[ATUAL]])</f>
        <v>0</v>
      </c>
      <c r="U120" s="119" t="n">
        <f aca="false">SUMIFS(tabela_registros[VALOR],tabela_registros[MÊS],$AE$1,tabela_registros[DIA],investirrendafixaconsolidadoago[[#Headers],[17]],tabela_registros[REGISTRO],DADOS!$N$5,tabela_registros[TIPO],DADOS!$AB$3,tabela_registros[CATEGORIA],investirrendafixaconsolidadoago[[#This Row],[ATUAL]])</f>
        <v>0</v>
      </c>
      <c r="V120" s="119" t="n">
        <f aca="false">SUMIFS(tabela_registros[VALOR],tabela_registros[MÊS],$AE$1,tabela_registros[DIA],investirrendafixaconsolidadoago[[#Headers],[18]],tabela_registros[REGISTRO],DADOS!$N$5,tabela_registros[TIPO],DADOS!$AB$3,tabela_registros[CATEGORIA],investirrendafixaconsolidadoago[[#This Row],[ATUAL]])</f>
        <v>0</v>
      </c>
      <c r="W120" s="119" t="n">
        <f aca="false">SUMIFS(tabela_registros[VALOR],tabela_registros[MÊS],$AE$1,tabela_registros[DIA],investirrendafixaconsolidadoago[[#Headers],[19]],tabela_registros[REGISTRO],DADOS!$N$5,tabela_registros[TIPO],DADOS!$AB$3,tabela_registros[CATEGORIA],investirrendafixaconsolidadoago[[#This Row],[ATUAL]])</f>
        <v>0</v>
      </c>
      <c r="X120" s="119" t="n">
        <f aca="false">SUMIFS(tabela_registros[VALOR],tabela_registros[MÊS],$AE$1,tabela_registros[DIA],investirrendafixaconsolidadoago[[#Headers],[20]],tabela_registros[REGISTRO],DADOS!$N$5,tabela_registros[TIPO],DADOS!$AB$3,tabela_registros[CATEGORIA],investirrendafixaconsolidadoago[[#This Row],[ATUAL]])</f>
        <v>0</v>
      </c>
      <c r="Y120" s="119" t="n">
        <f aca="false">SUMIFS(tabela_registros[VALOR],tabela_registros[MÊS],$AE$1,tabela_registros[DIA],investirrendafixaconsolidadoago[[#Headers],[21]],tabela_registros[REGISTRO],DADOS!$N$5,tabela_registros[TIPO],DADOS!$AB$3,tabela_registros[CATEGORIA],investirrendafixaconsolidadoago[[#This Row],[ATUAL]])</f>
        <v>0</v>
      </c>
      <c r="Z120" s="119" t="n">
        <f aca="false">SUMIFS(tabela_registros[VALOR],tabela_registros[MÊS],$AE$1,tabela_registros[DIA],investirrendafixaconsolidadoago[[#Headers],[22]],tabela_registros[REGISTRO],DADOS!$N$5,tabela_registros[TIPO],DADOS!$AB$3,tabela_registros[CATEGORIA],investirrendafixaconsolidadoago[[#This Row],[ATUAL]])</f>
        <v>0</v>
      </c>
      <c r="AA120" s="119" t="n">
        <f aca="false">SUMIFS(tabela_registros[VALOR],tabela_registros[MÊS],$AE$1,tabela_registros[DIA],investirrendafixaconsolidadoago[[#Headers],[23]],tabela_registros[REGISTRO],DADOS!$N$5,tabela_registros[TIPO],DADOS!$AB$3,tabela_registros[CATEGORIA],investirrendafixaconsolidadoago[[#This Row],[ATUAL]])</f>
        <v>0</v>
      </c>
      <c r="AB120" s="119" t="n">
        <f aca="false">SUMIFS(tabela_registros[VALOR],tabela_registros[MÊS],$AE$1,tabela_registros[DIA],investirrendafixaconsolidadoago[[#Headers],[24]],tabela_registros[REGISTRO],DADOS!$N$5,tabela_registros[TIPO],DADOS!$AB$3,tabela_registros[CATEGORIA],investirrendafixaconsolidadoago[[#This Row],[ATUAL]])</f>
        <v>0</v>
      </c>
      <c r="AC120" s="119" t="n">
        <f aca="false">SUMIFS(tabela_registros[VALOR],tabela_registros[MÊS],$AE$1,tabela_registros[DIA],investirrendafixaconsolidadoago[[#Headers],[25]],tabela_registros[REGISTRO],DADOS!$N$5,tabela_registros[TIPO],DADOS!$AB$3,tabela_registros[CATEGORIA],investirrendafixaconsolidadoago[[#This Row],[ATUAL]])</f>
        <v>0</v>
      </c>
      <c r="AD120" s="119" t="n">
        <f aca="false">SUMIFS(tabela_registros[VALOR],tabela_registros[MÊS],$AE$1,tabela_registros[DIA],investirrendafixaconsolidadoago[[#Headers],[26]],tabela_registros[REGISTRO],DADOS!$N$5,tabela_registros[TIPO],DADOS!$AB$3,tabela_registros[CATEGORIA],investirrendafixaconsolidadoago[[#This Row],[ATUAL]])</f>
        <v>0</v>
      </c>
      <c r="AE120" s="119" t="n">
        <f aca="false">SUMIFS(tabela_registros[VALOR],tabela_registros[MÊS],$AE$1,tabela_registros[DIA],investirrendafixaconsolidadoago[[#Headers],[27]],tabela_registros[REGISTRO],DADOS!$N$5,tabela_registros[TIPO],DADOS!$AB$3,tabela_registros[CATEGORIA],investirrendafixaconsolidadoago[[#This Row],[ATUAL]])</f>
        <v>0</v>
      </c>
      <c r="AF120" s="119" t="n">
        <f aca="false">SUMIFS(tabela_registros[VALOR],tabela_registros[MÊS],$AE$1,tabela_registros[DIA],investirrendafixaconsolidadoago[[#Headers],[28]],tabela_registros[REGISTRO],DADOS!$N$5,tabela_registros[TIPO],DADOS!$AB$3,tabela_registros[CATEGORIA],investirrendafixaconsolidadoago[[#This Row],[ATUAL]])</f>
        <v>0</v>
      </c>
      <c r="AG120" s="119" t="n">
        <f aca="false">SUMIFS(tabela_registros[VALOR],tabela_registros[MÊS],$AE$1,tabela_registros[DIA],investirrendafixaconsolidadoago[[#Headers],[29]],tabela_registros[REGISTRO],DADOS!$N$5,tabela_registros[TIPO],DADOS!$AB$3,tabela_registros[CATEGORIA],investirrendafixaconsolidadoago[[#This Row],[ATUAL]])</f>
        <v>0</v>
      </c>
      <c r="AH120" s="119" t="n">
        <f aca="false">SUMIFS(tabela_registros[VALOR],tabela_registros[MÊS],$AE$1,tabela_registros[DIA],investirrendafixaconsolidadoago[[#Headers],[30]],tabela_registros[REGISTRO],DADOS!$N$5,tabela_registros[TIPO],DADOS!$AB$3,tabela_registros[CATEGORIA],investirrendafixaconsolidadoago[[#This Row],[ATUAL]])</f>
        <v>0</v>
      </c>
      <c r="AI120" s="217" t="n">
        <f aca="false">SUMIFS(tabela_registros[VALOR],tabela_registros[MÊS],$AE$1,tabela_registros[DIA],investirrendafixaconsolidadoago[[#Headers],[31]],tabela_registros[REGISTRO],DADOS!$N$5,tabela_registros[TIPO],DADOS!$AB$3,tabela_registros[CATEGORIA],investirrendafixaconsolidadoago[[#This Row],[ATUAL]])</f>
        <v>0</v>
      </c>
      <c r="AJ120" s="149" t="n">
        <f aca="false">SUM(investirrendafixaconsolidadoago[[#This Row],[1]:[31]])</f>
        <v>0</v>
      </c>
      <c r="AK120" s="165"/>
    </row>
    <row r="121" customFormat="false" ht="19.5" hidden="false" customHeight="true" outlineLevel="0" collapsed="false">
      <c r="B121" s="143"/>
      <c r="C121" s="144" t="str">
        <f aca="false">DADOS!$AD$11</f>
        <v>📝 TESOURO DIRETO</v>
      </c>
      <c r="D121" s="145" t="str">
        <f aca="false">IF(investirrendafixaconsolidadoago[[#This Row],[TOTAL (R$)]]=0,"",IF(OR(investirrendafixaconsolidadoago[[#This Row],[TOTAL (R$)]]=LARGE($AJ$113:$AJ$122,1),investirrendafixaconsolidadoago[[#This Row],[TOTAL (R$)]]=LARGE($AJ$113:$AJ$122,2)),DADOS!$I$10,""))</f>
        <v/>
      </c>
      <c r="E121" s="148" t="n">
        <f aca="false">SUMIFS(tabela_registros[VALOR],tabela_registros[MÊS],$AE$1,tabela_registros[DIA],investirrendafixaconsolidadoago[[#Headers],[1]],tabela_registros[REGISTRO],DADOS!$N$5,tabela_registros[TIPO],DADOS!$AB$3,tabela_registros[CATEGORIA],investirrendafixaconsolidadoago[[#This Row],[ATUAL]])</f>
        <v>0</v>
      </c>
      <c r="F121" s="119" t="n">
        <f aca="false">SUMIFS(tabela_registros[VALOR],tabela_registros[MÊS],$AE$1,tabela_registros[DIA],investirrendafixaconsolidadoago[[#Headers],[2]],tabela_registros[REGISTRO],DADOS!$N$5,tabela_registros[TIPO],DADOS!$AB$3,tabela_registros[CATEGORIA],investirrendafixaconsolidadoago[[#This Row],[ATUAL]])</f>
        <v>0</v>
      </c>
      <c r="G121" s="119" t="n">
        <f aca="false">SUMIFS(tabela_registros[VALOR],tabela_registros[MÊS],$AE$1,tabela_registros[DIA],investirrendafixaconsolidadoago[[#Headers],[3]],tabela_registros[REGISTRO],DADOS!$N$5,tabela_registros[TIPO],DADOS!$AB$3,tabela_registros[CATEGORIA],investirrendafixaconsolidadoago[[#This Row],[ATUAL]])</f>
        <v>0</v>
      </c>
      <c r="H121" s="119" t="n">
        <f aca="false">SUMIFS(tabela_registros[VALOR],tabela_registros[MÊS],$AE$1,tabela_registros[DIA],investirrendafixaconsolidadoago[[#Headers],[4]],tabela_registros[REGISTRO],DADOS!$N$5,tabela_registros[TIPO],DADOS!$AB$3,tabela_registros[CATEGORIA],investirrendafixaconsolidadoago[[#This Row],[ATUAL]])</f>
        <v>0</v>
      </c>
      <c r="I121" s="119" t="n">
        <f aca="false">SUMIFS(tabela_registros[VALOR],tabela_registros[MÊS],$AE$1,tabela_registros[DIA],investirrendafixaconsolidadoago[[#Headers],[5]],tabela_registros[REGISTRO],DADOS!$N$5,tabela_registros[TIPO],DADOS!$AB$3,tabela_registros[CATEGORIA],investirrendafixaconsolidadoago[[#This Row],[ATUAL]])</f>
        <v>0</v>
      </c>
      <c r="J121" s="119" t="n">
        <f aca="false">SUMIFS(tabela_registros[VALOR],tabela_registros[MÊS],$AE$1,tabela_registros[DIA],investirrendafixaconsolidadoago[[#Headers],[6]],tabela_registros[REGISTRO],DADOS!$N$5,tabela_registros[TIPO],DADOS!$AB$3,tabela_registros[CATEGORIA],investirrendafixaconsolidadoago[[#This Row],[ATUAL]])</f>
        <v>0</v>
      </c>
      <c r="K121" s="119" t="n">
        <f aca="false">SUMIFS(tabela_registros[VALOR],tabela_registros[MÊS],$AE$1,tabela_registros[DIA],investirrendafixaconsolidadoago[[#Headers],[7]],tabela_registros[REGISTRO],DADOS!$N$5,tabela_registros[TIPO],DADOS!$AB$3,tabela_registros[CATEGORIA],investirrendafixaconsolidadoago[[#This Row],[ATUAL]])</f>
        <v>0</v>
      </c>
      <c r="L121" s="119" t="n">
        <f aca="false">SUMIFS(tabela_registros[VALOR],tabela_registros[MÊS],$AE$1,tabela_registros[DIA],investirrendafixaconsolidadoago[[#Headers],[8]],tabela_registros[REGISTRO],DADOS!$N$5,tabela_registros[TIPO],DADOS!$AB$3,tabela_registros[CATEGORIA],investirrendafixaconsolidadoago[[#This Row],[ATUAL]])</f>
        <v>0</v>
      </c>
      <c r="M121" s="119" t="n">
        <f aca="false">SUMIFS(tabela_registros[VALOR],tabela_registros[MÊS],$AE$1,tabela_registros[DIA],investirrendafixaconsolidadoago[[#Headers],[9]],tabela_registros[REGISTRO],DADOS!$N$5,tabela_registros[TIPO],DADOS!$AB$3,tabela_registros[CATEGORIA],investirrendafixaconsolidadoago[[#This Row],[ATUAL]])</f>
        <v>0</v>
      </c>
      <c r="N121" s="119" t="n">
        <f aca="false">SUMIFS(tabela_registros[VALOR],tabela_registros[MÊS],$AE$1,tabela_registros[DIA],investirrendafixaconsolidadoago[[#Headers],[10]],tabela_registros[REGISTRO],DADOS!$N$5,tabela_registros[TIPO],DADOS!$AB$3,tabela_registros[CATEGORIA],investirrendafixaconsolidadoago[[#This Row],[ATUAL]])</f>
        <v>0</v>
      </c>
      <c r="O121" s="119" t="n">
        <f aca="false">SUMIFS(tabela_registros[VALOR],tabela_registros[MÊS],$AE$1,tabela_registros[DIA],investirrendafixaconsolidadoago[[#Headers],[11]],tabela_registros[REGISTRO],DADOS!$N$5,tabela_registros[TIPO],DADOS!$AB$3,tabela_registros[CATEGORIA],investirrendafixaconsolidadoago[[#This Row],[ATUAL]])</f>
        <v>0</v>
      </c>
      <c r="P121" s="119" t="n">
        <f aca="false">SUMIFS(tabela_registros[VALOR],tabela_registros[MÊS],$AE$1,tabela_registros[DIA],investirrendafixaconsolidadoago[[#Headers],[12]],tabela_registros[REGISTRO],DADOS!$N$5,tabela_registros[TIPO],DADOS!$AB$3,tabela_registros[CATEGORIA],investirrendafixaconsolidadoago[[#This Row],[ATUAL]])</f>
        <v>0</v>
      </c>
      <c r="Q121" s="119" t="n">
        <f aca="false">SUMIFS(tabela_registros[VALOR],tabela_registros[MÊS],$AE$1,tabela_registros[DIA],investirrendafixaconsolidadoago[[#Headers],[13]],tabela_registros[REGISTRO],DADOS!$N$5,tabela_registros[TIPO],DADOS!$AB$3,tabela_registros[CATEGORIA],investirrendafixaconsolidadoago[[#This Row],[ATUAL]])</f>
        <v>0</v>
      </c>
      <c r="R121" s="119" t="n">
        <f aca="false">SUMIFS(tabela_registros[VALOR],tabela_registros[MÊS],$AE$1,tabela_registros[DIA],investirrendafixaconsolidadoago[[#Headers],[14]],tabela_registros[REGISTRO],DADOS!$N$5,tabela_registros[TIPO],DADOS!$AB$3,tabela_registros[CATEGORIA],investirrendafixaconsolidadoago[[#This Row],[ATUAL]])</f>
        <v>0</v>
      </c>
      <c r="S121" s="119" t="n">
        <f aca="false">SUMIFS(tabela_registros[VALOR],tabela_registros[MÊS],$AE$1,tabela_registros[DIA],investirrendafixaconsolidadoago[[#Headers],[15]],tabela_registros[REGISTRO],DADOS!$N$5,tabela_registros[TIPO],DADOS!$AB$3,tabela_registros[CATEGORIA],investirrendafixaconsolidadoago[[#This Row],[ATUAL]])</f>
        <v>0</v>
      </c>
      <c r="T121" s="119" t="n">
        <f aca="false">SUMIFS(tabela_registros[VALOR],tabela_registros[MÊS],$AE$1,tabela_registros[DIA],investirrendafixaconsolidadoago[[#Headers],[16]],tabela_registros[REGISTRO],DADOS!$N$5,tabela_registros[TIPO],DADOS!$AB$3,tabela_registros[CATEGORIA],investirrendafixaconsolidadoago[[#This Row],[ATUAL]])</f>
        <v>0</v>
      </c>
      <c r="U121" s="119" t="n">
        <f aca="false">SUMIFS(tabela_registros[VALOR],tabela_registros[MÊS],$AE$1,tabela_registros[DIA],investirrendafixaconsolidadoago[[#Headers],[17]],tabela_registros[REGISTRO],DADOS!$N$5,tabela_registros[TIPO],DADOS!$AB$3,tabela_registros[CATEGORIA],investirrendafixaconsolidadoago[[#This Row],[ATUAL]])</f>
        <v>0</v>
      </c>
      <c r="V121" s="119" t="n">
        <f aca="false">SUMIFS(tabela_registros[VALOR],tabela_registros[MÊS],$AE$1,tabela_registros[DIA],investirrendafixaconsolidadoago[[#Headers],[18]],tabela_registros[REGISTRO],DADOS!$N$5,tabela_registros[TIPO],DADOS!$AB$3,tabela_registros[CATEGORIA],investirrendafixaconsolidadoago[[#This Row],[ATUAL]])</f>
        <v>0</v>
      </c>
      <c r="W121" s="119" t="n">
        <f aca="false">SUMIFS(tabela_registros[VALOR],tabela_registros[MÊS],$AE$1,tabela_registros[DIA],investirrendafixaconsolidadoago[[#Headers],[19]],tabela_registros[REGISTRO],DADOS!$N$5,tabela_registros[TIPO],DADOS!$AB$3,tabela_registros[CATEGORIA],investirrendafixaconsolidadoago[[#This Row],[ATUAL]])</f>
        <v>0</v>
      </c>
      <c r="X121" s="119" t="n">
        <f aca="false">SUMIFS(tabela_registros[VALOR],tabela_registros[MÊS],$AE$1,tabela_registros[DIA],investirrendafixaconsolidadoago[[#Headers],[20]],tabela_registros[REGISTRO],DADOS!$N$5,tabela_registros[TIPO],DADOS!$AB$3,tabela_registros[CATEGORIA],investirrendafixaconsolidadoago[[#This Row],[ATUAL]])</f>
        <v>0</v>
      </c>
      <c r="Y121" s="119" t="n">
        <f aca="false">SUMIFS(tabela_registros[VALOR],tabela_registros[MÊS],$AE$1,tabela_registros[DIA],investirrendafixaconsolidadoago[[#Headers],[21]],tabela_registros[REGISTRO],DADOS!$N$5,tabela_registros[TIPO],DADOS!$AB$3,tabela_registros[CATEGORIA],investirrendafixaconsolidadoago[[#This Row],[ATUAL]])</f>
        <v>0</v>
      </c>
      <c r="Z121" s="119" t="n">
        <f aca="false">SUMIFS(tabela_registros[VALOR],tabela_registros[MÊS],$AE$1,tabela_registros[DIA],investirrendafixaconsolidadoago[[#Headers],[22]],tabela_registros[REGISTRO],DADOS!$N$5,tabela_registros[TIPO],DADOS!$AB$3,tabela_registros[CATEGORIA],investirrendafixaconsolidadoago[[#This Row],[ATUAL]])</f>
        <v>0</v>
      </c>
      <c r="AA121" s="119" t="n">
        <f aca="false">SUMIFS(tabela_registros[VALOR],tabela_registros[MÊS],$AE$1,tabela_registros[DIA],investirrendafixaconsolidadoago[[#Headers],[23]],tabela_registros[REGISTRO],DADOS!$N$5,tabela_registros[TIPO],DADOS!$AB$3,tabela_registros[CATEGORIA],investirrendafixaconsolidadoago[[#This Row],[ATUAL]])</f>
        <v>0</v>
      </c>
      <c r="AB121" s="119" t="n">
        <f aca="false">SUMIFS(tabela_registros[VALOR],tabela_registros[MÊS],$AE$1,tabela_registros[DIA],investirrendafixaconsolidadoago[[#Headers],[24]],tabela_registros[REGISTRO],DADOS!$N$5,tabela_registros[TIPO],DADOS!$AB$3,tabela_registros[CATEGORIA],investirrendafixaconsolidadoago[[#This Row],[ATUAL]])</f>
        <v>0</v>
      </c>
      <c r="AC121" s="119" t="n">
        <f aca="false">SUMIFS(tabela_registros[VALOR],tabela_registros[MÊS],$AE$1,tabela_registros[DIA],investirrendafixaconsolidadoago[[#Headers],[25]],tabela_registros[REGISTRO],DADOS!$N$5,tabela_registros[TIPO],DADOS!$AB$3,tabela_registros[CATEGORIA],investirrendafixaconsolidadoago[[#This Row],[ATUAL]])</f>
        <v>0</v>
      </c>
      <c r="AD121" s="119" t="n">
        <f aca="false">SUMIFS(tabela_registros[VALOR],tabela_registros[MÊS],$AE$1,tabela_registros[DIA],investirrendafixaconsolidadoago[[#Headers],[26]],tabela_registros[REGISTRO],DADOS!$N$5,tabela_registros[TIPO],DADOS!$AB$3,tabela_registros[CATEGORIA],investirrendafixaconsolidadoago[[#This Row],[ATUAL]])</f>
        <v>0</v>
      </c>
      <c r="AE121" s="119" t="n">
        <f aca="false">SUMIFS(tabela_registros[VALOR],tabela_registros[MÊS],$AE$1,tabela_registros[DIA],investirrendafixaconsolidadoago[[#Headers],[27]],tabela_registros[REGISTRO],DADOS!$N$5,tabela_registros[TIPO],DADOS!$AB$3,tabela_registros[CATEGORIA],investirrendafixaconsolidadoago[[#This Row],[ATUAL]])</f>
        <v>0</v>
      </c>
      <c r="AF121" s="119" t="n">
        <f aca="false">SUMIFS(tabela_registros[VALOR],tabela_registros[MÊS],$AE$1,tabela_registros[DIA],investirrendafixaconsolidadoago[[#Headers],[28]],tabela_registros[REGISTRO],DADOS!$N$5,tabela_registros[TIPO],DADOS!$AB$3,tabela_registros[CATEGORIA],investirrendafixaconsolidadoago[[#This Row],[ATUAL]])</f>
        <v>0</v>
      </c>
      <c r="AG121" s="119" t="n">
        <f aca="false">SUMIFS(tabela_registros[VALOR],tabela_registros[MÊS],$AE$1,tabela_registros[DIA],investirrendafixaconsolidadoago[[#Headers],[29]],tabela_registros[REGISTRO],DADOS!$N$5,tabela_registros[TIPO],DADOS!$AB$3,tabela_registros[CATEGORIA],investirrendafixaconsolidadoago[[#This Row],[ATUAL]])</f>
        <v>0</v>
      </c>
      <c r="AH121" s="119" t="n">
        <f aca="false">SUMIFS(tabela_registros[VALOR],tabela_registros[MÊS],$AE$1,tabela_registros[DIA],investirrendafixaconsolidadoago[[#Headers],[30]],tabela_registros[REGISTRO],DADOS!$N$5,tabela_registros[TIPO],DADOS!$AB$3,tabela_registros[CATEGORIA],investirrendafixaconsolidadoago[[#This Row],[ATUAL]])</f>
        <v>0</v>
      </c>
      <c r="AI121" s="217" t="n">
        <f aca="false">SUMIFS(tabela_registros[VALOR],tabela_registros[MÊS],$AE$1,tabela_registros[DIA],investirrendafixaconsolidadoago[[#Headers],[31]],tabela_registros[REGISTRO],DADOS!$N$5,tabela_registros[TIPO],DADOS!$AB$3,tabela_registros[CATEGORIA],investirrendafixaconsolidadoago[[#This Row],[ATUAL]])</f>
        <v>0</v>
      </c>
      <c r="AJ121" s="149" t="n">
        <f aca="false">SUM(investirrendafixaconsolidadoago[[#This Row],[1]:[31]])</f>
        <v>0</v>
      </c>
      <c r="AK121" s="165"/>
    </row>
    <row r="122" customFormat="false" ht="19.5" hidden="false" customHeight="true" outlineLevel="0" collapsed="false">
      <c r="B122" s="143"/>
      <c r="C122" s="144" t="str">
        <f aca="false">DADOS!$AD$12</f>
        <v>📎 OUTROS</v>
      </c>
      <c r="D122" s="145" t="str">
        <f aca="false">IF(investirrendafixaconsolidadoago[[#This Row],[TOTAL (R$)]]=0,"",IF(OR(investirrendafixaconsolidadoago[[#This Row],[TOTAL (R$)]]=LARGE($AJ$113:$AJ$122,1),investirrendafixaconsolidadoago[[#This Row],[TOTAL (R$)]]=LARGE($AJ$113:$AJ$122,2)),DADOS!$I$10,""))</f>
        <v/>
      </c>
      <c r="E122" s="148" t="n">
        <f aca="false">SUMIFS(tabela_registros[VALOR],tabela_registros[MÊS],$AE$1,tabela_registros[DIA],investirrendafixaconsolidadoago[[#Headers],[1]],tabela_registros[REGISTRO],DADOS!$N$5,tabela_registros[TIPO],DADOS!$AB$3,tabela_registros[CATEGORIA],investirrendafixaconsolidadoago[[#This Row],[ATUAL]])</f>
        <v>0</v>
      </c>
      <c r="F122" s="119" t="n">
        <f aca="false">SUMIFS(tabela_registros[VALOR],tabela_registros[MÊS],$AE$1,tabela_registros[DIA],investirrendafixaconsolidadoago[[#Headers],[2]],tabela_registros[REGISTRO],DADOS!$N$5,tabela_registros[TIPO],DADOS!$AB$3,tabela_registros[CATEGORIA],investirrendafixaconsolidadoago[[#This Row],[ATUAL]])</f>
        <v>0</v>
      </c>
      <c r="G122" s="119" t="n">
        <f aca="false">SUMIFS(tabela_registros[VALOR],tabela_registros[MÊS],$AE$1,tabela_registros[DIA],investirrendafixaconsolidadoago[[#Headers],[3]],tabela_registros[REGISTRO],DADOS!$N$5,tabela_registros[TIPO],DADOS!$AB$3,tabela_registros[CATEGORIA],investirrendafixaconsolidadoago[[#This Row],[ATUAL]])</f>
        <v>0</v>
      </c>
      <c r="H122" s="119" t="n">
        <f aca="false">SUMIFS(tabela_registros[VALOR],tabela_registros[MÊS],$AE$1,tabela_registros[DIA],investirrendafixaconsolidadoago[[#Headers],[4]],tabela_registros[REGISTRO],DADOS!$N$5,tabela_registros[TIPO],DADOS!$AB$3,tabela_registros[CATEGORIA],investirrendafixaconsolidadoago[[#This Row],[ATUAL]])</f>
        <v>0</v>
      </c>
      <c r="I122" s="119" t="n">
        <f aca="false">SUMIFS(tabela_registros[VALOR],tabela_registros[MÊS],$AE$1,tabela_registros[DIA],investirrendafixaconsolidadoago[[#Headers],[5]],tabela_registros[REGISTRO],DADOS!$N$5,tabela_registros[TIPO],DADOS!$AB$3,tabela_registros[CATEGORIA],investirrendafixaconsolidadoago[[#This Row],[ATUAL]])</f>
        <v>0</v>
      </c>
      <c r="J122" s="119" t="n">
        <f aca="false">SUMIFS(tabela_registros[VALOR],tabela_registros[MÊS],$AE$1,tabela_registros[DIA],investirrendafixaconsolidadoago[[#Headers],[6]],tabela_registros[REGISTRO],DADOS!$N$5,tabela_registros[TIPO],DADOS!$AB$3,tabela_registros[CATEGORIA],investirrendafixaconsolidadoago[[#This Row],[ATUAL]])</f>
        <v>0</v>
      </c>
      <c r="K122" s="119" t="n">
        <f aca="false">SUMIFS(tabela_registros[VALOR],tabela_registros[MÊS],$AE$1,tabela_registros[DIA],investirrendafixaconsolidadoago[[#Headers],[7]],tabela_registros[REGISTRO],DADOS!$N$5,tabela_registros[TIPO],DADOS!$AB$3,tabela_registros[CATEGORIA],investirrendafixaconsolidadoago[[#This Row],[ATUAL]])</f>
        <v>0</v>
      </c>
      <c r="L122" s="119" t="n">
        <f aca="false">SUMIFS(tabela_registros[VALOR],tabela_registros[MÊS],$AE$1,tabela_registros[DIA],investirrendafixaconsolidadoago[[#Headers],[8]],tabela_registros[REGISTRO],DADOS!$N$5,tabela_registros[TIPO],DADOS!$AB$3,tabela_registros[CATEGORIA],investirrendafixaconsolidadoago[[#This Row],[ATUAL]])</f>
        <v>0</v>
      </c>
      <c r="M122" s="119" t="n">
        <f aca="false">SUMIFS(tabela_registros[VALOR],tabela_registros[MÊS],$AE$1,tabela_registros[DIA],investirrendafixaconsolidadoago[[#Headers],[9]],tabela_registros[REGISTRO],DADOS!$N$5,tabela_registros[TIPO],DADOS!$AB$3,tabela_registros[CATEGORIA],investirrendafixaconsolidadoago[[#This Row],[ATUAL]])</f>
        <v>0</v>
      </c>
      <c r="N122" s="119" t="n">
        <f aca="false">SUMIFS(tabela_registros[VALOR],tabela_registros[MÊS],$AE$1,tabela_registros[DIA],investirrendafixaconsolidadoago[[#Headers],[10]],tabela_registros[REGISTRO],DADOS!$N$5,tabela_registros[TIPO],DADOS!$AB$3,tabela_registros[CATEGORIA],investirrendafixaconsolidadoago[[#This Row],[ATUAL]])</f>
        <v>0</v>
      </c>
      <c r="O122" s="119" t="n">
        <f aca="false">SUMIFS(tabela_registros[VALOR],tabela_registros[MÊS],$AE$1,tabela_registros[DIA],investirrendafixaconsolidadoago[[#Headers],[11]],tabela_registros[REGISTRO],DADOS!$N$5,tabela_registros[TIPO],DADOS!$AB$3,tabela_registros[CATEGORIA],investirrendafixaconsolidadoago[[#This Row],[ATUAL]])</f>
        <v>0</v>
      </c>
      <c r="P122" s="119" t="n">
        <f aca="false">SUMIFS(tabela_registros[VALOR],tabela_registros[MÊS],$AE$1,tabela_registros[DIA],investirrendafixaconsolidadoago[[#Headers],[12]],tabela_registros[REGISTRO],DADOS!$N$5,tabela_registros[TIPO],DADOS!$AB$3,tabela_registros[CATEGORIA],investirrendafixaconsolidadoago[[#This Row],[ATUAL]])</f>
        <v>0</v>
      </c>
      <c r="Q122" s="119" t="n">
        <f aca="false">SUMIFS(tabela_registros[VALOR],tabela_registros[MÊS],$AE$1,tabela_registros[DIA],investirrendafixaconsolidadoago[[#Headers],[13]],tabela_registros[REGISTRO],DADOS!$N$5,tabela_registros[TIPO],DADOS!$AB$3,tabela_registros[CATEGORIA],investirrendafixaconsolidadoago[[#This Row],[ATUAL]])</f>
        <v>0</v>
      </c>
      <c r="R122" s="119" t="n">
        <f aca="false">SUMIFS(tabela_registros[VALOR],tabela_registros[MÊS],$AE$1,tabela_registros[DIA],investirrendafixaconsolidadoago[[#Headers],[14]],tabela_registros[REGISTRO],DADOS!$N$5,tabela_registros[TIPO],DADOS!$AB$3,tabela_registros[CATEGORIA],investirrendafixaconsolidadoago[[#This Row],[ATUAL]])</f>
        <v>0</v>
      </c>
      <c r="S122" s="119" t="n">
        <f aca="false">SUMIFS(tabela_registros[VALOR],tabela_registros[MÊS],$AE$1,tabela_registros[DIA],investirrendafixaconsolidadoago[[#Headers],[15]],tabela_registros[REGISTRO],DADOS!$N$5,tabela_registros[TIPO],DADOS!$AB$3,tabela_registros[CATEGORIA],investirrendafixaconsolidadoago[[#This Row],[ATUAL]])</f>
        <v>0</v>
      </c>
      <c r="T122" s="119" t="n">
        <f aca="false">SUMIFS(tabela_registros[VALOR],tabela_registros[MÊS],$AE$1,tabela_registros[DIA],investirrendafixaconsolidadoago[[#Headers],[16]],tabela_registros[REGISTRO],DADOS!$N$5,tabela_registros[TIPO],DADOS!$AB$3,tabela_registros[CATEGORIA],investirrendafixaconsolidadoago[[#This Row],[ATUAL]])</f>
        <v>0</v>
      </c>
      <c r="U122" s="119" t="n">
        <f aca="false">SUMIFS(tabela_registros[VALOR],tabela_registros[MÊS],$AE$1,tabela_registros[DIA],investirrendafixaconsolidadoago[[#Headers],[17]],tabela_registros[REGISTRO],DADOS!$N$5,tabela_registros[TIPO],DADOS!$AB$3,tabela_registros[CATEGORIA],investirrendafixaconsolidadoago[[#This Row],[ATUAL]])</f>
        <v>0</v>
      </c>
      <c r="V122" s="119" t="n">
        <f aca="false">SUMIFS(tabela_registros[VALOR],tabela_registros[MÊS],$AE$1,tabela_registros[DIA],investirrendafixaconsolidadoago[[#Headers],[18]],tabela_registros[REGISTRO],DADOS!$N$5,tabela_registros[TIPO],DADOS!$AB$3,tabela_registros[CATEGORIA],investirrendafixaconsolidadoago[[#This Row],[ATUAL]])</f>
        <v>0</v>
      </c>
      <c r="W122" s="119" t="n">
        <f aca="false">SUMIFS(tabela_registros[VALOR],tabela_registros[MÊS],$AE$1,tabela_registros[DIA],investirrendafixaconsolidadoago[[#Headers],[19]],tabela_registros[REGISTRO],DADOS!$N$5,tabela_registros[TIPO],DADOS!$AB$3,tabela_registros[CATEGORIA],investirrendafixaconsolidadoago[[#This Row],[ATUAL]])</f>
        <v>0</v>
      </c>
      <c r="X122" s="119" t="n">
        <f aca="false">SUMIFS(tabela_registros[VALOR],tabela_registros[MÊS],$AE$1,tabela_registros[DIA],investirrendafixaconsolidadoago[[#Headers],[20]],tabela_registros[REGISTRO],DADOS!$N$5,tabela_registros[TIPO],DADOS!$AB$3,tabela_registros[CATEGORIA],investirrendafixaconsolidadoago[[#This Row],[ATUAL]])</f>
        <v>0</v>
      </c>
      <c r="Y122" s="119" t="n">
        <f aca="false">SUMIFS(tabela_registros[VALOR],tabela_registros[MÊS],$AE$1,tabela_registros[DIA],investirrendafixaconsolidadoago[[#Headers],[21]],tabela_registros[REGISTRO],DADOS!$N$5,tabela_registros[TIPO],DADOS!$AB$3,tabela_registros[CATEGORIA],investirrendafixaconsolidadoago[[#This Row],[ATUAL]])</f>
        <v>0</v>
      </c>
      <c r="Z122" s="119" t="n">
        <f aca="false">SUMIFS(tabela_registros[VALOR],tabela_registros[MÊS],$AE$1,tabela_registros[DIA],investirrendafixaconsolidadoago[[#Headers],[22]],tabela_registros[REGISTRO],DADOS!$N$5,tabela_registros[TIPO],DADOS!$AB$3,tabela_registros[CATEGORIA],investirrendafixaconsolidadoago[[#This Row],[ATUAL]])</f>
        <v>0</v>
      </c>
      <c r="AA122" s="119" t="n">
        <f aca="false">SUMIFS(tabela_registros[VALOR],tabela_registros[MÊS],$AE$1,tabela_registros[DIA],investirrendafixaconsolidadoago[[#Headers],[23]],tabela_registros[REGISTRO],DADOS!$N$5,tabela_registros[TIPO],DADOS!$AB$3,tabela_registros[CATEGORIA],investirrendafixaconsolidadoago[[#This Row],[ATUAL]])</f>
        <v>0</v>
      </c>
      <c r="AB122" s="119" t="n">
        <f aca="false">SUMIFS(tabela_registros[VALOR],tabela_registros[MÊS],$AE$1,tabela_registros[DIA],investirrendafixaconsolidadoago[[#Headers],[24]],tabela_registros[REGISTRO],DADOS!$N$5,tabela_registros[TIPO],DADOS!$AB$3,tabela_registros[CATEGORIA],investirrendafixaconsolidadoago[[#This Row],[ATUAL]])</f>
        <v>0</v>
      </c>
      <c r="AC122" s="119" t="n">
        <f aca="false">SUMIFS(tabela_registros[VALOR],tabela_registros[MÊS],$AE$1,tabela_registros[DIA],investirrendafixaconsolidadoago[[#Headers],[25]],tabela_registros[REGISTRO],DADOS!$N$5,tabela_registros[TIPO],DADOS!$AB$3,tabela_registros[CATEGORIA],investirrendafixaconsolidadoago[[#This Row],[ATUAL]])</f>
        <v>0</v>
      </c>
      <c r="AD122" s="119" t="n">
        <f aca="false">SUMIFS(tabela_registros[VALOR],tabela_registros[MÊS],$AE$1,tabela_registros[DIA],investirrendafixaconsolidadoago[[#Headers],[26]],tabela_registros[REGISTRO],DADOS!$N$5,tabela_registros[TIPO],DADOS!$AB$3,tabela_registros[CATEGORIA],investirrendafixaconsolidadoago[[#This Row],[ATUAL]])</f>
        <v>0</v>
      </c>
      <c r="AE122" s="119" t="n">
        <f aca="false">SUMIFS(tabela_registros[VALOR],tabela_registros[MÊS],$AE$1,tabela_registros[DIA],investirrendafixaconsolidadoago[[#Headers],[27]],tabela_registros[REGISTRO],DADOS!$N$5,tabela_registros[TIPO],DADOS!$AB$3,tabela_registros[CATEGORIA],investirrendafixaconsolidadoago[[#This Row],[ATUAL]])</f>
        <v>0</v>
      </c>
      <c r="AF122" s="119" t="n">
        <f aca="false">SUMIFS(tabela_registros[VALOR],tabela_registros[MÊS],$AE$1,tabela_registros[DIA],investirrendafixaconsolidadoago[[#Headers],[28]],tabela_registros[REGISTRO],DADOS!$N$5,tabela_registros[TIPO],DADOS!$AB$3,tabela_registros[CATEGORIA],investirrendafixaconsolidadoago[[#This Row],[ATUAL]])</f>
        <v>0</v>
      </c>
      <c r="AG122" s="119" t="n">
        <f aca="false">SUMIFS(tabela_registros[VALOR],tabela_registros[MÊS],$AE$1,tabela_registros[DIA],investirrendafixaconsolidadoago[[#Headers],[29]],tabela_registros[REGISTRO],DADOS!$N$5,tabela_registros[TIPO],DADOS!$AB$3,tabela_registros[CATEGORIA],investirrendafixaconsolidadoago[[#This Row],[ATUAL]])</f>
        <v>0</v>
      </c>
      <c r="AH122" s="119" t="n">
        <f aca="false">SUMIFS(tabela_registros[VALOR],tabela_registros[MÊS],$AE$1,tabela_registros[DIA],investirrendafixaconsolidadoago[[#Headers],[30]],tabela_registros[REGISTRO],DADOS!$N$5,tabela_registros[TIPO],DADOS!$AB$3,tabela_registros[CATEGORIA],investirrendafixaconsolidadoago[[#This Row],[ATUAL]])</f>
        <v>0</v>
      </c>
      <c r="AI122" s="218" t="n">
        <f aca="false">SUMIFS(tabela_registros[VALOR],tabela_registros[MÊS],$AE$1,tabela_registros[DIA],investirrendafixaconsolidadoago[[#Headers],[31]],tabela_registros[REGISTRO],DADOS!$N$5,tabela_registros[TIPO],DADOS!$AB$3,tabela_registros[CATEGORIA],investirrendafixaconsolidadoago[[#This Row],[ATUAL]])</f>
        <v>0</v>
      </c>
      <c r="AJ122" s="149" t="n">
        <f aca="false">SUM(investirrendafixaconsolidadoago[[#This Row],[1]:[31]])</f>
        <v>0</v>
      </c>
      <c r="AK122" s="165"/>
    </row>
    <row r="123" s="122" customFormat="true" ht="21" hidden="false" customHeight="true" outlineLevel="0" collapsed="false">
      <c r="B123" s="152"/>
      <c r="C123" s="153" t="s">
        <v>2</v>
      </c>
      <c r="D123" s="166"/>
      <c r="E123" s="155" t="n">
        <f aca="false">SUM(E113:E122)</f>
        <v>0</v>
      </c>
      <c r="F123" s="156" t="n">
        <f aca="false">SUM(F113:F122)+investirrendafixaconsolidadoago[[#This Row],[1]]</f>
        <v>0</v>
      </c>
      <c r="G123" s="156" t="n">
        <f aca="false">SUM(G113:G122)+investirrendafixaconsolidadoago[[#This Row],[2]]</f>
        <v>0</v>
      </c>
      <c r="H123" s="156" t="n">
        <f aca="false">SUM(H113:H122)+investirrendafixaconsolidadoago[[#This Row],[3]]</f>
        <v>0</v>
      </c>
      <c r="I123" s="156" t="n">
        <f aca="false">SUM(I113:I122)+investirrendafixaconsolidadoago[[#This Row],[4]]</f>
        <v>0</v>
      </c>
      <c r="J123" s="156" t="n">
        <f aca="false">SUM(J113:J122)+investirrendafixaconsolidadoago[[#This Row],[5]]</f>
        <v>0</v>
      </c>
      <c r="K123" s="156" t="n">
        <f aca="false">SUM(K113:K122)+investirrendafixaconsolidadoago[[#This Row],[6]]</f>
        <v>0</v>
      </c>
      <c r="L123" s="156" t="n">
        <f aca="false">SUM(L113:L122)+investirrendafixaconsolidadoago[[#This Row],[7]]</f>
        <v>0</v>
      </c>
      <c r="M123" s="156" t="n">
        <f aca="false">SUM(M113:M122)+investirrendafixaconsolidadoago[[#This Row],[8]]</f>
        <v>0</v>
      </c>
      <c r="N123" s="156" t="n">
        <f aca="false">SUM(N113:N122)+investirrendafixaconsolidadoago[[#This Row],[9]]</f>
        <v>0</v>
      </c>
      <c r="O123" s="156" t="n">
        <f aca="false">SUM(O113:O122)+investirrendafixaconsolidadoago[[#This Row],[10]]</f>
        <v>0</v>
      </c>
      <c r="P123" s="156" t="n">
        <f aca="false">SUM(P113:P122)+investirrendafixaconsolidadoago[[#This Row],[11]]</f>
        <v>0</v>
      </c>
      <c r="Q123" s="156" t="n">
        <f aca="false">SUM(Q113:Q122)+investirrendafixaconsolidadoago[[#This Row],[12]]</f>
        <v>0</v>
      </c>
      <c r="R123" s="156" t="n">
        <f aca="false">SUM(R113:R122)+investirrendafixaconsolidadoago[[#This Row],[13]]</f>
        <v>0</v>
      </c>
      <c r="S123" s="156" t="n">
        <f aca="false">SUM(S113:S122)+investirrendafixaconsolidadoago[[#This Row],[14]]</f>
        <v>0</v>
      </c>
      <c r="T123" s="156" t="n">
        <f aca="false">SUM(T113:T122)+investirrendafixaconsolidadoago[[#This Row],[15]]</f>
        <v>0</v>
      </c>
      <c r="U123" s="156" t="n">
        <f aca="false">SUM(U113:U122)+investirrendafixaconsolidadoago[[#This Row],[16]]</f>
        <v>0</v>
      </c>
      <c r="V123" s="156" t="n">
        <f aca="false">SUM(V113:V122)+investirrendafixaconsolidadoago[[#This Row],[17]]</f>
        <v>0</v>
      </c>
      <c r="W123" s="156" t="n">
        <f aca="false">SUM(W113:W122)+investirrendafixaconsolidadoago[[#This Row],[18]]</f>
        <v>0</v>
      </c>
      <c r="X123" s="156" t="n">
        <f aca="false">SUM(X113:X122)+investirrendafixaconsolidadoago[[#This Row],[19]]</f>
        <v>0</v>
      </c>
      <c r="Y123" s="156" t="n">
        <f aca="false">SUM(Y113:Y122)+investirrendafixaconsolidadoago[[#This Row],[20]]</f>
        <v>0</v>
      </c>
      <c r="Z123" s="156" t="n">
        <f aca="false">SUM(Z113:Z122)+investirrendafixaconsolidadoago[[#This Row],[21]]</f>
        <v>0</v>
      </c>
      <c r="AA123" s="156" t="n">
        <f aca="false">SUM(AA113:AA122)+investirrendafixaconsolidadoago[[#This Row],[22]]</f>
        <v>0</v>
      </c>
      <c r="AB123" s="156" t="n">
        <f aca="false">SUM(AB113:AB122)+investirrendafixaconsolidadoago[[#This Row],[23]]</f>
        <v>0</v>
      </c>
      <c r="AC123" s="156" t="n">
        <f aca="false">SUM(AC113:AC122)+investirrendafixaconsolidadoago[[#This Row],[24]]</f>
        <v>0</v>
      </c>
      <c r="AD123" s="156" t="n">
        <f aca="false">SUM(AD113:AD122)+investirrendafixaconsolidadoago[[#This Row],[25]]</f>
        <v>0</v>
      </c>
      <c r="AE123" s="156" t="n">
        <f aca="false">SUM(AE113:AE122)+investirrendafixaconsolidadoago[[#This Row],[26]]</f>
        <v>0</v>
      </c>
      <c r="AF123" s="156" t="n">
        <f aca="false">SUM(AF113:AF122)+investirrendafixaconsolidadoago[[#This Row],[27]]</f>
        <v>0</v>
      </c>
      <c r="AG123" s="156" t="n">
        <f aca="false">SUM(AG113:AG122)+investirrendafixaconsolidadoago[[#This Row],[28]]</f>
        <v>0</v>
      </c>
      <c r="AH123" s="156" t="n">
        <f aca="false">SUM(AH113:AH122)+investirrendafixaconsolidadoago[[#This Row],[29]]</f>
        <v>0</v>
      </c>
      <c r="AI123" s="223" t="n">
        <f aca="false">SUM(AI113:AI122)+investirrendafixaconsolidadoago[[#This Row],[30]]</f>
        <v>0</v>
      </c>
      <c r="AJ123" s="157" t="n">
        <f aca="false">investirrendafixaconsolidadoago[[#This Row],[31]]</f>
        <v>0</v>
      </c>
      <c r="AK123" s="158"/>
    </row>
    <row r="124" customFormat="false" ht="6.75" hidden="false" customHeight="true" outlineLevel="0" collapsed="false">
      <c r="B124" s="97"/>
      <c r="C124" s="162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233"/>
      <c r="AJ124" s="164"/>
      <c r="AK124" s="244"/>
    </row>
    <row r="125" s="78" customFormat="true" ht="12.75" hidden="false" customHeight="false" outlineLevel="0" collapsed="false">
      <c r="E125" s="100"/>
    </row>
    <row r="126" s="78" customFormat="true" ht="12" hidden="false" customHeight="false" outlineLevel="0" collapsed="false"/>
    <row r="127" s="78" customFormat="true" ht="12" hidden="false" customHeight="false" outlineLevel="0" collapsed="false"/>
    <row r="128" customFormat="false" ht="39.75" hidden="false" customHeight="true" outlineLevel="0" collapsed="false">
      <c r="C128" s="101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3" t="s">
        <v>2</v>
      </c>
    </row>
    <row r="129" s="78" customFormat="true" ht="12.75" hidden="false" customHeight="false" outlineLevel="0" collapsed="false">
      <c r="B129" s="161"/>
      <c r="AJ129" s="106" t="s">
        <v>64</v>
      </c>
    </row>
    <row r="130" customFormat="false" ht="6.75" hidden="false" customHeight="true" outlineLevel="0" collapsed="false">
      <c r="B130" s="86"/>
      <c r="C130" s="162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233"/>
      <c r="AK130" s="139"/>
    </row>
    <row r="131" customFormat="false" ht="13.5" hidden="true" customHeight="false" outlineLevel="0" collapsed="false">
      <c r="B131" s="86"/>
      <c r="C131" s="109" t="s">
        <v>68</v>
      </c>
      <c r="D131" s="110" t="s">
        <v>69</v>
      </c>
      <c r="E131" s="110" t="s">
        <v>30</v>
      </c>
      <c r="F131" s="110" t="s">
        <v>31</v>
      </c>
      <c r="G131" s="110" t="s">
        <v>32</v>
      </c>
      <c r="H131" s="110" t="s">
        <v>33</v>
      </c>
      <c r="I131" s="110" t="s">
        <v>34</v>
      </c>
      <c r="J131" s="110" t="s">
        <v>35</v>
      </c>
      <c r="K131" s="110" t="s">
        <v>36</v>
      </c>
      <c r="L131" s="110" t="s">
        <v>37</v>
      </c>
      <c r="M131" s="110" t="s">
        <v>38</v>
      </c>
      <c r="N131" s="110" t="s">
        <v>39</v>
      </c>
      <c r="O131" s="110" t="s">
        <v>40</v>
      </c>
      <c r="P131" s="110" t="s">
        <v>41</v>
      </c>
      <c r="Q131" s="110" t="s">
        <v>81</v>
      </c>
      <c r="R131" s="110" t="s">
        <v>82</v>
      </c>
      <c r="S131" s="110" t="s">
        <v>83</v>
      </c>
      <c r="T131" s="110" t="s">
        <v>84</v>
      </c>
      <c r="U131" s="110" t="s">
        <v>85</v>
      </c>
      <c r="V131" s="110" t="s">
        <v>86</v>
      </c>
      <c r="W131" s="110" t="s">
        <v>87</v>
      </c>
      <c r="X131" s="110" t="s">
        <v>88</v>
      </c>
      <c r="Y131" s="110" t="s">
        <v>89</v>
      </c>
      <c r="Z131" s="110" t="s">
        <v>90</v>
      </c>
      <c r="AA131" s="110" t="s">
        <v>91</v>
      </c>
      <c r="AB131" s="110" t="s">
        <v>92</v>
      </c>
      <c r="AC131" s="110" t="s">
        <v>93</v>
      </c>
      <c r="AD131" s="110" t="s">
        <v>94</v>
      </c>
      <c r="AE131" s="110" t="s">
        <v>95</v>
      </c>
      <c r="AF131" s="110" t="s">
        <v>96</v>
      </c>
      <c r="AG131" s="110" t="s">
        <v>97</v>
      </c>
      <c r="AH131" s="110" t="s">
        <v>98</v>
      </c>
      <c r="AI131" s="110" t="s">
        <v>99</v>
      </c>
      <c r="AJ131" s="111" t="s">
        <v>70</v>
      </c>
      <c r="AK131" s="86"/>
    </row>
    <row r="132" customFormat="false" ht="19.5" hidden="false" customHeight="true" outlineLevel="0" collapsed="false">
      <c r="B132" s="143"/>
      <c r="C132" s="144" t="str">
        <f aca="false">DADOS!$AF$3</f>
        <v>📝 AÇÃO</v>
      </c>
      <c r="D132" s="145" t="str">
        <f aca="false">IF(investirrendavariávelconsolidadoago[[#This Row],[TOTAL (R$)]]=0,"",IF(OR(investirrendavariávelconsolidadoago[[#This Row],[TOTAL (R$)]]=LARGE($AJ$132:$AJ$141,1),investirrendavariávelconsolidadoago[[#This Row],[TOTAL (R$)]]=LARGE($AJ$132:$AJ$141,2)),DADOS!$I$10,""))</f>
        <v/>
      </c>
      <c r="E132" s="148" t="n">
        <f aca="false">SUMIFS(tabela_registros[VALOR],tabela_registros[MÊS],$AE$1,tabela_registros[DIA],investirrendavariávelconsolidadoago[[#Headers],[1]],tabela_registros[REGISTRO],DADOS!$N$5,tabela_registros[TIPO],DADOS!$AB$4,tabela_registros[CATEGORIA],investirrendavariávelconsolidadoago[[#This Row],[ATUAL]])</f>
        <v>0</v>
      </c>
      <c r="F132" s="119" t="n">
        <f aca="false">SUMIFS(tabela_registros[VALOR],tabela_registros[MÊS],$AE$1,tabela_registros[DIA],investirrendavariávelconsolidadoago[[#Headers],[2]],tabela_registros[REGISTRO],DADOS!$N$5,tabela_registros[TIPO],DADOS!$AB$4,tabela_registros[CATEGORIA],investirrendavariávelconsolidadoago[[#This Row],[ATUAL]])</f>
        <v>0</v>
      </c>
      <c r="G132" s="119" t="n">
        <f aca="false">SUMIFS(tabela_registros[VALOR],tabela_registros[MÊS],$AE$1,tabela_registros[DIA],investirrendavariávelconsolidadoago[[#Headers],[3]],tabela_registros[REGISTRO],DADOS!$N$5,tabela_registros[TIPO],DADOS!$AB$4,tabela_registros[CATEGORIA],investirrendavariávelconsolidadoago[[#This Row],[ATUAL]])</f>
        <v>0</v>
      </c>
      <c r="H132" s="119" t="n">
        <f aca="false">SUMIFS(tabela_registros[VALOR],tabela_registros[MÊS],$AE$1,tabela_registros[DIA],investirrendavariávelconsolidadoago[[#Headers],[4]],tabela_registros[REGISTRO],DADOS!$N$5,tabela_registros[TIPO],DADOS!$AB$4,tabela_registros[CATEGORIA],investirrendavariávelconsolidadoago[[#This Row],[ATUAL]])</f>
        <v>0</v>
      </c>
      <c r="I132" s="119" t="n">
        <f aca="false">SUMIFS(tabela_registros[VALOR],tabela_registros[MÊS],$AE$1,tabela_registros[DIA],investirrendavariávelconsolidadoago[[#Headers],[5]],tabela_registros[REGISTRO],DADOS!$N$5,tabela_registros[TIPO],DADOS!$AB$4,tabela_registros[CATEGORIA],investirrendavariávelconsolidadoago[[#This Row],[ATUAL]])</f>
        <v>0</v>
      </c>
      <c r="J132" s="119" t="n">
        <f aca="false">SUMIFS(tabela_registros[VALOR],tabela_registros[MÊS],$AE$1,tabela_registros[DIA],investirrendavariávelconsolidadoago[[#Headers],[6]],tabela_registros[REGISTRO],DADOS!$N$5,tabela_registros[TIPO],DADOS!$AB$4,tabela_registros[CATEGORIA],investirrendavariávelconsolidadoago[[#This Row],[ATUAL]])</f>
        <v>0</v>
      </c>
      <c r="K132" s="119" t="n">
        <f aca="false">SUMIFS(tabela_registros[VALOR],tabela_registros[MÊS],$AE$1,tabela_registros[DIA],investirrendavariávelconsolidadoago[[#Headers],[7]],tabela_registros[REGISTRO],DADOS!$N$5,tabela_registros[TIPO],DADOS!$AB$4,tabela_registros[CATEGORIA],investirrendavariávelconsolidadoago[[#This Row],[ATUAL]])</f>
        <v>0</v>
      </c>
      <c r="L132" s="119" t="n">
        <f aca="false">SUMIFS(tabela_registros[VALOR],tabela_registros[MÊS],$AE$1,tabela_registros[DIA],investirrendavariávelconsolidadoago[[#Headers],[8]],tabela_registros[REGISTRO],DADOS!$N$5,tabela_registros[TIPO],DADOS!$AB$4,tabela_registros[CATEGORIA],investirrendavariávelconsolidadoago[[#This Row],[ATUAL]])</f>
        <v>0</v>
      </c>
      <c r="M132" s="119" t="n">
        <f aca="false">SUMIFS(tabela_registros[VALOR],tabela_registros[MÊS],$AE$1,tabela_registros[DIA],investirrendavariávelconsolidadoago[[#Headers],[9]],tabela_registros[REGISTRO],DADOS!$N$5,tabela_registros[TIPO],DADOS!$AB$4,tabela_registros[CATEGORIA],investirrendavariávelconsolidadoago[[#This Row],[ATUAL]])</f>
        <v>0</v>
      </c>
      <c r="N132" s="119" t="n">
        <f aca="false">SUMIFS(tabela_registros[VALOR],tabela_registros[MÊS],$AE$1,tabela_registros[DIA],investirrendavariávelconsolidadoago[[#Headers],[10]],tabela_registros[REGISTRO],DADOS!$N$5,tabela_registros[TIPO],DADOS!$AB$4,tabela_registros[CATEGORIA],investirrendavariávelconsolidadoago[[#This Row],[ATUAL]])</f>
        <v>0</v>
      </c>
      <c r="O132" s="119" t="n">
        <f aca="false">SUMIFS(tabela_registros[VALOR],tabela_registros[MÊS],$AE$1,tabela_registros[DIA],investirrendavariávelconsolidadoago[[#Headers],[11]],tabela_registros[REGISTRO],DADOS!$N$5,tabela_registros[TIPO],DADOS!$AB$4,tabela_registros[CATEGORIA],investirrendavariávelconsolidadoago[[#This Row],[ATUAL]])</f>
        <v>0</v>
      </c>
      <c r="P132" s="119" t="n">
        <f aca="false">SUMIFS(tabela_registros[VALOR],tabela_registros[MÊS],$AE$1,tabela_registros[DIA],investirrendavariávelconsolidadoago[[#Headers],[12]],tabela_registros[REGISTRO],DADOS!$N$5,tabela_registros[TIPO],DADOS!$AB$4,tabela_registros[CATEGORIA],investirrendavariávelconsolidadoago[[#This Row],[ATUAL]])</f>
        <v>0</v>
      </c>
      <c r="Q132" s="119" t="n">
        <f aca="false">SUMIFS(tabela_registros[VALOR],tabela_registros[MÊS],$AE$1,tabela_registros[DIA],investirrendavariávelconsolidadoago[[#Headers],[13]],tabela_registros[REGISTRO],DADOS!$N$5,tabela_registros[TIPO],DADOS!$AB$4,tabela_registros[CATEGORIA],investirrendavariávelconsolidadoago[[#This Row],[ATUAL]])</f>
        <v>0</v>
      </c>
      <c r="R132" s="119" t="n">
        <f aca="false">SUMIFS(tabela_registros[VALOR],tabela_registros[MÊS],$AE$1,tabela_registros[DIA],investirrendavariávelconsolidadoago[[#Headers],[14]],tabela_registros[REGISTRO],DADOS!$N$5,tabela_registros[TIPO],DADOS!$AB$4,tabela_registros[CATEGORIA],investirrendavariávelconsolidadoago[[#This Row],[ATUAL]])</f>
        <v>0</v>
      </c>
      <c r="S132" s="119" t="n">
        <f aca="false">SUMIFS(tabela_registros[VALOR],tabela_registros[MÊS],$AE$1,tabela_registros[DIA],investirrendavariávelconsolidadoago[[#Headers],[15]],tabela_registros[REGISTRO],DADOS!$N$5,tabela_registros[TIPO],DADOS!$AB$4,tabela_registros[CATEGORIA],investirrendavariávelconsolidadoago[[#This Row],[ATUAL]])</f>
        <v>0</v>
      </c>
      <c r="T132" s="119" t="n">
        <f aca="false">SUMIFS(tabela_registros[VALOR],tabela_registros[MÊS],$AE$1,tabela_registros[DIA],investirrendavariávelconsolidadoago[[#Headers],[16]],tabela_registros[REGISTRO],DADOS!$N$5,tabela_registros[TIPO],DADOS!$AB$4,tabela_registros[CATEGORIA],investirrendavariávelconsolidadoago[[#This Row],[ATUAL]])</f>
        <v>0</v>
      </c>
      <c r="U132" s="119" t="n">
        <f aca="false">SUMIFS(tabela_registros[VALOR],tabela_registros[MÊS],$AE$1,tabela_registros[DIA],investirrendavariávelconsolidadoago[[#Headers],[17]],tabela_registros[REGISTRO],DADOS!$N$5,tabela_registros[TIPO],DADOS!$AB$4,tabela_registros[CATEGORIA],investirrendavariávelconsolidadoago[[#This Row],[ATUAL]])</f>
        <v>0</v>
      </c>
      <c r="V132" s="119" t="n">
        <f aca="false">SUMIFS(tabela_registros[VALOR],tabela_registros[MÊS],$AE$1,tabela_registros[DIA],investirrendavariávelconsolidadoago[[#Headers],[18]],tabela_registros[REGISTRO],DADOS!$N$5,tabela_registros[TIPO],DADOS!$AB$4,tabela_registros[CATEGORIA],investirrendavariávelconsolidadoago[[#This Row],[ATUAL]])</f>
        <v>0</v>
      </c>
      <c r="W132" s="119" t="n">
        <f aca="false">SUMIFS(tabela_registros[VALOR],tabela_registros[MÊS],$AE$1,tabela_registros[DIA],investirrendavariávelconsolidadoago[[#Headers],[19]],tabela_registros[REGISTRO],DADOS!$N$5,tabela_registros[TIPO],DADOS!$AB$4,tabela_registros[CATEGORIA],investirrendavariávelconsolidadoago[[#This Row],[ATUAL]])</f>
        <v>0</v>
      </c>
      <c r="X132" s="119" t="n">
        <f aca="false">SUMIFS(tabela_registros[VALOR],tabela_registros[MÊS],$AE$1,tabela_registros[DIA],investirrendavariávelconsolidadoago[[#Headers],[20]],tabela_registros[REGISTRO],DADOS!$N$5,tabela_registros[TIPO],DADOS!$AB$4,tabela_registros[CATEGORIA],investirrendavariávelconsolidadoago[[#This Row],[ATUAL]])</f>
        <v>0</v>
      </c>
      <c r="Y132" s="119" t="n">
        <f aca="false">SUMIFS(tabela_registros[VALOR],tabela_registros[MÊS],$AE$1,tabela_registros[DIA],investirrendavariávelconsolidadoago[[#Headers],[21]],tabela_registros[REGISTRO],DADOS!$N$5,tabela_registros[TIPO],DADOS!$AB$4,tabela_registros[CATEGORIA],investirrendavariávelconsolidadoago[[#This Row],[ATUAL]])</f>
        <v>0</v>
      </c>
      <c r="Z132" s="119" t="n">
        <f aca="false">SUMIFS(tabela_registros[VALOR],tabela_registros[MÊS],$AE$1,tabela_registros[DIA],investirrendavariávelconsolidadoago[[#Headers],[22]],tabela_registros[REGISTRO],DADOS!$N$5,tabela_registros[TIPO],DADOS!$AB$4,tabela_registros[CATEGORIA],investirrendavariávelconsolidadoago[[#This Row],[ATUAL]])</f>
        <v>0</v>
      </c>
      <c r="AA132" s="119" t="n">
        <f aca="false">SUMIFS(tabela_registros[VALOR],tabela_registros[MÊS],$AE$1,tabela_registros[DIA],investirrendavariávelconsolidadoago[[#Headers],[23]],tabela_registros[REGISTRO],DADOS!$N$5,tabela_registros[TIPO],DADOS!$AB$4,tabela_registros[CATEGORIA],investirrendavariávelconsolidadoago[[#This Row],[ATUAL]])</f>
        <v>0</v>
      </c>
      <c r="AB132" s="119" t="n">
        <f aca="false">SUMIFS(tabela_registros[VALOR],tabela_registros[MÊS],$AE$1,tabela_registros[DIA],investirrendavariávelconsolidadoago[[#Headers],[24]],tabela_registros[REGISTRO],DADOS!$N$5,tabela_registros[TIPO],DADOS!$AB$4,tabela_registros[CATEGORIA],investirrendavariávelconsolidadoago[[#This Row],[ATUAL]])</f>
        <v>0</v>
      </c>
      <c r="AC132" s="119" t="n">
        <f aca="false">SUMIFS(tabela_registros[VALOR],tabela_registros[MÊS],$AE$1,tabela_registros[DIA],investirrendavariávelconsolidadoago[[#Headers],[25]],tabela_registros[REGISTRO],DADOS!$N$5,tabela_registros[TIPO],DADOS!$AB$4,tabela_registros[CATEGORIA],investirrendavariávelconsolidadoago[[#This Row],[ATUAL]])</f>
        <v>0</v>
      </c>
      <c r="AD132" s="119" t="n">
        <f aca="false">SUMIFS(tabela_registros[VALOR],tabela_registros[MÊS],$AE$1,tabela_registros[DIA],investirrendavariávelconsolidadoago[[#Headers],[26]],tabela_registros[REGISTRO],DADOS!$N$5,tabela_registros[TIPO],DADOS!$AB$4,tabela_registros[CATEGORIA],investirrendavariávelconsolidadoago[[#This Row],[ATUAL]])</f>
        <v>0</v>
      </c>
      <c r="AE132" s="119" t="n">
        <f aca="false">SUMIFS(tabela_registros[VALOR],tabela_registros[MÊS],$AE$1,tabela_registros[DIA],investirrendavariávelconsolidadoago[[#Headers],[27]],tabela_registros[REGISTRO],DADOS!$N$5,tabela_registros[TIPO],DADOS!$AB$4,tabela_registros[CATEGORIA],investirrendavariávelconsolidadoago[[#This Row],[ATUAL]])</f>
        <v>0</v>
      </c>
      <c r="AF132" s="119" t="n">
        <f aca="false">SUMIFS(tabela_registros[VALOR],tabela_registros[MÊS],$AE$1,tabela_registros[DIA],investirrendavariávelconsolidadoago[[#Headers],[28]],tabela_registros[REGISTRO],DADOS!$N$5,tabela_registros[TIPO],DADOS!$AB$4,tabela_registros[CATEGORIA],investirrendavariávelconsolidadoago[[#This Row],[ATUAL]])</f>
        <v>0</v>
      </c>
      <c r="AG132" s="119" t="n">
        <f aca="false">SUMIFS(tabela_registros[VALOR],tabela_registros[MÊS],$AE$1,tabela_registros[DIA],investirrendavariávelconsolidadoago[[#Headers],[29]],tabela_registros[REGISTRO],DADOS!$N$5,tabela_registros[TIPO],DADOS!$AB$4,tabela_registros[CATEGORIA],investirrendavariávelconsolidadoago[[#This Row],[ATUAL]])</f>
        <v>0</v>
      </c>
      <c r="AH132" s="119" t="n">
        <f aca="false">SUMIFS(tabela_registros[VALOR],tabela_registros[MÊS],$AE$1,tabela_registros[DIA],investirrendavariávelconsolidadoago[[#Headers],[30]],tabela_registros[REGISTRO],DADOS!$N$5,tabela_registros[TIPO],DADOS!$AB$4,tabela_registros[CATEGORIA],investirrendavariávelconsolidadoago[[#This Row],[ATUAL]])</f>
        <v>0</v>
      </c>
      <c r="AI132" s="217" t="n">
        <f aca="false">SUMIFS(tabela_registros[VALOR],tabela_registros[MÊS],$AE$1,tabela_registros[DIA],investirrendavariávelconsolidadoago[[#Headers],[31]],tabela_registros[REGISTRO],DADOS!$N$5,tabela_registros[TIPO],DADOS!$AB$4,tabela_registros[CATEGORIA],investirrendavariávelconsolidadoago[[#This Row],[ATUAL]])</f>
        <v>0</v>
      </c>
      <c r="AJ132" s="149" t="n">
        <f aca="false">SUM(investirrendavariávelconsolidadoago[[#This Row],[1]:[31]])</f>
        <v>0</v>
      </c>
      <c r="AK132" s="165"/>
    </row>
    <row r="133" customFormat="false" ht="19.5" hidden="false" customHeight="true" outlineLevel="0" collapsed="false">
      <c r="B133" s="143"/>
      <c r="C133" s="144" t="str">
        <f aca="false">DADOS!$AF$4</f>
        <v>📝 COMÓDITE</v>
      </c>
      <c r="D133" s="145" t="str">
        <f aca="false">IF(investirrendavariávelconsolidadoago[[#This Row],[TOTAL (R$)]]=0,"",IF(OR(investirrendavariávelconsolidadoago[[#This Row],[TOTAL (R$)]]=LARGE($AJ$132:$AJ$141,1),investirrendavariávelconsolidadoago[[#This Row],[TOTAL (R$)]]=LARGE($AJ$132:$AJ$141,2)),DADOS!$I$10,""))</f>
        <v/>
      </c>
      <c r="E133" s="148" t="n">
        <f aca="false">SUMIFS(tabela_registros[VALOR],tabela_registros[MÊS],$AE$1,tabela_registros[DIA],investirrendavariávelconsolidadoago[[#Headers],[1]],tabela_registros[REGISTRO],DADOS!$N$5,tabela_registros[TIPO],DADOS!$AB$4,tabela_registros[CATEGORIA],investirrendavariávelconsolidadoago[[#This Row],[ATUAL]])</f>
        <v>0</v>
      </c>
      <c r="F133" s="119" t="n">
        <f aca="false">SUMIFS(tabela_registros[VALOR],tabela_registros[MÊS],$AE$1,tabela_registros[DIA],investirrendavariávelconsolidadoago[[#Headers],[2]],tabela_registros[REGISTRO],DADOS!$N$5,tabela_registros[TIPO],DADOS!$AB$4,tabela_registros[CATEGORIA],investirrendavariávelconsolidadoago[[#This Row],[ATUAL]])</f>
        <v>0</v>
      </c>
      <c r="G133" s="119" t="n">
        <f aca="false">SUMIFS(tabela_registros[VALOR],tabela_registros[MÊS],$AE$1,tabela_registros[DIA],investirrendavariávelconsolidadoago[[#Headers],[3]],tabela_registros[REGISTRO],DADOS!$N$5,tabela_registros[TIPO],DADOS!$AB$4,tabela_registros[CATEGORIA],investirrendavariávelconsolidadoago[[#This Row],[ATUAL]])</f>
        <v>0</v>
      </c>
      <c r="H133" s="119" t="n">
        <f aca="false">SUMIFS(tabela_registros[VALOR],tabela_registros[MÊS],$AE$1,tabela_registros[DIA],investirrendavariávelconsolidadoago[[#Headers],[4]],tabela_registros[REGISTRO],DADOS!$N$5,tabela_registros[TIPO],DADOS!$AB$4,tabela_registros[CATEGORIA],investirrendavariávelconsolidadoago[[#This Row],[ATUAL]])</f>
        <v>0</v>
      </c>
      <c r="I133" s="119" t="n">
        <f aca="false">SUMIFS(tabela_registros[VALOR],tabela_registros[MÊS],$AE$1,tabela_registros[DIA],investirrendavariávelconsolidadoago[[#Headers],[5]],tabela_registros[REGISTRO],DADOS!$N$5,tabela_registros[TIPO],DADOS!$AB$4,tabela_registros[CATEGORIA],investirrendavariávelconsolidadoago[[#This Row],[ATUAL]])</f>
        <v>0</v>
      </c>
      <c r="J133" s="119" t="n">
        <f aca="false">SUMIFS(tabela_registros[VALOR],tabela_registros[MÊS],$AE$1,tabela_registros[DIA],investirrendavariávelconsolidadoago[[#Headers],[6]],tabela_registros[REGISTRO],DADOS!$N$5,tabela_registros[TIPO],DADOS!$AB$4,tabela_registros[CATEGORIA],investirrendavariávelconsolidadoago[[#This Row],[ATUAL]])</f>
        <v>0</v>
      </c>
      <c r="K133" s="119" t="n">
        <f aca="false">SUMIFS(tabela_registros[VALOR],tabela_registros[MÊS],$AE$1,tabela_registros[DIA],investirrendavariávelconsolidadoago[[#Headers],[7]],tabela_registros[REGISTRO],DADOS!$N$5,tabela_registros[TIPO],DADOS!$AB$4,tabela_registros[CATEGORIA],investirrendavariávelconsolidadoago[[#This Row],[ATUAL]])</f>
        <v>0</v>
      </c>
      <c r="L133" s="119" t="n">
        <f aca="false">SUMIFS(tabela_registros[VALOR],tabela_registros[MÊS],$AE$1,tabela_registros[DIA],investirrendavariávelconsolidadoago[[#Headers],[8]],tabela_registros[REGISTRO],DADOS!$N$5,tabela_registros[TIPO],DADOS!$AB$4,tabela_registros[CATEGORIA],investirrendavariávelconsolidadoago[[#This Row],[ATUAL]])</f>
        <v>0</v>
      </c>
      <c r="M133" s="119" t="n">
        <f aca="false">SUMIFS(tabela_registros[VALOR],tabela_registros[MÊS],$AE$1,tabela_registros[DIA],investirrendavariávelconsolidadoago[[#Headers],[9]],tabela_registros[REGISTRO],DADOS!$N$5,tabela_registros[TIPO],DADOS!$AB$4,tabela_registros[CATEGORIA],investirrendavariávelconsolidadoago[[#This Row],[ATUAL]])</f>
        <v>0</v>
      </c>
      <c r="N133" s="119" t="n">
        <f aca="false">SUMIFS(tabela_registros[VALOR],tabela_registros[MÊS],$AE$1,tabela_registros[DIA],investirrendavariávelconsolidadoago[[#Headers],[10]],tabela_registros[REGISTRO],DADOS!$N$5,tabela_registros[TIPO],DADOS!$AB$4,tabela_registros[CATEGORIA],investirrendavariávelconsolidadoago[[#This Row],[ATUAL]])</f>
        <v>0</v>
      </c>
      <c r="O133" s="119" t="n">
        <f aca="false">SUMIFS(tabela_registros[VALOR],tabela_registros[MÊS],$AE$1,tabela_registros[DIA],investirrendavariávelconsolidadoago[[#Headers],[11]],tabela_registros[REGISTRO],DADOS!$N$5,tabela_registros[TIPO],DADOS!$AB$4,tabela_registros[CATEGORIA],investirrendavariávelconsolidadoago[[#This Row],[ATUAL]])</f>
        <v>0</v>
      </c>
      <c r="P133" s="119" t="n">
        <f aca="false">SUMIFS(tabela_registros[VALOR],tabela_registros[MÊS],$AE$1,tabela_registros[DIA],investirrendavariávelconsolidadoago[[#Headers],[12]],tabela_registros[REGISTRO],DADOS!$N$5,tabela_registros[TIPO],DADOS!$AB$4,tabela_registros[CATEGORIA],investirrendavariávelconsolidadoago[[#This Row],[ATUAL]])</f>
        <v>0</v>
      </c>
      <c r="Q133" s="119" t="n">
        <f aca="false">SUMIFS(tabela_registros[VALOR],tabela_registros[MÊS],$AE$1,tabela_registros[DIA],investirrendavariávelconsolidadoago[[#Headers],[13]],tabela_registros[REGISTRO],DADOS!$N$5,tabela_registros[TIPO],DADOS!$AB$4,tabela_registros[CATEGORIA],investirrendavariávelconsolidadoago[[#This Row],[ATUAL]])</f>
        <v>0</v>
      </c>
      <c r="R133" s="119" t="n">
        <f aca="false">SUMIFS(tabela_registros[VALOR],tabela_registros[MÊS],$AE$1,tabela_registros[DIA],investirrendavariávelconsolidadoago[[#Headers],[14]],tabela_registros[REGISTRO],DADOS!$N$5,tabela_registros[TIPO],DADOS!$AB$4,tabela_registros[CATEGORIA],investirrendavariávelconsolidadoago[[#This Row],[ATUAL]])</f>
        <v>0</v>
      </c>
      <c r="S133" s="119" t="n">
        <f aca="false">SUMIFS(tabela_registros[VALOR],tabela_registros[MÊS],$AE$1,tabela_registros[DIA],investirrendavariávelconsolidadoago[[#Headers],[15]],tabela_registros[REGISTRO],DADOS!$N$5,tabela_registros[TIPO],DADOS!$AB$4,tabela_registros[CATEGORIA],investirrendavariávelconsolidadoago[[#This Row],[ATUAL]])</f>
        <v>0</v>
      </c>
      <c r="T133" s="119" t="n">
        <f aca="false">SUMIFS(tabela_registros[VALOR],tabela_registros[MÊS],$AE$1,tabela_registros[DIA],investirrendavariávelconsolidadoago[[#Headers],[16]],tabela_registros[REGISTRO],DADOS!$N$5,tabela_registros[TIPO],DADOS!$AB$4,tabela_registros[CATEGORIA],investirrendavariávelconsolidadoago[[#This Row],[ATUAL]])</f>
        <v>0</v>
      </c>
      <c r="U133" s="119" t="n">
        <f aca="false">SUMIFS(tabela_registros[VALOR],tabela_registros[MÊS],$AE$1,tabela_registros[DIA],investirrendavariávelconsolidadoago[[#Headers],[17]],tabela_registros[REGISTRO],DADOS!$N$5,tabela_registros[TIPO],DADOS!$AB$4,tabela_registros[CATEGORIA],investirrendavariávelconsolidadoago[[#This Row],[ATUAL]])</f>
        <v>0</v>
      </c>
      <c r="V133" s="119" t="n">
        <f aca="false">SUMIFS(tabela_registros[VALOR],tabela_registros[MÊS],$AE$1,tabela_registros[DIA],investirrendavariávelconsolidadoago[[#Headers],[18]],tabela_registros[REGISTRO],DADOS!$N$5,tabela_registros[TIPO],DADOS!$AB$4,tabela_registros[CATEGORIA],investirrendavariávelconsolidadoago[[#This Row],[ATUAL]])</f>
        <v>0</v>
      </c>
      <c r="W133" s="119" t="n">
        <f aca="false">SUMIFS(tabela_registros[VALOR],tabela_registros[MÊS],$AE$1,tabela_registros[DIA],investirrendavariávelconsolidadoago[[#Headers],[19]],tabela_registros[REGISTRO],DADOS!$N$5,tabela_registros[TIPO],DADOS!$AB$4,tabela_registros[CATEGORIA],investirrendavariávelconsolidadoago[[#This Row],[ATUAL]])</f>
        <v>0</v>
      </c>
      <c r="X133" s="119" t="n">
        <f aca="false">SUMIFS(tabela_registros[VALOR],tabela_registros[MÊS],$AE$1,tabela_registros[DIA],investirrendavariávelconsolidadoago[[#Headers],[20]],tabela_registros[REGISTRO],DADOS!$N$5,tabela_registros[TIPO],DADOS!$AB$4,tabela_registros[CATEGORIA],investirrendavariávelconsolidadoago[[#This Row],[ATUAL]])</f>
        <v>0</v>
      </c>
      <c r="Y133" s="119" t="n">
        <f aca="false">SUMIFS(tabela_registros[VALOR],tabela_registros[MÊS],$AE$1,tabela_registros[DIA],investirrendavariávelconsolidadoago[[#Headers],[21]],tabela_registros[REGISTRO],DADOS!$N$5,tabela_registros[TIPO],DADOS!$AB$4,tabela_registros[CATEGORIA],investirrendavariávelconsolidadoago[[#This Row],[ATUAL]])</f>
        <v>0</v>
      </c>
      <c r="Z133" s="119" t="n">
        <f aca="false">SUMIFS(tabela_registros[VALOR],tabela_registros[MÊS],$AE$1,tabela_registros[DIA],investirrendavariávelconsolidadoago[[#Headers],[22]],tabela_registros[REGISTRO],DADOS!$N$5,tabela_registros[TIPO],DADOS!$AB$4,tabela_registros[CATEGORIA],investirrendavariávelconsolidadoago[[#This Row],[ATUAL]])</f>
        <v>0</v>
      </c>
      <c r="AA133" s="119" t="n">
        <f aca="false">SUMIFS(tabela_registros[VALOR],tabela_registros[MÊS],$AE$1,tabela_registros[DIA],investirrendavariávelconsolidadoago[[#Headers],[23]],tabela_registros[REGISTRO],DADOS!$N$5,tabela_registros[TIPO],DADOS!$AB$4,tabela_registros[CATEGORIA],investirrendavariávelconsolidadoago[[#This Row],[ATUAL]])</f>
        <v>0</v>
      </c>
      <c r="AB133" s="119" t="n">
        <f aca="false">SUMIFS(tabela_registros[VALOR],tabela_registros[MÊS],$AE$1,tabela_registros[DIA],investirrendavariávelconsolidadoago[[#Headers],[24]],tabela_registros[REGISTRO],DADOS!$N$5,tabela_registros[TIPO],DADOS!$AB$4,tabela_registros[CATEGORIA],investirrendavariávelconsolidadoago[[#This Row],[ATUAL]])</f>
        <v>0</v>
      </c>
      <c r="AC133" s="119" t="n">
        <f aca="false">SUMIFS(tabela_registros[VALOR],tabela_registros[MÊS],$AE$1,tabela_registros[DIA],investirrendavariávelconsolidadoago[[#Headers],[25]],tabela_registros[REGISTRO],DADOS!$N$5,tabela_registros[TIPO],DADOS!$AB$4,tabela_registros[CATEGORIA],investirrendavariávelconsolidadoago[[#This Row],[ATUAL]])</f>
        <v>0</v>
      </c>
      <c r="AD133" s="119" t="n">
        <f aca="false">SUMIFS(tabela_registros[VALOR],tabela_registros[MÊS],$AE$1,tabela_registros[DIA],investirrendavariávelconsolidadoago[[#Headers],[26]],tabela_registros[REGISTRO],DADOS!$N$5,tabela_registros[TIPO],DADOS!$AB$4,tabela_registros[CATEGORIA],investirrendavariávelconsolidadoago[[#This Row],[ATUAL]])</f>
        <v>0</v>
      </c>
      <c r="AE133" s="119" t="n">
        <f aca="false">SUMIFS(tabela_registros[VALOR],tabela_registros[MÊS],$AE$1,tabela_registros[DIA],investirrendavariávelconsolidadoago[[#Headers],[27]],tabela_registros[REGISTRO],DADOS!$N$5,tabela_registros[TIPO],DADOS!$AB$4,tabela_registros[CATEGORIA],investirrendavariávelconsolidadoago[[#This Row],[ATUAL]])</f>
        <v>0</v>
      </c>
      <c r="AF133" s="119" t="n">
        <f aca="false">SUMIFS(tabela_registros[VALOR],tabela_registros[MÊS],$AE$1,tabela_registros[DIA],investirrendavariávelconsolidadoago[[#Headers],[28]],tabela_registros[REGISTRO],DADOS!$N$5,tabela_registros[TIPO],DADOS!$AB$4,tabela_registros[CATEGORIA],investirrendavariávelconsolidadoago[[#This Row],[ATUAL]])</f>
        <v>0</v>
      </c>
      <c r="AG133" s="119" t="n">
        <f aca="false">SUMIFS(tabela_registros[VALOR],tabela_registros[MÊS],$AE$1,tabela_registros[DIA],investirrendavariávelconsolidadoago[[#Headers],[29]],tabela_registros[REGISTRO],DADOS!$N$5,tabela_registros[TIPO],DADOS!$AB$4,tabela_registros[CATEGORIA],investirrendavariávelconsolidadoago[[#This Row],[ATUAL]])</f>
        <v>0</v>
      </c>
      <c r="AH133" s="119" t="n">
        <f aca="false">SUMIFS(tabela_registros[VALOR],tabela_registros[MÊS],$AE$1,tabela_registros[DIA],investirrendavariávelconsolidadoago[[#Headers],[30]],tabela_registros[REGISTRO],DADOS!$N$5,tabela_registros[TIPO],DADOS!$AB$4,tabela_registros[CATEGORIA],investirrendavariávelconsolidadoago[[#This Row],[ATUAL]])</f>
        <v>0</v>
      </c>
      <c r="AI133" s="217" t="n">
        <f aca="false">SUMIFS(tabela_registros[VALOR],tabela_registros[MÊS],$AE$1,tabela_registros[DIA],investirrendavariávelconsolidadoago[[#Headers],[31]],tabela_registros[REGISTRO],DADOS!$N$5,tabela_registros[TIPO],DADOS!$AB$4,tabela_registros[CATEGORIA],investirrendavariávelconsolidadoago[[#This Row],[ATUAL]])</f>
        <v>0</v>
      </c>
      <c r="AJ133" s="149" t="n">
        <f aca="false">SUM(investirrendavariávelconsolidadoago[[#This Row],[1]:[31]])</f>
        <v>0</v>
      </c>
      <c r="AK133" s="165"/>
    </row>
    <row r="134" customFormat="false" ht="19.5" hidden="false" customHeight="true" outlineLevel="0" collapsed="false">
      <c r="B134" s="143"/>
      <c r="C134" s="144" t="str">
        <f aca="false">DADOS!$AF$5</f>
        <v>📝 CONTRATO DE FUTUROS</v>
      </c>
      <c r="D134" s="145" t="str">
        <f aca="false">IF(investirrendavariávelconsolidadoago[[#This Row],[TOTAL (R$)]]=0,"",IF(OR(investirrendavariávelconsolidadoago[[#This Row],[TOTAL (R$)]]=LARGE($AJ$132:$AJ$141,1),investirrendavariávelconsolidadoago[[#This Row],[TOTAL (R$)]]=LARGE($AJ$132:$AJ$141,2)),DADOS!$I$10,""))</f>
        <v/>
      </c>
      <c r="E134" s="148" t="n">
        <f aca="false">SUMIFS(tabela_registros[VALOR],tabela_registros[MÊS],$AE$1,tabela_registros[DIA],investirrendavariávelconsolidadoago[[#Headers],[1]],tabela_registros[REGISTRO],DADOS!$N$5,tabela_registros[TIPO],DADOS!$AB$4,tabela_registros[CATEGORIA],investirrendavariávelconsolidadoago[[#This Row],[ATUAL]])</f>
        <v>0</v>
      </c>
      <c r="F134" s="119" t="n">
        <f aca="false">SUMIFS(tabela_registros[VALOR],tabela_registros[MÊS],$AE$1,tabela_registros[DIA],investirrendavariávelconsolidadoago[[#Headers],[2]],tabela_registros[REGISTRO],DADOS!$N$5,tabela_registros[TIPO],DADOS!$AB$4,tabela_registros[CATEGORIA],investirrendavariávelconsolidadoago[[#This Row],[ATUAL]])</f>
        <v>0</v>
      </c>
      <c r="G134" s="119" t="n">
        <f aca="false">SUMIFS(tabela_registros[VALOR],tabela_registros[MÊS],$AE$1,tabela_registros[DIA],investirrendavariávelconsolidadoago[[#Headers],[3]],tabela_registros[REGISTRO],DADOS!$N$5,tabela_registros[TIPO],DADOS!$AB$4,tabela_registros[CATEGORIA],investirrendavariávelconsolidadoago[[#This Row],[ATUAL]])</f>
        <v>0</v>
      </c>
      <c r="H134" s="119" t="n">
        <f aca="false">SUMIFS(tabela_registros[VALOR],tabela_registros[MÊS],$AE$1,tabela_registros[DIA],investirrendavariávelconsolidadoago[[#Headers],[4]],tabela_registros[REGISTRO],DADOS!$N$5,tabela_registros[TIPO],DADOS!$AB$4,tabela_registros[CATEGORIA],investirrendavariávelconsolidadoago[[#This Row],[ATUAL]])</f>
        <v>0</v>
      </c>
      <c r="I134" s="119" t="n">
        <f aca="false">SUMIFS(tabela_registros[VALOR],tabela_registros[MÊS],$AE$1,tabela_registros[DIA],investirrendavariávelconsolidadoago[[#Headers],[5]],tabela_registros[REGISTRO],DADOS!$N$5,tabela_registros[TIPO],DADOS!$AB$4,tabela_registros[CATEGORIA],investirrendavariávelconsolidadoago[[#This Row],[ATUAL]])</f>
        <v>0</v>
      </c>
      <c r="J134" s="119" t="n">
        <f aca="false">SUMIFS(tabela_registros[VALOR],tabela_registros[MÊS],$AE$1,tabela_registros[DIA],investirrendavariávelconsolidadoago[[#Headers],[6]],tabela_registros[REGISTRO],DADOS!$N$5,tabela_registros[TIPO],DADOS!$AB$4,tabela_registros[CATEGORIA],investirrendavariávelconsolidadoago[[#This Row],[ATUAL]])</f>
        <v>0</v>
      </c>
      <c r="K134" s="119" t="n">
        <f aca="false">SUMIFS(tabela_registros[VALOR],tabela_registros[MÊS],$AE$1,tabela_registros[DIA],investirrendavariávelconsolidadoago[[#Headers],[7]],tabela_registros[REGISTRO],DADOS!$N$5,tabela_registros[TIPO],DADOS!$AB$4,tabela_registros[CATEGORIA],investirrendavariávelconsolidadoago[[#This Row],[ATUAL]])</f>
        <v>0</v>
      </c>
      <c r="L134" s="119" t="n">
        <f aca="false">SUMIFS(tabela_registros[VALOR],tabela_registros[MÊS],$AE$1,tabela_registros[DIA],investirrendavariávelconsolidadoago[[#Headers],[8]],tabela_registros[REGISTRO],DADOS!$N$5,tabela_registros[TIPO],DADOS!$AB$4,tabela_registros[CATEGORIA],investirrendavariávelconsolidadoago[[#This Row],[ATUAL]])</f>
        <v>0</v>
      </c>
      <c r="M134" s="119" t="n">
        <f aca="false">SUMIFS(tabela_registros[VALOR],tabela_registros[MÊS],$AE$1,tabela_registros[DIA],investirrendavariávelconsolidadoago[[#Headers],[9]],tabela_registros[REGISTRO],DADOS!$N$5,tabela_registros[TIPO],DADOS!$AB$4,tabela_registros[CATEGORIA],investirrendavariávelconsolidadoago[[#This Row],[ATUAL]])</f>
        <v>0</v>
      </c>
      <c r="N134" s="119" t="n">
        <f aca="false">SUMIFS(tabela_registros[VALOR],tabela_registros[MÊS],$AE$1,tabela_registros[DIA],investirrendavariávelconsolidadoago[[#Headers],[10]],tabela_registros[REGISTRO],DADOS!$N$5,tabela_registros[TIPO],DADOS!$AB$4,tabela_registros[CATEGORIA],investirrendavariávelconsolidadoago[[#This Row],[ATUAL]])</f>
        <v>0</v>
      </c>
      <c r="O134" s="119" t="n">
        <f aca="false">SUMIFS(tabela_registros[VALOR],tabela_registros[MÊS],$AE$1,tabela_registros[DIA],investirrendavariávelconsolidadoago[[#Headers],[11]],tabela_registros[REGISTRO],DADOS!$N$5,tabela_registros[TIPO],DADOS!$AB$4,tabela_registros[CATEGORIA],investirrendavariávelconsolidadoago[[#This Row],[ATUAL]])</f>
        <v>0</v>
      </c>
      <c r="P134" s="119" t="n">
        <f aca="false">SUMIFS(tabela_registros[VALOR],tabela_registros[MÊS],$AE$1,tabela_registros[DIA],investirrendavariávelconsolidadoago[[#Headers],[12]],tabela_registros[REGISTRO],DADOS!$N$5,tabela_registros[TIPO],DADOS!$AB$4,tabela_registros[CATEGORIA],investirrendavariávelconsolidadoago[[#This Row],[ATUAL]])</f>
        <v>0</v>
      </c>
      <c r="Q134" s="119" t="n">
        <f aca="false">SUMIFS(tabela_registros[VALOR],tabela_registros[MÊS],$AE$1,tabela_registros[DIA],investirrendavariávelconsolidadoago[[#Headers],[13]],tabela_registros[REGISTRO],DADOS!$N$5,tabela_registros[TIPO],DADOS!$AB$4,tabela_registros[CATEGORIA],investirrendavariávelconsolidadoago[[#This Row],[ATUAL]])</f>
        <v>0</v>
      </c>
      <c r="R134" s="119" t="n">
        <f aca="false">SUMIFS(tabela_registros[VALOR],tabela_registros[MÊS],$AE$1,tabela_registros[DIA],investirrendavariávelconsolidadoago[[#Headers],[14]],tabela_registros[REGISTRO],DADOS!$N$5,tabela_registros[TIPO],DADOS!$AB$4,tabela_registros[CATEGORIA],investirrendavariávelconsolidadoago[[#This Row],[ATUAL]])</f>
        <v>0</v>
      </c>
      <c r="S134" s="119" t="n">
        <f aca="false">SUMIFS(tabela_registros[VALOR],tabela_registros[MÊS],$AE$1,tabela_registros[DIA],investirrendavariávelconsolidadoago[[#Headers],[15]],tabela_registros[REGISTRO],DADOS!$N$5,tabela_registros[TIPO],DADOS!$AB$4,tabela_registros[CATEGORIA],investirrendavariávelconsolidadoago[[#This Row],[ATUAL]])</f>
        <v>0</v>
      </c>
      <c r="T134" s="119" t="n">
        <f aca="false">SUMIFS(tabela_registros[VALOR],tabela_registros[MÊS],$AE$1,tabela_registros[DIA],investirrendavariávelconsolidadoago[[#Headers],[16]],tabela_registros[REGISTRO],DADOS!$N$5,tabela_registros[TIPO],DADOS!$AB$4,tabela_registros[CATEGORIA],investirrendavariávelconsolidadoago[[#This Row],[ATUAL]])</f>
        <v>0</v>
      </c>
      <c r="U134" s="119" t="n">
        <f aca="false">SUMIFS(tabela_registros[VALOR],tabela_registros[MÊS],$AE$1,tabela_registros[DIA],investirrendavariávelconsolidadoago[[#Headers],[17]],tabela_registros[REGISTRO],DADOS!$N$5,tabela_registros[TIPO],DADOS!$AB$4,tabela_registros[CATEGORIA],investirrendavariávelconsolidadoago[[#This Row],[ATUAL]])</f>
        <v>0</v>
      </c>
      <c r="V134" s="119" t="n">
        <f aca="false">SUMIFS(tabela_registros[VALOR],tabela_registros[MÊS],$AE$1,tabela_registros[DIA],investirrendavariávelconsolidadoago[[#Headers],[18]],tabela_registros[REGISTRO],DADOS!$N$5,tabela_registros[TIPO],DADOS!$AB$4,tabela_registros[CATEGORIA],investirrendavariávelconsolidadoago[[#This Row],[ATUAL]])</f>
        <v>0</v>
      </c>
      <c r="W134" s="119" t="n">
        <f aca="false">SUMIFS(tabela_registros[VALOR],tabela_registros[MÊS],$AE$1,tabela_registros[DIA],investirrendavariávelconsolidadoago[[#Headers],[19]],tabela_registros[REGISTRO],DADOS!$N$5,tabela_registros[TIPO],DADOS!$AB$4,tabela_registros[CATEGORIA],investirrendavariávelconsolidadoago[[#This Row],[ATUAL]])</f>
        <v>0</v>
      </c>
      <c r="X134" s="119" t="n">
        <f aca="false">SUMIFS(tabela_registros[VALOR],tabela_registros[MÊS],$AE$1,tabela_registros[DIA],investirrendavariávelconsolidadoago[[#Headers],[20]],tabela_registros[REGISTRO],DADOS!$N$5,tabela_registros[TIPO],DADOS!$AB$4,tabela_registros[CATEGORIA],investirrendavariávelconsolidadoago[[#This Row],[ATUAL]])</f>
        <v>0</v>
      </c>
      <c r="Y134" s="119" t="n">
        <f aca="false">SUMIFS(tabela_registros[VALOR],tabela_registros[MÊS],$AE$1,tabela_registros[DIA],investirrendavariávelconsolidadoago[[#Headers],[21]],tabela_registros[REGISTRO],DADOS!$N$5,tabela_registros[TIPO],DADOS!$AB$4,tabela_registros[CATEGORIA],investirrendavariávelconsolidadoago[[#This Row],[ATUAL]])</f>
        <v>0</v>
      </c>
      <c r="Z134" s="119" t="n">
        <f aca="false">SUMIFS(tabela_registros[VALOR],tabela_registros[MÊS],$AE$1,tabela_registros[DIA],investirrendavariávelconsolidadoago[[#Headers],[22]],tabela_registros[REGISTRO],DADOS!$N$5,tabela_registros[TIPO],DADOS!$AB$4,tabela_registros[CATEGORIA],investirrendavariávelconsolidadoago[[#This Row],[ATUAL]])</f>
        <v>0</v>
      </c>
      <c r="AA134" s="119" t="n">
        <f aca="false">SUMIFS(tabela_registros[VALOR],tabela_registros[MÊS],$AE$1,tabela_registros[DIA],investirrendavariávelconsolidadoago[[#Headers],[23]],tabela_registros[REGISTRO],DADOS!$N$5,tabela_registros[TIPO],DADOS!$AB$4,tabela_registros[CATEGORIA],investirrendavariávelconsolidadoago[[#This Row],[ATUAL]])</f>
        <v>0</v>
      </c>
      <c r="AB134" s="119" t="n">
        <f aca="false">SUMIFS(tabela_registros[VALOR],tabela_registros[MÊS],$AE$1,tabela_registros[DIA],investirrendavariávelconsolidadoago[[#Headers],[24]],tabela_registros[REGISTRO],DADOS!$N$5,tabela_registros[TIPO],DADOS!$AB$4,tabela_registros[CATEGORIA],investirrendavariávelconsolidadoago[[#This Row],[ATUAL]])</f>
        <v>0</v>
      </c>
      <c r="AC134" s="119" t="n">
        <f aca="false">SUMIFS(tabela_registros[VALOR],tabela_registros[MÊS],$AE$1,tabela_registros[DIA],investirrendavariávelconsolidadoago[[#Headers],[25]],tabela_registros[REGISTRO],DADOS!$N$5,tabela_registros[TIPO],DADOS!$AB$4,tabela_registros[CATEGORIA],investirrendavariávelconsolidadoago[[#This Row],[ATUAL]])</f>
        <v>0</v>
      </c>
      <c r="AD134" s="119" t="n">
        <f aca="false">SUMIFS(tabela_registros[VALOR],tabela_registros[MÊS],$AE$1,tabela_registros[DIA],investirrendavariávelconsolidadoago[[#Headers],[26]],tabela_registros[REGISTRO],DADOS!$N$5,tabela_registros[TIPO],DADOS!$AB$4,tabela_registros[CATEGORIA],investirrendavariávelconsolidadoago[[#This Row],[ATUAL]])</f>
        <v>0</v>
      </c>
      <c r="AE134" s="119" t="n">
        <f aca="false">SUMIFS(tabela_registros[VALOR],tabela_registros[MÊS],$AE$1,tabela_registros[DIA],investirrendavariávelconsolidadoago[[#Headers],[27]],tabela_registros[REGISTRO],DADOS!$N$5,tabela_registros[TIPO],DADOS!$AB$4,tabela_registros[CATEGORIA],investirrendavariávelconsolidadoago[[#This Row],[ATUAL]])</f>
        <v>0</v>
      </c>
      <c r="AF134" s="119" t="n">
        <f aca="false">SUMIFS(tabela_registros[VALOR],tabela_registros[MÊS],$AE$1,tabela_registros[DIA],investirrendavariávelconsolidadoago[[#Headers],[28]],tabela_registros[REGISTRO],DADOS!$N$5,tabela_registros[TIPO],DADOS!$AB$4,tabela_registros[CATEGORIA],investirrendavariávelconsolidadoago[[#This Row],[ATUAL]])</f>
        <v>0</v>
      </c>
      <c r="AG134" s="119" t="n">
        <f aca="false">SUMIFS(tabela_registros[VALOR],tabela_registros[MÊS],$AE$1,tabela_registros[DIA],investirrendavariávelconsolidadoago[[#Headers],[29]],tabela_registros[REGISTRO],DADOS!$N$5,tabela_registros[TIPO],DADOS!$AB$4,tabela_registros[CATEGORIA],investirrendavariávelconsolidadoago[[#This Row],[ATUAL]])</f>
        <v>0</v>
      </c>
      <c r="AH134" s="119" t="n">
        <f aca="false">SUMIFS(tabela_registros[VALOR],tabela_registros[MÊS],$AE$1,tabela_registros[DIA],investirrendavariávelconsolidadoago[[#Headers],[30]],tabela_registros[REGISTRO],DADOS!$N$5,tabela_registros[TIPO],DADOS!$AB$4,tabela_registros[CATEGORIA],investirrendavariávelconsolidadoago[[#This Row],[ATUAL]])</f>
        <v>0</v>
      </c>
      <c r="AI134" s="217" t="n">
        <f aca="false">SUMIFS(tabela_registros[VALOR],tabela_registros[MÊS],$AE$1,tabela_registros[DIA],investirrendavariávelconsolidadoago[[#Headers],[31]],tabela_registros[REGISTRO],DADOS!$N$5,tabela_registros[TIPO],DADOS!$AB$4,tabela_registros[CATEGORIA],investirrendavariávelconsolidadoago[[#This Row],[ATUAL]])</f>
        <v>0</v>
      </c>
      <c r="AJ134" s="149" t="n">
        <f aca="false">SUM(investirrendavariávelconsolidadoago[[#This Row],[1]:[31]])</f>
        <v>0</v>
      </c>
      <c r="AK134" s="165"/>
    </row>
    <row r="135" customFormat="false" ht="19.5" hidden="false" customHeight="true" outlineLevel="0" collapsed="false">
      <c r="B135" s="143"/>
      <c r="C135" s="144" t="str">
        <f aca="false">DADOS!$AF$6</f>
        <v>📝 CONTRATO DE OPÇÕES</v>
      </c>
      <c r="D135" s="145" t="str">
        <f aca="false">IF(investirrendavariávelconsolidadoago[[#This Row],[TOTAL (R$)]]=0,"",IF(OR(investirrendavariávelconsolidadoago[[#This Row],[TOTAL (R$)]]=LARGE($AJ$132:$AJ$141,1),investirrendavariávelconsolidadoago[[#This Row],[TOTAL (R$)]]=LARGE($AJ$132:$AJ$141,2)),DADOS!$I$10,""))</f>
        <v/>
      </c>
      <c r="E135" s="148" t="n">
        <f aca="false">SUMIFS(tabela_registros[VALOR],tabela_registros[MÊS],$AE$1,tabela_registros[DIA],investirrendavariávelconsolidadoago[[#Headers],[1]],tabela_registros[REGISTRO],DADOS!$N$5,tabela_registros[TIPO],DADOS!$AB$4,tabela_registros[CATEGORIA],investirrendavariávelconsolidadoago[[#This Row],[ATUAL]])</f>
        <v>0</v>
      </c>
      <c r="F135" s="119" t="n">
        <f aca="false">SUMIFS(tabela_registros[VALOR],tabela_registros[MÊS],$AE$1,tabela_registros[DIA],investirrendavariávelconsolidadoago[[#Headers],[2]],tabela_registros[REGISTRO],DADOS!$N$5,tabela_registros[TIPO],DADOS!$AB$4,tabela_registros[CATEGORIA],investirrendavariávelconsolidadoago[[#This Row],[ATUAL]])</f>
        <v>0</v>
      </c>
      <c r="G135" s="119" t="n">
        <f aca="false">SUMIFS(tabela_registros[VALOR],tabela_registros[MÊS],$AE$1,tabela_registros[DIA],investirrendavariávelconsolidadoago[[#Headers],[3]],tabela_registros[REGISTRO],DADOS!$N$5,tabela_registros[TIPO],DADOS!$AB$4,tabela_registros[CATEGORIA],investirrendavariávelconsolidadoago[[#This Row],[ATUAL]])</f>
        <v>0</v>
      </c>
      <c r="H135" s="119" t="n">
        <f aca="false">SUMIFS(tabela_registros[VALOR],tabela_registros[MÊS],$AE$1,tabela_registros[DIA],investirrendavariávelconsolidadoago[[#Headers],[4]],tabela_registros[REGISTRO],DADOS!$N$5,tabela_registros[TIPO],DADOS!$AB$4,tabela_registros[CATEGORIA],investirrendavariávelconsolidadoago[[#This Row],[ATUAL]])</f>
        <v>0</v>
      </c>
      <c r="I135" s="119" t="n">
        <f aca="false">SUMIFS(tabela_registros[VALOR],tabela_registros[MÊS],$AE$1,tabela_registros[DIA],investirrendavariávelconsolidadoago[[#Headers],[5]],tabela_registros[REGISTRO],DADOS!$N$5,tabela_registros[TIPO],DADOS!$AB$4,tabela_registros[CATEGORIA],investirrendavariávelconsolidadoago[[#This Row],[ATUAL]])</f>
        <v>0</v>
      </c>
      <c r="J135" s="119" t="n">
        <f aca="false">SUMIFS(tabela_registros[VALOR],tabela_registros[MÊS],$AE$1,tabela_registros[DIA],investirrendavariávelconsolidadoago[[#Headers],[6]],tabela_registros[REGISTRO],DADOS!$N$5,tabela_registros[TIPO],DADOS!$AB$4,tabela_registros[CATEGORIA],investirrendavariávelconsolidadoago[[#This Row],[ATUAL]])</f>
        <v>0</v>
      </c>
      <c r="K135" s="119" t="n">
        <f aca="false">SUMIFS(tabela_registros[VALOR],tabela_registros[MÊS],$AE$1,tabela_registros[DIA],investirrendavariávelconsolidadoago[[#Headers],[7]],tabela_registros[REGISTRO],DADOS!$N$5,tabela_registros[TIPO],DADOS!$AB$4,tabela_registros[CATEGORIA],investirrendavariávelconsolidadoago[[#This Row],[ATUAL]])</f>
        <v>0</v>
      </c>
      <c r="L135" s="119" t="n">
        <f aca="false">SUMIFS(tabela_registros[VALOR],tabela_registros[MÊS],$AE$1,tabela_registros[DIA],investirrendavariávelconsolidadoago[[#Headers],[8]],tabela_registros[REGISTRO],DADOS!$N$5,tabela_registros[TIPO],DADOS!$AB$4,tabela_registros[CATEGORIA],investirrendavariávelconsolidadoago[[#This Row],[ATUAL]])</f>
        <v>0</v>
      </c>
      <c r="M135" s="119" t="n">
        <f aca="false">SUMIFS(tabela_registros[VALOR],tabela_registros[MÊS],$AE$1,tabela_registros[DIA],investirrendavariávelconsolidadoago[[#Headers],[9]],tabela_registros[REGISTRO],DADOS!$N$5,tabela_registros[TIPO],DADOS!$AB$4,tabela_registros[CATEGORIA],investirrendavariávelconsolidadoago[[#This Row],[ATUAL]])</f>
        <v>0</v>
      </c>
      <c r="N135" s="119" t="n">
        <f aca="false">SUMIFS(tabela_registros[VALOR],tabela_registros[MÊS],$AE$1,tabela_registros[DIA],investirrendavariávelconsolidadoago[[#Headers],[10]],tabela_registros[REGISTRO],DADOS!$N$5,tabela_registros[TIPO],DADOS!$AB$4,tabela_registros[CATEGORIA],investirrendavariávelconsolidadoago[[#This Row],[ATUAL]])</f>
        <v>0</v>
      </c>
      <c r="O135" s="119" t="n">
        <f aca="false">SUMIFS(tabela_registros[VALOR],tabela_registros[MÊS],$AE$1,tabela_registros[DIA],investirrendavariávelconsolidadoago[[#Headers],[11]],tabela_registros[REGISTRO],DADOS!$N$5,tabela_registros[TIPO],DADOS!$AB$4,tabela_registros[CATEGORIA],investirrendavariávelconsolidadoago[[#This Row],[ATUAL]])</f>
        <v>0</v>
      </c>
      <c r="P135" s="119" t="n">
        <f aca="false">SUMIFS(tabela_registros[VALOR],tabela_registros[MÊS],$AE$1,tabela_registros[DIA],investirrendavariávelconsolidadoago[[#Headers],[12]],tabela_registros[REGISTRO],DADOS!$N$5,tabela_registros[TIPO],DADOS!$AB$4,tabela_registros[CATEGORIA],investirrendavariávelconsolidadoago[[#This Row],[ATUAL]])</f>
        <v>0</v>
      </c>
      <c r="Q135" s="119" t="n">
        <f aca="false">SUMIFS(tabela_registros[VALOR],tabela_registros[MÊS],$AE$1,tabela_registros[DIA],investirrendavariávelconsolidadoago[[#Headers],[13]],tabela_registros[REGISTRO],DADOS!$N$5,tabela_registros[TIPO],DADOS!$AB$4,tabela_registros[CATEGORIA],investirrendavariávelconsolidadoago[[#This Row],[ATUAL]])</f>
        <v>0</v>
      </c>
      <c r="R135" s="119" t="n">
        <f aca="false">SUMIFS(tabela_registros[VALOR],tabela_registros[MÊS],$AE$1,tabela_registros[DIA],investirrendavariávelconsolidadoago[[#Headers],[14]],tabela_registros[REGISTRO],DADOS!$N$5,tabela_registros[TIPO],DADOS!$AB$4,tabela_registros[CATEGORIA],investirrendavariávelconsolidadoago[[#This Row],[ATUAL]])</f>
        <v>0</v>
      </c>
      <c r="S135" s="119" t="n">
        <f aca="false">SUMIFS(tabela_registros[VALOR],tabela_registros[MÊS],$AE$1,tabela_registros[DIA],investirrendavariávelconsolidadoago[[#Headers],[15]],tabela_registros[REGISTRO],DADOS!$N$5,tabela_registros[TIPO],DADOS!$AB$4,tabela_registros[CATEGORIA],investirrendavariávelconsolidadoago[[#This Row],[ATUAL]])</f>
        <v>0</v>
      </c>
      <c r="T135" s="119" t="n">
        <f aca="false">SUMIFS(tabela_registros[VALOR],tabela_registros[MÊS],$AE$1,tabela_registros[DIA],investirrendavariávelconsolidadoago[[#Headers],[16]],tabela_registros[REGISTRO],DADOS!$N$5,tabela_registros[TIPO],DADOS!$AB$4,tabela_registros[CATEGORIA],investirrendavariávelconsolidadoago[[#This Row],[ATUAL]])</f>
        <v>0</v>
      </c>
      <c r="U135" s="119" t="n">
        <f aca="false">SUMIFS(tabela_registros[VALOR],tabela_registros[MÊS],$AE$1,tabela_registros[DIA],investirrendavariávelconsolidadoago[[#Headers],[17]],tabela_registros[REGISTRO],DADOS!$N$5,tabela_registros[TIPO],DADOS!$AB$4,tabela_registros[CATEGORIA],investirrendavariávelconsolidadoago[[#This Row],[ATUAL]])</f>
        <v>0</v>
      </c>
      <c r="V135" s="119" t="n">
        <f aca="false">SUMIFS(tabela_registros[VALOR],tabela_registros[MÊS],$AE$1,tabela_registros[DIA],investirrendavariávelconsolidadoago[[#Headers],[18]],tabela_registros[REGISTRO],DADOS!$N$5,tabela_registros[TIPO],DADOS!$AB$4,tabela_registros[CATEGORIA],investirrendavariávelconsolidadoago[[#This Row],[ATUAL]])</f>
        <v>0</v>
      </c>
      <c r="W135" s="119" t="n">
        <f aca="false">SUMIFS(tabela_registros[VALOR],tabela_registros[MÊS],$AE$1,tabela_registros[DIA],investirrendavariávelconsolidadoago[[#Headers],[19]],tabela_registros[REGISTRO],DADOS!$N$5,tabela_registros[TIPO],DADOS!$AB$4,tabela_registros[CATEGORIA],investirrendavariávelconsolidadoago[[#This Row],[ATUAL]])</f>
        <v>0</v>
      </c>
      <c r="X135" s="119" t="n">
        <f aca="false">SUMIFS(tabela_registros[VALOR],tabela_registros[MÊS],$AE$1,tabela_registros[DIA],investirrendavariávelconsolidadoago[[#Headers],[20]],tabela_registros[REGISTRO],DADOS!$N$5,tabela_registros[TIPO],DADOS!$AB$4,tabela_registros[CATEGORIA],investirrendavariávelconsolidadoago[[#This Row],[ATUAL]])</f>
        <v>0</v>
      </c>
      <c r="Y135" s="119" t="n">
        <f aca="false">SUMIFS(tabela_registros[VALOR],tabela_registros[MÊS],$AE$1,tabela_registros[DIA],investirrendavariávelconsolidadoago[[#Headers],[21]],tabela_registros[REGISTRO],DADOS!$N$5,tabela_registros[TIPO],DADOS!$AB$4,tabela_registros[CATEGORIA],investirrendavariávelconsolidadoago[[#This Row],[ATUAL]])</f>
        <v>0</v>
      </c>
      <c r="Z135" s="119" t="n">
        <f aca="false">SUMIFS(tabela_registros[VALOR],tabela_registros[MÊS],$AE$1,tabela_registros[DIA],investirrendavariávelconsolidadoago[[#Headers],[22]],tabela_registros[REGISTRO],DADOS!$N$5,tabela_registros[TIPO],DADOS!$AB$4,tabela_registros[CATEGORIA],investirrendavariávelconsolidadoago[[#This Row],[ATUAL]])</f>
        <v>0</v>
      </c>
      <c r="AA135" s="119" t="n">
        <f aca="false">SUMIFS(tabela_registros[VALOR],tabela_registros[MÊS],$AE$1,tabela_registros[DIA],investirrendavariávelconsolidadoago[[#Headers],[23]],tabela_registros[REGISTRO],DADOS!$N$5,tabela_registros[TIPO],DADOS!$AB$4,tabela_registros[CATEGORIA],investirrendavariávelconsolidadoago[[#This Row],[ATUAL]])</f>
        <v>0</v>
      </c>
      <c r="AB135" s="119" t="n">
        <f aca="false">SUMIFS(tabela_registros[VALOR],tabela_registros[MÊS],$AE$1,tabela_registros[DIA],investirrendavariávelconsolidadoago[[#Headers],[24]],tabela_registros[REGISTRO],DADOS!$N$5,tabela_registros[TIPO],DADOS!$AB$4,tabela_registros[CATEGORIA],investirrendavariávelconsolidadoago[[#This Row],[ATUAL]])</f>
        <v>0</v>
      </c>
      <c r="AC135" s="119" t="n">
        <f aca="false">SUMIFS(tabela_registros[VALOR],tabela_registros[MÊS],$AE$1,tabela_registros[DIA],investirrendavariávelconsolidadoago[[#Headers],[25]],tabela_registros[REGISTRO],DADOS!$N$5,tabela_registros[TIPO],DADOS!$AB$4,tabela_registros[CATEGORIA],investirrendavariávelconsolidadoago[[#This Row],[ATUAL]])</f>
        <v>0</v>
      </c>
      <c r="AD135" s="119" t="n">
        <f aca="false">SUMIFS(tabela_registros[VALOR],tabela_registros[MÊS],$AE$1,tabela_registros[DIA],investirrendavariávelconsolidadoago[[#Headers],[26]],tabela_registros[REGISTRO],DADOS!$N$5,tabela_registros[TIPO],DADOS!$AB$4,tabela_registros[CATEGORIA],investirrendavariávelconsolidadoago[[#This Row],[ATUAL]])</f>
        <v>0</v>
      </c>
      <c r="AE135" s="119" t="n">
        <f aca="false">SUMIFS(tabela_registros[VALOR],tabela_registros[MÊS],$AE$1,tabela_registros[DIA],investirrendavariávelconsolidadoago[[#Headers],[27]],tabela_registros[REGISTRO],DADOS!$N$5,tabela_registros[TIPO],DADOS!$AB$4,tabela_registros[CATEGORIA],investirrendavariávelconsolidadoago[[#This Row],[ATUAL]])</f>
        <v>0</v>
      </c>
      <c r="AF135" s="119" t="n">
        <f aca="false">SUMIFS(tabela_registros[VALOR],tabela_registros[MÊS],$AE$1,tabela_registros[DIA],investirrendavariávelconsolidadoago[[#Headers],[28]],tabela_registros[REGISTRO],DADOS!$N$5,tabela_registros[TIPO],DADOS!$AB$4,tabela_registros[CATEGORIA],investirrendavariávelconsolidadoago[[#This Row],[ATUAL]])</f>
        <v>0</v>
      </c>
      <c r="AG135" s="119" t="n">
        <f aca="false">SUMIFS(tabela_registros[VALOR],tabela_registros[MÊS],$AE$1,tabela_registros[DIA],investirrendavariávelconsolidadoago[[#Headers],[29]],tabela_registros[REGISTRO],DADOS!$N$5,tabela_registros[TIPO],DADOS!$AB$4,tabela_registros[CATEGORIA],investirrendavariávelconsolidadoago[[#This Row],[ATUAL]])</f>
        <v>0</v>
      </c>
      <c r="AH135" s="119" t="n">
        <f aca="false">SUMIFS(tabela_registros[VALOR],tabela_registros[MÊS],$AE$1,tabela_registros[DIA],investirrendavariávelconsolidadoago[[#Headers],[30]],tabela_registros[REGISTRO],DADOS!$N$5,tabela_registros[TIPO],DADOS!$AB$4,tabela_registros[CATEGORIA],investirrendavariávelconsolidadoago[[#This Row],[ATUAL]])</f>
        <v>0</v>
      </c>
      <c r="AI135" s="217" t="n">
        <f aca="false">SUMIFS(tabela_registros[VALOR],tabela_registros[MÊS],$AE$1,tabela_registros[DIA],investirrendavariávelconsolidadoago[[#Headers],[31]],tabela_registros[REGISTRO],DADOS!$N$5,tabela_registros[TIPO],DADOS!$AB$4,tabela_registros[CATEGORIA],investirrendavariávelconsolidadoago[[#This Row],[ATUAL]])</f>
        <v>0</v>
      </c>
      <c r="AJ135" s="149" t="n">
        <f aca="false">SUM(investirrendavariávelconsolidadoago[[#This Row],[1]:[31]])</f>
        <v>0</v>
      </c>
      <c r="AK135" s="165"/>
    </row>
    <row r="136" customFormat="false" ht="19.5" hidden="false" customHeight="true" outlineLevel="0" collapsed="false">
      <c r="B136" s="143"/>
      <c r="C136" s="144" t="str">
        <f aca="false">DADOS!$AF$7</f>
        <v>📝 CRIPTOMOEDA</v>
      </c>
      <c r="D136" s="145" t="str">
        <f aca="false">IF(investirrendavariávelconsolidadoago[[#This Row],[TOTAL (R$)]]=0,"",IF(OR(investirrendavariávelconsolidadoago[[#This Row],[TOTAL (R$)]]=LARGE($AJ$132:$AJ$141,1),investirrendavariávelconsolidadoago[[#This Row],[TOTAL (R$)]]=LARGE($AJ$132:$AJ$141,2)),DADOS!$I$10,""))</f>
        <v/>
      </c>
      <c r="E136" s="148" t="n">
        <f aca="false">SUMIFS(tabela_registros[VALOR],tabela_registros[MÊS],$AE$1,tabela_registros[DIA],investirrendavariávelconsolidadoago[[#Headers],[1]],tabela_registros[REGISTRO],DADOS!$N$5,tabela_registros[TIPO],DADOS!$AB$4,tabela_registros[CATEGORIA],investirrendavariávelconsolidadoago[[#This Row],[ATUAL]])</f>
        <v>0</v>
      </c>
      <c r="F136" s="119" t="n">
        <f aca="false">SUMIFS(tabela_registros[VALOR],tabela_registros[MÊS],$AE$1,tabela_registros[DIA],investirrendavariávelconsolidadoago[[#Headers],[2]],tabela_registros[REGISTRO],DADOS!$N$5,tabela_registros[TIPO],DADOS!$AB$4,tabela_registros[CATEGORIA],investirrendavariávelconsolidadoago[[#This Row],[ATUAL]])</f>
        <v>0</v>
      </c>
      <c r="G136" s="119" t="n">
        <f aca="false">SUMIFS(tabela_registros[VALOR],tabela_registros[MÊS],$AE$1,tabela_registros[DIA],investirrendavariávelconsolidadoago[[#Headers],[3]],tabela_registros[REGISTRO],DADOS!$N$5,tabela_registros[TIPO],DADOS!$AB$4,tabela_registros[CATEGORIA],investirrendavariávelconsolidadoago[[#This Row],[ATUAL]])</f>
        <v>0</v>
      </c>
      <c r="H136" s="119" t="n">
        <f aca="false">SUMIFS(tabela_registros[VALOR],tabela_registros[MÊS],$AE$1,tabela_registros[DIA],investirrendavariávelconsolidadoago[[#Headers],[4]],tabela_registros[REGISTRO],DADOS!$N$5,tabela_registros[TIPO],DADOS!$AB$4,tabela_registros[CATEGORIA],investirrendavariávelconsolidadoago[[#This Row],[ATUAL]])</f>
        <v>0</v>
      </c>
      <c r="I136" s="119" t="n">
        <f aca="false">SUMIFS(tabela_registros[VALOR],tabela_registros[MÊS],$AE$1,tabela_registros[DIA],investirrendavariávelconsolidadoago[[#Headers],[5]],tabela_registros[REGISTRO],DADOS!$N$5,tabela_registros[TIPO],DADOS!$AB$4,tabela_registros[CATEGORIA],investirrendavariávelconsolidadoago[[#This Row],[ATUAL]])</f>
        <v>0</v>
      </c>
      <c r="J136" s="119" t="n">
        <f aca="false">SUMIFS(tabela_registros[VALOR],tabela_registros[MÊS],$AE$1,tabela_registros[DIA],investirrendavariávelconsolidadoago[[#Headers],[6]],tabela_registros[REGISTRO],DADOS!$N$5,tabela_registros[TIPO],DADOS!$AB$4,tabela_registros[CATEGORIA],investirrendavariávelconsolidadoago[[#This Row],[ATUAL]])</f>
        <v>0</v>
      </c>
      <c r="K136" s="119" t="n">
        <f aca="false">SUMIFS(tabela_registros[VALOR],tabela_registros[MÊS],$AE$1,tabela_registros[DIA],investirrendavariávelconsolidadoago[[#Headers],[7]],tabela_registros[REGISTRO],DADOS!$N$5,tabela_registros[TIPO],DADOS!$AB$4,tabela_registros[CATEGORIA],investirrendavariávelconsolidadoago[[#This Row],[ATUAL]])</f>
        <v>0</v>
      </c>
      <c r="L136" s="119" t="n">
        <f aca="false">SUMIFS(tabela_registros[VALOR],tabela_registros[MÊS],$AE$1,tabela_registros[DIA],investirrendavariávelconsolidadoago[[#Headers],[8]],tabela_registros[REGISTRO],DADOS!$N$5,tabela_registros[TIPO],DADOS!$AB$4,tabela_registros[CATEGORIA],investirrendavariávelconsolidadoago[[#This Row],[ATUAL]])</f>
        <v>0</v>
      </c>
      <c r="M136" s="119" t="n">
        <f aca="false">SUMIFS(tabela_registros[VALOR],tabela_registros[MÊS],$AE$1,tabela_registros[DIA],investirrendavariávelconsolidadoago[[#Headers],[9]],tabela_registros[REGISTRO],DADOS!$N$5,tabela_registros[TIPO],DADOS!$AB$4,tabela_registros[CATEGORIA],investirrendavariávelconsolidadoago[[#This Row],[ATUAL]])</f>
        <v>0</v>
      </c>
      <c r="N136" s="119" t="n">
        <f aca="false">SUMIFS(tabela_registros[VALOR],tabela_registros[MÊS],$AE$1,tabela_registros[DIA],investirrendavariávelconsolidadoago[[#Headers],[10]],tabela_registros[REGISTRO],DADOS!$N$5,tabela_registros[TIPO],DADOS!$AB$4,tabela_registros[CATEGORIA],investirrendavariávelconsolidadoago[[#This Row],[ATUAL]])</f>
        <v>0</v>
      </c>
      <c r="O136" s="119" t="n">
        <f aca="false">SUMIFS(tabela_registros[VALOR],tabela_registros[MÊS],$AE$1,tabela_registros[DIA],investirrendavariávelconsolidadoago[[#Headers],[11]],tabela_registros[REGISTRO],DADOS!$N$5,tabela_registros[TIPO],DADOS!$AB$4,tabela_registros[CATEGORIA],investirrendavariávelconsolidadoago[[#This Row],[ATUAL]])</f>
        <v>0</v>
      </c>
      <c r="P136" s="119" t="n">
        <f aca="false">SUMIFS(tabela_registros[VALOR],tabela_registros[MÊS],$AE$1,tabela_registros[DIA],investirrendavariávelconsolidadoago[[#Headers],[12]],tabela_registros[REGISTRO],DADOS!$N$5,tabela_registros[TIPO],DADOS!$AB$4,tabela_registros[CATEGORIA],investirrendavariávelconsolidadoago[[#This Row],[ATUAL]])</f>
        <v>0</v>
      </c>
      <c r="Q136" s="119" t="n">
        <f aca="false">SUMIFS(tabela_registros[VALOR],tabela_registros[MÊS],$AE$1,tabela_registros[DIA],investirrendavariávelconsolidadoago[[#Headers],[13]],tabela_registros[REGISTRO],DADOS!$N$5,tabela_registros[TIPO],DADOS!$AB$4,tabela_registros[CATEGORIA],investirrendavariávelconsolidadoago[[#This Row],[ATUAL]])</f>
        <v>0</v>
      </c>
      <c r="R136" s="119" t="n">
        <f aca="false">SUMIFS(tabela_registros[VALOR],tabela_registros[MÊS],$AE$1,tabela_registros[DIA],investirrendavariávelconsolidadoago[[#Headers],[14]],tabela_registros[REGISTRO],DADOS!$N$5,tabela_registros[TIPO],DADOS!$AB$4,tabela_registros[CATEGORIA],investirrendavariávelconsolidadoago[[#This Row],[ATUAL]])</f>
        <v>0</v>
      </c>
      <c r="S136" s="119" t="n">
        <f aca="false">SUMIFS(tabela_registros[VALOR],tabela_registros[MÊS],$AE$1,tabela_registros[DIA],investirrendavariávelconsolidadoago[[#Headers],[15]],tabela_registros[REGISTRO],DADOS!$N$5,tabela_registros[TIPO],DADOS!$AB$4,tabela_registros[CATEGORIA],investirrendavariávelconsolidadoago[[#This Row],[ATUAL]])</f>
        <v>0</v>
      </c>
      <c r="T136" s="119" t="n">
        <f aca="false">SUMIFS(tabela_registros[VALOR],tabela_registros[MÊS],$AE$1,tabela_registros[DIA],investirrendavariávelconsolidadoago[[#Headers],[16]],tabela_registros[REGISTRO],DADOS!$N$5,tabela_registros[TIPO],DADOS!$AB$4,tabela_registros[CATEGORIA],investirrendavariávelconsolidadoago[[#This Row],[ATUAL]])</f>
        <v>0</v>
      </c>
      <c r="U136" s="119" t="n">
        <f aca="false">SUMIFS(tabela_registros[VALOR],tabela_registros[MÊS],$AE$1,tabela_registros[DIA],investirrendavariávelconsolidadoago[[#Headers],[17]],tabela_registros[REGISTRO],DADOS!$N$5,tabela_registros[TIPO],DADOS!$AB$4,tabela_registros[CATEGORIA],investirrendavariávelconsolidadoago[[#This Row],[ATUAL]])</f>
        <v>0</v>
      </c>
      <c r="V136" s="119" t="n">
        <f aca="false">SUMIFS(tabela_registros[VALOR],tabela_registros[MÊS],$AE$1,tabela_registros[DIA],investirrendavariávelconsolidadoago[[#Headers],[18]],tabela_registros[REGISTRO],DADOS!$N$5,tabela_registros[TIPO],DADOS!$AB$4,tabela_registros[CATEGORIA],investirrendavariávelconsolidadoago[[#This Row],[ATUAL]])</f>
        <v>0</v>
      </c>
      <c r="W136" s="119" t="n">
        <f aca="false">SUMIFS(tabela_registros[VALOR],tabela_registros[MÊS],$AE$1,tabela_registros[DIA],investirrendavariávelconsolidadoago[[#Headers],[19]],tabela_registros[REGISTRO],DADOS!$N$5,tabela_registros[TIPO],DADOS!$AB$4,tabela_registros[CATEGORIA],investirrendavariávelconsolidadoago[[#This Row],[ATUAL]])</f>
        <v>0</v>
      </c>
      <c r="X136" s="119" t="n">
        <f aca="false">SUMIFS(tabela_registros[VALOR],tabela_registros[MÊS],$AE$1,tabela_registros[DIA],investirrendavariávelconsolidadoago[[#Headers],[20]],tabela_registros[REGISTRO],DADOS!$N$5,tabela_registros[TIPO],DADOS!$AB$4,tabela_registros[CATEGORIA],investirrendavariávelconsolidadoago[[#This Row],[ATUAL]])</f>
        <v>0</v>
      </c>
      <c r="Y136" s="119" t="n">
        <f aca="false">SUMIFS(tabela_registros[VALOR],tabela_registros[MÊS],$AE$1,tabela_registros[DIA],investirrendavariávelconsolidadoago[[#Headers],[21]],tabela_registros[REGISTRO],DADOS!$N$5,tabela_registros[TIPO],DADOS!$AB$4,tabela_registros[CATEGORIA],investirrendavariávelconsolidadoago[[#This Row],[ATUAL]])</f>
        <v>0</v>
      </c>
      <c r="Z136" s="119" t="n">
        <f aca="false">SUMIFS(tabela_registros[VALOR],tabela_registros[MÊS],$AE$1,tabela_registros[DIA],investirrendavariávelconsolidadoago[[#Headers],[22]],tabela_registros[REGISTRO],DADOS!$N$5,tabela_registros[TIPO],DADOS!$AB$4,tabela_registros[CATEGORIA],investirrendavariávelconsolidadoago[[#This Row],[ATUAL]])</f>
        <v>0</v>
      </c>
      <c r="AA136" s="119" t="n">
        <f aca="false">SUMIFS(tabela_registros[VALOR],tabela_registros[MÊS],$AE$1,tabela_registros[DIA],investirrendavariávelconsolidadoago[[#Headers],[23]],tabela_registros[REGISTRO],DADOS!$N$5,tabela_registros[TIPO],DADOS!$AB$4,tabela_registros[CATEGORIA],investirrendavariávelconsolidadoago[[#This Row],[ATUAL]])</f>
        <v>0</v>
      </c>
      <c r="AB136" s="119" t="n">
        <f aca="false">SUMIFS(tabela_registros[VALOR],tabela_registros[MÊS],$AE$1,tabela_registros[DIA],investirrendavariávelconsolidadoago[[#Headers],[24]],tabela_registros[REGISTRO],DADOS!$N$5,tabela_registros[TIPO],DADOS!$AB$4,tabela_registros[CATEGORIA],investirrendavariávelconsolidadoago[[#This Row],[ATUAL]])</f>
        <v>0</v>
      </c>
      <c r="AC136" s="119" t="n">
        <f aca="false">SUMIFS(tabela_registros[VALOR],tabela_registros[MÊS],$AE$1,tabela_registros[DIA],investirrendavariávelconsolidadoago[[#Headers],[25]],tabela_registros[REGISTRO],DADOS!$N$5,tabela_registros[TIPO],DADOS!$AB$4,tabela_registros[CATEGORIA],investirrendavariávelconsolidadoago[[#This Row],[ATUAL]])</f>
        <v>0</v>
      </c>
      <c r="AD136" s="119" t="n">
        <f aca="false">SUMIFS(tabela_registros[VALOR],tabela_registros[MÊS],$AE$1,tabela_registros[DIA],investirrendavariávelconsolidadoago[[#Headers],[26]],tabela_registros[REGISTRO],DADOS!$N$5,tabela_registros[TIPO],DADOS!$AB$4,tabela_registros[CATEGORIA],investirrendavariávelconsolidadoago[[#This Row],[ATUAL]])</f>
        <v>0</v>
      </c>
      <c r="AE136" s="119" t="n">
        <f aca="false">SUMIFS(tabela_registros[VALOR],tabela_registros[MÊS],$AE$1,tabela_registros[DIA],investirrendavariávelconsolidadoago[[#Headers],[27]],tabela_registros[REGISTRO],DADOS!$N$5,tabela_registros[TIPO],DADOS!$AB$4,tabela_registros[CATEGORIA],investirrendavariávelconsolidadoago[[#This Row],[ATUAL]])</f>
        <v>0</v>
      </c>
      <c r="AF136" s="119" t="n">
        <f aca="false">SUMIFS(tabela_registros[VALOR],tabela_registros[MÊS],$AE$1,tabela_registros[DIA],investirrendavariávelconsolidadoago[[#Headers],[28]],tabela_registros[REGISTRO],DADOS!$N$5,tabela_registros[TIPO],DADOS!$AB$4,tabela_registros[CATEGORIA],investirrendavariávelconsolidadoago[[#This Row],[ATUAL]])</f>
        <v>0</v>
      </c>
      <c r="AG136" s="119" t="n">
        <f aca="false">SUMIFS(tabela_registros[VALOR],tabela_registros[MÊS],$AE$1,tabela_registros[DIA],investirrendavariávelconsolidadoago[[#Headers],[29]],tabela_registros[REGISTRO],DADOS!$N$5,tabela_registros[TIPO],DADOS!$AB$4,tabela_registros[CATEGORIA],investirrendavariávelconsolidadoago[[#This Row],[ATUAL]])</f>
        <v>0</v>
      </c>
      <c r="AH136" s="119" t="n">
        <f aca="false">SUMIFS(tabela_registros[VALOR],tabela_registros[MÊS],$AE$1,tabela_registros[DIA],investirrendavariávelconsolidadoago[[#Headers],[30]],tabela_registros[REGISTRO],DADOS!$N$5,tabela_registros[TIPO],DADOS!$AB$4,tabela_registros[CATEGORIA],investirrendavariávelconsolidadoago[[#This Row],[ATUAL]])</f>
        <v>0</v>
      </c>
      <c r="AI136" s="217" t="n">
        <f aca="false">SUMIFS(tabela_registros[VALOR],tabela_registros[MÊS],$AE$1,tabela_registros[DIA],investirrendavariávelconsolidadoago[[#Headers],[31]],tabela_registros[REGISTRO],DADOS!$N$5,tabela_registros[TIPO],DADOS!$AB$4,tabela_registros[CATEGORIA],investirrendavariávelconsolidadoago[[#This Row],[ATUAL]])</f>
        <v>0</v>
      </c>
      <c r="AJ136" s="237" t="n">
        <f aca="false">SUM(investirrendavariávelconsolidadoago[[#This Row],[1]:[31]])</f>
        <v>0</v>
      </c>
      <c r="AK136" s="165"/>
    </row>
    <row r="137" customFormat="false" ht="19.5" hidden="false" customHeight="true" outlineLevel="0" collapsed="false">
      <c r="B137" s="143"/>
      <c r="C137" s="144" t="str">
        <f aca="false">DADOS!$AF$8</f>
        <v>📝 ETF</v>
      </c>
      <c r="D137" s="145" t="str">
        <f aca="false">IF(investirrendavariávelconsolidadoago[[#This Row],[TOTAL (R$)]]=0,"",IF(OR(investirrendavariávelconsolidadoago[[#This Row],[TOTAL (R$)]]=LARGE($AJ$132:$AJ$141,1),investirrendavariávelconsolidadoago[[#This Row],[TOTAL (R$)]]=LARGE($AJ$132:$AJ$141,2)),DADOS!$I$10,""))</f>
        <v/>
      </c>
      <c r="E137" s="148" t="n">
        <f aca="false">SUMIFS(tabela_registros[VALOR],tabela_registros[MÊS],$AE$1,tabela_registros[DIA],investirrendavariávelconsolidadoago[[#Headers],[1]],tabela_registros[REGISTRO],DADOS!$N$5,tabela_registros[TIPO],DADOS!$AB$4,tabela_registros[CATEGORIA],investirrendavariávelconsolidadoago[[#This Row],[ATUAL]])</f>
        <v>0</v>
      </c>
      <c r="F137" s="119" t="n">
        <f aca="false">SUMIFS(tabela_registros[VALOR],tabela_registros[MÊS],$AE$1,tabela_registros[DIA],investirrendavariávelconsolidadoago[[#Headers],[2]],tabela_registros[REGISTRO],DADOS!$N$5,tabela_registros[TIPO],DADOS!$AB$4,tabela_registros[CATEGORIA],investirrendavariávelconsolidadoago[[#This Row],[ATUAL]])</f>
        <v>0</v>
      </c>
      <c r="G137" s="119" t="n">
        <f aca="false">SUMIFS(tabela_registros[VALOR],tabela_registros[MÊS],$AE$1,tabela_registros[DIA],investirrendavariávelconsolidadoago[[#Headers],[3]],tabela_registros[REGISTRO],DADOS!$N$5,tabela_registros[TIPO],DADOS!$AB$4,tabela_registros[CATEGORIA],investirrendavariávelconsolidadoago[[#This Row],[ATUAL]])</f>
        <v>0</v>
      </c>
      <c r="H137" s="119" t="n">
        <f aca="false">SUMIFS(tabela_registros[VALOR],tabela_registros[MÊS],$AE$1,tabela_registros[DIA],investirrendavariávelconsolidadoago[[#Headers],[4]],tabela_registros[REGISTRO],DADOS!$N$5,tabela_registros[TIPO],DADOS!$AB$4,tabela_registros[CATEGORIA],investirrendavariávelconsolidadoago[[#This Row],[ATUAL]])</f>
        <v>0</v>
      </c>
      <c r="I137" s="119" t="n">
        <f aca="false">SUMIFS(tabela_registros[VALOR],tabela_registros[MÊS],$AE$1,tabela_registros[DIA],investirrendavariávelconsolidadoago[[#Headers],[5]],tabela_registros[REGISTRO],DADOS!$N$5,tabela_registros[TIPO],DADOS!$AB$4,tabela_registros[CATEGORIA],investirrendavariávelconsolidadoago[[#This Row],[ATUAL]])</f>
        <v>0</v>
      </c>
      <c r="J137" s="119" t="n">
        <f aca="false">SUMIFS(tabela_registros[VALOR],tabela_registros[MÊS],$AE$1,tabela_registros[DIA],investirrendavariávelconsolidadoago[[#Headers],[6]],tabela_registros[REGISTRO],DADOS!$N$5,tabela_registros[TIPO],DADOS!$AB$4,tabela_registros[CATEGORIA],investirrendavariávelconsolidadoago[[#This Row],[ATUAL]])</f>
        <v>0</v>
      </c>
      <c r="K137" s="119" t="n">
        <f aca="false">SUMIFS(tabela_registros[VALOR],tabela_registros[MÊS],$AE$1,tabela_registros[DIA],investirrendavariávelconsolidadoago[[#Headers],[7]],tabela_registros[REGISTRO],DADOS!$N$5,tabela_registros[TIPO],DADOS!$AB$4,tabela_registros[CATEGORIA],investirrendavariávelconsolidadoago[[#This Row],[ATUAL]])</f>
        <v>0</v>
      </c>
      <c r="L137" s="119" t="n">
        <f aca="false">SUMIFS(tabela_registros[VALOR],tabela_registros[MÊS],$AE$1,tabela_registros[DIA],investirrendavariávelconsolidadoago[[#Headers],[8]],tabela_registros[REGISTRO],DADOS!$N$5,tabela_registros[TIPO],DADOS!$AB$4,tabela_registros[CATEGORIA],investirrendavariávelconsolidadoago[[#This Row],[ATUAL]])</f>
        <v>0</v>
      </c>
      <c r="M137" s="119" t="n">
        <f aca="false">SUMIFS(tabela_registros[VALOR],tabela_registros[MÊS],$AE$1,tabela_registros[DIA],investirrendavariávelconsolidadoago[[#Headers],[9]],tabela_registros[REGISTRO],DADOS!$N$5,tabela_registros[TIPO],DADOS!$AB$4,tabela_registros[CATEGORIA],investirrendavariávelconsolidadoago[[#This Row],[ATUAL]])</f>
        <v>0</v>
      </c>
      <c r="N137" s="119" t="n">
        <f aca="false">SUMIFS(tabela_registros[VALOR],tabela_registros[MÊS],$AE$1,tabela_registros[DIA],investirrendavariávelconsolidadoago[[#Headers],[10]],tabela_registros[REGISTRO],DADOS!$N$5,tabela_registros[TIPO],DADOS!$AB$4,tabela_registros[CATEGORIA],investirrendavariávelconsolidadoago[[#This Row],[ATUAL]])</f>
        <v>0</v>
      </c>
      <c r="O137" s="119" t="n">
        <f aca="false">SUMIFS(tabela_registros[VALOR],tabela_registros[MÊS],$AE$1,tabela_registros[DIA],investirrendavariávelconsolidadoago[[#Headers],[11]],tabela_registros[REGISTRO],DADOS!$N$5,tabela_registros[TIPO],DADOS!$AB$4,tabela_registros[CATEGORIA],investirrendavariávelconsolidadoago[[#This Row],[ATUAL]])</f>
        <v>0</v>
      </c>
      <c r="P137" s="119" t="n">
        <f aca="false">SUMIFS(tabela_registros[VALOR],tabela_registros[MÊS],$AE$1,tabela_registros[DIA],investirrendavariávelconsolidadoago[[#Headers],[12]],tabela_registros[REGISTRO],DADOS!$N$5,tabela_registros[TIPO],DADOS!$AB$4,tabela_registros[CATEGORIA],investirrendavariávelconsolidadoago[[#This Row],[ATUAL]])</f>
        <v>0</v>
      </c>
      <c r="Q137" s="119" t="n">
        <f aca="false">SUMIFS(tabela_registros[VALOR],tabela_registros[MÊS],$AE$1,tabela_registros[DIA],investirrendavariávelconsolidadoago[[#Headers],[13]],tabela_registros[REGISTRO],DADOS!$N$5,tabela_registros[TIPO],DADOS!$AB$4,tabela_registros[CATEGORIA],investirrendavariávelconsolidadoago[[#This Row],[ATUAL]])</f>
        <v>0</v>
      </c>
      <c r="R137" s="119" t="n">
        <f aca="false">SUMIFS(tabela_registros[VALOR],tabela_registros[MÊS],$AE$1,tabela_registros[DIA],investirrendavariávelconsolidadoago[[#Headers],[14]],tabela_registros[REGISTRO],DADOS!$N$5,tabela_registros[TIPO],DADOS!$AB$4,tabela_registros[CATEGORIA],investirrendavariávelconsolidadoago[[#This Row],[ATUAL]])</f>
        <v>0</v>
      </c>
      <c r="S137" s="119" t="n">
        <f aca="false">SUMIFS(tabela_registros[VALOR],tabela_registros[MÊS],$AE$1,tabela_registros[DIA],investirrendavariávelconsolidadoago[[#Headers],[15]],tabela_registros[REGISTRO],DADOS!$N$5,tabela_registros[TIPO],DADOS!$AB$4,tabela_registros[CATEGORIA],investirrendavariávelconsolidadoago[[#This Row],[ATUAL]])</f>
        <v>0</v>
      </c>
      <c r="T137" s="119" t="n">
        <f aca="false">SUMIFS(tabela_registros[VALOR],tabela_registros[MÊS],$AE$1,tabela_registros[DIA],investirrendavariávelconsolidadoago[[#Headers],[16]],tabela_registros[REGISTRO],DADOS!$N$5,tabela_registros[TIPO],DADOS!$AB$4,tabela_registros[CATEGORIA],investirrendavariávelconsolidadoago[[#This Row],[ATUAL]])</f>
        <v>0</v>
      </c>
      <c r="U137" s="119" t="n">
        <f aca="false">SUMIFS(tabela_registros[VALOR],tabela_registros[MÊS],$AE$1,tabela_registros[DIA],investirrendavariávelconsolidadoago[[#Headers],[17]],tabela_registros[REGISTRO],DADOS!$N$5,tabela_registros[TIPO],DADOS!$AB$4,tabela_registros[CATEGORIA],investirrendavariávelconsolidadoago[[#This Row],[ATUAL]])</f>
        <v>0</v>
      </c>
      <c r="V137" s="119" t="n">
        <f aca="false">SUMIFS(tabela_registros[VALOR],tabela_registros[MÊS],$AE$1,tabela_registros[DIA],investirrendavariávelconsolidadoago[[#Headers],[18]],tabela_registros[REGISTRO],DADOS!$N$5,tabela_registros[TIPO],DADOS!$AB$4,tabela_registros[CATEGORIA],investirrendavariávelconsolidadoago[[#This Row],[ATUAL]])</f>
        <v>0</v>
      </c>
      <c r="W137" s="119" t="n">
        <f aca="false">SUMIFS(tabela_registros[VALOR],tabela_registros[MÊS],$AE$1,tabela_registros[DIA],investirrendavariávelconsolidadoago[[#Headers],[19]],tabela_registros[REGISTRO],DADOS!$N$5,tabela_registros[TIPO],DADOS!$AB$4,tabela_registros[CATEGORIA],investirrendavariávelconsolidadoago[[#This Row],[ATUAL]])</f>
        <v>0</v>
      </c>
      <c r="X137" s="119" t="n">
        <f aca="false">SUMIFS(tabela_registros[VALOR],tabela_registros[MÊS],$AE$1,tabela_registros[DIA],investirrendavariávelconsolidadoago[[#Headers],[20]],tabela_registros[REGISTRO],DADOS!$N$5,tabela_registros[TIPO],DADOS!$AB$4,tabela_registros[CATEGORIA],investirrendavariávelconsolidadoago[[#This Row],[ATUAL]])</f>
        <v>0</v>
      </c>
      <c r="Y137" s="119" t="n">
        <f aca="false">SUMIFS(tabela_registros[VALOR],tabela_registros[MÊS],$AE$1,tabela_registros[DIA],investirrendavariávelconsolidadoago[[#Headers],[21]],tabela_registros[REGISTRO],DADOS!$N$5,tabela_registros[TIPO],DADOS!$AB$4,tabela_registros[CATEGORIA],investirrendavariávelconsolidadoago[[#This Row],[ATUAL]])</f>
        <v>0</v>
      </c>
      <c r="Z137" s="119" t="n">
        <f aca="false">SUMIFS(tabela_registros[VALOR],tabela_registros[MÊS],$AE$1,tabela_registros[DIA],investirrendavariávelconsolidadoago[[#Headers],[22]],tabela_registros[REGISTRO],DADOS!$N$5,tabela_registros[TIPO],DADOS!$AB$4,tabela_registros[CATEGORIA],investirrendavariávelconsolidadoago[[#This Row],[ATUAL]])</f>
        <v>0</v>
      </c>
      <c r="AA137" s="119" t="n">
        <f aca="false">SUMIFS(tabela_registros[VALOR],tabela_registros[MÊS],$AE$1,tabela_registros[DIA],investirrendavariávelconsolidadoago[[#Headers],[23]],tabela_registros[REGISTRO],DADOS!$N$5,tabela_registros[TIPO],DADOS!$AB$4,tabela_registros[CATEGORIA],investirrendavariávelconsolidadoago[[#This Row],[ATUAL]])</f>
        <v>0</v>
      </c>
      <c r="AB137" s="119" t="n">
        <f aca="false">SUMIFS(tabela_registros[VALOR],tabela_registros[MÊS],$AE$1,tabela_registros[DIA],investirrendavariávelconsolidadoago[[#Headers],[24]],tabela_registros[REGISTRO],DADOS!$N$5,tabela_registros[TIPO],DADOS!$AB$4,tabela_registros[CATEGORIA],investirrendavariávelconsolidadoago[[#This Row],[ATUAL]])</f>
        <v>0</v>
      </c>
      <c r="AC137" s="119" t="n">
        <f aca="false">SUMIFS(tabela_registros[VALOR],tabela_registros[MÊS],$AE$1,tabela_registros[DIA],investirrendavariávelconsolidadoago[[#Headers],[25]],tabela_registros[REGISTRO],DADOS!$N$5,tabela_registros[TIPO],DADOS!$AB$4,tabela_registros[CATEGORIA],investirrendavariávelconsolidadoago[[#This Row],[ATUAL]])</f>
        <v>0</v>
      </c>
      <c r="AD137" s="119" t="n">
        <f aca="false">SUMIFS(tabela_registros[VALOR],tabela_registros[MÊS],$AE$1,tabela_registros[DIA],investirrendavariávelconsolidadoago[[#Headers],[26]],tabela_registros[REGISTRO],DADOS!$N$5,tabela_registros[TIPO],DADOS!$AB$4,tabela_registros[CATEGORIA],investirrendavariávelconsolidadoago[[#This Row],[ATUAL]])</f>
        <v>0</v>
      </c>
      <c r="AE137" s="119" t="n">
        <f aca="false">SUMIFS(tabela_registros[VALOR],tabela_registros[MÊS],$AE$1,tabela_registros[DIA],investirrendavariávelconsolidadoago[[#Headers],[27]],tabela_registros[REGISTRO],DADOS!$N$5,tabela_registros[TIPO],DADOS!$AB$4,tabela_registros[CATEGORIA],investirrendavariávelconsolidadoago[[#This Row],[ATUAL]])</f>
        <v>0</v>
      </c>
      <c r="AF137" s="119" t="n">
        <f aca="false">SUMIFS(tabela_registros[VALOR],tabela_registros[MÊS],$AE$1,tabela_registros[DIA],investirrendavariávelconsolidadoago[[#Headers],[28]],tabela_registros[REGISTRO],DADOS!$N$5,tabela_registros[TIPO],DADOS!$AB$4,tabela_registros[CATEGORIA],investirrendavariávelconsolidadoago[[#This Row],[ATUAL]])</f>
        <v>0</v>
      </c>
      <c r="AG137" s="119" t="n">
        <f aca="false">SUMIFS(tabela_registros[VALOR],tabela_registros[MÊS],$AE$1,tabela_registros[DIA],investirrendavariávelconsolidadoago[[#Headers],[29]],tabela_registros[REGISTRO],DADOS!$N$5,tabela_registros[TIPO],DADOS!$AB$4,tabela_registros[CATEGORIA],investirrendavariávelconsolidadoago[[#This Row],[ATUAL]])</f>
        <v>0</v>
      </c>
      <c r="AH137" s="119" t="n">
        <f aca="false">SUMIFS(tabela_registros[VALOR],tabela_registros[MÊS],$AE$1,tabela_registros[DIA],investirrendavariávelconsolidadoago[[#Headers],[30]],tabela_registros[REGISTRO],DADOS!$N$5,tabela_registros[TIPO],DADOS!$AB$4,tabela_registros[CATEGORIA],investirrendavariávelconsolidadoago[[#This Row],[ATUAL]])</f>
        <v>0</v>
      </c>
      <c r="AI137" s="217" t="n">
        <f aca="false">SUMIFS(tabela_registros[VALOR],tabela_registros[MÊS],$AE$1,tabela_registros[DIA],investirrendavariávelconsolidadoago[[#Headers],[31]],tabela_registros[REGISTRO],DADOS!$N$5,tabela_registros[TIPO],DADOS!$AB$4,tabela_registros[CATEGORIA],investirrendavariávelconsolidadoago[[#This Row],[ATUAL]])</f>
        <v>0</v>
      </c>
      <c r="AJ137" s="237" t="n">
        <f aca="false">SUM(investirrendavariávelconsolidadoago[[#This Row],[1]:[31]])</f>
        <v>0</v>
      </c>
      <c r="AK137" s="165"/>
    </row>
    <row r="138" customFormat="false" ht="19.5" hidden="false" customHeight="true" outlineLevel="0" collapsed="false">
      <c r="B138" s="143"/>
      <c r="C138" s="144" t="str">
        <f aca="false">DADOS!$AF$9</f>
        <v>📝 EXTERIOR</v>
      </c>
      <c r="D138" s="145" t="str">
        <f aca="false">IF(investirrendavariávelconsolidadoago[[#This Row],[TOTAL (R$)]]=0,"",IF(OR(investirrendavariávelconsolidadoago[[#This Row],[TOTAL (R$)]]=LARGE($AJ$132:$AJ$141,1),investirrendavariávelconsolidadoago[[#This Row],[TOTAL (R$)]]=LARGE($AJ$132:$AJ$141,2)),DADOS!$I$10,""))</f>
        <v/>
      </c>
      <c r="E138" s="148" t="n">
        <f aca="false">SUMIFS(tabela_registros[VALOR],tabela_registros[MÊS],$AE$1,tabela_registros[DIA],investirrendavariávelconsolidadoago[[#Headers],[1]],tabela_registros[REGISTRO],DADOS!$N$5,tabela_registros[TIPO],DADOS!$AB$4,tabela_registros[CATEGORIA],investirrendavariávelconsolidadoago[[#This Row],[ATUAL]])</f>
        <v>0</v>
      </c>
      <c r="F138" s="119" t="n">
        <f aca="false">SUMIFS(tabela_registros[VALOR],tabela_registros[MÊS],$AE$1,tabela_registros[DIA],investirrendavariávelconsolidadoago[[#Headers],[2]],tabela_registros[REGISTRO],DADOS!$N$5,tabela_registros[TIPO],DADOS!$AB$4,tabela_registros[CATEGORIA],investirrendavariávelconsolidadoago[[#This Row],[ATUAL]])</f>
        <v>0</v>
      </c>
      <c r="G138" s="119" t="n">
        <f aca="false">SUMIFS(tabela_registros[VALOR],tabela_registros[MÊS],$AE$1,tabela_registros[DIA],investirrendavariávelconsolidadoago[[#Headers],[3]],tabela_registros[REGISTRO],DADOS!$N$5,tabela_registros[TIPO],DADOS!$AB$4,tabela_registros[CATEGORIA],investirrendavariávelconsolidadoago[[#This Row],[ATUAL]])</f>
        <v>0</v>
      </c>
      <c r="H138" s="119" t="n">
        <f aca="false">SUMIFS(tabela_registros[VALOR],tabela_registros[MÊS],$AE$1,tabela_registros[DIA],investirrendavariávelconsolidadoago[[#Headers],[4]],tabela_registros[REGISTRO],DADOS!$N$5,tabela_registros[TIPO],DADOS!$AB$4,tabela_registros[CATEGORIA],investirrendavariávelconsolidadoago[[#This Row],[ATUAL]])</f>
        <v>0</v>
      </c>
      <c r="I138" s="119" t="n">
        <f aca="false">SUMIFS(tabela_registros[VALOR],tabela_registros[MÊS],$AE$1,tabela_registros[DIA],investirrendavariávelconsolidadoago[[#Headers],[5]],tabela_registros[REGISTRO],DADOS!$N$5,tabela_registros[TIPO],DADOS!$AB$4,tabela_registros[CATEGORIA],investirrendavariávelconsolidadoago[[#This Row],[ATUAL]])</f>
        <v>0</v>
      </c>
      <c r="J138" s="119" t="n">
        <f aca="false">SUMIFS(tabela_registros[VALOR],tabela_registros[MÊS],$AE$1,tabela_registros[DIA],investirrendavariávelconsolidadoago[[#Headers],[6]],tabela_registros[REGISTRO],DADOS!$N$5,tabela_registros[TIPO],DADOS!$AB$4,tabela_registros[CATEGORIA],investirrendavariávelconsolidadoago[[#This Row],[ATUAL]])</f>
        <v>0</v>
      </c>
      <c r="K138" s="119" t="n">
        <f aca="false">SUMIFS(tabela_registros[VALOR],tabela_registros[MÊS],$AE$1,tabela_registros[DIA],investirrendavariávelconsolidadoago[[#Headers],[7]],tabela_registros[REGISTRO],DADOS!$N$5,tabela_registros[TIPO],DADOS!$AB$4,tabela_registros[CATEGORIA],investirrendavariávelconsolidadoago[[#This Row],[ATUAL]])</f>
        <v>0</v>
      </c>
      <c r="L138" s="119" t="n">
        <f aca="false">SUMIFS(tabela_registros[VALOR],tabela_registros[MÊS],$AE$1,tabela_registros[DIA],investirrendavariávelconsolidadoago[[#Headers],[8]],tabela_registros[REGISTRO],DADOS!$N$5,tabela_registros[TIPO],DADOS!$AB$4,tabela_registros[CATEGORIA],investirrendavariávelconsolidadoago[[#This Row],[ATUAL]])</f>
        <v>0</v>
      </c>
      <c r="M138" s="119" t="n">
        <f aca="false">SUMIFS(tabela_registros[VALOR],tabela_registros[MÊS],$AE$1,tabela_registros[DIA],investirrendavariávelconsolidadoago[[#Headers],[9]],tabela_registros[REGISTRO],DADOS!$N$5,tabela_registros[TIPO],DADOS!$AB$4,tabela_registros[CATEGORIA],investirrendavariávelconsolidadoago[[#This Row],[ATUAL]])</f>
        <v>0</v>
      </c>
      <c r="N138" s="119" t="n">
        <f aca="false">SUMIFS(tabela_registros[VALOR],tabela_registros[MÊS],$AE$1,tabela_registros[DIA],investirrendavariávelconsolidadoago[[#Headers],[10]],tabela_registros[REGISTRO],DADOS!$N$5,tabela_registros[TIPO],DADOS!$AB$4,tabela_registros[CATEGORIA],investirrendavariávelconsolidadoago[[#This Row],[ATUAL]])</f>
        <v>0</v>
      </c>
      <c r="O138" s="119" t="n">
        <f aca="false">SUMIFS(tabela_registros[VALOR],tabela_registros[MÊS],$AE$1,tabela_registros[DIA],investirrendavariávelconsolidadoago[[#Headers],[11]],tabela_registros[REGISTRO],DADOS!$N$5,tabela_registros[TIPO],DADOS!$AB$4,tabela_registros[CATEGORIA],investirrendavariávelconsolidadoago[[#This Row],[ATUAL]])</f>
        <v>0</v>
      </c>
      <c r="P138" s="119" t="n">
        <f aca="false">SUMIFS(tabela_registros[VALOR],tabela_registros[MÊS],$AE$1,tabela_registros[DIA],investirrendavariávelconsolidadoago[[#Headers],[12]],tabela_registros[REGISTRO],DADOS!$N$5,tabela_registros[TIPO],DADOS!$AB$4,tabela_registros[CATEGORIA],investirrendavariávelconsolidadoago[[#This Row],[ATUAL]])</f>
        <v>0</v>
      </c>
      <c r="Q138" s="119" t="n">
        <f aca="false">SUMIFS(tabela_registros[VALOR],tabela_registros[MÊS],$AE$1,tabela_registros[DIA],investirrendavariávelconsolidadoago[[#Headers],[13]],tabela_registros[REGISTRO],DADOS!$N$5,tabela_registros[TIPO],DADOS!$AB$4,tabela_registros[CATEGORIA],investirrendavariávelconsolidadoago[[#This Row],[ATUAL]])</f>
        <v>0</v>
      </c>
      <c r="R138" s="119" t="n">
        <f aca="false">SUMIFS(tabela_registros[VALOR],tabela_registros[MÊS],$AE$1,tabela_registros[DIA],investirrendavariávelconsolidadoago[[#Headers],[14]],tabela_registros[REGISTRO],DADOS!$N$5,tabela_registros[TIPO],DADOS!$AB$4,tabela_registros[CATEGORIA],investirrendavariávelconsolidadoago[[#This Row],[ATUAL]])</f>
        <v>0</v>
      </c>
      <c r="S138" s="119" t="n">
        <f aca="false">SUMIFS(tabela_registros[VALOR],tabela_registros[MÊS],$AE$1,tabela_registros[DIA],investirrendavariávelconsolidadoago[[#Headers],[15]],tabela_registros[REGISTRO],DADOS!$N$5,tabela_registros[TIPO],DADOS!$AB$4,tabela_registros[CATEGORIA],investirrendavariávelconsolidadoago[[#This Row],[ATUAL]])</f>
        <v>0</v>
      </c>
      <c r="T138" s="119" t="n">
        <f aca="false">SUMIFS(tabela_registros[VALOR],tabela_registros[MÊS],$AE$1,tabela_registros[DIA],investirrendavariávelconsolidadoago[[#Headers],[16]],tabela_registros[REGISTRO],DADOS!$N$5,tabela_registros[TIPO],DADOS!$AB$4,tabela_registros[CATEGORIA],investirrendavariávelconsolidadoago[[#This Row],[ATUAL]])</f>
        <v>0</v>
      </c>
      <c r="U138" s="119" t="n">
        <f aca="false">SUMIFS(tabela_registros[VALOR],tabela_registros[MÊS],$AE$1,tabela_registros[DIA],investirrendavariávelconsolidadoago[[#Headers],[17]],tabela_registros[REGISTRO],DADOS!$N$5,tabela_registros[TIPO],DADOS!$AB$4,tabela_registros[CATEGORIA],investirrendavariávelconsolidadoago[[#This Row],[ATUAL]])</f>
        <v>0</v>
      </c>
      <c r="V138" s="119" t="n">
        <f aca="false">SUMIFS(tabela_registros[VALOR],tabela_registros[MÊS],$AE$1,tabela_registros[DIA],investirrendavariávelconsolidadoago[[#Headers],[18]],tabela_registros[REGISTRO],DADOS!$N$5,tabela_registros[TIPO],DADOS!$AB$4,tabela_registros[CATEGORIA],investirrendavariávelconsolidadoago[[#This Row],[ATUAL]])</f>
        <v>0</v>
      </c>
      <c r="W138" s="119" t="n">
        <f aca="false">SUMIFS(tabela_registros[VALOR],tabela_registros[MÊS],$AE$1,tabela_registros[DIA],investirrendavariávelconsolidadoago[[#Headers],[19]],tabela_registros[REGISTRO],DADOS!$N$5,tabela_registros[TIPO],DADOS!$AB$4,tabela_registros[CATEGORIA],investirrendavariávelconsolidadoago[[#This Row],[ATUAL]])</f>
        <v>0</v>
      </c>
      <c r="X138" s="119" t="n">
        <f aca="false">SUMIFS(tabela_registros[VALOR],tabela_registros[MÊS],$AE$1,tabela_registros[DIA],investirrendavariávelconsolidadoago[[#Headers],[20]],tabela_registros[REGISTRO],DADOS!$N$5,tabela_registros[TIPO],DADOS!$AB$4,tabela_registros[CATEGORIA],investirrendavariávelconsolidadoago[[#This Row],[ATUAL]])</f>
        <v>0</v>
      </c>
      <c r="Y138" s="119" t="n">
        <f aca="false">SUMIFS(tabela_registros[VALOR],tabela_registros[MÊS],$AE$1,tabela_registros[DIA],investirrendavariávelconsolidadoago[[#Headers],[21]],tabela_registros[REGISTRO],DADOS!$N$5,tabela_registros[TIPO],DADOS!$AB$4,tabela_registros[CATEGORIA],investirrendavariávelconsolidadoago[[#This Row],[ATUAL]])</f>
        <v>0</v>
      </c>
      <c r="Z138" s="119" t="n">
        <f aca="false">SUMIFS(tabela_registros[VALOR],tabela_registros[MÊS],$AE$1,tabela_registros[DIA],investirrendavariávelconsolidadoago[[#Headers],[22]],tabela_registros[REGISTRO],DADOS!$N$5,tabela_registros[TIPO],DADOS!$AB$4,tabela_registros[CATEGORIA],investirrendavariávelconsolidadoago[[#This Row],[ATUAL]])</f>
        <v>0</v>
      </c>
      <c r="AA138" s="119" t="n">
        <f aca="false">SUMIFS(tabela_registros[VALOR],tabela_registros[MÊS],$AE$1,tabela_registros[DIA],investirrendavariávelconsolidadoago[[#Headers],[23]],tabela_registros[REGISTRO],DADOS!$N$5,tabela_registros[TIPO],DADOS!$AB$4,tabela_registros[CATEGORIA],investirrendavariávelconsolidadoago[[#This Row],[ATUAL]])</f>
        <v>0</v>
      </c>
      <c r="AB138" s="119" t="n">
        <f aca="false">SUMIFS(tabela_registros[VALOR],tabela_registros[MÊS],$AE$1,tabela_registros[DIA],investirrendavariávelconsolidadoago[[#Headers],[24]],tabela_registros[REGISTRO],DADOS!$N$5,tabela_registros[TIPO],DADOS!$AB$4,tabela_registros[CATEGORIA],investirrendavariávelconsolidadoago[[#This Row],[ATUAL]])</f>
        <v>0</v>
      </c>
      <c r="AC138" s="119" t="n">
        <f aca="false">SUMIFS(tabela_registros[VALOR],tabela_registros[MÊS],$AE$1,tabela_registros[DIA],investirrendavariávelconsolidadoago[[#Headers],[25]],tabela_registros[REGISTRO],DADOS!$N$5,tabela_registros[TIPO],DADOS!$AB$4,tabela_registros[CATEGORIA],investirrendavariávelconsolidadoago[[#This Row],[ATUAL]])</f>
        <v>0</v>
      </c>
      <c r="AD138" s="119" t="n">
        <f aca="false">SUMIFS(tabela_registros[VALOR],tabela_registros[MÊS],$AE$1,tabela_registros[DIA],investirrendavariávelconsolidadoago[[#Headers],[26]],tabela_registros[REGISTRO],DADOS!$N$5,tabela_registros[TIPO],DADOS!$AB$4,tabela_registros[CATEGORIA],investirrendavariávelconsolidadoago[[#This Row],[ATUAL]])</f>
        <v>0</v>
      </c>
      <c r="AE138" s="119" t="n">
        <f aca="false">SUMIFS(tabela_registros[VALOR],tabela_registros[MÊS],$AE$1,tabela_registros[DIA],investirrendavariávelconsolidadoago[[#Headers],[27]],tabela_registros[REGISTRO],DADOS!$N$5,tabela_registros[TIPO],DADOS!$AB$4,tabela_registros[CATEGORIA],investirrendavariávelconsolidadoago[[#This Row],[ATUAL]])</f>
        <v>0</v>
      </c>
      <c r="AF138" s="119" t="n">
        <f aca="false">SUMIFS(tabela_registros[VALOR],tabela_registros[MÊS],$AE$1,tabela_registros[DIA],investirrendavariávelconsolidadoago[[#Headers],[28]],tabela_registros[REGISTRO],DADOS!$N$5,tabela_registros[TIPO],DADOS!$AB$4,tabela_registros[CATEGORIA],investirrendavariávelconsolidadoago[[#This Row],[ATUAL]])</f>
        <v>0</v>
      </c>
      <c r="AG138" s="119" t="n">
        <f aca="false">SUMIFS(tabela_registros[VALOR],tabela_registros[MÊS],$AE$1,tabela_registros[DIA],investirrendavariávelconsolidadoago[[#Headers],[29]],tabela_registros[REGISTRO],DADOS!$N$5,tabela_registros[TIPO],DADOS!$AB$4,tabela_registros[CATEGORIA],investirrendavariávelconsolidadoago[[#This Row],[ATUAL]])</f>
        <v>0</v>
      </c>
      <c r="AH138" s="119" t="n">
        <f aca="false">SUMIFS(tabela_registros[VALOR],tabela_registros[MÊS],$AE$1,tabela_registros[DIA],investirrendavariávelconsolidadoago[[#Headers],[30]],tabela_registros[REGISTRO],DADOS!$N$5,tabela_registros[TIPO],DADOS!$AB$4,tabela_registros[CATEGORIA],investirrendavariávelconsolidadoago[[#This Row],[ATUAL]])</f>
        <v>0</v>
      </c>
      <c r="AI138" s="217" t="n">
        <f aca="false">SUMIFS(tabela_registros[VALOR],tabela_registros[MÊS],$AE$1,tabela_registros[DIA],investirrendavariávelconsolidadoago[[#Headers],[31]],tabela_registros[REGISTRO],DADOS!$N$5,tabela_registros[TIPO],DADOS!$AB$4,tabela_registros[CATEGORIA],investirrendavariávelconsolidadoago[[#This Row],[ATUAL]])</f>
        <v>0</v>
      </c>
      <c r="AJ138" s="237" t="n">
        <f aca="false">SUM(investirrendavariávelconsolidadoago[[#This Row],[1]:[31]])</f>
        <v>0</v>
      </c>
      <c r="AK138" s="165"/>
    </row>
    <row r="139" customFormat="false" ht="19.5" hidden="false" customHeight="true" outlineLevel="0" collapsed="false">
      <c r="B139" s="143"/>
      <c r="C139" s="144" t="str">
        <f aca="false">DADOS!$AF$10</f>
        <v>📝 FII</v>
      </c>
      <c r="D139" s="145" t="str">
        <f aca="false">IF(investirrendavariávelconsolidadoago[[#This Row],[TOTAL (R$)]]=0,"",IF(OR(investirrendavariávelconsolidadoago[[#This Row],[TOTAL (R$)]]=LARGE($AJ$132:$AJ$141,1),investirrendavariávelconsolidadoago[[#This Row],[TOTAL (R$)]]=LARGE($AJ$132:$AJ$141,2)),DADOS!$I$10,""))</f>
        <v/>
      </c>
      <c r="E139" s="148" t="n">
        <f aca="false">SUMIFS(tabela_registros[VALOR],tabela_registros[MÊS],$AE$1,tabela_registros[DIA],investirrendavariávelconsolidadoago[[#Headers],[1]],tabela_registros[REGISTRO],DADOS!$N$5,tabela_registros[TIPO],DADOS!$AB$4,tabela_registros[CATEGORIA],investirrendavariávelconsolidadoago[[#This Row],[ATUAL]])</f>
        <v>0</v>
      </c>
      <c r="F139" s="119" t="n">
        <f aca="false">SUMIFS(tabela_registros[VALOR],tabela_registros[MÊS],$AE$1,tabela_registros[DIA],investirrendavariávelconsolidadoago[[#Headers],[2]],tabela_registros[REGISTRO],DADOS!$N$5,tabela_registros[TIPO],DADOS!$AB$4,tabela_registros[CATEGORIA],investirrendavariávelconsolidadoago[[#This Row],[ATUAL]])</f>
        <v>0</v>
      </c>
      <c r="G139" s="119" t="n">
        <f aca="false">SUMIFS(tabela_registros[VALOR],tabela_registros[MÊS],$AE$1,tabela_registros[DIA],investirrendavariávelconsolidadoago[[#Headers],[3]],tabela_registros[REGISTRO],DADOS!$N$5,tabela_registros[TIPO],DADOS!$AB$4,tabela_registros[CATEGORIA],investirrendavariávelconsolidadoago[[#This Row],[ATUAL]])</f>
        <v>0</v>
      </c>
      <c r="H139" s="119" t="n">
        <f aca="false">SUMIFS(tabela_registros[VALOR],tabela_registros[MÊS],$AE$1,tabela_registros[DIA],investirrendavariávelconsolidadoago[[#Headers],[4]],tabela_registros[REGISTRO],DADOS!$N$5,tabela_registros[TIPO],DADOS!$AB$4,tabela_registros[CATEGORIA],investirrendavariávelconsolidadoago[[#This Row],[ATUAL]])</f>
        <v>0</v>
      </c>
      <c r="I139" s="119" t="n">
        <f aca="false">SUMIFS(tabela_registros[VALOR],tabela_registros[MÊS],$AE$1,tabela_registros[DIA],investirrendavariávelconsolidadoago[[#Headers],[5]],tabela_registros[REGISTRO],DADOS!$N$5,tabela_registros[TIPO],DADOS!$AB$4,tabela_registros[CATEGORIA],investirrendavariávelconsolidadoago[[#This Row],[ATUAL]])</f>
        <v>0</v>
      </c>
      <c r="J139" s="119" t="n">
        <f aca="false">SUMIFS(tabela_registros[VALOR],tabela_registros[MÊS],$AE$1,tabela_registros[DIA],investirrendavariávelconsolidadoago[[#Headers],[6]],tabela_registros[REGISTRO],DADOS!$N$5,tabela_registros[TIPO],DADOS!$AB$4,tabela_registros[CATEGORIA],investirrendavariávelconsolidadoago[[#This Row],[ATUAL]])</f>
        <v>0</v>
      </c>
      <c r="K139" s="119" t="n">
        <f aca="false">SUMIFS(tabela_registros[VALOR],tabela_registros[MÊS],$AE$1,tabela_registros[DIA],investirrendavariávelconsolidadoago[[#Headers],[7]],tabela_registros[REGISTRO],DADOS!$N$5,tabela_registros[TIPO],DADOS!$AB$4,tabela_registros[CATEGORIA],investirrendavariávelconsolidadoago[[#This Row],[ATUAL]])</f>
        <v>0</v>
      </c>
      <c r="L139" s="119" t="n">
        <f aca="false">SUMIFS(tabela_registros[VALOR],tabela_registros[MÊS],$AE$1,tabela_registros[DIA],investirrendavariávelconsolidadoago[[#Headers],[8]],tabela_registros[REGISTRO],DADOS!$N$5,tabela_registros[TIPO],DADOS!$AB$4,tabela_registros[CATEGORIA],investirrendavariávelconsolidadoago[[#This Row],[ATUAL]])</f>
        <v>0</v>
      </c>
      <c r="M139" s="119" t="n">
        <f aca="false">SUMIFS(tabela_registros[VALOR],tabela_registros[MÊS],$AE$1,tabela_registros[DIA],investirrendavariávelconsolidadoago[[#Headers],[9]],tabela_registros[REGISTRO],DADOS!$N$5,tabela_registros[TIPO],DADOS!$AB$4,tabela_registros[CATEGORIA],investirrendavariávelconsolidadoago[[#This Row],[ATUAL]])</f>
        <v>0</v>
      </c>
      <c r="N139" s="119" t="n">
        <f aca="false">SUMIFS(tabela_registros[VALOR],tabela_registros[MÊS],$AE$1,tabela_registros[DIA],investirrendavariávelconsolidadoago[[#Headers],[10]],tabela_registros[REGISTRO],DADOS!$N$5,tabela_registros[TIPO],DADOS!$AB$4,tabela_registros[CATEGORIA],investirrendavariávelconsolidadoago[[#This Row],[ATUAL]])</f>
        <v>0</v>
      </c>
      <c r="O139" s="119" t="n">
        <f aca="false">SUMIFS(tabela_registros[VALOR],tabela_registros[MÊS],$AE$1,tabela_registros[DIA],investirrendavariávelconsolidadoago[[#Headers],[11]],tabela_registros[REGISTRO],DADOS!$N$5,tabela_registros[TIPO],DADOS!$AB$4,tabela_registros[CATEGORIA],investirrendavariávelconsolidadoago[[#This Row],[ATUAL]])</f>
        <v>0</v>
      </c>
      <c r="P139" s="119" t="n">
        <f aca="false">SUMIFS(tabela_registros[VALOR],tabela_registros[MÊS],$AE$1,tabela_registros[DIA],investirrendavariávelconsolidadoago[[#Headers],[12]],tabela_registros[REGISTRO],DADOS!$N$5,tabela_registros[TIPO],DADOS!$AB$4,tabela_registros[CATEGORIA],investirrendavariávelconsolidadoago[[#This Row],[ATUAL]])</f>
        <v>0</v>
      </c>
      <c r="Q139" s="119" t="n">
        <f aca="false">SUMIFS(tabela_registros[VALOR],tabela_registros[MÊS],$AE$1,tabela_registros[DIA],investirrendavariávelconsolidadoago[[#Headers],[13]],tabela_registros[REGISTRO],DADOS!$N$5,tabela_registros[TIPO],DADOS!$AB$4,tabela_registros[CATEGORIA],investirrendavariávelconsolidadoago[[#This Row],[ATUAL]])</f>
        <v>0</v>
      </c>
      <c r="R139" s="119" t="n">
        <f aca="false">SUMIFS(tabela_registros[VALOR],tabela_registros[MÊS],$AE$1,tabela_registros[DIA],investirrendavariávelconsolidadoago[[#Headers],[14]],tabela_registros[REGISTRO],DADOS!$N$5,tabela_registros[TIPO],DADOS!$AB$4,tabela_registros[CATEGORIA],investirrendavariávelconsolidadoago[[#This Row],[ATUAL]])</f>
        <v>0</v>
      </c>
      <c r="S139" s="119" t="n">
        <f aca="false">SUMIFS(tabela_registros[VALOR],tabela_registros[MÊS],$AE$1,tabela_registros[DIA],investirrendavariávelconsolidadoago[[#Headers],[15]],tabela_registros[REGISTRO],DADOS!$N$5,tabela_registros[TIPO],DADOS!$AB$4,tabela_registros[CATEGORIA],investirrendavariávelconsolidadoago[[#This Row],[ATUAL]])</f>
        <v>0</v>
      </c>
      <c r="T139" s="119" t="n">
        <f aca="false">SUMIFS(tabela_registros[VALOR],tabela_registros[MÊS],$AE$1,tabela_registros[DIA],investirrendavariávelconsolidadoago[[#Headers],[16]],tabela_registros[REGISTRO],DADOS!$N$5,tabela_registros[TIPO],DADOS!$AB$4,tabela_registros[CATEGORIA],investirrendavariávelconsolidadoago[[#This Row],[ATUAL]])</f>
        <v>0</v>
      </c>
      <c r="U139" s="119" t="n">
        <f aca="false">SUMIFS(tabela_registros[VALOR],tabela_registros[MÊS],$AE$1,tabela_registros[DIA],investirrendavariávelconsolidadoago[[#Headers],[17]],tabela_registros[REGISTRO],DADOS!$N$5,tabela_registros[TIPO],DADOS!$AB$4,tabela_registros[CATEGORIA],investirrendavariávelconsolidadoago[[#This Row],[ATUAL]])</f>
        <v>0</v>
      </c>
      <c r="V139" s="119" t="n">
        <f aca="false">SUMIFS(tabela_registros[VALOR],tabela_registros[MÊS],$AE$1,tabela_registros[DIA],investirrendavariávelconsolidadoago[[#Headers],[18]],tabela_registros[REGISTRO],DADOS!$N$5,tabela_registros[TIPO],DADOS!$AB$4,tabela_registros[CATEGORIA],investirrendavariávelconsolidadoago[[#This Row],[ATUAL]])</f>
        <v>0</v>
      </c>
      <c r="W139" s="119" t="n">
        <f aca="false">SUMIFS(tabela_registros[VALOR],tabela_registros[MÊS],$AE$1,tabela_registros[DIA],investirrendavariávelconsolidadoago[[#Headers],[19]],tabela_registros[REGISTRO],DADOS!$N$5,tabela_registros[TIPO],DADOS!$AB$4,tabela_registros[CATEGORIA],investirrendavariávelconsolidadoago[[#This Row],[ATUAL]])</f>
        <v>0</v>
      </c>
      <c r="X139" s="119" t="n">
        <f aca="false">SUMIFS(tabela_registros[VALOR],tabela_registros[MÊS],$AE$1,tabela_registros[DIA],investirrendavariávelconsolidadoago[[#Headers],[20]],tabela_registros[REGISTRO],DADOS!$N$5,tabela_registros[TIPO],DADOS!$AB$4,tabela_registros[CATEGORIA],investirrendavariávelconsolidadoago[[#This Row],[ATUAL]])</f>
        <v>0</v>
      </c>
      <c r="Y139" s="119" t="n">
        <f aca="false">SUMIFS(tabela_registros[VALOR],tabela_registros[MÊS],$AE$1,tabela_registros[DIA],investirrendavariávelconsolidadoago[[#Headers],[21]],tabela_registros[REGISTRO],DADOS!$N$5,tabela_registros[TIPO],DADOS!$AB$4,tabela_registros[CATEGORIA],investirrendavariávelconsolidadoago[[#This Row],[ATUAL]])</f>
        <v>0</v>
      </c>
      <c r="Z139" s="119" t="n">
        <f aca="false">SUMIFS(tabela_registros[VALOR],tabela_registros[MÊS],$AE$1,tabela_registros[DIA],investirrendavariávelconsolidadoago[[#Headers],[22]],tabela_registros[REGISTRO],DADOS!$N$5,tabela_registros[TIPO],DADOS!$AB$4,tabela_registros[CATEGORIA],investirrendavariávelconsolidadoago[[#This Row],[ATUAL]])</f>
        <v>0</v>
      </c>
      <c r="AA139" s="119" t="n">
        <f aca="false">SUMIFS(tabela_registros[VALOR],tabela_registros[MÊS],$AE$1,tabela_registros[DIA],investirrendavariávelconsolidadoago[[#Headers],[23]],tabela_registros[REGISTRO],DADOS!$N$5,tabela_registros[TIPO],DADOS!$AB$4,tabela_registros[CATEGORIA],investirrendavariávelconsolidadoago[[#This Row],[ATUAL]])</f>
        <v>0</v>
      </c>
      <c r="AB139" s="119" t="n">
        <f aca="false">SUMIFS(tabela_registros[VALOR],tabela_registros[MÊS],$AE$1,tabela_registros[DIA],investirrendavariávelconsolidadoago[[#Headers],[24]],tabela_registros[REGISTRO],DADOS!$N$5,tabela_registros[TIPO],DADOS!$AB$4,tabela_registros[CATEGORIA],investirrendavariávelconsolidadoago[[#This Row],[ATUAL]])</f>
        <v>0</v>
      </c>
      <c r="AC139" s="119" t="n">
        <f aca="false">SUMIFS(tabela_registros[VALOR],tabela_registros[MÊS],$AE$1,tabela_registros[DIA],investirrendavariávelconsolidadoago[[#Headers],[25]],tabela_registros[REGISTRO],DADOS!$N$5,tabela_registros[TIPO],DADOS!$AB$4,tabela_registros[CATEGORIA],investirrendavariávelconsolidadoago[[#This Row],[ATUAL]])</f>
        <v>0</v>
      </c>
      <c r="AD139" s="119" t="n">
        <f aca="false">SUMIFS(tabela_registros[VALOR],tabela_registros[MÊS],$AE$1,tabela_registros[DIA],investirrendavariávelconsolidadoago[[#Headers],[26]],tabela_registros[REGISTRO],DADOS!$N$5,tabela_registros[TIPO],DADOS!$AB$4,tabela_registros[CATEGORIA],investirrendavariávelconsolidadoago[[#This Row],[ATUAL]])</f>
        <v>0</v>
      </c>
      <c r="AE139" s="119" t="n">
        <f aca="false">SUMIFS(tabela_registros[VALOR],tabela_registros[MÊS],$AE$1,tabela_registros[DIA],investirrendavariávelconsolidadoago[[#Headers],[27]],tabela_registros[REGISTRO],DADOS!$N$5,tabela_registros[TIPO],DADOS!$AB$4,tabela_registros[CATEGORIA],investirrendavariávelconsolidadoago[[#This Row],[ATUAL]])</f>
        <v>0</v>
      </c>
      <c r="AF139" s="119" t="n">
        <f aca="false">SUMIFS(tabela_registros[VALOR],tabela_registros[MÊS],$AE$1,tabela_registros[DIA],investirrendavariávelconsolidadoago[[#Headers],[28]],tabela_registros[REGISTRO],DADOS!$N$5,tabela_registros[TIPO],DADOS!$AB$4,tabela_registros[CATEGORIA],investirrendavariávelconsolidadoago[[#This Row],[ATUAL]])</f>
        <v>0</v>
      </c>
      <c r="AG139" s="119" t="n">
        <f aca="false">SUMIFS(tabela_registros[VALOR],tabela_registros[MÊS],$AE$1,tabela_registros[DIA],investirrendavariávelconsolidadoago[[#Headers],[29]],tabela_registros[REGISTRO],DADOS!$N$5,tabela_registros[TIPO],DADOS!$AB$4,tabela_registros[CATEGORIA],investirrendavariávelconsolidadoago[[#This Row],[ATUAL]])</f>
        <v>0</v>
      </c>
      <c r="AH139" s="119" t="n">
        <f aca="false">SUMIFS(tabela_registros[VALOR],tabela_registros[MÊS],$AE$1,tabela_registros[DIA],investirrendavariávelconsolidadoago[[#Headers],[30]],tabela_registros[REGISTRO],DADOS!$N$5,tabela_registros[TIPO],DADOS!$AB$4,tabela_registros[CATEGORIA],investirrendavariávelconsolidadoago[[#This Row],[ATUAL]])</f>
        <v>0</v>
      </c>
      <c r="AI139" s="217" t="n">
        <f aca="false">SUMIFS(tabela_registros[VALOR],tabela_registros[MÊS],$AE$1,tabela_registros[DIA],investirrendavariávelconsolidadoago[[#Headers],[31]],tabela_registros[REGISTRO],DADOS!$N$5,tabela_registros[TIPO],DADOS!$AB$4,tabela_registros[CATEGORIA],investirrendavariávelconsolidadoago[[#This Row],[ATUAL]])</f>
        <v>0</v>
      </c>
      <c r="AJ139" s="237" t="n">
        <f aca="false">SUM(investirrendavariávelconsolidadoago[[#This Row],[1]:[31]])</f>
        <v>0</v>
      </c>
      <c r="AK139" s="165"/>
    </row>
    <row r="140" customFormat="false" ht="19.5" hidden="false" customHeight="true" outlineLevel="0" collapsed="false">
      <c r="B140" s="143"/>
      <c r="C140" s="144" t="str">
        <f aca="false">DADOS!$AF$11</f>
        <v>📝 MOEDA</v>
      </c>
      <c r="D140" s="145" t="str">
        <f aca="false">IF(investirrendavariávelconsolidadoago[[#This Row],[TOTAL (R$)]]=0,"",IF(OR(investirrendavariávelconsolidadoago[[#This Row],[TOTAL (R$)]]=LARGE($AJ$132:$AJ$141,1),investirrendavariávelconsolidadoago[[#This Row],[TOTAL (R$)]]=LARGE($AJ$132:$AJ$141,2)),DADOS!$I$10,""))</f>
        <v/>
      </c>
      <c r="E140" s="148" t="n">
        <f aca="false">SUMIFS(tabela_registros[VALOR],tabela_registros[MÊS],$AE$1,tabela_registros[DIA],investirrendavariávelconsolidadoago[[#Headers],[1]],tabela_registros[REGISTRO],DADOS!$N$5,tabela_registros[TIPO],DADOS!$AB$4,tabela_registros[CATEGORIA],investirrendavariávelconsolidadoago[[#This Row],[ATUAL]])</f>
        <v>0</v>
      </c>
      <c r="F140" s="119" t="n">
        <f aca="false">SUMIFS(tabela_registros[VALOR],tabela_registros[MÊS],$AE$1,tabela_registros[DIA],investirrendavariávelconsolidadoago[[#Headers],[2]],tabela_registros[REGISTRO],DADOS!$N$5,tabela_registros[TIPO],DADOS!$AB$4,tabela_registros[CATEGORIA],investirrendavariávelconsolidadoago[[#This Row],[ATUAL]])</f>
        <v>0</v>
      </c>
      <c r="G140" s="119" t="n">
        <f aca="false">SUMIFS(tabela_registros[VALOR],tabela_registros[MÊS],$AE$1,tabela_registros[DIA],investirrendavariávelconsolidadoago[[#Headers],[3]],tabela_registros[REGISTRO],DADOS!$N$5,tabela_registros[TIPO],DADOS!$AB$4,tabela_registros[CATEGORIA],investirrendavariávelconsolidadoago[[#This Row],[ATUAL]])</f>
        <v>0</v>
      </c>
      <c r="H140" s="119" t="n">
        <f aca="false">SUMIFS(tabela_registros[VALOR],tabela_registros[MÊS],$AE$1,tabela_registros[DIA],investirrendavariávelconsolidadoago[[#Headers],[4]],tabela_registros[REGISTRO],DADOS!$N$5,tabela_registros[TIPO],DADOS!$AB$4,tabela_registros[CATEGORIA],investirrendavariávelconsolidadoago[[#This Row],[ATUAL]])</f>
        <v>0</v>
      </c>
      <c r="I140" s="119" t="n">
        <f aca="false">SUMIFS(tabela_registros[VALOR],tabela_registros[MÊS],$AE$1,tabela_registros[DIA],investirrendavariávelconsolidadoago[[#Headers],[5]],tabela_registros[REGISTRO],DADOS!$N$5,tabela_registros[TIPO],DADOS!$AB$4,tabela_registros[CATEGORIA],investirrendavariávelconsolidadoago[[#This Row],[ATUAL]])</f>
        <v>0</v>
      </c>
      <c r="J140" s="119" t="n">
        <f aca="false">SUMIFS(tabela_registros[VALOR],tabela_registros[MÊS],$AE$1,tabela_registros[DIA],investirrendavariávelconsolidadoago[[#Headers],[6]],tabela_registros[REGISTRO],DADOS!$N$5,tabela_registros[TIPO],DADOS!$AB$4,tabela_registros[CATEGORIA],investirrendavariávelconsolidadoago[[#This Row],[ATUAL]])</f>
        <v>0</v>
      </c>
      <c r="K140" s="119" t="n">
        <f aca="false">SUMIFS(tabela_registros[VALOR],tabela_registros[MÊS],$AE$1,tabela_registros[DIA],investirrendavariávelconsolidadoago[[#Headers],[7]],tabela_registros[REGISTRO],DADOS!$N$5,tabela_registros[TIPO],DADOS!$AB$4,tabela_registros[CATEGORIA],investirrendavariávelconsolidadoago[[#This Row],[ATUAL]])</f>
        <v>0</v>
      </c>
      <c r="L140" s="119" t="n">
        <f aca="false">SUMIFS(tabela_registros[VALOR],tabela_registros[MÊS],$AE$1,tabela_registros[DIA],investirrendavariávelconsolidadoago[[#Headers],[8]],tabela_registros[REGISTRO],DADOS!$N$5,tabela_registros[TIPO],DADOS!$AB$4,tabela_registros[CATEGORIA],investirrendavariávelconsolidadoago[[#This Row],[ATUAL]])</f>
        <v>0</v>
      </c>
      <c r="M140" s="119" t="n">
        <f aca="false">SUMIFS(tabela_registros[VALOR],tabela_registros[MÊS],$AE$1,tabela_registros[DIA],investirrendavariávelconsolidadoago[[#Headers],[9]],tabela_registros[REGISTRO],DADOS!$N$5,tabela_registros[TIPO],DADOS!$AB$4,tabela_registros[CATEGORIA],investirrendavariávelconsolidadoago[[#This Row],[ATUAL]])</f>
        <v>0</v>
      </c>
      <c r="N140" s="119" t="n">
        <f aca="false">SUMIFS(tabela_registros[VALOR],tabela_registros[MÊS],$AE$1,tabela_registros[DIA],investirrendavariávelconsolidadoago[[#Headers],[10]],tabela_registros[REGISTRO],DADOS!$N$5,tabela_registros[TIPO],DADOS!$AB$4,tabela_registros[CATEGORIA],investirrendavariávelconsolidadoago[[#This Row],[ATUAL]])</f>
        <v>0</v>
      </c>
      <c r="O140" s="119" t="n">
        <f aca="false">SUMIFS(tabela_registros[VALOR],tabela_registros[MÊS],$AE$1,tabela_registros[DIA],investirrendavariávelconsolidadoago[[#Headers],[11]],tabela_registros[REGISTRO],DADOS!$N$5,tabela_registros[TIPO],DADOS!$AB$4,tabela_registros[CATEGORIA],investirrendavariávelconsolidadoago[[#This Row],[ATUAL]])</f>
        <v>0</v>
      </c>
      <c r="P140" s="119" t="n">
        <f aca="false">SUMIFS(tabela_registros[VALOR],tabela_registros[MÊS],$AE$1,tabela_registros[DIA],investirrendavariávelconsolidadoago[[#Headers],[12]],tabela_registros[REGISTRO],DADOS!$N$5,tabela_registros[TIPO],DADOS!$AB$4,tabela_registros[CATEGORIA],investirrendavariávelconsolidadoago[[#This Row],[ATUAL]])</f>
        <v>0</v>
      </c>
      <c r="Q140" s="119" t="n">
        <f aca="false">SUMIFS(tabela_registros[VALOR],tabela_registros[MÊS],$AE$1,tabela_registros[DIA],investirrendavariávelconsolidadoago[[#Headers],[13]],tabela_registros[REGISTRO],DADOS!$N$5,tabela_registros[TIPO],DADOS!$AB$4,tabela_registros[CATEGORIA],investirrendavariávelconsolidadoago[[#This Row],[ATUAL]])</f>
        <v>0</v>
      </c>
      <c r="R140" s="119" t="n">
        <f aca="false">SUMIFS(tabela_registros[VALOR],tabela_registros[MÊS],$AE$1,tabela_registros[DIA],investirrendavariávelconsolidadoago[[#Headers],[14]],tabela_registros[REGISTRO],DADOS!$N$5,tabela_registros[TIPO],DADOS!$AB$4,tabela_registros[CATEGORIA],investirrendavariávelconsolidadoago[[#This Row],[ATUAL]])</f>
        <v>0</v>
      </c>
      <c r="S140" s="119" t="n">
        <f aca="false">SUMIFS(tabela_registros[VALOR],tabela_registros[MÊS],$AE$1,tabela_registros[DIA],investirrendavariávelconsolidadoago[[#Headers],[15]],tabela_registros[REGISTRO],DADOS!$N$5,tabela_registros[TIPO],DADOS!$AB$4,tabela_registros[CATEGORIA],investirrendavariávelconsolidadoago[[#This Row],[ATUAL]])</f>
        <v>0</v>
      </c>
      <c r="T140" s="119" t="n">
        <f aca="false">SUMIFS(tabela_registros[VALOR],tabela_registros[MÊS],$AE$1,tabela_registros[DIA],investirrendavariávelconsolidadoago[[#Headers],[16]],tabela_registros[REGISTRO],DADOS!$N$5,tabela_registros[TIPO],DADOS!$AB$4,tabela_registros[CATEGORIA],investirrendavariávelconsolidadoago[[#This Row],[ATUAL]])</f>
        <v>0</v>
      </c>
      <c r="U140" s="119" t="n">
        <f aca="false">SUMIFS(tabela_registros[VALOR],tabela_registros[MÊS],$AE$1,tabela_registros[DIA],investirrendavariávelconsolidadoago[[#Headers],[17]],tabela_registros[REGISTRO],DADOS!$N$5,tabela_registros[TIPO],DADOS!$AB$4,tabela_registros[CATEGORIA],investirrendavariávelconsolidadoago[[#This Row],[ATUAL]])</f>
        <v>0</v>
      </c>
      <c r="V140" s="119" t="n">
        <f aca="false">SUMIFS(tabela_registros[VALOR],tabela_registros[MÊS],$AE$1,tabela_registros[DIA],investirrendavariávelconsolidadoago[[#Headers],[18]],tabela_registros[REGISTRO],DADOS!$N$5,tabela_registros[TIPO],DADOS!$AB$4,tabela_registros[CATEGORIA],investirrendavariávelconsolidadoago[[#This Row],[ATUAL]])</f>
        <v>0</v>
      </c>
      <c r="W140" s="119" t="n">
        <f aca="false">SUMIFS(tabela_registros[VALOR],tabela_registros[MÊS],$AE$1,tabela_registros[DIA],investirrendavariávelconsolidadoago[[#Headers],[19]],tabela_registros[REGISTRO],DADOS!$N$5,tabela_registros[TIPO],DADOS!$AB$4,tabela_registros[CATEGORIA],investirrendavariávelconsolidadoago[[#This Row],[ATUAL]])</f>
        <v>0</v>
      </c>
      <c r="X140" s="119" t="n">
        <f aca="false">SUMIFS(tabela_registros[VALOR],tabela_registros[MÊS],$AE$1,tabela_registros[DIA],investirrendavariávelconsolidadoago[[#Headers],[20]],tabela_registros[REGISTRO],DADOS!$N$5,tabela_registros[TIPO],DADOS!$AB$4,tabela_registros[CATEGORIA],investirrendavariávelconsolidadoago[[#This Row],[ATUAL]])</f>
        <v>0</v>
      </c>
      <c r="Y140" s="119" t="n">
        <f aca="false">SUMIFS(tabela_registros[VALOR],tabela_registros[MÊS],$AE$1,tabela_registros[DIA],investirrendavariávelconsolidadoago[[#Headers],[21]],tabela_registros[REGISTRO],DADOS!$N$5,tabela_registros[TIPO],DADOS!$AB$4,tabela_registros[CATEGORIA],investirrendavariávelconsolidadoago[[#This Row],[ATUAL]])</f>
        <v>0</v>
      </c>
      <c r="Z140" s="119" t="n">
        <f aca="false">SUMIFS(tabela_registros[VALOR],tabela_registros[MÊS],$AE$1,tabela_registros[DIA],investirrendavariávelconsolidadoago[[#Headers],[22]],tabela_registros[REGISTRO],DADOS!$N$5,tabela_registros[TIPO],DADOS!$AB$4,tabela_registros[CATEGORIA],investirrendavariávelconsolidadoago[[#This Row],[ATUAL]])</f>
        <v>0</v>
      </c>
      <c r="AA140" s="119" t="n">
        <f aca="false">SUMIFS(tabela_registros[VALOR],tabela_registros[MÊS],$AE$1,tabela_registros[DIA],investirrendavariávelconsolidadoago[[#Headers],[23]],tabela_registros[REGISTRO],DADOS!$N$5,tabela_registros[TIPO],DADOS!$AB$4,tabela_registros[CATEGORIA],investirrendavariávelconsolidadoago[[#This Row],[ATUAL]])</f>
        <v>0</v>
      </c>
      <c r="AB140" s="119" t="n">
        <f aca="false">SUMIFS(tabela_registros[VALOR],tabela_registros[MÊS],$AE$1,tabela_registros[DIA],investirrendavariávelconsolidadoago[[#Headers],[24]],tabela_registros[REGISTRO],DADOS!$N$5,tabela_registros[TIPO],DADOS!$AB$4,tabela_registros[CATEGORIA],investirrendavariávelconsolidadoago[[#This Row],[ATUAL]])</f>
        <v>0</v>
      </c>
      <c r="AC140" s="119" t="n">
        <f aca="false">SUMIFS(tabela_registros[VALOR],tabela_registros[MÊS],$AE$1,tabela_registros[DIA],investirrendavariávelconsolidadoago[[#Headers],[25]],tabela_registros[REGISTRO],DADOS!$N$5,tabela_registros[TIPO],DADOS!$AB$4,tabela_registros[CATEGORIA],investirrendavariávelconsolidadoago[[#This Row],[ATUAL]])</f>
        <v>0</v>
      </c>
      <c r="AD140" s="119" t="n">
        <f aca="false">SUMIFS(tabela_registros[VALOR],tabela_registros[MÊS],$AE$1,tabela_registros[DIA],investirrendavariávelconsolidadoago[[#Headers],[26]],tabela_registros[REGISTRO],DADOS!$N$5,tabela_registros[TIPO],DADOS!$AB$4,tabela_registros[CATEGORIA],investirrendavariávelconsolidadoago[[#This Row],[ATUAL]])</f>
        <v>0</v>
      </c>
      <c r="AE140" s="119" t="n">
        <f aca="false">SUMIFS(tabela_registros[VALOR],tabela_registros[MÊS],$AE$1,tabela_registros[DIA],investirrendavariávelconsolidadoago[[#Headers],[27]],tabela_registros[REGISTRO],DADOS!$N$5,tabela_registros[TIPO],DADOS!$AB$4,tabela_registros[CATEGORIA],investirrendavariávelconsolidadoago[[#This Row],[ATUAL]])</f>
        <v>0</v>
      </c>
      <c r="AF140" s="119" t="n">
        <f aca="false">SUMIFS(tabela_registros[VALOR],tabela_registros[MÊS],$AE$1,tabela_registros[DIA],investirrendavariávelconsolidadoago[[#Headers],[28]],tabela_registros[REGISTRO],DADOS!$N$5,tabela_registros[TIPO],DADOS!$AB$4,tabela_registros[CATEGORIA],investirrendavariávelconsolidadoago[[#This Row],[ATUAL]])</f>
        <v>0</v>
      </c>
      <c r="AG140" s="119" t="n">
        <f aca="false">SUMIFS(tabela_registros[VALOR],tabela_registros[MÊS],$AE$1,tabela_registros[DIA],investirrendavariávelconsolidadoago[[#Headers],[29]],tabela_registros[REGISTRO],DADOS!$N$5,tabela_registros[TIPO],DADOS!$AB$4,tabela_registros[CATEGORIA],investirrendavariávelconsolidadoago[[#This Row],[ATUAL]])</f>
        <v>0</v>
      </c>
      <c r="AH140" s="119" t="n">
        <f aca="false">SUMIFS(tabela_registros[VALOR],tabela_registros[MÊS],$AE$1,tabela_registros[DIA],investirrendavariávelconsolidadoago[[#Headers],[30]],tabela_registros[REGISTRO],DADOS!$N$5,tabela_registros[TIPO],DADOS!$AB$4,tabela_registros[CATEGORIA],investirrendavariávelconsolidadoago[[#This Row],[ATUAL]])</f>
        <v>0</v>
      </c>
      <c r="AI140" s="217" t="n">
        <f aca="false">SUMIFS(tabela_registros[VALOR],tabela_registros[MÊS],$AE$1,tabela_registros[DIA],investirrendavariávelconsolidadoago[[#Headers],[31]],tabela_registros[REGISTRO],DADOS!$N$5,tabela_registros[TIPO],DADOS!$AB$4,tabela_registros[CATEGORIA],investirrendavariávelconsolidadoago[[#This Row],[ATUAL]])</f>
        <v>0</v>
      </c>
      <c r="AJ140" s="237" t="n">
        <f aca="false">SUM(investirrendavariávelconsolidadoago[[#This Row],[1]:[31]])</f>
        <v>0</v>
      </c>
      <c r="AK140" s="165"/>
    </row>
    <row r="141" customFormat="false" ht="19.5" hidden="false" customHeight="true" outlineLevel="0" collapsed="false">
      <c r="B141" s="143"/>
      <c r="C141" s="144" t="str">
        <f aca="false">DADOS!$AF$12</f>
        <v>📎 OUTROS</v>
      </c>
      <c r="D141" s="145" t="str">
        <f aca="false">IF(investirrendavariávelconsolidadoago[[#This Row],[TOTAL (R$)]]=0,"",IF(OR(investirrendavariávelconsolidadoago[[#This Row],[TOTAL (R$)]]=LARGE($AJ$132:$AJ$141,1),investirrendavariávelconsolidadoago[[#This Row],[TOTAL (R$)]]=LARGE($AJ$132:$AJ$141,2)),DADOS!$I$10,""))</f>
        <v/>
      </c>
      <c r="E141" s="148" t="n">
        <f aca="false">SUMIFS(tabela_registros[VALOR],tabela_registros[MÊS],$AE$1,tabela_registros[DIA],investirrendavariávelconsolidadoago[[#Headers],[1]],tabela_registros[REGISTRO],DADOS!$N$5,tabela_registros[TIPO],DADOS!$AB$4,tabela_registros[CATEGORIA],investirrendavariávelconsolidadoago[[#This Row],[ATUAL]])</f>
        <v>0</v>
      </c>
      <c r="F141" s="119" t="n">
        <f aca="false">SUMIFS(tabela_registros[VALOR],tabela_registros[MÊS],$AE$1,tabela_registros[DIA],investirrendavariávelconsolidadoago[[#Headers],[2]],tabela_registros[REGISTRO],DADOS!$N$5,tabela_registros[TIPO],DADOS!$AB$4,tabela_registros[CATEGORIA],investirrendavariávelconsolidadoago[[#This Row],[ATUAL]])</f>
        <v>0</v>
      </c>
      <c r="G141" s="119" t="n">
        <f aca="false">SUMIFS(tabela_registros[VALOR],tabela_registros[MÊS],$AE$1,tabela_registros[DIA],investirrendavariávelconsolidadoago[[#Headers],[3]],tabela_registros[REGISTRO],DADOS!$N$5,tabela_registros[TIPO],DADOS!$AB$4,tabela_registros[CATEGORIA],investirrendavariávelconsolidadoago[[#This Row],[ATUAL]])</f>
        <v>0</v>
      </c>
      <c r="H141" s="119" t="n">
        <f aca="false">SUMIFS(tabela_registros[VALOR],tabela_registros[MÊS],$AE$1,tabela_registros[DIA],investirrendavariávelconsolidadoago[[#Headers],[4]],tabela_registros[REGISTRO],DADOS!$N$5,tabela_registros[TIPO],DADOS!$AB$4,tabela_registros[CATEGORIA],investirrendavariávelconsolidadoago[[#This Row],[ATUAL]])</f>
        <v>0</v>
      </c>
      <c r="I141" s="119" t="n">
        <f aca="false">SUMIFS(tabela_registros[VALOR],tabela_registros[MÊS],$AE$1,tabela_registros[DIA],investirrendavariávelconsolidadoago[[#Headers],[5]],tabela_registros[REGISTRO],DADOS!$N$5,tabela_registros[TIPO],DADOS!$AB$4,tabela_registros[CATEGORIA],investirrendavariávelconsolidadoago[[#This Row],[ATUAL]])</f>
        <v>0</v>
      </c>
      <c r="J141" s="119" t="n">
        <f aca="false">SUMIFS(tabela_registros[VALOR],tabela_registros[MÊS],$AE$1,tabela_registros[DIA],investirrendavariávelconsolidadoago[[#Headers],[6]],tabela_registros[REGISTRO],DADOS!$N$5,tabela_registros[TIPO],DADOS!$AB$4,tabela_registros[CATEGORIA],investirrendavariávelconsolidadoago[[#This Row],[ATUAL]])</f>
        <v>0</v>
      </c>
      <c r="K141" s="119" t="n">
        <f aca="false">SUMIFS(tabela_registros[VALOR],tabela_registros[MÊS],$AE$1,tabela_registros[DIA],investirrendavariávelconsolidadoago[[#Headers],[7]],tabela_registros[REGISTRO],DADOS!$N$5,tabela_registros[TIPO],DADOS!$AB$4,tabela_registros[CATEGORIA],investirrendavariávelconsolidadoago[[#This Row],[ATUAL]])</f>
        <v>0</v>
      </c>
      <c r="L141" s="119" t="n">
        <f aca="false">SUMIFS(tabela_registros[VALOR],tabela_registros[MÊS],$AE$1,tabela_registros[DIA],investirrendavariávelconsolidadoago[[#Headers],[8]],tabela_registros[REGISTRO],DADOS!$N$5,tabela_registros[TIPO],DADOS!$AB$4,tabela_registros[CATEGORIA],investirrendavariávelconsolidadoago[[#This Row],[ATUAL]])</f>
        <v>0</v>
      </c>
      <c r="M141" s="119" t="n">
        <f aca="false">SUMIFS(tabela_registros[VALOR],tabela_registros[MÊS],$AE$1,tabela_registros[DIA],investirrendavariávelconsolidadoago[[#Headers],[9]],tabela_registros[REGISTRO],DADOS!$N$5,tabela_registros[TIPO],DADOS!$AB$4,tabela_registros[CATEGORIA],investirrendavariávelconsolidadoago[[#This Row],[ATUAL]])</f>
        <v>0</v>
      </c>
      <c r="N141" s="119" t="n">
        <f aca="false">SUMIFS(tabela_registros[VALOR],tabela_registros[MÊS],$AE$1,tabela_registros[DIA],investirrendavariávelconsolidadoago[[#Headers],[10]],tabela_registros[REGISTRO],DADOS!$N$5,tabela_registros[TIPO],DADOS!$AB$4,tabela_registros[CATEGORIA],investirrendavariávelconsolidadoago[[#This Row],[ATUAL]])</f>
        <v>0</v>
      </c>
      <c r="O141" s="119" t="n">
        <f aca="false">SUMIFS(tabela_registros[VALOR],tabela_registros[MÊS],$AE$1,tabela_registros[DIA],investirrendavariávelconsolidadoago[[#Headers],[11]],tabela_registros[REGISTRO],DADOS!$N$5,tabela_registros[TIPO],DADOS!$AB$4,tabela_registros[CATEGORIA],investirrendavariávelconsolidadoago[[#This Row],[ATUAL]])</f>
        <v>0</v>
      </c>
      <c r="P141" s="119" t="n">
        <f aca="false">SUMIFS(tabela_registros[VALOR],tabela_registros[MÊS],$AE$1,tabela_registros[DIA],investirrendavariávelconsolidadoago[[#Headers],[12]],tabela_registros[REGISTRO],DADOS!$N$5,tabela_registros[TIPO],DADOS!$AB$4,tabela_registros[CATEGORIA],investirrendavariávelconsolidadoago[[#This Row],[ATUAL]])</f>
        <v>0</v>
      </c>
      <c r="Q141" s="119" t="n">
        <f aca="false">SUMIFS(tabela_registros[VALOR],tabela_registros[MÊS],$AE$1,tabela_registros[DIA],investirrendavariávelconsolidadoago[[#Headers],[13]],tabela_registros[REGISTRO],DADOS!$N$5,tabela_registros[TIPO],DADOS!$AB$4,tabela_registros[CATEGORIA],investirrendavariávelconsolidadoago[[#This Row],[ATUAL]])</f>
        <v>0</v>
      </c>
      <c r="R141" s="119" t="n">
        <f aca="false">SUMIFS(tabela_registros[VALOR],tabela_registros[MÊS],$AE$1,tabela_registros[DIA],investirrendavariávelconsolidadoago[[#Headers],[14]],tabela_registros[REGISTRO],DADOS!$N$5,tabela_registros[TIPO],DADOS!$AB$4,tabela_registros[CATEGORIA],investirrendavariávelconsolidadoago[[#This Row],[ATUAL]])</f>
        <v>0</v>
      </c>
      <c r="S141" s="119" t="n">
        <f aca="false">SUMIFS(tabela_registros[VALOR],tabela_registros[MÊS],$AE$1,tabela_registros[DIA],investirrendavariávelconsolidadoago[[#Headers],[15]],tabela_registros[REGISTRO],DADOS!$N$5,tabela_registros[TIPO],DADOS!$AB$4,tabela_registros[CATEGORIA],investirrendavariávelconsolidadoago[[#This Row],[ATUAL]])</f>
        <v>0</v>
      </c>
      <c r="T141" s="119" t="n">
        <f aca="false">SUMIFS(tabela_registros[VALOR],tabela_registros[MÊS],$AE$1,tabela_registros[DIA],investirrendavariávelconsolidadoago[[#Headers],[16]],tabela_registros[REGISTRO],DADOS!$N$5,tabela_registros[TIPO],DADOS!$AB$4,tabela_registros[CATEGORIA],investirrendavariávelconsolidadoago[[#This Row],[ATUAL]])</f>
        <v>0</v>
      </c>
      <c r="U141" s="119" t="n">
        <f aca="false">SUMIFS(tabela_registros[VALOR],tabela_registros[MÊS],$AE$1,tabela_registros[DIA],investirrendavariávelconsolidadoago[[#Headers],[17]],tabela_registros[REGISTRO],DADOS!$N$5,tabela_registros[TIPO],DADOS!$AB$4,tabela_registros[CATEGORIA],investirrendavariávelconsolidadoago[[#This Row],[ATUAL]])</f>
        <v>0</v>
      </c>
      <c r="V141" s="119" t="n">
        <f aca="false">SUMIFS(tabela_registros[VALOR],tabela_registros[MÊS],$AE$1,tabela_registros[DIA],investirrendavariávelconsolidadoago[[#Headers],[18]],tabela_registros[REGISTRO],DADOS!$N$5,tabela_registros[TIPO],DADOS!$AB$4,tabela_registros[CATEGORIA],investirrendavariávelconsolidadoago[[#This Row],[ATUAL]])</f>
        <v>0</v>
      </c>
      <c r="W141" s="119" t="n">
        <f aca="false">SUMIFS(tabela_registros[VALOR],tabela_registros[MÊS],$AE$1,tabela_registros[DIA],investirrendavariávelconsolidadoago[[#Headers],[19]],tabela_registros[REGISTRO],DADOS!$N$5,tabela_registros[TIPO],DADOS!$AB$4,tabela_registros[CATEGORIA],investirrendavariávelconsolidadoago[[#This Row],[ATUAL]])</f>
        <v>0</v>
      </c>
      <c r="X141" s="119" t="n">
        <f aca="false">SUMIFS(tabela_registros[VALOR],tabela_registros[MÊS],$AE$1,tabela_registros[DIA],investirrendavariávelconsolidadoago[[#Headers],[20]],tabela_registros[REGISTRO],DADOS!$N$5,tabela_registros[TIPO],DADOS!$AB$4,tabela_registros[CATEGORIA],investirrendavariávelconsolidadoago[[#This Row],[ATUAL]])</f>
        <v>0</v>
      </c>
      <c r="Y141" s="119" t="n">
        <f aca="false">SUMIFS(tabela_registros[VALOR],tabela_registros[MÊS],$AE$1,tabela_registros[DIA],investirrendavariávelconsolidadoago[[#Headers],[21]],tabela_registros[REGISTRO],DADOS!$N$5,tabela_registros[TIPO],DADOS!$AB$4,tabela_registros[CATEGORIA],investirrendavariávelconsolidadoago[[#This Row],[ATUAL]])</f>
        <v>0</v>
      </c>
      <c r="Z141" s="119" t="n">
        <f aca="false">SUMIFS(tabela_registros[VALOR],tabela_registros[MÊS],$AE$1,tabela_registros[DIA],investirrendavariávelconsolidadoago[[#Headers],[22]],tabela_registros[REGISTRO],DADOS!$N$5,tabela_registros[TIPO],DADOS!$AB$4,tabela_registros[CATEGORIA],investirrendavariávelconsolidadoago[[#This Row],[ATUAL]])</f>
        <v>0</v>
      </c>
      <c r="AA141" s="119" t="n">
        <f aca="false">SUMIFS(tabela_registros[VALOR],tabela_registros[MÊS],$AE$1,tabela_registros[DIA],investirrendavariávelconsolidadoago[[#Headers],[23]],tabela_registros[REGISTRO],DADOS!$N$5,tabela_registros[TIPO],DADOS!$AB$4,tabela_registros[CATEGORIA],investirrendavariávelconsolidadoago[[#This Row],[ATUAL]])</f>
        <v>0</v>
      </c>
      <c r="AB141" s="119" t="n">
        <f aca="false">SUMIFS(tabela_registros[VALOR],tabela_registros[MÊS],$AE$1,tabela_registros[DIA],investirrendavariávelconsolidadoago[[#Headers],[24]],tabela_registros[REGISTRO],DADOS!$N$5,tabela_registros[TIPO],DADOS!$AB$4,tabela_registros[CATEGORIA],investirrendavariávelconsolidadoago[[#This Row],[ATUAL]])</f>
        <v>0</v>
      </c>
      <c r="AC141" s="119" t="n">
        <f aca="false">SUMIFS(tabela_registros[VALOR],tabela_registros[MÊS],$AE$1,tabela_registros[DIA],investirrendavariávelconsolidadoago[[#Headers],[25]],tabela_registros[REGISTRO],DADOS!$N$5,tabela_registros[TIPO],DADOS!$AB$4,tabela_registros[CATEGORIA],investirrendavariávelconsolidadoago[[#This Row],[ATUAL]])</f>
        <v>0</v>
      </c>
      <c r="AD141" s="119" t="n">
        <f aca="false">SUMIFS(tabela_registros[VALOR],tabela_registros[MÊS],$AE$1,tabela_registros[DIA],investirrendavariávelconsolidadoago[[#Headers],[26]],tabela_registros[REGISTRO],DADOS!$N$5,tabela_registros[TIPO],DADOS!$AB$4,tabela_registros[CATEGORIA],investirrendavariávelconsolidadoago[[#This Row],[ATUAL]])</f>
        <v>0</v>
      </c>
      <c r="AE141" s="119" t="n">
        <f aca="false">SUMIFS(tabela_registros[VALOR],tabela_registros[MÊS],$AE$1,tabela_registros[DIA],investirrendavariávelconsolidadoago[[#Headers],[27]],tabela_registros[REGISTRO],DADOS!$N$5,tabela_registros[TIPO],DADOS!$AB$4,tabela_registros[CATEGORIA],investirrendavariávelconsolidadoago[[#This Row],[ATUAL]])</f>
        <v>0</v>
      </c>
      <c r="AF141" s="119" t="n">
        <f aca="false">SUMIFS(tabela_registros[VALOR],tabela_registros[MÊS],$AE$1,tabela_registros[DIA],investirrendavariávelconsolidadoago[[#Headers],[28]],tabela_registros[REGISTRO],DADOS!$N$5,tabela_registros[TIPO],DADOS!$AB$4,tabela_registros[CATEGORIA],investirrendavariávelconsolidadoago[[#This Row],[ATUAL]])</f>
        <v>0</v>
      </c>
      <c r="AG141" s="119" t="n">
        <f aca="false">SUMIFS(tabela_registros[VALOR],tabela_registros[MÊS],$AE$1,tabela_registros[DIA],investirrendavariávelconsolidadoago[[#Headers],[29]],tabela_registros[REGISTRO],DADOS!$N$5,tabela_registros[TIPO],DADOS!$AB$4,tabela_registros[CATEGORIA],investirrendavariávelconsolidadoago[[#This Row],[ATUAL]])</f>
        <v>0</v>
      </c>
      <c r="AH141" s="119" t="n">
        <f aca="false">SUMIFS(tabela_registros[VALOR],tabela_registros[MÊS],$AE$1,tabela_registros[DIA],investirrendavariávelconsolidadoago[[#Headers],[30]],tabela_registros[REGISTRO],DADOS!$N$5,tabela_registros[TIPO],DADOS!$AB$4,tabela_registros[CATEGORIA],investirrendavariávelconsolidadoago[[#This Row],[ATUAL]])</f>
        <v>0</v>
      </c>
      <c r="AI141" s="218" t="n">
        <f aca="false">SUMIFS(tabela_registros[VALOR],tabela_registros[MÊS],$AE$1,tabela_registros[DIA],investirrendavariávelconsolidadoago[[#Headers],[31]],tabela_registros[REGISTRO],DADOS!$N$5,tabela_registros[TIPO],DADOS!$AB$4,tabela_registros[CATEGORIA],investirrendavariávelconsolidadoago[[#This Row],[ATUAL]])</f>
        <v>0</v>
      </c>
      <c r="AJ141" s="149" t="n">
        <f aca="false">SUM(investirrendavariávelconsolidadoago[[#This Row],[1]:[31]])</f>
        <v>0</v>
      </c>
      <c r="AK141" s="165"/>
    </row>
    <row r="142" s="122" customFormat="true" ht="21" hidden="false" customHeight="true" outlineLevel="0" collapsed="false">
      <c r="B142" s="152"/>
      <c r="C142" s="153" t="s">
        <v>2</v>
      </c>
      <c r="D142" s="166"/>
      <c r="E142" s="155" t="n">
        <f aca="false">SUM(E132:E141)</f>
        <v>0</v>
      </c>
      <c r="F142" s="156" t="n">
        <f aca="false">SUM(F132:F141)+investirrendavariávelconsolidadoago[[#This Row],[1]]</f>
        <v>0</v>
      </c>
      <c r="G142" s="156" t="n">
        <f aca="false">SUM(G132:G141)+investirrendavariávelconsolidadoago[[#This Row],[2]]</f>
        <v>0</v>
      </c>
      <c r="H142" s="156" t="n">
        <f aca="false">SUM(H132:H141)+investirrendavariávelconsolidadoago[[#This Row],[3]]</f>
        <v>0</v>
      </c>
      <c r="I142" s="156" t="n">
        <f aca="false">SUM(I132:I141)+investirrendavariávelconsolidadoago[[#This Row],[4]]</f>
        <v>0</v>
      </c>
      <c r="J142" s="156" t="n">
        <f aca="false">SUM(J132:J141)+investirrendavariávelconsolidadoago[[#This Row],[5]]</f>
        <v>0</v>
      </c>
      <c r="K142" s="156" t="n">
        <f aca="false">SUM(K132:K141)+investirrendavariávelconsolidadoago[[#This Row],[6]]</f>
        <v>0</v>
      </c>
      <c r="L142" s="156" t="n">
        <f aca="false">SUM(L132:L141)+investirrendavariávelconsolidadoago[[#This Row],[7]]</f>
        <v>0</v>
      </c>
      <c r="M142" s="156" t="n">
        <f aca="false">SUM(M132:M141)+investirrendavariávelconsolidadoago[[#This Row],[8]]</f>
        <v>0</v>
      </c>
      <c r="N142" s="156" t="n">
        <f aca="false">SUM(N132:N141)+investirrendavariávelconsolidadoago[[#This Row],[9]]</f>
        <v>0</v>
      </c>
      <c r="O142" s="156" t="n">
        <f aca="false">SUM(O132:O141)+investirrendavariávelconsolidadoago[[#This Row],[10]]</f>
        <v>0</v>
      </c>
      <c r="P142" s="156" t="n">
        <f aca="false">SUM(P132:P141)+investirrendavariávelconsolidadoago[[#This Row],[11]]</f>
        <v>0</v>
      </c>
      <c r="Q142" s="156" t="n">
        <f aca="false">SUM(Q132:Q141)+investirrendavariávelconsolidadoago[[#This Row],[12]]</f>
        <v>0</v>
      </c>
      <c r="R142" s="156" t="n">
        <f aca="false">SUM(R132:R141)+investirrendavariávelconsolidadoago[[#This Row],[13]]</f>
        <v>0</v>
      </c>
      <c r="S142" s="156" t="n">
        <f aca="false">SUM(S132:S141)+investirrendavariávelconsolidadoago[[#This Row],[14]]</f>
        <v>0</v>
      </c>
      <c r="T142" s="156" t="n">
        <f aca="false">SUM(T132:T141)+investirrendavariávelconsolidadoago[[#This Row],[15]]</f>
        <v>0</v>
      </c>
      <c r="U142" s="156" t="n">
        <f aca="false">SUM(U132:U141)+investirrendavariávelconsolidadoago[[#This Row],[16]]</f>
        <v>0</v>
      </c>
      <c r="V142" s="156" t="n">
        <f aca="false">SUM(V132:V141)+investirrendavariávelconsolidadoago[[#This Row],[17]]</f>
        <v>0</v>
      </c>
      <c r="W142" s="156" t="n">
        <f aca="false">SUM(W132:W141)+investirrendavariávelconsolidadoago[[#This Row],[18]]</f>
        <v>0</v>
      </c>
      <c r="X142" s="156" t="n">
        <f aca="false">SUM(X132:X141)+investirrendavariávelconsolidadoago[[#This Row],[19]]</f>
        <v>0</v>
      </c>
      <c r="Y142" s="156" t="n">
        <f aca="false">SUM(Y132:Y141)+investirrendavariávelconsolidadoago[[#This Row],[20]]</f>
        <v>0</v>
      </c>
      <c r="Z142" s="156" t="n">
        <f aca="false">SUM(Z132:Z141)+investirrendavariávelconsolidadoago[[#This Row],[21]]</f>
        <v>0</v>
      </c>
      <c r="AA142" s="156" t="n">
        <f aca="false">SUM(AA132:AA141)+investirrendavariávelconsolidadoago[[#This Row],[22]]</f>
        <v>0</v>
      </c>
      <c r="AB142" s="156" t="n">
        <f aca="false">SUM(AB132:AB141)+investirrendavariávelconsolidadoago[[#This Row],[23]]</f>
        <v>0</v>
      </c>
      <c r="AC142" s="156" t="n">
        <f aca="false">SUM(AC132:AC141)+investirrendavariávelconsolidadoago[[#This Row],[24]]</f>
        <v>0</v>
      </c>
      <c r="AD142" s="156" t="n">
        <f aca="false">SUM(AD132:AD141)+investirrendavariávelconsolidadoago[[#This Row],[25]]</f>
        <v>0</v>
      </c>
      <c r="AE142" s="156" t="n">
        <f aca="false">SUM(AE132:AE141)+investirrendavariávelconsolidadoago[[#This Row],[26]]</f>
        <v>0</v>
      </c>
      <c r="AF142" s="156" t="n">
        <f aca="false">SUM(AF132:AF141)+investirrendavariávelconsolidadoago[[#This Row],[27]]</f>
        <v>0</v>
      </c>
      <c r="AG142" s="156" t="n">
        <f aca="false">SUM(AG132:AG141)+investirrendavariávelconsolidadoago[[#This Row],[28]]</f>
        <v>0</v>
      </c>
      <c r="AH142" s="156" t="n">
        <f aca="false">SUM(AH132:AH141)+investirrendavariávelconsolidadoago[[#This Row],[29]]</f>
        <v>0</v>
      </c>
      <c r="AI142" s="223" t="n">
        <f aca="false">SUM(AI132:AI141)+investirrendavariávelconsolidadoago[[#This Row],[30]]</f>
        <v>0</v>
      </c>
      <c r="AJ142" s="157" t="n">
        <f aca="false">investirrendavariávelconsolidadoago[[#This Row],[31]]</f>
        <v>0</v>
      </c>
      <c r="AK142" s="158"/>
    </row>
    <row r="143" customFormat="false" ht="6.75" hidden="false" customHeight="true" outlineLevel="0" collapsed="false">
      <c r="B143" s="97"/>
      <c r="C143" s="162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233"/>
      <c r="AJ143" s="164"/>
      <c r="AK143" s="244"/>
    </row>
    <row r="144" s="78" customFormat="true" ht="12.75" hidden="false" customHeight="false" outlineLevel="0" collapsed="false">
      <c r="E144" s="100"/>
    </row>
    <row r="145" s="78" customFormat="true" ht="12" hidden="false" customHeight="false" outlineLevel="0" collapsed="false"/>
    <row r="146" s="78" customFormat="true" ht="12" hidden="false" customHeight="false" outlineLevel="0" collapsed="false"/>
    <row r="147" customFormat="false" ht="39.75" hidden="false" customHeight="true" outlineLevel="0" collapsed="false">
      <c r="C147" s="101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3" t="s">
        <v>2</v>
      </c>
    </row>
    <row r="148" s="78" customFormat="true" ht="12.75" hidden="false" customHeight="false" outlineLevel="0" collapsed="false">
      <c r="B148" s="161"/>
      <c r="AJ148" s="106" t="s">
        <v>64</v>
      </c>
    </row>
    <row r="149" customFormat="false" ht="6.75" hidden="false" customHeight="true" outlineLevel="0" collapsed="false">
      <c r="B149" s="86"/>
      <c r="C149" s="162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233"/>
      <c r="AK149" s="139"/>
    </row>
    <row r="150" customFormat="false" ht="13.5" hidden="true" customHeight="false" outlineLevel="0" collapsed="false">
      <c r="B150" s="86"/>
      <c r="C150" s="109" t="s">
        <v>68</v>
      </c>
      <c r="D150" s="110" t="s">
        <v>69</v>
      </c>
      <c r="E150" s="110" t="s">
        <v>30</v>
      </c>
      <c r="F150" s="110" t="s">
        <v>31</v>
      </c>
      <c r="G150" s="110" t="s">
        <v>32</v>
      </c>
      <c r="H150" s="110" t="s">
        <v>33</v>
      </c>
      <c r="I150" s="110" t="s">
        <v>34</v>
      </c>
      <c r="J150" s="110" t="s">
        <v>35</v>
      </c>
      <c r="K150" s="110" t="s">
        <v>36</v>
      </c>
      <c r="L150" s="110" t="s">
        <v>37</v>
      </c>
      <c r="M150" s="110" t="s">
        <v>38</v>
      </c>
      <c r="N150" s="110" t="s">
        <v>39</v>
      </c>
      <c r="O150" s="110" t="s">
        <v>40</v>
      </c>
      <c r="P150" s="110" t="s">
        <v>41</v>
      </c>
      <c r="Q150" s="110" t="s">
        <v>81</v>
      </c>
      <c r="R150" s="110" t="s">
        <v>82</v>
      </c>
      <c r="S150" s="110" t="s">
        <v>83</v>
      </c>
      <c r="T150" s="110" t="s">
        <v>84</v>
      </c>
      <c r="U150" s="110" t="s">
        <v>85</v>
      </c>
      <c r="V150" s="110" t="s">
        <v>86</v>
      </c>
      <c r="W150" s="110" t="s">
        <v>87</v>
      </c>
      <c r="X150" s="110" t="s">
        <v>88</v>
      </c>
      <c r="Y150" s="110" t="s">
        <v>89</v>
      </c>
      <c r="Z150" s="110" t="s">
        <v>90</v>
      </c>
      <c r="AA150" s="110" t="s">
        <v>91</v>
      </c>
      <c r="AB150" s="110" t="s">
        <v>92</v>
      </c>
      <c r="AC150" s="110" t="s">
        <v>93</v>
      </c>
      <c r="AD150" s="110" t="s">
        <v>94</v>
      </c>
      <c r="AE150" s="110" t="s">
        <v>95</v>
      </c>
      <c r="AF150" s="110" t="s">
        <v>96</v>
      </c>
      <c r="AG150" s="110" t="s">
        <v>97</v>
      </c>
      <c r="AH150" s="110" t="s">
        <v>98</v>
      </c>
      <c r="AI150" s="110" t="s">
        <v>99</v>
      </c>
      <c r="AJ150" s="111" t="s">
        <v>70</v>
      </c>
      <c r="AK150" s="86"/>
    </row>
    <row r="151" customFormat="false" ht="19.5" hidden="false" customHeight="true" outlineLevel="0" collapsed="false">
      <c r="B151" s="143"/>
      <c r="C151" s="144" t="str">
        <f aca="false">DADOS!$AH$3</f>
        <v>📝 COE</v>
      </c>
      <c r="D151" s="145" t="str">
        <f aca="false">IF(investiroutrosconsolidadoago[[#This Row],[TOTAL (R$)]]=0,"",IF(OR(investiroutrosconsolidadoago[[#This Row],[TOTAL (R$)]]=LARGE($AJ$151:$AJ$158,1),investiroutrosconsolidadoago[[#This Row],[TOTAL (R$)]]=LARGE($AJ$151:$AJ$158,2)),DADOS!$I$10,""))</f>
        <v/>
      </c>
      <c r="E151" s="148" t="n">
        <f aca="false">SUMIFS(tabela_registros[VALOR],tabela_registros[MÊS],$AE$1,tabela_registros[DIA],investiroutrosconsolidadoago[[#Headers],[1]],tabela_registros[REGISTRO],DADOS!$N$5,tabela_registros[TIPO],DADOS!$AB$5,tabela_registros[CATEGORIA],investiroutrosconsolidadoago[[#This Row],[ATUAL]])</f>
        <v>0</v>
      </c>
      <c r="F151" s="119" t="n">
        <f aca="false">SUMIFS(tabela_registros[VALOR],tabela_registros[MÊS],$AE$1,tabela_registros[DIA],investiroutrosconsolidadoago[[#Headers],[2]],tabela_registros[REGISTRO],DADOS!$N$5,tabela_registros[TIPO],DADOS!$AB$5,tabela_registros[CATEGORIA],investiroutrosconsolidadoago[[#This Row],[ATUAL]])</f>
        <v>0</v>
      </c>
      <c r="G151" s="119" t="n">
        <f aca="false">SUMIFS(tabela_registros[VALOR],tabela_registros[MÊS],$AE$1,tabela_registros[DIA],investiroutrosconsolidadoago[[#Headers],[3]],tabela_registros[REGISTRO],DADOS!$N$5,tabela_registros[TIPO],DADOS!$AB$5,tabela_registros[CATEGORIA],investiroutrosconsolidadoago[[#This Row],[ATUAL]])</f>
        <v>0</v>
      </c>
      <c r="H151" s="119" t="n">
        <f aca="false">SUMIFS(tabela_registros[VALOR],tabela_registros[MÊS],$AE$1,tabela_registros[DIA],investiroutrosconsolidadoago[[#Headers],[4]],tabela_registros[REGISTRO],DADOS!$N$5,tabela_registros[TIPO],DADOS!$AB$5,tabela_registros[CATEGORIA],investiroutrosconsolidadoago[[#This Row],[ATUAL]])</f>
        <v>0</v>
      </c>
      <c r="I151" s="119" t="n">
        <f aca="false">SUMIFS(tabela_registros[VALOR],tabela_registros[MÊS],$AE$1,tabela_registros[DIA],investiroutrosconsolidadoago[[#Headers],[5]],tabela_registros[REGISTRO],DADOS!$N$5,tabela_registros[TIPO],DADOS!$AB$5,tabela_registros[CATEGORIA],investiroutrosconsolidadoago[[#This Row],[ATUAL]])</f>
        <v>0</v>
      </c>
      <c r="J151" s="119" t="n">
        <f aca="false">SUMIFS(tabela_registros[VALOR],tabela_registros[MÊS],$AE$1,tabela_registros[DIA],investiroutrosconsolidadoago[[#Headers],[6]],tabela_registros[REGISTRO],DADOS!$N$5,tabela_registros[TIPO],DADOS!$AB$5,tabela_registros[CATEGORIA],investiroutrosconsolidadoago[[#This Row],[ATUAL]])</f>
        <v>0</v>
      </c>
      <c r="K151" s="119" t="n">
        <f aca="false">SUMIFS(tabela_registros[VALOR],tabela_registros[MÊS],$AE$1,tabela_registros[DIA],investiroutrosconsolidadoago[[#Headers],[7]],tabela_registros[REGISTRO],DADOS!$N$5,tabela_registros[TIPO],DADOS!$AB$5,tabela_registros[CATEGORIA],investiroutrosconsolidadoago[[#This Row],[ATUAL]])</f>
        <v>0</v>
      </c>
      <c r="L151" s="119" t="n">
        <f aca="false">SUMIFS(tabela_registros[VALOR],tabela_registros[MÊS],$AE$1,tabela_registros[DIA],investiroutrosconsolidadoago[[#Headers],[8]],tabela_registros[REGISTRO],DADOS!$N$5,tabela_registros[TIPO],DADOS!$AB$5,tabela_registros[CATEGORIA],investiroutrosconsolidadoago[[#This Row],[ATUAL]])</f>
        <v>0</v>
      </c>
      <c r="M151" s="119" t="n">
        <f aca="false">SUMIFS(tabela_registros[VALOR],tabela_registros[MÊS],$AE$1,tabela_registros[DIA],investiroutrosconsolidadoago[[#Headers],[9]],tabela_registros[REGISTRO],DADOS!$N$5,tabela_registros[TIPO],DADOS!$AB$5,tabela_registros[CATEGORIA],investiroutrosconsolidadoago[[#This Row],[ATUAL]])</f>
        <v>0</v>
      </c>
      <c r="N151" s="119" t="n">
        <f aca="false">SUMIFS(tabela_registros[VALOR],tabela_registros[MÊS],$AE$1,tabela_registros[DIA],investiroutrosconsolidadoago[[#Headers],[10]],tabela_registros[REGISTRO],DADOS!$N$5,tabela_registros[TIPO],DADOS!$AB$5,tabela_registros[CATEGORIA],investiroutrosconsolidadoago[[#This Row],[ATUAL]])</f>
        <v>0</v>
      </c>
      <c r="O151" s="119" t="n">
        <f aca="false">SUMIFS(tabela_registros[VALOR],tabela_registros[MÊS],$AE$1,tabela_registros[DIA],investiroutrosconsolidadoago[[#Headers],[11]],tabela_registros[REGISTRO],DADOS!$N$5,tabela_registros[TIPO],DADOS!$AB$5,tabela_registros[CATEGORIA],investiroutrosconsolidadoago[[#This Row],[ATUAL]])</f>
        <v>0</v>
      </c>
      <c r="P151" s="119" t="n">
        <f aca="false">SUMIFS(tabela_registros[VALOR],tabela_registros[MÊS],$AE$1,tabela_registros[DIA],investiroutrosconsolidadoago[[#Headers],[12]],tabela_registros[REGISTRO],DADOS!$N$5,tabela_registros[TIPO],DADOS!$AB$5,tabela_registros[CATEGORIA],investiroutrosconsolidadoago[[#This Row],[ATUAL]])</f>
        <v>0</v>
      </c>
      <c r="Q151" s="119" t="n">
        <f aca="false">SUMIFS(tabela_registros[VALOR],tabela_registros[MÊS],$AE$1,tabela_registros[DIA],investiroutrosconsolidadoago[[#Headers],[13]],tabela_registros[REGISTRO],DADOS!$N$5,tabela_registros[TIPO],DADOS!$AB$5,tabela_registros[CATEGORIA],investiroutrosconsolidadoago[[#This Row],[ATUAL]])</f>
        <v>0</v>
      </c>
      <c r="R151" s="119" t="n">
        <f aca="false">SUMIFS(tabela_registros[VALOR],tabela_registros[MÊS],$AE$1,tabela_registros[DIA],investiroutrosconsolidadoago[[#Headers],[14]],tabela_registros[REGISTRO],DADOS!$N$5,tabela_registros[TIPO],DADOS!$AB$5,tabela_registros[CATEGORIA],investiroutrosconsolidadoago[[#This Row],[ATUAL]])</f>
        <v>0</v>
      </c>
      <c r="S151" s="119" t="n">
        <f aca="false">SUMIFS(tabela_registros[VALOR],tabela_registros[MÊS],$AE$1,tabela_registros[DIA],investiroutrosconsolidadoago[[#Headers],[15]],tabela_registros[REGISTRO],DADOS!$N$5,tabela_registros[TIPO],DADOS!$AB$5,tabela_registros[CATEGORIA],investiroutrosconsolidadoago[[#This Row],[ATUAL]])</f>
        <v>0</v>
      </c>
      <c r="T151" s="119" t="n">
        <f aca="false">SUMIFS(tabela_registros[VALOR],tabela_registros[MÊS],$AE$1,tabela_registros[DIA],investiroutrosconsolidadoago[[#Headers],[16]],tabela_registros[REGISTRO],DADOS!$N$5,tabela_registros[TIPO],DADOS!$AB$5,tabela_registros[CATEGORIA],investiroutrosconsolidadoago[[#This Row],[ATUAL]])</f>
        <v>0</v>
      </c>
      <c r="U151" s="119" t="n">
        <f aca="false">SUMIFS(tabela_registros[VALOR],tabela_registros[MÊS],$AE$1,tabela_registros[DIA],investiroutrosconsolidadoago[[#Headers],[17]],tabela_registros[REGISTRO],DADOS!$N$5,tabela_registros[TIPO],DADOS!$AB$5,tabela_registros[CATEGORIA],investiroutrosconsolidadoago[[#This Row],[ATUAL]])</f>
        <v>0</v>
      </c>
      <c r="V151" s="119" t="n">
        <f aca="false">SUMIFS(tabela_registros[VALOR],tabela_registros[MÊS],$AE$1,tabela_registros[DIA],investiroutrosconsolidadoago[[#Headers],[18]],tabela_registros[REGISTRO],DADOS!$N$5,tabela_registros[TIPO],DADOS!$AB$5,tabela_registros[CATEGORIA],investiroutrosconsolidadoago[[#This Row],[ATUAL]])</f>
        <v>0</v>
      </c>
      <c r="W151" s="119" t="n">
        <f aca="false">SUMIFS(tabela_registros[VALOR],tabela_registros[MÊS],$AE$1,tabela_registros[DIA],investiroutrosconsolidadoago[[#Headers],[19]],tabela_registros[REGISTRO],DADOS!$N$5,tabela_registros[TIPO],DADOS!$AB$5,tabela_registros[CATEGORIA],investiroutrosconsolidadoago[[#This Row],[ATUAL]])</f>
        <v>0</v>
      </c>
      <c r="X151" s="119" t="n">
        <f aca="false">SUMIFS(tabela_registros[VALOR],tabela_registros[MÊS],$AE$1,tabela_registros[DIA],investiroutrosconsolidadoago[[#Headers],[20]],tabela_registros[REGISTRO],DADOS!$N$5,tabela_registros[TIPO],DADOS!$AB$5,tabela_registros[CATEGORIA],investiroutrosconsolidadoago[[#This Row],[ATUAL]])</f>
        <v>0</v>
      </c>
      <c r="Y151" s="119" t="n">
        <f aca="false">SUMIFS(tabela_registros[VALOR],tabela_registros[MÊS],$AE$1,tabela_registros[DIA],investiroutrosconsolidadoago[[#Headers],[21]],tabela_registros[REGISTRO],DADOS!$N$5,tabela_registros[TIPO],DADOS!$AB$5,tabela_registros[CATEGORIA],investiroutrosconsolidadoago[[#This Row],[ATUAL]])</f>
        <v>0</v>
      </c>
      <c r="Z151" s="119" t="n">
        <f aca="false">SUMIFS(tabela_registros[VALOR],tabela_registros[MÊS],$AE$1,tabela_registros[DIA],investiroutrosconsolidadoago[[#Headers],[22]],tabela_registros[REGISTRO],DADOS!$N$5,tabela_registros[TIPO],DADOS!$AB$5,tabela_registros[CATEGORIA],investiroutrosconsolidadoago[[#This Row],[ATUAL]])</f>
        <v>0</v>
      </c>
      <c r="AA151" s="119" t="n">
        <f aca="false">SUMIFS(tabela_registros[VALOR],tabela_registros[MÊS],$AE$1,tabela_registros[DIA],investiroutrosconsolidadoago[[#Headers],[23]],tabela_registros[REGISTRO],DADOS!$N$5,tabela_registros[TIPO],DADOS!$AB$5,tabela_registros[CATEGORIA],investiroutrosconsolidadoago[[#This Row],[ATUAL]])</f>
        <v>0</v>
      </c>
      <c r="AB151" s="119" t="n">
        <f aca="false">SUMIFS(tabela_registros[VALOR],tabela_registros[MÊS],$AE$1,tabela_registros[DIA],investiroutrosconsolidadoago[[#Headers],[24]],tabela_registros[REGISTRO],DADOS!$N$5,tabela_registros[TIPO],DADOS!$AB$5,tabela_registros[CATEGORIA],investiroutrosconsolidadoago[[#This Row],[ATUAL]])</f>
        <v>0</v>
      </c>
      <c r="AC151" s="119" t="n">
        <f aca="false">SUMIFS(tabela_registros[VALOR],tabela_registros[MÊS],$AE$1,tabela_registros[DIA],investiroutrosconsolidadoago[[#Headers],[25]],tabela_registros[REGISTRO],DADOS!$N$5,tabela_registros[TIPO],DADOS!$AB$5,tabela_registros[CATEGORIA],investiroutrosconsolidadoago[[#This Row],[ATUAL]])</f>
        <v>0</v>
      </c>
      <c r="AD151" s="119" t="n">
        <f aca="false">SUMIFS(tabela_registros[VALOR],tabela_registros[MÊS],$AE$1,tabela_registros[DIA],investiroutrosconsolidadoago[[#Headers],[26]],tabela_registros[REGISTRO],DADOS!$N$5,tabela_registros[TIPO],DADOS!$AB$5,tabela_registros[CATEGORIA],investiroutrosconsolidadoago[[#This Row],[ATUAL]])</f>
        <v>0</v>
      </c>
      <c r="AE151" s="119" t="n">
        <f aca="false">SUMIFS(tabela_registros[VALOR],tabela_registros[MÊS],$AE$1,tabela_registros[DIA],investiroutrosconsolidadoago[[#Headers],[27]],tabela_registros[REGISTRO],DADOS!$N$5,tabela_registros[TIPO],DADOS!$AB$5,tabela_registros[CATEGORIA],investiroutrosconsolidadoago[[#This Row],[ATUAL]])</f>
        <v>0</v>
      </c>
      <c r="AF151" s="119" t="n">
        <f aca="false">SUMIFS(tabela_registros[VALOR],tabela_registros[MÊS],$AE$1,tabela_registros[DIA],investiroutrosconsolidadoago[[#Headers],[28]],tabela_registros[REGISTRO],DADOS!$N$5,tabela_registros[TIPO],DADOS!$AB$5,tabela_registros[CATEGORIA],investiroutrosconsolidadoago[[#This Row],[ATUAL]])</f>
        <v>0</v>
      </c>
      <c r="AG151" s="119" t="n">
        <f aca="false">SUMIFS(tabela_registros[VALOR],tabela_registros[MÊS],$AE$1,tabela_registros[DIA],investiroutrosconsolidadoago[[#Headers],[29]],tabela_registros[REGISTRO],DADOS!$N$5,tabela_registros[TIPO],DADOS!$AB$5,tabela_registros[CATEGORIA],investiroutrosconsolidadoago[[#This Row],[ATUAL]])</f>
        <v>0</v>
      </c>
      <c r="AH151" s="119" t="n">
        <f aca="false">SUMIFS(tabela_registros[VALOR],tabela_registros[MÊS],$AE$1,tabela_registros[DIA],investiroutrosconsolidadoago[[#Headers],[30]],tabela_registros[REGISTRO],DADOS!$N$5,tabela_registros[TIPO],DADOS!$AB$5,tabela_registros[CATEGORIA],investiroutrosconsolidadoago[[#This Row],[ATUAL]])</f>
        <v>0</v>
      </c>
      <c r="AI151" s="217" t="n">
        <f aca="false">SUMIFS(tabela_registros[VALOR],tabela_registros[MÊS],$AE$1,tabela_registros[DIA],investiroutrosconsolidadoago[[#Headers],[31]],tabela_registros[REGISTRO],DADOS!$N$5,tabela_registros[TIPO],DADOS!$AB$5,tabela_registros[CATEGORIA],investiroutrosconsolidadoago[[#This Row],[ATUAL]])</f>
        <v>0</v>
      </c>
      <c r="AJ151" s="149" t="n">
        <f aca="false">SUM(investiroutrosconsolidadoago[[#This Row],[1]:[31]])</f>
        <v>0</v>
      </c>
      <c r="AK151" s="165"/>
    </row>
    <row r="152" customFormat="false" ht="19.5" hidden="false" customHeight="true" outlineLevel="0" collapsed="false">
      <c r="B152" s="143"/>
      <c r="C152" s="144" t="str">
        <f aca="false">DADOS!$AH$4</f>
        <v>📝 FOREX</v>
      </c>
      <c r="D152" s="145" t="str">
        <f aca="false">IF(investiroutrosconsolidadoago[[#This Row],[TOTAL (R$)]]=0,"",IF(OR(investiroutrosconsolidadoago[[#This Row],[TOTAL (R$)]]=LARGE($AJ$151:$AJ$158,1),investiroutrosconsolidadoago[[#This Row],[TOTAL (R$)]]=LARGE($AJ$151:$AJ$158,2)),DADOS!$I$10,""))</f>
        <v/>
      </c>
      <c r="E152" s="148" t="n">
        <f aca="false">SUMIFS(tabela_registros[VALOR],tabela_registros[MÊS],$AE$1,tabela_registros[DIA],investiroutrosconsolidadoago[[#Headers],[1]],tabela_registros[REGISTRO],DADOS!$N$5,tabela_registros[TIPO],DADOS!$AB$5,tabela_registros[CATEGORIA],investiroutrosconsolidadoago[[#This Row],[ATUAL]])</f>
        <v>0</v>
      </c>
      <c r="F152" s="119" t="n">
        <f aca="false">SUMIFS(tabela_registros[VALOR],tabela_registros[MÊS],$AE$1,tabela_registros[DIA],investiroutrosconsolidadoago[[#Headers],[2]],tabela_registros[REGISTRO],DADOS!$N$5,tabela_registros[TIPO],DADOS!$AB$5,tabela_registros[CATEGORIA],investiroutrosconsolidadoago[[#This Row],[ATUAL]])</f>
        <v>0</v>
      </c>
      <c r="G152" s="119" t="n">
        <f aca="false">SUMIFS(tabela_registros[VALOR],tabela_registros[MÊS],$AE$1,tabela_registros[DIA],investiroutrosconsolidadoago[[#Headers],[3]],tabela_registros[REGISTRO],DADOS!$N$5,tabela_registros[TIPO],DADOS!$AB$5,tabela_registros[CATEGORIA],investiroutrosconsolidadoago[[#This Row],[ATUAL]])</f>
        <v>0</v>
      </c>
      <c r="H152" s="119" t="n">
        <f aca="false">SUMIFS(tabela_registros[VALOR],tabela_registros[MÊS],$AE$1,tabela_registros[DIA],investiroutrosconsolidadoago[[#Headers],[4]],tabela_registros[REGISTRO],DADOS!$N$5,tabela_registros[TIPO],DADOS!$AB$5,tabela_registros[CATEGORIA],investiroutrosconsolidadoago[[#This Row],[ATUAL]])</f>
        <v>0</v>
      </c>
      <c r="I152" s="119" t="n">
        <f aca="false">SUMIFS(tabela_registros[VALOR],tabela_registros[MÊS],$AE$1,tabela_registros[DIA],investiroutrosconsolidadoago[[#Headers],[5]],tabela_registros[REGISTRO],DADOS!$N$5,tabela_registros[TIPO],DADOS!$AB$5,tabela_registros[CATEGORIA],investiroutrosconsolidadoago[[#This Row],[ATUAL]])</f>
        <v>0</v>
      </c>
      <c r="J152" s="119" t="n">
        <f aca="false">SUMIFS(tabela_registros[VALOR],tabela_registros[MÊS],$AE$1,tabela_registros[DIA],investiroutrosconsolidadoago[[#Headers],[6]],tabela_registros[REGISTRO],DADOS!$N$5,tabela_registros[TIPO],DADOS!$AB$5,tabela_registros[CATEGORIA],investiroutrosconsolidadoago[[#This Row],[ATUAL]])</f>
        <v>0</v>
      </c>
      <c r="K152" s="119" t="n">
        <f aca="false">SUMIFS(tabela_registros[VALOR],tabela_registros[MÊS],$AE$1,tabela_registros[DIA],investiroutrosconsolidadoago[[#Headers],[7]],tabela_registros[REGISTRO],DADOS!$N$5,tabela_registros[TIPO],DADOS!$AB$5,tabela_registros[CATEGORIA],investiroutrosconsolidadoago[[#This Row],[ATUAL]])</f>
        <v>0</v>
      </c>
      <c r="L152" s="119" t="n">
        <f aca="false">SUMIFS(tabela_registros[VALOR],tabela_registros[MÊS],$AE$1,tabela_registros[DIA],investiroutrosconsolidadoago[[#Headers],[8]],tabela_registros[REGISTRO],DADOS!$N$5,tabela_registros[TIPO],DADOS!$AB$5,tabela_registros[CATEGORIA],investiroutrosconsolidadoago[[#This Row],[ATUAL]])</f>
        <v>0</v>
      </c>
      <c r="M152" s="119" t="n">
        <f aca="false">SUMIFS(tabela_registros[VALOR],tabela_registros[MÊS],$AE$1,tabela_registros[DIA],investiroutrosconsolidadoago[[#Headers],[9]],tabela_registros[REGISTRO],DADOS!$N$5,tabela_registros[TIPO],DADOS!$AB$5,tabela_registros[CATEGORIA],investiroutrosconsolidadoago[[#This Row],[ATUAL]])</f>
        <v>0</v>
      </c>
      <c r="N152" s="119" t="n">
        <f aca="false">SUMIFS(tabela_registros[VALOR],tabela_registros[MÊS],$AE$1,tabela_registros[DIA],investiroutrosconsolidadoago[[#Headers],[10]],tabela_registros[REGISTRO],DADOS!$N$5,tabela_registros[TIPO],DADOS!$AB$5,tabela_registros[CATEGORIA],investiroutrosconsolidadoago[[#This Row],[ATUAL]])</f>
        <v>0</v>
      </c>
      <c r="O152" s="119" t="n">
        <f aca="false">SUMIFS(tabela_registros[VALOR],tabela_registros[MÊS],$AE$1,tabela_registros[DIA],investiroutrosconsolidadoago[[#Headers],[11]],tabela_registros[REGISTRO],DADOS!$N$5,tabela_registros[TIPO],DADOS!$AB$5,tabela_registros[CATEGORIA],investiroutrosconsolidadoago[[#This Row],[ATUAL]])</f>
        <v>0</v>
      </c>
      <c r="P152" s="119" t="n">
        <f aca="false">SUMIFS(tabela_registros[VALOR],tabela_registros[MÊS],$AE$1,tabela_registros[DIA],investiroutrosconsolidadoago[[#Headers],[12]],tabela_registros[REGISTRO],DADOS!$N$5,tabela_registros[TIPO],DADOS!$AB$5,tabela_registros[CATEGORIA],investiroutrosconsolidadoago[[#This Row],[ATUAL]])</f>
        <v>0</v>
      </c>
      <c r="Q152" s="119" t="n">
        <f aca="false">SUMIFS(tabela_registros[VALOR],tabela_registros[MÊS],$AE$1,tabela_registros[DIA],investiroutrosconsolidadoago[[#Headers],[13]],tabela_registros[REGISTRO],DADOS!$N$5,tabela_registros[TIPO],DADOS!$AB$5,tabela_registros[CATEGORIA],investiroutrosconsolidadoago[[#This Row],[ATUAL]])</f>
        <v>0</v>
      </c>
      <c r="R152" s="119" t="n">
        <f aca="false">SUMIFS(tabela_registros[VALOR],tabela_registros[MÊS],$AE$1,tabela_registros[DIA],investiroutrosconsolidadoago[[#Headers],[14]],tabela_registros[REGISTRO],DADOS!$N$5,tabela_registros[TIPO],DADOS!$AB$5,tabela_registros[CATEGORIA],investiroutrosconsolidadoago[[#This Row],[ATUAL]])</f>
        <v>0</v>
      </c>
      <c r="S152" s="119" t="n">
        <f aca="false">SUMIFS(tabela_registros[VALOR],tabela_registros[MÊS],$AE$1,tabela_registros[DIA],investiroutrosconsolidadoago[[#Headers],[15]],tabela_registros[REGISTRO],DADOS!$N$5,tabela_registros[TIPO],DADOS!$AB$5,tabela_registros[CATEGORIA],investiroutrosconsolidadoago[[#This Row],[ATUAL]])</f>
        <v>0</v>
      </c>
      <c r="T152" s="119" t="n">
        <f aca="false">SUMIFS(tabela_registros[VALOR],tabela_registros[MÊS],$AE$1,tabela_registros[DIA],investiroutrosconsolidadoago[[#Headers],[16]],tabela_registros[REGISTRO],DADOS!$N$5,tabela_registros[TIPO],DADOS!$AB$5,tabela_registros[CATEGORIA],investiroutrosconsolidadoago[[#This Row],[ATUAL]])</f>
        <v>0</v>
      </c>
      <c r="U152" s="119" t="n">
        <f aca="false">SUMIFS(tabela_registros[VALOR],tabela_registros[MÊS],$AE$1,tabela_registros[DIA],investiroutrosconsolidadoago[[#Headers],[17]],tabela_registros[REGISTRO],DADOS!$N$5,tabela_registros[TIPO],DADOS!$AB$5,tabela_registros[CATEGORIA],investiroutrosconsolidadoago[[#This Row],[ATUAL]])</f>
        <v>0</v>
      </c>
      <c r="V152" s="119" t="n">
        <f aca="false">SUMIFS(tabela_registros[VALOR],tabela_registros[MÊS],$AE$1,tabela_registros[DIA],investiroutrosconsolidadoago[[#Headers],[18]],tabela_registros[REGISTRO],DADOS!$N$5,tabela_registros[TIPO],DADOS!$AB$5,tabela_registros[CATEGORIA],investiroutrosconsolidadoago[[#This Row],[ATUAL]])</f>
        <v>0</v>
      </c>
      <c r="W152" s="119" t="n">
        <f aca="false">SUMIFS(tabela_registros[VALOR],tabela_registros[MÊS],$AE$1,tabela_registros[DIA],investiroutrosconsolidadoago[[#Headers],[19]],tabela_registros[REGISTRO],DADOS!$N$5,tabela_registros[TIPO],DADOS!$AB$5,tabela_registros[CATEGORIA],investiroutrosconsolidadoago[[#This Row],[ATUAL]])</f>
        <v>0</v>
      </c>
      <c r="X152" s="119" t="n">
        <f aca="false">SUMIFS(tabela_registros[VALOR],tabela_registros[MÊS],$AE$1,tabela_registros[DIA],investiroutrosconsolidadoago[[#Headers],[20]],tabela_registros[REGISTRO],DADOS!$N$5,tabela_registros[TIPO],DADOS!$AB$5,tabela_registros[CATEGORIA],investiroutrosconsolidadoago[[#This Row],[ATUAL]])</f>
        <v>0</v>
      </c>
      <c r="Y152" s="119" t="n">
        <f aca="false">SUMIFS(tabela_registros[VALOR],tabela_registros[MÊS],$AE$1,tabela_registros[DIA],investiroutrosconsolidadoago[[#Headers],[21]],tabela_registros[REGISTRO],DADOS!$N$5,tabela_registros[TIPO],DADOS!$AB$5,tabela_registros[CATEGORIA],investiroutrosconsolidadoago[[#This Row],[ATUAL]])</f>
        <v>0</v>
      </c>
      <c r="Z152" s="119" t="n">
        <f aca="false">SUMIFS(tabela_registros[VALOR],tabela_registros[MÊS],$AE$1,tabela_registros[DIA],investiroutrosconsolidadoago[[#Headers],[22]],tabela_registros[REGISTRO],DADOS!$N$5,tabela_registros[TIPO],DADOS!$AB$5,tabela_registros[CATEGORIA],investiroutrosconsolidadoago[[#This Row],[ATUAL]])</f>
        <v>0</v>
      </c>
      <c r="AA152" s="119" t="n">
        <f aca="false">SUMIFS(tabela_registros[VALOR],tabela_registros[MÊS],$AE$1,tabela_registros[DIA],investiroutrosconsolidadoago[[#Headers],[23]],tabela_registros[REGISTRO],DADOS!$N$5,tabela_registros[TIPO],DADOS!$AB$5,tabela_registros[CATEGORIA],investiroutrosconsolidadoago[[#This Row],[ATUAL]])</f>
        <v>0</v>
      </c>
      <c r="AB152" s="119" t="n">
        <f aca="false">SUMIFS(tabela_registros[VALOR],tabela_registros[MÊS],$AE$1,tabela_registros[DIA],investiroutrosconsolidadoago[[#Headers],[24]],tabela_registros[REGISTRO],DADOS!$N$5,tabela_registros[TIPO],DADOS!$AB$5,tabela_registros[CATEGORIA],investiroutrosconsolidadoago[[#This Row],[ATUAL]])</f>
        <v>0</v>
      </c>
      <c r="AC152" s="119" t="n">
        <f aca="false">SUMIFS(tabela_registros[VALOR],tabela_registros[MÊS],$AE$1,tabela_registros[DIA],investiroutrosconsolidadoago[[#Headers],[25]],tabela_registros[REGISTRO],DADOS!$N$5,tabela_registros[TIPO],DADOS!$AB$5,tabela_registros[CATEGORIA],investiroutrosconsolidadoago[[#This Row],[ATUAL]])</f>
        <v>0</v>
      </c>
      <c r="AD152" s="119" t="n">
        <f aca="false">SUMIFS(tabela_registros[VALOR],tabela_registros[MÊS],$AE$1,tabela_registros[DIA],investiroutrosconsolidadoago[[#Headers],[26]],tabela_registros[REGISTRO],DADOS!$N$5,tabela_registros[TIPO],DADOS!$AB$5,tabela_registros[CATEGORIA],investiroutrosconsolidadoago[[#This Row],[ATUAL]])</f>
        <v>0</v>
      </c>
      <c r="AE152" s="119" t="n">
        <f aca="false">SUMIFS(tabela_registros[VALOR],tabela_registros[MÊS],$AE$1,tabela_registros[DIA],investiroutrosconsolidadoago[[#Headers],[27]],tabela_registros[REGISTRO],DADOS!$N$5,tabela_registros[TIPO],DADOS!$AB$5,tabela_registros[CATEGORIA],investiroutrosconsolidadoago[[#This Row],[ATUAL]])</f>
        <v>0</v>
      </c>
      <c r="AF152" s="119" t="n">
        <f aca="false">SUMIFS(tabela_registros[VALOR],tabela_registros[MÊS],$AE$1,tabela_registros[DIA],investiroutrosconsolidadoago[[#Headers],[28]],tabela_registros[REGISTRO],DADOS!$N$5,tabela_registros[TIPO],DADOS!$AB$5,tabela_registros[CATEGORIA],investiroutrosconsolidadoago[[#This Row],[ATUAL]])</f>
        <v>0</v>
      </c>
      <c r="AG152" s="119" t="n">
        <f aca="false">SUMIFS(tabela_registros[VALOR],tabela_registros[MÊS],$AE$1,tabela_registros[DIA],investiroutrosconsolidadoago[[#Headers],[29]],tabela_registros[REGISTRO],DADOS!$N$5,tabela_registros[TIPO],DADOS!$AB$5,tabela_registros[CATEGORIA],investiroutrosconsolidadoago[[#This Row],[ATUAL]])</f>
        <v>0</v>
      </c>
      <c r="AH152" s="119" t="n">
        <f aca="false">SUMIFS(tabela_registros[VALOR],tabela_registros[MÊS],$AE$1,tabela_registros[DIA],investiroutrosconsolidadoago[[#Headers],[30]],tabela_registros[REGISTRO],DADOS!$N$5,tabela_registros[TIPO],DADOS!$AB$5,tabela_registros[CATEGORIA],investiroutrosconsolidadoago[[#This Row],[ATUAL]])</f>
        <v>0</v>
      </c>
      <c r="AI152" s="217" t="n">
        <f aca="false">SUMIFS(tabela_registros[VALOR],tabela_registros[MÊS],$AE$1,tabela_registros[DIA],investiroutrosconsolidadoago[[#Headers],[31]],tabela_registros[REGISTRO],DADOS!$N$5,tabela_registros[TIPO],DADOS!$AB$5,tabela_registros[CATEGORIA],investiroutrosconsolidadoago[[#This Row],[ATUAL]])</f>
        <v>0</v>
      </c>
      <c r="AJ152" s="149" t="n">
        <f aca="false">SUM(investiroutrosconsolidadoago[[#This Row],[1]:[31]])</f>
        <v>0</v>
      </c>
      <c r="AK152" s="165"/>
    </row>
    <row r="153" customFormat="false" ht="19.5" hidden="false" customHeight="true" outlineLevel="0" collapsed="false">
      <c r="B153" s="143"/>
      <c r="C153" s="144" t="str">
        <f aca="false">DADOS!$AH$5</f>
        <v>📝 FUNDO DE INVESTIMENTO</v>
      </c>
      <c r="D153" s="145" t="str">
        <f aca="false">IF(investiroutrosconsolidadoago[[#This Row],[TOTAL (R$)]]=0,"",IF(OR(investiroutrosconsolidadoago[[#This Row],[TOTAL (R$)]]=LARGE($AJ$151:$AJ$158,1),investiroutrosconsolidadoago[[#This Row],[TOTAL (R$)]]=LARGE($AJ$151:$AJ$158,2)),DADOS!$I$10,""))</f>
        <v/>
      </c>
      <c r="E153" s="148" t="n">
        <f aca="false">SUMIFS(tabela_registros[VALOR],tabela_registros[MÊS],$AE$1,tabela_registros[DIA],investiroutrosconsolidadoago[[#Headers],[1]],tabela_registros[REGISTRO],DADOS!$N$5,tabela_registros[TIPO],DADOS!$AB$5,tabela_registros[CATEGORIA],investiroutrosconsolidadoago[[#This Row],[ATUAL]])</f>
        <v>0</v>
      </c>
      <c r="F153" s="119" t="n">
        <f aca="false">SUMIFS(tabela_registros[VALOR],tabela_registros[MÊS],$AE$1,tabela_registros[DIA],investiroutrosconsolidadoago[[#Headers],[2]],tabela_registros[REGISTRO],DADOS!$N$5,tabela_registros[TIPO],DADOS!$AB$5,tabela_registros[CATEGORIA],investiroutrosconsolidadoago[[#This Row],[ATUAL]])</f>
        <v>0</v>
      </c>
      <c r="G153" s="119" t="n">
        <f aca="false">SUMIFS(tabela_registros[VALOR],tabela_registros[MÊS],$AE$1,tabela_registros[DIA],investiroutrosconsolidadoago[[#Headers],[3]],tabela_registros[REGISTRO],DADOS!$N$5,tabela_registros[TIPO],DADOS!$AB$5,tabela_registros[CATEGORIA],investiroutrosconsolidadoago[[#This Row],[ATUAL]])</f>
        <v>0</v>
      </c>
      <c r="H153" s="119" t="n">
        <f aca="false">SUMIFS(tabela_registros[VALOR],tabela_registros[MÊS],$AE$1,tabela_registros[DIA],investiroutrosconsolidadoago[[#Headers],[4]],tabela_registros[REGISTRO],DADOS!$N$5,tabela_registros[TIPO],DADOS!$AB$5,tabela_registros[CATEGORIA],investiroutrosconsolidadoago[[#This Row],[ATUAL]])</f>
        <v>0</v>
      </c>
      <c r="I153" s="119" t="n">
        <f aca="false">SUMIFS(tabela_registros[VALOR],tabela_registros[MÊS],$AE$1,tabela_registros[DIA],investiroutrosconsolidadoago[[#Headers],[5]],tabela_registros[REGISTRO],DADOS!$N$5,tabela_registros[TIPO],DADOS!$AB$5,tabela_registros[CATEGORIA],investiroutrosconsolidadoago[[#This Row],[ATUAL]])</f>
        <v>0</v>
      </c>
      <c r="J153" s="119" t="n">
        <f aca="false">SUMIFS(tabela_registros[VALOR],tabela_registros[MÊS],$AE$1,tabela_registros[DIA],investiroutrosconsolidadoago[[#Headers],[6]],tabela_registros[REGISTRO],DADOS!$N$5,tabela_registros[TIPO],DADOS!$AB$5,tabela_registros[CATEGORIA],investiroutrosconsolidadoago[[#This Row],[ATUAL]])</f>
        <v>0</v>
      </c>
      <c r="K153" s="119" t="n">
        <f aca="false">SUMIFS(tabela_registros[VALOR],tabela_registros[MÊS],$AE$1,tabela_registros[DIA],investiroutrosconsolidadoago[[#Headers],[7]],tabela_registros[REGISTRO],DADOS!$N$5,tabela_registros[TIPO],DADOS!$AB$5,tabela_registros[CATEGORIA],investiroutrosconsolidadoago[[#This Row],[ATUAL]])</f>
        <v>0</v>
      </c>
      <c r="L153" s="119" t="n">
        <f aca="false">SUMIFS(tabela_registros[VALOR],tabela_registros[MÊS],$AE$1,tabela_registros[DIA],investiroutrosconsolidadoago[[#Headers],[8]],tabela_registros[REGISTRO],DADOS!$N$5,tabela_registros[TIPO],DADOS!$AB$5,tabela_registros[CATEGORIA],investiroutrosconsolidadoago[[#This Row],[ATUAL]])</f>
        <v>0</v>
      </c>
      <c r="M153" s="119" t="n">
        <f aca="false">SUMIFS(tabela_registros[VALOR],tabela_registros[MÊS],$AE$1,tabela_registros[DIA],investiroutrosconsolidadoago[[#Headers],[9]],tabela_registros[REGISTRO],DADOS!$N$5,tabela_registros[TIPO],DADOS!$AB$5,tabela_registros[CATEGORIA],investiroutrosconsolidadoago[[#This Row],[ATUAL]])</f>
        <v>0</v>
      </c>
      <c r="N153" s="119" t="n">
        <f aca="false">SUMIFS(tabela_registros[VALOR],tabela_registros[MÊS],$AE$1,tabela_registros[DIA],investiroutrosconsolidadoago[[#Headers],[10]],tabela_registros[REGISTRO],DADOS!$N$5,tabela_registros[TIPO],DADOS!$AB$5,tabela_registros[CATEGORIA],investiroutrosconsolidadoago[[#This Row],[ATUAL]])</f>
        <v>0</v>
      </c>
      <c r="O153" s="119" t="n">
        <f aca="false">SUMIFS(tabela_registros[VALOR],tabela_registros[MÊS],$AE$1,tabela_registros[DIA],investiroutrosconsolidadoago[[#Headers],[11]],tabela_registros[REGISTRO],DADOS!$N$5,tabela_registros[TIPO],DADOS!$AB$5,tabela_registros[CATEGORIA],investiroutrosconsolidadoago[[#This Row],[ATUAL]])</f>
        <v>0</v>
      </c>
      <c r="P153" s="119" t="n">
        <f aca="false">SUMIFS(tabela_registros[VALOR],tabela_registros[MÊS],$AE$1,tabela_registros[DIA],investiroutrosconsolidadoago[[#Headers],[12]],tabela_registros[REGISTRO],DADOS!$N$5,tabela_registros[TIPO],DADOS!$AB$5,tabela_registros[CATEGORIA],investiroutrosconsolidadoago[[#This Row],[ATUAL]])</f>
        <v>0</v>
      </c>
      <c r="Q153" s="119" t="n">
        <f aca="false">SUMIFS(tabela_registros[VALOR],tabela_registros[MÊS],$AE$1,tabela_registros[DIA],investiroutrosconsolidadoago[[#Headers],[13]],tabela_registros[REGISTRO],DADOS!$N$5,tabela_registros[TIPO],DADOS!$AB$5,tabela_registros[CATEGORIA],investiroutrosconsolidadoago[[#This Row],[ATUAL]])</f>
        <v>0</v>
      </c>
      <c r="R153" s="119" t="n">
        <f aca="false">SUMIFS(tabela_registros[VALOR],tabela_registros[MÊS],$AE$1,tabela_registros[DIA],investiroutrosconsolidadoago[[#Headers],[14]],tabela_registros[REGISTRO],DADOS!$N$5,tabela_registros[TIPO],DADOS!$AB$5,tabela_registros[CATEGORIA],investiroutrosconsolidadoago[[#This Row],[ATUAL]])</f>
        <v>0</v>
      </c>
      <c r="S153" s="119" t="n">
        <f aca="false">SUMIFS(tabela_registros[VALOR],tabela_registros[MÊS],$AE$1,tabela_registros[DIA],investiroutrosconsolidadoago[[#Headers],[15]],tabela_registros[REGISTRO],DADOS!$N$5,tabela_registros[TIPO],DADOS!$AB$5,tabela_registros[CATEGORIA],investiroutrosconsolidadoago[[#This Row],[ATUAL]])</f>
        <v>0</v>
      </c>
      <c r="T153" s="119" t="n">
        <f aca="false">SUMIFS(tabela_registros[VALOR],tabela_registros[MÊS],$AE$1,tabela_registros[DIA],investiroutrosconsolidadoago[[#Headers],[16]],tabela_registros[REGISTRO],DADOS!$N$5,tabela_registros[TIPO],DADOS!$AB$5,tabela_registros[CATEGORIA],investiroutrosconsolidadoago[[#This Row],[ATUAL]])</f>
        <v>0</v>
      </c>
      <c r="U153" s="119" t="n">
        <f aca="false">SUMIFS(tabela_registros[VALOR],tabela_registros[MÊS],$AE$1,tabela_registros[DIA],investiroutrosconsolidadoago[[#Headers],[17]],tabela_registros[REGISTRO],DADOS!$N$5,tabela_registros[TIPO],DADOS!$AB$5,tabela_registros[CATEGORIA],investiroutrosconsolidadoago[[#This Row],[ATUAL]])</f>
        <v>0</v>
      </c>
      <c r="V153" s="119" t="n">
        <f aca="false">SUMIFS(tabela_registros[VALOR],tabela_registros[MÊS],$AE$1,tabela_registros[DIA],investiroutrosconsolidadoago[[#Headers],[18]],tabela_registros[REGISTRO],DADOS!$N$5,tabela_registros[TIPO],DADOS!$AB$5,tabela_registros[CATEGORIA],investiroutrosconsolidadoago[[#This Row],[ATUAL]])</f>
        <v>0</v>
      </c>
      <c r="W153" s="119" t="n">
        <f aca="false">SUMIFS(tabela_registros[VALOR],tabela_registros[MÊS],$AE$1,tabela_registros[DIA],investiroutrosconsolidadoago[[#Headers],[19]],tabela_registros[REGISTRO],DADOS!$N$5,tabela_registros[TIPO],DADOS!$AB$5,tabela_registros[CATEGORIA],investiroutrosconsolidadoago[[#This Row],[ATUAL]])</f>
        <v>0</v>
      </c>
      <c r="X153" s="119" t="n">
        <f aca="false">SUMIFS(tabela_registros[VALOR],tabela_registros[MÊS],$AE$1,tabela_registros[DIA],investiroutrosconsolidadoago[[#Headers],[20]],tabela_registros[REGISTRO],DADOS!$N$5,tabela_registros[TIPO],DADOS!$AB$5,tabela_registros[CATEGORIA],investiroutrosconsolidadoago[[#This Row],[ATUAL]])</f>
        <v>0</v>
      </c>
      <c r="Y153" s="119" t="n">
        <f aca="false">SUMIFS(tabela_registros[VALOR],tabela_registros[MÊS],$AE$1,tabela_registros[DIA],investiroutrosconsolidadoago[[#Headers],[21]],tabela_registros[REGISTRO],DADOS!$N$5,tabela_registros[TIPO],DADOS!$AB$5,tabela_registros[CATEGORIA],investiroutrosconsolidadoago[[#This Row],[ATUAL]])</f>
        <v>0</v>
      </c>
      <c r="Z153" s="119" t="n">
        <f aca="false">SUMIFS(tabela_registros[VALOR],tabela_registros[MÊS],$AE$1,tabela_registros[DIA],investiroutrosconsolidadoago[[#Headers],[22]],tabela_registros[REGISTRO],DADOS!$N$5,tabela_registros[TIPO],DADOS!$AB$5,tabela_registros[CATEGORIA],investiroutrosconsolidadoago[[#This Row],[ATUAL]])</f>
        <v>0</v>
      </c>
      <c r="AA153" s="119" t="n">
        <f aca="false">SUMIFS(tabela_registros[VALOR],tabela_registros[MÊS],$AE$1,tabela_registros[DIA],investiroutrosconsolidadoago[[#Headers],[23]],tabela_registros[REGISTRO],DADOS!$N$5,tabela_registros[TIPO],DADOS!$AB$5,tabela_registros[CATEGORIA],investiroutrosconsolidadoago[[#This Row],[ATUAL]])</f>
        <v>0</v>
      </c>
      <c r="AB153" s="119" t="n">
        <f aca="false">SUMIFS(tabela_registros[VALOR],tabela_registros[MÊS],$AE$1,tabela_registros[DIA],investiroutrosconsolidadoago[[#Headers],[24]],tabela_registros[REGISTRO],DADOS!$N$5,tabela_registros[TIPO],DADOS!$AB$5,tabela_registros[CATEGORIA],investiroutrosconsolidadoago[[#This Row],[ATUAL]])</f>
        <v>0</v>
      </c>
      <c r="AC153" s="119" t="n">
        <f aca="false">SUMIFS(tabela_registros[VALOR],tabela_registros[MÊS],$AE$1,tabela_registros[DIA],investiroutrosconsolidadoago[[#Headers],[25]],tabela_registros[REGISTRO],DADOS!$N$5,tabela_registros[TIPO],DADOS!$AB$5,tabela_registros[CATEGORIA],investiroutrosconsolidadoago[[#This Row],[ATUAL]])</f>
        <v>0</v>
      </c>
      <c r="AD153" s="119" t="n">
        <f aca="false">SUMIFS(tabela_registros[VALOR],tabela_registros[MÊS],$AE$1,tabela_registros[DIA],investiroutrosconsolidadoago[[#Headers],[26]],tabela_registros[REGISTRO],DADOS!$N$5,tabela_registros[TIPO],DADOS!$AB$5,tabela_registros[CATEGORIA],investiroutrosconsolidadoago[[#This Row],[ATUAL]])</f>
        <v>0</v>
      </c>
      <c r="AE153" s="119" t="n">
        <f aca="false">SUMIFS(tabela_registros[VALOR],tabela_registros[MÊS],$AE$1,tabela_registros[DIA],investiroutrosconsolidadoago[[#Headers],[27]],tabela_registros[REGISTRO],DADOS!$N$5,tabela_registros[TIPO],DADOS!$AB$5,tabela_registros[CATEGORIA],investiroutrosconsolidadoago[[#This Row],[ATUAL]])</f>
        <v>0</v>
      </c>
      <c r="AF153" s="119" t="n">
        <f aca="false">SUMIFS(tabela_registros[VALOR],tabela_registros[MÊS],$AE$1,tabela_registros[DIA],investiroutrosconsolidadoago[[#Headers],[28]],tabela_registros[REGISTRO],DADOS!$N$5,tabela_registros[TIPO],DADOS!$AB$5,tabela_registros[CATEGORIA],investiroutrosconsolidadoago[[#This Row],[ATUAL]])</f>
        <v>0</v>
      </c>
      <c r="AG153" s="119" t="n">
        <f aca="false">SUMIFS(tabela_registros[VALOR],tabela_registros[MÊS],$AE$1,tabela_registros[DIA],investiroutrosconsolidadoago[[#Headers],[29]],tabela_registros[REGISTRO],DADOS!$N$5,tabela_registros[TIPO],DADOS!$AB$5,tabela_registros[CATEGORIA],investiroutrosconsolidadoago[[#This Row],[ATUAL]])</f>
        <v>0</v>
      </c>
      <c r="AH153" s="119" t="n">
        <f aca="false">SUMIFS(tabela_registros[VALOR],tabela_registros[MÊS],$AE$1,tabela_registros[DIA],investiroutrosconsolidadoago[[#Headers],[30]],tabela_registros[REGISTRO],DADOS!$N$5,tabela_registros[TIPO],DADOS!$AB$5,tabela_registros[CATEGORIA],investiroutrosconsolidadoago[[#This Row],[ATUAL]])</f>
        <v>0</v>
      </c>
      <c r="AI153" s="217" t="n">
        <f aca="false">SUMIFS(tabela_registros[VALOR],tabela_registros[MÊS],$AE$1,tabela_registros[DIA],investiroutrosconsolidadoago[[#Headers],[31]],tabela_registros[REGISTRO],DADOS!$N$5,tabela_registros[TIPO],DADOS!$AB$5,tabela_registros[CATEGORIA],investiroutrosconsolidadoago[[#This Row],[ATUAL]])</f>
        <v>0</v>
      </c>
      <c r="AJ153" s="149" t="n">
        <f aca="false">SUM(investiroutrosconsolidadoago[[#This Row],[1]:[31]])</f>
        <v>0</v>
      </c>
      <c r="AK153" s="165"/>
    </row>
    <row r="154" customFormat="false" ht="19.5" hidden="false" customHeight="true" outlineLevel="0" collapsed="false">
      <c r="B154" s="143"/>
      <c r="C154" s="144" t="str">
        <f aca="false">DADOS!$AH$6</f>
        <v>📝 NOVA EMPRESA</v>
      </c>
      <c r="D154" s="145" t="str">
        <f aca="false">IF(investiroutrosconsolidadoago[[#This Row],[TOTAL (R$)]]=0,"",IF(OR(investiroutrosconsolidadoago[[#This Row],[TOTAL (R$)]]=LARGE($AJ$151:$AJ$158,1),investiroutrosconsolidadoago[[#This Row],[TOTAL (R$)]]=LARGE($AJ$151:$AJ$158,2)),DADOS!$I$10,""))</f>
        <v/>
      </c>
      <c r="E154" s="148" t="n">
        <f aca="false">SUMIFS(tabela_registros[VALOR],tabela_registros[MÊS],$AE$1,tabela_registros[DIA],investiroutrosconsolidadoago[[#Headers],[1]],tabela_registros[REGISTRO],DADOS!$N$5,tabela_registros[TIPO],DADOS!$AB$5,tabela_registros[CATEGORIA],investiroutrosconsolidadoago[[#This Row],[ATUAL]])</f>
        <v>0</v>
      </c>
      <c r="F154" s="119" t="n">
        <f aca="false">SUMIFS(tabela_registros[VALOR],tabela_registros[MÊS],$AE$1,tabela_registros[DIA],investiroutrosconsolidadoago[[#Headers],[2]],tabela_registros[REGISTRO],DADOS!$N$5,tabela_registros[TIPO],DADOS!$AB$5,tabela_registros[CATEGORIA],investiroutrosconsolidadoago[[#This Row],[ATUAL]])</f>
        <v>0</v>
      </c>
      <c r="G154" s="119" t="n">
        <f aca="false">SUMIFS(tabela_registros[VALOR],tabela_registros[MÊS],$AE$1,tabela_registros[DIA],investiroutrosconsolidadoago[[#Headers],[3]],tabela_registros[REGISTRO],DADOS!$N$5,tabela_registros[TIPO],DADOS!$AB$5,tabela_registros[CATEGORIA],investiroutrosconsolidadoago[[#This Row],[ATUAL]])</f>
        <v>0</v>
      </c>
      <c r="H154" s="119" t="n">
        <f aca="false">SUMIFS(tabela_registros[VALOR],tabela_registros[MÊS],$AE$1,tabela_registros[DIA],investiroutrosconsolidadoago[[#Headers],[4]],tabela_registros[REGISTRO],DADOS!$N$5,tabela_registros[TIPO],DADOS!$AB$5,tabela_registros[CATEGORIA],investiroutrosconsolidadoago[[#This Row],[ATUAL]])</f>
        <v>0</v>
      </c>
      <c r="I154" s="119" t="n">
        <f aca="false">SUMIFS(tabela_registros[VALOR],tabela_registros[MÊS],$AE$1,tabela_registros[DIA],investiroutrosconsolidadoago[[#Headers],[5]],tabela_registros[REGISTRO],DADOS!$N$5,tabela_registros[TIPO],DADOS!$AB$5,tabela_registros[CATEGORIA],investiroutrosconsolidadoago[[#This Row],[ATUAL]])</f>
        <v>0</v>
      </c>
      <c r="J154" s="119" t="n">
        <f aca="false">SUMIFS(tabela_registros[VALOR],tabela_registros[MÊS],$AE$1,tabela_registros[DIA],investiroutrosconsolidadoago[[#Headers],[6]],tabela_registros[REGISTRO],DADOS!$N$5,tabela_registros[TIPO],DADOS!$AB$5,tabela_registros[CATEGORIA],investiroutrosconsolidadoago[[#This Row],[ATUAL]])</f>
        <v>0</v>
      </c>
      <c r="K154" s="119" t="n">
        <f aca="false">SUMIFS(tabela_registros[VALOR],tabela_registros[MÊS],$AE$1,tabela_registros[DIA],investiroutrosconsolidadoago[[#Headers],[7]],tabela_registros[REGISTRO],DADOS!$N$5,tabela_registros[TIPO],DADOS!$AB$5,tabela_registros[CATEGORIA],investiroutrosconsolidadoago[[#This Row],[ATUAL]])</f>
        <v>0</v>
      </c>
      <c r="L154" s="119" t="n">
        <f aca="false">SUMIFS(tabela_registros[VALOR],tabela_registros[MÊS],$AE$1,tabela_registros[DIA],investiroutrosconsolidadoago[[#Headers],[8]],tabela_registros[REGISTRO],DADOS!$N$5,tabela_registros[TIPO],DADOS!$AB$5,tabela_registros[CATEGORIA],investiroutrosconsolidadoago[[#This Row],[ATUAL]])</f>
        <v>0</v>
      </c>
      <c r="M154" s="119" t="n">
        <f aca="false">SUMIFS(tabela_registros[VALOR],tabela_registros[MÊS],$AE$1,tabela_registros[DIA],investiroutrosconsolidadoago[[#Headers],[9]],tabela_registros[REGISTRO],DADOS!$N$5,tabela_registros[TIPO],DADOS!$AB$5,tabela_registros[CATEGORIA],investiroutrosconsolidadoago[[#This Row],[ATUAL]])</f>
        <v>0</v>
      </c>
      <c r="N154" s="119" t="n">
        <f aca="false">SUMIFS(tabela_registros[VALOR],tabela_registros[MÊS],$AE$1,tabela_registros[DIA],investiroutrosconsolidadoago[[#Headers],[10]],tabela_registros[REGISTRO],DADOS!$N$5,tabela_registros[TIPO],DADOS!$AB$5,tabela_registros[CATEGORIA],investiroutrosconsolidadoago[[#This Row],[ATUAL]])</f>
        <v>0</v>
      </c>
      <c r="O154" s="119" t="n">
        <f aca="false">SUMIFS(tabela_registros[VALOR],tabela_registros[MÊS],$AE$1,tabela_registros[DIA],investiroutrosconsolidadoago[[#Headers],[11]],tabela_registros[REGISTRO],DADOS!$N$5,tabela_registros[TIPO],DADOS!$AB$5,tabela_registros[CATEGORIA],investiroutrosconsolidadoago[[#This Row],[ATUAL]])</f>
        <v>0</v>
      </c>
      <c r="P154" s="119" t="n">
        <f aca="false">SUMIFS(tabela_registros[VALOR],tabela_registros[MÊS],$AE$1,tabela_registros[DIA],investiroutrosconsolidadoago[[#Headers],[12]],tabela_registros[REGISTRO],DADOS!$N$5,tabela_registros[TIPO],DADOS!$AB$5,tabela_registros[CATEGORIA],investiroutrosconsolidadoago[[#This Row],[ATUAL]])</f>
        <v>0</v>
      </c>
      <c r="Q154" s="119" t="n">
        <f aca="false">SUMIFS(tabela_registros[VALOR],tabela_registros[MÊS],$AE$1,tabela_registros[DIA],investiroutrosconsolidadoago[[#Headers],[13]],tabela_registros[REGISTRO],DADOS!$N$5,tabela_registros[TIPO],DADOS!$AB$5,tabela_registros[CATEGORIA],investiroutrosconsolidadoago[[#This Row],[ATUAL]])</f>
        <v>0</v>
      </c>
      <c r="R154" s="119" t="n">
        <f aca="false">SUMIFS(tabela_registros[VALOR],tabela_registros[MÊS],$AE$1,tabela_registros[DIA],investiroutrosconsolidadoago[[#Headers],[14]],tabela_registros[REGISTRO],DADOS!$N$5,tabela_registros[TIPO],DADOS!$AB$5,tabela_registros[CATEGORIA],investiroutrosconsolidadoago[[#This Row],[ATUAL]])</f>
        <v>0</v>
      </c>
      <c r="S154" s="119" t="n">
        <f aca="false">SUMIFS(tabela_registros[VALOR],tabela_registros[MÊS],$AE$1,tabela_registros[DIA],investiroutrosconsolidadoago[[#Headers],[15]],tabela_registros[REGISTRO],DADOS!$N$5,tabela_registros[TIPO],DADOS!$AB$5,tabela_registros[CATEGORIA],investiroutrosconsolidadoago[[#This Row],[ATUAL]])</f>
        <v>0</v>
      </c>
      <c r="T154" s="119" t="n">
        <f aca="false">SUMIFS(tabela_registros[VALOR],tabela_registros[MÊS],$AE$1,tabela_registros[DIA],investiroutrosconsolidadoago[[#Headers],[16]],tabela_registros[REGISTRO],DADOS!$N$5,tabela_registros[TIPO],DADOS!$AB$5,tabela_registros[CATEGORIA],investiroutrosconsolidadoago[[#This Row],[ATUAL]])</f>
        <v>0</v>
      </c>
      <c r="U154" s="119" t="n">
        <f aca="false">SUMIFS(tabela_registros[VALOR],tabela_registros[MÊS],$AE$1,tabela_registros[DIA],investiroutrosconsolidadoago[[#Headers],[17]],tabela_registros[REGISTRO],DADOS!$N$5,tabela_registros[TIPO],DADOS!$AB$5,tabela_registros[CATEGORIA],investiroutrosconsolidadoago[[#This Row],[ATUAL]])</f>
        <v>0</v>
      </c>
      <c r="V154" s="119" t="n">
        <f aca="false">SUMIFS(tabela_registros[VALOR],tabela_registros[MÊS],$AE$1,tabela_registros[DIA],investiroutrosconsolidadoago[[#Headers],[18]],tabela_registros[REGISTRO],DADOS!$N$5,tabela_registros[TIPO],DADOS!$AB$5,tabela_registros[CATEGORIA],investiroutrosconsolidadoago[[#This Row],[ATUAL]])</f>
        <v>0</v>
      </c>
      <c r="W154" s="119" t="n">
        <f aca="false">SUMIFS(tabela_registros[VALOR],tabela_registros[MÊS],$AE$1,tabela_registros[DIA],investiroutrosconsolidadoago[[#Headers],[19]],tabela_registros[REGISTRO],DADOS!$N$5,tabela_registros[TIPO],DADOS!$AB$5,tabela_registros[CATEGORIA],investiroutrosconsolidadoago[[#This Row],[ATUAL]])</f>
        <v>0</v>
      </c>
      <c r="X154" s="119" t="n">
        <f aca="false">SUMIFS(tabela_registros[VALOR],tabela_registros[MÊS],$AE$1,tabela_registros[DIA],investiroutrosconsolidadoago[[#Headers],[20]],tabela_registros[REGISTRO],DADOS!$N$5,tabela_registros[TIPO],DADOS!$AB$5,tabela_registros[CATEGORIA],investiroutrosconsolidadoago[[#This Row],[ATUAL]])</f>
        <v>0</v>
      </c>
      <c r="Y154" s="119" t="n">
        <f aca="false">SUMIFS(tabela_registros[VALOR],tabela_registros[MÊS],$AE$1,tabela_registros[DIA],investiroutrosconsolidadoago[[#Headers],[21]],tabela_registros[REGISTRO],DADOS!$N$5,tabela_registros[TIPO],DADOS!$AB$5,tabela_registros[CATEGORIA],investiroutrosconsolidadoago[[#This Row],[ATUAL]])</f>
        <v>0</v>
      </c>
      <c r="Z154" s="119" t="n">
        <f aca="false">SUMIFS(tabela_registros[VALOR],tabela_registros[MÊS],$AE$1,tabela_registros[DIA],investiroutrosconsolidadoago[[#Headers],[22]],tabela_registros[REGISTRO],DADOS!$N$5,tabela_registros[TIPO],DADOS!$AB$5,tabela_registros[CATEGORIA],investiroutrosconsolidadoago[[#This Row],[ATUAL]])</f>
        <v>0</v>
      </c>
      <c r="AA154" s="119" t="n">
        <f aca="false">SUMIFS(tabela_registros[VALOR],tabela_registros[MÊS],$AE$1,tabela_registros[DIA],investiroutrosconsolidadoago[[#Headers],[23]],tabela_registros[REGISTRO],DADOS!$N$5,tabela_registros[TIPO],DADOS!$AB$5,tabela_registros[CATEGORIA],investiroutrosconsolidadoago[[#This Row],[ATUAL]])</f>
        <v>0</v>
      </c>
      <c r="AB154" s="119" t="n">
        <f aca="false">SUMIFS(tabela_registros[VALOR],tabela_registros[MÊS],$AE$1,tabela_registros[DIA],investiroutrosconsolidadoago[[#Headers],[24]],tabela_registros[REGISTRO],DADOS!$N$5,tabela_registros[TIPO],DADOS!$AB$5,tabela_registros[CATEGORIA],investiroutrosconsolidadoago[[#This Row],[ATUAL]])</f>
        <v>0</v>
      </c>
      <c r="AC154" s="119" t="n">
        <f aca="false">SUMIFS(tabela_registros[VALOR],tabela_registros[MÊS],$AE$1,tabela_registros[DIA],investiroutrosconsolidadoago[[#Headers],[25]],tabela_registros[REGISTRO],DADOS!$N$5,tabela_registros[TIPO],DADOS!$AB$5,tabela_registros[CATEGORIA],investiroutrosconsolidadoago[[#This Row],[ATUAL]])</f>
        <v>0</v>
      </c>
      <c r="AD154" s="119" t="n">
        <f aca="false">SUMIFS(tabela_registros[VALOR],tabela_registros[MÊS],$AE$1,tabela_registros[DIA],investiroutrosconsolidadoago[[#Headers],[26]],tabela_registros[REGISTRO],DADOS!$N$5,tabela_registros[TIPO],DADOS!$AB$5,tabela_registros[CATEGORIA],investiroutrosconsolidadoago[[#This Row],[ATUAL]])</f>
        <v>0</v>
      </c>
      <c r="AE154" s="119" t="n">
        <f aca="false">SUMIFS(tabela_registros[VALOR],tabela_registros[MÊS],$AE$1,tabela_registros[DIA],investiroutrosconsolidadoago[[#Headers],[27]],tabela_registros[REGISTRO],DADOS!$N$5,tabela_registros[TIPO],DADOS!$AB$5,tabela_registros[CATEGORIA],investiroutrosconsolidadoago[[#This Row],[ATUAL]])</f>
        <v>0</v>
      </c>
      <c r="AF154" s="119" t="n">
        <f aca="false">SUMIFS(tabela_registros[VALOR],tabela_registros[MÊS],$AE$1,tabela_registros[DIA],investiroutrosconsolidadoago[[#Headers],[28]],tabela_registros[REGISTRO],DADOS!$N$5,tabela_registros[TIPO],DADOS!$AB$5,tabela_registros[CATEGORIA],investiroutrosconsolidadoago[[#This Row],[ATUAL]])</f>
        <v>0</v>
      </c>
      <c r="AG154" s="119" t="n">
        <f aca="false">SUMIFS(tabela_registros[VALOR],tabela_registros[MÊS],$AE$1,tabela_registros[DIA],investiroutrosconsolidadoago[[#Headers],[29]],tabela_registros[REGISTRO],DADOS!$N$5,tabela_registros[TIPO],DADOS!$AB$5,tabela_registros[CATEGORIA],investiroutrosconsolidadoago[[#This Row],[ATUAL]])</f>
        <v>0</v>
      </c>
      <c r="AH154" s="119" t="n">
        <f aca="false">SUMIFS(tabela_registros[VALOR],tabela_registros[MÊS],$AE$1,tabela_registros[DIA],investiroutrosconsolidadoago[[#Headers],[30]],tabela_registros[REGISTRO],DADOS!$N$5,tabela_registros[TIPO],DADOS!$AB$5,tabela_registros[CATEGORIA],investiroutrosconsolidadoago[[#This Row],[ATUAL]])</f>
        <v>0</v>
      </c>
      <c r="AI154" s="217" t="n">
        <f aca="false">SUMIFS(tabela_registros[VALOR],tabela_registros[MÊS],$AE$1,tabela_registros[DIA],investiroutrosconsolidadoago[[#Headers],[31]],tabela_registros[REGISTRO],DADOS!$N$5,tabela_registros[TIPO],DADOS!$AB$5,tabela_registros[CATEGORIA],investiroutrosconsolidadoago[[#This Row],[ATUAL]])</f>
        <v>0</v>
      </c>
      <c r="AJ154" s="149" t="n">
        <f aca="false">SUM(investiroutrosconsolidadoago[[#This Row],[1]:[31]])</f>
        <v>0</v>
      </c>
      <c r="AK154" s="165"/>
    </row>
    <row r="155" customFormat="false" ht="19.5" hidden="false" customHeight="true" outlineLevel="0" collapsed="false">
      <c r="B155" s="143"/>
      <c r="C155" s="144" t="str">
        <f aca="false">DADOS!$AH$7</f>
        <v>📝 PEER TO COMPANY</v>
      </c>
      <c r="D155" s="145" t="str">
        <f aca="false">IF(investiroutrosconsolidadoago[[#This Row],[TOTAL (R$)]]=0,"",IF(OR(investiroutrosconsolidadoago[[#This Row],[TOTAL (R$)]]=LARGE($AJ$151:$AJ$158,1),investiroutrosconsolidadoago[[#This Row],[TOTAL (R$)]]=LARGE($AJ$151:$AJ$158,2)),DADOS!$I$10,""))</f>
        <v/>
      </c>
      <c r="E155" s="148" t="n">
        <f aca="false">SUMIFS(tabela_registros[VALOR],tabela_registros[MÊS],$AE$1,tabela_registros[DIA],investiroutrosconsolidadoago[[#Headers],[1]],tabela_registros[REGISTRO],DADOS!$N$5,tabela_registros[TIPO],DADOS!$AB$5,tabela_registros[CATEGORIA],investiroutrosconsolidadoago[[#This Row],[ATUAL]])</f>
        <v>0</v>
      </c>
      <c r="F155" s="119" t="n">
        <f aca="false">SUMIFS(tabela_registros[VALOR],tabela_registros[MÊS],$AE$1,tabela_registros[DIA],investiroutrosconsolidadoago[[#Headers],[2]],tabela_registros[REGISTRO],DADOS!$N$5,tabela_registros[TIPO],DADOS!$AB$5,tabela_registros[CATEGORIA],investiroutrosconsolidadoago[[#This Row],[ATUAL]])</f>
        <v>0</v>
      </c>
      <c r="G155" s="119" t="n">
        <f aca="false">SUMIFS(tabela_registros[VALOR],tabela_registros[MÊS],$AE$1,tabela_registros[DIA],investiroutrosconsolidadoago[[#Headers],[3]],tabela_registros[REGISTRO],DADOS!$N$5,tabela_registros[TIPO],DADOS!$AB$5,tabela_registros[CATEGORIA],investiroutrosconsolidadoago[[#This Row],[ATUAL]])</f>
        <v>0</v>
      </c>
      <c r="H155" s="119" t="n">
        <f aca="false">SUMIFS(tabela_registros[VALOR],tabela_registros[MÊS],$AE$1,tabela_registros[DIA],investiroutrosconsolidadoago[[#Headers],[4]],tabela_registros[REGISTRO],DADOS!$N$5,tabela_registros[TIPO],DADOS!$AB$5,tabela_registros[CATEGORIA],investiroutrosconsolidadoago[[#This Row],[ATUAL]])</f>
        <v>0</v>
      </c>
      <c r="I155" s="119" t="n">
        <f aca="false">SUMIFS(tabela_registros[VALOR],tabela_registros[MÊS],$AE$1,tabela_registros[DIA],investiroutrosconsolidadoago[[#Headers],[5]],tabela_registros[REGISTRO],DADOS!$N$5,tabela_registros[TIPO],DADOS!$AB$5,tabela_registros[CATEGORIA],investiroutrosconsolidadoago[[#This Row],[ATUAL]])</f>
        <v>0</v>
      </c>
      <c r="J155" s="119" t="n">
        <f aca="false">SUMIFS(tabela_registros[VALOR],tabela_registros[MÊS],$AE$1,tabela_registros[DIA],investiroutrosconsolidadoago[[#Headers],[6]],tabela_registros[REGISTRO],DADOS!$N$5,tabela_registros[TIPO],DADOS!$AB$5,tabela_registros[CATEGORIA],investiroutrosconsolidadoago[[#This Row],[ATUAL]])</f>
        <v>0</v>
      </c>
      <c r="K155" s="119" t="n">
        <f aca="false">SUMIFS(tabela_registros[VALOR],tabela_registros[MÊS],$AE$1,tabela_registros[DIA],investiroutrosconsolidadoago[[#Headers],[7]],tabela_registros[REGISTRO],DADOS!$N$5,tabela_registros[TIPO],DADOS!$AB$5,tabela_registros[CATEGORIA],investiroutrosconsolidadoago[[#This Row],[ATUAL]])</f>
        <v>0</v>
      </c>
      <c r="L155" s="119" t="n">
        <f aca="false">SUMIFS(tabela_registros[VALOR],tabela_registros[MÊS],$AE$1,tabela_registros[DIA],investiroutrosconsolidadoago[[#Headers],[8]],tabela_registros[REGISTRO],DADOS!$N$5,tabela_registros[TIPO],DADOS!$AB$5,tabela_registros[CATEGORIA],investiroutrosconsolidadoago[[#This Row],[ATUAL]])</f>
        <v>0</v>
      </c>
      <c r="M155" s="119" t="n">
        <f aca="false">SUMIFS(tabela_registros[VALOR],tabela_registros[MÊS],$AE$1,tabela_registros[DIA],investiroutrosconsolidadoago[[#Headers],[9]],tabela_registros[REGISTRO],DADOS!$N$5,tabela_registros[TIPO],DADOS!$AB$5,tabela_registros[CATEGORIA],investiroutrosconsolidadoago[[#This Row],[ATUAL]])</f>
        <v>0</v>
      </c>
      <c r="N155" s="119" t="n">
        <f aca="false">SUMIFS(tabela_registros[VALOR],tabela_registros[MÊS],$AE$1,tabela_registros[DIA],investiroutrosconsolidadoago[[#Headers],[10]],tabela_registros[REGISTRO],DADOS!$N$5,tabela_registros[TIPO],DADOS!$AB$5,tabela_registros[CATEGORIA],investiroutrosconsolidadoago[[#This Row],[ATUAL]])</f>
        <v>0</v>
      </c>
      <c r="O155" s="119" t="n">
        <f aca="false">SUMIFS(tabela_registros[VALOR],tabela_registros[MÊS],$AE$1,tabela_registros[DIA],investiroutrosconsolidadoago[[#Headers],[11]],tabela_registros[REGISTRO],DADOS!$N$5,tabela_registros[TIPO],DADOS!$AB$5,tabela_registros[CATEGORIA],investiroutrosconsolidadoago[[#This Row],[ATUAL]])</f>
        <v>0</v>
      </c>
      <c r="P155" s="119" t="n">
        <f aca="false">SUMIFS(tabela_registros[VALOR],tabela_registros[MÊS],$AE$1,tabela_registros[DIA],investiroutrosconsolidadoago[[#Headers],[12]],tabela_registros[REGISTRO],DADOS!$N$5,tabela_registros[TIPO],DADOS!$AB$5,tabela_registros[CATEGORIA],investiroutrosconsolidadoago[[#This Row],[ATUAL]])</f>
        <v>0</v>
      </c>
      <c r="Q155" s="119" t="n">
        <f aca="false">SUMIFS(tabela_registros[VALOR],tabela_registros[MÊS],$AE$1,tabela_registros[DIA],investiroutrosconsolidadoago[[#Headers],[13]],tabela_registros[REGISTRO],DADOS!$N$5,tabela_registros[TIPO],DADOS!$AB$5,tabela_registros[CATEGORIA],investiroutrosconsolidadoago[[#This Row],[ATUAL]])</f>
        <v>0</v>
      </c>
      <c r="R155" s="119" t="n">
        <f aca="false">SUMIFS(tabela_registros[VALOR],tabela_registros[MÊS],$AE$1,tabela_registros[DIA],investiroutrosconsolidadoago[[#Headers],[14]],tabela_registros[REGISTRO],DADOS!$N$5,tabela_registros[TIPO],DADOS!$AB$5,tabela_registros[CATEGORIA],investiroutrosconsolidadoago[[#This Row],[ATUAL]])</f>
        <v>0</v>
      </c>
      <c r="S155" s="119" t="n">
        <f aca="false">SUMIFS(tabela_registros[VALOR],tabela_registros[MÊS],$AE$1,tabela_registros[DIA],investiroutrosconsolidadoago[[#Headers],[15]],tabela_registros[REGISTRO],DADOS!$N$5,tabela_registros[TIPO],DADOS!$AB$5,tabela_registros[CATEGORIA],investiroutrosconsolidadoago[[#This Row],[ATUAL]])</f>
        <v>0</v>
      </c>
      <c r="T155" s="119" t="n">
        <f aca="false">SUMIFS(tabela_registros[VALOR],tabela_registros[MÊS],$AE$1,tabela_registros[DIA],investiroutrosconsolidadoago[[#Headers],[16]],tabela_registros[REGISTRO],DADOS!$N$5,tabela_registros[TIPO],DADOS!$AB$5,tabela_registros[CATEGORIA],investiroutrosconsolidadoago[[#This Row],[ATUAL]])</f>
        <v>0</v>
      </c>
      <c r="U155" s="119" t="n">
        <f aca="false">SUMIFS(tabela_registros[VALOR],tabela_registros[MÊS],$AE$1,tabela_registros[DIA],investiroutrosconsolidadoago[[#Headers],[17]],tabela_registros[REGISTRO],DADOS!$N$5,tabela_registros[TIPO],DADOS!$AB$5,tabela_registros[CATEGORIA],investiroutrosconsolidadoago[[#This Row],[ATUAL]])</f>
        <v>0</v>
      </c>
      <c r="V155" s="119" t="n">
        <f aca="false">SUMIFS(tabela_registros[VALOR],tabela_registros[MÊS],$AE$1,tabela_registros[DIA],investiroutrosconsolidadoago[[#Headers],[18]],tabela_registros[REGISTRO],DADOS!$N$5,tabela_registros[TIPO],DADOS!$AB$5,tabela_registros[CATEGORIA],investiroutrosconsolidadoago[[#This Row],[ATUAL]])</f>
        <v>0</v>
      </c>
      <c r="W155" s="119" t="n">
        <f aca="false">SUMIFS(tabela_registros[VALOR],tabela_registros[MÊS],$AE$1,tabela_registros[DIA],investiroutrosconsolidadoago[[#Headers],[19]],tabela_registros[REGISTRO],DADOS!$N$5,tabela_registros[TIPO],DADOS!$AB$5,tabela_registros[CATEGORIA],investiroutrosconsolidadoago[[#This Row],[ATUAL]])</f>
        <v>0</v>
      </c>
      <c r="X155" s="119" t="n">
        <f aca="false">SUMIFS(tabela_registros[VALOR],tabela_registros[MÊS],$AE$1,tabela_registros[DIA],investiroutrosconsolidadoago[[#Headers],[20]],tabela_registros[REGISTRO],DADOS!$N$5,tabela_registros[TIPO],DADOS!$AB$5,tabela_registros[CATEGORIA],investiroutrosconsolidadoago[[#This Row],[ATUAL]])</f>
        <v>0</v>
      </c>
      <c r="Y155" s="119" t="n">
        <f aca="false">SUMIFS(tabela_registros[VALOR],tabela_registros[MÊS],$AE$1,tabela_registros[DIA],investiroutrosconsolidadoago[[#Headers],[21]],tabela_registros[REGISTRO],DADOS!$N$5,tabela_registros[TIPO],DADOS!$AB$5,tabela_registros[CATEGORIA],investiroutrosconsolidadoago[[#This Row],[ATUAL]])</f>
        <v>0</v>
      </c>
      <c r="Z155" s="119" t="n">
        <f aca="false">SUMIFS(tabela_registros[VALOR],tabela_registros[MÊS],$AE$1,tabela_registros[DIA],investiroutrosconsolidadoago[[#Headers],[22]],tabela_registros[REGISTRO],DADOS!$N$5,tabela_registros[TIPO],DADOS!$AB$5,tabela_registros[CATEGORIA],investiroutrosconsolidadoago[[#This Row],[ATUAL]])</f>
        <v>0</v>
      </c>
      <c r="AA155" s="119" t="n">
        <f aca="false">SUMIFS(tabela_registros[VALOR],tabela_registros[MÊS],$AE$1,tabela_registros[DIA],investiroutrosconsolidadoago[[#Headers],[23]],tabela_registros[REGISTRO],DADOS!$N$5,tabela_registros[TIPO],DADOS!$AB$5,tabela_registros[CATEGORIA],investiroutrosconsolidadoago[[#This Row],[ATUAL]])</f>
        <v>0</v>
      </c>
      <c r="AB155" s="119" t="n">
        <f aca="false">SUMIFS(tabela_registros[VALOR],tabela_registros[MÊS],$AE$1,tabela_registros[DIA],investiroutrosconsolidadoago[[#Headers],[24]],tabela_registros[REGISTRO],DADOS!$N$5,tabela_registros[TIPO],DADOS!$AB$5,tabela_registros[CATEGORIA],investiroutrosconsolidadoago[[#This Row],[ATUAL]])</f>
        <v>0</v>
      </c>
      <c r="AC155" s="119" t="n">
        <f aca="false">SUMIFS(tabela_registros[VALOR],tabela_registros[MÊS],$AE$1,tabela_registros[DIA],investiroutrosconsolidadoago[[#Headers],[25]],tabela_registros[REGISTRO],DADOS!$N$5,tabela_registros[TIPO],DADOS!$AB$5,tabela_registros[CATEGORIA],investiroutrosconsolidadoago[[#This Row],[ATUAL]])</f>
        <v>0</v>
      </c>
      <c r="AD155" s="119" t="n">
        <f aca="false">SUMIFS(tabela_registros[VALOR],tabela_registros[MÊS],$AE$1,tabela_registros[DIA],investiroutrosconsolidadoago[[#Headers],[26]],tabela_registros[REGISTRO],DADOS!$N$5,tabela_registros[TIPO],DADOS!$AB$5,tabela_registros[CATEGORIA],investiroutrosconsolidadoago[[#This Row],[ATUAL]])</f>
        <v>0</v>
      </c>
      <c r="AE155" s="119" t="n">
        <f aca="false">SUMIFS(tabela_registros[VALOR],tabela_registros[MÊS],$AE$1,tabela_registros[DIA],investiroutrosconsolidadoago[[#Headers],[27]],tabela_registros[REGISTRO],DADOS!$N$5,tabela_registros[TIPO],DADOS!$AB$5,tabela_registros[CATEGORIA],investiroutrosconsolidadoago[[#This Row],[ATUAL]])</f>
        <v>0</v>
      </c>
      <c r="AF155" s="119" t="n">
        <f aca="false">SUMIFS(tabela_registros[VALOR],tabela_registros[MÊS],$AE$1,tabela_registros[DIA],investiroutrosconsolidadoago[[#Headers],[28]],tabela_registros[REGISTRO],DADOS!$N$5,tabela_registros[TIPO],DADOS!$AB$5,tabela_registros[CATEGORIA],investiroutrosconsolidadoago[[#This Row],[ATUAL]])</f>
        <v>0</v>
      </c>
      <c r="AG155" s="119" t="n">
        <f aca="false">SUMIFS(tabela_registros[VALOR],tabela_registros[MÊS],$AE$1,tabela_registros[DIA],investiroutrosconsolidadoago[[#Headers],[29]],tabela_registros[REGISTRO],DADOS!$N$5,tabela_registros[TIPO],DADOS!$AB$5,tabela_registros[CATEGORIA],investiroutrosconsolidadoago[[#This Row],[ATUAL]])</f>
        <v>0</v>
      </c>
      <c r="AH155" s="119" t="n">
        <f aca="false">SUMIFS(tabela_registros[VALOR],tabela_registros[MÊS],$AE$1,tabela_registros[DIA],investiroutrosconsolidadoago[[#Headers],[30]],tabela_registros[REGISTRO],DADOS!$N$5,tabela_registros[TIPO],DADOS!$AB$5,tabela_registros[CATEGORIA],investiroutrosconsolidadoago[[#This Row],[ATUAL]])</f>
        <v>0</v>
      </c>
      <c r="AI155" s="217" t="n">
        <f aca="false">SUMIFS(tabela_registros[VALOR],tabela_registros[MÊS],$AE$1,tabela_registros[DIA],investiroutrosconsolidadoago[[#Headers],[31]],tabela_registros[REGISTRO],DADOS!$N$5,tabela_registros[TIPO],DADOS!$AB$5,tabela_registros[CATEGORIA],investiroutrosconsolidadoago[[#This Row],[ATUAL]])</f>
        <v>0</v>
      </c>
      <c r="AJ155" s="149" t="n">
        <f aca="false">SUM(investiroutrosconsolidadoago[[#This Row],[1]:[31]])</f>
        <v>0</v>
      </c>
      <c r="AK155" s="165"/>
    </row>
    <row r="156" customFormat="false" ht="19.5" hidden="false" customHeight="true" outlineLevel="0" collapsed="false">
      <c r="B156" s="143"/>
      <c r="C156" s="144" t="str">
        <f aca="false">DADOS!$AH$8</f>
        <v>📝 PEER TO PEER</v>
      </c>
      <c r="D156" s="145" t="str">
        <f aca="false">IF(investiroutrosconsolidadoago[[#This Row],[TOTAL (R$)]]=0,"",IF(OR(investiroutrosconsolidadoago[[#This Row],[TOTAL (R$)]]=LARGE($AJ$151:$AJ$158,1),investiroutrosconsolidadoago[[#This Row],[TOTAL (R$)]]=LARGE($AJ$151:$AJ$158,2)),DADOS!$I$10,""))</f>
        <v/>
      </c>
      <c r="E156" s="148" t="n">
        <f aca="false">SUMIFS(tabela_registros[VALOR],tabela_registros[MÊS],$AE$1,tabela_registros[DIA],investiroutrosconsolidadoago[[#Headers],[1]],tabela_registros[REGISTRO],DADOS!$N$5,tabela_registros[TIPO],DADOS!$AB$5,tabela_registros[CATEGORIA],investiroutrosconsolidadoago[[#This Row],[ATUAL]])</f>
        <v>0</v>
      </c>
      <c r="F156" s="119" t="n">
        <f aca="false">SUMIFS(tabela_registros[VALOR],tabela_registros[MÊS],$AE$1,tabela_registros[DIA],investiroutrosconsolidadoago[[#Headers],[2]],tabela_registros[REGISTRO],DADOS!$N$5,tabela_registros[TIPO],DADOS!$AB$5,tabela_registros[CATEGORIA],investiroutrosconsolidadoago[[#This Row],[ATUAL]])</f>
        <v>0</v>
      </c>
      <c r="G156" s="119" t="n">
        <f aca="false">SUMIFS(tabela_registros[VALOR],tabela_registros[MÊS],$AE$1,tabela_registros[DIA],investiroutrosconsolidadoago[[#Headers],[3]],tabela_registros[REGISTRO],DADOS!$N$5,tabela_registros[TIPO],DADOS!$AB$5,tabela_registros[CATEGORIA],investiroutrosconsolidadoago[[#This Row],[ATUAL]])</f>
        <v>0</v>
      </c>
      <c r="H156" s="119" t="n">
        <f aca="false">SUMIFS(tabela_registros[VALOR],tabela_registros[MÊS],$AE$1,tabela_registros[DIA],investiroutrosconsolidadoago[[#Headers],[4]],tabela_registros[REGISTRO],DADOS!$N$5,tabela_registros[TIPO],DADOS!$AB$5,tabela_registros[CATEGORIA],investiroutrosconsolidadoago[[#This Row],[ATUAL]])</f>
        <v>0</v>
      </c>
      <c r="I156" s="119" t="n">
        <f aca="false">SUMIFS(tabela_registros[VALOR],tabela_registros[MÊS],$AE$1,tabela_registros[DIA],investiroutrosconsolidadoago[[#Headers],[5]],tabela_registros[REGISTRO],DADOS!$N$5,tabela_registros[TIPO],DADOS!$AB$5,tabela_registros[CATEGORIA],investiroutrosconsolidadoago[[#This Row],[ATUAL]])</f>
        <v>0</v>
      </c>
      <c r="J156" s="119" t="n">
        <f aca="false">SUMIFS(tabela_registros[VALOR],tabela_registros[MÊS],$AE$1,tabela_registros[DIA],investiroutrosconsolidadoago[[#Headers],[6]],tabela_registros[REGISTRO],DADOS!$N$5,tabela_registros[TIPO],DADOS!$AB$5,tabela_registros[CATEGORIA],investiroutrosconsolidadoago[[#This Row],[ATUAL]])</f>
        <v>0</v>
      </c>
      <c r="K156" s="119" t="n">
        <f aca="false">SUMIFS(tabela_registros[VALOR],tabela_registros[MÊS],$AE$1,tabela_registros[DIA],investiroutrosconsolidadoago[[#Headers],[7]],tabela_registros[REGISTRO],DADOS!$N$5,tabela_registros[TIPO],DADOS!$AB$5,tabela_registros[CATEGORIA],investiroutrosconsolidadoago[[#This Row],[ATUAL]])</f>
        <v>0</v>
      </c>
      <c r="L156" s="119" t="n">
        <f aca="false">SUMIFS(tabela_registros[VALOR],tabela_registros[MÊS],$AE$1,tabela_registros[DIA],investiroutrosconsolidadoago[[#Headers],[8]],tabela_registros[REGISTRO],DADOS!$N$5,tabela_registros[TIPO],DADOS!$AB$5,tabela_registros[CATEGORIA],investiroutrosconsolidadoago[[#This Row],[ATUAL]])</f>
        <v>0</v>
      </c>
      <c r="M156" s="119" t="n">
        <f aca="false">SUMIFS(tabela_registros[VALOR],tabela_registros[MÊS],$AE$1,tabela_registros[DIA],investiroutrosconsolidadoago[[#Headers],[9]],tabela_registros[REGISTRO],DADOS!$N$5,tabela_registros[TIPO],DADOS!$AB$5,tabela_registros[CATEGORIA],investiroutrosconsolidadoago[[#This Row],[ATUAL]])</f>
        <v>0</v>
      </c>
      <c r="N156" s="119" t="n">
        <f aca="false">SUMIFS(tabela_registros[VALOR],tabela_registros[MÊS],$AE$1,tabela_registros[DIA],investiroutrosconsolidadoago[[#Headers],[10]],tabela_registros[REGISTRO],DADOS!$N$5,tabela_registros[TIPO],DADOS!$AB$5,tabela_registros[CATEGORIA],investiroutrosconsolidadoago[[#This Row],[ATUAL]])</f>
        <v>0</v>
      </c>
      <c r="O156" s="119" t="n">
        <f aca="false">SUMIFS(tabela_registros[VALOR],tabela_registros[MÊS],$AE$1,tabela_registros[DIA],investiroutrosconsolidadoago[[#Headers],[11]],tabela_registros[REGISTRO],DADOS!$N$5,tabela_registros[TIPO],DADOS!$AB$5,tabela_registros[CATEGORIA],investiroutrosconsolidadoago[[#This Row],[ATUAL]])</f>
        <v>0</v>
      </c>
      <c r="P156" s="119" t="n">
        <f aca="false">SUMIFS(tabela_registros[VALOR],tabela_registros[MÊS],$AE$1,tabela_registros[DIA],investiroutrosconsolidadoago[[#Headers],[12]],tabela_registros[REGISTRO],DADOS!$N$5,tabela_registros[TIPO],DADOS!$AB$5,tabela_registros[CATEGORIA],investiroutrosconsolidadoago[[#This Row],[ATUAL]])</f>
        <v>0</v>
      </c>
      <c r="Q156" s="119" t="n">
        <f aca="false">SUMIFS(tabela_registros[VALOR],tabela_registros[MÊS],$AE$1,tabela_registros[DIA],investiroutrosconsolidadoago[[#Headers],[13]],tabela_registros[REGISTRO],DADOS!$N$5,tabela_registros[TIPO],DADOS!$AB$5,tabela_registros[CATEGORIA],investiroutrosconsolidadoago[[#This Row],[ATUAL]])</f>
        <v>0</v>
      </c>
      <c r="R156" s="119" t="n">
        <f aca="false">SUMIFS(tabela_registros[VALOR],tabela_registros[MÊS],$AE$1,tabela_registros[DIA],investiroutrosconsolidadoago[[#Headers],[14]],tabela_registros[REGISTRO],DADOS!$N$5,tabela_registros[TIPO],DADOS!$AB$5,tabela_registros[CATEGORIA],investiroutrosconsolidadoago[[#This Row],[ATUAL]])</f>
        <v>0</v>
      </c>
      <c r="S156" s="119" t="n">
        <f aca="false">SUMIFS(tabela_registros[VALOR],tabela_registros[MÊS],$AE$1,tabela_registros[DIA],investiroutrosconsolidadoago[[#Headers],[15]],tabela_registros[REGISTRO],DADOS!$N$5,tabela_registros[TIPO],DADOS!$AB$5,tabela_registros[CATEGORIA],investiroutrosconsolidadoago[[#This Row],[ATUAL]])</f>
        <v>0</v>
      </c>
      <c r="T156" s="119" t="n">
        <f aca="false">SUMIFS(tabela_registros[VALOR],tabela_registros[MÊS],$AE$1,tabela_registros[DIA],investiroutrosconsolidadoago[[#Headers],[16]],tabela_registros[REGISTRO],DADOS!$N$5,tabela_registros[TIPO],DADOS!$AB$5,tabela_registros[CATEGORIA],investiroutrosconsolidadoago[[#This Row],[ATUAL]])</f>
        <v>0</v>
      </c>
      <c r="U156" s="119" t="n">
        <f aca="false">SUMIFS(tabela_registros[VALOR],tabela_registros[MÊS],$AE$1,tabela_registros[DIA],investiroutrosconsolidadoago[[#Headers],[17]],tabela_registros[REGISTRO],DADOS!$N$5,tabela_registros[TIPO],DADOS!$AB$5,tabela_registros[CATEGORIA],investiroutrosconsolidadoago[[#This Row],[ATUAL]])</f>
        <v>0</v>
      </c>
      <c r="V156" s="119" t="n">
        <f aca="false">SUMIFS(tabela_registros[VALOR],tabela_registros[MÊS],$AE$1,tabela_registros[DIA],investiroutrosconsolidadoago[[#Headers],[18]],tabela_registros[REGISTRO],DADOS!$N$5,tabela_registros[TIPO],DADOS!$AB$5,tabela_registros[CATEGORIA],investiroutrosconsolidadoago[[#This Row],[ATUAL]])</f>
        <v>0</v>
      </c>
      <c r="W156" s="119" t="n">
        <f aca="false">SUMIFS(tabela_registros[VALOR],tabela_registros[MÊS],$AE$1,tabela_registros[DIA],investiroutrosconsolidadoago[[#Headers],[19]],tabela_registros[REGISTRO],DADOS!$N$5,tabela_registros[TIPO],DADOS!$AB$5,tabela_registros[CATEGORIA],investiroutrosconsolidadoago[[#This Row],[ATUAL]])</f>
        <v>0</v>
      </c>
      <c r="X156" s="119" t="n">
        <f aca="false">SUMIFS(tabela_registros[VALOR],tabela_registros[MÊS],$AE$1,tabela_registros[DIA],investiroutrosconsolidadoago[[#Headers],[20]],tabela_registros[REGISTRO],DADOS!$N$5,tabela_registros[TIPO],DADOS!$AB$5,tabela_registros[CATEGORIA],investiroutrosconsolidadoago[[#This Row],[ATUAL]])</f>
        <v>0</v>
      </c>
      <c r="Y156" s="119" t="n">
        <f aca="false">SUMIFS(tabela_registros[VALOR],tabela_registros[MÊS],$AE$1,tabela_registros[DIA],investiroutrosconsolidadoago[[#Headers],[21]],tabela_registros[REGISTRO],DADOS!$N$5,tabela_registros[TIPO],DADOS!$AB$5,tabela_registros[CATEGORIA],investiroutrosconsolidadoago[[#This Row],[ATUAL]])</f>
        <v>0</v>
      </c>
      <c r="Z156" s="119" t="n">
        <f aca="false">SUMIFS(tabela_registros[VALOR],tabela_registros[MÊS],$AE$1,tabela_registros[DIA],investiroutrosconsolidadoago[[#Headers],[22]],tabela_registros[REGISTRO],DADOS!$N$5,tabela_registros[TIPO],DADOS!$AB$5,tabela_registros[CATEGORIA],investiroutrosconsolidadoago[[#This Row],[ATUAL]])</f>
        <v>0</v>
      </c>
      <c r="AA156" s="119" t="n">
        <f aca="false">SUMIFS(tabela_registros[VALOR],tabela_registros[MÊS],$AE$1,tabela_registros[DIA],investiroutrosconsolidadoago[[#Headers],[23]],tabela_registros[REGISTRO],DADOS!$N$5,tabela_registros[TIPO],DADOS!$AB$5,tabela_registros[CATEGORIA],investiroutrosconsolidadoago[[#This Row],[ATUAL]])</f>
        <v>0</v>
      </c>
      <c r="AB156" s="119" t="n">
        <f aca="false">SUMIFS(tabela_registros[VALOR],tabela_registros[MÊS],$AE$1,tabela_registros[DIA],investiroutrosconsolidadoago[[#Headers],[24]],tabela_registros[REGISTRO],DADOS!$N$5,tabela_registros[TIPO],DADOS!$AB$5,tabela_registros[CATEGORIA],investiroutrosconsolidadoago[[#This Row],[ATUAL]])</f>
        <v>0</v>
      </c>
      <c r="AC156" s="119" t="n">
        <f aca="false">SUMIFS(tabela_registros[VALOR],tabela_registros[MÊS],$AE$1,tabela_registros[DIA],investiroutrosconsolidadoago[[#Headers],[25]],tabela_registros[REGISTRO],DADOS!$N$5,tabela_registros[TIPO],DADOS!$AB$5,tabela_registros[CATEGORIA],investiroutrosconsolidadoago[[#This Row],[ATUAL]])</f>
        <v>0</v>
      </c>
      <c r="AD156" s="119" t="n">
        <f aca="false">SUMIFS(tabela_registros[VALOR],tabela_registros[MÊS],$AE$1,tabela_registros[DIA],investiroutrosconsolidadoago[[#Headers],[26]],tabela_registros[REGISTRO],DADOS!$N$5,tabela_registros[TIPO],DADOS!$AB$5,tabela_registros[CATEGORIA],investiroutrosconsolidadoago[[#This Row],[ATUAL]])</f>
        <v>0</v>
      </c>
      <c r="AE156" s="119" t="n">
        <f aca="false">SUMIFS(tabela_registros[VALOR],tabela_registros[MÊS],$AE$1,tabela_registros[DIA],investiroutrosconsolidadoago[[#Headers],[27]],tabela_registros[REGISTRO],DADOS!$N$5,tabela_registros[TIPO],DADOS!$AB$5,tabela_registros[CATEGORIA],investiroutrosconsolidadoago[[#This Row],[ATUAL]])</f>
        <v>0</v>
      </c>
      <c r="AF156" s="119" t="n">
        <f aca="false">SUMIFS(tabela_registros[VALOR],tabela_registros[MÊS],$AE$1,tabela_registros[DIA],investiroutrosconsolidadoago[[#Headers],[28]],tabela_registros[REGISTRO],DADOS!$N$5,tabela_registros[TIPO],DADOS!$AB$5,tabela_registros[CATEGORIA],investiroutrosconsolidadoago[[#This Row],[ATUAL]])</f>
        <v>0</v>
      </c>
      <c r="AG156" s="119" t="n">
        <f aca="false">SUMIFS(tabela_registros[VALOR],tabela_registros[MÊS],$AE$1,tabela_registros[DIA],investiroutrosconsolidadoago[[#Headers],[29]],tabela_registros[REGISTRO],DADOS!$N$5,tabela_registros[TIPO],DADOS!$AB$5,tabela_registros[CATEGORIA],investiroutrosconsolidadoago[[#This Row],[ATUAL]])</f>
        <v>0</v>
      </c>
      <c r="AH156" s="119" t="n">
        <f aca="false">SUMIFS(tabela_registros[VALOR],tabela_registros[MÊS],$AE$1,tabela_registros[DIA],investiroutrosconsolidadoago[[#Headers],[30]],tabela_registros[REGISTRO],DADOS!$N$5,tabela_registros[TIPO],DADOS!$AB$5,tabela_registros[CATEGORIA],investiroutrosconsolidadoago[[#This Row],[ATUAL]])</f>
        <v>0</v>
      </c>
      <c r="AI156" s="217" t="n">
        <f aca="false">SUMIFS(tabela_registros[VALOR],tabela_registros[MÊS],$AE$1,tabela_registros[DIA],investiroutrosconsolidadoago[[#Headers],[31]],tabela_registros[REGISTRO],DADOS!$N$5,tabela_registros[TIPO],DADOS!$AB$5,tabela_registros[CATEGORIA],investiroutrosconsolidadoago[[#This Row],[ATUAL]])</f>
        <v>0</v>
      </c>
      <c r="AJ156" s="149" t="n">
        <f aca="false">SUM(investiroutrosconsolidadoago[[#This Row],[1]:[31]])</f>
        <v>0</v>
      </c>
      <c r="AK156" s="165"/>
    </row>
    <row r="157" customFormat="false" ht="19.5" hidden="false" customHeight="true" outlineLevel="0" collapsed="false">
      <c r="B157" s="143"/>
      <c r="C157" s="144" t="str">
        <f aca="false">DADOS!$AH$9</f>
        <v>📝 PREVIDÊNCIA PRIVADA</v>
      </c>
      <c r="D157" s="145" t="str">
        <f aca="false">IF(investiroutrosconsolidadoago[[#This Row],[TOTAL (R$)]]=0,"",IF(OR(investiroutrosconsolidadoago[[#This Row],[TOTAL (R$)]]=LARGE($AJ$151:$AJ$158,1),investiroutrosconsolidadoago[[#This Row],[TOTAL (R$)]]=LARGE($AJ$151:$AJ$158,2)),DADOS!$I$10,""))</f>
        <v/>
      </c>
      <c r="E157" s="148" t="n">
        <f aca="false">SUMIFS(tabela_registros[VALOR],tabela_registros[MÊS],$AE$1,tabela_registros[DIA],investiroutrosconsolidadoago[[#Headers],[1]],tabela_registros[REGISTRO],DADOS!$N$5,tabela_registros[TIPO],DADOS!$AB$5,tabela_registros[CATEGORIA],investiroutrosconsolidadoago[[#This Row],[ATUAL]])</f>
        <v>0</v>
      </c>
      <c r="F157" s="119" t="n">
        <f aca="false">SUMIFS(tabela_registros[VALOR],tabela_registros[MÊS],$AE$1,tabela_registros[DIA],investiroutrosconsolidadoago[[#Headers],[2]],tabela_registros[REGISTRO],DADOS!$N$5,tabela_registros[TIPO],DADOS!$AB$5,tabela_registros[CATEGORIA],investiroutrosconsolidadoago[[#This Row],[ATUAL]])</f>
        <v>0</v>
      </c>
      <c r="G157" s="119" t="n">
        <f aca="false">SUMIFS(tabela_registros[VALOR],tabela_registros[MÊS],$AE$1,tabela_registros[DIA],investiroutrosconsolidadoago[[#Headers],[3]],tabela_registros[REGISTRO],DADOS!$N$5,tabela_registros[TIPO],DADOS!$AB$5,tabela_registros[CATEGORIA],investiroutrosconsolidadoago[[#This Row],[ATUAL]])</f>
        <v>0</v>
      </c>
      <c r="H157" s="119" t="n">
        <f aca="false">SUMIFS(tabela_registros[VALOR],tabela_registros[MÊS],$AE$1,tabela_registros[DIA],investiroutrosconsolidadoago[[#Headers],[4]],tabela_registros[REGISTRO],DADOS!$N$5,tabela_registros[TIPO],DADOS!$AB$5,tabela_registros[CATEGORIA],investiroutrosconsolidadoago[[#This Row],[ATUAL]])</f>
        <v>0</v>
      </c>
      <c r="I157" s="119" t="n">
        <f aca="false">SUMIFS(tabela_registros[VALOR],tabela_registros[MÊS],$AE$1,tabela_registros[DIA],investiroutrosconsolidadoago[[#Headers],[5]],tabela_registros[REGISTRO],DADOS!$N$5,tabela_registros[TIPO],DADOS!$AB$5,tabela_registros[CATEGORIA],investiroutrosconsolidadoago[[#This Row],[ATUAL]])</f>
        <v>0</v>
      </c>
      <c r="J157" s="119" t="n">
        <f aca="false">SUMIFS(tabela_registros[VALOR],tabela_registros[MÊS],$AE$1,tabela_registros[DIA],investiroutrosconsolidadoago[[#Headers],[6]],tabela_registros[REGISTRO],DADOS!$N$5,tabela_registros[TIPO],DADOS!$AB$5,tabela_registros[CATEGORIA],investiroutrosconsolidadoago[[#This Row],[ATUAL]])</f>
        <v>0</v>
      </c>
      <c r="K157" s="119" t="n">
        <f aca="false">SUMIFS(tabela_registros[VALOR],tabela_registros[MÊS],$AE$1,tabela_registros[DIA],investiroutrosconsolidadoago[[#Headers],[7]],tabela_registros[REGISTRO],DADOS!$N$5,tabela_registros[TIPO],DADOS!$AB$5,tabela_registros[CATEGORIA],investiroutrosconsolidadoago[[#This Row],[ATUAL]])</f>
        <v>0</v>
      </c>
      <c r="L157" s="119" t="n">
        <f aca="false">SUMIFS(tabela_registros[VALOR],tabela_registros[MÊS],$AE$1,tabela_registros[DIA],investiroutrosconsolidadoago[[#Headers],[8]],tabela_registros[REGISTRO],DADOS!$N$5,tabela_registros[TIPO],DADOS!$AB$5,tabela_registros[CATEGORIA],investiroutrosconsolidadoago[[#This Row],[ATUAL]])</f>
        <v>0</v>
      </c>
      <c r="M157" s="119" t="n">
        <f aca="false">SUMIFS(tabela_registros[VALOR],tabela_registros[MÊS],$AE$1,tabela_registros[DIA],investiroutrosconsolidadoago[[#Headers],[9]],tabela_registros[REGISTRO],DADOS!$N$5,tabela_registros[TIPO],DADOS!$AB$5,tabela_registros[CATEGORIA],investiroutrosconsolidadoago[[#This Row],[ATUAL]])</f>
        <v>0</v>
      </c>
      <c r="N157" s="119" t="n">
        <f aca="false">SUMIFS(tabela_registros[VALOR],tabela_registros[MÊS],$AE$1,tabela_registros[DIA],investiroutrosconsolidadoago[[#Headers],[10]],tabela_registros[REGISTRO],DADOS!$N$5,tabela_registros[TIPO],DADOS!$AB$5,tabela_registros[CATEGORIA],investiroutrosconsolidadoago[[#This Row],[ATUAL]])</f>
        <v>0</v>
      </c>
      <c r="O157" s="119" t="n">
        <f aca="false">SUMIFS(tabela_registros[VALOR],tabela_registros[MÊS],$AE$1,tabela_registros[DIA],investiroutrosconsolidadoago[[#Headers],[11]],tabela_registros[REGISTRO],DADOS!$N$5,tabela_registros[TIPO],DADOS!$AB$5,tabela_registros[CATEGORIA],investiroutrosconsolidadoago[[#This Row],[ATUAL]])</f>
        <v>0</v>
      </c>
      <c r="P157" s="119" t="n">
        <f aca="false">SUMIFS(tabela_registros[VALOR],tabela_registros[MÊS],$AE$1,tabela_registros[DIA],investiroutrosconsolidadoago[[#Headers],[12]],tabela_registros[REGISTRO],DADOS!$N$5,tabela_registros[TIPO],DADOS!$AB$5,tabela_registros[CATEGORIA],investiroutrosconsolidadoago[[#This Row],[ATUAL]])</f>
        <v>0</v>
      </c>
      <c r="Q157" s="119" t="n">
        <f aca="false">SUMIFS(tabela_registros[VALOR],tabela_registros[MÊS],$AE$1,tabela_registros[DIA],investiroutrosconsolidadoago[[#Headers],[13]],tabela_registros[REGISTRO],DADOS!$N$5,tabela_registros[TIPO],DADOS!$AB$5,tabela_registros[CATEGORIA],investiroutrosconsolidadoago[[#This Row],[ATUAL]])</f>
        <v>0</v>
      </c>
      <c r="R157" s="119" t="n">
        <f aca="false">SUMIFS(tabela_registros[VALOR],tabela_registros[MÊS],$AE$1,tabela_registros[DIA],investiroutrosconsolidadoago[[#Headers],[14]],tabela_registros[REGISTRO],DADOS!$N$5,tabela_registros[TIPO],DADOS!$AB$5,tabela_registros[CATEGORIA],investiroutrosconsolidadoago[[#This Row],[ATUAL]])</f>
        <v>0</v>
      </c>
      <c r="S157" s="119" t="n">
        <f aca="false">SUMIFS(tabela_registros[VALOR],tabela_registros[MÊS],$AE$1,tabela_registros[DIA],investiroutrosconsolidadoago[[#Headers],[15]],tabela_registros[REGISTRO],DADOS!$N$5,tabela_registros[TIPO],DADOS!$AB$5,tabela_registros[CATEGORIA],investiroutrosconsolidadoago[[#This Row],[ATUAL]])</f>
        <v>0</v>
      </c>
      <c r="T157" s="119" t="n">
        <f aca="false">SUMIFS(tabela_registros[VALOR],tabela_registros[MÊS],$AE$1,tabela_registros[DIA],investiroutrosconsolidadoago[[#Headers],[16]],tabela_registros[REGISTRO],DADOS!$N$5,tabela_registros[TIPO],DADOS!$AB$5,tabela_registros[CATEGORIA],investiroutrosconsolidadoago[[#This Row],[ATUAL]])</f>
        <v>0</v>
      </c>
      <c r="U157" s="119" t="n">
        <f aca="false">SUMIFS(tabela_registros[VALOR],tabela_registros[MÊS],$AE$1,tabela_registros[DIA],investiroutrosconsolidadoago[[#Headers],[17]],tabela_registros[REGISTRO],DADOS!$N$5,tabela_registros[TIPO],DADOS!$AB$5,tabela_registros[CATEGORIA],investiroutrosconsolidadoago[[#This Row],[ATUAL]])</f>
        <v>0</v>
      </c>
      <c r="V157" s="119" t="n">
        <f aca="false">SUMIFS(tabela_registros[VALOR],tabela_registros[MÊS],$AE$1,tabela_registros[DIA],investiroutrosconsolidadoago[[#Headers],[18]],tabela_registros[REGISTRO],DADOS!$N$5,tabela_registros[TIPO],DADOS!$AB$5,tabela_registros[CATEGORIA],investiroutrosconsolidadoago[[#This Row],[ATUAL]])</f>
        <v>0</v>
      </c>
      <c r="W157" s="119" t="n">
        <f aca="false">SUMIFS(tabela_registros[VALOR],tabela_registros[MÊS],$AE$1,tabela_registros[DIA],investiroutrosconsolidadoago[[#Headers],[19]],tabela_registros[REGISTRO],DADOS!$N$5,tabela_registros[TIPO],DADOS!$AB$5,tabela_registros[CATEGORIA],investiroutrosconsolidadoago[[#This Row],[ATUAL]])</f>
        <v>0</v>
      </c>
      <c r="X157" s="119" t="n">
        <f aca="false">SUMIFS(tabela_registros[VALOR],tabela_registros[MÊS],$AE$1,tabela_registros[DIA],investiroutrosconsolidadoago[[#Headers],[20]],tabela_registros[REGISTRO],DADOS!$N$5,tabela_registros[TIPO],DADOS!$AB$5,tabela_registros[CATEGORIA],investiroutrosconsolidadoago[[#This Row],[ATUAL]])</f>
        <v>0</v>
      </c>
      <c r="Y157" s="119" t="n">
        <f aca="false">SUMIFS(tabela_registros[VALOR],tabela_registros[MÊS],$AE$1,tabela_registros[DIA],investiroutrosconsolidadoago[[#Headers],[21]],tabela_registros[REGISTRO],DADOS!$N$5,tabela_registros[TIPO],DADOS!$AB$5,tabela_registros[CATEGORIA],investiroutrosconsolidadoago[[#This Row],[ATUAL]])</f>
        <v>0</v>
      </c>
      <c r="Z157" s="119" t="n">
        <f aca="false">SUMIFS(tabela_registros[VALOR],tabela_registros[MÊS],$AE$1,tabela_registros[DIA],investiroutrosconsolidadoago[[#Headers],[22]],tabela_registros[REGISTRO],DADOS!$N$5,tabela_registros[TIPO],DADOS!$AB$5,tabela_registros[CATEGORIA],investiroutrosconsolidadoago[[#This Row],[ATUAL]])</f>
        <v>0</v>
      </c>
      <c r="AA157" s="119" t="n">
        <f aca="false">SUMIFS(tabela_registros[VALOR],tabela_registros[MÊS],$AE$1,tabela_registros[DIA],investiroutrosconsolidadoago[[#Headers],[23]],tabela_registros[REGISTRO],DADOS!$N$5,tabela_registros[TIPO],DADOS!$AB$5,tabela_registros[CATEGORIA],investiroutrosconsolidadoago[[#This Row],[ATUAL]])</f>
        <v>0</v>
      </c>
      <c r="AB157" s="119" t="n">
        <f aca="false">SUMIFS(tabela_registros[VALOR],tabela_registros[MÊS],$AE$1,tabela_registros[DIA],investiroutrosconsolidadoago[[#Headers],[24]],tabela_registros[REGISTRO],DADOS!$N$5,tabela_registros[TIPO],DADOS!$AB$5,tabela_registros[CATEGORIA],investiroutrosconsolidadoago[[#This Row],[ATUAL]])</f>
        <v>0</v>
      </c>
      <c r="AC157" s="119" t="n">
        <f aca="false">SUMIFS(tabela_registros[VALOR],tabela_registros[MÊS],$AE$1,tabela_registros[DIA],investiroutrosconsolidadoago[[#Headers],[25]],tabela_registros[REGISTRO],DADOS!$N$5,tabela_registros[TIPO],DADOS!$AB$5,tabela_registros[CATEGORIA],investiroutrosconsolidadoago[[#This Row],[ATUAL]])</f>
        <v>0</v>
      </c>
      <c r="AD157" s="119" t="n">
        <f aca="false">SUMIFS(tabela_registros[VALOR],tabela_registros[MÊS],$AE$1,tabela_registros[DIA],investiroutrosconsolidadoago[[#Headers],[26]],tabela_registros[REGISTRO],DADOS!$N$5,tabela_registros[TIPO],DADOS!$AB$5,tabela_registros[CATEGORIA],investiroutrosconsolidadoago[[#This Row],[ATUAL]])</f>
        <v>0</v>
      </c>
      <c r="AE157" s="119" t="n">
        <f aca="false">SUMIFS(tabela_registros[VALOR],tabela_registros[MÊS],$AE$1,tabela_registros[DIA],investiroutrosconsolidadoago[[#Headers],[27]],tabela_registros[REGISTRO],DADOS!$N$5,tabela_registros[TIPO],DADOS!$AB$5,tabela_registros[CATEGORIA],investiroutrosconsolidadoago[[#This Row],[ATUAL]])</f>
        <v>0</v>
      </c>
      <c r="AF157" s="119" t="n">
        <f aca="false">SUMIFS(tabela_registros[VALOR],tabela_registros[MÊS],$AE$1,tabela_registros[DIA],investiroutrosconsolidadoago[[#Headers],[28]],tabela_registros[REGISTRO],DADOS!$N$5,tabela_registros[TIPO],DADOS!$AB$5,tabela_registros[CATEGORIA],investiroutrosconsolidadoago[[#This Row],[ATUAL]])</f>
        <v>0</v>
      </c>
      <c r="AG157" s="119" t="n">
        <f aca="false">SUMIFS(tabela_registros[VALOR],tabela_registros[MÊS],$AE$1,tabela_registros[DIA],investiroutrosconsolidadoago[[#Headers],[29]],tabela_registros[REGISTRO],DADOS!$N$5,tabela_registros[TIPO],DADOS!$AB$5,tabela_registros[CATEGORIA],investiroutrosconsolidadoago[[#This Row],[ATUAL]])</f>
        <v>0</v>
      </c>
      <c r="AH157" s="119" t="n">
        <f aca="false">SUMIFS(tabela_registros[VALOR],tabela_registros[MÊS],$AE$1,tabela_registros[DIA],investiroutrosconsolidadoago[[#Headers],[30]],tabela_registros[REGISTRO],DADOS!$N$5,tabela_registros[TIPO],DADOS!$AB$5,tabela_registros[CATEGORIA],investiroutrosconsolidadoago[[#This Row],[ATUAL]])</f>
        <v>0</v>
      </c>
      <c r="AI157" s="217" t="n">
        <f aca="false">SUMIFS(tabela_registros[VALOR],tabela_registros[MÊS],$AE$1,tabela_registros[DIA],investiroutrosconsolidadoago[[#Headers],[31]],tabela_registros[REGISTRO],DADOS!$N$5,tabela_registros[TIPO],DADOS!$AB$5,tabela_registros[CATEGORIA],investiroutrosconsolidadoago[[#This Row],[ATUAL]])</f>
        <v>0</v>
      </c>
      <c r="AJ157" s="149" t="n">
        <f aca="false">SUM(investiroutrosconsolidadoago[[#This Row],[1]:[31]])</f>
        <v>0</v>
      </c>
      <c r="AK157" s="165"/>
    </row>
    <row r="158" customFormat="false" ht="19.5" hidden="false" customHeight="true" outlineLevel="0" collapsed="false">
      <c r="B158" s="143"/>
      <c r="C158" s="144" t="str">
        <f aca="false">DADOS!$AH$10</f>
        <v>📎 OUTROS</v>
      </c>
      <c r="D158" s="145" t="str">
        <f aca="false">IF(investiroutrosconsolidadoago[[#This Row],[TOTAL (R$)]]=0,"",IF(OR(investiroutrosconsolidadoago[[#This Row],[TOTAL (R$)]]=LARGE($AJ$151:$AJ$158,1),investiroutrosconsolidadoago[[#This Row],[TOTAL (R$)]]=LARGE($AJ$151:$AJ$158,2)),DADOS!$I$10,""))</f>
        <v/>
      </c>
      <c r="E158" s="148" t="n">
        <f aca="false">SUMIFS(tabela_registros[VALOR],tabela_registros[MÊS],$AE$1,tabela_registros[DIA],investiroutrosconsolidadoago[[#Headers],[1]],tabela_registros[REGISTRO],DADOS!$N$5,tabela_registros[TIPO],DADOS!$AB$5,tabela_registros[CATEGORIA],investiroutrosconsolidadoago[[#This Row],[ATUAL]])</f>
        <v>0</v>
      </c>
      <c r="F158" s="119" t="n">
        <f aca="false">SUMIFS(tabela_registros[VALOR],tabela_registros[MÊS],$AE$1,tabela_registros[DIA],investiroutrosconsolidadoago[[#Headers],[2]],tabela_registros[REGISTRO],DADOS!$N$5,tabela_registros[TIPO],DADOS!$AB$5,tabela_registros[CATEGORIA],investiroutrosconsolidadoago[[#This Row],[ATUAL]])</f>
        <v>0</v>
      </c>
      <c r="G158" s="119" t="n">
        <f aca="false">SUMIFS(tabela_registros[VALOR],tabela_registros[MÊS],$AE$1,tabela_registros[DIA],investiroutrosconsolidadoago[[#Headers],[3]],tabela_registros[REGISTRO],DADOS!$N$5,tabela_registros[TIPO],DADOS!$AB$5,tabela_registros[CATEGORIA],investiroutrosconsolidadoago[[#This Row],[ATUAL]])</f>
        <v>0</v>
      </c>
      <c r="H158" s="119" t="n">
        <f aca="false">SUMIFS(tabela_registros[VALOR],tabela_registros[MÊS],$AE$1,tabela_registros[DIA],investiroutrosconsolidadoago[[#Headers],[4]],tabela_registros[REGISTRO],DADOS!$N$5,tabela_registros[TIPO],DADOS!$AB$5,tabela_registros[CATEGORIA],investiroutrosconsolidadoago[[#This Row],[ATUAL]])</f>
        <v>0</v>
      </c>
      <c r="I158" s="119" t="n">
        <f aca="false">SUMIFS(tabela_registros[VALOR],tabela_registros[MÊS],$AE$1,tabela_registros[DIA],investiroutrosconsolidadoago[[#Headers],[5]],tabela_registros[REGISTRO],DADOS!$N$5,tabela_registros[TIPO],DADOS!$AB$5,tabela_registros[CATEGORIA],investiroutrosconsolidadoago[[#This Row],[ATUAL]])</f>
        <v>0</v>
      </c>
      <c r="J158" s="119" t="n">
        <f aca="false">SUMIFS(tabela_registros[VALOR],tabela_registros[MÊS],$AE$1,tabela_registros[DIA],investiroutrosconsolidadoago[[#Headers],[6]],tabela_registros[REGISTRO],DADOS!$N$5,tabela_registros[TIPO],DADOS!$AB$5,tabela_registros[CATEGORIA],investiroutrosconsolidadoago[[#This Row],[ATUAL]])</f>
        <v>0</v>
      </c>
      <c r="K158" s="119" t="n">
        <f aca="false">SUMIFS(tabela_registros[VALOR],tabela_registros[MÊS],$AE$1,tabela_registros[DIA],investiroutrosconsolidadoago[[#Headers],[7]],tabela_registros[REGISTRO],DADOS!$N$5,tabela_registros[TIPO],DADOS!$AB$5,tabela_registros[CATEGORIA],investiroutrosconsolidadoago[[#This Row],[ATUAL]])</f>
        <v>0</v>
      </c>
      <c r="L158" s="119" t="n">
        <f aca="false">SUMIFS(tabela_registros[VALOR],tabela_registros[MÊS],$AE$1,tabela_registros[DIA],investiroutrosconsolidadoago[[#Headers],[8]],tabela_registros[REGISTRO],DADOS!$N$5,tabela_registros[TIPO],DADOS!$AB$5,tabela_registros[CATEGORIA],investiroutrosconsolidadoago[[#This Row],[ATUAL]])</f>
        <v>0</v>
      </c>
      <c r="M158" s="119" t="n">
        <f aca="false">SUMIFS(tabela_registros[VALOR],tabela_registros[MÊS],$AE$1,tabela_registros[DIA],investiroutrosconsolidadoago[[#Headers],[9]],tabela_registros[REGISTRO],DADOS!$N$5,tabela_registros[TIPO],DADOS!$AB$5,tabela_registros[CATEGORIA],investiroutrosconsolidadoago[[#This Row],[ATUAL]])</f>
        <v>0</v>
      </c>
      <c r="N158" s="119" t="n">
        <f aca="false">SUMIFS(tabela_registros[VALOR],tabela_registros[MÊS],$AE$1,tabela_registros[DIA],investiroutrosconsolidadoago[[#Headers],[10]],tabela_registros[REGISTRO],DADOS!$N$5,tabela_registros[TIPO],DADOS!$AB$5,tabela_registros[CATEGORIA],investiroutrosconsolidadoago[[#This Row],[ATUAL]])</f>
        <v>0</v>
      </c>
      <c r="O158" s="119" t="n">
        <f aca="false">SUMIFS(tabela_registros[VALOR],tabela_registros[MÊS],$AE$1,tabela_registros[DIA],investiroutrosconsolidadoago[[#Headers],[11]],tabela_registros[REGISTRO],DADOS!$N$5,tabela_registros[TIPO],DADOS!$AB$5,tabela_registros[CATEGORIA],investiroutrosconsolidadoago[[#This Row],[ATUAL]])</f>
        <v>0</v>
      </c>
      <c r="P158" s="119" t="n">
        <f aca="false">SUMIFS(tabela_registros[VALOR],tabela_registros[MÊS],$AE$1,tabela_registros[DIA],investiroutrosconsolidadoago[[#Headers],[12]],tabela_registros[REGISTRO],DADOS!$N$5,tabela_registros[TIPO],DADOS!$AB$5,tabela_registros[CATEGORIA],investiroutrosconsolidadoago[[#This Row],[ATUAL]])</f>
        <v>0</v>
      </c>
      <c r="Q158" s="119" t="n">
        <f aca="false">SUMIFS(tabela_registros[VALOR],tabela_registros[MÊS],$AE$1,tabela_registros[DIA],investiroutrosconsolidadoago[[#Headers],[13]],tabela_registros[REGISTRO],DADOS!$N$5,tabela_registros[TIPO],DADOS!$AB$5,tabela_registros[CATEGORIA],investiroutrosconsolidadoago[[#This Row],[ATUAL]])</f>
        <v>0</v>
      </c>
      <c r="R158" s="119" t="n">
        <f aca="false">SUMIFS(tabela_registros[VALOR],tabela_registros[MÊS],$AE$1,tabela_registros[DIA],investiroutrosconsolidadoago[[#Headers],[14]],tabela_registros[REGISTRO],DADOS!$N$5,tabela_registros[TIPO],DADOS!$AB$5,tabela_registros[CATEGORIA],investiroutrosconsolidadoago[[#This Row],[ATUAL]])</f>
        <v>0</v>
      </c>
      <c r="S158" s="119" t="n">
        <f aca="false">SUMIFS(tabela_registros[VALOR],tabela_registros[MÊS],$AE$1,tabela_registros[DIA],investiroutrosconsolidadoago[[#Headers],[15]],tabela_registros[REGISTRO],DADOS!$N$5,tabela_registros[TIPO],DADOS!$AB$5,tabela_registros[CATEGORIA],investiroutrosconsolidadoago[[#This Row],[ATUAL]])</f>
        <v>0</v>
      </c>
      <c r="T158" s="119" t="n">
        <f aca="false">SUMIFS(tabela_registros[VALOR],tabela_registros[MÊS],$AE$1,tabela_registros[DIA],investiroutrosconsolidadoago[[#Headers],[16]],tabela_registros[REGISTRO],DADOS!$N$5,tabela_registros[TIPO],DADOS!$AB$5,tabela_registros[CATEGORIA],investiroutrosconsolidadoago[[#This Row],[ATUAL]])</f>
        <v>0</v>
      </c>
      <c r="U158" s="119" t="n">
        <f aca="false">SUMIFS(tabela_registros[VALOR],tabela_registros[MÊS],$AE$1,tabela_registros[DIA],investiroutrosconsolidadoago[[#Headers],[17]],tabela_registros[REGISTRO],DADOS!$N$5,tabela_registros[TIPO],DADOS!$AB$5,tabela_registros[CATEGORIA],investiroutrosconsolidadoago[[#This Row],[ATUAL]])</f>
        <v>0</v>
      </c>
      <c r="V158" s="119" t="n">
        <f aca="false">SUMIFS(tabela_registros[VALOR],tabela_registros[MÊS],$AE$1,tabela_registros[DIA],investiroutrosconsolidadoago[[#Headers],[18]],tabela_registros[REGISTRO],DADOS!$N$5,tabela_registros[TIPO],DADOS!$AB$5,tabela_registros[CATEGORIA],investiroutrosconsolidadoago[[#This Row],[ATUAL]])</f>
        <v>0</v>
      </c>
      <c r="W158" s="119" t="n">
        <f aca="false">SUMIFS(tabela_registros[VALOR],tabela_registros[MÊS],$AE$1,tabela_registros[DIA],investiroutrosconsolidadoago[[#Headers],[19]],tabela_registros[REGISTRO],DADOS!$N$5,tabela_registros[TIPO],DADOS!$AB$5,tabela_registros[CATEGORIA],investiroutrosconsolidadoago[[#This Row],[ATUAL]])</f>
        <v>0</v>
      </c>
      <c r="X158" s="119" t="n">
        <f aca="false">SUMIFS(tabela_registros[VALOR],tabela_registros[MÊS],$AE$1,tabela_registros[DIA],investiroutrosconsolidadoago[[#Headers],[20]],tabela_registros[REGISTRO],DADOS!$N$5,tabela_registros[TIPO],DADOS!$AB$5,tabela_registros[CATEGORIA],investiroutrosconsolidadoago[[#This Row],[ATUAL]])</f>
        <v>0</v>
      </c>
      <c r="Y158" s="119" t="n">
        <f aca="false">SUMIFS(tabela_registros[VALOR],tabela_registros[MÊS],$AE$1,tabela_registros[DIA],investiroutrosconsolidadoago[[#Headers],[21]],tabela_registros[REGISTRO],DADOS!$N$5,tabela_registros[TIPO],DADOS!$AB$5,tabela_registros[CATEGORIA],investiroutrosconsolidadoago[[#This Row],[ATUAL]])</f>
        <v>0</v>
      </c>
      <c r="Z158" s="119" t="n">
        <f aca="false">SUMIFS(tabela_registros[VALOR],tabela_registros[MÊS],$AE$1,tabela_registros[DIA],investiroutrosconsolidadoago[[#Headers],[22]],tabela_registros[REGISTRO],DADOS!$N$5,tabela_registros[TIPO],DADOS!$AB$5,tabela_registros[CATEGORIA],investiroutrosconsolidadoago[[#This Row],[ATUAL]])</f>
        <v>0</v>
      </c>
      <c r="AA158" s="119" t="n">
        <f aca="false">SUMIFS(tabela_registros[VALOR],tabela_registros[MÊS],$AE$1,tabela_registros[DIA],investiroutrosconsolidadoago[[#Headers],[23]],tabela_registros[REGISTRO],DADOS!$N$5,tabela_registros[TIPO],DADOS!$AB$5,tabela_registros[CATEGORIA],investiroutrosconsolidadoago[[#This Row],[ATUAL]])</f>
        <v>0</v>
      </c>
      <c r="AB158" s="119" t="n">
        <f aca="false">SUMIFS(tabela_registros[VALOR],tabela_registros[MÊS],$AE$1,tabela_registros[DIA],investiroutrosconsolidadoago[[#Headers],[24]],tabela_registros[REGISTRO],DADOS!$N$5,tabela_registros[TIPO],DADOS!$AB$5,tabela_registros[CATEGORIA],investiroutrosconsolidadoago[[#This Row],[ATUAL]])</f>
        <v>0</v>
      </c>
      <c r="AC158" s="119" t="n">
        <f aca="false">SUMIFS(tabela_registros[VALOR],tabela_registros[MÊS],$AE$1,tabela_registros[DIA],investiroutrosconsolidadoago[[#Headers],[25]],tabela_registros[REGISTRO],DADOS!$N$5,tabela_registros[TIPO],DADOS!$AB$5,tabela_registros[CATEGORIA],investiroutrosconsolidadoago[[#This Row],[ATUAL]])</f>
        <v>0</v>
      </c>
      <c r="AD158" s="119" t="n">
        <f aca="false">SUMIFS(tabela_registros[VALOR],tabela_registros[MÊS],$AE$1,tabela_registros[DIA],investiroutrosconsolidadoago[[#Headers],[26]],tabela_registros[REGISTRO],DADOS!$N$5,tabela_registros[TIPO],DADOS!$AB$5,tabela_registros[CATEGORIA],investiroutrosconsolidadoago[[#This Row],[ATUAL]])</f>
        <v>0</v>
      </c>
      <c r="AE158" s="119" t="n">
        <f aca="false">SUMIFS(tabela_registros[VALOR],tabela_registros[MÊS],$AE$1,tabela_registros[DIA],investiroutrosconsolidadoago[[#Headers],[27]],tabela_registros[REGISTRO],DADOS!$N$5,tabela_registros[TIPO],DADOS!$AB$5,tabela_registros[CATEGORIA],investiroutrosconsolidadoago[[#This Row],[ATUAL]])</f>
        <v>0</v>
      </c>
      <c r="AF158" s="119" t="n">
        <f aca="false">SUMIFS(tabela_registros[VALOR],tabela_registros[MÊS],$AE$1,tabela_registros[DIA],investiroutrosconsolidadoago[[#Headers],[28]],tabela_registros[REGISTRO],DADOS!$N$5,tabela_registros[TIPO],DADOS!$AB$5,tabela_registros[CATEGORIA],investiroutrosconsolidadoago[[#This Row],[ATUAL]])</f>
        <v>0</v>
      </c>
      <c r="AG158" s="119" t="n">
        <f aca="false">SUMIFS(tabela_registros[VALOR],tabela_registros[MÊS],$AE$1,tabela_registros[DIA],investiroutrosconsolidadoago[[#Headers],[29]],tabela_registros[REGISTRO],DADOS!$N$5,tabela_registros[TIPO],DADOS!$AB$5,tabela_registros[CATEGORIA],investiroutrosconsolidadoago[[#This Row],[ATUAL]])</f>
        <v>0</v>
      </c>
      <c r="AH158" s="119" t="n">
        <f aca="false">SUMIFS(tabela_registros[VALOR],tabela_registros[MÊS],$AE$1,tabela_registros[DIA],investiroutrosconsolidadoago[[#Headers],[30]],tabela_registros[REGISTRO],DADOS!$N$5,tabela_registros[TIPO],DADOS!$AB$5,tabela_registros[CATEGORIA],investiroutrosconsolidadoago[[#This Row],[ATUAL]])</f>
        <v>0</v>
      </c>
      <c r="AI158" s="218" t="n">
        <f aca="false">SUMIFS(tabela_registros[VALOR],tabela_registros[MÊS],$AE$1,tabela_registros[DIA],investiroutrosconsolidadoago[[#Headers],[31]],tabela_registros[REGISTRO],DADOS!$N$5,tabela_registros[TIPO],DADOS!$AB$5,tabela_registros[CATEGORIA],investiroutrosconsolidadoago[[#This Row],[ATUAL]])</f>
        <v>0</v>
      </c>
      <c r="AJ158" s="149" t="n">
        <f aca="false">SUM(investiroutrosconsolidadoago[[#This Row],[1]:[31]])</f>
        <v>0</v>
      </c>
      <c r="AK158" s="165"/>
    </row>
    <row r="159" s="122" customFormat="true" ht="21" hidden="false" customHeight="true" outlineLevel="0" collapsed="false">
      <c r="B159" s="152"/>
      <c r="C159" s="153" t="s">
        <v>2</v>
      </c>
      <c r="D159" s="166"/>
      <c r="E159" s="155" t="n">
        <f aca="false">SUM(E151:E158)</f>
        <v>0</v>
      </c>
      <c r="F159" s="156" t="n">
        <f aca="false">SUM(F151:F158)+investiroutrosconsolidadoago[[#This Row],[1]]</f>
        <v>0</v>
      </c>
      <c r="G159" s="156" t="n">
        <f aca="false">SUM(G151:G158)+investiroutrosconsolidadoago[[#This Row],[2]]</f>
        <v>0</v>
      </c>
      <c r="H159" s="156" t="n">
        <f aca="false">SUM(H151:H158)+investiroutrosconsolidadoago[[#This Row],[3]]</f>
        <v>0</v>
      </c>
      <c r="I159" s="156" t="n">
        <f aca="false">SUM(I151:I158)+investiroutrosconsolidadoago[[#This Row],[4]]</f>
        <v>0</v>
      </c>
      <c r="J159" s="156" t="n">
        <f aca="false">SUM(J151:J158)+investiroutrosconsolidadoago[[#This Row],[5]]</f>
        <v>0</v>
      </c>
      <c r="K159" s="156" t="n">
        <f aca="false">SUM(K151:K158)+investiroutrosconsolidadoago[[#This Row],[6]]</f>
        <v>0</v>
      </c>
      <c r="L159" s="156" t="n">
        <f aca="false">SUM(L151:L158)+investiroutrosconsolidadoago[[#This Row],[7]]</f>
        <v>0</v>
      </c>
      <c r="M159" s="156" t="n">
        <f aca="false">SUM(M151:M158)+investiroutrosconsolidadoago[[#This Row],[8]]</f>
        <v>0</v>
      </c>
      <c r="N159" s="156" t="n">
        <f aca="false">SUM(N151:N158)+investiroutrosconsolidadoago[[#This Row],[9]]</f>
        <v>0</v>
      </c>
      <c r="O159" s="156" t="n">
        <f aca="false">SUM(O151:O158)+investiroutrosconsolidadoago[[#This Row],[10]]</f>
        <v>0</v>
      </c>
      <c r="P159" s="156" t="n">
        <f aca="false">SUM(P151:P158)+investiroutrosconsolidadoago[[#This Row],[11]]</f>
        <v>0</v>
      </c>
      <c r="Q159" s="156" t="n">
        <f aca="false">SUM(Q151:Q158)+investiroutrosconsolidadoago[[#This Row],[12]]</f>
        <v>0</v>
      </c>
      <c r="R159" s="156" t="n">
        <f aca="false">SUM(R151:R158)+investiroutrosconsolidadoago[[#This Row],[13]]</f>
        <v>0</v>
      </c>
      <c r="S159" s="156" t="n">
        <f aca="false">SUM(S151:S158)+investiroutrosconsolidadoago[[#This Row],[14]]</f>
        <v>0</v>
      </c>
      <c r="T159" s="156" t="n">
        <f aca="false">SUM(T151:T158)+investiroutrosconsolidadoago[[#This Row],[15]]</f>
        <v>0</v>
      </c>
      <c r="U159" s="156" t="n">
        <f aca="false">SUM(U151:U158)+investiroutrosconsolidadoago[[#This Row],[16]]</f>
        <v>0</v>
      </c>
      <c r="V159" s="156" t="n">
        <f aca="false">SUM(V151:V158)+investiroutrosconsolidadoago[[#This Row],[17]]</f>
        <v>0</v>
      </c>
      <c r="W159" s="156" t="n">
        <f aca="false">SUM(W151:W158)+investiroutrosconsolidadoago[[#This Row],[18]]</f>
        <v>0</v>
      </c>
      <c r="X159" s="156" t="n">
        <f aca="false">SUM(X151:X158)+investiroutrosconsolidadoago[[#This Row],[19]]</f>
        <v>0</v>
      </c>
      <c r="Y159" s="156" t="n">
        <f aca="false">SUM(Y151:Y158)+investiroutrosconsolidadoago[[#This Row],[20]]</f>
        <v>0</v>
      </c>
      <c r="Z159" s="156" t="n">
        <f aca="false">SUM(Z151:Z158)+investiroutrosconsolidadoago[[#This Row],[21]]</f>
        <v>0</v>
      </c>
      <c r="AA159" s="156" t="n">
        <f aca="false">SUM(AA151:AA158)+investiroutrosconsolidadoago[[#This Row],[22]]</f>
        <v>0</v>
      </c>
      <c r="AB159" s="156" t="n">
        <f aca="false">SUM(AB151:AB158)+investiroutrosconsolidadoago[[#This Row],[23]]</f>
        <v>0</v>
      </c>
      <c r="AC159" s="156" t="n">
        <f aca="false">SUM(AC151:AC158)+investiroutrosconsolidadoago[[#This Row],[24]]</f>
        <v>0</v>
      </c>
      <c r="AD159" s="156" t="n">
        <f aca="false">SUM(AD151:AD158)+investiroutrosconsolidadoago[[#This Row],[25]]</f>
        <v>0</v>
      </c>
      <c r="AE159" s="156" t="n">
        <f aca="false">SUM(AE151:AE158)+investiroutrosconsolidadoago[[#This Row],[26]]</f>
        <v>0</v>
      </c>
      <c r="AF159" s="156" t="n">
        <f aca="false">SUM(AF151:AF158)+investiroutrosconsolidadoago[[#This Row],[27]]</f>
        <v>0</v>
      </c>
      <c r="AG159" s="156" t="n">
        <f aca="false">SUM(AG151:AG158)+investiroutrosconsolidadoago[[#This Row],[28]]</f>
        <v>0</v>
      </c>
      <c r="AH159" s="156" t="n">
        <f aca="false">SUM(AH151:AH158)+investiroutrosconsolidadoago[[#This Row],[29]]</f>
        <v>0</v>
      </c>
      <c r="AI159" s="223" t="n">
        <f aca="false">SUM(AI151:AI158)+investiroutrosconsolidadoago[[#This Row],[30]]</f>
        <v>0</v>
      </c>
      <c r="AJ159" s="157" t="n">
        <f aca="false">investiroutrosconsolidadoago[[#This Row],[31]]</f>
        <v>0</v>
      </c>
      <c r="AK159" s="158"/>
    </row>
    <row r="160" customFormat="false" ht="6.75" hidden="false" customHeight="true" outlineLevel="0" collapsed="false">
      <c r="B160" s="97"/>
      <c r="C160" s="162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233"/>
      <c r="AJ160" s="164"/>
      <c r="AK160" s="244"/>
    </row>
    <row r="161" s="78" customFormat="true" ht="12.75" hidden="false" customHeight="false" outlineLevel="0" collapsed="false">
      <c r="E161" s="100"/>
    </row>
    <row r="162" s="78" customFormat="true" ht="12" hidden="false" customHeight="false" outlineLevel="0" collapsed="false"/>
    <row r="163" s="78" customFormat="true" ht="12" hidden="false" customHeight="false" outlineLevel="0" collapsed="false"/>
    <row r="164" customFormat="false" ht="39.75" hidden="false" customHeight="true" outlineLevel="0" collapsed="false">
      <c r="C164" s="101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3" t="s">
        <v>2</v>
      </c>
    </row>
    <row r="165" s="78" customFormat="true" ht="12.75" hidden="false" customHeight="false" outlineLevel="0" collapsed="false">
      <c r="B165" s="161"/>
      <c r="AJ165" s="106" t="s">
        <v>64</v>
      </c>
    </row>
    <row r="166" customFormat="false" ht="6.75" hidden="false" customHeight="true" outlineLevel="0" collapsed="false">
      <c r="B166" s="86"/>
      <c r="C166" s="162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233"/>
      <c r="AK166" s="139"/>
    </row>
    <row r="167" customFormat="false" ht="13.5" hidden="true" customHeight="false" outlineLevel="0" collapsed="false">
      <c r="B167" s="86"/>
      <c r="C167" s="109" t="s">
        <v>68</v>
      </c>
      <c r="D167" s="110" t="s">
        <v>69</v>
      </c>
      <c r="E167" s="110" t="s">
        <v>30</v>
      </c>
      <c r="F167" s="110" t="s">
        <v>31</v>
      </c>
      <c r="G167" s="110" t="s">
        <v>32</v>
      </c>
      <c r="H167" s="110" t="s">
        <v>33</v>
      </c>
      <c r="I167" s="110" t="s">
        <v>34</v>
      </c>
      <c r="J167" s="110" t="s">
        <v>35</v>
      </c>
      <c r="K167" s="110" t="s">
        <v>36</v>
      </c>
      <c r="L167" s="110" t="s">
        <v>37</v>
      </c>
      <c r="M167" s="110" t="s">
        <v>38</v>
      </c>
      <c r="N167" s="110" t="s">
        <v>39</v>
      </c>
      <c r="O167" s="110" t="s">
        <v>40</v>
      </c>
      <c r="P167" s="110" t="s">
        <v>41</v>
      </c>
      <c r="Q167" s="110" t="s">
        <v>81</v>
      </c>
      <c r="R167" s="110" t="s">
        <v>82</v>
      </c>
      <c r="S167" s="110" t="s">
        <v>83</v>
      </c>
      <c r="T167" s="110" t="s">
        <v>84</v>
      </c>
      <c r="U167" s="110" t="s">
        <v>85</v>
      </c>
      <c r="V167" s="110" t="s">
        <v>86</v>
      </c>
      <c r="W167" s="110" t="s">
        <v>87</v>
      </c>
      <c r="X167" s="110" t="s">
        <v>88</v>
      </c>
      <c r="Y167" s="110" t="s">
        <v>89</v>
      </c>
      <c r="Z167" s="110" t="s">
        <v>90</v>
      </c>
      <c r="AA167" s="110" t="s">
        <v>91</v>
      </c>
      <c r="AB167" s="110" t="s">
        <v>92</v>
      </c>
      <c r="AC167" s="110" t="s">
        <v>93</v>
      </c>
      <c r="AD167" s="110" t="s">
        <v>94</v>
      </c>
      <c r="AE167" s="110" t="s">
        <v>95</v>
      </c>
      <c r="AF167" s="110" t="s">
        <v>96</v>
      </c>
      <c r="AG167" s="110" t="s">
        <v>97</v>
      </c>
      <c r="AH167" s="110" t="s">
        <v>98</v>
      </c>
      <c r="AI167" s="110" t="s">
        <v>99</v>
      </c>
      <c r="AJ167" s="111" t="s">
        <v>70</v>
      </c>
      <c r="AK167" s="86"/>
    </row>
    <row r="168" customFormat="false" ht="19.5" hidden="false" customHeight="true" outlineLevel="0" collapsed="false">
      <c r="B168" s="143"/>
      <c r="C168" s="144" t="str">
        <f aca="false">DADOS!$AL$3</f>
        <v>📝 CDB</v>
      </c>
      <c r="D168" s="145" t="str">
        <f aca="false">IF(reservafixaconsolidadoago[[#This Row],[TOTAL (R$)]]=0,"",IF(OR(reservafixaconsolidadoago[[#This Row],[TOTAL (R$)]]=LARGE($AJ$168:$AJ$177,1),reservafixaconsolidadoago[[#This Row],[TOTAL (R$)]]=LARGE($AJ$168:$AJ$177,2)),DADOS!$I$11,""))</f>
        <v/>
      </c>
      <c r="E168" s="148" t="n">
        <f aca="false">SUMIFS(tabela_registros[VALOR],tabela_registros[MÊS],$AE$1,tabela_registros[DIA],reservafixaconsolidadoago[[#Headers],[1]],tabela_registros[REGISTRO],DADOS!$N$6,tabela_registros[TIPO],DADOS!$AJ$3,tabela_registros[CATEGORIA],reservafixaconsolidadoago[[#This Row],[ATUAL]])</f>
        <v>0</v>
      </c>
      <c r="F168" s="119" t="n">
        <f aca="false">SUMIFS(tabela_registros[VALOR],tabela_registros[MÊS],$AE$1,tabela_registros[DIA],reservafixaconsolidadoago[[#Headers],[2]],tabela_registros[REGISTRO],DADOS!$N$6,tabela_registros[TIPO],DADOS!$AJ$3,tabela_registros[CATEGORIA],reservafixaconsolidadoago[[#This Row],[ATUAL]])</f>
        <v>0</v>
      </c>
      <c r="G168" s="119" t="n">
        <f aca="false">SUMIFS(tabela_registros[VALOR],tabela_registros[MÊS],$AE$1,tabela_registros[DIA],reservafixaconsolidadoago[[#Headers],[3]],tabela_registros[REGISTRO],DADOS!$N$6,tabela_registros[TIPO],DADOS!$AJ$3,tabela_registros[CATEGORIA],reservafixaconsolidadoago[[#This Row],[ATUAL]])</f>
        <v>0</v>
      </c>
      <c r="H168" s="119" t="n">
        <f aca="false">SUMIFS(tabela_registros[VALOR],tabela_registros[MÊS],$AE$1,tabela_registros[DIA],reservafixaconsolidadoago[[#Headers],[4]],tabela_registros[REGISTRO],DADOS!$N$6,tabela_registros[TIPO],DADOS!$AJ$3,tabela_registros[CATEGORIA],reservafixaconsolidadoago[[#This Row],[ATUAL]])</f>
        <v>0</v>
      </c>
      <c r="I168" s="119" t="n">
        <f aca="false">SUMIFS(tabela_registros[VALOR],tabela_registros[MÊS],$AE$1,tabela_registros[DIA],reservafixaconsolidadoago[[#Headers],[5]],tabela_registros[REGISTRO],DADOS!$N$6,tabela_registros[TIPO],DADOS!$AJ$3,tabela_registros[CATEGORIA],reservafixaconsolidadoago[[#This Row],[ATUAL]])</f>
        <v>0</v>
      </c>
      <c r="J168" s="119" t="n">
        <f aca="false">SUMIFS(tabela_registros[VALOR],tabela_registros[MÊS],$AE$1,tabela_registros[DIA],reservafixaconsolidadoago[[#Headers],[6]],tabela_registros[REGISTRO],DADOS!$N$6,tabela_registros[TIPO],DADOS!$AJ$3,tabela_registros[CATEGORIA],reservafixaconsolidadoago[[#This Row],[ATUAL]])</f>
        <v>0</v>
      </c>
      <c r="K168" s="119" t="n">
        <f aca="false">SUMIFS(tabela_registros[VALOR],tabela_registros[MÊS],$AE$1,tabela_registros[DIA],reservafixaconsolidadoago[[#Headers],[7]],tabela_registros[REGISTRO],DADOS!$N$6,tabela_registros[TIPO],DADOS!$AJ$3,tabela_registros[CATEGORIA],reservafixaconsolidadoago[[#This Row],[ATUAL]])</f>
        <v>0</v>
      </c>
      <c r="L168" s="119" t="n">
        <f aca="false">SUMIFS(tabela_registros[VALOR],tabela_registros[MÊS],$AE$1,tabela_registros[DIA],reservafixaconsolidadoago[[#Headers],[8]],tabela_registros[REGISTRO],DADOS!$N$6,tabela_registros[TIPO],DADOS!$AJ$3,tabela_registros[CATEGORIA],reservafixaconsolidadoago[[#This Row],[ATUAL]])</f>
        <v>0</v>
      </c>
      <c r="M168" s="119" t="n">
        <f aca="false">SUMIFS(tabela_registros[VALOR],tabela_registros[MÊS],$AE$1,tabela_registros[DIA],reservafixaconsolidadoago[[#Headers],[9]],tabela_registros[REGISTRO],DADOS!$N$6,tabela_registros[TIPO],DADOS!$AJ$3,tabela_registros[CATEGORIA],reservafixaconsolidadoago[[#This Row],[ATUAL]])</f>
        <v>0</v>
      </c>
      <c r="N168" s="119" t="n">
        <f aca="false">SUMIFS(tabela_registros[VALOR],tabela_registros[MÊS],$AE$1,tabela_registros[DIA],reservafixaconsolidadoago[[#Headers],[10]],tabela_registros[REGISTRO],DADOS!$N$6,tabela_registros[TIPO],DADOS!$AJ$3,tabela_registros[CATEGORIA],reservafixaconsolidadoago[[#This Row],[ATUAL]])</f>
        <v>0</v>
      </c>
      <c r="O168" s="119" t="n">
        <f aca="false">SUMIFS(tabela_registros[VALOR],tabela_registros[MÊS],$AE$1,tabela_registros[DIA],reservafixaconsolidadoago[[#Headers],[11]],tabela_registros[REGISTRO],DADOS!$N$6,tabela_registros[TIPO],DADOS!$AJ$3,tabela_registros[CATEGORIA],reservafixaconsolidadoago[[#This Row],[ATUAL]])</f>
        <v>0</v>
      </c>
      <c r="P168" s="119" t="n">
        <f aca="false">SUMIFS(tabela_registros[VALOR],tabela_registros[MÊS],$AE$1,tabela_registros[DIA],reservafixaconsolidadoago[[#Headers],[12]],tabela_registros[REGISTRO],DADOS!$N$6,tabela_registros[TIPO],DADOS!$AJ$3,tabela_registros[CATEGORIA],reservafixaconsolidadoago[[#This Row],[ATUAL]])</f>
        <v>0</v>
      </c>
      <c r="Q168" s="119" t="n">
        <f aca="false">SUMIFS(tabela_registros[VALOR],tabela_registros[MÊS],$AE$1,tabela_registros[DIA],reservafixaconsolidadoago[[#Headers],[13]],tabela_registros[REGISTRO],DADOS!$N$6,tabela_registros[TIPO],DADOS!$AJ$3,tabela_registros[CATEGORIA],reservafixaconsolidadoago[[#This Row],[ATUAL]])</f>
        <v>0</v>
      </c>
      <c r="R168" s="119" t="n">
        <f aca="false">SUMIFS(tabela_registros[VALOR],tabela_registros[MÊS],$AE$1,tabela_registros[DIA],reservafixaconsolidadoago[[#Headers],[14]],tabela_registros[REGISTRO],DADOS!$N$6,tabela_registros[TIPO],DADOS!$AJ$3,tabela_registros[CATEGORIA],reservafixaconsolidadoago[[#This Row],[ATUAL]])</f>
        <v>0</v>
      </c>
      <c r="S168" s="119" t="n">
        <f aca="false">SUMIFS(tabela_registros[VALOR],tabela_registros[MÊS],$AE$1,tabela_registros[DIA],reservafixaconsolidadoago[[#Headers],[15]],tabela_registros[REGISTRO],DADOS!$N$6,tabela_registros[TIPO],DADOS!$AJ$3,tabela_registros[CATEGORIA],reservafixaconsolidadoago[[#This Row],[ATUAL]])</f>
        <v>0</v>
      </c>
      <c r="T168" s="119" t="n">
        <f aca="false">SUMIFS(tabela_registros[VALOR],tabela_registros[MÊS],$AE$1,tabela_registros[DIA],reservafixaconsolidadoago[[#Headers],[16]],tabela_registros[REGISTRO],DADOS!$N$6,tabela_registros[TIPO],DADOS!$AJ$3,tabela_registros[CATEGORIA],reservafixaconsolidadoago[[#This Row],[ATUAL]])</f>
        <v>0</v>
      </c>
      <c r="U168" s="119" t="n">
        <f aca="false">SUMIFS(tabela_registros[VALOR],tabela_registros[MÊS],$AE$1,tabela_registros[DIA],reservafixaconsolidadoago[[#Headers],[17]],tabela_registros[REGISTRO],DADOS!$N$6,tabela_registros[TIPO],DADOS!$AJ$3,tabela_registros[CATEGORIA],reservafixaconsolidadoago[[#This Row],[ATUAL]])</f>
        <v>0</v>
      </c>
      <c r="V168" s="119" t="n">
        <f aca="false">SUMIFS(tabela_registros[VALOR],tabela_registros[MÊS],$AE$1,tabela_registros[DIA],reservafixaconsolidadoago[[#Headers],[18]],tabela_registros[REGISTRO],DADOS!$N$6,tabela_registros[TIPO],DADOS!$AJ$3,tabela_registros[CATEGORIA],reservafixaconsolidadoago[[#This Row],[ATUAL]])</f>
        <v>0</v>
      </c>
      <c r="W168" s="119" t="n">
        <f aca="false">SUMIFS(tabela_registros[VALOR],tabela_registros[MÊS],$AE$1,tabela_registros[DIA],reservafixaconsolidadoago[[#Headers],[19]],tabela_registros[REGISTRO],DADOS!$N$6,tabela_registros[TIPO],DADOS!$AJ$3,tabela_registros[CATEGORIA],reservafixaconsolidadoago[[#This Row],[ATUAL]])</f>
        <v>0</v>
      </c>
      <c r="X168" s="119" t="n">
        <f aca="false">SUMIFS(tabela_registros[VALOR],tabela_registros[MÊS],$AE$1,tabela_registros[DIA],reservafixaconsolidadoago[[#Headers],[20]],tabela_registros[REGISTRO],DADOS!$N$6,tabela_registros[TIPO],DADOS!$AJ$3,tabela_registros[CATEGORIA],reservafixaconsolidadoago[[#This Row],[ATUAL]])</f>
        <v>0</v>
      </c>
      <c r="Y168" s="119" t="n">
        <f aca="false">SUMIFS(tabela_registros[VALOR],tabela_registros[MÊS],$AE$1,tabela_registros[DIA],reservafixaconsolidadoago[[#Headers],[21]],tabela_registros[REGISTRO],DADOS!$N$6,tabela_registros[TIPO],DADOS!$AJ$3,tabela_registros[CATEGORIA],reservafixaconsolidadoago[[#This Row],[ATUAL]])</f>
        <v>0</v>
      </c>
      <c r="Z168" s="119" t="n">
        <f aca="false">SUMIFS(tabela_registros[VALOR],tabela_registros[MÊS],$AE$1,tabela_registros[DIA],reservafixaconsolidadoago[[#Headers],[22]],tabela_registros[REGISTRO],DADOS!$N$6,tabela_registros[TIPO],DADOS!$AJ$3,tabela_registros[CATEGORIA],reservafixaconsolidadoago[[#This Row],[ATUAL]])</f>
        <v>0</v>
      </c>
      <c r="AA168" s="119" t="n">
        <f aca="false">SUMIFS(tabela_registros[VALOR],tabela_registros[MÊS],$AE$1,tabela_registros[DIA],reservafixaconsolidadoago[[#Headers],[23]],tabela_registros[REGISTRO],DADOS!$N$6,tabela_registros[TIPO],DADOS!$AJ$3,tabela_registros[CATEGORIA],reservafixaconsolidadoago[[#This Row],[ATUAL]])</f>
        <v>0</v>
      </c>
      <c r="AB168" s="119" t="n">
        <f aca="false">SUMIFS(tabela_registros[VALOR],tabela_registros[MÊS],$AE$1,tabela_registros[DIA],reservafixaconsolidadoago[[#Headers],[24]],tabela_registros[REGISTRO],DADOS!$N$6,tabela_registros[TIPO],DADOS!$AJ$3,tabela_registros[CATEGORIA],reservafixaconsolidadoago[[#This Row],[ATUAL]])</f>
        <v>0</v>
      </c>
      <c r="AC168" s="119" t="n">
        <f aca="false">SUMIFS(tabela_registros[VALOR],tabela_registros[MÊS],$AE$1,tabela_registros[DIA],reservafixaconsolidadoago[[#Headers],[25]],tabela_registros[REGISTRO],DADOS!$N$6,tabela_registros[TIPO],DADOS!$AJ$3,tabela_registros[CATEGORIA],reservafixaconsolidadoago[[#This Row],[ATUAL]])</f>
        <v>0</v>
      </c>
      <c r="AD168" s="119" t="n">
        <f aca="false">SUMIFS(tabela_registros[VALOR],tabela_registros[MÊS],$AE$1,tabela_registros[DIA],reservafixaconsolidadoago[[#Headers],[26]],tabela_registros[REGISTRO],DADOS!$N$6,tabela_registros[TIPO],DADOS!$AJ$3,tabela_registros[CATEGORIA],reservafixaconsolidadoago[[#This Row],[ATUAL]])</f>
        <v>0</v>
      </c>
      <c r="AE168" s="119" t="n">
        <f aca="false">SUMIFS(tabela_registros[VALOR],tabela_registros[MÊS],$AE$1,tabela_registros[DIA],reservafixaconsolidadoago[[#Headers],[27]],tabela_registros[REGISTRO],DADOS!$N$6,tabela_registros[TIPO],DADOS!$AJ$3,tabela_registros[CATEGORIA],reservafixaconsolidadoago[[#This Row],[ATUAL]])</f>
        <v>0</v>
      </c>
      <c r="AF168" s="119" t="n">
        <f aca="false">SUMIFS(tabela_registros[VALOR],tabela_registros[MÊS],$AE$1,tabela_registros[DIA],reservafixaconsolidadoago[[#Headers],[28]],tabela_registros[REGISTRO],DADOS!$N$6,tabela_registros[TIPO],DADOS!$AJ$3,tabela_registros[CATEGORIA],reservafixaconsolidadoago[[#This Row],[ATUAL]])</f>
        <v>0</v>
      </c>
      <c r="AG168" s="119" t="n">
        <f aca="false">SUMIFS(tabela_registros[VALOR],tabela_registros[MÊS],$AE$1,tabela_registros[DIA],reservafixaconsolidadoago[[#Headers],[29]],tabela_registros[REGISTRO],DADOS!$N$6,tabela_registros[TIPO],DADOS!$AJ$3,tabela_registros[CATEGORIA],reservafixaconsolidadoago[[#This Row],[ATUAL]])</f>
        <v>0</v>
      </c>
      <c r="AH168" s="119" t="n">
        <f aca="false">SUMIFS(tabela_registros[VALOR],tabela_registros[MÊS],$AE$1,tabela_registros[DIA],reservafixaconsolidadoago[[#Headers],[30]],tabela_registros[REGISTRO],DADOS!$N$6,tabela_registros[TIPO],DADOS!$AJ$3,tabela_registros[CATEGORIA],reservafixaconsolidadoago[[#This Row],[ATUAL]])</f>
        <v>0</v>
      </c>
      <c r="AI168" s="217" t="n">
        <f aca="false">SUMIFS(tabela_registros[VALOR],tabela_registros[MÊS],$AE$1,tabela_registros[DIA],reservafixaconsolidadoago[[#Headers],[31]],tabela_registros[REGISTRO],DADOS!$N$6,tabela_registros[TIPO],DADOS!$AJ$3,tabela_registros[CATEGORIA],reservafixaconsolidadoago[[#This Row],[ATUAL]])</f>
        <v>0</v>
      </c>
      <c r="AJ168" s="149" t="n">
        <f aca="false">SUM(reservafixaconsolidadoago[[#This Row],[1]:[31]])</f>
        <v>0</v>
      </c>
      <c r="AK168" s="165"/>
    </row>
    <row r="169" customFormat="false" ht="19.5" hidden="false" customHeight="true" outlineLevel="0" collapsed="false">
      <c r="B169" s="143"/>
      <c r="C169" s="144" t="str">
        <f aca="false">DADOS!$AL$4</f>
        <v>📝 CRA</v>
      </c>
      <c r="D169" s="145" t="str">
        <f aca="false">IF(reservafixaconsolidadoago[[#This Row],[TOTAL (R$)]]=0,"",IF(OR(reservafixaconsolidadoago[[#This Row],[TOTAL (R$)]]=LARGE($AJ$168:$AJ$177,1),reservafixaconsolidadoago[[#This Row],[TOTAL (R$)]]=LARGE($AJ$168:$AJ$177,2)),DADOS!$I$11,""))</f>
        <v/>
      </c>
      <c r="E169" s="148" t="n">
        <f aca="false">SUMIFS(tabela_registros[VALOR],tabela_registros[MÊS],$AE$1,tabela_registros[DIA],reservafixaconsolidadoago[[#Headers],[1]],tabela_registros[REGISTRO],DADOS!$N$6,tabela_registros[TIPO],DADOS!$AJ$3,tabela_registros[CATEGORIA],reservafixaconsolidadoago[[#This Row],[ATUAL]])</f>
        <v>0</v>
      </c>
      <c r="F169" s="119" t="n">
        <f aca="false">SUMIFS(tabela_registros[VALOR],tabela_registros[MÊS],$AE$1,tabela_registros[DIA],reservafixaconsolidadoago[[#Headers],[2]],tabela_registros[REGISTRO],DADOS!$N$6,tabela_registros[TIPO],DADOS!$AJ$3,tabela_registros[CATEGORIA],reservafixaconsolidadoago[[#This Row],[ATUAL]])</f>
        <v>0</v>
      </c>
      <c r="G169" s="119" t="n">
        <f aca="false">SUMIFS(tabela_registros[VALOR],tabela_registros[MÊS],$AE$1,tabela_registros[DIA],reservafixaconsolidadoago[[#Headers],[3]],tabela_registros[REGISTRO],DADOS!$N$6,tabela_registros[TIPO],DADOS!$AJ$3,tabela_registros[CATEGORIA],reservafixaconsolidadoago[[#This Row],[ATUAL]])</f>
        <v>0</v>
      </c>
      <c r="H169" s="119" t="n">
        <f aca="false">SUMIFS(tabela_registros[VALOR],tabela_registros[MÊS],$AE$1,tabela_registros[DIA],reservafixaconsolidadoago[[#Headers],[4]],tabela_registros[REGISTRO],DADOS!$N$6,tabela_registros[TIPO],DADOS!$AJ$3,tabela_registros[CATEGORIA],reservafixaconsolidadoago[[#This Row],[ATUAL]])</f>
        <v>0</v>
      </c>
      <c r="I169" s="119" t="n">
        <f aca="false">SUMIFS(tabela_registros[VALOR],tabela_registros[MÊS],$AE$1,tabela_registros[DIA],reservafixaconsolidadoago[[#Headers],[5]],tabela_registros[REGISTRO],DADOS!$N$6,tabela_registros[TIPO],DADOS!$AJ$3,tabela_registros[CATEGORIA],reservafixaconsolidadoago[[#This Row],[ATUAL]])</f>
        <v>0</v>
      </c>
      <c r="J169" s="119" t="n">
        <f aca="false">SUMIFS(tabela_registros[VALOR],tabela_registros[MÊS],$AE$1,tabela_registros[DIA],reservafixaconsolidadoago[[#Headers],[6]],tabela_registros[REGISTRO],DADOS!$N$6,tabela_registros[TIPO],DADOS!$AJ$3,tabela_registros[CATEGORIA],reservafixaconsolidadoago[[#This Row],[ATUAL]])</f>
        <v>0</v>
      </c>
      <c r="K169" s="119" t="n">
        <f aca="false">SUMIFS(tabela_registros[VALOR],tabela_registros[MÊS],$AE$1,tabela_registros[DIA],reservafixaconsolidadoago[[#Headers],[7]],tabela_registros[REGISTRO],DADOS!$N$6,tabela_registros[TIPO],DADOS!$AJ$3,tabela_registros[CATEGORIA],reservafixaconsolidadoago[[#This Row],[ATUAL]])</f>
        <v>0</v>
      </c>
      <c r="L169" s="119" t="n">
        <f aca="false">SUMIFS(tabela_registros[VALOR],tabela_registros[MÊS],$AE$1,tabela_registros[DIA],reservafixaconsolidadoago[[#Headers],[8]],tabela_registros[REGISTRO],DADOS!$N$6,tabela_registros[TIPO],DADOS!$AJ$3,tabela_registros[CATEGORIA],reservafixaconsolidadoago[[#This Row],[ATUAL]])</f>
        <v>0</v>
      </c>
      <c r="M169" s="119" t="n">
        <f aca="false">SUMIFS(tabela_registros[VALOR],tabela_registros[MÊS],$AE$1,tabela_registros[DIA],reservafixaconsolidadoago[[#Headers],[9]],tabela_registros[REGISTRO],DADOS!$N$6,tabela_registros[TIPO],DADOS!$AJ$3,tabela_registros[CATEGORIA],reservafixaconsolidadoago[[#This Row],[ATUAL]])</f>
        <v>0</v>
      </c>
      <c r="N169" s="119" t="n">
        <f aca="false">SUMIFS(tabela_registros[VALOR],tabela_registros[MÊS],$AE$1,tabela_registros[DIA],reservafixaconsolidadoago[[#Headers],[10]],tabela_registros[REGISTRO],DADOS!$N$6,tabela_registros[TIPO],DADOS!$AJ$3,tabela_registros[CATEGORIA],reservafixaconsolidadoago[[#This Row],[ATUAL]])</f>
        <v>0</v>
      </c>
      <c r="O169" s="119" t="n">
        <f aca="false">SUMIFS(tabela_registros[VALOR],tabela_registros[MÊS],$AE$1,tabela_registros[DIA],reservafixaconsolidadoago[[#Headers],[11]],tabela_registros[REGISTRO],DADOS!$N$6,tabela_registros[TIPO],DADOS!$AJ$3,tabela_registros[CATEGORIA],reservafixaconsolidadoago[[#This Row],[ATUAL]])</f>
        <v>0</v>
      </c>
      <c r="P169" s="119" t="n">
        <f aca="false">SUMIFS(tabela_registros[VALOR],tabela_registros[MÊS],$AE$1,tabela_registros[DIA],reservafixaconsolidadoago[[#Headers],[12]],tabela_registros[REGISTRO],DADOS!$N$6,tabela_registros[TIPO],DADOS!$AJ$3,tabela_registros[CATEGORIA],reservafixaconsolidadoago[[#This Row],[ATUAL]])</f>
        <v>0</v>
      </c>
      <c r="Q169" s="119" t="n">
        <f aca="false">SUMIFS(tabela_registros[VALOR],tabela_registros[MÊS],$AE$1,tabela_registros[DIA],reservafixaconsolidadoago[[#Headers],[13]],tabela_registros[REGISTRO],DADOS!$N$6,tabela_registros[TIPO],DADOS!$AJ$3,tabela_registros[CATEGORIA],reservafixaconsolidadoago[[#This Row],[ATUAL]])</f>
        <v>0</v>
      </c>
      <c r="R169" s="119" t="n">
        <f aca="false">SUMIFS(tabela_registros[VALOR],tabela_registros[MÊS],$AE$1,tabela_registros[DIA],reservafixaconsolidadoago[[#Headers],[14]],tabela_registros[REGISTRO],DADOS!$N$6,tabela_registros[TIPO],DADOS!$AJ$3,tabela_registros[CATEGORIA],reservafixaconsolidadoago[[#This Row],[ATUAL]])</f>
        <v>0</v>
      </c>
      <c r="S169" s="119" t="n">
        <f aca="false">SUMIFS(tabela_registros[VALOR],tabela_registros[MÊS],$AE$1,tabela_registros[DIA],reservafixaconsolidadoago[[#Headers],[15]],tabela_registros[REGISTRO],DADOS!$N$6,tabela_registros[TIPO],DADOS!$AJ$3,tabela_registros[CATEGORIA],reservafixaconsolidadoago[[#This Row],[ATUAL]])</f>
        <v>0</v>
      </c>
      <c r="T169" s="119" t="n">
        <f aca="false">SUMIFS(tabela_registros[VALOR],tabela_registros[MÊS],$AE$1,tabela_registros[DIA],reservafixaconsolidadoago[[#Headers],[16]],tabela_registros[REGISTRO],DADOS!$N$6,tabela_registros[TIPO],DADOS!$AJ$3,tabela_registros[CATEGORIA],reservafixaconsolidadoago[[#This Row],[ATUAL]])</f>
        <v>0</v>
      </c>
      <c r="U169" s="119" t="n">
        <f aca="false">SUMIFS(tabela_registros[VALOR],tabela_registros[MÊS],$AE$1,tabela_registros[DIA],reservafixaconsolidadoago[[#Headers],[17]],tabela_registros[REGISTRO],DADOS!$N$6,tabela_registros[TIPO],DADOS!$AJ$3,tabela_registros[CATEGORIA],reservafixaconsolidadoago[[#This Row],[ATUAL]])</f>
        <v>0</v>
      </c>
      <c r="V169" s="119" t="n">
        <f aca="false">SUMIFS(tabela_registros[VALOR],tabela_registros[MÊS],$AE$1,tabela_registros[DIA],reservafixaconsolidadoago[[#Headers],[18]],tabela_registros[REGISTRO],DADOS!$N$6,tabela_registros[TIPO],DADOS!$AJ$3,tabela_registros[CATEGORIA],reservafixaconsolidadoago[[#This Row],[ATUAL]])</f>
        <v>0</v>
      </c>
      <c r="W169" s="119" t="n">
        <f aca="false">SUMIFS(tabela_registros[VALOR],tabela_registros[MÊS],$AE$1,tabela_registros[DIA],reservafixaconsolidadoago[[#Headers],[19]],tabela_registros[REGISTRO],DADOS!$N$6,tabela_registros[TIPO],DADOS!$AJ$3,tabela_registros[CATEGORIA],reservafixaconsolidadoago[[#This Row],[ATUAL]])</f>
        <v>0</v>
      </c>
      <c r="X169" s="119" t="n">
        <f aca="false">SUMIFS(tabela_registros[VALOR],tabela_registros[MÊS],$AE$1,tabela_registros[DIA],reservafixaconsolidadoago[[#Headers],[20]],tabela_registros[REGISTRO],DADOS!$N$6,tabela_registros[TIPO],DADOS!$AJ$3,tabela_registros[CATEGORIA],reservafixaconsolidadoago[[#This Row],[ATUAL]])</f>
        <v>0</v>
      </c>
      <c r="Y169" s="119" t="n">
        <f aca="false">SUMIFS(tabela_registros[VALOR],tabela_registros[MÊS],$AE$1,tabela_registros[DIA],reservafixaconsolidadoago[[#Headers],[21]],tabela_registros[REGISTRO],DADOS!$N$6,tabela_registros[TIPO],DADOS!$AJ$3,tabela_registros[CATEGORIA],reservafixaconsolidadoago[[#This Row],[ATUAL]])</f>
        <v>0</v>
      </c>
      <c r="Z169" s="119" t="n">
        <f aca="false">SUMIFS(tabela_registros[VALOR],tabela_registros[MÊS],$AE$1,tabela_registros[DIA],reservafixaconsolidadoago[[#Headers],[22]],tabela_registros[REGISTRO],DADOS!$N$6,tabela_registros[TIPO],DADOS!$AJ$3,tabela_registros[CATEGORIA],reservafixaconsolidadoago[[#This Row],[ATUAL]])</f>
        <v>0</v>
      </c>
      <c r="AA169" s="119" t="n">
        <f aca="false">SUMIFS(tabela_registros[VALOR],tabela_registros[MÊS],$AE$1,tabela_registros[DIA],reservafixaconsolidadoago[[#Headers],[23]],tabela_registros[REGISTRO],DADOS!$N$6,tabela_registros[TIPO],DADOS!$AJ$3,tabela_registros[CATEGORIA],reservafixaconsolidadoago[[#This Row],[ATUAL]])</f>
        <v>0</v>
      </c>
      <c r="AB169" s="119" t="n">
        <f aca="false">SUMIFS(tabela_registros[VALOR],tabela_registros[MÊS],$AE$1,tabela_registros[DIA],reservafixaconsolidadoago[[#Headers],[24]],tabela_registros[REGISTRO],DADOS!$N$6,tabela_registros[TIPO],DADOS!$AJ$3,tabela_registros[CATEGORIA],reservafixaconsolidadoago[[#This Row],[ATUAL]])</f>
        <v>0</v>
      </c>
      <c r="AC169" s="119" t="n">
        <f aca="false">SUMIFS(tabela_registros[VALOR],tabela_registros[MÊS],$AE$1,tabela_registros[DIA],reservafixaconsolidadoago[[#Headers],[25]],tabela_registros[REGISTRO],DADOS!$N$6,tabela_registros[TIPO],DADOS!$AJ$3,tabela_registros[CATEGORIA],reservafixaconsolidadoago[[#This Row],[ATUAL]])</f>
        <v>0</v>
      </c>
      <c r="AD169" s="119" t="n">
        <f aca="false">SUMIFS(tabela_registros[VALOR],tabela_registros[MÊS],$AE$1,tabela_registros[DIA],reservafixaconsolidadoago[[#Headers],[26]],tabela_registros[REGISTRO],DADOS!$N$6,tabela_registros[TIPO],DADOS!$AJ$3,tabela_registros[CATEGORIA],reservafixaconsolidadoago[[#This Row],[ATUAL]])</f>
        <v>0</v>
      </c>
      <c r="AE169" s="119" t="n">
        <f aca="false">SUMIFS(tabela_registros[VALOR],tabela_registros[MÊS],$AE$1,tabela_registros[DIA],reservafixaconsolidadoago[[#Headers],[27]],tabela_registros[REGISTRO],DADOS!$N$6,tabela_registros[TIPO],DADOS!$AJ$3,tabela_registros[CATEGORIA],reservafixaconsolidadoago[[#This Row],[ATUAL]])</f>
        <v>0</v>
      </c>
      <c r="AF169" s="119" t="n">
        <f aca="false">SUMIFS(tabela_registros[VALOR],tabela_registros[MÊS],$AE$1,tabela_registros[DIA],reservafixaconsolidadoago[[#Headers],[28]],tabela_registros[REGISTRO],DADOS!$N$6,tabela_registros[TIPO],DADOS!$AJ$3,tabela_registros[CATEGORIA],reservafixaconsolidadoago[[#This Row],[ATUAL]])</f>
        <v>0</v>
      </c>
      <c r="AG169" s="119" t="n">
        <f aca="false">SUMIFS(tabela_registros[VALOR],tabela_registros[MÊS],$AE$1,tabela_registros[DIA],reservafixaconsolidadoago[[#Headers],[29]],tabela_registros[REGISTRO],DADOS!$N$6,tabela_registros[TIPO],DADOS!$AJ$3,tabela_registros[CATEGORIA],reservafixaconsolidadoago[[#This Row],[ATUAL]])</f>
        <v>0</v>
      </c>
      <c r="AH169" s="119" t="n">
        <f aca="false">SUMIFS(tabela_registros[VALOR],tabela_registros[MÊS],$AE$1,tabela_registros[DIA],reservafixaconsolidadoago[[#Headers],[30]],tabela_registros[REGISTRO],DADOS!$N$6,tabela_registros[TIPO],DADOS!$AJ$3,tabela_registros[CATEGORIA],reservafixaconsolidadoago[[#This Row],[ATUAL]])</f>
        <v>0</v>
      </c>
      <c r="AI169" s="217" t="n">
        <f aca="false">SUMIFS(tabela_registros[VALOR],tabela_registros[MÊS],$AE$1,tabela_registros[DIA],reservafixaconsolidadoago[[#Headers],[31]],tabela_registros[REGISTRO],DADOS!$N$6,tabela_registros[TIPO],DADOS!$AJ$3,tabela_registros[CATEGORIA],reservafixaconsolidadoago[[#This Row],[ATUAL]])</f>
        <v>0</v>
      </c>
      <c r="AJ169" s="149" t="n">
        <f aca="false">SUM(reservafixaconsolidadoago[[#This Row],[1]:[31]])</f>
        <v>0</v>
      </c>
      <c r="AK169" s="165"/>
    </row>
    <row r="170" customFormat="false" ht="19.5" hidden="false" customHeight="true" outlineLevel="0" collapsed="false">
      <c r="B170" s="143"/>
      <c r="C170" s="144" t="str">
        <f aca="false">DADOS!$AL$5</f>
        <v>📝 CRI</v>
      </c>
      <c r="D170" s="145" t="str">
        <f aca="false">IF(reservafixaconsolidadoago[[#This Row],[TOTAL (R$)]]=0,"",IF(OR(reservafixaconsolidadoago[[#This Row],[TOTAL (R$)]]=LARGE($AJ$168:$AJ$177,1),reservafixaconsolidadoago[[#This Row],[TOTAL (R$)]]=LARGE($AJ$168:$AJ$177,2)),DADOS!$I$11,""))</f>
        <v/>
      </c>
      <c r="E170" s="148" t="n">
        <f aca="false">SUMIFS(tabela_registros[VALOR],tabela_registros[MÊS],$AE$1,tabela_registros[DIA],reservafixaconsolidadoago[[#Headers],[1]],tabela_registros[REGISTRO],DADOS!$N$6,tabela_registros[TIPO],DADOS!$AJ$3,tabela_registros[CATEGORIA],reservafixaconsolidadoago[[#This Row],[ATUAL]])</f>
        <v>0</v>
      </c>
      <c r="F170" s="119" t="n">
        <f aca="false">SUMIFS(tabela_registros[VALOR],tabela_registros[MÊS],$AE$1,tabela_registros[DIA],reservafixaconsolidadoago[[#Headers],[2]],tabela_registros[REGISTRO],DADOS!$N$6,tabela_registros[TIPO],DADOS!$AJ$3,tabela_registros[CATEGORIA],reservafixaconsolidadoago[[#This Row],[ATUAL]])</f>
        <v>0</v>
      </c>
      <c r="G170" s="119" t="n">
        <f aca="false">SUMIFS(tabela_registros[VALOR],tabela_registros[MÊS],$AE$1,tabela_registros[DIA],reservafixaconsolidadoago[[#Headers],[3]],tabela_registros[REGISTRO],DADOS!$N$6,tabela_registros[TIPO],DADOS!$AJ$3,tabela_registros[CATEGORIA],reservafixaconsolidadoago[[#This Row],[ATUAL]])</f>
        <v>0</v>
      </c>
      <c r="H170" s="119" t="n">
        <f aca="false">SUMIFS(tabela_registros[VALOR],tabela_registros[MÊS],$AE$1,tabela_registros[DIA],reservafixaconsolidadoago[[#Headers],[4]],tabela_registros[REGISTRO],DADOS!$N$6,tabela_registros[TIPO],DADOS!$AJ$3,tabela_registros[CATEGORIA],reservafixaconsolidadoago[[#This Row],[ATUAL]])</f>
        <v>0</v>
      </c>
      <c r="I170" s="119" t="n">
        <f aca="false">SUMIFS(tabela_registros[VALOR],tabela_registros[MÊS],$AE$1,tabela_registros[DIA],reservafixaconsolidadoago[[#Headers],[5]],tabela_registros[REGISTRO],DADOS!$N$6,tabela_registros[TIPO],DADOS!$AJ$3,tabela_registros[CATEGORIA],reservafixaconsolidadoago[[#This Row],[ATUAL]])</f>
        <v>0</v>
      </c>
      <c r="J170" s="119" t="n">
        <f aca="false">SUMIFS(tabela_registros[VALOR],tabela_registros[MÊS],$AE$1,tabela_registros[DIA],reservafixaconsolidadoago[[#Headers],[6]],tabela_registros[REGISTRO],DADOS!$N$6,tabela_registros[TIPO],DADOS!$AJ$3,tabela_registros[CATEGORIA],reservafixaconsolidadoago[[#This Row],[ATUAL]])</f>
        <v>0</v>
      </c>
      <c r="K170" s="119" t="n">
        <f aca="false">SUMIFS(tabela_registros[VALOR],tabela_registros[MÊS],$AE$1,tabela_registros[DIA],reservafixaconsolidadoago[[#Headers],[7]],tabela_registros[REGISTRO],DADOS!$N$6,tabela_registros[TIPO],DADOS!$AJ$3,tabela_registros[CATEGORIA],reservafixaconsolidadoago[[#This Row],[ATUAL]])</f>
        <v>0</v>
      </c>
      <c r="L170" s="119" t="n">
        <f aca="false">SUMIFS(tabela_registros[VALOR],tabela_registros[MÊS],$AE$1,tabela_registros[DIA],reservafixaconsolidadoago[[#Headers],[8]],tabela_registros[REGISTRO],DADOS!$N$6,tabela_registros[TIPO],DADOS!$AJ$3,tabela_registros[CATEGORIA],reservafixaconsolidadoago[[#This Row],[ATUAL]])</f>
        <v>0</v>
      </c>
      <c r="M170" s="119" t="n">
        <f aca="false">SUMIFS(tabela_registros[VALOR],tabela_registros[MÊS],$AE$1,tabela_registros[DIA],reservafixaconsolidadoago[[#Headers],[9]],tabela_registros[REGISTRO],DADOS!$N$6,tabela_registros[TIPO],DADOS!$AJ$3,tabela_registros[CATEGORIA],reservafixaconsolidadoago[[#This Row],[ATUAL]])</f>
        <v>0</v>
      </c>
      <c r="N170" s="119" t="n">
        <f aca="false">SUMIFS(tabela_registros[VALOR],tabela_registros[MÊS],$AE$1,tabela_registros[DIA],reservafixaconsolidadoago[[#Headers],[10]],tabela_registros[REGISTRO],DADOS!$N$6,tabela_registros[TIPO],DADOS!$AJ$3,tabela_registros[CATEGORIA],reservafixaconsolidadoago[[#This Row],[ATUAL]])</f>
        <v>0</v>
      </c>
      <c r="O170" s="119" t="n">
        <f aca="false">SUMIFS(tabela_registros[VALOR],tabela_registros[MÊS],$AE$1,tabela_registros[DIA],reservafixaconsolidadoago[[#Headers],[11]],tabela_registros[REGISTRO],DADOS!$N$6,tabela_registros[TIPO],DADOS!$AJ$3,tabela_registros[CATEGORIA],reservafixaconsolidadoago[[#This Row],[ATUAL]])</f>
        <v>0</v>
      </c>
      <c r="P170" s="119" t="n">
        <f aca="false">SUMIFS(tabela_registros[VALOR],tabela_registros[MÊS],$AE$1,tabela_registros[DIA],reservafixaconsolidadoago[[#Headers],[12]],tabela_registros[REGISTRO],DADOS!$N$6,tabela_registros[TIPO],DADOS!$AJ$3,tabela_registros[CATEGORIA],reservafixaconsolidadoago[[#This Row],[ATUAL]])</f>
        <v>0</v>
      </c>
      <c r="Q170" s="119" t="n">
        <f aca="false">SUMIFS(tabela_registros[VALOR],tabela_registros[MÊS],$AE$1,tabela_registros[DIA],reservafixaconsolidadoago[[#Headers],[13]],tabela_registros[REGISTRO],DADOS!$N$6,tabela_registros[TIPO],DADOS!$AJ$3,tabela_registros[CATEGORIA],reservafixaconsolidadoago[[#This Row],[ATUAL]])</f>
        <v>0</v>
      </c>
      <c r="R170" s="119" t="n">
        <f aca="false">SUMIFS(tabela_registros[VALOR],tabela_registros[MÊS],$AE$1,tabela_registros[DIA],reservafixaconsolidadoago[[#Headers],[14]],tabela_registros[REGISTRO],DADOS!$N$6,tabela_registros[TIPO],DADOS!$AJ$3,tabela_registros[CATEGORIA],reservafixaconsolidadoago[[#This Row],[ATUAL]])</f>
        <v>0</v>
      </c>
      <c r="S170" s="119" t="n">
        <f aca="false">SUMIFS(tabela_registros[VALOR],tabela_registros[MÊS],$AE$1,tabela_registros[DIA],reservafixaconsolidadoago[[#Headers],[15]],tabela_registros[REGISTRO],DADOS!$N$6,tabela_registros[TIPO],DADOS!$AJ$3,tabela_registros[CATEGORIA],reservafixaconsolidadoago[[#This Row],[ATUAL]])</f>
        <v>0</v>
      </c>
      <c r="T170" s="119" t="n">
        <f aca="false">SUMIFS(tabela_registros[VALOR],tabela_registros[MÊS],$AE$1,tabela_registros[DIA],reservafixaconsolidadoago[[#Headers],[16]],tabela_registros[REGISTRO],DADOS!$N$6,tabela_registros[TIPO],DADOS!$AJ$3,tabela_registros[CATEGORIA],reservafixaconsolidadoago[[#This Row],[ATUAL]])</f>
        <v>0</v>
      </c>
      <c r="U170" s="119" t="n">
        <f aca="false">SUMIFS(tabela_registros[VALOR],tabela_registros[MÊS],$AE$1,tabela_registros[DIA],reservafixaconsolidadoago[[#Headers],[17]],tabela_registros[REGISTRO],DADOS!$N$6,tabela_registros[TIPO],DADOS!$AJ$3,tabela_registros[CATEGORIA],reservafixaconsolidadoago[[#This Row],[ATUAL]])</f>
        <v>0</v>
      </c>
      <c r="V170" s="119" t="n">
        <f aca="false">SUMIFS(tabela_registros[VALOR],tabela_registros[MÊS],$AE$1,tabela_registros[DIA],reservafixaconsolidadoago[[#Headers],[18]],tabela_registros[REGISTRO],DADOS!$N$6,tabela_registros[TIPO],DADOS!$AJ$3,tabela_registros[CATEGORIA],reservafixaconsolidadoago[[#This Row],[ATUAL]])</f>
        <v>0</v>
      </c>
      <c r="W170" s="119" t="n">
        <f aca="false">SUMIFS(tabela_registros[VALOR],tabela_registros[MÊS],$AE$1,tabela_registros[DIA],reservafixaconsolidadoago[[#Headers],[19]],tabela_registros[REGISTRO],DADOS!$N$6,tabela_registros[TIPO],DADOS!$AJ$3,tabela_registros[CATEGORIA],reservafixaconsolidadoago[[#This Row],[ATUAL]])</f>
        <v>0</v>
      </c>
      <c r="X170" s="119" t="n">
        <f aca="false">SUMIFS(tabela_registros[VALOR],tabela_registros[MÊS],$AE$1,tabela_registros[DIA],reservafixaconsolidadoago[[#Headers],[20]],tabela_registros[REGISTRO],DADOS!$N$6,tabela_registros[TIPO],DADOS!$AJ$3,tabela_registros[CATEGORIA],reservafixaconsolidadoago[[#This Row],[ATUAL]])</f>
        <v>0</v>
      </c>
      <c r="Y170" s="119" t="n">
        <f aca="false">SUMIFS(tabela_registros[VALOR],tabela_registros[MÊS],$AE$1,tabela_registros[DIA],reservafixaconsolidadoago[[#Headers],[21]],tabela_registros[REGISTRO],DADOS!$N$6,tabela_registros[TIPO],DADOS!$AJ$3,tabela_registros[CATEGORIA],reservafixaconsolidadoago[[#This Row],[ATUAL]])</f>
        <v>0</v>
      </c>
      <c r="Z170" s="119" t="n">
        <f aca="false">SUMIFS(tabela_registros[VALOR],tabela_registros[MÊS],$AE$1,tabela_registros[DIA],reservafixaconsolidadoago[[#Headers],[22]],tabela_registros[REGISTRO],DADOS!$N$6,tabela_registros[TIPO],DADOS!$AJ$3,tabela_registros[CATEGORIA],reservafixaconsolidadoago[[#This Row],[ATUAL]])</f>
        <v>0</v>
      </c>
      <c r="AA170" s="119" t="n">
        <f aca="false">SUMIFS(tabela_registros[VALOR],tabela_registros[MÊS],$AE$1,tabela_registros[DIA],reservafixaconsolidadoago[[#Headers],[23]],tabela_registros[REGISTRO],DADOS!$N$6,tabela_registros[TIPO],DADOS!$AJ$3,tabela_registros[CATEGORIA],reservafixaconsolidadoago[[#This Row],[ATUAL]])</f>
        <v>0</v>
      </c>
      <c r="AB170" s="119" t="n">
        <f aca="false">SUMIFS(tabela_registros[VALOR],tabela_registros[MÊS],$AE$1,tabela_registros[DIA],reservafixaconsolidadoago[[#Headers],[24]],tabela_registros[REGISTRO],DADOS!$N$6,tabela_registros[TIPO],DADOS!$AJ$3,tabela_registros[CATEGORIA],reservafixaconsolidadoago[[#This Row],[ATUAL]])</f>
        <v>0</v>
      </c>
      <c r="AC170" s="119" t="n">
        <f aca="false">SUMIFS(tabela_registros[VALOR],tabela_registros[MÊS],$AE$1,tabela_registros[DIA],reservafixaconsolidadoago[[#Headers],[25]],tabela_registros[REGISTRO],DADOS!$N$6,tabela_registros[TIPO],DADOS!$AJ$3,tabela_registros[CATEGORIA],reservafixaconsolidadoago[[#This Row],[ATUAL]])</f>
        <v>0</v>
      </c>
      <c r="AD170" s="119" t="n">
        <f aca="false">SUMIFS(tabela_registros[VALOR],tabela_registros[MÊS],$AE$1,tabela_registros[DIA],reservafixaconsolidadoago[[#Headers],[26]],tabela_registros[REGISTRO],DADOS!$N$6,tabela_registros[TIPO],DADOS!$AJ$3,tabela_registros[CATEGORIA],reservafixaconsolidadoago[[#This Row],[ATUAL]])</f>
        <v>0</v>
      </c>
      <c r="AE170" s="119" t="n">
        <f aca="false">SUMIFS(tabela_registros[VALOR],tabela_registros[MÊS],$AE$1,tabela_registros[DIA],reservafixaconsolidadoago[[#Headers],[27]],tabela_registros[REGISTRO],DADOS!$N$6,tabela_registros[TIPO],DADOS!$AJ$3,tabela_registros[CATEGORIA],reservafixaconsolidadoago[[#This Row],[ATUAL]])</f>
        <v>0</v>
      </c>
      <c r="AF170" s="119" t="n">
        <f aca="false">SUMIFS(tabela_registros[VALOR],tabela_registros[MÊS],$AE$1,tabela_registros[DIA],reservafixaconsolidadoago[[#Headers],[28]],tabela_registros[REGISTRO],DADOS!$N$6,tabela_registros[TIPO],DADOS!$AJ$3,tabela_registros[CATEGORIA],reservafixaconsolidadoago[[#This Row],[ATUAL]])</f>
        <v>0</v>
      </c>
      <c r="AG170" s="119" t="n">
        <f aca="false">SUMIFS(tabela_registros[VALOR],tabela_registros[MÊS],$AE$1,tabela_registros[DIA],reservafixaconsolidadoago[[#Headers],[29]],tabela_registros[REGISTRO],DADOS!$N$6,tabela_registros[TIPO],DADOS!$AJ$3,tabela_registros[CATEGORIA],reservafixaconsolidadoago[[#This Row],[ATUAL]])</f>
        <v>0</v>
      </c>
      <c r="AH170" s="119" t="n">
        <f aca="false">SUMIFS(tabela_registros[VALOR],tabela_registros[MÊS],$AE$1,tabela_registros[DIA],reservafixaconsolidadoago[[#Headers],[30]],tabela_registros[REGISTRO],DADOS!$N$6,tabela_registros[TIPO],DADOS!$AJ$3,tabela_registros[CATEGORIA],reservafixaconsolidadoago[[#This Row],[ATUAL]])</f>
        <v>0</v>
      </c>
      <c r="AI170" s="217" t="n">
        <f aca="false">SUMIFS(tabela_registros[VALOR],tabela_registros[MÊS],$AE$1,tabela_registros[DIA],reservafixaconsolidadoago[[#Headers],[31]],tabela_registros[REGISTRO],DADOS!$N$6,tabela_registros[TIPO],DADOS!$AJ$3,tabela_registros[CATEGORIA],reservafixaconsolidadoago[[#This Row],[ATUAL]])</f>
        <v>0</v>
      </c>
      <c r="AJ170" s="149" t="n">
        <f aca="false">SUM(reservafixaconsolidadoago[[#This Row],[1]:[31]])</f>
        <v>0</v>
      </c>
      <c r="AK170" s="165"/>
    </row>
    <row r="171" customFormat="false" ht="19.5" hidden="false" customHeight="true" outlineLevel="0" collapsed="false">
      <c r="B171" s="143"/>
      <c r="C171" s="144" t="str">
        <f aca="false">DADOS!$AL$6</f>
        <v>📝 DEBÊNTURE</v>
      </c>
      <c r="D171" s="145" t="str">
        <f aca="false">IF(reservafixaconsolidadoago[[#This Row],[TOTAL (R$)]]=0,"",IF(OR(reservafixaconsolidadoago[[#This Row],[TOTAL (R$)]]=LARGE($AJ$168:$AJ$177,1),reservafixaconsolidadoago[[#This Row],[TOTAL (R$)]]=LARGE($AJ$168:$AJ$177,2)),DADOS!$I$11,""))</f>
        <v/>
      </c>
      <c r="E171" s="148" t="n">
        <f aca="false">SUMIFS(tabela_registros[VALOR],tabela_registros[MÊS],$AE$1,tabela_registros[DIA],reservafixaconsolidadoago[[#Headers],[1]],tabela_registros[REGISTRO],DADOS!$N$6,tabela_registros[TIPO],DADOS!$AJ$3,tabela_registros[CATEGORIA],reservafixaconsolidadoago[[#This Row],[ATUAL]])</f>
        <v>0</v>
      </c>
      <c r="F171" s="119" t="n">
        <f aca="false">SUMIFS(tabela_registros[VALOR],tabela_registros[MÊS],$AE$1,tabela_registros[DIA],reservafixaconsolidadoago[[#Headers],[2]],tabela_registros[REGISTRO],DADOS!$N$6,tabela_registros[TIPO],DADOS!$AJ$3,tabela_registros[CATEGORIA],reservafixaconsolidadoago[[#This Row],[ATUAL]])</f>
        <v>0</v>
      </c>
      <c r="G171" s="119" t="n">
        <f aca="false">SUMIFS(tabela_registros[VALOR],tabela_registros[MÊS],$AE$1,tabela_registros[DIA],reservafixaconsolidadoago[[#Headers],[3]],tabela_registros[REGISTRO],DADOS!$N$6,tabela_registros[TIPO],DADOS!$AJ$3,tabela_registros[CATEGORIA],reservafixaconsolidadoago[[#This Row],[ATUAL]])</f>
        <v>0</v>
      </c>
      <c r="H171" s="119" t="n">
        <f aca="false">SUMIFS(tabela_registros[VALOR],tabela_registros[MÊS],$AE$1,tabela_registros[DIA],reservafixaconsolidadoago[[#Headers],[4]],tabela_registros[REGISTRO],DADOS!$N$6,tabela_registros[TIPO],DADOS!$AJ$3,tabela_registros[CATEGORIA],reservafixaconsolidadoago[[#This Row],[ATUAL]])</f>
        <v>0</v>
      </c>
      <c r="I171" s="119" t="n">
        <f aca="false">SUMIFS(tabela_registros[VALOR],tabela_registros[MÊS],$AE$1,tabela_registros[DIA],reservafixaconsolidadoago[[#Headers],[5]],tabela_registros[REGISTRO],DADOS!$N$6,tabela_registros[TIPO],DADOS!$AJ$3,tabela_registros[CATEGORIA],reservafixaconsolidadoago[[#This Row],[ATUAL]])</f>
        <v>0</v>
      </c>
      <c r="J171" s="119" t="n">
        <f aca="false">SUMIFS(tabela_registros[VALOR],tabela_registros[MÊS],$AE$1,tabela_registros[DIA],reservafixaconsolidadoago[[#Headers],[6]],tabela_registros[REGISTRO],DADOS!$N$6,tabela_registros[TIPO],DADOS!$AJ$3,tabela_registros[CATEGORIA],reservafixaconsolidadoago[[#This Row],[ATUAL]])</f>
        <v>0</v>
      </c>
      <c r="K171" s="119" t="n">
        <f aca="false">SUMIFS(tabela_registros[VALOR],tabela_registros[MÊS],$AE$1,tabela_registros[DIA],reservafixaconsolidadoago[[#Headers],[7]],tabela_registros[REGISTRO],DADOS!$N$6,tabela_registros[TIPO],DADOS!$AJ$3,tabela_registros[CATEGORIA],reservafixaconsolidadoago[[#This Row],[ATUAL]])</f>
        <v>0</v>
      </c>
      <c r="L171" s="119" t="n">
        <f aca="false">SUMIFS(tabela_registros[VALOR],tabela_registros[MÊS],$AE$1,tabela_registros[DIA],reservafixaconsolidadoago[[#Headers],[8]],tabela_registros[REGISTRO],DADOS!$N$6,tabela_registros[TIPO],DADOS!$AJ$3,tabela_registros[CATEGORIA],reservafixaconsolidadoago[[#This Row],[ATUAL]])</f>
        <v>0</v>
      </c>
      <c r="M171" s="119" t="n">
        <f aca="false">SUMIFS(tabela_registros[VALOR],tabela_registros[MÊS],$AE$1,tabela_registros[DIA],reservafixaconsolidadoago[[#Headers],[9]],tabela_registros[REGISTRO],DADOS!$N$6,tabela_registros[TIPO],DADOS!$AJ$3,tabela_registros[CATEGORIA],reservafixaconsolidadoago[[#This Row],[ATUAL]])</f>
        <v>0</v>
      </c>
      <c r="N171" s="119" t="n">
        <f aca="false">SUMIFS(tabela_registros[VALOR],tabela_registros[MÊS],$AE$1,tabela_registros[DIA],reservafixaconsolidadoago[[#Headers],[10]],tabela_registros[REGISTRO],DADOS!$N$6,tabela_registros[TIPO],DADOS!$AJ$3,tabela_registros[CATEGORIA],reservafixaconsolidadoago[[#This Row],[ATUAL]])</f>
        <v>0</v>
      </c>
      <c r="O171" s="119" t="n">
        <f aca="false">SUMIFS(tabela_registros[VALOR],tabela_registros[MÊS],$AE$1,tabela_registros[DIA],reservafixaconsolidadoago[[#Headers],[11]],tabela_registros[REGISTRO],DADOS!$N$6,tabela_registros[TIPO],DADOS!$AJ$3,tabela_registros[CATEGORIA],reservafixaconsolidadoago[[#This Row],[ATUAL]])</f>
        <v>0</v>
      </c>
      <c r="P171" s="119" t="n">
        <f aca="false">SUMIFS(tabela_registros[VALOR],tabela_registros[MÊS],$AE$1,tabela_registros[DIA],reservafixaconsolidadoago[[#Headers],[12]],tabela_registros[REGISTRO],DADOS!$N$6,tabela_registros[TIPO],DADOS!$AJ$3,tabela_registros[CATEGORIA],reservafixaconsolidadoago[[#This Row],[ATUAL]])</f>
        <v>0</v>
      </c>
      <c r="Q171" s="119" t="n">
        <f aca="false">SUMIFS(tabela_registros[VALOR],tabela_registros[MÊS],$AE$1,tabela_registros[DIA],reservafixaconsolidadoago[[#Headers],[13]],tabela_registros[REGISTRO],DADOS!$N$6,tabela_registros[TIPO],DADOS!$AJ$3,tabela_registros[CATEGORIA],reservafixaconsolidadoago[[#This Row],[ATUAL]])</f>
        <v>0</v>
      </c>
      <c r="R171" s="119" t="n">
        <f aca="false">SUMIFS(tabela_registros[VALOR],tabela_registros[MÊS],$AE$1,tabela_registros[DIA],reservafixaconsolidadoago[[#Headers],[14]],tabela_registros[REGISTRO],DADOS!$N$6,tabela_registros[TIPO],DADOS!$AJ$3,tabela_registros[CATEGORIA],reservafixaconsolidadoago[[#This Row],[ATUAL]])</f>
        <v>0</v>
      </c>
      <c r="S171" s="119" t="n">
        <f aca="false">SUMIFS(tabela_registros[VALOR],tabela_registros[MÊS],$AE$1,tabela_registros[DIA],reservafixaconsolidadoago[[#Headers],[15]],tabela_registros[REGISTRO],DADOS!$N$6,tabela_registros[TIPO],DADOS!$AJ$3,tabela_registros[CATEGORIA],reservafixaconsolidadoago[[#This Row],[ATUAL]])</f>
        <v>0</v>
      </c>
      <c r="T171" s="119" t="n">
        <f aca="false">SUMIFS(tabela_registros[VALOR],tabela_registros[MÊS],$AE$1,tabela_registros[DIA],reservafixaconsolidadoago[[#Headers],[16]],tabela_registros[REGISTRO],DADOS!$N$6,tabela_registros[TIPO],DADOS!$AJ$3,tabela_registros[CATEGORIA],reservafixaconsolidadoago[[#This Row],[ATUAL]])</f>
        <v>0</v>
      </c>
      <c r="U171" s="119" t="n">
        <f aca="false">SUMIFS(tabela_registros[VALOR],tabela_registros[MÊS],$AE$1,tabela_registros[DIA],reservafixaconsolidadoago[[#Headers],[17]],tabela_registros[REGISTRO],DADOS!$N$6,tabela_registros[TIPO],DADOS!$AJ$3,tabela_registros[CATEGORIA],reservafixaconsolidadoago[[#This Row],[ATUAL]])</f>
        <v>0</v>
      </c>
      <c r="V171" s="119" t="n">
        <f aca="false">SUMIFS(tabela_registros[VALOR],tabela_registros[MÊS],$AE$1,tabela_registros[DIA],reservafixaconsolidadoago[[#Headers],[18]],tabela_registros[REGISTRO],DADOS!$N$6,tabela_registros[TIPO],DADOS!$AJ$3,tabela_registros[CATEGORIA],reservafixaconsolidadoago[[#This Row],[ATUAL]])</f>
        <v>0</v>
      </c>
      <c r="W171" s="119" t="n">
        <f aca="false">SUMIFS(tabela_registros[VALOR],tabela_registros[MÊS],$AE$1,tabela_registros[DIA],reservafixaconsolidadoago[[#Headers],[19]],tabela_registros[REGISTRO],DADOS!$N$6,tabela_registros[TIPO],DADOS!$AJ$3,tabela_registros[CATEGORIA],reservafixaconsolidadoago[[#This Row],[ATUAL]])</f>
        <v>0</v>
      </c>
      <c r="X171" s="119" t="n">
        <f aca="false">SUMIFS(tabela_registros[VALOR],tabela_registros[MÊS],$AE$1,tabela_registros[DIA],reservafixaconsolidadoago[[#Headers],[20]],tabela_registros[REGISTRO],DADOS!$N$6,tabela_registros[TIPO],DADOS!$AJ$3,tabela_registros[CATEGORIA],reservafixaconsolidadoago[[#This Row],[ATUAL]])</f>
        <v>0</v>
      </c>
      <c r="Y171" s="119" t="n">
        <f aca="false">SUMIFS(tabela_registros[VALOR],tabela_registros[MÊS],$AE$1,tabela_registros[DIA],reservafixaconsolidadoago[[#Headers],[21]],tabela_registros[REGISTRO],DADOS!$N$6,tabela_registros[TIPO],DADOS!$AJ$3,tabela_registros[CATEGORIA],reservafixaconsolidadoago[[#This Row],[ATUAL]])</f>
        <v>0</v>
      </c>
      <c r="Z171" s="119" t="n">
        <f aca="false">SUMIFS(tabela_registros[VALOR],tabela_registros[MÊS],$AE$1,tabela_registros[DIA],reservafixaconsolidadoago[[#Headers],[22]],tabela_registros[REGISTRO],DADOS!$N$6,tabela_registros[TIPO],DADOS!$AJ$3,tabela_registros[CATEGORIA],reservafixaconsolidadoago[[#This Row],[ATUAL]])</f>
        <v>0</v>
      </c>
      <c r="AA171" s="119" t="n">
        <f aca="false">SUMIFS(tabela_registros[VALOR],tabela_registros[MÊS],$AE$1,tabela_registros[DIA],reservafixaconsolidadoago[[#Headers],[23]],tabela_registros[REGISTRO],DADOS!$N$6,tabela_registros[TIPO],DADOS!$AJ$3,tabela_registros[CATEGORIA],reservafixaconsolidadoago[[#This Row],[ATUAL]])</f>
        <v>0</v>
      </c>
      <c r="AB171" s="119" t="n">
        <f aca="false">SUMIFS(tabela_registros[VALOR],tabela_registros[MÊS],$AE$1,tabela_registros[DIA],reservafixaconsolidadoago[[#Headers],[24]],tabela_registros[REGISTRO],DADOS!$N$6,tabela_registros[TIPO],DADOS!$AJ$3,tabela_registros[CATEGORIA],reservafixaconsolidadoago[[#This Row],[ATUAL]])</f>
        <v>0</v>
      </c>
      <c r="AC171" s="119" t="n">
        <f aca="false">SUMIFS(tabela_registros[VALOR],tabela_registros[MÊS],$AE$1,tabela_registros[DIA],reservafixaconsolidadoago[[#Headers],[25]],tabela_registros[REGISTRO],DADOS!$N$6,tabela_registros[TIPO],DADOS!$AJ$3,tabela_registros[CATEGORIA],reservafixaconsolidadoago[[#This Row],[ATUAL]])</f>
        <v>0</v>
      </c>
      <c r="AD171" s="119" t="n">
        <f aca="false">SUMIFS(tabela_registros[VALOR],tabela_registros[MÊS],$AE$1,tabela_registros[DIA],reservafixaconsolidadoago[[#Headers],[26]],tabela_registros[REGISTRO],DADOS!$N$6,tabela_registros[TIPO],DADOS!$AJ$3,tabela_registros[CATEGORIA],reservafixaconsolidadoago[[#This Row],[ATUAL]])</f>
        <v>0</v>
      </c>
      <c r="AE171" s="119" t="n">
        <f aca="false">SUMIFS(tabela_registros[VALOR],tabela_registros[MÊS],$AE$1,tabela_registros[DIA],reservafixaconsolidadoago[[#Headers],[27]],tabela_registros[REGISTRO],DADOS!$N$6,tabela_registros[TIPO],DADOS!$AJ$3,tabela_registros[CATEGORIA],reservafixaconsolidadoago[[#This Row],[ATUAL]])</f>
        <v>0</v>
      </c>
      <c r="AF171" s="119" t="n">
        <f aca="false">SUMIFS(tabela_registros[VALOR],tabela_registros[MÊS],$AE$1,tabela_registros[DIA],reservafixaconsolidadoago[[#Headers],[28]],tabela_registros[REGISTRO],DADOS!$N$6,tabela_registros[TIPO],DADOS!$AJ$3,tabela_registros[CATEGORIA],reservafixaconsolidadoago[[#This Row],[ATUAL]])</f>
        <v>0</v>
      </c>
      <c r="AG171" s="119" t="n">
        <f aca="false">SUMIFS(tabela_registros[VALOR],tabela_registros[MÊS],$AE$1,tabela_registros[DIA],reservafixaconsolidadoago[[#Headers],[29]],tabela_registros[REGISTRO],DADOS!$N$6,tabela_registros[TIPO],DADOS!$AJ$3,tabela_registros[CATEGORIA],reservafixaconsolidadoago[[#This Row],[ATUAL]])</f>
        <v>0</v>
      </c>
      <c r="AH171" s="119" t="n">
        <f aca="false">SUMIFS(tabela_registros[VALOR],tabela_registros[MÊS],$AE$1,tabela_registros[DIA],reservafixaconsolidadoago[[#Headers],[30]],tabela_registros[REGISTRO],DADOS!$N$6,tabela_registros[TIPO],DADOS!$AJ$3,tabela_registros[CATEGORIA],reservafixaconsolidadoago[[#This Row],[ATUAL]])</f>
        <v>0</v>
      </c>
      <c r="AI171" s="217" t="n">
        <f aca="false">SUMIFS(tabela_registros[VALOR],tabela_registros[MÊS],$AE$1,tabela_registros[DIA],reservafixaconsolidadoago[[#Headers],[31]],tabela_registros[REGISTRO],DADOS!$N$6,tabela_registros[TIPO],DADOS!$AJ$3,tabela_registros[CATEGORIA],reservafixaconsolidadoago[[#This Row],[ATUAL]])</f>
        <v>0</v>
      </c>
      <c r="AJ171" s="149" t="n">
        <f aca="false">SUM(reservafixaconsolidadoago[[#This Row],[1]:[31]])</f>
        <v>0</v>
      </c>
      <c r="AK171" s="165"/>
    </row>
    <row r="172" customFormat="false" ht="19.5" hidden="false" customHeight="true" outlineLevel="0" collapsed="false">
      <c r="B172" s="143"/>
      <c r="C172" s="144" t="str">
        <f aca="false">DADOS!$AL$7</f>
        <v>📝 EXTERIOR</v>
      </c>
      <c r="D172" s="145" t="str">
        <f aca="false">IF(reservafixaconsolidadoago[[#This Row],[TOTAL (R$)]]=0,"",IF(OR(reservafixaconsolidadoago[[#This Row],[TOTAL (R$)]]=LARGE($AJ$168:$AJ$177,1),reservafixaconsolidadoago[[#This Row],[TOTAL (R$)]]=LARGE($AJ$168:$AJ$177,2)),DADOS!$I$11,""))</f>
        <v/>
      </c>
      <c r="E172" s="148" t="n">
        <f aca="false">SUMIFS(tabela_registros[VALOR],tabela_registros[MÊS],$AE$1,tabela_registros[DIA],reservafixaconsolidadoago[[#Headers],[1]],tabela_registros[REGISTRO],DADOS!$N$6,tabela_registros[TIPO],DADOS!$AJ$3,tabela_registros[CATEGORIA],reservafixaconsolidadoago[[#This Row],[ATUAL]])</f>
        <v>0</v>
      </c>
      <c r="F172" s="119" t="n">
        <f aca="false">SUMIFS(tabela_registros[VALOR],tabela_registros[MÊS],$AE$1,tabela_registros[DIA],reservafixaconsolidadoago[[#Headers],[2]],tabela_registros[REGISTRO],DADOS!$N$6,tabela_registros[TIPO],DADOS!$AJ$3,tabela_registros[CATEGORIA],reservafixaconsolidadoago[[#This Row],[ATUAL]])</f>
        <v>0</v>
      </c>
      <c r="G172" s="119" t="n">
        <f aca="false">SUMIFS(tabela_registros[VALOR],tabela_registros[MÊS],$AE$1,tabela_registros[DIA],reservafixaconsolidadoago[[#Headers],[3]],tabela_registros[REGISTRO],DADOS!$N$6,tabela_registros[TIPO],DADOS!$AJ$3,tabela_registros[CATEGORIA],reservafixaconsolidadoago[[#This Row],[ATUAL]])</f>
        <v>0</v>
      </c>
      <c r="H172" s="119" t="n">
        <f aca="false">SUMIFS(tabela_registros[VALOR],tabela_registros[MÊS],$AE$1,tabela_registros[DIA],reservafixaconsolidadoago[[#Headers],[4]],tabela_registros[REGISTRO],DADOS!$N$6,tabela_registros[TIPO],DADOS!$AJ$3,tabela_registros[CATEGORIA],reservafixaconsolidadoago[[#This Row],[ATUAL]])</f>
        <v>0</v>
      </c>
      <c r="I172" s="119" t="n">
        <f aca="false">SUMIFS(tabela_registros[VALOR],tabela_registros[MÊS],$AE$1,tabela_registros[DIA],reservafixaconsolidadoago[[#Headers],[5]],tabela_registros[REGISTRO],DADOS!$N$6,tabela_registros[TIPO],DADOS!$AJ$3,tabela_registros[CATEGORIA],reservafixaconsolidadoago[[#This Row],[ATUAL]])</f>
        <v>0</v>
      </c>
      <c r="J172" s="119" t="n">
        <f aca="false">SUMIFS(tabela_registros[VALOR],tabela_registros[MÊS],$AE$1,tabela_registros[DIA],reservafixaconsolidadoago[[#Headers],[6]],tabela_registros[REGISTRO],DADOS!$N$6,tabela_registros[TIPO],DADOS!$AJ$3,tabela_registros[CATEGORIA],reservafixaconsolidadoago[[#This Row],[ATUAL]])</f>
        <v>0</v>
      </c>
      <c r="K172" s="119" t="n">
        <f aca="false">SUMIFS(tabela_registros[VALOR],tabela_registros[MÊS],$AE$1,tabela_registros[DIA],reservafixaconsolidadoago[[#Headers],[7]],tabela_registros[REGISTRO],DADOS!$N$6,tabela_registros[TIPO],DADOS!$AJ$3,tabela_registros[CATEGORIA],reservafixaconsolidadoago[[#This Row],[ATUAL]])</f>
        <v>0</v>
      </c>
      <c r="L172" s="119" t="n">
        <f aca="false">SUMIFS(tabela_registros[VALOR],tabela_registros[MÊS],$AE$1,tabela_registros[DIA],reservafixaconsolidadoago[[#Headers],[8]],tabela_registros[REGISTRO],DADOS!$N$6,tabela_registros[TIPO],DADOS!$AJ$3,tabela_registros[CATEGORIA],reservafixaconsolidadoago[[#This Row],[ATUAL]])</f>
        <v>0</v>
      </c>
      <c r="M172" s="119" t="n">
        <f aca="false">SUMIFS(tabela_registros[VALOR],tabela_registros[MÊS],$AE$1,tabela_registros[DIA],reservafixaconsolidadoago[[#Headers],[9]],tabela_registros[REGISTRO],DADOS!$N$6,tabela_registros[TIPO],DADOS!$AJ$3,tabela_registros[CATEGORIA],reservafixaconsolidadoago[[#This Row],[ATUAL]])</f>
        <v>0</v>
      </c>
      <c r="N172" s="119" t="n">
        <f aca="false">SUMIFS(tabela_registros[VALOR],tabela_registros[MÊS],$AE$1,tabela_registros[DIA],reservafixaconsolidadoago[[#Headers],[10]],tabela_registros[REGISTRO],DADOS!$N$6,tabela_registros[TIPO],DADOS!$AJ$3,tabela_registros[CATEGORIA],reservafixaconsolidadoago[[#This Row],[ATUAL]])</f>
        <v>0</v>
      </c>
      <c r="O172" s="119" t="n">
        <f aca="false">SUMIFS(tabela_registros[VALOR],tabela_registros[MÊS],$AE$1,tabela_registros[DIA],reservafixaconsolidadoago[[#Headers],[11]],tabela_registros[REGISTRO],DADOS!$N$6,tabela_registros[TIPO],DADOS!$AJ$3,tabela_registros[CATEGORIA],reservafixaconsolidadoago[[#This Row],[ATUAL]])</f>
        <v>0</v>
      </c>
      <c r="P172" s="119" t="n">
        <f aca="false">SUMIFS(tabela_registros[VALOR],tabela_registros[MÊS],$AE$1,tabela_registros[DIA],reservafixaconsolidadoago[[#Headers],[12]],tabela_registros[REGISTRO],DADOS!$N$6,tabela_registros[TIPO],DADOS!$AJ$3,tabela_registros[CATEGORIA],reservafixaconsolidadoago[[#This Row],[ATUAL]])</f>
        <v>0</v>
      </c>
      <c r="Q172" s="119" t="n">
        <f aca="false">SUMIFS(tabela_registros[VALOR],tabela_registros[MÊS],$AE$1,tabela_registros[DIA],reservafixaconsolidadoago[[#Headers],[13]],tabela_registros[REGISTRO],DADOS!$N$6,tabela_registros[TIPO],DADOS!$AJ$3,tabela_registros[CATEGORIA],reservafixaconsolidadoago[[#This Row],[ATUAL]])</f>
        <v>0</v>
      </c>
      <c r="R172" s="119" t="n">
        <f aca="false">SUMIFS(tabela_registros[VALOR],tabela_registros[MÊS],$AE$1,tabela_registros[DIA],reservafixaconsolidadoago[[#Headers],[14]],tabela_registros[REGISTRO],DADOS!$N$6,tabela_registros[TIPO],DADOS!$AJ$3,tabela_registros[CATEGORIA],reservafixaconsolidadoago[[#This Row],[ATUAL]])</f>
        <v>0</v>
      </c>
      <c r="S172" s="119" t="n">
        <f aca="false">SUMIFS(tabela_registros[VALOR],tabela_registros[MÊS],$AE$1,tabela_registros[DIA],reservafixaconsolidadoago[[#Headers],[15]],tabela_registros[REGISTRO],DADOS!$N$6,tabela_registros[TIPO],DADOS!$AJ$3,tabela_registros[CATEGORIA],reservafixaconsolidadoago[[#This Row],[ATUAL]])</f>
        <v>0</v>
      </c>
      <c r="T172" s="119" t="n">
        <f aca="false">SUMIFS(tabela_registros[VALOR],tabela_registros[MÊS],$AE$1,tabela_registros[DIA],reservafixaconsolidadoago[[#Headers],[16]],tabela_registros[REGISTRO],DADOS!$N$6,tabela_registros[TIPO],DADOS!$AJ$3,tabela_registros[CATEGORIA],reservafixaconsolidadoago[[#This Row],[ATUAL]])</f>
        <v>0</v>
      </c>
      <c r="U172" s="119" t="n">
        <f aca="false">SUMIFS(tabela_registros[VALOR],tabela_registros[MÊS],$AE$1,tabela_registros[DIA],reservafixaconsolidadoago[[#Headers],[17]],tabela_registros[REGISTRO],DADOS!$N$6,tabela_registros[TIPO],DADOS!$AJ$3,tabela_registros[CATEGORIA],reservafixaconsolidadoago[[#This Row],[ATUAL]])</f>
        <v>0</v>
      </c>
      <c r="V172" s="119" t="n">
        <f aca="false">SUMIFS(tabela_registros[VALOR],tabela_registros[MÊS],$AE$1,tabela_registros[DIA],reservafixaconsolidadoago[[#Headers],[18]],tabela_registros[REGISTRO],DADOS!$N$6,tabela_registros[TIPO],DADOS!$AJ$3,tabela_registros[CATEGORIA],reservafixaconsolidadoago[[#This Row],[ATUAL]])</f>
        <v>0</v>
      </c>
      <c r="W172" s="119" t="n">
        <f aca="false">SUMIFS(tabela_registros[VALOR],tabela_registros[MÊS],$AE$1,tabela_registros[DIA],reservafixaconsolidadoago[[#Headers],[19]],tabela_registros[REGISTRO],DADOS!$N$6,tabela_registros[TIPO],DADOS!$AJ$3,tabela_registros[CATEGORIA],reservafixaconsolidadoago[[#This Row],[ATUAL]])</f>
        <v>0</v>
      </c>
      <c r="X172" s="119" t="n">
        <f aca="false">SUMIFS(tabela_registros[VALOR],tabela_registros[MÊS],$AE$1,tabela_registros[DIA],reservafixaconsolidadoago[[#Headers],[20]],tabela_registros[REGISTRO],DADOS!$N$6,tabela_registros[TIPO],DADOS!$AJ$3,tabela_registros[CATEGORIA],reservafixaconsolidadoago[[#This Row],[ATUAL]])</f>
        <v>0</v>
      </c>
      <c r="Y172" s="119" t="n">
        <f aca="false">SUMIFS(tabela_registros[VALOR],tabela_registros[MÊS],$AE$1,tabela_registros[DIA],reservafixaconsolidadoago[[#Headers],[21]],tabela_registros[REGISTRO],DADOS!$N$6,tabela_registros[TIPO],DADOS!$AJ$3,tabela_registros[CATEGORIA],reservafixaconsolidadoago[[#This Row],[ATUAL]])</f>
        <v>0</v>
      </c>
      <c r="Z172" s="119" t="n">
        <f aca="false">SUMIFS(tabela_registros[VALOR],tabela_registros[MÊS],$AE$1,tabela_registros[DIA],reservafixaconsolidadoago[[#Headers],[22]],tabela_registros[REGISTRO],DADOS!$N$6,tabela_registros[TIPO],DADOS!$AJ$3,tabela_registros[CATEGORIA],reservafixaconsolidadoago[[#This Row],[ATUAL]])</f>
        <v>0</v>
      </c>
      <c r="AA172" s="119" t="n">
        <f aca="false">SUMIFS(tabela_registros[VALOR],tabela_registros[MÊS],$AE$1,tabela_registros[DIA],reservafixaconsolidadoago[[#Headers],[23]],tabela_registros[REGISTRO],DADOS!$N$6,tabela_registros[TIPO],DADOS!$AJ$3,tabela_registros[CATEGORIA],reservafixaconsolidadoago[[#This Row],[ATUAL]])</f>
        <v>0</v>
      </c>
      <c r="AB172" s="119" t="n">
        <f aca="false">SUMIFS(tabela_registros[VALOR],tabela_registros[MÊS],$AE$1,tabela_registros[DIA],reservafixaconsolidadoago[[#Headers],[24]],tabela_registros[REGISTRO],DADOS!$N$6,tabela_registros[TIPO],DADOS!$AJ$3,tabela_registros[CATEGORIA],reservafixaconsolidadoago[[#This Row],[ATUAL]])</f>
        <v>0</v>
      </c>
      <c r="AC172" s="119" t="n">
        <f aca="false">SUMIFS(tabela_registros[VALOR],tabela_registros[MÊS],$AE$1,tabela_registros[DIA],reservafixaconsolidadoago[[#Headers],[25]],tabela_registros[REGISTRO],DADOS!$N$6,tabela_registros[TIPO],DADOS!$AJ$3,tabela_registros[CATEGORIA],reservafixaconsolidadoago[[#This Row],[ATUAL]])</f>
        <v>0</v>
      </c>
      <c r="AD172" s="119" t="n">
        <f aca="false">SUMIFS(tabela_registros[VALOR],tabela_registros[MÊS],$AE$1,tabela_registros[DIA],reservafixaconsolidadoago[[#Headers],[26]],tabela_registros[REGISTRO],DADOS!$N$6,tabela_registros[TIPO],DADOS!$AJ$3,tabela_registros[CATEGORIA],reservafixaconsolidadoago[[#This Row],[ATUAL]])</f>
        <v>0</v>
      </c>
      <c r="AE172" s="119" t="n">
        <f aca="false">SUMIFS(tabela_registros[VALOR],tabela_registros[MÊS],$AE$1,tabela_registros[DIA],reservafixaconsolidadoago[[#Headers],[27]],tabela_registros[REGISTRO],DADOS!$N$6,tabela_registros[TIPO],DADOS!$AJ$3,tabela_registros[CATEGORIA],reservafixaconsolidadoago[[#This Row],[ATUAL]])</f>
        <v>0</v>
      </c>
      <c r="AF172" s="119" t="n">
        <f aca="false">SUMIFS(tabela_registros[VALOR],tabela_registros[MÊS],$AE$1,tabela_registros[DIA],reservafixaconsolidadoago[[#Headers],[28]],tabela_registros[REGISTRO],DADOS!$N$6,tabela_registros[TIPO],DADOS!$AJ$3,tabela_registros[CATEGORIA],reservafixaconsolidadoago[[#This Row],[ATUAL]])</f>
        <v>0</v>
      </c>
      <c r="AG172" s="119" t="n">
        <f aca="false">SUMIFS(tabela_registros[VALOR],tabela_registros[MÊS],$AE$1,tabela_registros[DIA],reservafixaconsolidadoago[[#Headers],[29]],tabela_registros[REGISTRO],DADOS!$N$6,tabela_registros[TIPO],DADOS!$AJ$3,tabela_registros[CATEGORIA],reservafixaconsolidadoago[[#This Row],[ATUAL]])</f>
        <v>0</v>
      </c>
      <c r="AH172" s="119" t="n">
        <f aca="false">SUMIFS(tabela_registros[VALOR],tabela_registros[MÊS],$AE$1,tabela_registros[DIA],reservafixaconsolidadoago[[#Headers],[30]],tabela_registros[REGISTRO],DADOS!$N$6,tabela_registros[TIPO],DADOS!$AJ$3,tabela_registros[CATEGORIA],reservafixaconsolidadoago[[#This Row],[ATUAL]])</f>
        <v>0</v>
      </c>
      <c r="AI172" s="217" t="n">
        <f aca="false">SUMIFS(tabela_registros[VALOR],tabela_registros[MÊS],$AE$1,tabela_registros[DIA],reservafixaconsolidadoago[[#Headers],[31]],tabela_registros[REGISTRO],DADOS!$N$6,tabela_registros[TIPO],DADOS!$AJ$3,tabela_registros[CATEGORIA],reservafixaconsolidadoago[[#This Row],[ATUAL]])</f>
        <v>0</v>
      </c>
      <c r="AJ172" s="149" t="n">
        <f aca="false">SUM(reservafixaconsolidadoago[[#This Row],[1]:[31]])</f>
        <v>0</v>
      </c>
      <c r="AK172" s="165"/>
    </row>
    <row r="173" customFormat="false" ht="19.5" hidden="false" customHeight="true" outlineLevel="0" collapsed="false">
      <c r="B173" s="143"/>
      <c r="C173" s="144" t="str">
        <f aca="false">DADOS!$AL$8</f>
        <v>📝 LC</v>
      </c>
      <c r="D173" s="145" t="str">
        <f aca="false">IF(reservafixaconsolidadoago[[#This Row],[TOTAL (R$)]]=0,"",IF(OR(reservafixaconsolidadoago[[#This Row],[TOTAL (R$)]]=LARGE($AJ$168:$AJ$177,1),reservafixaconsolidadoago[[#This Row],[TOTAL (R$)]]=LARGE($AJ$168:$AJ$177,2)),DADOS!$I$11,""))</f>
        <v/>
      </c>
      <c r="E173" s="148" t="n">
        <f aca="false">SUMIFS(tabela_registros[VALOR],tabela_registros[MÊS],$AE$1,tabela_registros[DIA],reservafixaconsolidadoago[[#Headers],[1]],tabela_registros[REGISTRO],DADOS!$N$6,tabela_registros[TIPO],DADOS!$AJ$3,tabela_registros[CATEGORIA],reservafixaconsolidadoago[[#This Row],[ATUAL]])</f>
        <v>0</v>
      </c>
      <c r="F173" s="119" t="n">
        <f aca="false">SUMIFS(tabela_registros[VALOR],tabela_registros[MÊS],$AE$1,tabela_registros[DIA],reservafixaconsolidadoago[[#Headers],[2]],tabela_registros[REGISTRO],DADOS!$N$6,tabela_registros[TIPO],DADOS!$AJ$3,tabela_registros[CATEGORIA],reservafixaconsolidadoago[[#This Row],[ATUAL]])</f>
        <v>0</v>
      </c>
      <c r="G173" s="119" t="n">
        <f aca="false">SUMIFS(tabela_registros[VALOR],tabela_registros[MÊS],$AE$1,tabela_registros[DIA],reservafixaconsolidadoago[[#Headers],[3]],tabela_registros[REGISTRO],DADOS!$N$6,tabela_registros[TIPO],DADOS!$AJ$3,tabela_registros[CATEGORIA],reservafixaconsolidadoago[[#This Row],[ATUAL]])</f>
        <v>0</v>
      </c>
      <c r="H173" s="119" t="n">
        <f aca="false">SUMIFS(tabela_registros[VALOR],tabela_registros[MÊS],$AE$1,tabela_registros[DIA],reservafixaconsolidadoago[[#Headers],[4]],tabela_registros[REGISTRO],DADOS!$N$6,tabela_registros[TIPO],DADOS!$AJ$3,tabela_registros[CATEGORIA],reservafixaconsolidadoago[[#This Row],[ATUAL]])</f>
        <v>0</v>
      </c>
      <c r="I173" s="119" t="n">
        <f aca="false">SUMIFS(tabela_registros[VALOR],tabela_registros[MÊS],$AE$1,tabela_registros[DIA],reservafixaconsolidadoago[[#Headers],[5]],tabela_registros[REGISTRO],DADOS!$N$6,tabela_registros[TIPO],DADOS!$AJ$3,tabela_registros[CATEGORIA],reservafixaconsolidadoago[[#This Row],[ATUAL]])</f>
        <v>0</v>
      </c>
      <c r="J173" s="119" t="n">
        <f aca="false">SUMIFS(tabela_registros[VALOR],tabela_registros[MÊS],$AE$1,tabela_registros[DIA],reservafixaconsolidadoago[[#Headers],[6]],tabela_registros[REGISTRO],DADOS!$N$6,tabela_registros[TIPO],DADOS!$AJ$3,tabela_registros[CATEGORIA],reservafixaconsolidadoago[[#This Row],[ATUAL]])</f>
        <v>0</v>
      </c>
      <c r="K173" s="119" t="n">
        <f aca="false">SUMIFS(tabela_registros[VALOR],tabela_registros[MÊS],$AE$1,tabela_registros[DIA],reservafixaconsolidadoago[[#Headers],[7]],tabela_registros[REGISTRO],DADOS!$N$6,tabela_registros[TIPO],DADOS!$AJ$3,tabela_registros[CATEGORIA],reservafixaconsolidadoago[[#This Row],[ATUAL]])</f>
        <v>0</v>
      </c>
      <c r="L173" s="119" t="n">
        <f aca="false">SUMIFS(tabela_registros[VALOR],tabela_registros[MÊS],$AE$1,tabela_registros[DIA],reservafixaconsolidadoago[[#Headers],[8]],tabela_registros[REGISTRO],DADOS!$N$6,tabela_registros[TIPO],DADOS!$AJ$3,tabela_registros[CATEGORIA],reservafixaconsolidadoago[[#This Row],[ATUAL]])</f>
        <v>0</v>
      </c>
      <c r="M173" s="119" t="n">
        <f aca="false">SUMIFS(tabela_registros[VALOR],tabela_registros[MÊS],$AE$1,tabela_registros[DIA],reservafixaconsolidadoago[[#Headers],[9]],tabela_registros[REGISTRO],DADOS!$N$6,tabela_registros[TIPO],DADOS!$AJ$3,tabela_registros[CATEGORIA],reservafixaconsolidadoago[[#This Row],[ATUAL]])</f>
        <v>0</v>
      </c>
      <c r="N173" s="119" t="n">
        <f aca="false">SUMIFS(tabela_registros[VALOR],tabela_registros[MÊS],$AE$1,tabela_registros[DIA],reservafixaconsolidadoago[[#Headers],[10]],tabela_registros[REGISTRO],DADOS!$N$6,tabela_registros[TIPO],DADOS!$AJ$3,tabela_registros[CATEGORIA],reservafixaconsolidadoago[[#This Row],[ATUAL]])</f>
        <v>0</v>
      </c>
      <c r="O173" s="119" t="n">
        <f aca="false">SUMIFS(tabela_registros[VALOR],tabela_registros[MÊS],$AE$1,tabela_registros[DIA],reservafixaconsolidadoago[[#Headers],[11]],tabela_registros[REGISTRO],DADOS!$N$6,tabela_registros[TIPO],DADOS!$AJ$3,tabela_registros[CATEGORIA],reservafixaconsolidadoago[[#This Row],[ATUAL]])</f>
        <v>0</v>
      </c>
      <c r="P173" s="119" t="n">
        <f aca="false">SUMIFS(tabela_registros[VALOR],tabela_registros[MÊS],$AE$1,tabela_registros[DIA],reservafixaconsolidadoago[[#Headers],[12]],tabela_registros[REGISTRO],DADOS!$N$6,tabela_registros[TIPO],DADOS!$AJ$3,tabela_registros[CATEGORIA],reservafixaconsolidadoago[[#This Row],[ATUAL]])</f>
        <v>0</v>
      </c>
      <c r="Q173" s="119" t="n">
        <f aca="false">SUMIFS(tabela_registros[VALOR],tabela_registros[MÊS],$AE$1,tabela_registros[DIA],reservafixaconsolidadoago[[#Headers],[13]],tabela_registros[REGISTRO],DADOS!$N$6,tabela_registros[TIPO],DADOS!$AJ$3,tabela_registros[CATEGORIA],reservafixaconsolidadoago[[#This Row],[ATUAL]])</f>
        <v>0</v>
      </c>
      <c r="R173" s="119" t="n">
        <f aca="false">SUMIFS(tabela_registros[VALOR],tabela_registros[MÊS],$AE$1,tabela_registros[DIA],reservafixaconsolidadoago[[#Headers],[14]],tabela_registros[REGISTRO],DADOS!$N$6,tabela_registros[TIPO],DADOS!$AJ$3,tabela_registros[CATEGORIA],reservafixaconsolidadoago[[#This Row],[ATUAL]])</f>
        <v>0</v>
      </c>
      <c r="S173" s="119" t="n">
        <f aca="false">SUMIFS(tabela_registros[VALOR],tabela_registros[MÊS],$AE$1,tabela_registros[DIA],reservafixaconsolidadoago[[#Headers],[15]],tabela_registros[REGISTRO],DADOS!$N$6,tabela_registros[TIPO],DADOS!$AJ$3,tabela_registros[CATEGORIA],reservafixaconsolidadoago[[#This Row],[ATUAL]])</f>
        <v>0</v>
      </c>
      <c r="T173" s="119" t="n">
        <f aca="false">SUMIFS(tabela_registros[VALOR],tabela_registros[MÊS],$AE$1,tabela_registros[DIA],reservafixaconsolidadoago[[#Headers],[16]],tabela_registros[REGISTRO],DADOS!$N$6,tabela_registros[TIPO],DADOS!$AJ$3,tabela_registros[CATEGORIA],reservafixaconsolidadoago[[#This Row],[ATUAL]])</f>
        <v>0</v>
      </c>
      <c r="U173" s="119" t="n">
        <f aca="false">SUMIFS(tabela_registros[VALOR],tabela_registros[MÊS],$AE$1,tabela_registros[DIA],reservafixaconsolidadoago[[#Headers],[17]],tabela_registros[REGISTRO],DADOS!$N$6,tabela_registros[TIPO],DADOS!$AJ$3,tabela_registros[CATEGORIA],reservafixaconsolidadoago[[#This Row],[ATUAL]])</f>
        <v>0</v>
      </c>
      <c r="V173" s="119" t="n">
        <f aca="false">SUMIFS(tabela_registros[VALOR],tabela_registros[MÊS],$AE$1,tabela_registros[DIA],reservafixaconsolidadoago[[#Headers],[18]],tabela_registros[REGISTRO],DADOS!$N$6,tabela_registros[TIPO],DADOS!$AJ$3,tabela_registros[CATEGORIA],reservafixaconsolidadoago[[#This Row],[ATUAL]])</f>
        <v>0</v>
      </c>
      <c r="W173" s="119" t="n">
        <f aca="false">SUMIFS(tabela_registros[VALOR],tabela_registros[MÊS],$AE$1,tabela_registros[DIA],reservafixaconsolidadoago[[#Headers],[19]],tabela_registros[REGISTRO],DADOS!$N$6,tabela_registros[TIPO],DADOS!$AJ$3,tabela_registros[CATEGORIA],reservafixaconsolidadoago[[#This Row],[ATUAL]])</f>
        <v>0</v>
      </c>
      <c r="X173" s="119" t="n">
        <f aca="false">SUMIFS(tabela_registros[VALOR],tabela_registros[MÊS],$AE$1,tabela_registros[DIA],reservafixaconsolidadoago[[#Headers],[20]],tabela_registros[REGISTRO],DADOS!$N$6,tabela_registros[TIPO],DADOS!$AJ$3,tabela_registros[CATEGORIA],reservafixaconsolidadoago[[#This Row],[ATUAL]])</f>
        <v>0</v>
      </c>
      <c r="Y173" s="119" t="n">
        <f aca="false">SUMIFS(tabela_registros[VALOR],tabela_registros[MÊS],$AE$1,tabela_registros[DIA],reservafixaconsolidadoago[[#Headers],[21]],tabela_registros[REGISTRO],DADOS!$N$6,tabela_registros[TIPO],DADOS!$AJ$3,tabela_registros[CATEGORIA],reservafixaconsolidadoago[[#This Row],[ATUAL]])</f>
        <v>0</v>
      </c>
      <c r="Z173" s="119" t="n">
        <f aca="false">SUMIFS(tabela_registros[VALOR],tabela_registros[MÊS],$AE$1,tabela_registros[DIA],reservafixaconsolidadoago[[#Headers],[22]],tabela_registros[REGISTRO],DADOS!$N$6,tabela_registros[TIPO],DADOS!$AJ$3,tabela_registros[CATEGORIA],reservafixaconsolidadoago[[#This Row],[ATUAL]])</f>
        <v>0</v>
      </c>
      <c r="AA173" s="119" t="n">
        <f aca="false">SUMIFS(tabela_registros[VALOR],tabela_registros[MÊS],$AE$1,tabela_registros[DIA],reservafixaconsolidadoago[[#Headers],[23]],tabela_registros[REGISTRO],DADOS!$N$6,tabela_registros[TIPO],DADOS!$AJ$3,tabela_registros[CATEGORIA],reservafixaconsolidadoago[[#This Row],[ATUAL]])</f>
        <v>0</v>
      </c>
      <c r="AB173" s="119" t="n">
        <f aca="false">SUMIFS(tabela_registros[VALOR],tabela_registros[MÊS],$AE$1,tabela_registros[DIA],reservafixaconsolidadoago[[#Headers],[24]],tabela_registros[REGISTRO],DADOS!$N$6,tabela_registros[TIPO],DADOS!$AJ$3,tabela_registros[CATEGORIA],reservafixaconsolidadoago[[#This Row],[ATUAL]])</f>
        <v>0</v>
      </c>
      <c r="AC173" s="119" t="n">
        <f aca="false">SUMIFS(tabela_registros[VALOR],tabela_registros[MÊS],$AE$1,tabela_registros[DIA],reservafixaconsolidadoago[[#Headers],[25]],tabela_registros[REGISTRO],DADOS!$N$6,tabela_registros[TIPO],DADOS!$AJ$3,tabela_registros[CATEGORIA],reservafixaconsolidadoago[[#This Row],[ATUAL]])</f>
        <v>0</v>
      </c>
      <c r="AD173" s="119" t="n">
        <f aca="false">SUMIFS(tabela_registros[VALOR],tabela_registros[MÊS],$AE$1,tabela_registros[DIA],reservafixaconsolidadoago[[#Headers],[26]],tabela_registros[REGISTRO],DADOS!$N$6,tabela_registros[TIPO],DADOS!$AJ$3,tabela_registros[CATEGORIA],reservafixaconsolidadoago[[#This Row],[ATUAL]])</f>
        <v>0</v>
      </c>
      <c r="AE173" s="119" t="n">
        <f aca="false">SUMIFS(tabela_registros[VALOR],tabela_registros[MÊS],$AE$1,tabela_registros[DIA],reservafixaconsolidadoago[[#Headers],[27]],tabela_registros[REGISTRO],DADOS!$N$6,tabela_registros[TIPO],DADOS!$AJ$3,tabela_registros[CATEGORIA],reservafixaconsolidadoago[[#This Row],[ATUAL]])</f>
        <v>0</v>
      </c>
      <c r="AF173" s="119" t="n">
        <f aca="false">SUMIFS(tabela_registros[VALOR],tabela_registros[MÊS],$AE$1,tabela_registros[DIA],reservafixaconsolidadoago[[#Headers],[28]],tabela_registros[REGISTRO],DADOS!$N$6,tabela_registros[TIPO],DADOS!$AJ$3,tabela_registros[CATEGORIA],reservafixaconsolidadoago[[#This Row],[ATUAL]])</f>
        <v>0</v>
      </c>
      <c r="AG173" s="119" t="n">
        <f aca="false">SUMIFS(tabela_registros[VALOR],tabela_registros[MÊS],$AE$1,tabela_registros[DIA],reservafixaconsolidadoago[[#Headers],[29]],tabela_registros[REGISTRO],DADOS!$N$6,tabela_registros[TIPO],DADOS!$AJ$3,tabela_registros[CATEGORIA],reservafixaconsolidadoago[[#This Row],[ATUAL]])</f>
        <v>0</v>
      </c>
      <c r="AH173" s="119" t="n">
        <f aca="false">SUMIFS(tabela_registros[VALOR],tabela_registros[MÊS],$AE$1,tabela_registros[DIA],reservafixaconsolidadoago[[#Headers],[30]],tabela_registros[REGISTRO],DADOS!$N$6,tabela_registros[TIPO],DADOS!$AJ$3,tabela_registros[CATEGORIA],reservafixaconsolidadoago[[#This Row],[ATUAL]])</f>
        <v>0</v>
      </c>
      <c r="AI173" s="217" t="n">
        <f aca="false">SUMIFS(tabela_registros[VALOR],tabela_registros[MÊS],$AE$1,tabela_registros[DIA],reservafixaconsolidadoago[[#Headers],[31]],tabela_registros[REGISTRO],DADOS!$N$6,tabela_registros[TIPO],DADOS!$AJ$3,tabela_registros[CATEGORIA],reservafixaconsolidadoago[[#This Row],[ATUAL]])</f>
        <v>0</v>
      </c>
      <c r="AJ173" s="149" t="n">
        <f aca="false">SUM(reservafixaconsolidadoago[[#This Row],[1]:[31]])</f>
        <v>0</v>
      </c>
      <c r="AK173" s="165"/>
    </row>
    <row r="174" customFormat="false" ht="19.5" hidden="false" customHeight="true" outlineLevel="0" collapsed="false">
      <c r="B174" s="143"/>
      <c r="C174" s="144" t="str">
        <f aca="false">DADOS!$AL$9</f>
        <v>📝 LCA</v>
      </c>
      <c r="D174" s="145" t="str">
        <f aca="false">IF(reservafixaconsolidadoago[[#This Row],[TOTAL (R$)]]=0,"",IF(OR(reservafixaconsolidadoago[[#This Row],[TOTAL (R$)]]=LARGE($AJ$168:$AJ$177,1),reservafixaconsolidadoago[[#This Row],[TOTAL (R$)]]=LARGE($AJ$168:$AJ$177,2)),DADOS!$I$11,""))</f>
        <v/>
      </c>
      <c r="E174" s="148" t="n">
        <f aca="false">SUMIFS(tabela_registros[VALOR],tabela_registros[MÊS],$AE$1,tabela_registros[DIA],reservafixaconsolidadoago[[#Headers],[1]],tabela_registros[REGISTRO],DADOS!$N$6,tabela_registros[TIPO],DADOS!$AJ$3,tabela_registros[CATEGORIA],reservafixaconsolidadoago[[#This Row],[ATUAL]])</f>
        <v>0</v>
      </c>
      <c r="F174" s="119" t="n">
        <f aca="false">SUMIFS(tabela_registros[VALOR],tabela_registros[MÊS],$AE$1,tabela_registros[DIA],reservafixaconsolidadoago[[#Headers],[2]],tabela_registros[REGISTRO],DADOS!$N$6,tabela_registros[TIPO],DADOS!$AJ$3,tabela_registros[CATEGORIA],reservafixaconsolidadoago[[#This Row],[ATUAL]])</f>
        <v>0</v>
      </c>
      <c r="G174" s="119" t="n">
        <f aca="false">SUMIFS(tabela_registros[VALOR],tabela_registros[MÊS],$AE$1,tabela_registros[DIA],reservafixaconsolidadoago[[#Headers],[3]],tabela_registros[REGISTRO],DADOS!$N$6,tabela_registros[TIPO],DADOS!$AJ$3,tabela_registros[CATEGORIA],reservafixaconsolidadoago[[#This Row],[ATUAL]])</f>
        <v>0</v>
      </c>
      <c r="H174" s="119" t="n">
        <f aca="false">SUMIFS(tabela_registros[VALOR],tabela_registros[MÊS],$AE$1,tabela_registros[DIA],reservafixaconsolidadoago[[#Headers],[4]],tabela_registros[REGISTRO],DADOS!$N$6,tabela_registros[TIPO],DADOS!$AJ$3,tabela_registros[CATEGORIA],reservafixaconsolidadoago[[#This Row],[ATUAL]])</f>
        <v>0</v>
      </c>
      <c r="I174" s="119" t="n">
        <f aca="false">SUMIFS(tabela_registros[VALOR],tabela_registros[MÊS],$AE$1,tabela_registros[DIA],reservafixaconsolidadoago[[#Headers],[5]],tabela_registros[REGISTRO],DADOS!$N$6,tabela_registros[TIPO],DADOS!$AJ$3,tabela_registros[CATEGORIA],reservafixaconsolidadoago[[#This Row],[ATUAL]])</f>
        <v>0</v>
      </c>
      <c r="J174" s="119" t="n">
        <f aca="false">SUMIFS(tabela_registros[VALOR],tabela_registros[MÊS],$AE$1,tabela_registros[DIA],reservafixaconsolidadoago[[#Headers],[6]],tabela_registros[REGISTRO],DADOS!$N$6,tabela_registros[TIPO],DADOS!$AJ$3,tabela_registros[CATEGORIA],reservafixaconsolidadoago[[#This Row],[ATUAL]])</f>
        <v>0</v>
      </c>
      <c r="K174" s="119" t="n">
        <f aca="false">SUMIFS(tabela_registros[VALOR],tabela_registros[MÊS],$AE$1,tabela_registros[DIA],reservafixaconsolidadoago[[#Headers],[7]],tabela_registros[REGISTRO],DADOS!$N$6,tabela_registros[TIPO],DADOS!$AJ$3,tabela_registros[CATEGORIA],reservafixaconsolidadoago[[#This Row],[ATUAL]])</f>
        <v>0</v>
      </c>
      <c r="L174" s="119" t="n">
        <f aca="false">SUMIFS(tabela_registros[VALOR],tabela_registros[MÊS],$AE$1,tabela_registros[DIA],reservafixaconsolidadoago[[#Headers],[8]],tabela_registros[REGISTRO],DADOS!$N$6,tabela_registros[TIPO],DADOS!$AJ$3,tabela_registros[CATEGORIA],reservafixaconsolidadoago[[#This Row],[ATUAL]])</f>
        <v>0</v>
      </c>
      <c r="M174" s="119" t="n">
        <f aca="false">SUMIFS(tabela_registros[VALOR],tabela_registros[MÊS],$AE$1,tabela_registros[DIA],reservafixaconsolidadoago[[#Headers],[9]],tabela_registros[REGISTRO],DADOS!$N$6,tabela_registros[TIPO],DADOS!$AJ$3,tabela_registros[CATEGORIA],reservafixaconsolidadoago[[#This Row],[ATUAL]])</f>
        <v>0</v>
      </c>
      <c r="N174" s="119" t="n">
        <f aca="false">SUMIFS(tabela_registros[VALOR],tabela_registros[MÊS],$AE$1,tabela_registros[DIA],reservafixaconsolidadoago[[#Headers],[10]],tabela_registros[REGISTRO],DADOS!$N$6,tabela_registros[TIPO],DADOS!$AJ$3,tabela_registros[CATEGORIA],reservafixaconsolidadoago[[#This Row],[ATUAL]])</f>
        <v>0</v>
      </c>
      <c r="O174" s="119" t="n">
        <f aca="false">SUMIFS(tabela_registros[VALOR],tabela_registros[MÊS],$AE$1,tabela_registros[DIA],reservafixaconsolidadoago[[#Headers],[11]],tabela_registros[REGISTRO],DADOS!$N$6,tabela_registros[TIPO],DADOS!$AJ$3,tabela_registros[CATEGORIA],reservafixaconsolidadoago[[#This Row],[ATUAL]])</f>
        <v>0</v>
      </c>
      <c r="P174" s="119" t="n">
        <f aca="false">SUMIFS(tabela_registros[VALOR],tabela_registros[MÊS],$AE$1,tabela_registros[DIA],reservafixaconsolidadoago[[#Headers],[12]],tabela_registros[REGISTRO],DADOS!$N$6,tabela_registros[TIPO],DADOS!$AJ$3,tabela_registros[CATEGORIA],reservafixaconsolidadoago[[#This Row],[ATUAL]])</f>
        <v>0</v>
      </c>
      <c r="Q174" s="119" t="n">
        <f aca="false">SUMIFS(tabela_registros[VALOR],tabela_registros[MÊS],$AE$1,tabela_registros[DIA],reservafixaconsolidadoago[[#Headers],[13]],tabela_registros[REGISTRO],DADOS!$N$6,tabela_registros[TIPO],DADOS!$AJ$3,tabela_registros[CATEGORIA],reservafixaconsolidadoago[[#This Row],[ATUAL]])</f>
        <v>0</v>
      </c>
      <c r="R174" s="119" t="n">
        <f aca="false">SUMIFS(tabela_registros[VALOR],tabela_registros[MÊS],$AE$1,tabela_registros[DIA],reservafixaconsolidadoago[[#Headers],[14]],tabela_registros[REGISTRO],DADOS!$N$6,tabela_registros[TIPO],DADOS!$AJ$3,tabela_registros[CATEGORIA],reservafixaconsolidadoago[[#This Row],[ATUAL]])</f>
        <v>0</v>
      </c>
      <c r="S174" s="119" t="n">
        <f aca="false">SUMIFS(tabela_registros[VALOR],tabela_registros[MÊS],$AE$1,tabela_registros[DIA],reservafixaconsolidadoago[[#Headers],[15]],tabela_registros[REGISTRO],DADOS!$N$6,tabela_registros[TIPO],DADOS!$AJ$3,tabela_registros[CATEGORIA],reservafixaconsolidadoago[[#This Row],[ATUAL]])</f>
        <v>0</v>
      </c>
      <c r="T174" s="119" t="n">
        <f aca="false">SUMIFS(tabela_registros[VALOR],tabela_registros[MÊS],$AE$1,tabela_registros[DIA],reservafixaconsolidadoago[[#Headers],[16]],tabela_registros[REGISTRO],DADOS!$N$6,tabela_registros[TIPO],DADOS!$AJ$3,tabela_registros[CATEGORIA],reservafixaconsolidadoago[[#This Row],[ATUAL]])</f>
        <v>0</v>
      </c>
      <c r="U174" s="119" t="n">
        <f aca="false">SUMIFS(tabela_registros[VALOR],tabela_registros[MÊS],$AE$1,tabela_registros[DIA],reservafixaconsolidadoago[[#Headers],[17]],tabela_registros[REGISTRO],DADOS!$N$6,tabela_registros[TIPO],DADOS!$AJ$3,tabela_registros[CATEGORIA],reservafixaconsolidadoago[[#This Row],[ATUAL]])</f>
        <v>0</v>
      </c>
      <c r="V174" s="119" t="n">
        <f aca="false">SUMIFS(tabela_registros[VALOR],tabela_registros[MÊS],$AE$1,tabela_registros[DIA],reservafixaconsolidadoago[[#Headers],[18]],tabela_registros[REGISTRO],DADOS!$N$6,tabela_registros[TIPO],DADOS!$AJ$3,tabela_registros[CATEGORIA],reservafixaconsolidadoago[[#This Row],[ATUAL]])</f>
        <v>0</v>
      </c>
      <c r="W174" s="119" t="n">
        <f aca="false">SUMIFS(tabela_registros[VALOR],tabela_registros[MÊS],$AE$1,tabela_registros[DIA],reservafixaconsolidadoago[[#Headers],[19]],tabela_registros[REGISTRO],DADOS!$N$6,tabela_registros[TIPO],DADOS!$AJ$3,tabela_registros[CATEGORIA],reservafixaconsolidadoago[[#This Row],[ATUAL]])</f>
        <v>0</v>
      </c>
      <c r="X174" s="119" t="n">
        <f aca="false">SUMIFS(tabela_registros[VALOR],tabela_registros[MÊS],$AE$1,tabela_registros[DIA],reservafixaconsolidadoago[[#Headers],[20]],tabela_registros[REGISTRO],DADOS!$N$6,tabela_registros[TIPO],DADOS!$AJ$3,tabela_registros[CATEGORIA],reservafixaconsolidadoago[[#This Row],[ATUAL]])</f>
        <v>0</v>
      </c>
      <c r="Y174" s="119" t="n">
        <f aca="false">SUMIFS(tabela_registros[VALOR],tabela_registros[MÊS],$AE$1,tabela_registros[DIA],reservafixaconsolidadoago[[#Headers],[21]],tabela_registros[REGISTRO],DADOS!$N$6,tabela_registros[TIPO],DADOS!$AJ$3,tabela_registros[CATEGORIA],reservafixaconsolidadoago[[#This Row],[ATUAL]])</f>
        <v>0</v>
      </c>
      <c r="Z174" s="119" t="n">
        <f aca="false">SUMIFS(tabela_registros[VALOR],tabela_registros[MÊS],$AE$1,tabela_registros[DIA],reservafixaconsolidadoago[[#Headers],[22]],tabela_registros[REGISTRO],DADOS!$N$6,tabela_registros[TIPO],DADOS!$AJ$3,tabela_registros[CATEGORIA],reservafixaconsolidadoago[[#This Row],[ATUAL]])</f>
        <v>0</v>
      </c>
      <c r="AA174" s="119" t="n">
        <f aca="false">SUMIFS(tabela_registros[VALOR],tabela_registros[MÊS],$AE$1,tabela_registros[DIA],reservafixaconsolidadoago[[#Headers],[23]],tabela_registros[REGISTRO],DADOS!$N$6,tabela_registros[TIPO],DADOS!$AJ$3,tabela_registros[CATEGORIA],reservafixaconsolidadoago[[#This Row],[ATUAL]])</f>
        <v>0</v>
      </c>
      <c r="AB174" s="119" t="n">
        <f aca="false">SUMIFS(tabela_registros[VALOR],tabela_registros[MÊS],$AE$1,tabela_registros[DIA],reservafixaconsolidadoago[[#Headers],[24]],tabela_registros[REGISTRO],DADOS!$N$6,tabela_registros[TIPO],DADOS!$AJ$3,tabela_registros[CATEGORIA],reservafixaconsolidadoago[[#This Row],[ATUAL]])</f>
        <v>0</v>
      </c>
      <c r="AC174" s="119" t="n">
        <f aca="false">SUMIFS(tabela_registros[VALOR],tabela_registros[MÊS],$AE$1,tabela_registros[DIA],reservafixaconsolidadoago[[#Headers],[25]],tabela_registros[REGISTRO],DADOS!$N$6,tabela_registros[TIPO],DADOS!$AJ$3,tabela_registros[CATEGORIA],reservafixaconsolidadoago[[#This Row],[ATUAL]])</f>
        <v>0</v>
      </c>
      <c r="AD174" s="119" t="n">
        <f aca="false">SUMIFS(tabela_registros[VALOR],tabela_registros[MÊS],$AE$1,tabela_registros[DIA],reservafixaconsolidadoago[[#Headers],[26]],tabela_registros[REGISTRO],DADOS!$N$6,tabela_registros[TIPO],DADOS!$AJ$3,tabela_registros[CATEGORIA],reservafixaconsolidadoago[[#This Row],[ATUAL]])</f>
        <v>0</v>
      </c>
      <c r="AE174" s="119" t="n">
        <f aca="false">SUMIFS(tabela_registros[VALOR],tabela_registros[MÊS],$AE$1,tabela_registros[DIA],reservafixaconsolidadoago[[#Headers],[27]],tabela_registros[REGISTRO],DADOS!$N$6,tabela_registros[TIPO],DADOS!$AJ$3,tabela_registros[CATEGORIA],reservafixaconsolidadoago[[#This Row],[ATUAL]])</f>
        <v>0</v>
      </c>
      <c r="AF174" s="119" t="n">
        <f aca="false">SUMIFS(tabela_registros[VALOR],tabela_registros[MÊS],$AE$1,tabela_registros[DIA],reservafixaconsolidadoago[[#Headers],[28]],tabela_registros[REGISTRO],DADOS!$N$6,tabela_registros[TIPO],DADOS!$AJ$3,tabela_registros[CATEGORIA],reservafixaconsolidadoago[[#This Row],[ATUAL]])</f>
        <v>0</v>
      </c>
      <c r="AG174" s="119" t="n">
        <f aca="false">SUMIFS(tabela_registros[VALOR],tabela_registros[MÊS],$AE$1,tabela_registros[DIA],reservafixaconsolidadoago[[#Headers],[29]],tabela_registros[REGISTRO],DADOS!$N$6,tabela_registros[TIPO],DADOS!$AJ$3,tabela_registros[CATEGORIA],reservafixaconsolidadoago[[#This Row],[ATUAL]])</f>
        <v>0</v>
      </c>
      <c r="AH174" s="119" t="n">
        <f aca="false">SUMIFS(tabela_registros[VALOR],tabela_registros[MÊS],$AE$1,tabela_registros[DIA],reservafixaconsolidadoago[[#Headers],[30]],tabela_registros[REGISTRO],DADOS!$N$6,tabela_registros[TIPO],DADOS!$AJ$3,tabela_registros[CATEGORIA],reservafixaconsolidadoago[[#This Row],[ATUAL]])</f>
        <v>0</v>
      </c>
      <c r="AI174" s="217" t="n">
        <f aca="false">SUMIFS(tabela_registros[VALOR],tabela_registros[MÊS],$AE$1,tabela_registros[DIA],reservafixaconsolidadoago[[#Headers],[31]],tabela_registros[REGISTRO],DADOS!$N$6,tabela_registros[TIPO],DADOS!$AJ$3,tabela_registros[CATEGORIA],reservafixaconsolidadoago[[#This Row],[ATUAL]])</f>
        <v>0</v>
      </c>
      <c r="AJ174" s="149" t="n">
        <f aca="false">SUM(reservafixaconsolidadoago[[#This Row],[1]:[31]])</f>
        <v>0</v>
      </c>
      <c r="AK174" s="165"/>
    </row>
    <row r="175" customFormat="false" ht="19.5" hidden="false" customHeight="true" outlineLevel="0" collapsed="false">
      <c r="B175" s="143"/>
      <c r="C175" s="144" t="str">
        <f aca="false">DADOS!$AL$10</f>
        <v>📝 LCI</v>
      </c>
      <c r="D175" s="145" t="str">
        <f aca="false">IF(reservafixaconsolidadoago[[#This Row],[TOTAL (R$)]]=0,"",IF(OR(reservafixaconsolidadoago[[#This Row],[TOTAL (R$)]]=LARGE($AJ$168:$AJ$177,1),reservafixaconsolidadoago[[#This Row],[TOTAL (R$)]]=LARGE($AJ$168:$AJ$177,2)),DADOS!$I$11,""))</f>
        <v/>
      </c>
      <c r="E175" s="148" t="n">
        <f aca="false">SUMIFS(tabela_registros[VALOR],tabela_registros[MÊS],$AE$1,tabela_registros[DIA],reservafixaconsolidadoago[[#Headers],[1]],tabela_registros[REGISTRO],DADOS!$N$6,tabela_registros[TIPO],DADOS!$AJ$3,tabela_registros[CATEGORIA],reservafixaconsolidadoago[[#This Row],[ATUAL]])</f>
        <v>0</v>
      </c>
      <c r="F175" s="119" t="n">
        <f aca="false">SUMIFS(tabela_registros[VALOR],tabela_registros[MÊS],$AE$1,tabela_registros[DIA],reservafixaconsolidadoago[[#Headers],[2]],tabela_registros[REGISTRO],DADOS!$N$6,tabela_registros[TIPO],DADOS!$AJ$3,tabela_registros[CATEGORIA],reservafixaconsolidadoago[[#This Row],[ATUAL]])</f>
        <v>0</v>
      </c>
      <c r="G175" s="119" t="n">
        <f aca="false">SUMIFS(tabela_registros[VALOR],tabela_registros[MÊS],$AE$1,tabela_registros[DIA],reservafixaconsolidadoago[[#Headers],[3]],tabela_registros[REGISTRO],DADOS!$N$6,tabela_registros[TIPO],DADOS!$AJ$3,tabela_registros[CATEGORIA],reservafixaconsolidadoago[[#This Row],[ATUAL]])</f>
        <v>0</v>
      </c>
      <c r="H175" s="119" t="n">
        <f aca="false">SUMIFS(tabela_registros[VALOR],tabela_registros[MÊS],$AE$1,tabela_registros[DIA],reservafixaconsolidadoago[[#Headers],[4]],tabela_registros[REGISTRO],DADOS!$N$6,tabela_registros[TIPO],DADOS!$AJ$3,tabela_registros[CATEGORIA],reservafixaconsolidadoago[[#This Row],[ATUAL]])</f>
        <v>0</v>
      </c>
      <c r="I175" s="119" t="n">
        <f aca="false">SUMIFS(tabela_registros[VALOR],tabela_registros[MÊS],$AE$1,tabela_registros[DIA],reservafixaconsolidadoago[[#Headers],[5]],tabela_registros[REGISTRO],DADOS!$N$6,tabela_registros[TIPO],DADOS!$AJ$3,tabela_registros[CATEGORIA],reservafixaconsolidadoago[[#This Row],[ATUAL]])</f>
        <v>0</v>
      </c>
      <c r="J175" s="119" t="n">
        <f aca="false">SUMIFS(tabela_registros[VALOR],tabela_registros[MÊS],$AE$1,tabela_registros[DIA],reservafixaconsolidadoago[[#Headers],[6]],tabela_registros[REGISTRO],DADOS!$N$6,tabela_registros[TIPO],DADOS!$AJ$3,tabela_registros[CATEGORIA],reservafixaconsolidadoago[[#This Row],[ATUAL]])</f>
        <v>0</v>
      </c>
      <c r="K175" s="119" t="n">
        <f aca="false">SUMIFS(tabela_registros[VALOR],tabela_registros[MÊS],$AE$1,tabela_registros[DIA],reservafixaconsolidadoago[[#Headers],[7]],tabela_registros[REGISTRO],DADOS!$N$6,tabela_registros[TIPO],DADOS!$AJ$3,tabela_registros[CATEGORIA],reservafixaconsolidadoago[[#This Row],[ATUAL]])</f>
        <v>0</v>
      </c>
      <c r="L175" s="119" t="n">
        <f aca="false">SUMIFS(tabela_registros[VALOR],tabela_registros[MÊS],$AE$1,tabela_registros[DIA],reservafixaconsolidadoago[[#Headers],[8]],tabela_registros[REGISTRO],DADOS!$N$6,tabela_registros[TIPO],DADOS!$AJ$3,tabela_registros[CATEGORIA],reservafixaconsolidadoago[[#This Row],[ATUAL]])</f>
        <v>0</v>
      </c>
      <c r="M175" s="119" t="n">
        <f aca="false">SUMIFS(tabela_registros[VALOR],tabela_registros[MÊS],$AE$1,tabela_registros[DIA],reservafixaconsolidadoago[[#Headers],[9]],tabela_registros[REGISTRO],DADOS!$N$6,tabela_registros[TIPO],DADOS!$AJ$3,tabela_registros[CATEGORIA],reservafixaconsolidadoago[[#This Row],[ATUAL]])</f>
        <v>0</v>
      </c>
      <c r="N175" s="119" t="n">
        <f aca="false">SUMIFS(tabela_registros[VALOR],tabela_registros[MÊS],$AE$1,tabela_registros[DIA],reservafixaconsolidadoago[[#Headers],[10]],tabela_registros[REGISTRO],DADOS!$N$6,tabela_registros[TIPO],DADOS!$AJ$3,tabela_registros[CATEGORIA],reservafixaconsolidadoago[[#This Row],[ATUAL]])</f>
        <v>0</v>
      </c>
      <c r="O175" s="119" t="n">
        <f aca="false">SUMIFS(tabela_registros[VALOR],tabela_registros[MÊS],$AE$1,tabela_registros[DIA],reservafixaconsolidadoago[[#Headers],[11]],tabela_registros[REGISTRO],DADOS!$N$6,tabela_registros[TIPO],DADOS!$AJ$3,tabela_registros[CATEGORIA],reservafixaconsolidadoago[[#This Row],[ATUAL]])</f>
        <v>0</v>
      </c>
      <c r="P175" s="119" t="n">
        <f aca="false">SUMIFS(tabela_registros[VALOR],tabela_registros[MÊS],$AE$1,tabela_registros[DIA],reservafixaconsolidadoago[[#Headers],[12]],tabela_registros[REGISTRO],DADOS!$N$6,tabela_registros[TIPO],DADOS!$AJ$3,tabela_registros[CATEGORIA],reservafixaconsolidadoago[[#This Row],[ATUAL]])</f>
        <v>0</v>
      </c>
      <c r="Q175" s="119" t="n">
        <f aca="false">SUMIFS(tabela_registros[VALOR],tabela_registros[MÊS],$AE$1,tabela_registros[DIA],reservafixaconsolidadoago[[#Headers],[13]],tabela_registros[REGISTRO],DADOS!$N$6,tabela_registros[TIPO],DADOS!$AJ$3,tabela_registros[CATEGORIA],reservafixaconsolidadoago[[#This Row],[ATUAL]])</f>
        <v>0</v>
      </c>
      <c r="R175" s="119" t="n">
        <f aca="false">SUMIFS(tabela_registros[VALOR],tabela_registros[MÊS],$AE$1,tabela_registros[DIA],reservafixaconsolidadoago[[#Headers],[14]],tabela_registros[REGISTRO],DADOS!$N$6,tabela_registros[TIPO],DADOS!$AJ$3,tabela_registros[CATEGORIA],reservafixaconsolidadoago[[#This Row],[ATUAL]])</f>
        <v>0</v>
      </c>
      <c r="S175" s="119" t="n">
        <f aca="false">SUMIFS(tabela_registros[VALOR],tabela_registros[MÊS],$AE$1,tabela_registros[DIA],reservafixaconsolidadoago[[#Headers],[15]],tabela_registros[REGISTRO],DADOS!$N$6,tabela_registros[TIPO],DADOS!$AJ$3,tabela_registros[CATEGORIA],reservafixaconsolidadoago[[#This Row],[ATUAL]])</f>
        <v>0</v>
      </c>
      <c r="T175" s="119" t="n">
        <f aca="false">SUMIFS(tabela_registros[VALOR],tabela_registros[MÊS],$AE$1,tabela_registros[DIA],reservafixaconsolidadoago[[#Headers],[16]],tabela_registros[REGISTRO],DADOS!$N$6,tabela_registros[TIPO],DADOS!$AJ$3,tabela_registros[CATEGORIA],reservafixaconsolidadoago[[#This Row],[ATUAL]])</f>
        <v>0</v>
      </c>
      <c r="U175" s="119" t="n">
        <f aca="false">SUMIFS(tabela_registros[VALOR],tabela_registros[MÊS],$AE$1,tabela_registros[DIA],reservafixaconsolidadoago[[#Headers],[17]],tabela_registros[REGISTRO],DADOS!$N$6,tabela_registros[TIPO],DADOS!$AJ$3,tabela_registros[CATEGORIA],reservafixaconsolidadoago[[#This Row],[ATUAL]])</f>
        <v>0</v>
      </c>
      <c r="V175" s="119" t="n">
        <f aca="false">SUMIFS(tabela_registros[VALOR],tabela_registros[MÊS],$AE$1,tabela_registros[DIA],reservafixaconsolidadoago[[#Headers],[18]],tabela_registros[REGISTRO],DADOS!$N$6,tabela_registros[TIPO],DADOS!$AJ$3,tabela_registros[CATEGORIA],reservafixaconsolidadoago[[#This Row],[ATUAL]])</f>
        <v>0</v>
      </c>
      <c r="W175" s="119" t="n">
        <f aca="false">SUMIFS(tabela_registros[VALOR],tabela_registros[MÊS],$AE$1,tabela_registros[DIA],reservafixaconsolidadoago[[#Headers],[19]],tabela_registros[REGISTRO],DADOS!$N$6,tabela_registros[TIPO],DADOS!$AJ$3,tabela_registros[CATEGORIA],reservafixaconsolidadoago[[#This Row],[ATUAL]])</f>
        <v>0</v>
      </c>
      <c r="X175" s="119" t="n">
        <f aca="false">SUMIFS(tabela_registros[VALOR],tabela_registros[MÊS],$AE$1,tabela_registros[DIA],reservafixaconsolidadoago[[#Headers],[20]],tabela_registros[REGISTRO],DADOS!$N$6,tabela_registros[TIPO],DADOS!$AJ$3,tabela_registros[CATEGORIA],reservafixaconsolidadoago[[#This Row],[ATUAL]])</f>
        <v>0</v>
      </c>
      <c r="Y175" s="119" t="n">
        <f aca="false">SUMIFS(tabela_registros[VALOR],tabela_registros[MÊS],$AE$1,tabela_registros[DIA],reservafixaconsolidadoago[[#Headers],[21]],tabela_registros[REGISTRO],DADOS!$N$6,tabela_registros[TIPO],DADOS!$AJ$3,tabela_registros[CATEGORIA],reservafixaconsolidadoago[[#This Row],[ATUAL]])</f>
        <v>0</v>
      </c>
      <c r="Z175" s="119" t="n">
        <f aca="false">SUMIFS(tabela_registros[VALOR],tabela_registros[MÊS],$AE$1,tabela_registros[DIA],reservafixaconsolidadoago[[#Headers],[22]],tabela_registros[REGISTRO],DADOS!$N$6,tabela_registros[TIPO],DADOS!$AJ$3,tabela_registros[CATEGORIA],reservafixaconsolidadoago[[#This Row],[ATUAL]])</f>
        <v>0</v>
      </c>
      <c r="AA175" s="119" t="n">
        <f aca="false">SUMIFS(tabela_registros[VALOR],tabela_registros[MÊS],$AE$1,tabela_registros[DIA],reservafixaconsolidadoago[[#Headers],[23]],tabela_registros[REGISTRO],DADOS!$N$6,tabela_registros[TIPO],DADOS!$AJ$3,tabela_registros[CATEGORIA],reservafixaconsolidadoago[[#This Row],[ATUAL]])</f>
        <v>0</v>
      </c>
      <c r="AB175" s="119" t="n">
        <f aca="false">SUMIFS(tabela_registros[VALOR],tabela_registros[MÊS],$AE$1,tabela_registros[DIA],reservafixaconsolidadoago[[#Headers],[24]],tabela_registros[REGISTRO],DADOS!$N$6,tabela_registros[TIPO],DADOS!$AJ$3,tabela_registros[CATEGORIA],reservafixaconsolidadoago[[#This Row],[ATUAL]])</f>
        <v>0</v>
      </c>
      <c r="AC175" s="119" t="n">
        <f aca="false">SUMIFS(tabela_registros[VALOR],tabela_registros[MÊS],$AE$1,tabela_registros[DIA],reservafixaconsolidadoago[[#Headers],[25]],tabela_registros[REGISTRO],DADOS!$N$6,tabela_registros[TIPO],DADOS!$AJ$3,tabela_registros[CATEGORIA],reservafixaconsolidadoago[[#This Row],[ATUAL]])</f>
        <v>0</v>
      </c>
      <c r="AD175" s="119" t="n">
        <f aca="false">SUMIFS(tabela_registros[VALOR],tabela_registros[MÊS],$AE$1,tabela_registros[DIA],reservafixaconsolidadoago[[#Headers],[26]],tabela_registros[REGISTRO],DADOS!$N$6,tabela_registros[TIPO],DADOS!$AJ$3,tabela_registros[CATEGORIA],reservafixaconsolidadoago[[#This Row],[ATUAL]])</f>
        <v>0</v>
      </c>
      <c r="AE175" s="119" t="n">
        <f aca="false">SUMIFS(tabela_registros[VALOR],tabela_registros[MÊS],$AE$1,tabela_registros[DIA],reservafixaconsolidadoago[[#Headers],[27]],tabela_registros[REGISTRO],DADOS!$N$6,tabela_registros[TIPO],DADOS!$AJ$3,tabela_registros[CATEGORIA],reservafixaconsolidadoago[[#This Row],[ATUAL]])</f>
        <v>0</v>
      </c>
      <c r="AF175" s="119" t="n">
        <f aca="false">SUMIFS(tabela_registros[VALOR],tabela_registros[MÊS],$AE$1,tabela_registros[DIA],reservafixaconsolidadoago[[#Headers],[28]],tabela_registros[REGISTRO],DADOS!$N$6,tabela_registros[TIPO],DADOS!$AJ$3,tabela_registros[CATEGORIA],reservafixaconsolidadoago[[#This Row],[ATUAL]])</f>
        <v>0</v>
      </c>
      <c r="AG175" s="119" t="n">
        <f aca="false">SUMIFS(tabela_registros[VALOR],tabela_registros[MÊS],$AE$1,tabela_registros[DIA],reservafixaconsolidadoago[[#Headers],[29]],tabela_registros[REGISTRO],DADOS!$N$6,tabela_registros[TIPO],DADOS!$AJ$3,tabela_registros[CATEGORIA],reservafixaconsolidadoago[[#This Row],[ATUAL]])</f>
        <v>0</v>
      </c>
      <c r="AH175" s="119" t="n">
        <f aca="false">SUMIFS(tabela_registros[VALOR],tabela_registros[MÊS],$AE$1,tabela_registros[DIA],reservafixaconsolidadoago[[#Headers],[30]],tabela_registros[REGISTRO],DADOS!$N$6,tabela_registros[TIPO],DADOS!$AJ$3,tabela_registros[CATEGORIA],reservafixaconsolidadoago[[#This Row],[ATUAL]])</f>
        <v>0</v>
      </c>
      <c r="AI175" s="217" t="n">
        <f aca="false">SUMIFS(tabela_registros[VALOR],tabela_registros[MÊS],$AE$1,tabela_registros[DIA],reservafixaconsolidadoago[[#Headers],[31]],tabela_registros[REGISTRO],DADOS!$N$6,tabela_registros[TIPO],DADOS!$AJ$3,tabela_registros[CATEGORIA],reservafixaconsolidadoago[[#This Row],[ATUAL]])</f>
        <v>0</v>
      </c>
      <c r="AJ175" s="149" t="n">
        <f aca="false">SUM(reservafixaconsolidadoago[[#This Row],[1]:[31]])</f>
        <v>0</v>
      </c>
      <c r="AK175" s="165"/>
    </row>
    <row r="176" customFormat="false" ht="19.5" hidden="false" customHeight="true" outlineLevel="0" collapsed="false">
      <c r="B176" s="143"/>
      <c r="C176" s="144" t="str">
        <f aca="false">DADOS!$AL$11</f>
        <v>📝 TESOURO DIRETO</v>
      </c>
      <c r="D176" s="145" t="str">
        <f aca="false">IF(reservafixaconsolidadoago[[#This Row],[TOTAL (R$)]]=0,"",IF(OR(reservafixaconsolidadoago[[#This Row],[TOTAL (R$)]]=LARGE($AJ$168:$AJ$177,1),reservafixaconsolidadoago[[#This Row],[TOTAL (R$)]]=LARGE($AJ$168:$AJ$177,2)),DADOS!$I$11,""))</f>
        <v/>
      </c>
      <c r="E176" s="148" t="n">
        <f aca="false">SUMIFS(tabela_registros[VALOR],tabela_registros[MÊS],$AE$1,tabela_registros[DIA],reservafixaconsolidadoago[[#Headers],[1]],tabela_registros[REGISTRO],DADOS!$N$6,tabela_registros[TIPO],DADOS!$AJ$3,tabela_registros[CATEGORIA],reservafixaconsolidadoago[[#This Row],[ATUAL]])</f>
        <v>0</v>
      </c>
      <c r="F176" s="119" t="n">
        <f aca="false">SUMIFS(tabela_registros[VALOR],tabela_registros[MÊS],$AE$1,tabela_registros[DIA],reservafixaconsolidadoago[[#Headers],[2]],tabela_registros[REGISTRO],DADOS!$N$6,tabela_registros[TIPO],DADOS!$AJ$3,tabela_registros[CATEGORIA],reservafixaconsolidadoago[[#This Row],[ATUAL]])</f>
        <v>0</v>
      </c>
      <c r="G176" s="119" t="n">
        <f aca="false">SUMIFS(tabela_registros[VALOR],tabela_registros[MÊS],$AE$1,tabela_registros[DIA],reservafixaconsolidadoago[[#Headers],[3]],tabela_registros[REGISTRO],DADOS!$N$6,tabela_registros[TIPO],DADOS!$AJ$3,tabela_registros[CATEGORIA],reservafixaconsolidadoago[[#This Row],[ATUAL]])</f>
        <v>0</v>
      </c>
      <c r="H176" s="119" t="n">
        <f aca="false">SUMIFS(tabela_registros[VALOR],tabela_registros[MÊS],$AE$1,tabela_registros[DIA],reservafixaconsolidadoago[[#Headers],[4]],tabela_registros[REGISTRO],DADOS!$N$6,tabela_registros[TIPO],DADOS!$AJ$3,tabela_registros[CATEGORIA],reservafixaconsolidadoago[[#This Row],[ATUAL]])</f>
        <v>0</v>
      </c>
      <c r="I176" s="119" t="n">
        <f aca="false">SUMIFS(tabela_registros[VALOR],tabela_registros[MÊS],$AE$1,tabela_registros[DIA],reservafixaconsolidadoago[[#Headers],[5]],tabela_registros[REGISTRO],DADOS!$N$6,tabela_registros[TIPO],DADOS!$AJ$3,tabela_registros[CATEGORIA],reservafixaconsolidadoago[[#This Row],[ATUAL]])</f>
        <v>0</v>
      </c>
      <c r="J176" s="119" t="n">
        <f aca="false">SUMIFS(tabela_registros[VALOR],tabela_registros[MÊS],$AE$1,tabela_registros[DIA],reservafixaconsolidadoago[[#Headers],[6]],tabela_registros[REGISTRO],DADOS!$N$6,tabela_registros[TIPO],DADOS!$AJ$3,tabela_registros[CATEGORIA],reservafixaconsolidadoago[[#This Row],[ATUAL]])</f>
        <v>0</v>
      </c>
      <c r="K176" s="119" t="n">
        <f aca="false">SUMIFS(tabela_registros[VALOR],tabela_registros[MÊS],$AE$1,tabela_registros[DIA],reservafixaconsolidadoago[[#Headers],[7]],tabela_registros[REGISTRO],DADOS!$N$6,tabela_registros[TIPO],DADOS!$AJ$3,tabela_registros[CATEGORIA],reservafixaconsolidadoago[[#This Row],[ATUAL]])</f>
        <v>0</v>
      </c>
      <c r="L176" s="119" t="n">
        <f aca="false">SUMIFS(tabela_registros[VALOR],tabela_registros[MÊS],$AE$1,tabela_registros[DIA],reservafixaconsolidadoago[[#Headers],[8]],tabela_registros[REGISTRO],DADOS!$N$6,tabela_registros[TIPO],DADOS!$AJ$3,tabela_registros[CATEGORIA],reservafixaconsolidadoago[[#This Row],[ATUAL]])</f>
        <v>0</v>
      </c>
      <c r="M176" s="119" t="n">
        <f aca="false">SUMIFS(tabela_registros[VALOR],tabela_registros[MÊS],$AE$1,tabela_registros[DIA],reservafixaconsolidadoago[[#Headers],[9]],tabela_registros[REGISTRO],DADOS!$N$6,tabela_registros[TIPO],DADOS!$AJ$3,tabela_registros[CATEGORIA],reservafixaconsolidadoago[[#This Row],[ATUAL]])</f>
        <v>0</v>
      </c>
      <c r="N176" s="119" t="n">
        <f aca="false">SUMIFS(tabela_registros[VALOR],tabela_registros[MÊS],$AE$1,tabela_registros[DIA],reservafixaconsolidadoago[[#Headers],[10]],tabela_registros[REGISTRO],DADOS!$N$6,tabela_registros[TIPO],DADOS!$AJ$3,tabela_registros[CATEGORIA],reservafixaconsolidadoago[[#This Row],[ATUAL]])</f>
        <v>0</v>
      </c>
      <c r="O176" s="119" t="n">
        <f aca="false">SUMIFS(tabela_registros[VALOR],tabela_registros[MÊS],$AE$1,tabela_registros[DIA],reservafixaconsolidadoago[[#Headers],[11]],tabela_registros[REGISTRO],DADOS!$N$6,tabela_registros[TIPO],DADOS!$AJ$3,tabela_registros[CATEGORIA],reservafixaconsolidadoago[[#This Row],[ATUAL]])</f>
        <v>0</v>
      </c>
      <c r="P176" s="119" t="n">
        <f aca="false">SUMIFS(tabela_registros[VALOR],tabela_registros[MÊS],$AE$1,tabela_registros[DIA],reservafixaconsolidadoago[[#Headers],[12]],tabela_registros[REGISTRO],DADOS!$N$6,tabela_registros[TIPO],DADOS!$AJ$3,tabela_registros[CATEGORIA],reservafixaconsolidadoago[[#This Row],[ATUAL]])</f>
        <v>0</v>
      </c>
      <c r="Q176" s="119" t="n">
        <f aca="false">SUMIFS(tabela_registros[VALOR],tabela_registros[MÊS],$AE$1,tabela_registros[DIA],reservafixaconsolidadoago[[#Headers],[13]],tabela_registros[REGISTRO],DADOS!$N$6,tabela_registros[TIPO],DADOS!$AJ$3,tabela_registros[CATEGORIA],reservafixaconsolidadoago[[#This Row],[ATUAL]])</f>
        <v>0</v>
      </c>
      <c r="R176" s="119" t="n">
        <f aca="false">SUMIFS(tabela_registros[VALOR],tabela_registros[MÊS],$AE$1,tabela_registros[DIA],reservafixaconsolidadoago[[#Headers],[14]],tabela_registros[REGISTRO],DADOS!$N$6,tabela_registros[TIPO],DADOS!$AJ$3,tabela_registros[CATEGORIA],reservafixaconsolidadoago[[#This Row],[ATUAL]])</f>
        <v>0</v>
      </c>
      <c r="S176" s="119" t="n">
        <f aca="false">SUMIFS(tabela_registros[VALOR],tabela_registros[MÊS],$AE$1,tabela_registros[DIA],reservafixaconsolidadoago[[#Headers],[15]],tabela_registros[REGISTRO],DADOS!$N$6,tabela_registros[TIPO],DADOS!$AJ$3,tabela_registros[CATEGORIA],reservafixaconsolidadoago[[#This Row],[ATUAL]])</f>
        <v>0</v>
      </c>
      <c r="T176" s="119" t="n">
        <f aca="false">SUMIFS(tabela_registros[VALOR],tabela_registros[MÊS],$AE$1,tabela_registros[DIA],reservafixaconsolidadoago[[#Headers],[16]],tabela_registros[REGISTRO],DADOS!$N$6,tabela_registros[TIPO],DADOS!$AJ$3,tabela_registros[CATEGORIA],reservafixaconsolidadoago[[#This Row],[ATUAL]])</f>
        <v>0</v>
      </c>
      <c r="U176" s="119" t="n">
        <f aca="false">SUMIFS(tabela_registros[VALOR],tabela_registros[MÊS],$AE$1,tabela_registros[DIA],reservafixaconsolidadoago[[#Headers],[17]],tabela_registros[REGISTRO],DADOS!$N$6,tabela_registros[TIPO],DADOS!$AJ$3,tabela_registros[CATEGORIA],reservafixaconsolidadoago[[#This Row],[ATUAL]])</f>
        <v>0</v>
      </c>
      <c r="V176" s="119" t="n">
        <f aca="false">SUMIFS(tabela_registros[VALOR],tabela_registros[MÊS],$AE$1,tabela_registros[DIA],reservafixaconsolidadoago[[#Headers],[18]],tabela_registros[REGISTRO],DADOS!$N$6,tabela_registros[TIPO],DADOS!$AJ$3,tabela_registros[CATEGORIA],reservafixaconsolidadoago[[#This Row],[ATUAL]])</f>
        <v>0</v>
      </c>
      <c r="W176" s="119" t="n">
        <f aca="false">SUMIFS(tabela_registros[VALOR],tabela_registros[MÊS],$AE$1,tabela_registros[DIA],reservafixaconsolidadoago[[#Headers],[19]],tabela_registros[REGISTRO],DADOS!$N$6,tabela_registros[TIPO],DADOS!$AJ$3,tabela_registros[CATEGORIA],reservafixaconsolidadoago[[#This Row],[ATUAL]])</f>
        <v>0</v>
      </c>
      <c r="X176" s="119" t="n">
        <f aca="false">SUMIFS(tabela_registros[VALOR],tabela_registros[MÊS],$AE$1,tabela_registros[DIA],reservafixaconsolidadoago[[#Headers],[20]],tabela_registros[REGISTRO],DADOS!$N$6,tabela_registros[TIPO],DADOS!$AJ$3,tabela_registros[CATEGORIA],reservafixaconsolidadoago[[#This Row],[ATUAL]])</f>
        <v>0</v>
      </c>
      <c r="Y176" s="119" t="n">
        <f aca="false">SUMIFS(tabela_registros[VALOR],tabela_registros[MÊS],$AE$1,tabela_registros[DIA],reservafixaconsolidadoago[[#Headers],[21]],tabela_registros[REGISTRO],DADOS!$N$6,tabela_registros[TIPO],DADOS!$AJ$3,tabela_registros[CATEGORIA],reservafixaconsolidadoago[[#This Row],[ATUAL]])</f>
        <v>0</v>
      </c>
      <c r="Z176" s="119" t="n">
        <f aca="false">SUMIFS(tabela_registros[VALOR],tabela_registros[MÊS],$AE$1,tabela_registros[DIA],reservafixaconsolidadoago[[#Headers],[22]],tabela_registros[REGISTRO],DADOS!$N$6,tabela_registros[TIPO],DADOS!$AJ$3,tabela_registros[CATEGORIA],reservafixaconsolidadoago[[#This Row],[ATUAL]])</f>
        <v>0</v>
      </c>
      <c r="AA176" s="119" t="n">
        <f aca="false">SUMIFS(tabela_registros[VALOR],tabela_registros[MÊS],$AE$1,tabela_registros[DIA],reservafixaconsolidadoago[[#Headers],[23]],tabela_registros[REGISTRO],DADOS!$N$6,tabela_registros[TIPO],DADOS!$AJ$3,tabela_registros[CATEGORIA],reservafixaconsolidadoago[[#This Row],[ATUAL]])</f>
        <v>0</v>
      </c>
      <c r="AB176" s="119" t="n">
        <f aca="false">SUMIFS(tabela_registros[VALOR],tabela_registros[MÊS],$AE$1,tabela_registros[DIA],reservafixaconsolidadoago[[#Headers],[24]],tabela_registros[REGISTRO],DADOS!$N$6,tabela_registros[TIPO],DADOS!$AJ$3,tabela_registros[CATEGORIA],reservafixaconsolidadoago[[#This Row],[ATUAL]])</f>
        <v>0</v>
      </c>
      <c r="AC176" s="119" t="n">
        <f aca="false">SUMIFS(tabela_registros[VALOR],tabela_registros[MÊS],$AE$1,tabela_registros[DIA],reservafixaconsolidadoago[[#Headers],[25]],tabela_registros[REGISTRO],DADOS!$N$6,tabela_registros[TIPO],DADOS!$AJ$3,tabela_registros[CATEGORIA],reservafixaconsolidadoago[[#This Row],[ATUAL]])</f>
        <v>0</v>
      </c>
      <c r="AD176" s="119" t="n">
        <f aca="false">SUMIFS(tabela_registros[VALOR],tabela_registros[MÊS],$AE$1,tabela_registros[DIA],reservafixaconsolidadoago[[#Headers],[26]],tabela_registros[REGISTRO],DADOS!$N$6,tabela_registros[TIPO],DADOS!$AJ$3,tabela_registros[CATEGORIA],reservafixaconsolidadoago[[#This Row],[ATUAL]])</f>
        <v>0</v>
      </c>
      <c r="AE176" s="119" t="n">
        <f aca="false">SUMIFS(tabela_registros[VALOR],tabela_registros[MÊS],$AE$1,tabela_registros[DIA],reservafixaconsolidadoago[[#Headers],[27]],tabela_registros[REGISTRO],DADOS!$N$6,tabela_registros[TIPO],DADOS!$AJ$3,tabela_registros[CATEGORIA],reservafixaconsolidadoago[[#This Row],[ATUAL]])</f>
        <v>0</v>
      </c>
      <c r="AF176" s="119" t="n">
        <f aca="false">SUMIFS(tabela_registros[VALOR],tabela_registros[MÊS],$AE$1,tabela_registros[DIA],reservafixaconsolidadoago[[#Headers],[28]],tabela_registros[REGISTRO],DADOS!$N$6,tabela_registros[TIPO],DADOS!$AJ$3,tabela_registros[CATEGORIA],reservafixaconsolidadoago[[#This Row],[ATUAL]])</f>
        <v>0</v>
      </c>
      <c r="AG176" s="119" t="n">
        <f aca="false">SUMIFS(tabela_registros[VALOR],tabela_registros[MÊS],$AE$1,tabela_registros[DIA],reservafixaconsolidadoago[[#Headers],[29]],tabela_registros[REGISTRO],DADOS!$N$6,tabela_registros[TIPO],DADOS!$AJ$3,tabela_registros[CATEGORIA],reservafixaconsolidadoago[[#This Row],[ATUAL]])</f>
        <v>0</v>
      </c>
      <c r="AH176" s="119" t="n">
        <f aca="false">SUMIFS(tabela_registros[VALOR],tabela_registros[MÊS],$AE$1,tabela_registros[DIA],reservafixaconsolidadoago[[#Headers],[30]],tabela_registros[REGISTRO],DADOS!$N$6,tabela_registros[TIPO],DADOS!$AJ$3,tabela_registros[CATEGORIA],reservafixaconsolidadoago[[#This Row],[ATUAL]])</f>
        <v>0</v>
      </c>
      <c r="AI176" s="217" t="n">
        <f aca="false">SUMIFS(tabela_registros[VALOR],tabela_registros[MÊS],$AE$1,tabela_registros[DIA],reservafixaconsolidadoago[[#Headers],[31]],tabela_registros[REGISTRO],DADOS!$N$6,tabela_registros[TIPO],DADOS!$AJ$3,tabela_registros[CATEGORIA],reservafixaconsolidadoago[[#This Row],[ATUAL]])</f>
        <v>0</v>
      </c>
      <c r="AJ176" s="149" t="n">
        <f aca="false">SUM(reservafixaconsolidadoago[[#This Row],[1]:[31]])</f>
        <v>0</v>
      </c>
      <c r="AK176" s="165"/>
    </row>
    <row r="177" customFormat="false" ht="19.5" hidden="false" customHeight="true" outlineLevel="0" collapsed="false">
      <c r="B177" s="143"/>
      <c r="C177" s="144" t="str">
        <f aca="false">DADOS!$AL$12</f>
        <v>📎 OUTROS</v>
      </c>
      <c r="D177" s="145" t="str">
        <f aca="false">IF(reservafixaconsolidadoago[[#This Row],[TOTAL (R$)]]=0,"",IF(OR(reservafixaconsolidadoago[[#This Row],[TOTAL (R$)]]=LARGE($AJ$168:$AJ$177,1),reservafixaconsolidadoago[[#This Row],[TOTAL (R$)]]=LARGE($AJ$168:$AJ$177,2)),DADOS!$I$11,""))</f>
        <v/>
      </c>
      <c r="E177" s="148" t="n">
        <f aca="false">SUMIFS(tabela_registros[VALOR],tabela_registros[MÊS],$AE$1,tabela_registros[DIA],reservafixaconsolidadoago[[#Headers],[1]],tabela_registros[REGISTRO],DADOS!$N$6,tabela_registros[TIPO],DADOS!$AJ$3,tabela_registros[CATEGORIA],reservafixaconsolidadoago[[#This Row],[ATUAL]])</f>
        <v>0</v>
      </c>
      <c r="F177" s="119" t="n">
        <f aca="false">SUMIFS(tabela_registros[VALOR],tabela_registros[MÊS],$AE$1,tabela_registros[DIA],reservafixaconsolidadoago[[#Headers],[2]],tabela_registros[REGISTRO],DADOS!$N$6,tabela_registros[TIPO],DADOS!$AJ$3,tabela_registros[CATEGORIA],reservafixaconsolidadoago[[#This Row],[ATUAL]])</f>
        <v>0</v>
      </c>
      <c r="G177" s="119" t="n">
        <f aca="false">SUMIFS(tabela_registros[VALOR],tabela_registros[MÊS],$AE$1,tabela_registros[DIA],reservafixaconsolidadoago[[#Headers],[3]],tabela_registros[REGISTRO],DADOS!$N$6,tabela_registros[TIPO],DADOS!$AJ$3,tabela_registros[CATEGORIA],reservafixaconsolidadoago[[#This Row],[ATUAL]])</f>
        <v>0</v>
      </c>
      <c r="H177" s="119" t="n">
        <f aca="false">SUMIFS(tabela_registros[VALOR],tabela_registros[MÊS],$AE$1,tabela_registros[DIA],reservafixaconsolidadoago[[#Headers],[4]],tabela_registros[REGISTRO],DADOS!$N$6,tabela_registros[TIPO],DADOS!$AJ$3,tabela_registros[CATEGORIA],reservafixaconsolidadoago[[#This Row],[ATUAL]])</f>
        <v>0</v>
      </c>
      <c r="I177" s="119" t="n">
        <f aca="false">SUMIFS(tabela_registros[VALOR],tabela_registros[MÊS],$AE$1,tabela_registros[DIA],reservafixaconsolidadoago[[#Headers],[5]],tabela_registros[REGISTRO],DADOS!$N$6,tabela_registros[TIPO],DADOS!$AJ$3,tabela_registros[CATEGORIA],reservafixaconsolidadoago[[#This Row],[ATUAL]])</f>
        <v>0</v>
      </c>
      <c r="J177" s="119" t="n">
        <f aca="false">SUMIFS(tabela_registros[VALOR],tabela_registros[MÊS],$AE$1,tabela_registros[DIA],reservafixaconsolidadoago[[#Headers],[6]],tabela_registros[REGISTRO],DADOS!$N$6,tabela_registros[TIPO],DADOS!$AJ$3,tabela_registros[CATEGORIA],reservafixaconsolidadoago[[#This Row],[ATUAL]])</f>
        <v>0</v>
      </c>
      <c r="K177" s="119" t="n">
        <f aca="false">SUMIFS(tabela_registros[VALOR],tabela_registros[MÊS],$AE$1,tabela_registros[DIA],reservafixaconsolidadoago[[#Headers],[7]],tabela_registros[REGISTRO],DADOS!$N$6,tabela_registros[TIPO],DADOS!$AJ$3,tabela_registros[CATEGORIA],reservafixaconsolidadoago[[#This Row],[ATUAL]])</f>
        <v>0</v>
      </c>
      <c r="L177" s="119" t="n">
        <f aca="false">SUMIFS(tabela_registros[VALOR],tabela_registros[MÊS],$AE$1,tabela_registros[DIA],reservafixaconsolidadoago[[#Headers],[8]],tabela_registros[REGISTRO],DADOS!$N$6,tabela_registros[TIPO],DADOS!$AJ$3,tabela_registros[CATEGORIA],reservafixaconsolidadoago[[#This Row],[ATUAL]])</f>
        <v>0</v>
      </c>
      <c r="M177" s="119" t="n">
        <f aca="false">SUMIFS(tabela_registros[VALOR],tabela_registros[MÊS],$AE$1,tabela_registros[DIA],reservafixaconsolidadoago[[#Headers],[9]],tabela_registros[REGISTRO],DADOS!$N$6,tabela_registros[TIPO],DADOS!$AJ$3,tabela_registros[CATEGORIA],reservafixaconsolidadoago[[#This Row],[ATUAL]])</f>
        <v>0</v>
      </c>
      <c r="N177" s="119" t="n">
        <f aca="false">SUMIFS(tabela_registros[VALOR],tabela_registros[MÊS],$AE$1,tabela_registros[DIA],reservafixaconsolidadoago[[#Headers],[10]],tabela_registros[REGISTRO],DADOS!$N$6,tabela_registros[TIPO],DADOS!$AJ$3,tabela_registros[CATEGORIA],reservafixaconsolidadoago[[#This Row],[ATUAL]])</f>
        <v>0</v>
      </c>
      <c r="O177" s="119" t="n">
        <f aca="false">SUMIFS(tabela_registros[VALOR],tabela_registros[MÊS],$AE$1,tabela_registros[DIA],reservafixaconsolidadoago[[#Headers],[11]],tabela_registros[REGISTRO],DADOS!$N$6,tabela_registros[TIPO],DADOS!$AJ$3,tabela_registros[CATEGORIA],reservafixaconsolidadoago[[#This Row],[ATUAL]])</f>
        <v>0</v>
      </c>
      <c r="P177" s="119" t="n">
        <f aca="false">SUMIFS(tabela_registros[VALOR],tabela_registros[MÊS],$AE$1,tabela_registros[DIA],reservafixaconsolidadoago[[#Headers],[12]],tabela_registros[REGISTRO],DADOS!$N$6,tabela_registros[TIPO],DADOS!$AJ$3,tabela_registros[CATEGORIA],reservafixaconsolidadoago[[#This Row],[ATUAL]])</f>
        <v>0</v>
      </c>
      <c r="Q177" s="119" t="n">
        <f aca="false">SUMIFS(tabela_registros[VALOR],tabela_registros[MÊS],$AE$1,tabela_registros[DIA],reservafixaconsolidadoago[[#Headers],[13]],tabela_registros[REGISTRO],DADOS!$N$6,tabela_registros[TIPO],DADOS!$AJ$3,tabela_registros[CATEGORIA],reservafixaconsolidadoago[[#This Row],[ATUAL]])</f>
        <v>0</v>
      </c>
      <c r="R177" s="119" t="n">
        <f aca="false">SUMIFS(tabela_registros[VALOR],tabela_registros[MÊS],$AE$1,tabela_registros[DIA],reservafixaconsolidadoago[[#Headers],[14]],tabela_registros[REGISTRO],DADOS!$N$6,tabela_registros[TIPO],DADOS!$AJ$3,tabela_registros[CATEGORIA],reservafixaconsolidadoago[[#This Row],[ATUAL]])</f>
        <v>0</v>
      </c>
      <c r="S177" s="119" t="n">
        <f aca="false">SUMIFS(tabela_registros[VALOR],tabela_registros[MÊS],$AE$1,tabela_registros[DIA],reservafixaconsolidadoago[[#Headers],[15]],tabela_registros[REGISTRO],DADOS!$N$6,tabela_registros[TIPO],DADOS!$AJ$3,tabela_registros[CATEGORIA],reservafixaconsolidadoago[[#This Row],[ATUAL]])</f>
        <v>0</v>
      </c>
      <c r="T177" s="119" t="n">
        <f aca="false">SUMIFS(tabela_registros[VALOR],tabela_registros[MÊS],$AE$1,tabela_registros[DIA],reservafixaconsolidadoago[[#Headers],[16]],tabela_registros[REGISTRO],DADOS!$N$6,tabela_registros[TIPO],DADOS!$AJ$3,tabela_registros[CATEGORIA],reservafixaconsolidadoago[[#This Row],[ATUAL]])</f>
        <v>0</v>
      </c>
      <c r="U177" s="119" t="n">
        <f aca="false">SUMIFS(tabela_registros[VALOR],tabela_registros[MÊS],$AE$1,tabela_registros[DIA],reservafixaconsolidadoago[[#Headers],[17]],tabela_registros[REGISTRO],DADOS!$N$6,tabela_registros[TIPO],DADOS!$AJ$3,tabela_registros[CATEGORIA],reservafixaconsolidadoago[[#This Row],[ATUAL]])</f>
        <v>0</v>
      </c>
      <c r="V177" s="119" t="n">
        <f aca="false">SUMIFS(tabela_registros[VALOR],tabela_registros[MÊS],$AE$1,tabela_registros[DIA],reservafixaconsolidadoago[[#Headers],[18]],tabela_registros[REGISTRO],DADOS!$N$6,tabela_registros[TIPO],DADOS!$AJ$3,tabela_registros[CATEGORIA],reservafixaconsolidadoago[[#This Row],[ATUAL]])</f>
        <v>0</v>
      </c>
      <c r="W177" s="119" t="n">
        <f aca="false">SUMIFS(tabela_registros[VALOR],tabela_registros[MÊS],$AE$1,tabela_registros[DIA],reservafixaconsolidadoago[[#Headers],[19]],tabela_registros[REGISTRO],DADOS!$N$6,tabela_registros[TIPO],DADOS!$AJ$3,tabela_registros[CATEGORIA],reservafixaconsolidadoago[[#This Row],[ATUAL]])</f>
        <v>0</v>
      </c>
      <c r="X177" s="119" t="n">
        <f aca="false">SUMIFS(tabela_registros[VALOR],tabela_registros[MÊS],$AE$1,tabela_registros[DIA],reservafixaconsolidadoago[[#Headers],[20]],tabela_registros[REGISTRO],DADOS!$N$6,tabela_registros[TIPO],DADOS!$AJ$3,tabela_registros[CATEGORIA],reservafixaconsolidadoago[[#This Row],[ATUAL]])</f>
        <v>0</v>
      </c>
      <c r="Y177" s="119" t="n">
        <f aca="false">SUMIFS(tabela_registros[VALOR],tabela_registros[MÊS],$AE$1,tabela_registros[DIA],reservafixaconsolidadoago[[#Headers],[21]],tabela_registros[REGISTRO],DADOS!$N$6,tabela_registros[TIPO],DADOS!$AJ$3,tabela_registros[CATEGORIA],reservafixaconsolidadoago[[#This Row],[ATUAL]])</f>
        <v>0</v>
      </c>
      <c r="Z177" s="119" t="n">
        <f aca="false">SUMIFS(tabela_registros[VALOR],tabela_registros[MÊS],$AE$1,tabela_registros[DIA],reservafixaconsolidadoago[[#Headers],[22]],tabela_registros[REGISTRO],DADOS!$N$6,tabela_registros[TIPO],DADOS!$AJ$3,tabela_registros[CATEGORIA],reservafixaconsolidadoago[[#This Row],[ATUAL]])</f>
        <v>0</v>
      </c>
      <c r="AA177" s="119" t="n">
        <f aca="false">SUMIFS(tabela_registros[VALOR],tabela_registros[MÊS],$AE$1,tabela_registros[DIA],reservafixaconsolidadoago[[#Headers],[23]],tabela_registros[REGISTRO],DADOS!$N$6,tabela_registros[TIPO],DADOS!$AJ$3,tabela_registros[CATEGORIA],reservafixaconsolidadoago[[#This Row],[ATUAL]])</f>
        <v>0</v>
      </c>
      <c r="AB177" s="119" t="n">
        <f aca="false">SUMIFS(tabela_registros[VALOR],tabela_registros[MÊS],$AE$1,tabela_registros[DIA],reservafixaconsolidadoago[[#Headers],[24]],tabela_registros[REGISTRO],DADOS!$N$6,tabela_registros[TIPO],DADOS!$AJ$3,tabela_registros[CATEGORIA],reservafixaconsolidadoago[[#This Row],[ATUAL]])</f>
        <v>0</v>
      </c>
      <c r="AC177" s="119" t="n">
        <f aca="false">SUMIFS(tabela_registros[VALOR],tabela_registros[MÊS],$AE$1,tabela_registros[DIA],reservafixaconsolidadoago[[#Headers],[25]],tabela_registros[REGISTRO],DADOS!$N$6,tabela_registros[TIPO],DADOS!$AJ$3,tabela_registros[CATEGORIA],reservafixaconsolidadoago[[#This Row],[ATUAL]])</f>
        <v>0</v>
      </c>
      <c r="AD177" s="119" t="n">
        <f aca="false">SUMIFS(tabela_registros[VALOR],tabela_registros[MÊS],$AE$1,tabela_registros[DIA],reservafixaconsolidadoago[[#Headers],[26]],tabela_registros[REGISTRO],DADOS!$N$6,tabela_registros[TIPO],DADOS!$AJ$3,tabela_registros[CATEGORIA],reservafixaconsolidadoago[[#This Row],[ATUAL]])</f>
        <v>0</v>
      </c>
      <c r="AE177" s="119" t="n">
        <f aca="false">SUMIFS(tabela_registros[VALOR],tabela_registros[MÊS],$AE$1,tabela_registros[DIA],reservafixaconsolidadoago[[#Headers],[27]],tabela_registros[REGISTRO],DADOS!$N$6,tabela_registros[TIPO],DADOS!$AJ$3,tabela_registros[CATEGORIA],reservafixaconsolidadoago[[#This Row],[ATUAL]])</f>
        <v>0</v>
      </c>
      <c r="AF177" s="119" t="n">
        <f aca="false">SUMIFS(tabela_registros[VALOR],tabela_registros[MÊS],$AE$1,tabela_registros[DIA],reservafixaconsolidadoago[[#Headers],[28]],tabela_registros[REGISTRO],DADOS!$N$6,tabela_registros[TIPO],DADOS!$AJ$3,tabela_registros[CATEGORIA],reservafixaconsolidadoago[[#This Row],[ATUAL]])</f>
        <v>0</v>
      </c>
      <c r="AG177" s="119" t="n">
        <f aca="false">SUMIFS(tabela_registros[VALOR],tabela_registros[MÊS],$AE$1,tabela_registros[DIA],reservafixaconsolidadoago[[#Headers],[29]],tabela_registros[REGISTRO],DADOS!$N$6,tabela_registros[TIPO],DADOS!$AJ$3,tabela_registros[CATEGORIA],reservafixaconsolidadoago[[#This Row],[ATUAL]])</f>
        <v>0</v>
      </c>
      <c r="AH177" s="119" t="n">
        <f aca="false">SUMIFS(tabela_registros[VALOR],tabela_registros[MÊS],$AE$1,tabela_registros[DIA],reservafixaconsolidadoago[[#Headers],[30]],tabela_registros[REGISTRO],DADOS!$N$6,tabela_registros[TIPO],DADOS!$AJ$3,tabela_registros[CATEGORIA],reservafixaconsolidadoago[[#This Row],[ATUAL]])</f>
        <v>0</v>
      </c>
      <c r="AI177" s="218" t="n">
        <f aca="false">SUMIFS(tabela_registros[VALOR],tabela_registros[MÊS],$AE$1,tabela_registros[DIA],reservafixaconsolidadoago[[#Headers],[31]],tabela_registros[REGISTRO],DADOS!$N$6,tabela_registros[TIPO],DADOS!$AJ$3,tabela_registros[CATEGORIA],reservafixaconsolidadoago[[#This Row],[ATUAL]])</f>
        <v>0</v>
      </c>
      <c r="AJ177" s="149" t="n">
        <f aca="false">SUM(reservafixaconsolidadoago[[#This Row],[1]:[31]])</f>
        <v>0</v>
      </c>
      <c r="AK177" s="165"/>
    </row>
    <row r="178" s="122" customFormat="true" ht="21" hidden="false" customHeight="true" outlineLevel="0" collapsed="false">
      <c r="B178" s="152"/>
      <c r="C178" s="153" t="s">
        <v>2</v>
      </c>
      <c r="D178" s="166"/>
      <c r="E178" s="155" t="n">
        <f aca="false">SUM(E168:E177)</f>
        <v>0</v>
      </c>
      <c r="F178" s="156" t="n">
        <f aca="false">SUM(F168:F177)+reservafixaconsolidadoago[[#This Row],[1]]</f>
        <v>0</v>
      </c>
      <c r="G178" s="156" t="n">
        <f aca="false">SUM(G168:G177)+reservafixaconsolidadoago[[#This Row],[2]]</f>
        <v>0</v>
      </c>
      <c r="H178" s="156" t="n">
        <f aca="false">SUM(H168:H177)+reservafixaconsolidadoago[[#This Row],[3]]</f>
        <v>0</v>
      </c>
      <c r="I178" s="156" t="n">
        <f aca="false">SUM(I168:I177)+reservafixaconsolidadoago[[#This Row],[4]]</f>
        <v>0</v>
      </c>
      <c r="J178" s="156" t="n">
        <f aca="false">SUM(J168:J177)+reservafixaconsolidadoago[[#This Row],[5]]</f>
        <v>0</v>
      </c>
      <c r="K178" s="156" t="n">
        <f aca="false">SUM(K168:K177)+reservafixaconsolidadoago[[#This Row],[6]]</f>
        <v>0</v>
      </c>
      <c r="L178" s="156" t="n">
        <f aca="false">SUM(L168:L177)+reservafixaconsolidadoago[[#This Row],[7]]</f>
        <v>0</v>
      </c>
      <c r="M178" s="156" t="n">
        <f aca="false">SUM(M168:M177)+reservafixaconsolidadoago[[#This Row],[8]]</f>
        <v>0</v>
      </c>
      <c r="N178" s="156" t="n">
        <f aca="false">SUM(N168:N177)+reservafixaconsolidadoago[[#This Row],[9]]</f>
        <v>0</v>
      </c>
      <c r="O178" s="156" t="n">
        <f aca="false">SUM(O168:O177)+reservafixaconsolidadoago[[#This Row],[10]]</f>
        <v>0</v>
      </c>
      <c r="P178" s="156" t="n">
        <f aca="false">SUM(P168:P177)+reservafixaconsolidadoago[[#This Row],[11]]</f>
        <v>0</v>
      </c>
      <c r="Q178" s="156" t="n">
        <f aca="false">SUM(Q168:Q177)+reservafixaconsolidadoago[[#This Row],[12]]</f>
        <v>0</v>
      </c>
      <c r="R178" s="156" t="n">
        <f aca="false">SUM(R168:R177)+reservafixaconsolidadoago[[#This Row],[13]]</f>
        <v>0</v>
      </c>
      <c r="S178" s="156" t="n">
        <f aca="false">SUM(S168:S177)+reservafixaconsolidadoago[[#This Row],[14]]</f>
        <v>0</v>
      </c>
      <c r="T178" s="156" t="n">
        <f aca="false">SUM(T168:T177)+reservafixaconsolidadoago[[#This Row],[15]]</f>
        <v>0</v>
      </c>
      <c r="U178" s="156" t="n">
        <f aca="false">SUM(U168:U177)+reservafixaconsolidadoago[[#This Row],[16]]</f>
        <v>0</v>
      </c>
      <c r="V178" s="156" t="n">
        <f aca="false">SUM(V168:V177)+reservafixaconsolidadoago[[#This Row],[17]]</f>
        <v>0</v>
      </c>
      <c r="W178" s="156" t="n">
        <f aca="false">SUM(W168:W177)+reservafixaconsolidadoago[[#This Row],[18]]</f>
        <v>0</v>
      </c>
      <c r="X178" s="156" t="n">
        <f aca="false">SUM(X168:X177)+reservafixaconsolidadoago[[#This Row],[19]]</f>
        <v>0</v>
      </c>
      <c r="Y178" s="156" t="n">
        <f aca="false">SUM(Y168:Y177)+reservafixaconsolidadoago[[#This Row],[20]]</f>
        <v>0</v>
      </c>
      <c r="Z178" s="156" t="n">
        <f aca="false">SUM(Z168:Z177)+reservafixaconsolidadoago[[#This Row],[21]]</f>
        <v>0</v>
      </c>
      <c r="AA178" s="156" t="n">
        <f aca="false">SUM(AA168:AA177)+reservafixaconsolidadoago[[#This Row],[22]]</f>
        <v>0</v>
      </c>
      <c r="AB178" s="156" t="n">
        <f aca="false">SUM(AB168:AB177)+reservafixaconsolidadoago[[#This Row],[23]]</f>
        <v>0</v>
      </c>
      <c r="AC178" s="156" t="n">
        <f aca="false">SUM(AC168:AC177)+reservafixaconsolidadoago[[#This Row],[24]]</f>
        <v>0</v>
      </c>
      <c r="AD178" s="156" t="n">
        <f aca="false">SUM(AD168:AD177)+reservafixaconsolidadoago[[#This Row],[25]]</f>
        <v>0</v>
      </c>
      <c r="AE178" s="156" t="n">
        <f aca="false">SUM(AE168:AE177)+reservafixaconsolidadoago[[#This Row],[26]]</f>
        <v>0</v>
      </c>
      <c r="AF178" s="156" t="n">
        <f aca="false">SUM(AF168:AF177)+reservafixaconsolidadoago[[#This Row],[27]]</f>
        <v>0</v>
      </c>
      <c r="AG178" s="156" t="n">
        <f aca="false">SUM(AG168:AG177)+reservafixaconsolidadoago[[#This Row],[28]]</f>
        <v>0</v>
      </c>
      <c r="AH178" s="156" t="n">
        <f aca="false">SUM(AH168:AH177)+reservafixaconsolidadoago[[#This Row],[29]]</f>
        <v>0</v>
      </c>
      <c r="AI178" s="223" t="n">
        <f aca="false">SUM(AI168:AI177)+reservafixaconsolidadoago[[#This Row],[30]]</f>
        <v>0</v>
      </c>
      <c r="AJ178" s="157" t="n">
        <f aca="false">reservafixaconsolidadoago[[#This Row],[31]]</f>
        <v>0</v>
      </c>
      <c r="AK178" s="158"/>
    </row>
    <row r="179" customFormat="false" ht="6.75" hidden="false" customHeight="true" outlineLevel="0" collapsed="false">
      <c r="B179" s="97"/>
      <c r="C179" s="162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233"/>
      <c r="AJ179" s="164"/>
      <c r="AK179" s="244"/>
    </row>
    <row r="180" s="78" customFormat="true" ht="12.75" hidden="false" customHeight="false" outlineLevel="0" collapsed="false">
      <c r="E180" s="100"/>
    </row>
    <row r="181" s="78" customFormat="true" ht="12" hidden="false" customHeight="false" outlineLevel="0" collapsed="false"/>
    <row r="182" s="78" customFormat="true" ht="12" hidden="false" customHeight="false" outlineLevel="0" collapsed="false"/>
    <row r="183" customFormat="false" ht="39.75" hidden="false" customHeight="true" outlineLevel="0" collapsed="false">
      <c r="C183" s="101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3" t="s">
        <v>2</v>
      </c>
    </row>
    <row r="184" s="78" customFormat="true" ht="12.75" hidden="false" customHeight="false" outlineLevel="0" collapsed="false">
      <c r="B184" s="161"/>
      <c r="AJ184" s="106" t="s">
        <v>64</v>
      </c>
    </row>
    <row r="185" customFormat="false" ht="6.75" hidden="false" customHeight="true" outlineLevel="0" collapsed="false">
      <c r="B185" s="86"/>
      <c r="C185" s="162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233"/>
      <c r="AK185" s="139"/>
    </row>
    <row r="186" customFormat="false" ht="13.5" hidden="true" customHeight="false" outlineLevel="0" collapsed="false">
      <c r="B186" s="86"/>
      <c r="C186" s="109" t="s">
        <v>68</v>
      </c>
      <c r="D186" s="110" t="s">
        <v>69</v>
      </c>
      <c r="E186" s="110" t="s">
        <v>30</v>
      </c>
      <c r="F186" s="110" t="s">
        <v>31</v>
      </c>
      <c r="G186" s="110" t="s">
        <v>32</v>
      </c>
      <c r="H186" s="110" t="s">
        <v>33</v>
      </c>
      <c r="I186" s="110" t="s">
        <v>34</v>
      </c>
      <c r="J186" s="110" t="s">
        <v>35</v>
      </c>
      <c r="K186" s="110" t="s">
        <v>36</v>
      </c>
      <c r="L186" s="110" t="s">
        <v>37</v>
      </c>
      <c r="M186" s="110" t="s">
        <v>38</v>
      </c>
      <c r="N186" s="110" t="s">
        <v>39</v>
      </c>
      <c r="O186" s="110" t="s">
        <v>40</v>
      </c>
      <c r="P186" s="110" t="s">
        <v>41</v>
      </c>
      <c r="Q186" s="110" t="s">
        <v>81</v>
      </c>
      <c r="R186" s="110" t="s">
        <v>82</v>
      </c>
      <c r="S186" s="110" t="s">
        <v>83</v>
      </c>
      <c r="T186" s="110" t="s">
        <v>84</v>
      </c>
      <c r="U186" s="110" t="s">
        <v>85</v>
      </c>
      <c r="V186" s="110" t="s">
        <v>86</v>
      </c>
      <c r="W186" s="110" t="s">
        <v>87</v>
      </c>
      <c r="X186" s="110" t="s">
        <v>88</v>
      </c>
      <c r="Y186" s="110" t="s">
        <v>89</v>
      </c>
      <c r="Z186" s="110" t="s">
        <v>90</v>
      </c>
      <c r="AA186" s="110" t="s">
        <v>91</v>
      </c>
      <c r="AB186" s="110" t="s">
        <v>92</v>
      </c>
      <c r="AC186" s="110" t="s">
        <v>93</v>
      </c>
      <c r="AD186" s="110" t="s">
        <v>94</v>
      </c>
      <c r="AE186" s="110" t="s">
        <v>95</v>
      </c>
      <c r="AF186" s="110" t="s">
        <v>96</v>
      </c>
      <c r="AG186" s="110" t="s">
        <v>97</v>
      </c>
      <c r="AH186" s="110" t="s">
        <v>98</v>
      </c>
      <c r="AI186" s="110" t="s">
        <v>99</v>
      </c>
      <c r="AJ186" s="111" t="s">
        <v>70</v>
      </c>
      <c r="AK186" s="86"/>
    </row>
    <row r="187" customFormat="false" ht="19.5" hidden="false" customHeight="true" outlineLevel="0" collapsed="false">
      <c r="B187" s="143"/>
      <c r="C187" s="144" t="str">
        <f aca="false">DADOS!$AN$3</f>
        <v>📝 AÇÃO</v>
      </c>
      <c r="D187" s="145" t="str">
        <f aca="false">IF(reservavariáveisconsolidadoago[[#This Row],[TOTAL (R$)]]=0,"",IF(OR(reservavariáveisconsolidadoago[[#This Row],[TOTAL (R$)]]=LARGE($AJ$187:$AJ$196,1),reservavariáveisconsolidadoago[[#This Row],[TOTAL (R$)]]=LARGE($AJ$187:$AJ$196,2)),DADOS!$I$11,""))</f>
        <v/>
      </c>
      <c r="E187" s="148" t="n">
        <f aca="false">SUMIFS(tabela_registros[VALOR],tabela_registros[MÊS],$AE$1,tabela_registros[DIA],reservavariáveisconsolidadoago[[#Headers],[1]],tabela_registros[REGISTRO],DADOS!$N$6,tabela_registros[TIPO],DADOS!$AJ$4,tabela_registros[CATEGORIA],reservavariáveisconsolidadoago[[#This Row],[ATUAL]])</f>
        <v>0</v>
      </c>
      <c r="F187" s="119" t="n">
        <f aca="false">SUMIFS(tabela_registros[VALOR],tabela_registros[MÊS],$AE$1,tabela_registros[DIA],reservavariáveisconsolidadoago[[#Headers],[2]],tabela_registros[REGISTRO],DADOS!$N$6,tabela_registros[TIPO],DADOS!$AJ$4,tabela_registros[CATEGORIA],reservavariáveisconsolidadoago[[#This Row],[ATUAL]])</f>
        <v>0</v>
      </c>
      <c r="G187" s="119" t="n">
        <f aca="false">SUMIFS(tabela_registros[VALOR],tabela_registros[MÊS],$AE$1,tabela_registros[DIA],reservavariáveisconsolidadoago[[#Headers],[3]],tabela_registros[REGISTRO],DADOS!$N$6,tabela_registros[TIPO],DADOS!$AJ$4,tabela_registros[CATEGORIA],reservavariáveisconsolidadoago[[#This Row],[ATUAL]])</f>
        <v>0</v>
      </c>
      <c r="H187" s="119" t="n">
        <f aca="false">SUMIFS(tabela_registros[VALOR],tabela_registros[MÊS],$AE$1,tabela_registros[DIA],reservavariáveisconsolidadoago[[#Headers],[4]],tabela_registros[REGISTRO],DADOS!$N$6,tabela_registros[TIPO],DADOS!$AJ$4,tabela_registros[CATEGORIA],reservavariáveisconsolidadoago[[#This Row],[ATUAL]])</f>
        <v>0</v>
      </c>
      <c r="I187" s="119" t="n">
        <f aca="false">SUMIFS(tabela_registros[VALOR],tabela_registros[MÊS],$AE$1,tabela_registros[DIA],reservavariáveisconsolidadoago[[#Headers],[5]],tabela_registros[REGISTRO],DADOS!$N$6,tabela_registros[TIPO],DADOS!$AJ$4,tabela_registros[CATEGORIA],reservavariáveisconsolidadoago[[#This Row],[ATUAL]])</f>
        <v>0</v>
      </c>
      <c r="J187" s="119" t="n">
        <f aca="false">SUMIFS(tabela_registros[VALOR],tabela_registros[MÊS],$AE$1,tabela_registros[DIA],reservavariáveisconsolidadoago[[#Headers],[6]],tabela_registros[REGISTRO],DADOS!$N$6,tabela_registros[TIPO],DADOS!$AJ$4,tabela_registros[CATEGORIA],reservavariáveisconsolidadoago[[#This Row],[ATUAL]])</f>
        <v>0</v>
      </c>
      <c r="K187" s="119" t="n">
        <f aca="false">SUMIFS(tabela_registros[VALOR],tabela_registros[MÊS],$AE$1,tabela_registros[DIA],reservavariáveisconsolidadoago[[#Headers],[7]],tabela_registros[REGISTRO],DADOS!$N$6,tabela_registros[TIPO],DADOS!$AJ$4,tabela_registros[CATEGORIA],reservavariáveisconsolidadoago[[#This Row],[ATUAL]])</f>
        <v>0</v>
      </c>
      <c r="L187" s="119" t="n">
        <f aca="false">SUMIFS(tabela_registros[VALOR],tabela_registros[MÊS],$AE$1,tabela_registros[DIA],reservavariáveisconsolidadoago[[#Headers],[8]],tabela_registros[REGISTRO],DADOS!$N$6,tabela_registros[TIPO],DADOS!$AJ$4,tabela_registros[CATEGORIA],reservavariáveisconsolidadoago[[#This Row],[ATUAL]])</f>
        <v>0</v>
      </c>
      <c r="M187" s="119" t="n">
        <f aca="false">SUMIFS(tabela_registros[VALOR],tabela_registros[MÊS],$AE$1,tabela_registros[DIA],reservavariáveisconsolidadoago[[#Headers],[9]],tabela_registros[REGISTRO],DADOS!$N$6,tabela_registros[TIPO],DADOS!$AJ$4,tabela_registros[CATEGORIA],reservavariáveisconsolidadoago[[#This Row],[ATUAL]])</f>
        <v>0</v>
      </c>
      <c r="N187" s="119" t="n">
        <f aca="false">SUMIFS(tabela_registros[VALOR],tabela_registros[MÊS],$AE$1,tabela_registros[DIA],reservavariáveisconsolidadoago[[#Headers],[10]],tabela_registros[REGISTRO],DADOS!$N$6,tabela_registros[TIPO],DADOS!$AJ$4,tabela_registros[CATEGORIA],reservavariáveisconsolidadoago[[#This Row],[ATUAL]])</f>
        <v>0</v>
      </c>
      <c r="O187" s="119" t="n">
        <f aca="false">SUMIFS(tabela_registros[VALOR],tabela_registros[MÊS],$AE$1,tabela_registros[DIA],reservavariáveisconsolidadoago[[#Headers],[11]],tabela_registros[REGISTRO],DADOS!$N$6,tabela_registros[TIPO],DADOS!$AJ$4,tabela_registros[CATEGORIA],reservavariáveisconsolidadoago[[#This Row],[ATUAL]])</f>
        <v>0</v>
      </c>
      <c r="P187" s="119" t="n">
        <f aca="false">SUMIFS(tabela_registros[VALOR],tabela_registros[MÊS],$AE$1,tabela_registros[DIA],reservavariáveisconsolidadoago[[#Headers],[12]],tabela_registros[REGISTRO],DADOS!$N$6,tabela_registros[TIPO],DADOS!$AJ$4,tabela_registros[CATEGORIA],reservavariáveisconsolidadoago[[#This Row],[ATUAL]])</f>
        <v>0</v>
      </c>
      <c r="Q187" s="119" t="n">
        <f aca="false">SUMIFS(tabela_registros[VALOR],tabela_registros[MÊS],$AE$1,tabela_registros[DIA],reservavariáveisconsolidadoago[[#Headers],[13]],tabela_registros[REGISTRO],DADOS!$N$6,tabela_registros[TIPO],DADOS!$AJ$4,tabela_registros[CATEGORIA],reservavariáveisconsolidadoago[[#This Row],[ATUAL]])</f>
        <v>0</v>
      </c>
      <c r="R187" s="119" t="n">
        <f aca="false">SUMIFS(tabela_registros[VALOR],tabela_registros[MÊS],$AE$1,tabela_registros[DIA],reservavariáveisconsolidadoago[[#Headers],[14]],tabela_registros[REGISTRO],DADOS!$N$6,tabela_registros[TIPO],DADOS!$AJ$4,tabela_registros[CATEGORIA],reservavariáveisconsolidadoago[[#This Row],[ATUAL]])</f>
        <v>0</v>
      </c>
      <c r="S187" s="119" t="n">
        <f aca="false">SUMIFS(tabela_registros[VALOR],tabela_registros[MÊS],$AE$1,tabela_registros[DIA],reservavariáveisconsolidadoago[[#Headers],[15]],tabela_registros[REGISTRO],DADOS!$N$6,tabela_registros[TIPO],DADOS!$AJ$4,tabela_registros[CATEGORIA],reservavariáveisconsolidadoago[[#This Row],[ATUAL]])</f>
        <v>0</v>
      </c>
      <c r="T187" s="119" t="n">
        <f aca="false">SUMIFS(tabela_registros[VALOR],tabela_registros[MÊS],$AE$1,tabela_registros[DIA],reservavariáveisconsolidadoago[[#Headers],[16]],tabela_registros[REGISTRO],DADOS!$N$6,tabela_registros[TIPO],DADOS!$AJ$4,tabela_registros[CATEGORIA],reservavariáveisconsolidadoago[[#This Row],[ATUAL]])</f>
        <v>0</v>
      </c>
      <c r="U187" s="119" t="n">
        <f aca="false">SUMIFS(tabela_registros[VALOR],tabela_registros[MÊS],$AE$1,tabela_registros[DIA],reservavariáveisconsolidadoago[[#Headers],[17]],tabela_registros[REGISTRO],DADOS!$N$6,tabela_registros[TIPO],DADOS!$AJ$4,tabela_registros[CATEGORIA],reservavariáveisconsolidadoago[[#This Row],[ATUAL]])</f>
        <v>0</v>
      </c>
      <c r="V187" s="119" t="n">
        <f aca="false">SUMIFS(tabela_registros[VALOR],tabela_registros[MÊS],$AE$1,tabela_registros[DIA],reservavariáveisconsolidadoago[[#Headers],[18]],tabela_registros[REGISTRO],DADOS!$N$6,tabela_registros[TIPO],DADOS!$AJ$4,tabela_registros[CATEGORIA],reservavariáveisconsolidadoago[[#This Row],[ATUAL]])</f>
        <v>0</v>
      </c>
      <c r="W187" s="119" t="n">
        <f aca="false">SUMIFS(tabela_registros[VALOR],tabela_registros[MÊS],$AE$1,tabela_registros[DIA],reservavariáveisconsolidadoago[[#Headers],[19]],tabela_registros[REGISTRO],DADOS!$N$6,tabela_registros[TIPO],DADOS!$AJ$4,tabela_registros[CATEGORIA],reservavariáveisconsolidadoago[[#This Row],[ATUAL]])</f>
        <v>0</v>
      </c>
      <c r="X187" s="119" t="n">
        <f aca="false">SUMIFS(tabela_registros[VALOR],tabela_registros[MÊS],$AE$1,tabela_registros[DIA],reservavariáveisconsolidadoago[[#Headers],[20]],tabela_registros[REGISTRO],DADOS!$N$6,tabela_registros[TIPO],DADOS!$AJ$4,tabela_registros[CATEGORIA],reservavariáveisconsolidadoago[[#This Row],[ATUAL]])</f>
        <v>0</v>
      </c>
      <c r="Y187" s="119" t="n">
        <f aca="false">SUMIFS(tabela_registros[VALOR],tabela_registros[MÊS],$AE$1,tabela_registros[DIA],reservavariáveisconsolidadoago[[#Headers],[21]],tabela_registros[REGISTRO],DADOS!$N$6,tabela_registros[TIPO],DADOS!$AJ$4,tabela_registros[CATEGORIA],reservavariáveisconsolidadoago[[#This Row],[ATUAL]])</f>
        <v>0</v>
      </c>
      <c r="Z187" s="119" t="n">
        <f aca="false">SUMIFS(tabela_registros[VALOR],tabela_registros[MÊS],$AE$1,tabela_registros[DIA],reservavariáveisconsolidadoago[[#Headers],[22]],tabela_registros[REGISTRO],DADOS!$N$6,tabela_registros[TIPO],DADOS!$AJ$4,tabela_registros[CATEGORIA],reservavariáveisconsolidadoago[[#This Row],[ATUAL]])</f>
        <v>0</v>
      </c>
      <c r="AA187" s="119" t="n">
        <f aca="false">SUMIFS(tabela_registros[VALOR],tabela_registros[MÊS],$AE$1,tabela_registros[DIA],reservavariáveisconsolidadoago[[#Headers],[23]],tabela_registros[REGISTRO],DADOS!$N$6,tabela_registros[TIPO],DADOS!$AJ$4,tabela_registros[CATEGORIA],reservavariáveisconsolidadoago[[#This Row],[ATUAL]])</f>
        <v>0</v>
      </c>
      <c r="AB187" s="119" t="n">
        <f aca="false">SUMIFS(tabela_registros[VALOR],tabela_registros[MÊS],$AE$1,tabela_registros[DIA],reservavariáveisconsolidadoago[[#Headers],[24]],tabela_registros[REGISTRO],DADOS!$N$6,tabela_registros[TIPO],DADOS!$AJ$4,tabela_registros[CATEGORIA],reservavariáveisconsolidadoago[[#This Row],[ATUAL]])</f>
        <v>0</v>
      </c>
      <c r="AC187" s="119" t="n">
        <f aca="false">SUMIFS(tabela_registros[VALOR],tabela_registros[MÊS],$AE$1,tabela_registros[DIA],reservavariáveisconsolidadoago[[#Headers],[25]],tabela_registros[REGISTRO],DADOS!$N$6,tabela_registros[TIPO],DADOS!$AJ$4,tabela_registros[CATEGORIA],reservavariáveisconsolidadoago[[#This Row],[ATUAL]])</f>
        <v>0</v>
      </c>
      <c r="AD187" s="119" t="n">
        <f aca="false">SUMIFS(tabela_registros[VALOR],tabela_registros[MÊS],$AE$1,tabela_registros[DIA],reservavariáveisconsolidadoago[[#Headers],[26]],tabela_registros[REGISTRO],DADOS!$N$6,tabela_registros[TIPO],DADOS!$AJ$4,tabela_registros[CATEGORIA],reservavariáveisconsolidadoago[[#This Row],[ATUAL]])</f>
        <v>0</v>
      </c>
      <c r="AE187" s="119" t="n">
        <f aca="false">SUMIFS(tabela_registros[VALOR],tabela_registros[MÊS],$AE$1,tabela_registros[DIA],reservavariáveisconsolidadoago[[#Headers],[27]],tabela_registros[REGISTRO],DADOS!$N$6,tabela_registros[TIPO],DADOS!$AJ$4,tabela_registros[CATEGORIA],reservavariáveisconsolidadoago[[#This Row],[ATUAL]])</f>
        <v>0</v>
      </c>
      <c r="AF187" s="119" t="n">
        <f aca="false">SUMIFS(tabela_registros[VALOR],tabela_registros[MÊS],$AE$1,tabela_registros[DIA],reservavariáveisconsolidadoago[[#Headers],[28]],tabela_registros[REGISTRO],DADOS!$N$6,tabela_registros[TIPO],DADOS!$AJ$4,tabela_registros[CATEGORIA],reservavariáveisconsolidadoago[[#This Row],[ATUAL]])</f>
        <v>0</v>
      </c>
      <c r="AG187" s="119" t="n">
        <f aca="false">SUMIFS(tabela_registros[VALOR],tabela_registros[MÊS],$AE$1,tabela_registros[DIA],reservavariáveisconsolidadoago[[#Headers],[29]],tabela_registros[REGISTRO],DADOS!$N$6,tabela_registros[TIPO],DADOS!$AJ$4,tabela_registros[CATEGORIA],reservavariáveisconsolidadoago[[#This Row],[ATUAL]])</f>
        <v>0</v>
      </c>
      <c r="AH187" s="119" t="n">
        <f aca="false">SUMIFS(tabela_registros[VALOR],tabela_registros[MÊS],$AE$1,tabela_registros[DIA],reservavariáveisconsolidadoago[[#Headers],[30]],tabela_registros[REGISTRO],DADOS!$N$6,tabela_registros[TIPO],DADOS!$AJ$4,tabela_registros[CATEGORIA],reservavariáveisconsolidadoago[[#This Row],[ATUAL]])</f>
        <v>0</v>
      </c>
      <c r="AI187" s="217" t="n">
        <f aca="false">SUMIFS(tabela_registros[VALOR],tabela_registros[MÊS],$AE$1,tabela_registros[DIA],reservavariáveisconsolidadoago[[#Headers],[31]],tabela_registros[REGISTRO],DADOS!$N$6,tabela_registros[TIPO],DADOS!$AJ$4,tabela_registros[CATEGORIA],reservavariáveisconsolidadoago[[#This Row],[ATUAL]])</f>
        <v>0</v>
      </c>
      <c r="AJ187" s="149" t="n">
        <f aca="false">SUM(reservavariáveisconsolidadoago[[#This Row],[1]:[31]])</f>
        <v>0</v>
      </c>
      <c r="AK187" s="165"/>
    </row>
    <row r="188" customFormat="false" ht="19.5" hidden="false" customHeight="true" outlineLevel="0" collapsed="false">
      <c r="B188" s="143"/>
      <c r="C188" s="144" t="str">
        <f aca="false">DADOS!$AN$4</f>
        <v>📝 COMÓDITE</v>
      </c>
      <c r="D188" s="145" t="str">
        <f aca="false">IF(reservavariáveisconsolidadoago[[#This Row],[TOTAL (R$)]]=0,"",IF(OR(reservavariáveisconsolidadoago[[#This Row],[TOTAL (R$)]]=LARGE($AJ$187:$AJ$196,1),reservavariáveisconsolidadoago[[#This Row],[TOTAL (R$)]]=LARGE($AJ$187:$AJ$196,2)),DADOS!$I$11,""))</f>
        <v/>
      </c>
      <c r="E188" s="148" t="n">
        <f aca="false">SUMIFS(tabela_registros[VALOR],tabela_registros[MÊS],$AE$1,tabela_registros[DIA],reservavariáveisconsolidadoago[[#Headers],[1]],tabela_registros[REGISTRO],DADOS!$N$6,tabela_registros[TIPO],DADOS!$AJ$4,tabela_registros[CATEGORIA],reservavariáveisconsolidadoago[[#This Row],[ATUAL]])</f>
        <v>0</v>
      </c>
      <c r="F188" s="119" t="n">
        <f aca="false">SUMIFS(tabela_registros[VALOR],tabela_registros[MÊS],$AE$1,tabela_registros[DIA],reservavariáveisconsolidadoago[[#Headers],[2]],tabela_registros[REGISTRO],DADOS!$N$6,tabela_registros[TIPO],DADOS!$AJ$4,tabela_registros[CATEGORIA],reservavariáveisconsolidadoago[[#This Row],[ATUAL]])</f>
        <v>0</v>
      </c>
      <c r="G188" s="119" t="n">
        <f aca="false">SUMIFS(tabela_registros[VALOR],tabela_registros[MÊS],$AE$1,tabela_registros[DIA],reservavariáveisconsolidadoago[[#Headers],[3]],tabela_registros[REGISTRO],DADOS!$N$6,tabela_registros[TIPO],DADOS!$AJ$4,tabela_registros[CATEGORIA],reservavariáveisconsolidadoago[[#This Row],[ATUAL]])</f>
        <v>0</v>
      </c>
      <c r="H188" s="119" t="n">
        <f aca="false">SUMIFS(tabela_registros[VALOR],tabela_registros[MÊS],$AE$1,tabela_registros[DIA],reservavariáveisconsolidadoago[[#Headers],[4]],tabela_registros[REGISTRO],DADOS!$N$6,tabela_registros[TIPO],DADOS!$AJ$4,tabela_registros[CATEGORIA],reservavariáveisconsolidadoago[[#This Row],[ATUAL]])</f>
        <v>0</v>
      </c>
      <c r="I188" s="119" t="n">
        <f aca="false">SUMIFS(tabela_registros[VALOR],tabela_registros[MÊS],$AE$1,tabela_registros[DIA],reservavariáveisconsolidadoago[[#Headers],[5]],tabela_registros[REGISTRO],DADOS!$N$6,tabela_registros[TIPO],DADOS!$AJ$4,tabela_registros[CATEGORIA],reservavariáveisconsolidadoago[[#This Row],[ATUAL]])</f>
        <v>0</v>
      </c>
      <c r="J188" s="119" t="n">
        <f aca="false">SUMIFS(tabela_registros[VALOR],tabela_registros[MÊS],$AE$1,tabela_registros[DIA],reservavariáveisconsolidadoago[[#Headers],[6]],tabela_registros[REGISTRO],DADOS!$N$6,tabela_registros[TIPO],DADOS!$AJ$4,tabela_registros[CATEGORIA],reservavariáveisconsolidadoago[[#This Row],[ATUAL]])</f>
        <v>0</v>
      </c>
      <c r="K188" s="119" t="n">
        <f aca="false">SUMIFS(tabela_registros[VALOR],tabela_registros[MÊS],$AE$1,tabela_registros[DIA],reservavariáveisconsolidadoago[[#Headers],[7]],tabela_registros[REGISTRO],DADOS!$N$6,tabela_registros[TIPO],DADOS!$AJ$4,tabela_registros[CATEGORIA],reservavariáveisconsolidadoago[[#This Row],[ATUAL]])</f>
        <v>0</v>
      </c>
      <c r="L188" s="119" t="n">
        <f aca="false">SUMIFS(tabela_registros[VALOR],tabela_registros[MÊS],$AE$1,tabela_registros[DIA],reservavariáveisconsolidadoago[[#Headers],[8]],tabela_registros[REGISTRO],DADOS!$N$6,tabela_registros[TIPO],DADOS!$AJ$4,tabela_registros[CATEGORIA],reservavariáveisconsolidadoago[[#This Row],[ATUAL]])</f>
        <v>0</v>
      </c>
      <c r="M188" s="119" t="n">
        <f aca="false">SUMIFS(tabela_registros[VALOR],tabela_registros[MÊS],$AE$1,tabela_registros[DIA],reservavariáveisconsolidadoago[[#Headers],[9]],tabela_registros[REGISTRO],DADOS!$N$6,tabela_registros[TIPO],DADOS!$AJ$4,tabela_registros[CATEGORIA],reservavariáveisconsolidadoago[[#This Row],[ATUAL]])</f>
        <v>0</v>
      </c>
      <c r="N188" s="119" t="n">
        <f aca="false">SUMIFS(tabela_registros[VALOR],tabela_registros[MÊS],$AE$1,tabela_registros[DIA],reservavariáveisconsolidadoago[[#Headers],[10]],tabela_registros[REGISTRO],DADOS!$N$6,tabela_registros[TIPO],DADOS!$AJ$4,tabela_registros[CATEGORIA],reservavariáveisconsolidadoago[[#This Row],[ATUAL]])</f>
        <v>0</v>
      </c>
      <c r="O188" s="119" t="n">
        <f aca="false">SUMIFS(tabela_registros[VALOR],tabela_registros[MÊS],$AE$1,tabela_registros[DIA],reservavariáveisconsolidadoago[[#Headers],[11]],tabela_registros[REGISTRO],DADOS!$N$6,tabela_registros[TIPO],DADOS!$AJ$4,tabela_registros[CATEGORIA],reservavariáveisconsolidadoago[[#This Row],[ATUAL]])</f>
        <v>0</v>
      </c>
      <c r="P188" s="119" t="n">
        <f aca="false">SUMIFS(tabela_registros[VALOR],tabela_registros[MÊS],$AE$1,tabela_registros[DIA],reservavariáveisconsolidadoago[[#Headers],[12]],tabela_registros[REGISTRO],DADOS!$N$6,tabela_registros[TIPO],DADOS!$AJ$4,tabela_registros[CATEGORIA],reservavariáveisconsolidadoago[[#This Row],[ATUAL]])</f>
        <v>0</v>
      </c>
      <c r="Q188" s="119" t="n">
        <f aca="false">SUMIFS(tabela_registros[VALOR],tabela_registros[MÊS],$AE$1,tabela_registros[DIA],reservavariáveisconsolidadoago[[#Headers],[13]],tabela_registros[REGISTRO],DADOS!$N$6,tabela_registros[TIPO],DADOS!$AJ$4,tabela_registros[CATEGORIA],reservavariáveisconsolidadoago[[#This Row],[ATUAL]])</f>
        <v>0</v>
      </c>
      <c r="R188" s="119" t="n">
        <f aca="false">SUMIFS(tabela_registros[VALOR],tabela_registros[MÊS],$AE$1,tabela_registros[DIA],reservavariáveisconsolidadoago[[#Headers],[14]],tabela_registros[REGISTRO],DADOS!$N$6,tabela_registros[TIPO],DADOS!$AJ$4,tabela_registros[CATEGORIA],reservavariáveisconsolidadoago[[#This Row],[ATUAL]])</f>
        <v>0</v>
      </c>
      <c r="S188" s="119" t="n">
        <f aca="false">SUMIFS(tabela_registros[VALOR],tabela_registros[MÊS],$AE$1,tabela_registros[DIA],reservavariáveisconsolidadoago[[#Headers],[15]],tabela_registros[REGISTRO],DADOS!$N$6,tabela_registros[TIPO],DADOS!$AJ$4,tabela_registros[CATEGORIA],reservavariáveisconsolidadoago[[#This Row],[ATUAL]])</f>
        <v>0</v>
      </c>
      <c r="T188" s="119" t="n">
        <f aca="false">SUMIFS(tabela_registros[VALOR],tabela_registros[MÊS],$AE$1,tabela_registros[DIA],reservavariáveisconsolidadoago[[#Headers],[16]],tabela_registros[REGISTRO],DADOS!$N$6,tabela_registros[TIPO],DADOS!$AJ$4,tabela_registros[CATEGORIA],reservavariáveisconsolidadoago[[#This Row],[ATUAL]])</f>
        <v>0</v>
      </c>
      <c r="U188" s="119" t="n">
        <f aca="false">SUMIFS(tabela_registros[VALOR],tabela_registros[MÊS],$AE$1,tabela_registros[DIA],reservavariáveisconsolidadoago[[#Headers],[17]],tabela_registros[REGISTRO],DADOS!$N$6,tabela_registros[TIPO],DADOS!$AJ$4,tabela_registros[CATEGORIA],reservavariáveisconsolidadoago[[#This Row],[ATUAL]])</f>
        <v>0</v>
      </c>
      <c r="V188" s="119" t="n">
        <f aca="false">SUMIFS(tabela_registros[VALOR],tabela_registros[MÊS],$AE$1,tabela_registros[DIA],reservavariáveisconsolidadoago[[#Headers],[18]],tabela_registros[REGISTRO],DADOS!$N$6,tabela_registros[TIPO],DADOS!$AJ$4,tabela_registros[CATEGORIA],reservavariáveisconsolidadoago[[#This Row],[ATUAL]])</f>
        <v>0</v>
      </c>
      <c r="W188" s="119" t="n">
        <f aca="false">SUMIFS(tabela_registros[VALOR],tabela_registros[MÊS],$AE$1,tabela_registros[DIA],reservavariáveisconsolidadoago[[#Headers],[19]],tabela_registros[REGISTRO],DADOS!$N$6,tabela_registros[TIPO],DADOS!$AJ$4,tabela_registros[CATEGORIA],reservavariáveisconsolidadoago[[#This Row],[ATUAL]])</f>
        <v>0</v>
      </c>
      <c r="X188" s="119" t="n">
        <f aca="false">SUMIFS(tabela_registros[VALOR],tabela_registros[MÊS],$AE$1,tabela_registros[DIA],reservavariáveisconsolidadoago[[#Headers],[20]],tabela_registros[REGISTRO],DADOS!$N$6,tabela_registros[TIPO],DADOS!$AJ$4,tabela_registros[CATEGORIA],reservavariáveisconsolidadoago[[#This Row],[ATUAL]])</f>
        <v>0</v>
      </c>
      <c r="Y188" s="119" t="n">
        <f aca="false">SUMIFS(tabela_registros[VALOR],tabela_registros[MÊS],$AE$1,tabela_registros[DIA],reservavariáveisconsolidadoago[[#Headers],[21]],tabela_registros[REGISTRO],DADOS!$N$6,tabela_registros[TIPO],DADOS!$AJ$4,tabela_registros[CATEGORIA],reservavariáveisconsolidadoago[[#This Row],[ATUAL]])</f>
        <v>0</v>
      </c>
      <c r="Z188" s="119" t="n">
        <f aca="false">SUMIFS(tabela_registros[VALOR],tabela_registros[MÊS],$AE$1,tabela_registros[DIA],reservavariáveisconsolidadoago[[#Headers],[22]],tabela_registros[REGISTRO],DADOS!$N$6,tabela_registros[TIPO],DADOS!$AJ$4,tabela_registros[CATEGORIA],reservavariáveisconsolidadoago[[#This Row],[ATUAL]])</f>
        <v>0</v>
      </c>
      <c r="AA188" s="119" t="n">
        <f aca="false">SUMIFS(tabela_registros[VALOR],tabela_registros[MÊS],$AE$1,tabela_registros[DIA],reservavariáveisconsolidadoago[[#Headers],[23]],tabela_registros[REGISTRO],DADOS!$N$6,tabela_registros[TIPO],DADOS!$AJ$4,tabela_registros[CATEGORIA],reservavariáveisconsolidadoago[[#This Row],[ATUAL]])</f>
        <v>0</v>
      </c>
      <c r="AB188" s="119" t="n">
        <f aca="false">SUMIFS(tabela_registros[VALOR],tabela_registros[MÊS],$AE$1,tabela_registros[DIA],reservavariáveisconsolidadoago[[#Headers],[24]],tabela_registros[REGISTRO],DADOS!$N$6,tabela_registros[TIPO],DADOS!$AJ$4,tabela_registros[CATEGORIA],reservavariáveisconsolidadoago[[#This Row],[ATUAL]])</f>
        <v>0</v>
      </c>
      <c r="AC188" s="119" t="n">
        <f aca="false">SUMIFS(tabela_registros[VALOR],tabela_registros[MÊS],$AE$1,tabela_registros[DIA],reservavariáveisconsolidadoago[[#Headers],[25]],tabela_registros[REGISTRO],DADOS!$N$6,tabela_registros[TIPO],DADOS!$AJ$4,tabela_registros[CATEGORIA],reservavariáveisconsolidadoago[[#This Row],[ATUAL]])</f>
        <v>0</v>
      </c>
      <c r="AD188" s="119" t="n">
        <f aca="false">SUMIFS(tabela_registros[VALOR],tabela_registros[MÊS],$AE$1,tabela_registros[DIA],reservavariáveisconsolidadoago[[#Headers],[26]],tabela_registros[REGISTRO],DADOS!$N$6,tabela_registros[TIPO],DADOS!$AJ$4,tabela_registros[CATEGORIA],reservavariáveisconsolidadoago[[#This Row],[ATUAL]])</f>
        <v>0</v>
      </c>
      <c r="AE188" s="119" t="n">
        <f aca="false">SUMIFS(tabela_registros[VALOR],tabela_registros[MÊS],$AE$1,tabela_registros[DIA],reservavariáveisconsolidadoago[[#Headers],[27]],tabela_registros[REGISTRO],DADOS!$N$6,tabela_registros[TIPO],DADOS!$AJ$4,tabela_registros[CATEGORIA],reservavariáveisconsolidadoago[[#This Row],[ATUAL]])</f>
        <v>0</v>
      </c>
      <c r="AF188" s="119" t="n">
        <f aca="false">SUMIFS(tabela_registros[VALOR],tabela_registros[MÊS],$AE$1,tabela_registros[DIA],reservavariáveisconsolidadoago[[#Headers],[28]],tabela_registros[REGISTRO],DADOS!$N$6,tabela_registros[TIPO],DADOS!$AJ$4,tabela_registros[CATEGORIA],reservavariáveisconsolidadoago[[#This Row],[ATUAL]])</f>
        <v>0</v>
      </c>
      <c r="AG188" s="119" t="n">
        <f aca="false">SUMIFS(tabela_registros[VALOR],tabela_registros[MÊS],$AE$1,tabela_registros[DIA],reservavariáveisconsolidadoago[[#Headers],[29]],tabela_registros[REGISTRO],DADOS!$N$6,tabela_registros[TIPO],DADOS!$AJ$4,tabela_registros[CATEGORIA],reservavariáveisconsolidadoago[[#This Row],[ATUAL]])</f>
        <v>0</v>
      </c>
      <c r="AH188" s="119" t="n">
        <f aca="false">SUMIFS(tabela_registros[VALOR],tabela_registros[MÊS],$AE$1,tabela_registros[DIA],reservavariáveisconsolidadoago[[#Headers],[30]],tabela_registros[REGISTRO],DADOS!$N$6,tabela_registros[TIPO],DADOS!$AJ$4,tabela_registros[CATEGORIA],reservavariáveisconsolidadoago[[#This Row],[ATUAL]])</f>
        <v>0</v>
      </c>
      <c r="AI188" s="217" t="n">
        <f aca="false">SUMIFS(tabela_registros[VALOR],tabela_registros[MÊS],$AE$1,tabela_registros[DIA],reservavariáveisconsolidadoago[[#Headers],[31]],tabela_registros[REGISTRO],DADOS!$N$6,tabela_registros[TIPO],DADOS!$AJ$4,tabela_registros[CATEGORIA],reservavariáveisconsolidadoago[[#This Row],[ATUAL]])</f>
        <v>0</v>
      </c>
      <c r="AJ188" s="149" t="n">
        <f aca="false">SUM(reservavariáveisconsolidadoago[[#This Row],[1]:[31]])</f>
        <v>0</v>
      </c>
      <c r="AK188" s="165"/>
    </row>
    <row r="189" customFormat="false" ht="19.5" hidden="false" customHeight="true" outlineLevel="0" collapsed="false">
      <c r="B189" s="143"/>
      <c r="C189" s="144" t="str">
        <f aca="false">DADOS!$AN$5</f>
        <v>📝 CONTRATO DE FUTUROS</v>
      </c>
      <c r="D189" s="145" t="str">
        <f aca="false">IF(reservavariáveisconsolidadoago[[#This Row],[TOTAL (R$)]]=0,"",IF(OR(reservavariáveisconsolidadoago[[#This Row],[TOTAL (R$)]]=LARGE($AJ$187:$AJ$196,1),reservavariáveisconsolidadoago[[#This Row],[TOTAL (R$)]]=LARGE($AJ$187:$AJ$196,2)),DADOS!$I$11,""))</f>
        <v/>
      </c>
      <c r="E189" s="148" t="n">
        <f aca="false">SUMIFS(tabela_registros[VALOR],tabela_registros[MÊS],$AE$1,tabela_registros[DIA],reservavariáveisconsolidadoago[[#Headers],[1]],tabela_registros[REGISTRO],DADOS!$N$6,tabela_registros[TIPO],DADOS!$AJ$4,tabela_registros[CATEGORIA],reservavariáveisconsolidadoago[[#This Row],[ATUAL]])</f>
        <v>0</v>
      </c>
      <c r="F189" s="119" t="n">
        <f aca="false">SUMIFS(tabela_registros[VALOR],tabela_registros[MÊS],$AE$1,tabela_registros[DIA],reservavariáveisconsolidadoago[[#Headers],[2]],tabela_registros[REGISTRO],DADOS!$N$6,tabela_registros[TIPO],DADOS!$AJ$4,tabela_registros[CATEGORIA],reservavariáveisconsolidadoago[[#This Row],[ATUAL]])</f>
        <v>0</v>
      </c>
      <c r="G189" s="119" t="n">
        <f aca="false">SUMIFS(tabela_registros[VALOR],tabela_registros[MÊS],$AE$1,tabela_registros[DIA],reservavariáveisconsolidadoago[[#Headers],[3]],tabela_registros[REGISTRO],DADOS!$N$6,tabela_registros[TIPO],DADOS!$AJ$4,tabela_registros[CATEGORIA],reservavariáveisconsolidadoago[[#This Row],[ATUAL]])</f>
        <v>0</v>
      </c>
      <c r="H189" s="119" t="n">
        <f aca="false">SUMIFS(tabela_registros[VALOR],tabela_registros[MÊS],$AE$1,tabela_registros[DIA],reservavariáveisconsolidadoago[[#Headers],[4]],tabela_registros[REGISTRO],DADOS!$N$6,tabela_registros[TIPO],DADOS!$AJ$4,tabela_registros[CATEGORIA],reservavariáveisconsolidadoago[[#This Row],[ATUAL]])</f>
        <v>0</v>
      </c>
      <c r="I189" s="119" t="n">
        <f aca="false">SUMIFS(tabela_registros[VALOR],tabela_registros[MÊS],$AE$1,tabela_registros[DIA],reservavariáveisconsolidadoago[[#Headers],[5]],tabela_registros[REGISTRO],DADOS!$N$6,tabela_registros[TIPO],DADOS!$AJ$4,tabela_registros[CATEGORIA],reservavariáveisconsolidadoago[[#This Row],[ATUAL]])</f>
        <v>0</v>
      </c>
      <c r="J189" s="119" t="n">
        <f aca="false">SUMIFS(tabela_registros[VALOR],tabela_registros[MÊS],$AE$1,tabela_registros[DIA],reservavariáveisconsolidadoago[[#Headers],[6]],tabela_registros[REGISTRO],DADOS!$N$6,tabela_registros[TIPO],DADOS!$AJ$4,tabela_registros[CATEGORIA],reservavariáveisconsolidadoago[[#This Row],[ATUAL]])</f>
        <v>0</v>
      </c>
      <c r="K189" s="119" t="n">
        <f aca="false">SUMIFS(tabela_registros[VALOR],tabela_registros[MÊS],$AE$1,tabela_registros[DIA],reservavariáveisconsolidadoago[[#Headers],[7]],tabela_registros[REGISTRO],DADOS!$N$6,tabela_registros[TIPO],DADOS!$AJ$4,tabela_registros[CATEGORIA],reservavariáveisconsolidadoago[[#This Row],[ATUAL]])</f>
        <v>0</v>
      </c>
      <c r="L189" s="119" t="n">
        <f aca="false">SUMIFS(tabela_registros[VALOR],tabela_registros[MÊS],$AE$1,tabela_registros[DIA],reservavariáveisconsolidadoago[[#Headers],[8]],tabela_registros[REGISTRO],DADOS!$N$6,tabela_registros[TIPO],DADOS!$AJ$4,tabela_registros[CATEGORIA],reservavariáveisconsolidadoago[[#This Row],[ATUAL]])</f>
        <v>0</v>
      </c>
      <c r="M189" s="119" t="n">
        <f aca="false">SUMIFS(tabela_registros[VALOR],tabela_registros[MÊS],$AE$1,tabela_registros[DIA],reservavariáveisconsolidadoago[[#Headers],[9]],tabela_registros[REGISTRO],DADOS!$N$6,tabela_registros[TIPO],DADOS!$AJ$4,tabela_registros[CATEGORIA],reservavariáveisconsolidadoago[[#This Row],[ATUAL]])</f>
        <v>0</v>
      </c>
      <c r="N189" s="119" t="n">
        <f aca="false">SUMIFS(tabela_registros[VALOR],tabela_registros[MÊS],$AE$1,tabela_registros[DIA],reservavariáveisconsolidadoago[[#Headers],[10]],tabela_registros[REGISTRO],DADOS!$N$6,tabela_registros[TIPO],DADOS!$AJ$4,tabela_registros[CATEGORIA],reservavariáveisconsolidadoago[[#This Row],[ATUAL]])</f>
        <v>0</v>
      </c>
      <c r="O189" s="119" t="n">
        <f aca="false">SUMIFS(tabela_registros[VALOR],tabela_registros[MÊS],$AE$1,tabela_registros[DIA],reservavariáveisconsolidadoago[[#Headers],[11]],tabela_registros[REGISTRO],DADOS!$N$6,tabela_registros[TIPO],DADOS!$AJ$4,tabela_registros[CATEGORIA],reservavariáveisconsolidadoago[[#This Row],[ATUAL]])</f>
        <v>0</v>
      </c>
      <c r="P189" s="119" t="n">
        <f aca="false">SUMIFS(tabela_registros[VALOR],tabela_registros[MÊS],$AE$1,tabela_registros[DIA],reservavariáveisconsolidadoago[[#Headers],[12]],tabela_registros[REGISTRO],DADOS!$N$6,tabela_registros[TIPO],DADOS!$AJ$4,tabela_registros[CATEGORIA],reservavariáveisconsolidadoago[[#This Row],[ATUAL]])</f>
        <v>0</v>
      </c>
      <c r="Q189" s="119" t="n">
        <f aca="false">SUMIFS(tabela_registros[VALOR],tabela_registros[MÊS],$AE$1,tabela_registros[DIA],reservavariáveisconsolidadoago[[#Headers],[13]],tabela_registros[REGISTRO],DADOS!$N$6,tabela_registros[TIPO],DADOS!$AJ$4,tabela_registros[CATEGORIA],reservavariáveisconsolidadoago[[#This Row],[ATUAL]])</f>
        <v>0</v>
      </c>
      <c r="R189" s="119" t="n">
        <f aca="false">SUMIFS(tabela_registros[VALOR],tabela_registros[MÊS],$AE$1,tabela_registros[DIA],reservavariáveisconsolidadoago[[#Headers],[14]],tabela_registros[REGISTRO],DADOS!$N$6,tabela_registros[TIPO],DADOS!$AJ$4,tabela_registros[CATEGORIA],reservavariáveisconsolidadoago[[#This Row],[ATUAL]])</f>
        <v>0</v>
      </c>
      <c r="S189" s="119" t="n">
        <f aca="false">SUMIFS(tabela_registros[VALOR],tabela_registros[MÊS],$AE$1,tabela_registros[DIA],reservavariáveisconsolidadoago[[#Headers],[15]],tabela_registros[REGISTRO],DADOS!$N$6,tabela_registros[TIPO],DADOS!$AJ$4,tabela_registros[CATEGORIA],reservavariáveisconsolidadoago[[#This Row],[ATUAL]])</f>
        <v>0</v>
      </c>
      <c r="T189" s="119" t="n">
        <f aca="false">SUMIFS(tabela_registros[VALOR],tabela_registros[MÊS],$AE$1,tabela_registros[DIA],reservavariáveisconsolidadoago[[#Headers],[16]],tabela_registros[REGISTRO],DADOS!$N$6,tabela_registros[TIPO],DADOS!$AJ$4,tabela_registros[CATEGORIA],reservavariáveisconsolidadoago[[#This Row],[ATUAL]])</f>
        <v>0</v>
      </c>
      <c r="U189" s="119" t="n">
        <f aca="false">SUMIFS(tabela_registros[VALOR],tabela_registros[MÊS],$AE$1,tabela_registros[DIA],reservavariáveisconsolidadoago[[#Headers],[17]],tabela_registros[REGISTRO],DADOS!$N$6,tabela_registros[TIPO],DADOS!$AJ$4,tabela_registros[CATEGORIA],reservavariáveisconsolidadoago[[#This Row],[ATUAL]])</f>
        <v>0</v>
      </c>
      <c r="V189" s="119" t="n">
        <f aca="false">SUMIFS(tabela_registros[VALOR],tabela_registros[MÊS],$AE$1,tabela_registros[DIA],reservavariáveisconsolidadoago[[#Headers],[18]],tabela_registros[REGISTRO],DADOS!$N$6,tabela_registros[TIPO],DADOS!$AJ$4,tabela_registros[CATEGORIA],reservavariáveisconsolidadoago[[#This Row],[ATUAL]])</f>
        <v>0</v>
      </c>
      <c r="W189" s="119" t="n">
        <f aca="false">SUMIFS(tabela_registros[VALOR],tabela_registros[MÊS],$AE$1,tabela_registros[DIA],reservavariáveisconsolidadoago[[#Headers],[19]],tabela_registros[REGISTRO],DADOS!$N$6,tabela_registros[TIPO],DADOS!$AJ$4,tabela_registros[CATEGORIA],reservavariáveisconsolidadoago[[#This Row],[ATUAL]])</f>
        <v>0</v>
      </c>
      <c r="X189" s="119" t="n">
        <f aca="false">SUMIFS(tabela_registros[VALOR],tabela_registros[MÊS],$AE$1,tabela_registros[DIA],reservavariáveisconsolidadoago[[#Headers],[20]],tabela_registros[REGISTRO],DADOS!$N$6,tabela_registros[TIPO],DADOS!$AJ$4,tabela_registros[CATEGORIA],reservavariáveisconsolidadoago[[#This Row],[ATUAL]])</f>
        <v>0</v>
      </c>
      <c r="Y189" s="119" t="n">
        <f aca="false">SUMIFS(tabela_registros[VALOR],tabela_registros[MÊS],$AE$1,tabela_registros[DIA],reservavariáveisconsolidadoago[[#Headers],[21]],tabela_registros[REGISTRO],DADOS!$N$6,tabela_registros[TIPO],DADOS!$AJ$4,tabela_registros[CATEGORIA],reservavariáveisconsolidadoago[[#This Row],[ATUAL]])</f>
        <v>0</v>
      </c>
      <c r="Z189" s="119" t="n">
        <f aca="false">SUMIFS(tabela_registros[VALOR],tabela_registros[MÊS],$AE$1,tabela_registros[DIA],reservavariáveisconsolidadoago[[#Headers],[22]],tabela_registros[REGISTRO],DADOS!$N$6,tabela_registros[TIPO],DADOS!$AJ$4,tabela_registros[CATEGORIA],reservavariáveisconsolidadoago[[#This Row],[ATUAL]])</f>
        <v>0</v>
      </c>
      <c r="AA189" s="119" t="n">
        <f aca="false">SUMIFS(tabela_registros[VALOR],tabela_registros[MÊS],$AE$1,tabela_registros[DIA],reservavariáveisconsolidadoago[[#Headers],[23]],tabela_registros[REGISTRO],DADOS!$N$6,tabela_registros[TIPO],DADOS!$AJ$4,tabela_registros[CATEGORIA],reservavariáveisconsolidadoago[[#This Row],[ATUAL]])</f>
        <v>0</v>
      </c>
      <c r="AB189" s="119" t="n">
        <f aca="false">SUMIFS(tabela_registros[VALOR],tabela_registros[MÊS],$AE$1,tabela_registros[DIA],reservavariáveisconsolidadoago[[#Headers],[24]],tabela_registros[REGISTRO],DADOS!$N$6,tabela_registros[TIPO],DADOS!$AJ$4,tabela_registros[CATEGORIA],reservavariáveisconsolidadoago[[#This Row],[ATUAL]])</f>
        <v>0</v>
      </c>
      <c r="AC189" s="119" t="n">
        <f aca="false">SUMIFS(tabela_registros[VALOR],tabela_registros[MÊS],$AE$1,tabela_registros[DIA],reservavariáveisconsolidadoago[[#Headers],[25]],tabela_registros[REGISTRO],DADOS!$N$6,tabela_registros[TIPO],DADOS!$AJ$4,tabela_registros[CATEGORIA],reservavariáveisconsolidadoago[[#This Row],[ATUAL]])</f>
        <v>0</v>
      </c>
      <c r="AD189" s="119" t="n">
        <f aca="false">SUMIFS(tabela_registros[VALOR],tabela_registros[MÊS],$AE$1,tabela_registros[DIA],reservavariáveisconsolidadoago[[#Headers],[26]],tabela_registros[REGISTRO],DADOS!$N$6,tabela_registros[TIPO],DADOS!$AJ$4,tabela_registros[CATEGORIA],reservavariáveisconsolidadoago[[#This Row],[ATUAL]])</f>
        <v>0</v>
      </c>
      <c r="AE189" s="119" t="n">
        <f aca="false">SUMIFS(tabela_registros[VALOR],tabela_registros[MÊS],$AE$1,tabela_registros[DIA],reservavariáveisconsolidadoago[[#Headers],[27]],tabela_registros[REGISTRO],DADOS!$N$6,tabela_registros[TIPO],DADOS!$AJ$4,tabela_registros[CATEGORIA],reservavariáveisconsolidadoago[[#This Row],[ATUAL]])</f>
        <v>0</v>
      </c>
      <c r="AF189" s="119" t="n">
        <f aca="false">SUMIFS(tabela_registros[VALOR],tabela_registros[MÊS],$AE$1,tabela_registros[DIA],reservavariáveisconsolidadoago[[#Headers],[28]],tabela_registros[REGISTRO],DADOS!$N$6,tabela_registros[TIPO],DADOS!$AJ$4,tabela_registros[CATEGORIA],reservavariáveisconsolidadoago[[#This Row],[ATUAL]])</f>
        <v>0</v>
      </c>
      <c r="AG189" s="119" t="n">
        <f aca="false">SUMIFS(tabela_registros[VALOR],tabela_registros[MÊS],$AE$1,tabela_registros[DIA],reservavariáveisconsolidadoago[[#Headers],[29]],tabela_registros[REGISTRO],DADOS!$N$6,tabela_registros[TIPO],DADOS!$AJ$4,tabela_registros[CATEGORIA],reservavariáveisconsolidadoago[[#This Row],[ATUAL]])</f>
        <v>0</v>
      </c>
      <c r="AH189" s="119" t="n">
        <f aca="false">SUMIFS(tabela_registros[VALOR],tabela_registros[MÊS],$AE$1,tabela_registros[DIA],reservavariáveisconsolidadoago[[#Headers],[30]],tabela_registros[REGISTRO],DADOS!$N$6,tabela_registros[TIPO],DADOS!$AJ$4,tabela_registros[CATEGORIA],reservavariáveisconsolidadoago[[#This Row],[ATUAL]])</f>
        <v>0</v>
      </c>
      <c r="AI189" s="217" t="n">
        <f aca="false">SUMIFS(tabela_registros[VALOR],tabela_registros[MÊS],$AE$1,tabela_registros[DIA],reservavariáveisconsolidadoago[[#Headers],[31]],tabela_registros[REGISTRO],DADOS!$N$6,tabela_registros[TIPO],DADOS!$AJ$4,tabela_registros[CATEGORIA],reservavariáveisconsolidadoago[[#This Row],[ATUAL]])</f>
        <v>0</v>
      </c>
      <c r="AJ189" s="149" t="n">
        <f aca="false">SUM(reservavariáveisconsolidadoago[[#This Row],[1]:[31]])</f>
        <v>0</v>
      </c>
      <c r="AK189" s="165"/>
    </row>
    <row r="190" customFormat="false" ht="19.5" hidden="false" customHeight="true" outlineLevel="0" collapsed="false">
      <c r="B190" s="143"/>
      <c r="C190" s="144" t="str">
        <f aca="false">DADOS!$AN$6</f>
        <v>📝 CONTRATO DE OPÇÕES</v>
      </c>
      <c r="D190" s="145" t="str">
        <f aca="false">IF(reservavariáveisconsolidadoago[[#This Row],[TOTAL (R$)]]=0,"",IF(OR(reservavariáveisconsolidadoago[[#This Row],[TOTAL (R$)]]=LARGE($AJ$187:$AJ$196,1),reservavariáveisconsolidadoago[[#This Row],[TOTAL (R$)]]=LARGE($AJ$187:$AJ$196,2)),DADOS!$I$11,""))</f>
        <v/>
      </c>
      <c r="E190" s="148" t="n">
        <f aca="false">SUMIFS(tabela_registros[VALOR],tabela_registros[MÊS],$AE$1,tabela_registros[DIA],reservavariáveisconsolidadoago[[#Headers],[1]],tabela_registros[REGISTRO],DADOS!$N$6,tabela_registros[TIPO],DADOS!$AJ$4,tabela_registros[CATEGORIA],reservavariáveisconsolidadoago[[#This Row],[ATUAL]])</f>
        <v>0</v>
      </c>
      <c r="F190" s="119" t="n">
        <f aca="false">SUMIFS(tabela_registros[VALOR],tabela_registros[MÊS],$AE$1,tabela_registros[DIA],reservavariáveisconsolidadoago[[#Headers],[2]],tabela_registros[REGISTRO],DADOS!$N$6,tabela_registros[TIPO],DADOS!$AJ$4,tabela_registros[CATEGORIA],reservavariáveisconsolidadoago[[#This Row],[ATUAL]])</f>
        <v>0</v>
      </c>
      <c r="G190" s="119" t="n">
        <f aca="false">SUMIFS(tabela_registros[VALOR],tabela_registros[MÊS],$AE$1,tabela_registros[DIA],reservavariáveisconsolidadoago[[#Headers],[3]],tabela_registros[REGISTRO],DADOS!$N$6,tabela_registros[TIPO],DADOS!$AJ$4,tabela_registros[CATEGORIA],reservavariáveisconsolidadoago[[#This Row],[ATUAL]])</f>
        <v>0</v>
      </c>
      <c r="H190" s="119" t="n">
        <f aca="false">SUMIFS(tabela_registros[VALOR],tabela_registros[MÊS],$AE$1,tabela_registros[DIA],reservavariáveisconsolidadoago[[#Headers],[4]],tabela_registros[REGISTRO],DADOS!$N$6,tabela_registros[TIPO],DADOS!$AJ$4,tabela_registros[CATEGORIA],reservavariáveisconsolidadoago[[#This Row],[ATUAL]])</f>
        <v>0</v>
      </c>
      <c r="I190" s="119" t="n">
        <f aca="false">SUMIFS(tabela_registros[VALOR],tabela_registros[MÊS],$AE$1,tabela_registros[DIA],reservavariáveisconsolidadoago[[#Headers],[5]],tabela_registros[REGISTRO],DADOS!$N$6,tabela_registros[TIPO],DADOS!$AJ$4,tabela_registros[CATEGORIA],reservavariáveisconsolidadoago[[#This Row],[ATUAL]])</f>
        <v>0</v>
      </c>
      <c r="J190" s="119" t="n">
        <f aca="false">SUMIFS(tabela_registros[VALOR],tabela_registros[MÊS],$AE$1,tabela_registros[DIA],reservavariáveisconsolidadoago[[#Headers],[6]],tabela_registros[REGISTRO],DADOS!$N$6,tabela_registros[TIPO],DADOS!$AJ$4,tabela_registros[CATEGORIA],reservavariáveisconsolidadoago[[#This Row],[ATUAL]])</f>
        <v>0</v>
      </c>
      <c r="K190" s="119" t="n">
        <f aca="false">SUMIFS(tabela_registros[VALOR],tabela_registros[MÊS],$AE$1,tabela_registros[DIA],reservavariáveisconsolidadoago[[#Headers],[7]],tabela_registros[REGISTRO],DADOS!$N$6,tabela_registros[TIPO],DADOS!$AJ$4,tabela_registros[CATEGORIA],reservavariáveisconsolidadoago[[#This Row],[ATUAL]])</f>
        <v>0</v>
      </c>
      <c r="L190" s="119" t="n">
        <f aca="false">SUMIFS(tabela_registros[VALOR],tabela_registros[MÊS],$AE$1,tabela_registros[DIA],reservavariáveisconsolidadoago[[#Headers],[8]],tabela_registros[REGISTRO],DADOS!$N$6,tabela_registros[TIPO],DADOS!$AJ$4,tabela_registros[CATEGORIA],reservavariáveisconsolidadoago[[#This Row],[ATUAL]])</f>
        <v>0</v>
      </c>
      <c r="M190" s="119" t="n">
        <f aca="false">SUMIFS(tabela_registros[VALOR],tabela_registros[MÊS],$AE$1,tabela_registros[DIA],reservavariáveisconsolidadoago[[#Headers],[9]],tabela_registros[REGISTRO],DADOS!$N$6,tabela_registros[TIPO],DADOS!$AJ$4,tabela_registros[CATEGORIA],reservavariáveisconsolidadoago[[#This Row],[ATUAL]])</f>
        <v>0</v>
      </c>
      <c r="N190" s="119" t="n">
        <f aca="false">SUMIFS(tabela_registros[VALOR],tabela_registros[MÊS],$AE$1,tabela_registros[DIA],reservavariáveisconsolidadoago[[#Headers],[10]],tabela_registros[REGISTRO],DADOS!$N$6,tabela_registros[TIPO],DADOS!$AJ$4,tabela_registros[CATEGORIA],reservavariáveisconsolidadoago[[#This Row],[ATUAL]])</f>
        <v>0</v>
      </c>
      <c r="O190" s="119" t="n">
        <f aca="false">SUMIFS(tabela_registros[VALOR],tabela_registros[MÊS],$AE$1,tabela_registros[DIA],reservavariáveisconsolidadoago[[#Headers],[11]],tabela_registros[REGISTRO],DADOS!$N$6,tabela_registros[TIPO],DADOS!$AJ$4,tabela_registros[CATEGORIA],reservavariáveisconsolidadoago[[#This Row],[ATUAL]])</f>
        <v>0</v>
      </c>
      <c r="P190" s="119" t="n">
        <f aca="false">SUMIFS(tabela_registros[VALOR],tabela_registros[MÊS],$AE$1,tabela_registros[DIA],reservavariáveisconsolidadoago[[#Headers],[12]],tabela_registros[REGISTRO],DADOS!$N$6,tabela_registros[TIPO],DADOS!$AJ$4,tabela_registros[CATEGORIA],reservavariáveisconsolidadoago[[#This Row],[ATUAL]])</f>
        <v>0</v>
      </c>
      <c r="Q190" s="119" t="n">
        <f aca="false">SUMIFS(tabela_registros[VALOR],tabela_registros[MÊS],$AE$1,tabela_registros[DIA],reservavariáveisconsolidadoago[[#Headers],[13]],tabela_registros[REGISTRO],DADOS!$N$6,tabela_registros[TIPO],DADOS!$AJ$4,tabela_registros[CATEGORIA],reservavariáveisconsolidadoago[[#This Row],[ATUAL]])</f>
        <v>0</v>
      </c>
      <c r="R190" s="119" t="n">
        <f aca="false">SUMIFS(tabela_registros[VALOR],tabela_registros[MÊS],$AE$1,tabela_registros[DIA],reservavariáveisconsolidadoago[[#Headers],[14]],tabela_registros[REGISTRO],DADOS!$N$6,tabela_registros[TIPO],DADOS!$AJ$4,tabela_registros[CATEGORIA],reservavariáveisconsolidadoago[[#This Row],[ATUAL]])</f>
        <v>0</v>
      </c>
      <c r="S190" s="119" t="n">
        <f aca="false">SUMIFS(tabela_registros[VALOR],tabela_registros[MÊS],$AE$1,tabela_registros[DIA],reservavariáveisconsolidadoago[[#Headers],[15]],tabela_registros[REGISTRO],DADOS!$N$6,tabela_registros[TIPO],DADOS!$AJ$4,tabela_registros[CATEGORIA],reservavariáveisconsolidadoago[[#This Row],[ATUAL]])</f>
        <v>0</v>
      </c>
      <c r="T190" s="119" t="n">
        <f aca="false">SUMIFS(tabela_registros[VALOR],tabela_registros[MÊS],$AE$1,tabela_registros[DIA],reservavariáveisconsolidadoago[[#Headers],[16]],tabela_registros[REGISTRO],DADOS!$N$6,tabela_registros[TIPO],DADOS!$AJ$4,tabela_registros[CATEGORIA],reservavariáveisconsolidadoago[[#This Row],[ATUAL]])</f>
        <v>0</v>
      </c>
      <c r="U190" s="119" t="n">
        <f aca="false">SUMIFS(tabela_registros[VALOR],tabela_registros[MÊS],$AE$1,tabela_registros[DIA],reservavariáveisconsolidadoago[[#Headers],[17]],tabela_registros[REGISTRO],DADOS!$N$6,tabela_registros[TIPO],DADOS!$AJ$4,tabela_registros[CATEGORIA],reservavariáveisconsolidadoago[[#This Row],[ATUAL]])</f>
        <v>0</v>
      </c>
      <c r="V190" s="119" t="n">
        <f aca="false">SUMIFS(tabela_registros[VALOR],tabela_registros[MÊS],$AE$1,tabela_registros[DIA],reservavariáveisconsolidadoago[[#Headers],[18]],tabela_registros[REGISTRO],DADOS!$N$6,tabela_registros[TIPO],DADOS!$AJ$4,tabela_registros[CATEGORIA],reservavariáveisconsolidadoago[[#This Row],[ATUAL]])</f>
        <v>0</v>
      </c>
      <c r="W190" s="119" t="n">
        <f aca="false">SUMIFS(tabela_registros[VALOR],tabela_registros[MÊS],$AE$1,tabela_registros[DIA],reservavariáveisconsolidadoago[[#Headers],[19]],tabela_registros[REGISTRO],DADOS!$N$6,tabela_registros[TIPO],DADOS!$AJ$4,tabela_registros[CATEGORIA],reservavariáveisconsolidadoago[[#This Row],[ATUAL]])</f>
        <v>0</v>
      </c>
      <c r="X190" s="119" t="n">
        <f aca="false">SUMIFS(tabela_registros[VALOR],tabela_registros[MÊS],$AE$1,tabela_registros[DIA],reservavariáveisconsolidadoago[[#Headers],[20]],tabela_registros[REGISTRO],DADOS!$N$6,tabela_registros[TIPO],DADOS!$AJ$4,tabela_registros[CATEGORIA],reservavariáveisconsolidadoago[[#This Row],[ATUAL]])</f>
        <v>0</v>
      </c>
      <c r="Y190" s="119" t="n">
        <f aca="false">SUMIFS(tabela_registros[VALOR],tabela_registros[MÊS],$AE$1,tabela_registros[DIA],reservavariáveisconsolidadoago[[#Headers],[21]],tabela_registros[REGISTRO],DADOS!$N$6,tabela_registros[TIPO],DADOS!$AJ$4,tabela_registros[CATEGORIA],reservavariáveisconsolidadoago[[#This Row],[ATUAL]])</f>
        <v>0</v>
      </c>
      <c r="Z190" s="119" t="n">
        <f aca="false">SUMIFS(tabela_registros[VALOR],tabela_registros[MÊS],$AE$1,tabela_registros[DIA],reservavariáveisconsolidadoago[[#Headers],[22]],tabela_registros[REGISTRO],DADOS!$N$6,tabela_registros[TIPO],DADOS!$AJ$4,tabela_registros[CATEGORIA],reservavariáveisconsolidadoago[[#This Row],[ATUAL]])</f>
        <v>0</v>
      </c>
      <c r="AA190" s="119" t="n">
        <f aca="false">SUMIFS(tabela_registros[VALOR],tabela_registros[MÊS],$AE$1,tabela_registros[DIA],reservavariáveisconsolidadoago[[#Headers],[23]],tabela_registros[REGISTRO],DADOS!$N$6,tabela_registros[TIPO],DADOS!$AJ$4,tabela_registros[CATEGORIA],reservavariáveisconsolidadoago[[#This Row],[ATUAL]])</f>
        <v>0</v>
      </c>
      <c r="AB190" s="119" t="n">
        <f aca="false">SUMIFS(tabela_registros[VALOR],tabela_registros[MÊS],$AE$1,tabela_registros[DIA],reservavariáveisconsolidadoago[[#Headers],[24]],tabela_registros[REGISTRO],DADOS!$N$6,tabela_registros[TIPO],DADOS!$AJ$4,tabela_registros[CATEGORIA],reservavariáveisconsolidadoago[[#This Row],[ATUAL]])</f>
        <v>0</v>
      </c>
      <c r="AC190" s="119" t="n">
        <f aca="false">SUMIFS(tabela_registros[VALOR],tabela_registros[MÊS],$AE$1,tabela_registros[DIA],reservavariáveisconsolidadoago[[#Headers],[25]],tabela_registros[REGISTRO],DADOS!$N$6,tabela_registros[TIPO],DADOS!$AJ$4,tabela_registros[CATEGORIA],reservavariáveisconsolidadoago[[#This Row],[ATUAL]])</f>
        <v>0</v>
      </c>
      <c r="AD190" s="119" t="n">
        <f aca="false">SUMIFS(tabela_registros[VALOR],tabela_registros[MÊS],$AE$1,tabela_registros[DIA],reservavariáveisconsolidadoago[[#Headers],[26]],tabela_registros[REGISTRO],DADOS!$N$6,tabela_registros[TIPO],DADOS!$AJ$4,tabela_registros[CATEGORIA],reservavariáveisconsolidadoago[[#This Row],[ATUAL]])</f>
        <v>0</v>
      </c>
      <c r="AE190" s="119" t="n">
        <f aca="false">SUMIFS(tabela_registros[VALOR],tabela_registros[MÊS],$AE$1,tabela_registros[DIA],reservavariáveisconsolidadoago[[#Headers],[27]],tabela_registros[REGISTRO],DADOS!$N$6,tabela_registros[TIPO],DADOS!$AJ$4,tabela_registros[CATEGORIA],reservavariáveisconsolidadoago[[#This Row],[ATUAL]])</f>
        <v>0</v>
      </c>
      <c r="AF190" s="119" t="n">
        <f aca="false">SUMIFS(tabela_registros[VALOR],tabela_registros[MÊS],$AE$1,tabela_registros[DIA],reservavariáveisconsolidadoago[[#Headers],[28]],tabela_registros[REGISTRO],DADOS!$N$6,tabela_registros[TIPO],DADOS!$AJ$4,tabela_registros[CATEGORIA],reservavariáveisconsolidadoago[[#This Row],[ATUAL]])</f>
        <v>0</v>
      </c>
      <c r="AG190" s="119" t="n">
        <f aca="false">SUMIFS(tabela_registros[VALOR],tabela_registros[MÊS],$AE$1,tabela_registros[DIA],reservavariáveisconsolidadoago[[#Headers],[29]],tabela_registros[REGISTRO],DADOS!$N$6,tabela_registros[TIPO],DADOS!$AJ$4,tabela_registros[CATEGORIA],reservavariáveisconsolidadoago[[#This Row],[ATUAL]])</f>
        <v>0</v>
      </c>
      <c r="AH190" s="119" t="n">
        <f aca="false">SUMIFS(tabela_registros[VALOR],tabela_registros[MÊS],$AE$1,tabela_registros[DIA],reservavariáveisconsolidadoago[[#Headers],[30]],tabela_registros[REGISTRO],DADOS!$N$6,tabela_registros[TIPO],DADOS!$AJ$4,tabela_registros[CATEGORIA],reservavariáveisconsolidadoago[[#This Row],[ATUAL]])</f>
        <v>0</v>
      </c>
      <c r="AI190" s="217" t="n">
        <f aca="false">SUMIFS(tabela_registros[VALOR],tabela_registros[MÊS],$AE$1,tabela_registros[DIA],reservavariáveisconsolidadoago[[#Headers],[31]],tabela_registros[REGISTRO],DADOS!$N$6,tabela_registros[TIPO],DADOS!$AJ$4,tabela_registros[CATEGORIA],reservavariáveisconsolidadoago[[#This Row],[ATUAL]])</f>
        <v>0</v>
      </c>
      <c r="AJ190" s="149" t="n">
        <f aca="false">SUM(reservavariáveisconsolidadoago[[#This Row],[1]:[31]])</f>
        <v>0</v>
      </c>
      <c r="AK190" s="165"/>
    </row>
    <row r="191" customFormat="false" ht="19.5" hidden="false" customHeight="true" outlineLevel="0" collapsed="false">
      <c r="B191" s="143"/>
      <c r="C191" s="144" t="str">
        <f aca="false">DADOS!$AN$7</f>
        <v>📝 CRIPTOMOEDA</v>
      </c>
      <c r="D191" s="145" t="str">
        <f aca="false">IF(reservavariáveisconsolidadoago[[#This Row],[TOTAL (R$)]]=0,"",IF(OR(reservavariáveisconsolidadoago[[#This Row],[TOTAL (R$)]]=LARGE($AJ$187:$AJ$196,1),reservavariáveisconsolidadoago[[#This Row],[TOTAL (R$)]]=LARGE($AJ$187:$AJ$196,2)),DADOS!$I$11,""))</f>
        <v/>
      </c>
      <c r="E191" s="148" t="n">
        <f aca="false">SUMIFS(tabela_registros[VALOR],tabela_registros[MÊS],$AE$1,tabela_registros[DIA],reservavariáveisconsolidadoago[[#Headers],[1]],tabela_registros[REGISTRO],DADOS!$N$6,tabela_registros[TIPO],DADOS!$AJ$4,tabela_registros[CATEGORIA],reservavariáveisconsolidadoago[[#This Row],[ATUAL]])</f>
        <v>0</v>
      </c>
      <c r="F191" s="119" t="n">
        <f aca="false">SUMIFS(tabela_registros[VALOR],tabela_registros[MÊS],$AE$1,tabela_registros[DIA],reservavariáveisconsolidadoago[[#Headers],[2]],tabela_registros[REGISTRO],DADOS!$N$6,tabela_registros[TIPO],DADOS!$AJ$4,tabela_registros[CATEGORIA],reservavariáveisconsolidadoago[[#This Row],[ATUAL]])</f>
        <v>0</v>
      </c>
      <c r="G191" s="119" t="n">
        <f aca="false">SUMIFS(tabela_registros[VALOR],tabela_registros[MÊS],$AE$1,tabela_registros[DIA],reservavariáveisconsolidadoago[[#Headers],[3]],tabela_registros[REGISTRO],DADOS!$N$6,tabela_registros[TIPO],DADOS!$AJ$4,tabela_registros[CATEGORIA],reservavariáveisconsolidadoago[[#This Row],[ATUAL]])</f>
        <v>0</v>
      </c>
      <c r="H191" s="119" t="n">
        <f aca="false">SUMIFS(tabela_registros[VALOR],tabela_registros[MÊS],$AE$1,tabela_registros[DIA],reservavariáveisconsolidadoago[[#Headers],[4]],tabela_registros[REGISTRO],DADOS!$N$6,tabela_registros[TIPO],DADOS!$AJ$4,tabela_registros[CATEGORIA],reservavariáveisconsolidadoago[[#This Row],[ATUAL]])</f>
        <v>0</v>
      </c>
      <c r="I191" s="119" t="n">
        <f aca="false">SUMIFS(tabela_registros[VALOR],tabela_registros[MÊS],$AE$1,tabela_registros[DIA],reservavariáveisconsolidadoago[[#Headers],[5]],tabela_registros[REGISTRO],DADOS!$N$6,tabela_registros[TIPO],DADOS!$AJ$4,tabela_registros[CATEGORIA],reservavariáveisconsolidadoago[[#This Row],[ATUAL]])</f>
        <v>0</v>
      </c>
      <c r="J191" s="119" t="n">
        <f aca="false">SUMIFS(tabela_registros[VALOR],tabela_registros[MÊS],$AE$1,tabela_registros[DIA],reservavariáveisconsolidadoago[[#Headers],[6]],tabela_registros[REGISTRO],DADOS!$N$6,tabela_registros[TIPO],DADOS!$AJ$4,tabela_registros[CATEGORIA],reservavariáveisconsolidadoago[[#This Row],[ATUAL]])</f>
        <v>0</v>
      </c>
      <c r="K191" s="119" t="n">
        <f aca="false">SUMIFS(tabela_registros[VALOR],tabela_registros[MÊS],$AE$1,tabela_registros[DIA],reservavariáveisconsolidadoago[[#Headers],[7]],tabela_registros[REGISTRO],DADOS!$N$6,tabela_registros[TIPO],DADOS!$AJ$4,tabela_registros[CATEGORIA],reservavariáveisconsolidadoago[[#This Row],[ATUAL]])</f>
        <v>0</v>
      </c>
      <c r="L191" s="119" t="n">
        <f aca="false">SUMIFS(tabela_registros[VALOR],tabela_registros[MÊS],$AE$1,tabela_registros[DIA],reservavariáveisconsolidadoago[[#Headers],[8]],tabela_registros[REGISTRO],DADOS!$N$6,tabela_registros[TIPO],DADOS!$AJ$4,tabela_registros[CATEGORIA],reservavariáveisconsolidadoago[[#This Row],[ATUAL]])</f>
        <v>0</v>
      </c>
      <c r="M191" s="119" t="n">
        <f aca="false">SUMIFS(tabela_registros[VALOR],tabela_registros[MÊS],$AE$1,tabela_registros[DIA],reservavariáveisconsolidadoago[[#Headers],[9]],tabela_registros[REGISTRO],DADOS!$N$6,tabela_registros[TIPO],DADOS!$AJ$4,tabela_registros[CATEGORIA],reservavariáveisconsolidadoago[[#This Row],[ATUAL]])</f>
        <v>0</v>
      </c>
      <c r="N191" s="119" t="n">
        <f aca="false">SUMIFS(tabela_registros[VALOR],tabela_registros[MÊS],$AE$1,tabela_registros[DIA],reservavariáveisconsolidadoago[[#Headers],[10]],tabela_registros[REGISTRO],DADOS!$N$6,tabela_registros[TIPO],DADOS!$AJ$4,tabela_registros[CATEGORIA],reservavariáveisconsolidadoago[[#This Row],[ATUAL]])</f>
        <v>0</v>
      </c>
      <c r="O191" s="119" t="n">
        <f aca="false">SUMIFS(tabela_registros[VALOR],tabela_registros[MÊS],$AE$1,tabela_registros[DIA],reservavariáveisconsolidadoago[[#Headers],[11]],tabela_registros[REGISTRO],DADOS!$N$6,tabela_registros[TIPO],DADOS!$AJ$4,tabela_registros[CATEGORIA],reservavariáveisconsolidadoago[[#This Row],[ATUAL]])</f>
        <v>0</v>
      </c>
      <c r="P191" s="119" t="n">
        <f aca="false">SUMIFS(tabela_registros[VALOR],tabela_registros[MÊS],$AE$1,tabela_registros[DIA],reservavariáveisconsolidadoago[[#Headers],[12]],tabela_registros[REGISTRO],DADOS!$N$6,tabela_registros[TIPO],DADOS!$AJ$4,tabela_registros[CATEGORIA],reservavariáveisconsolidadoago[[#This Row],[ATUAL]])</f>
        <v>0</v>
      </c>
      <c r="Q191" s="119" t="n">
        <f aca="false">SUMIFS(tabela_registros[VALOR],tabela_registros[MÊS],$AE$1,tabela_registros[DIA],reservavariáveisconsolidadoago[[#Headers],[13]],tabela_registros[REGISTRO],DADOS!$N$6,tabela_registros[TIPO],DADOS!$AJ$4,tabela_registros[CATEGORIA],reservavariáveisconsolidadoago[[#This Row],[ATUAL]])</f>
        <v>0</v>
      </c>
      <c r="R191" s="119" t="n">
        <f aca="false">SUMIFS(tabela_registros[VALOR],tabela_registros[MÊS],$AE$1,tabela_registros[DIA],reservavariáveisconsolidadoago[[#Headers],[14]],tabela_registros[REGISTRO],DADOS!$N$6,tabela_registros[TIPO],DADOS!$AJ$4,tabela_registros[CATEGORIA],reservavariáveisconsolidadoago[[#This Row],[ATUAL]])</f>
        <v>0</v>
      </c>
      <c r="S191" s="119" t="n">
        <f aca="false">SUMIFS(tabela_registros[VALOR],tabela_registros[MÊS],$AE$1,tabela_registros[DIA],reservavariáveisconsolidadoago[[#Headers],[15]],tabela_registros[REGISTRO],DADOS!$N$6,tabela_registros[TIPO],DADOS!$AJ$4,tabela_registros[CATEGORIA],reservavariáveisconsolidadoago[[#This Row],[ATUAL]])</f>
        <v>0</v>
      </c>
      <c r="T191" s="119" t="n">
        <f aca="false">SUMIFS(tabela_registros[VALOR],tabela_registros[MÊS],$AE$1,tabela_registros[DIA],reservavariáveisconsolidadoago[[#Headers],[16]],tabela_registros[REGISTRO],DADOS!$N$6,tabela_registros[TIPO],DADOS!$AJ$4,tabela_registros[CATEGORIA],reservavariáveisconsolidadoago[[#This Row],[ATUAL]])</f>
        <v>0</v>
      </c>
      <c r="U191" s="119" t="n">
        <f aca="false">SUMIFS(tabela_registros[VALOR],tabela_registros[MÊS],$AE$1,tabela_registros[DIA],reservavariáveisconsolidadoago[[#Headers],[17]],tabela_registros[REGISTRO],DADOS!$N$6,tabela_registros[TIPO],DADOS!$AJ$4,tabela_registros[CATEGORIA],reservavariáveisconsolidadoago[[#This Row],[ATUAL]])</f>
        <v>0</v>
      </c>
      <c r="V191" s="119" t="n">
        <f aca="false">SUMIFS(tabela_registros[VALOR],tabela_registros[MÊS],$AE$1,tabela_registros[DIA],reservavariáveisconsolidadoago[[#Headers],[18]],tabela_registros[REGISTRO],DADOS!$N$6,tabela_registros[TIPO],DADOS!$AJ$4,tabela_registros[CATEGORIA],reservavariáveisconsolidadoago[[#This Row],[ATUAL]])</f>
        <v>0</v>
      </c>
      <c r="W191" s="119" t="n">
        <f aca="false">SUMIFS(tabela_registros[VALOR],tabela_registros[MÊS],$AE$1,tabela_registros[DIA],reservavariáveisconsolidadoago[[#Headers],[19]],tabela_registros[REGISTRO],DADOS!$N$6,tabela_registros[TIPO],DADOS!$AJ$4,tabela_registros[CATEGORIA],reservavariáveisconsolidadoago[[#This Row],[ATUAL]])</f>
        <v>0</v>
      </c>
      <c r="X191" s="119" t="n">
        <f aca="false">SUMIFS(tabela_registros[VALOR],tabela_registros[MÊS],$AE$1,tabela_registros[DIA],reservavariáveisconsolidadoago[[#Headers],[20]],tabela_registros[REGISTRO],DADOS!$N$6,tabela_registros[TIPO],DADOS!$AJ$4,tabela_registros[CATEGORIA],reservavariáveisconsolidadoago[[#This Row],[ATUAL]])</f>
        <v>0</v>
      </c>
      <c r="Y191" s="119" t="n">
        <f aca="false">SUMIFS(tabela_registros[VALOR],tabela_registros[MÊS],$AE$1,tabela_registros[DIA],reservavariáveisconsolidadoago[[#Headers],[21]],tabela_registros[REGISTRO],DADOS!$N$6,tabela_registros[TIPO],DADOS!$AJ$4,tabela_registros[CATEGORIA],reservavariáveisconsolidadoago[[#This Row],[ATUAL]])</f>
        <v>0</v>
      </c>
      <c r="Z191" s="119" t="n">
        <f aca="false">SUMIFS(tabela_registros[VALOR],tabela_registros[MÊS],$AE$1,tabela_registros[DIA],reservavariáveisconsolidadoago[[#Headers],[22]],tabela_registros[REGISTRO],DADOS!$N$6,tabela_registros[TIPO],DADOS!$AJ$4,tabela_registros[CATEGORIA],reservavariáveisconsolidadoago[[#This Row],[ATUAL]])</f>
        <v>0</v>
      </c>
      <c r="AA191" s="119" t="n">
        <f aca="false">SUMIFS(tabela_registros[VALOR],tabela_registros[MÊS],$AE$1,tabela_registros[DIA],reservavariáveisconsolidadoago[[#Headers],[23]],tabela_registros[REGISTRO],DADOS!$N$6,tabela_registros[TIPO],DADOS!$AJ$4,tabela_registros[CATEGORIA],reservavariáveisconsolidadoago[[#This Row],[ATUAL]])</f>
        <v>0</v>
      </c>
      <c r="AB191" s="119" t="n">
        <f aca="false">SUMIFS(tabela_registros[VALOR],tabela_registros[MÊS],$AE$1,tabela_registros[DIA],reservavariáveisconsolidadoago[[#Headers],[24]],tabela_registros[REGISTRO],DADOS!$N$6,tabela_registros[TIPO],DADOS!$AJ$4,tabela_registros[CATEGORIA],reservavariáveisconsolidadoago[[#This Row],[ATUAL]])</f>
        <v>0</v>
      </c>
      <c r="AC191" s="119" t="n">
        <f aca="false">SUMIFS(tabela_registros[VALOR],tabela_registros[MÊS],$AE$1,tabela_registros[DIA],reservavariáveisconsolidadoago[[#Headers],[25]],tabela_registros[REGISTRO],DADOS!$N$6,tabela_registros[TIPO],DADOS!$AJ$4,tabela_registros[CATEGORIA],reservavariáveisconsolidadoago[[#This Row],[ATUAL]])</f>
        <v>0</v>
      </c>
      <c r="AD191" s="119" t="n">
        <f aca="false">SUMIFS(tabela_registros[VALOR],tabela_registros[MÊS],$AE$1,tabela_registros[DIA],reservavariáveisconsolidadoago[[#Headers],[26]],tabela_registros[REGISTRO],DADOS!$N$6,tabela_registros[TIPO],DADOS!$AJ$4,tabela_registros[CATEGORIA],reservavariáveisconsolidadoago[[#This Row],[ATUAL]])</f>
        <v>0</v>
      </c>
      <c r="AE191" s="119" t="n">
        <f aca="false">SUMIFS(tabela_registros[VALOR],tabela_registros[MÊS],$AE$1,tabela_registros[DIA],reservavariáveisconsolidadoago[[#Headers],[27]],tabela_registros[REGISTRO],DADOS!$N$6,tabela_registros[TIPO],DADOS!$AJ$4,tabela_registros[CATEGORIA],reservavariáveisconsolidadoago[[#This Row],[ATUAL]])</f>
        <v>0</v>
      </c>
      <c r="AF191" s="119" t="n">
        <f aca="false">SUMIFS(tabela_registros[VALOR],tabela_registros[MÊS],$AE$1,tabela_registros[DIA],reservavariáveisconsolidadoago[[#Headers],[28]],tabela_registros[REGISTRO],DADOS!$N$6,tabela_registros[TIPO],DADOS!$AJ$4,tabela_registros[CATEGORIA],reservavariáveisconsolidadoago[[#This Row],[ATUAL]])</f>
        <v>0</v>
      </c>
      <c r="AG191" s="119" t="n">
        <f aca="false">SUMIFS(tabela_registros[VALOR],tabela_registros[MÊS],$AE$1,tabela_registros[DIA],reservavariáveisconsolidadoago[[#Headers],[29]],tabela_registros[REGISTRO],DADOS!$N$6,tabela_registros[TIPO],DADOS!$AJ$4,tabela_registros[CATEGORIA],reservavariáveisconsolidadoago[[#This Row],[ATUAL]])</f>
        <v>0</v>
      </c>
      <c r="AH191" s="119" t="n">
        <f aca="false">SUMIFS(tabela_registros[VALOR],tabela_registros[MÊS],$AE$1,tabela_registros[DIA],reservavariáveisconsolidadoago[[#Headers],[30]],tabela_registros[REGISTRO],DADOS!$N$6,tabela_registros[TIPO],DADOS!$AJ$4,tabela_registros[CATEGORIA],reservavariáveisconsolidadoago[[#This Row],[ATUAL]])</f>
        <v>0</v>
      </c>
      <c r="AI191" s="217" t="n">
        <f aca="false">SUMIFS(tabela_registros[VALOR],tabela_registros[MÊS],$AE$1,tabela_registros[DIA],reservavariáveisconsolidadoago[[#Headers],[31]],tabela_registros[REGISTRO],DADOS!$N$6,tabela_registros[TIPO],DADOS!$AJ$4,tabela_registros[CATEGORIA],reservavariáveisconsolidadoago[[#This Row],[ATUAL]])</f>
        <v>0</v>
      </c>
      <c r="AJ191" s="149" t="n">
        <f aca="false">SUM(reservavariáveisconsolidadoago[[#This Row],[1]:[31]])</f>
        <v>0</v>
      </c>
      <c r="AK191" s="165"/>
    </row>
    <row r="192" customFormat="false" ht="19.5" hidden="false" customHeight="true" outlineLevel="0" collapsed="false">
      <c r="B192" s="143"/>
      <c r="C192" s="144" t="str">
        <f aca="false">DADOS!$AN$8</f>
        <v>📝 ETF</v>
      </c>
      <c r="D192" s="145" t="str">
        <f aca="false">IF(reservavariáveisconsolidadoago[[#This Row],[TOTAL (R$)]]=0,"",IF(OR(reservavariáveisconsolidadoago[[#This Row],[TOTAL (R$)]]=LARGE($AJ$187:$AJ$196,1),reservavariáveisconsolidadoago[[#This Row],[TOTAL (R$)]]=LARGE($AJ$187:$AJ$196,2)),DADOS!$I$11,""))</f>
        <v/>
      </c>
      <c r="E192" s="148" t="n">
        <f aca="false">SUMIFS(tabela_registros[VALOR],tabela_registros[MÊS],$AE$1,tabela_registros[DIA],reservavariáveisconsolidadoago[[#Headers],[1]],tabela_registros[REGISTRO],DADOS!$N$6,tabela_registros[TIPO],DADOS!$AJ$4,tabela_registros[CATEGORIA],reservavariáveisconsolidadoago[[#This Row],[ATUAL]])</f>
        <v>0</v>
      </c>
      <c r="F192" s="119" t="n">
        <f aca="false">SUMIFS(tabela_registros[VALOR],tabela_registros[MÊS],$AE$1,tabela_registros[DIA],reservavariáveisconsolidadoago[[#Headers],[2]],tabela_registros[REGISTRO],DADOS!$N$6,tabela_registros[TIPO],DADOS!$AJ$4,tabela_registros[CATEGORIA],reservavariáveisconsolidadoago[[#This Row],[ATUAL]])</f>
        <v>0</v>
      </c>
      <c r="G192" s="119" t="n">
        <f aca="false">SUMIFS(tabela_registros[VALOR],tabela_registros[MÊS],$AE$1,tabela_registros[DIA],reservavariáveisconsolidadoago[[#Headers],[3]],tabela_registros[REGISTRO],DADOS!$N$6,tabela_registros[TIPO],DADOS!$AJ$4,tabela_registros[CATEGORIA],reservavariáveisconsolidadoago[[#This Row],[ATUAL]])</f>
        <v>0</v>
      </c>
      <c r="H192" s="119" t="n">
        <f aca="false">SUMIFS(tabela_registros[VALOR],tabela_registros[MÊS],$AE$1,tabela_registros[DIA],reservavariáveisconsolidadoago[[#Headers],[4]],tabela_registros[REGISTRO],DADOS!$N$6,tabela_registros[TIPO],DADOS!$AJ$4,tabela_registros[CATEGORIA],reservavariáveisconsolidadoago[[#This Row],[ATUAL]])</f>
        <v>0</v>
      </c>
      <c r="I192" s="119" t="n">
        <f aca="false">SUMIFS(tabela_registros[VALOR],tabela_registros[MÊS],$AE$1,tabela_registros[DIA],reservavariáveisconsolidadoago[[#Headers],[5]],tabela_registros[REGISTRO],DADOS!$N$6,tabela_registros[TIPO],DADOS!$AJ$4,tabela_registros[CATEGORIA],reservavariáveisconsolidadoago[[#This Row],[ATUAL]])</f>
        <v>0</v>
      </c>
      <c r="J192" s="119" t="n">
        <f aca="false">SUMIFS(tabela_registros[VALOR],tabela_registros[MÊS],$AE$1,tabela_registros[DIA],reservavariáveisconsolidadoago[[#Headers],[6]],tabela_registros[REGISTRO],DADOS!$N$6,tabela_registros[TIPO],DADOS!$AJ$4,tabela_registros[CATEGORIA],reservavariáveisconsolidadoago[[#This Row],[ATUAL]])</f>
        <v>0</v>
      </c>
      <c r="K192" s="119" t="n">
        <f aca="false">SUMIFS(tabela_registros[VALOR],tabela_registros[MÊS],$AE$1,tabela_registros[DIA],reservavariáveisconsolidadoago[[#Headers],[7]],tabela_registros[REGISTRO],DADOS!$N$6,tabela_registros[TIPO],DADOS!$AJ$4,tabela_registros[CATEGORIA],reservavariáveisconsolidadoago[[#This Row],[ATUAL]])</f>
        <v>0</v>
      </c>
      <c r="L192" s="119" t="n">
        <f aca="false">SUMIFS(tabela_registros[VALOR],tabela_registros[MÊS],$AE$1,tabela_registros[DIA],reservavariáveisconsolidadoago[[#Headers],[8]],tabela_registros[REGISTRO],DADOS!$N$6,tabela_registros[TIPO],DADOS!$AJ$4,tabela_registros[CATEGORIA],reservavariáveisconsolidadoago[[#This Row],[ATUAL]])</f>
        <v>0</v>
      </c>
      <c r="M192" s="119" t="n">
        <f aca="false">SUMIFS(tabela_registros[VALOR],tabela_registros[MÊS],$AE$1,tabela_registros[DIA],reservavariáveisconsolidadoago[[#Headers],[9]],tabela_registros[REGISTRO],DADOS!$N$6,tabela_registros[TIPO],DADOS!$AJ$4,tabela_registros[CATEGORIA],reservavariáveisconsolidadoago[[#This Row],[ATUAL]])</f>
        <v>0</v>
      </c>
      <c r="N192" s="119" t="n">
        <f aca="false">SUMIFS(tabela_registros[VALOR],tabela_registros[MÊS],$AE$1,tabela_registros[DIA],reservavariáveisconsolidadoago[[#Headers],[10]],tabela_registros[REGISTRO],DADOS!$N$6,tabela_registros[TIPO],DADOS!$AJ$4,tabela_registros[CATEGORIA],reservavariáveisconsolidadoago[[#This Row],[ATUAL]])</f>
        <v>0</v>
      </c>
      <c r="O192" s="119" t="n">
        <f aca="false">SUMIFS(tabela_registros[VALOR],tabela_registros[MÊS],$AE$1,tabela_registros[DIA],reservavariáveisconsolidadoago[[#Headers],[11]],tabela_registros[REGISTRO],DADOS!$N$6,tabela_registros[TIPO],DADOS!$AJ$4,tabela_registros[CATEGORIA],reservavariáveisconsolidadoago[[#This Row],[ATUAL]])</f>
        <v>0</v>
      </c>
      <c r="P192" s="119" t="n">
        <f aca="false">SUMIFS(tabela_registros[VALOR],tabela_registros[MÊS],$AE$1,tabela_registros[DIA],reservavariáveisconsolidadoago[[#Headers],[12]],tabela_registros[REGISTRO],DADOS!$N$6,tabela_registros[TIPO],DADOS!$AJ$4,tabela_registros[CATEGORIA],reservavariáveisconsolidadoago[[#This Row],[ATUAL]])</f>
        <v>0</v>
      </c>
      <c r="Q192" s="119" t="n">
        <f aca="false">SUMIFS(tabela_registros[VALOR],tabela_registros[MÊS],$AE$1,tabela_registros[DIA],reservavariáveisconsolidadoago[[#Headers],[13]],tabela_registros[REGISTRO],DADOS!$N$6,tabela_registros[TIPO],DADOS!$AJ$4,tabela_registros[CATEGORIA],reservavariáveisconsolidadoago[[#This Row],[ATUAL]])</f>
        <v>0</v>
      </c>
      <c r="R192" s="119" t="n">
        <f aca="false">SUMIFS(tabela_registros[VALOR],tabela_registros[MÊS],$AE$1,tabela_registros[DIA],reservavariáveisconsolidadoago[[#Headers],[14]],tabela_registros[REGISTRO],DADOS!$N$6,tabela_registros[TIPO],DADOS!$AJ$4,tabela_registros[CATEGORIA],reservavariáveisconsolidadoago[[#This Row],[ATUAL]])</f>
        <v>0</v>
      </c>
      <c r="S192" s="119" t="n">
        <f aca="false">SUMIFS(tabela_registros[VALOR],tabela_registros[MÊS],$AE$1,tabela_registros[DIA],reservavariáveisconsolidadoago[[#Headers],[15]],tabela_registros[REGISTRO],DADOS!$N$6,tabela_registros[TIPO],DADOS!$AJ$4,tabela_registros[CATEGORIA],reservavariáveisconsolidadoago[[#This Row],[ATUAL]])</f>
        <v>0</v>
      </c>
      <c r="T192" s="119" t="n">
        <f aca="false">SUMIFS(tabela_registros[VALOR],tabela_registros[MÊS],$AE$1,tabela_registros[DIA],reservavariáveisconsolidadoago[[#Headers],[16]],tabela_registros[REGISTRO],DADOS!$N$6,tabela_registros[TIPO],DADOS!$AJ$4,tabela_registros[CATEGORIA],reservavariáveisconsolidadoago[[#This Row],[ATUAL]])</f>
        <v>0</v>
      </c>
      <c r="U192" s="119" t="n">
        <f aca="false">SUMIFS(tabela_registros[VALOR],tabela_registros[MÊS],$AE$1,tabela_registros[DIA],reservavariáveisconsolidadoago[[#Headers],[17]],tabela_registros[REGISTRO],DADOS!$N$6,tabela_registros[TIPO],DADOS!$AJ$4,tabela_registros[CATEGORIA],reservavariáveisconsolidadoago[[#This Row],[ATUAL]])</f>
        <v>0</v>
      </c>
      <c r="V192" s="119" t="n">
        <f aca="false">SUMIFS(tabela_registros[VALOR],tabela_registros[MÊS],$AE$1,tabela_registros[DIA],reservavariáveisconsolidadoago[[#Headers],[18]],tabela_registros[REGISTRO],DADOS!$N$6,tabela_registros[TIPO],DADOS!$AJ$4,tabela_registros[CATEGORIA],reservavariáveisconsolidadoago[[#This Row],[ATUAL]])</f>
        <v>0</v>
      </c>
      <c r="W192" s="119" t="n">
        <f aca="false">SUMIFS(tabela_registros[VALOR],tabela_registros[MÊS],$AE$1,tabela_registros[DIA],reservavariáveisconsolidadoago[[#Headers],[19]],tabela_registros[REGISTRO],DADOS!$N$6,tabela_registros[TIPO],DADOS!$AJ$4,tabela_registros[CATEGORIA],reservavariáveisconsolidadoago[[#This Row],[ATUAL]])</f>
        <v>0</v>
      </c>
      <c r="X192" s="119" t="n">
        <f aca="false">SUMIFS(tabela_registros[VALOR],tabela_registros[MÊS],$AE$1,tabela_registros[DIA],reservavariáveisconsolidadoago[[#Headers],[20]],tabela_registros[REGISTRO],DADOS!$N$6,tabela_registros[TIPO],DADOS!$AJ$4,tabela_registros[CATEGORIA],reservavariáveisconsolidadoago[[#This Row],[ATUAL]])</f>
        <v>0</v>
      </c>
      <c r="Y192" s="119" t="n">
        <f aca="false">SUMIFS(tabela_registros[VALOR],tabela_registros[MÊS],$AE$1,tabela_registros[DIA],reservavariáveisconsolidadoago[[#Headers],[21]],tabela_registros[REGISTRO],DADOS!$N$6,tabela_registros[TIPO],DADOS!$AJ$4,tabela_registros[CATEGORIA],reservavariáveisconsolidadoago[[#This Row],[ATUAL]])</f>
        <v>0</v>
      </c>
      <c r="Z192" s="119" t="n">
        <f aca="false">SUMIFS(tabela_registros[VALOR],tabela_registros[MÊS],$AE$1,tabela_registros[DIA],reservavariáveisconsolidadoago[[#Headers],[22]],tabela_registros[REGISTRO],DADOS!$N$6,tabela_registros[TIPO],DADOS!$AJ$4,tabela_registros[CATEGORIA],reservavariáveisconsolidadoago[[#This Row],[ATUAL]])</f>
        <v>0</v>
      </c>
      <c r="AA192" s="119" t="n">
        <f aca="false">SUMIFS(tabela_registros[VALOR],tabela_registros[MÊS],$AE$1,tabela_registros[DIA],reservavariáveisconsolidadoago[[#Headers],[23]],tabela_registros[REGISTRO],DADOS!$N$6,tabela_registros[TIPO],DADOS!$AJ$4,tabela_registros[CATEGORIA],reservavariáveisconsolidadoago[[#This Row],[ATUAL]])</f>
        <v>0</v>
      </c>
      <c r="AB192" s="119" t="n">
        <f aca="false">SUMIFS(tabela_registros[VALOR],tabela_registros[MÊS],$AE$1,tabela_registros[DIA],reservavariáveisconsolidadoago[[#Headers],[24]],tabela_registros[REGISTRO],DADOS!$N$6,tabela_registros[TIPO],DADOS!$AJ$4,tabela_registros[CATEGORIA],reservavariáveisconsolidadoago[[#This Row],[ATUAL]])</f>
        <v>0</v>
      </c>
      <c r="AC192" s="119" t="n">
        <f aca="false">SUMIFS(tabela_registros[VALOR],tabela_registros[MÊS],$AE$1,tabela_registros[DIA],reservavariáveisconsolidadoago[[#Headers],[25]],tabela_registros[REGISTRO],DADOS!$N$6,tabela_registros[TIPO],DADOS!$AJ$4,tabela_registros[CATEGORIA],reservavariáveisconsolidadoago[[#This Row],[ATUAL]])</f>
        <v>0</v>
      </c>
      <c r="AD192" s="119" t="n">
        <f aca="false">SUMIFS(tabela_registros[VALOR],tabela_registros[MÊS],$AE$1,tabela_registros[DIA],reservavariáveisconsolidadoago[[#Headers],[26]],tabela_registros[REGISTRO],DADOS!$N$6,tabela_registros[TIPO],DADOS!$AJ$4,tabela_registros[CATEGORIA],reservavariáveisconsolidadoago[[#This Row],[ATUAL]])</f>
        <v>0</v>
      </c>
      <c r="AE192" s="119" t="n">
        <f aca="false">SUMIFS(tabela_registros[VALOR],tabela_registros[MÊS],$AE$1,tabela_registros[DIA],reservavariáveisconsolidadoago[[#Headers],[27]],tabela_registros[REGISTRO],DADOS!$N$6,tabela_registros[TIPO],DADOS!$AJ$4,tabela_registros[CATEGORIA],reservavariáveisconsolidadoago[[#This Row],[ATUAL]])</f>
        <v>0</v>
      </c>
      <c r="AF192" s="119" t="n">
        <f aca="false">SUMIFS(tabela_registros[VALOR],tabela_registros[MÊS],$AE$1,tabela_registros[DIA],reservavariáveisconsolidadoago[[#Headers],[28]],tabela_registros[REGISTRO],DADOS!$N$6,tabela_registros[TIPO],DADOS!$AJ$4,tabela_registros[CATEGORIA],reservavariáveisconsolidadoago[[#This Row],[ATUAL]])</f>
        <v>0</v>
      </c>
      <c r="AG192" s="119" t="n">
        <f aca="false">SUMIFS(tabela_registros[VALOR],tabela_registros[MÊS],$AE$1,tabela_registros[DIA],reservavariáveisconsolidadoago[[#Headers],[29]],tabela_registros[REGISTRO],DADOS!$N$6,tabela_registros[TIPO],DADOS!$AJ$4,tabela_registros[CATEGORIA],reservavariáveisconsolidadoago[[#This Row],[ATUAL]])</f>
        <v>0</v>
      </c>
      <c r="AH192" s="119" t="n">
        <f aca="false">SUMIFS(tabela_registros[VALOR],tabela_registros[MÊS],$AE$1,tabela_registros[DIA],reservavariáveisconsolidadoago[[#Headers],[30]],tabela_registros[REGISTRO],DADOS!$N$6,tabela_registros[TIPO],DADOS!$AJ$4,tabela_registros[CATEGORIA],reservavariáveisconsolidadoago[[#This Row],[ATUAL]])</f>
        <v>0</v>
      </c>
      <c r="AI192" s="217" t="n">
        <f aca="false">SUMIFS(tabela_registros[VALOR],tabela_registros[MÊS],$AE$1,tabela_registros[DIA],reservavariáveisconsolidadoago[[#Headers],[31]],tabela_registros[REGISTRO],DADOS!$N$6,tabela_registros[TIPO],DADOS!$AJ$4,tabela_registros[CATEGORIA],reservavariáveisconsolidadoago[[#This Row],[ATUAL]])</f>
        <v>0</v>
      </c>
      <c r="AJ192" s="149" t="n">
        <f aca="false">SUM(reservavariáveisconsolidadoago[[#This Row],[1]:[31]])</f>
        <v>0</v>
      </c>
      <c r="AK192" s="165"/>
    </row>
    <row r="193" customFormat="false" ht="19.5" hidden="false" customHeight="true" outlineLevel="0" collapsed="false">
      <c r="B193" s="143"/>
      <c r="C193" s="144" t="str">
        <f aca="false">DADOS!$AN$9</f>
        <v>📝 EXTERIOR</v>
      </c>
      <c r="D193" s="145" t="str">
        <f aca="false">IF(reservavariáveisconsolidadoago[[#This Row],[TOTAL (R$)]]=0,"",IF(OR(reservavariáveisconsolidadoago[[#This Row],[TOTAL (R$)]]=LARGE($AJ$187:$AJ$196,1),reservavariáveisconsolidadoago[[#This Row],[TOTAL (R$)]]=LARGE($AJ$187:$AJ$196,2)),DADOS!$I$11,""))</f>
        <v/>
      </c>
      <c r="E193" s="148" t="n">
        <f aca="false">SUMIFS(tabela_registros[VALOR],tabela_registros[MÊS],$AE$1,tabela_registros[DIA],reservavariáveisconsolidadoago[[#Headers],[1]],tabela_registros[REGISTRO],DADOS!$N$6,tabela_registros[TIPO],DADOS!$AJ$4,tabela_registros[CATEGORIA],reservavariáveisconsolidadoago[[#This Row],[ATUAL]])</f>
        <v>0</v>
      </c>
      <c r="F193" s="119" t="n">
        <f aca="false">SUMIFS(tabela_registros[VALOR],tabela_registros[MÊS],$AE$1,tabela_registros[DIA],reservavariáveisconsolidadoago[[#Headers],[2]],tabela_registros[REGISTRO],DADOS!$N$6,tabela_registros[TIPO],DADOS!$AJ$4,tabela_registros[CATEGORIA],reservavariáveisconsolidadoago[[#This Row],[ATUAL]])</f>
        <v>0</v>
      </c>
      <c r="G193" s="119" t="n">
        <f aca="false">SUMIFS(tabela_registros[VALOR],tabela_registros[MÊS],$AE$1,tabela_registros[DIA],reservavariáveisconsolidadoago[[#Headers],[3]],tabela_registros[REGISTRO],DADOS!$N$6,tabela_registros[TIPO],DADOS!$AJ$4,tabela_registros[CATEGORIA],reservavariáveisconsolidadoago[[#This Row],[ATUAL]])</f>
        <v>0</v>
      </c>
      <c r="H193" s="119" t="n">
        <f aca="false">SUMIFS(tabela_registros[VALOR],tabela_registros[MÊS],$AE$1,tabela_registros[DIA],reservavariáveisconsolidadoago[[#Headers],[4]],tabela_registros[REGISTRO],DADOS!$N$6,tabela_registros[TIPO],DADOS!$AJ$4,tabela_registros[CATEGORIA],reservavariáveisconsolidadoago[[#This Row],[ATUAL]])</f>
        <v>0</v>
      </c>
      <c r="I193" s="119" t="n">
        <f aca="false">SUMIFS(tabela_registros[VALOR],tabela_registros[MÊS],$AE$1,tabela_registros[DIA],reservavariáveisconsolidadoago[[#Headers],[5]],tabela_registros[REGISTRO],DADOS!$N$6,tabela_registros[TIPO],DADOS!$AJ$4,tabela_registros[CATEGORIA],reservavariáveisconsolidadoago[[#This Row],[ATUAL]])</f>
        <v>0</v>
      </c>
      <c r="J193" s="119" t="n">
        <f aca="false">SUMIFS(tabela_registros[VALOR],tabela_registros[MÊS],$AE$1,tabela_registros[DIA],reservavariáveisconsolidadoago[[#Headers],[6]],tabela_registros[REGISTRO],DADOS!$N$6,tabela_registros[TIPO],DADOS!$AJ$4,tabela_registros[CATEGORIA],reservavariáveisconsolidadoago[[#This Row],[ATUAL]])</f>
        <v>0</v>
      </c>
      <c r="K193" s="119" t="n">
        <f aca="false">SUMIFS(tabela_registros[VALOR],tabela_registros[MÊS],$AE$1,tabela_registros[DIA],reservavariáveisconsolidadoago[[#Headers],[7]],tabela_registros[REGISTRO],DADOS!$N$6,tabela_registros[TIPO],DADOS!$AJ$4,tabela_registros[CATEGORIA],reservavariáveisconsolidadoago[[#This Row],[ATUAL]])</f>
        <v>0</v>
      </c>
      <c r="L193" s="119" t="n">
        <f aca="false">SUMIFS(tabela_registros[VALOR],tabela_registros[MÊS],$AE$1,tabela_registros[DIA],reservavariáveisconsolidadoago[[#Headers],[8]],tabela_registros[REGISTRO],DADOS!$N$6,tabela_registros[TIPO],DADOS!$AJ$4,tabela_registros[CATEGORIA],reservavariáveisconsolidadoago[[#This Row],[ATUAL]])</f>
        <v>0</v>
      </c>
      <c r="M193" s="119" t="n">
        <f aca="false">SUMIFS(tabela_registros[VALOR],tabela_registros[MÊS],$AE$1,tabela_registros[DIA],reservavariáveisconsolidadoago[[#Headers],[9]],tabela_registros[REGISTRO],DADOS!$N$6,tabela_registros[TIPO],DADOS!$AJ$4,tabela_registros[CATEGORIA],reservavariáveisconsolidadoago[[#This Row],[ATUAL]])</f>
        <v>0</v>
      </c>
      <c r="N193" s="119" t="n">
        <f aca="false">SUMIFS(tabela_registros[VALOR],tabela_registros[MÊS],$AE$1,tabela_registros[DIA],reservavariáveisconsolidadoago[[#Headers],[10]],tabela_registros[REGISTRO],DADOS!$N$6,tabela_registros[TIPO],DADOS!$AJ$4,tabela_registros[CATEGORIA],reservavariáveisconsolidadoago[[#This Row],[ATUAL]])</f>
        <v>0</v>
      </c>
      <c r="O193" s="119" t="n">
        <f aca="false">SUMIFS(tabela_registros[VALOR],tabela_registros[MÊS],$AE$1,tabela_registros[DIA],reservavariáveisconsolidadoago[[#Headers],[11]],tabela_registros[REGISTRO],DADOS!$N$6,tabela_registros[TIPO],DADOS!$AJ$4,tabela_registros[CATEGORIA],reservavariáveisconsolidadoago[[#This Row],[ATUAL]])</f>
        <v>0</v>
      </c>
      <c r="P193" s="119" t="n">
        <f aca="false">SUMIFS(tabela_registros[VALOR],tabela_registros[MÊS],$AE$1,tabela_registros[DIA],reservavariáveisconsolidadoago[[#Headers],[12]],tabela_registros[REGISTRO],DADOS!$N$6,tabela_registros[TIPO],DADOS!$AJ$4,tabela_registros[CATEGORIA],reservavariáveisconsolidadoago[[#This Row],[ATUAL]])</f>
        <v>0</v>
      </c>
      <c r="Q193" s="119" t="n">
        <f aca="false">SUMIFS(tabela_registros[VALOR],tabela_registros[MÊS],$AE$1,tabela_registros[DIA],reservavariáveisconsolidadoago[[#Headers],[13]],tabela_registros[REGISTRO],DADOS!$N$6,tabela_registros[TIPO],DADOS!$AJ$4,tabela_registros[CATEGORIA],reservavariáveisconsolidadoago[[#This Row],[ATUAL]])</f>
        <v>0</v>
      </c>
      <c r="R193" s="119" t="n">
        <f aca="false">SUMIFS(tabela_registros[VALOR],tabela_registros[MÊS],$AE$1,tabela_registros[DIA],reservavariáveisconsolidadoago[[#Headers],[14]],tabela_registros[REGISTRO],DADOS!$N$6,tabela_registros[TIPO],DADOS!$AJ$4,tabela_registros[CATEGORIA],reservavariáveisconsolidadoago[[#This Row],[ATUAL]])</f>
        <v>0</v>
      </c>
      <c r="S193" s="119" t="n">
        <f aca="false">SUMIFS(tabela_registros[VALOR],tabela_registros[MÊS],$AE$1,tabela_registros[DIA],reservavariáveisconsolidadoago[[#Headers],[15]],tabela_registros[REGISTRO],DADOS!$N$6,tabela_registros[TIPO],DADOS!$AJ$4,tabela_registros[CATEGORIA],reservavariáveisconsolidadoago[[#This Row],[ATUAL]])</f>
        <v>0</v>
      </c>
      <c r="T193" s="119" t="n">
        <f aca="false">SUMIFS(tabela_registros[VALOR],tabela_registros[MÊS],$AE$1,tabela_registros[DIA],reservavariáveisconsolidadoago[[#Headers],[16]],tabela_registros[REGISTRO],DADOS!$N$6,tabela_registros[TIPO],DADOS!$AJ$4,tabela_registros[CATEGORIA],reservavariáveisconsolidadoago[[#This Row],[ATUAL]])</f>
        <v>0</v>
      </c>
      <c r="U193" s="119" t="n">
        <f aca="false">SUMIFS(tabela_registros[VALOR],tabela_registros[MÊS],$AE$1,tabela_registros[DIA],reservavariáveisconsolidadoago[[#Headers],[17]],tabela_registros[REGISTRO],DADOS!$N$6,tabela_registros[TIPO],DADOS!$AJ$4,tabela_registros[CATEGORIA],reservavariáveisconsolidadoago[[#This Row],[ATUAL]])</f>
        <v>0</v>
      </c>
      <c r="V193" s="119" t="n">
        <f aca="false">SUMIFS(tabela_registros[VALOR],tabela_registros[MÊS],$AE$1,tabela_registros[DIA],reservavariáveisconsolidadoago[[#Headers],[18]],tabela_registros[REGISTRO],DADOS!$N$6,tabela_registros[TIPO],DADOS!$AJ$4,tabela_registros[CATEGORIA],reservavariáveisconsolidadoago[[#This Row],[ATUAL]])</f>
        <v>0</v>
      </c>
      <c r="W193" s="119" t="n">
        <f aca="false">SUMIFS(tabela_registros[VALOR],tabela_registros[MÊS],$AE$1,tabela_registros[DIA],reservavariáveisconsolidadoago[[#Headers],[19]],tabela_registros[REGISTRO],DADOS!$N$6,tabela_registros[TIPO],DADOS!$AJ$4,tabela_registros[CATEGORIA],reservavariáveisconsolidadoago[[#This Row],[ATUAL]])</f>
        <v>0</v>
      </c>
      <c r="X193" s="119" t="n">
        <f aca="false">SUMIFS(tabela_registros[VALOR],tabela_registros[MÊS],$AE$1,tabela_registros[DIA],reservavariáveisconsolidadoago[[#Headers],[20]],tabela_registros[REGISTRO],DADOS!$N$6,tabela_registros[TIPO],DADOS!$AJ$4,tabela_registros[CATEGORIA],reservavariáveisconsolidadoago[[#This Row],[ATUAL]])</f>
        <v>0</v>
      </c>
      <c r="Y193" s="119" t="n">
        <f aca="false">SUMIFS(tabela_registros[VALOR],tabela_registros[MÊS],$AE$1,tabela_registros[DIA],reservavariáveisconsolidadoago[[#Headers],[21]],tabela_registros[REGISTRO],DADOS!$N$6,tabela_registros[TIPO],DADOS!$AJ$4,tabela_registros[CATEGORIA],reservavariáveisconsolidadoago[[#This Row],[ATUAL]])</f>
        <v>0</v>
      </c>
      <c r="Z193" s="119" t="n">
        <f aca="false">SUMIFS(tabela_registros[VALOR],tabela_registros[MÊS],$AE$1,tabela_registros[DIA],reservavariáveisconsolidadoago[[#Headers],[22]],tabela_registros[REGISTRO],DADOS!$N$6,tabela_registros[TIPO],DADOS!$AJ$4,tabela_registros[CATEGORIA],reservavariáveisconsolidadoago[[#This Row],[ATUAL]])</f>
        <v>0</v>
      </c>
      <c r="AA193" s="119" t="n">
        <f aca="false">SUMIFS(tabela_registros[VALOR],tabela_registros[MÊS],$AE$1,tabela_registros[DIA],reservavariáveisconsolidadoago[[#Headers],[23]],tabela_registros[REGISTRO],DADOS!$N$6,tabela_registros[TIPO],DADOS!$AJ$4,tabela_registros[CATEGORIA],reservavariáveisconsolidadoago[[#This Row],[ATUAL]])</f>
        <v>0</v>
      </c>
      <c r="AB193" s="119" t="n">
        <f aca="false">SUMIFS(tabela_registros[VALOR],tabela_registros[MÊS],$AE$1,tabela_registros[DIA],reservavariáveisconsolidadoago[[#Headers],[24]],tabela_registros[REGISTRO],DADOS!$N$6,tabela_registros[TIPO],DADOS!$AJ$4,tabela_registros[CATEGORIA],reservavariáveisconsolidadoago[[#This Row],[ATUAL]])</f>
        <v>0</v>
      </c>
      <c r="AC193" s="119" t="n">
        <f aca="false">SUMIFS(tabela_registros[VALOR],tabela_registros[MÊS],$AE$1,tabela_registros[DIA],reservavariáveisconsolidadoago[[#Headers],[25]],tabela_registros[REGISTRO],DADOS!$N$6,tabela_registros[TIPO],DADOS!$AJ$4,tabela_registros[CATEGORIA],reservavariáveisconsolidadoago[[#This Row],[ATUAL]])</f>
        <v>0</v>
      </c>
      <c r="AD193" s="119" t="n">
        <f aca="false">SUMIFS(tabela_registros[VALOR],tabela_registros[MÊS],$AE$1,tabela_registros[DIA],reservavariáveisconsolidadoago[[#Headers],[26]],tabela_registros[REGISTRO],DADOS!$N$6,tabela_registros[TIPO],DADOS!$AJ$4,tabela_registros[CATEGORIA],reservavariáveisconsolidadoago[[#This Row],[ATUAL]])</f>
        <v>0</v>
      </c>
      <c r="AE193" s="119" t="n">
        <f aca="false">SUMIFS(tabela_registros[VALOR],tabela_registros[MÊS],$AE$1,tabela_registros[DIA],reservavariáveisconsolidadoago[[#Headers],[27]],tabela_registros[REGISTRO],DADOS!$N$6,tabela_registros[TIPO],DADOS!$AJ$4,tabela_registros[CATEGORIA],reservavariáveisconsolidadoago[[#This Row],[ATUAL]])</f>
        <v>0</v>
      </c>
      <c r="AF193" s="119" t="n">
        <f aca="false">SUMIFS(tabela_registros[VALOR],tabela_registros[MÊS],$AE$1,tabela_registros[DIA],reservavariáveisconsolidadoago[[#Headers],[28]],tabela_registros[REGISTRO],DADOS!$N$6,tabela_registros[TIPO],DADOS!$AJ$4,tabela_registros[CATEGORIA],reservavariáveisconsolidadoago[[#This Row],[ATUAL]])</f>
        <v>0</v>
      </c>
      <c r="AG193" s="119" t="n">
        <f aca="false">SUMIFS(tabela_registros[VALOR],tabela_registros[MÊS],$AE$1,tabela_registros[DIA],reservavariáveisconsolidadoago[[#Headers],[29]],tabela_registros[REGISTRO],DADOS!$N$6,tabela_registros[TIPO],DADOS!$AJ$4,tabela_registros[CATEGORIA],reservavariáveisconsolidadoago[[#This Row],[ATUAL]])</f>
        <v>0</v>
      </c>
      <c r="AH193" s="119" t="n">
        <f aca="false">SUMIFS(tabela_registros[VALOR],tabela_registros[MÊS],$AE$1,tabela_registros[DIA],reservavariáveisconsolidadoago[[#Headers],[30]],tabela_registros[REGISTRO],DADOS!$N$6,tabela_registros[TIPO],DADOS!$AJ$4,tabela_registros[CATEGORIA],reservavariáveisconsolidadoago[[#This Row],[ATUAL]])</f>
        <v>0</v>
      </c>
      <c r="AI193" s="217" t="n">
        <f aca="false">SUMIFS(tabela_registros[VALOR],tabela_registros[MÊS],$AE$1,tabela_registros[DIA],reservavariáveisconsolidadoago[[#Headers],[31]],tabela_registros[REGISTRO],DADOS!$N$6,tabela_registros[TIPO],DADOS!$AJ$4,tabela_registros[CATEGORIA],reservavariáveisconsolidadoago[[#This Row],[ATUAL]])</f>
        <v>0</v>
      </c>
      <c r="AJ193" s="149" t="n">
        <f aca="false">SUM(reservavariáveisconsolidadoago[[#This Row],[1]:[31]])</f>
        <v>0</v>
      </c>
      <c r="AK193" s="165"/>
    </row>
    <row r="194" customFormat="false" ht="19.5" hidden="false" customHeight="true" outlineLevel="0" collapsed="false">
      <c r="B194" s="143"/>
      <c r="C194" s="144" t="str">
        <f aca="false">DADOS!$AN$10</f>
        <v>📝 FII</v>
      </c>
      <c r="D194" s="145" t="str">
        <f aca="false">IF(reservavariáveisconsolidadoago[[#This Row],[TOTAL (R$)]]=0,"",IF(OR(reservavariáveisconsolidadoago[[#This Row],[TOTAL (R$)]]=LARGE($AJ$187:$AJ$196,1),reservavariáveisconsolidadoago[[#This Row],[TOTAL (R$)]]=LARGE($AJ$187:$AJ$196,2)),DADOS!$I$11,""))</f>
        <v/>
      </c>
      <c r="E194" s="148" t="n">
        <f aca="false">SUMIFS(tabela_registros[VALOR],tabela_registros[MÊS],$AE$1,tabela_registros[DIA],reservavariáveisconsolidadoago[[#Headers],[1]],tabela_registros[REGISTRO],DADOS!$N$6,tabela_registros[TIPO],DADOS!$AJ$4,tabela_registros[CATEGORIA],reservavariáveisconsolidadoago[[#This Row],[ATUAL]])</f>
        <v>0</v>
      </c>
      <c r="F194" s="119" t="n">
        <f aca="false">SUMIFS(tabela_registros[VALOR],tabela_registros[MÊS],$AE$1,tabela_registros[DIA],reservavariáveisconsolidadoago[[#Headers],[2]],tabela_registros[REGISTRO],DADOS!$N$6,tabela_registros[TIPO],DADOS!$AJ$4,tabela_registros[CATEGORIA],reservavariáveisconsolidadoago[[#This Row],[ATUAL]])</f>
        <v>0</v>
      </c>
      <c r="G194" s="119" t="n">
        <f aca="false">SUMIFS(tabela_registros[VALOR],tabela_registros[MÊS],$AE$1,tabela_registros[DIA],reservavariáveisconsolidadoago[[#Headers],[3]],tabela_registros[REGISTRO],DADOS!$N$6,tabela_registros[TIPO],DADOS!$AJ$4,tabela_registros[CATEGORIA],reservavariáveisconsolidadoago[[#This Row],[ATUAL]])</f>
        <v>0</v>
      </c>
      <c r="H194" s="119" t="n">
        <f aca="false">SUMIFS(tabela_registros[VALOR],tabela_registros[MÊS],$AE$1,tabela_registros[DIA],reservavariáveisconsolidadoago[[#Headers],[4]],tabela_registros[REGISTRO],DADOS!$N$6,tabela_registros[TIPO],DADOS!$AJ$4,tabela_registros[CATEGORIA],reservavariáveisconsolidadoago[[#This Row],[ATUAL]])</f>
        <v>0</v>
      </c>
      <c r="I194" s="119" t="n">
        <f aca="false">SUMIFS(tabela_registros[VALOR],tabela_registros[MÊS],$AE$1,tabela_registros[DIA],reservavariáveisconsolidadoago[[#Headers],[5]],tabela_registros[REGISTRO],DADOS!$N$6,tabela_registros[TIPO],DADOS!$AJ$4,tabela_registros[CATEGORIA],reservavariáveisconsolidadoago[[#This Row],[ATUAL]])</f>
        <v>0</v>
      </c>
      <c r="J194" s="119" t="n">
        <f aca="false">SUMIFS(tabela_registros[VALOR],tabela_registros[MÊS],$AE$1,tabela_registros[DIA],reservavariáveisconsolidadoago[[#Headers],[6]],tabela_registros[REGISTRO],DADOS!$N$6,tabela_registros[TIPO],DADOS!$AJ$4,tabela_registros[CATEGORIA],reservavariáveisconsolidadoago[[#This Row],[ATUAL]])</f>
        <v>0</v>
      </c>
      <c r="K194" s="119" t="n">
        <f aca="false">SUMIFS(tabela_registros[VALOR],tabela_registros[MÊS],$AE$1,tabela_registros[DIA],reservavariáveisconsolidadoago[[#Headers],[7]],tabela_registros[REGISTRO],DADOS!$N$6,tabela_registros[TIPO],DADOS!$AJ$4,tabela_registros[CATEGORIA],reservavariáveisconsolidadoago[[#This Row],[ATUAL]])</f>
        <v>0</v>
      </c>
      <c r="L194" s="119" t="n">
        <f aca="false">SUMIFS(tabela_registros[VALOR],tabela_registros[MÊS],$AE$1,tabela_registros[DIA],reservavariáveisconsolidadoago[[#Headers],[8]],tabela_registros[REGISTRO],DADOS!$N$6,tabela_registros[TIPO],DADOS!$AJ$4,tabela_registros[CATEGORIA],reservavariáveisconsolidadoago[[#This Row],[ATUAL]])</f>
        <v>0</v>
      </c>
      <c r="M194" s="119" t="n">
        <f aca="false">SUMIFS(tabela_registros[VALOR],tabela_registros[MÊS],$AE$1,tabela_registros[DIA],reservavariáveisconsolidadoago[[#Headers],[9]],tabela_registros[REGISTRO],DADOS!$N$6,tabela_registros[TIPO],DADOS!$AJ$4,tabela_registros[CATEGORIA],reservavariáveisconsolidadoago[[#This Row],[ATUAL]])</f>
        <v>0</v>
      </c>
      <c r="N194" s="119" t="n">
        <f aca="false">SUMIFS(tabela_registros[VALOR],tabela_registros[MÊS],$AE$1,tabela_registros[DIA],reservavariáveisconsolidadoago[[#Headers],[10]],tabela_registros[REGISTRO],DADOS!$N$6,tabela_registros[TIPO],DADOS!$AJ$4,tabela_registros[CATEGORIA],reservavariáveisconsolidadoago[[#This Row],[ATUAL]])</f>
        <v>0</v>
      </c>
      <c r="O194" s="119" t="n">
        <f aca="false">SUMIFS(tabela_registros[VALOR],tabela_registros[MÊS],$AE$1,tabela_registros[DIA],reservavariáveisconsolidadoago[[#Headers],[11]],tabela_registros[REGISTRO],DADOS!$N$6,tabela_registros[TIPO],DADOS!$AJ$4,tabela_registros[CATEGORIA],reservavariáveisconsolidadoago[[#This Row],[ATUAL]])</f>
        <v>0</v>
      </c>
      <c r="P194" s="119" t="n">
        <f aca="false">SUMIFS(tabela_registros[VALOR],tabela_registros[MÊS],$AE$1,tabela_registros[DIA],reservavariáveisconsolidadoago[[#Headers],[12]],tabela_registros[REGISTRO],DADOS!$N$6,tabela_registros[TIPO],DADOS!$AJ$4,tabela_registros[CATEGORIA],reservavariáveisconsolidadoago[[#This Row],[ATUAL]])</f>
        <v>0</v>
      </c>
      <c r="Q194" s="119" t="n">
        <f aca="false">SUMIFS(tabela_registros[VALOR],tabela_registros[MÊS],$AE$1,tabela_registros[DIA],reservavariáveisconsolidadoago[[#Headers],[13]],tabela_registros[REGISTRO],DADOS!$N$6,tabela_registros[TIPO],DADOS!$AJ$4,tabela_registros[CATEGORIA],reservavariáveisconsolidadoago[[#This Row],[ATUAL]])</f>
        <v>0</v>
      </c>
      <c r="R194" s="119" t="n">
        <f aca="false">SUMIFS(tabela_registros[VALOR],tabela_registros[MÊS],$AE$1,tabela_registros[DIA],reservavariáveisconsolidadoago[[#Headers],[14]],tabela_registros[REGISTRO],DADOS!$N$6,tabela_registros[TIPO],DADOS!$AJ$4,tabela_registros[CATEGORIA],reservavariáveisconsolidadoago[[#This Row],[ATUAL]])</f>
        <v>0</v>
      </c>
      <c r="S194" s="119" t="n">
        <f aca="false">SUMIFS(tabela_registros[VALOR],tabela_registros[MÊS],$AE$1,tabela_registros[DIA],reservavariáveisconsolidadoago[[#Headers],[15]],tabela_registros[REGISTRO],DADOS!$N$6,tabela_registros[TIPO],DADOS!$AJ$4,tabela_registros[CATEGORIA],reservavariáveisconsolidadoago[[#This Row],[ATUAL]])</f>
        <v>0</v>
      </c>
      <c r="T194" s="119" t="n">
        <f aca="false">SUMIFS(tabela_registros[VALOR],tabela_registros[MÊS],$AE$1,tabela_registros[DIA],reservavariáveisconsolidadoago[[#Headers],[16]],tabela_registros[REGISTRO],DADOS!$N$6,tabela_registros[TIPO],DADOS!$AJ$4,tabela_registros[CATEGORIA],reservavariáveisconsolidadoago[[#This Row],[ATUAL]])</f>
        <v>0</v>
      </c>
      <c r="U194" s="119" t="n">
        <f aca="false">SUMIFS(tabela_registros[VALOR],tabela_registros[MÊS],$AE$1,tabela_registros[DIA],reservavariáveisconsolidadoago[[#Headers],[17]],tabela_registros[REGISTRO],DADOS!$N$6,tabela_registros[TIPO],DADOS!$AJ$4,tabela_registros[CATEGORIA],reservavariáveisconsolidadoago[[#This Row],[ATUAL]])</f>
        <v>0</v>
      </c>
      <c r="V194" s="119" t="n">
        <f aca="false">SUMIFS(tabela_registros[VALOR],tabela_registros[MÊS],$AE$1,tabela_registros[DIA],reservavariáveisconsolidadoago[[#Headers],[18]],tabela_registros[REGISTRO],DADOS!$N$6,tabela_registros[TIPO],DADOS!$AJ$4,tabela_registros[CATEGORIA],reservavariáveisconsolidadoago[[#This Row],[ATUAL]])</f>
        <v>0</v>
      </c>
      <c r="W194" s="119" t="n">
        <f aca="false">SUMIFS(tabela_registros[VALOR],tabela_registros[MÊS],$AE$1,tabela_registros[DIA],reservavariáveisconsolidadoago[[#Headers],[19]],tabela_registros[REGISTRO],DADOS!$N$6,tabela_registros[TIPO],DADOS!$AJ$4,tabela_registros[CATEGORIA],reservavariáveisconsolidadoago[[#This Row],[ATUAL]])</f>
        <v>0</v>
      </c>
      <c r="X194" s="119" t="n">
        <f aca="false">SUMIFS(tabela_registros[VALOR],tabela_registros[MÊS],$AE$1,tabela_registros[DIA],reservavariáveisconsolidadoago[[#Headers],[20]],tabela_registros[REGISTRO],DADOS!$N$6,tabela_registros[TIPO],DADOS!$AJ$4,tabela_registros[CATEGORIA],reservavariáveisconsolidadoago[[#This Row],[ATUAL]])</f>
        <v>0</v>
      </c>
      <c r="Y194" s="119" t="n">
        <f aca="false">SUMIFS(tabela_registros[VALOR],tabela_registros[MÊS],$AE$1,tabela_registros[DIA],reservavariáveisconsolidadoago[[#Headers],[21]],tabela_registros[REGISTRO],DADOS!$N$6,tabela_registros[TIPO],DADOS!$AJ$4,tabela_registros[CATEGORIA],reservavariáveisconsolidadoago[[#This Row],[ATUAL]])</f>
        <v>0</v>
      </c>
      <c r="Z194" s="119" t="n">
        <f aca="false">SUMIFS(tabela_registros[VALOR],tabela_registros[MÊS],$AE$1,tabela_registros[DIA],reservavariáveisconsolidadoago[[#Headers],[22]],tabela_registros[REGISTRO],DADOS!$N$6,tabela_registros[TIPO],DADOS!$AJ$4,tabela_registros[CATEGORIA],reservavariáveisconsolidadoago[[#This Row],[ATUAL]])</f>
        <v>0</v>
      </c>
      <c r="AA194" s="119" t="n">
        <f aca="false">SUMIFS(tabela_registros[VALOR],tabela_registros[MÊS],$AE$1,tabela_registros[DIA],reservavariáveisconsolidadoago[[#Headers],[23]],tabela_registros[REGISTRO],DADOS!$N$6,tabela_registros[TIPO],DADOS!$AJ$4,tabela_registros[CATEGORIA],reservavariáveisconsolidadoago[[#This Row],[ATUAL]])</f>
        <v>0</v>
      </c>
      <c r="AB194" s="119" t="n">
        <f aca="false">SUMIFS(tabela_registros[VALOR],tabela_registros[MÊS],$AE$1,tabela_registros[DIA],reservavariáveisconsolidadoago[[#Headers],[24]],tabela_registros[REGISTRO],DADOS!$N$6,tabela_registros[TIPO],DADOS!$AJ$4,tabela_registros[CATEGORIA],reservavariáveisconsolidadoago[[#This Row],[ATUAL]])</f>
        <v>0</v>
      </c>
      <c r="AC194" s="119" t="n">
        <f aca="false">SUMIFS(tabela_registros[VALOR],tabela_registros[MÊS],$AE$1,tabela_registros[DIA],reservavariáveisconsolidadoago[[#Headers],[25]],tabela_registros[REGISTRO],DADOS!$N$6,tabela_registros[TIPO],DADOS!$AJ$4,tabela_registros[CATEGORIA],reservavariáveisconsolidadoago[[#This Row],[ATUAL]])</f>
        <v>0</v>
      </c>
      <c r="AD194" s="119" t="n">
        <f aca="false">SUMIFS(tabela_registros[VALOR],tabela_registros[MÊS],$AE$1,tabela_registros[DIA],reservavariáveisconsolidadoago[[#Headers],[26]],tabela_registros[REGISTRO],DADOS!$N$6,tabela_registros[TIPO],DADOS!$AJ$4,tabela_registros[CATEGORIA],reservavariáveisconsolidadoago[[#This Row],[ATUAL]])</f>
        <v>0</v>
      </c>
      <c r="AE194" s="119" t="n">
        <f aca="false">SUMIFS(tabela_registros[VALOR],tabela_registros[MÊS],$AE$1,tabela_registros[DIA],reservavariáveisconsolidadoago[[#Headers],[27]],tabela_registros[REGISTRO],DADOS!$N$6,tabela_registros[TIPO],DADOS!$AJ$4,tabela_registros[CATEGORIA],reservavariáveisconsolidadoago[[#This Row],[ATUAL]])</f>
        <v>0</v>
      </c>
      <c r="AF194" s="119" t="n">
        <f aca="false">SUMIFS(tabela_registros[VALOR],tabela_registros[MÊS],$AE$1,tabela_registros[DIA],reservavariáveisconsolidadoago[[#Headers],[28]],tabela_registros[REGISTRO],DADOS!$N$6,tabela_registros[TIPO],DADOS!$AJ$4,tabela_registros[CATEGORIA],reservavariáveisconsolidadoago[[#This Row],[ATUAL]])</f>
        <v>0</v>
      </c>
      <c r="AG194" s="119" t="n">
        <f aca="false">SUMIFS(tabela_registros[VALOR],tabela_registros[MÊS],$AE$1,tabela_registros[DIA],reservavariáveisconsolidadoago[[#Headers],[29]],tabela_registros[REGISTRO],DADOS!$N$6,tabela_registros[TIPO],DADOS!$AJ$4,tabela_registros[CATEGORIA],reservavariáveisconsolidadoago[[#This Row],[ATUAL]])</f>
        <v>0</v>
      </c>
      <c r="AH194" s="119" t="n">
        <f aca="false">SUMIFS(tabela_registros[VALOR],tabela_registros[MÊS],$AE$1,tabela_registros[DIA],reservavariáveisconsolidadoago[[#Headers],[30]],tabela_registros[REGISTRO],DADOS!$N$6,tabela_registros[TIPO],DADOS!$AJ$4,tabela_registros[CATEGORIA],reservavariáveisconsolidadoago[[#This Row],[ATUAL]])</f>
        <v>0</v>
      </c>
      <c r="AI194" s="217" t="n">
        <f aca="false">SUMIFS(tabela_registros[VALOR],tabela_registros[MÊS],$AE$1,tabela_registros[DIA],reservavariáveisconsolidadoago[[#Headers],[31]],tabela_registros[REGISTRO],DADOS!$N$6,tabela_registros[TIPO],DADOS!$AJ$4,tabela_registros[CATEGORIA],reservavariáveisconsolidadoago[[#This Row],[ATUAL]])</f>
        <v>0</v>
      </c>
      <c r="AJ194" s="149" t="n">
        <f aca="false">SUM(reservavariáveisconsolidadoago[[#This Row],[1]:[31]])</f>
        <v>0</v>
      </c>
      <c r="AK194" s="165"/>
    </row>
    <row r="195" customFormat="false" ht="19.5" hidden="false" customHeight="true" outlineLevel="0" collapsed="false">
      <c r="B195" s="143"/>
      <c r="C195" s="144" t="str">
        <f aca="false">DADOS!$AN$11</f>
        <v>📝 MOEDA</v>
      </c>
      <c r="D195" s="145" t="str">
        <f aca="false">IF(reservavariáveisconsolidadoago[[#This Row],[TOTAL (R$)]]=0,"",IF(OR(reservavariáveisconsolidadoago[[#This Row],[TOTAL (R$)]]=LARGE($AJ$187:$AJ$196,1),reservavariáveisconsolidadoago[[#This Row],[TOTAL (R$)]]=LARGE($AJ$187:$AJ$196,2)),DADOS!$I$11,""))</f>
        <v/>
      </c>
      <c r="E195" s="148" t="n">
        <f aca="false">SUMIFS(tabela_registros[VALOR],tabela_registros[MÊS],$AE$1,tabela_registros[DIA],reservavariáveisconsolidadoago[[#Headers],[1]],tabela_registros[REGISTRO],DADOS!$N$6,tabela_registros[TIPO],DADOS!$AJ$4,tabela_registros[CATEGORIA],reservavariáveisconsolidadoago[[#This Row],[ATUAL]])</f>
        <v>0</v>
      </c>
      <c r="F195" s="119" t="n">
        <f aca="false">SUMIFS(tabela_registros[VALOR],tabela_registros[MÊS],$AE$1,tabela_registros[DIA],reservavariáveisconsolidadoago[[#Headers],[2]],tabela_registros[REGISTRO],DADOS!$N$6,tabela_registros[TIPO],DADOS!$AJ$4,tabela_registros[CATEGORIA],reservavariáveisconsolidadoago[[#This Row],[ATUAL]])</f>
        <v>0</v>
      </c>
      <c r="G195" s="119" t="n">
        <f aca="false">SUMIFS(tabela_registros[VALOR],tabela_registros[MÊS],$AE$1,tabela_registros[DIA],reservavariáveisconsolidadoago[[#Headers],[3]],tabela_registros[REGISTRO],DADOS!$N$6,tabela_registros[TIPO],DADOS!$AJ$4,tabela_registros[CATEGORIA],reservavariáveisconsolidadoago[[#This Row],[ATUAL]])</f>
        <v>0</v>
      </c>
      <c r="H195" s="119" t="n">
        <f aca="false">SUMIFS(tabela_registros[VALOR],tabela_registros[MÊS],$AE$1,tabela_registros[DIA],reservavariáveisconsolidadoago[[#Headers],[4]],tabela_registros[REGISTRO],DADOS!$N$6,tabela_registros[TIPO],DADOS!$AJ$4,tabela_registros[CATEGORIA],reservavariáveisconsolidadoago[[#This Row],[ATUAL]])</f>
        <v>0</v>
      </c>
      <c r="I195" s="119" t="n">
        <f aca="false">SUMIFS(tabela_registros[VALOR],tabela_registros[MÊS],$AE$1,tabela_registros[DIA],reservavariáveisconsolidadoago[[#Headers],[5]],tabela_registros[REGISTRO],DADOS!$N$6,tabela_registros[TIPO],DADOS!$AJ$4,tabela_registros[CATEGORIA],reservavariáveisconsolidadoago[[#This Row],[ATUAL]])</f>
        <v>0</v>
      </c>
      <c r="J195" s="119" t="n">
        <f aca="false">SUMIFS(tabela_registros[VALOR],tabela_registros[MÊS],$AE$1,tabela_registros[DIA],reservavariáveisconsolidadoago[[#Headers],[6]],tabela_registros[REGISTRO],DADOS!$N$6,tabela_registros[TIPO],DADOS!$AJ$4,tabela_registros[CATEGORIA],reservavariáveisconsolidadoago[[#This Row],[ATUAL]])</f>
        <v>0</v>
      </c>
      <c r="K195" s="119" t="n">
        <f aca="false">SUMIFS(tabela_registros[VALOR],tabela_registros[MÊS],$AE$1,tabela_registros[DIA],reservavariáveisconsolidadoago[[#Headers],[7]],tabela_registros[REGISTRO],DADOS!$N$6,tabela_registros[TIPO],DADOS!$AJ$4,tabela_registros[CATEGORIA],reservavariáveisconsolidadoago[[#This Row],[ATUAL]])</f>
        <v>0</v>
      </c>
      <c r="L195" s="119" t="n">
        <f aca="false">SUMIFS(tabela_registros[VALOR],tabela_registros[MÊS],$AE$1,tabela_registros[DIA],reservavariáveisconsolidadoago[[#Headers],[8]],tabela_registros[REGISTRO],DADOS!$N$6,tabela_registros[TIPO],DADOS!$AJ$4,tabela_registros[CATEGORIA],reservavariáveisconsolidadoago[[#This Row],[ATUAL]])</f>
        <v>0</v>
      </c>
      <c r="M195" s="119" t="n">
        <f aca="false">SUMIFS(tabela_registros[VALOR],tabela_registros[MÊS],$AE$1,tabela_registros[DIA],reservavariáveisconsolidadoago[[#Headers],[9]],tabela_registros[REGISTRO],DADOS!$N$6,tabela_registros[TIPO],DADOS!$AJ$4,tabela_registros[CATEGORIA],reservavariáveisconsolidadoago[[#This Row],[ATUAL]])</f>
        <v>0</v>
      </c>
      <c r="N195" s="119" t="n">
        <f aca="false">SUMIFS(tabela_registros[VALOR],tabela_registros[MÊS],$AE$1,tabela_registros[DIA],reservavariáveisconsolidadoago[[#Headers],[10]],tabela_registros[REGISTRO],DADOS!$N$6,tabela_registros[TIPO],DADOS!$AJ$4,tabela_registros[CATEGORIA],reservavariáveisconsolidadoago[[#This Row],[ATUAL]])</f>
        <v>0</v>
      </c>
      <c r="O195" s="119" t="n">
        <f aca="false">SUMIFS(tabela_registros[VALOR],tabela_registros[MÊS],$AE$1,tabela_registros[DIA],reservavariáveisconsolidadoago[[#Headers],[11]],tabela_registros[REGISTRO],DADOS!$N$6,tabela_registros[TIPO],DADOS!$AJ$4,tabela_registros[CATEGORIA],reservavariáveisconsolidadoago[[#This Row],[ATUAL]])</f>
        <v>0</v>
      </c>
      <c r="P195" s="119" t="n">
        <f aca="false">SUMIFS(tabela_registros[VALOR],tabela_registros[MÊS],$AE$1,tabela_registros[DIA],reservavariáveisconsolidadoago[[#Headers],[12]],tabela_registros[REGISTRO],DADOS!$N$6,tabela_registros[TIPO],DADOS!$AJ$4,tabela_registros[CATEGORIA],reservavariáveisconsolidadoago[[#This Row],[ATUAL]])</f>
        <v>0</v>
      </c>
      <c r="Q195" s="119" t="n">
        <f aca="false">SUMIFS(tabela_registros[VALOR],tabela_registros[MÊS],$AE$1,tabela_registros[DIA],reservavariáveisconsolidadoago[[#Headers],[13]],tabela_registros[REGISTRO],DADOS!$N$6,tabela_registros[TIPO],DADOS!$AJ$4,tabela_registros[CATEGORIA],reservavariáveisconsolidadoago[[#This Row],[ATUAL]])</f>
        <v>0</v>
      </c>
      <c r="R195" s="119" t="n">
        <f aca="false">SUMIFS(tabela_registros[VALOR],tabela_registros[MÊS],$AE$1,tabela_registros[DIA],reservavariáveisconsolidadoago[[#Headers],[14]],tabela_registros[REGISTRO],DADOS!$N$6,tabela_registros[TIPO],DADOS!$AJ$4,tabela_registros[CATEGORIA],reservavariáveisconsolidadoago[[#This Row],[ATUAL]])</f>
        <v>0</v>
      </c>
      <c r="S195" s="119" t="n">
        <f aca="false">SUMIFS(tabela_registros[VALOR],tabela_registros[MÊS],$AE$1,tabela_registros[DIA],reservavariáveisconsolidadoago[[#Headers],[15]],tabela_registros[REGISTRO],DADOS!$N$6,tabela_registros[TIPO],DADOS!$AJ$4,tabela_registros[CATEGORIA],reservavariáveisconsolidadoago[[#This Row],[ATUAL]])</f>
        <v>0</v>
      </c>
      <c r="T195" s="119" t="n">
        <f aca="false">SUMIFS(tabela_registros[VALOR],tabela_registros[MÊS],$AE$1,tabela_registros[DIA],reservavariáveisconsolidadoago[[#Headers],[16]],tabela_registros[REGISTRO],DADOS!$N$6,tabela_registros[TIPO],DADOS!$AJ$4,tabela_registros[CATEGORIA],reservavariáveisconsolidadoago[[#This Row],[ATUAL]])</f>
        <v>0</v>
      </c>
      <c r="U195" s="119" t="n">
        <f aca="false">SUMIFS(tabela_registros[VALOR],tabela_registros[MÊS],$AE$1,tabela_registros[DIA],reservavariáveisconsolidadoago[[#Headers],[17]],tabela_registros[REGISTRO],DADOS!$N$6,tabela_registros[TIPO],DADOS!$AJ$4,tabela_registros[CATEGORIA],reservavariáveisconsolidadoago[[#This Row],[ATUAL]])</f>
        <v>0</v>
      </c>
      <c r="V195" s="119" t="n">
        <f aca="false">SUMIFS(tabela_registros[VALOR],tabela_registros[MÊS],$AE$1,tabela_registros[DIA],reservavariáveisconsolidadoago[[#Headers],[18]],tabela_registros[REGISTRO],DADOS!$N$6,tabela_registros[TIPO],DADOS!$AJ$4,tabela_registros[CATEGORIA],reservavariáveisconsolidadoago[[#This Row],[ATUAL]])</f>
        <v>0</v>
      </c>
      <c r="W195" s="119" t="n">
        <f aca="false">SUMIFS(tabela_registros[VALOR],tabela_registros[MÊS],$AE$1,tabela_registros[DIA],reservavariáveisconsolidadoago[[#Headers],[19]],tabela_registros[REGISTRO],DADOS!$N$6,tabela_registros[TIPO],DADOS!$AJ$4,tabela_registros[CATEGORIA],reservavariáveisconsolidadoago[[#This Row],[ATUAL]])</f>
        <v>0</v>
      </c>
      <c r="X195" s="119" t="n">
        <f aca="false">SUMIFS(tabela_registros[VALOR],tabela_registros[MÊS],$AE$1,tabela_registros[DIA],reservavariáveisconsolidadoago[[#Headers],[20]],tabela_registros[REGISTRO],DADOS!$N$6,tabela_registros[TIPO],DADOS!$AJ$4,tabela_registros[CATEGORIA],reservavariáveisconsolidadoago[[#This Row],[ATUAL]])</f>
        <v>0</v>
      </c>
      <c r="Y195" s="119" t="n">
        <f aca="false">SUMIFS(tabela_registros[VALOR],tabela_registros[MÊS],$AE$1,tabela_registros[DIA],reservavariáveisconsolidadoago[[#Headers],[21]],tabela_registros[REGISTRO],DADOS!$N$6,tabela_registros[TIPO],DADOS!$AJ$4,tabela_registros[CATEGORIA],reservavariáveisconsolidadoago[[#This Row],[ATUAL]])</f>
        <v>0</v>
      </c>
      <c r="Z195" s="119" t="n">
        <f aca="false">SUMIFS(tabela_registros[VALOR],tabela_registros[MÊS],$AE$1,tabela_registros[DIA],reservavariáveisconsolidadoago[[#Headers],[22]],tabela_registros[REGISTRO],DADOS!$N$6,tabela_registros[TIPO],DADOS!$AJ$4,tabela_registros[CATEGORIA],reservavariáveisconsolidadoago[[#This Row],[ATUAL]])</f>
        <v>0</v>
      </c>
      <c r="AA195" s="119" t="n">
        <f aca="false">SUMIFS(tabela_registros[VALOR],tabela_registros[MÊS],$AE$1,tabela_registros[DIA],reservavariáveisconsolidadoago[[#Headers],[23]],tabela_registros[REGISTRO],DADOS!$N$6,tabela_registros[TIPO],DADOS!$AJ$4,tabela_registros[CATEGORIA],reservavariáveisconsolidadoago[[#This Row],[ATUAL]])</f>
        <v>0</v>
      </c>
      <c r="AB195" s="119" t="n">
        <f aca="false">SUMIFS(tabela_registros[VALOR],tabela_registros[MÊS],$AE$1,tabela_registros[DIA],reservavariáveisconsolidadoago[[#Headers],[24]],tabela_registros[REGISTRO],DADOS!$N$6,tabela_registros[TIPO],DADOS!$AJ$4,tabela_registros[CATEGORIA],reservavariáveisconsolidadoago[[#This Row],[ATUAL]])</f>
        <v>0</v>
      </c>
      <c r="AC195" s="119" t="n">
        <f aca="false">SUMIFS(tabela_registros[VALOR],tabela_registros[MÊS],$AE$1,tabela_registros[DIA],reservavariáveisconsolidadoago[[#Headers],[25]],tabela_registros[REGISTRO],DADOS!$N$6,tabela_registros[TIPO],DADOS!$AJ$4,tabela_registros[CATEGORIA],reservavariáveisconsolidadoago[[#This Row],[ATUAL]])</f>
        <v>0</v>
      </c>
      <c r="AD195" s="119" t="n">
        <f aca="false">SUMIFS(tabela_registros[VALOR],tabela_registros[MÊS],$AE$1,tabela_registros[DIA],reservavariáveisconsolidadoago[[#Headers],[26]],tabela_registros[REGISTRO],DADOS!$N$6,tabela_registros[TIPO],DADOS!$AJ$4,tabela_registros[CATEGORIA],reservavariáveisconsolidadoago[[#This Row],[ATUAL]])</f>
        <v>0</v>
      </c>
      <c r="AE195" s="119" t="n">
        <f aca="false">SUMIFS(tabela_registros[VALOR],tabela_registros[MÊS],$AE$1,tabela_registros[DIA],reservavariáveisconsolidadoago[[#Headers],[27]],tabela_registros[REGISTRO],DADOS!$N$6,tabela_registros[TIPO],DADOS!$AJ$4,tabela_registros[CATEGORIA],reservavariáveisconsolidadoago[[#This Row],[ATUAL]])</f>
        <v>0</v>
      </c>
      <c r="AF195" s="119" t="n">
        <f aca="false">SUMIFS(tabela_registros[VALOR],tabela_registros[MÊS],$AE$1,tabela_registros[DIA],reservavariáveisconsolidadoago[[#Headers],[28]],tabela_registros[REGISTRO],DADOS!$N$6,tabela_registros[TIPO],DADOS!$AJ$4,tabela_registros[CATEGORIA],reservavariáveisconsolidadoago[[#This Row],[ATUAL]])</f>
        <v>0</v>
      </c>
      <c r="AG195" s="119" t="n">
        <f aca="false">SUMIFS(tabela_registros[VALOR],tabela_registros[MÊS],$AE$1,tabela_registros[DIA],reservavariáveisconsolidadoago[[#Headers],[29]],tabela_registros[REGISTRO],DADOS!$N$6,tabela_registros[TIPO],DADOS!$AJ$4,tabela_registros[CATEGORIA],reservavariáveisconsolidadoago[[#This Row],[ATUAL]])</f>
        <v>0</v>
      </c>
      <c r="AH195" s="119" t="n">
        <f aca="false">SUMIFS(tabela_registros[VALOR],tabela_registros[MÊS],$AE$1,tabela_registros[DIA],reservavariáveisconsolidadoago[[#Headers],[30]],tabela_registros[REGISTRO],DADOS!$N$6,tabela_registros[TIPO],DADOS!$AJ$4,tabela_registros[CATEGORIA],reservavariáveisconsolidadoago[[#This Row],[ATUAL]])</f>
        <v>0</v>
      </c>
      <c r="AI195" s="217" t="n">
        <f aca="false">SUMIFS(tabela_registros[VALOR],tabela_registros[MÊS],$AE$1,tabela_registros[DIA],reservavariáveisconsolidadoago[[#Headers],[31]],tabela_registros[REGISTRO],DADOS!$N$6,tabela_registros[TIPO],DADOS!$AJ$4,tabela_registros[CATEGORIA],reservavariáveisconsolidadoago[[#This Row],[ATUAL]])</f>
        <v>0</v>
      </c>
      <c r="AJ195" s="149" t="n">
        <f aca="false">SUM(reservavariáveisconsolidadoago[[#This Row],[1]:[31]])</f>
        <v>0</v>
      </c>
      <c r="AK195" s="165"/>
    </row>
    <row r="196" customFormat="false" ht="19.5" hidden="false" customHeight="true" outlineLevel="0" collapsed="false">
      <c r="B196" s="143"/>
      <c r="C196" s="144" t="str">
        <f aca="false">DADOS!$AN$12</f>
        <v>📎 OUTROS</v>
      </c>
      <c r="D196" s="145" t="str">
        <f aca="false">IF(reservavariáveisconsolidadoago[[#This Row],[TOTAL (R$)]]=0,"",IF(OR(reservavariáveisconsolidadoago[[#This Row],[TOTAL (R$)]]=LARGE($AJ$187:$AJ$196,1),reservavariáveisconsolidadoago[[#This Row],[TOTAL (R$)]]=LARGE($AJ$187:$AJ$196,2)),DADOS!$I$11,""))</f>
        <v/>
      </c>
      <c r="E196" s="148" t="n">
        <f aca="false">SUMIFS(tabela_registros[VALOR],tabela_registros[MÊS],$AE$1,tabela_registros[DIA],reservavariáveisconsolidadoago[[#Headers],[1]],tabela_registros[REGISTRO],DADOS!$N$6,tabela_registros[TIPO],DADOS!$AJ$4,tabela_registros[CATEGORIA],reservavariáveisconsolidadoago[[#This Row],[ATUAL]])</f>
        <v>0</v>
      </c>
      <c r="F196" s="119" t="n">
        <f aca="false">SUMIFS(tabela_registros[VALOR],tabela_registros[MÊS],$AE$1,tabela_registros[DIA],reservavariáveisconsolidadoago[[#Headers],[2]],tabela_registros[REGISTRO],DADOS!$N$6,tabela_registros[TIPO],DADOS!$AJ$4,tabela_registros[CATEGORIA],reservavariáveisconsolidadoago[[#This Row],[ATUAL]])</f>
        <v>0</v>
      </c>
      <c r="G196" s="119" t="n">
        <f aca="false">SUMIFS(tabela_registros[VALOR],tabela_registros[MÊS],$AE$1,tabela_registros[DIA],reservavariáveisconsolidadoago[[#Headers],[3]],tabela_registros[REGISTRO],DADOS!$N$6,tabela_registros[TIPO],DADOS!$AJ$4,tabela_registros[CATEGORIA],reservavariáveisconsolidadoago[[#This Row],[ATUAL]])</f>
        <v>0</v>
      </c>
      <c r="H196" s="119" t="n">
        <f aca="false">SUMIFS(tabela_registros[VALOR],tabela_registros[MÊS],$AE$1,tabela_registros[DIA],reservavariáveisconsolidadoago[[#Headers],[4]],tabela_registros[REGISTRO],DADOS!$N$6,tabela_registros[TIPO],DADOS!$AJ$4,tabela_registros[CATEGORIA],reservavariáveisconsolidadoago[[#This Row],[ATUAL]])</f>
        <v>0</v>
      </c>
      <c r="I196" s="119" t="n">
        <f aca="false">SUMIFS(tabela_registros[VALOR],tabela_registros[MÊS],$AE$1,tabela_registros[DIA],reservavariáveisconsolidadoago[[#Headers],[5]],tabela_registros[REGISTRO],DADOS!$N$6,tabela_registros[TIPO],DADOS!$AJ$4,tabela_registros[CATEGORIA],reservavariáveisconsolidadoago[[#This Row],[ATUAL]])</f>
        <v>0</v>
      </c>
      <c r="J196" s="119" t="n">
        <f aca="false">SUMIFS(tabela_registros[VALOR],tabela_registros[MÊS],$AE$1,tabela_registros[DIA],reservavariáveisconsolidadoago[[#Headers],[6]],tabela_registros[REGISTRO],DADOS!$N$6,tabela_registros[TIPO],DADOS!$AJ$4,tabela_registros[CATEGORIA],reservavariáveisconsolidadoago[[#This Row],[ATUAL]])</f>
        <v>0</v>
      </c>
      <c r="K196" s="119" t="n">
        <f aca="false">SUMIFS(tabela_registros[VALOR],tabela_registros[MÊS],$AE$1,tabela_registros[DIA],reservavariáveisconsolidadoago[[#Headers],[7]],tabela_registros[REGISTRO],DADOS!$N$6,tabela_registros[TIPO],DADOS!$AJ$4,tabela_registros[CATEGORIA],reservavariáveisconsolidadoago[[#This Row],[ATUAL]])</f>
        <v>0</v>
      </c>
      <c r="L196" s="119" t="n">
        <f aca="false">SUMIFS(tabela_registros[VALOR],tabela_registros[MÊS],$AE$1,tabela_registros[DIA],reservavariáveisconsolidadoago[[#Headers],[8]],tabela_registros[REGISTRO],DADOS!$N$6,tabela_registros[TIPO],DADOS!$AJ$4,tabela_registros[CATEGORIA],reservavariáveisconsolidadoago[[#This Row],[ATUAL]])</f>
        <v>0</v>
      </c>
      <c r="M196" s="119" t="n">
        <f aca="false">SUMIFS(tabela_registros[VALOR],tabela_registros[MÊS],$AE$1,tabela_registros[DIA],reservavariáveisconsolidadoago[[#Headers],[9]],tabela_registros[REGISTRO],DADOS!$N$6,tabela_registros[TIPO],DADOS!$AJ$4,tabela_registros[CATEGORIA],reservavariáveisconsolidadoago[[#This Row],[ATUAL]])</f>
        <v>0</v>
      </c>
      <c r="N196" s="119" t="n">
        <f aca="false">SUMIFS(tabela_registros[VALOR],tabela_registros[MÊS],$AE$1,tabela_registros[DIA],reservavariáveisconsolidadoago[[#Headers],[10]],tabela_registros[REGISTRO],DADOS!$N$6,tabela_registros[TIPO],DADOS!$AJ$4,tabela_registros[CATEGORIA],reservavariáveisconsolidadoago[[#This Row],[ATUAL]])</f>
        <v>0</v>
      </c>
      <c r="O196" s="119" t="n">
        <f aca="false">SUMIFS(tabela_registros[VALOR],tabela_registros[MÊS],$AE$1,tabela_registros[DIA],reservavariáveisconsolidadoago[[#Headers],[11]],tabela_registros[REGISTRO],DADOS!$N$6,tabela_registros[TIPO],DADOS!$AJ$4,tabela_registros[CATEGORIA],reservavariáveisconsolidadoago[[#This Row],[ATUAL]])</f>
        <v>0</v>
      </c>
      <c r="P196" s="119" t="n">
        <f aca="false">SUMIFS(tabela_registros[VALOR],tabela_registros[MÊS],$AE$1,tabela_registros[DIA],reservavariáveisconsolidadoago[[#Headers],[12]],tabela_registros[REGISTRO],DADOS!$N$6,tabela_registros[TIPO],DADOS!$AJ$4,tabela_registros[CATEGORIA],reservavariáveisconsolidadoago[[#This Row],[ATUAL]])</f>
        <v>0</v>
      </c>
      <c r="Q196" s="119" t="n">
        <f aca="false">SUMIFS(tabela_registros[VALOR],tabela_registros[MÊS],$AE$1,tabela_registros[DIA],reservavariáveisconsolidadoago[[#Headers],[13]],tabela_registros[REGISTRO],DADOS!$N$6,tabela_registros[TIPO],DADOS!$AJ$4,tabela_registros[CATEGORIA],reservavariáveisconsolidadoago[[#This Row],[ATUAL]])</f>
        <v>0</v>
      </c>
      <c r="R196" s="119" t="n">
        <f aca="false">SUMIFS(tabela_registros[VALOR],tabela_registros[MÊS],$AE$1,tabela_registros[DIA],reservavariáveisconsolidadoago[[#Headers],[14]],tabela_registros[REGISTRO],DADOS!$N$6,tabela_registros[TIPO],DADOS!$AJ$4,tabela_registros[CATEGORIA],reservavariáveisconsolidadoago[[#This Row],[ATUAL]])</f>
        <v>0</v>
      </c>
      <c r="S196" s="119" t="n">
        <f aca="false">SUMIFS(tabela_registros[VALOR],tabela_registros[MÊS],$AE$1,tabela_registros[DIA],reservavariáveisconsolidadoago[[#Headers],[15]],tabela_registros[REGISTRO],DADOS!$N$6,tabela_registros[TIPO],DADOS!$AJ$4,tabela_registros[CATEGORIA],reservavariáveisconsolidadoago[[#This Row],[ATUAL]])</f>
        <v>0</v>
      </c>
      <c r="T196" s="119" t="n">
        <f aca="false">SUMIFS(tabela_registros[VALOR],tabela_registros[MÊS],$AE$1,tabela_registros[DIA],reservavariáveisconsolidadoago[[#Headers],[16]],tabela_registros[REGISTRO],DADOS!$N$6,tabela_registros[TIPO],DADOS!$AJ$4,tabela_registros[CATEGORIA],reservavariáveisconsolidadoago[[#This Row],[ATUAL]])</f>
        <v>0</v>
      </c>
      <c r="U196" s="119" t="n">
        <f aca="false">SUMIFS(tabela_registros[VALOR],tabela_registros[MÊS],$AE$1,tabela_registros[DIA],reservavariáveisconsolidadoago[[#Headers],[17]],tabela_registros[REGISTRO],DADOS!$N$6,tabela_registros[TIPO],DADOS!$AJ$4,tabela_registros[CATEGORIA],reservavariáveisconsolidadoago[[#This Row],[ATUAL]])</f>
        <v>0</v>
      </c>
      <c r="V196" s="119" t="n">
        <f aca="false">SUMIFS(tabela_registros[VALOR],tabela_registros[MÊS],$AE$1,tabela_registros[DIA],reservavariáveisconsolidadoago[[#Headers],[18]],tabela_registros[REGISTRO],DADOS!$N$6,tabela_registros[TIPO],DADOS!$AJ$4,tabela_registros[CATEGORIA],reservavariáveisconsolidadoago[[#This Row],[ATUAL]])</f>
        <v>0</v>
      </c>
      <c r="W196" s="119" t="n">
        <f aca="false">SUMIFS(tabela_registros[VALOR],tabela_registros[MÊS],$AE$1,tabela_registros[DIA],reservavariáveisconsolidadoago[[#Headers],[19]],tabela_registros[REGISTRO],DADOS!$N$6,tabela_registros[TIPO],DADOS!$AJ$4,tabela_registros[CATEGORIA],reservavariáveisconsolidadoago[[#This Row],[ATUAL]])</f>
        <v>0</v>
      </c>
      <c r="X196" s="119" t="n">
        <f aca="false">SUMIFS(tabela_registros[VALOR],tabela_registros[MÊS],$AE$1,tabela_registros[DIA],reservavariáveisconsolidadoago[[#Headers],[20]],tabela_registros[REGISTRO],DADOS!$N$6,tabela_registros[TIPO],DADOS!$AJ$4,tabela_registros[CATEGORIA],reservavariáveisconsolidadoago[[#This Row],[ATUAL]])</f>
        <v>0</v>
      </c>
      <c r="Y196" s="119" t="n">
        <f aca="false">SUMIFS(tabela_registros[VALOR],tabela_registros[MÊS],$AE$1,tabela_registros[DIA],reservavariáveisconsolidadoago[[#Headers],[21]],tabela_registros[REGISTRO],DADOS!$N$6,tabela_registros[TIPO],DADOS!$AJ$4,tabela_registros[CATEGORIA],reservavariáveisconsolidadoago[[#This Row],[ATUAL]])</f>
        <v>0</v>
      </c>
      <c r="Z196" s="119" t="n">
        <f aca="false">SUMIFS(tabela_registros[VALOR],tabela_registros[MÊS],$AE$1,tabela_registros[DIA],reservavariáveisconsolidadoago[[#Headers],[22]],tabela_registros[REGISTRO],DADOS!$N$6,tabela_registros[TIPO],DADOS!$AJ$4,tabela_registros[CATEGORIA],reservavariáveisconsolidadoago[[#This Row],[ATUAL]])</f>
        <v>0</v>
      </c>
      <c r="AA196" s="119" t="n">
        <f aca="false">SUMIFS(tabela_registros[VALOR],tabela_registros[MÊS],$AE$1,tabela_registros[DIA],reservavariáveisconsolidadoago[[#Headers],[23]],tabela_registros[REGISTRO],DADOS!$N$6,tabela_registros[TIPO],DADOS!$AJ$4,tabela_registros[CATEGORIA],reservavariáveisconsolidadoago[[#This Row],[ATUAL]])</f>
        <v>0</v>
      </c>
      <c r="AB196" s="119" t="n">
        <f aca="false">SUMIFS(tabela_registros[VALOR],tabela_registros[MÊS],$AE$1,tabela_registros[DIA],reservavariáveisconsolidadoago[[#Headers],[24]],tabela_registros[REGISTRO],DADOS!$N$6,tabela_registros[TIPO],DADOS!$AJ$4,tabela_registros[CATEGORIA],reservavariáveisconsolidadoago[[#This Row],[ATUAL]])</f>
        <v>0</v>
      </c>
      <c r="AC196" s="119" t="n">
        <f aca="false">SUMIFS(tabela_registros[VALOR],tabela_registros[MÊS],$AE$1,tabela_registros[DIA],reservavariáveisconsolidadoago[[#Headers],[25]],tabela_registros[REGISTRO],DADOS!$N$6,tabela_registros[TIPO],DADOS!$AJ$4,tabela_registros[CATEGORIA],reservavariáveisconsolidadoago[[#This Row],[ATUAL]])</f>
        <v>0</v>
      </c>
      <c r="AD196" s="119" t="n">
        <f aca="false">SUMIFS(tabela_registros[VALOR],tabela_registros[MÊS],$AE$1,tabela_registros[DIA],reservavariáveisconsolidadoago[[#Headers],[26]],tabela_registros[REGISTRO],DADOS!$N$6,tabela_registros[TIPO],DADOS!$AJ$4,tabela_registros[CATEGORIA],reservavariáveisconsolidadoago[[#This Row],[ATUAL]])</f>
        <v>0</v>
      </c>
      <c r="AE196" s="119" t="n">
        <f aca="false">SUMIFS(tabela_registros[VALOR],tabela_registros[MÊS],$AE$1,tabela_registros[DIA],reservavariáveisconsolidadoago[[#Headers],[27]],tabela_registros[REGISTRO],DADOS!$N$6,tabela_registros[TIPO],DADOS!$AJ$4,tabela_registros[CATEGORIA],reservavariáveisconsolidadoago[[#This Row],[ATUAL]])</f>
        <v>0</v>
      </c>
      <c r="AF196" s="119" t="n">
        <f aca="false">SUMIFS(tabela_registros[VALOR],tabela_registros[MÊS],$AE$1,tabela_registros[DIA],reservavariáveisconsolidadoago[[#Headers],[28]],tabela_registros[REGISTRO],DADOS!$N$6,tabela_registros[TIPO],DADOS!$AJ$4,tabela_registros[CATEGORIA],reservavariáveisconsolidadoago[[#This Row],[ATUAL]])</f>
        <v>0</v>
      </c>
      <c r="AG196" s="119" t="n">
        <f aca="false">SUMIFS(tabela_registros[VALOR],tabela_registros[MÊS],$AE$1,tabela_registros[DIA],reservavariáveisconsolidadoago[[#Headers],[29]],tabela_registros[REGISTRO],DADOS!$N$6,tabela_registros[TIPO],DADOS!$AJ$4,tabela_registros[CATEGORIA],reservavariáveisconsolidadoago[[#This Row],[ATUAL]])</f>
        <v>0</v>
      </c>
      <c r="AH196" s="119" t="n">
        <f aca="false">SUMIFS(tabela_registros[VALOR],tabela_registros[MÊS],$AE$1,tabela_registros[DIA],reservavariáveisconsolidadoago[[#Headers],[30]],tabela_registros[REGISTRO],DADOS!$N$6,tabela_registros[TIPO],DADOS!$AJ$4,tabela_registros[CATEGORIA],reservavariáveisconsolidadoago[[#This Row],[ATUAL]])</f>
        <v>0</v>
      </c>
      <c r="AI196" s="218" t="n">
        <f aca="false">SUMIFS(tabela_registros[VALOR],tabela_registros[MÊS],$AE$1,tabela_registros[DIA],reservavariáveisconsolidadoago[[#Headers],[31]],tabela_registros[REGISTRO],DADOS!$N$6,tabela_registros[TIPO],DADOS!$AJ$4,tabela_registros[CATEGORIA],reservavariáveisconsolidadoago[[#This Row],[ATUAL]])</f>
        <v>0</v>
      </c>
      <c r="AJ196" s="149" t="n">
        <f aca="false">SUM(reservavariáveisconsolidadoago[[#This Row],[1]:[31]])</f>
        <v>0</v>
      </c>
      <c r="AK196" s="165"/>
    </row>
    <row r="197" s="122" customFormat="true" ht="21" hidden="false" customHeight="true" outlineLevel="0" collapsed="false">
      <c r="B197" s="152"/>
      <c r="C197" s="153" t="s">
        <v>2</v>
      </c>
      <c r="D197" s="166"/>
      <c r="E197" s="155" t="n">
        <f aca="false">SUM(E187:E196)</f>
        <v>0</v>
      </c>
      <c r="F197" s="156" t="n">
        <f aca="false">SUM(F187:F196)+reservavariáveisconsolidadoago[[#This Row],[1]]</f>
        <v>0</v>
      </c>
      <c r="G197" s="156" t="n">
        <f aca="false">SUM(G187:G196)+reservavariáveisconsolidadoago[[#This Row],[2]]</f>
        <v>0</v>
      </c>
      <c r="H197" s="156" t="n">
        <f aca="false">SUM(H187:H196)+reservavariáveisconsolidadoago[[#This Row],[3]]</f>
        <v>0</v>
      </c>
      <c r="I197" s="156" t="n">
        <f aca="false">SUM(I187:I196)+reservavariáveisconsolidadoago[[#This Row],[4]]</f>
        <v>0</v>
      </c>
      <c r="J197" s="156" t="n">
        <f aca="false">SUM(J187:J196)+reservavariáveisconsolidadoago[[#This Row],[5]]</f>
        <v>0</v>
      </c>
      <c r="K197" s="156" t="n">
        <f aca="false">SUM(K187:K196)+reservavariáveisconsolidadoago[[#This Row],[6]]</f>
        <v>0</v>
      </c>
      <c r="L197" s="156" t="n">
        <f aca="false">SUM(L187:L196)+reservavariáveisconsolidadoago[[#This Row],[7]]</f>
        <v>0</v>
      </c>
      <c r="M197" s="156" t="n">
        <f aca="false">SUM(M187:M196)+reservavariáveisconsolidadoago[[#This Row],[8]]</f>
        <v>0</v>
      </c>
      <c r="N197" s="156" t="n">
        <f aca="false">SUM(N187:N196)+reservavariáveisconsolidadoago[[#This Row],[9]]</f>
        <v>0</v>
      </c>
      <c r="O197" s="156" t="n">
        <f aca="false">SUM(O187:O196)+reservavariáveisconsolidadoago[[#This Row],[10]]</f>
        <v>0</v>
      </c>
      <c r="P197" s="156" t="n">
        <f aca="false">SUM(P187:P196)+reservavariáveisconsolidadoago[[#This Row],[11]]</f>
        <v>0</v>
      </c>
      <c r="Q197" s="156" t="n">
        <f aca="false">SUM(Q187:Q196)+reservavariáveisconsolidadoago[[#This Row],[12]]</f>
        <v>0</v>
      </c>
      <c r="R197" s="156" t="n">
        <f aca="false">SUM(R187:R196)+reservavariáveisconsolidadoago[[#This Row],[13]]</f>
        <v>0</v>
      </c>
      <c r="S197" s="156" t="n">
        <f aca="false">SUM(S187:S196)+reservavariáveisconsolidadoago[[#This Row],[14]]</f>
        <v>0</v>
      </c>
      <c r="T197" s="156" t="n">
        <f aca="false">SUM(T187:T196)+reservavariáveisconsolidadoago[[#This Row],[15]]</f>
        <v>0</v>
      </c>
      <c r="U197" s="156" t="n">
        <f aca="false">SUM(U187:U196)+reservavariáveisconsolidadoago[[#This Row],[16]]</f>
        <v>0</v>
      </c>
      <c r="V197" s="156" t="n">
        <f aca="false">SUM(V187:V196)+reservavariáveisconsolidadoago[[#This Row],[17]]</f>
        <v>0</v>
      </c>
      <c r="W197" s="156" t="n">
        <f aca="false">SUM(W187:W196)+reservavariáveisconsolidadoago[[#This Row],[18]]</f>
        <v>0</v>
      </c>
      <c r="X197" s="156" t="n">
        <f aca="false">SUM(X187:X196)+reservavariáveisconsolidadoago[[#This Row],[19]]</f>
        <v>0</v>
      </c>
      <c r="Y197" s="156" t="n">
        <f aca="false">SUM(Y187:Y196)+reservavariáveisconsolidadoago[[#This Row],[20]]</f>
        <v>0</v>
      </c>
      <c r="Z197" s="156" t="n">
        <f aca="false">SUM(Z187:Z196)+reservavariáveisconsolidadoago[[#This Row],[21]]</f>
        <v>0</v>
      </c>
      <c r="AA197" s="156" t="n">
        <f aca="false">SUM(AA187:AA196)+reservavariáveisconsolidadoago[[#This Row],[22]]</f>
        <v>0</v>
      </c>
      <c r="AB197" s="156" t="n">
        <f aca="false">SUM(AB187:AB196)+reservavariáveisconsolidadoago[[#This Row],[23]]</f>
        <v>0</v>
      </c>
      <c r="AC197" s="156" t="n">
        <f aca="false">SUM(AC187:AC196)+reservavariáveisconsolidadoago[[#This Row],[24]]</f>
        <v>0</v>
      </c>
      <c r="AD197" s="156" t="n">
        <f aca="false">SUM(AD187:AD196)+reservavariáveisconsolidadoago[[#This Row],[25]]</f>
        <v>0</v>
      </c>
      <c r="AE197" s="156" t="n">
        <f aca="false">SUM(AE187:AE196)+reservavariáveisconsolidadoago[[#This Row],[26]]</f>
        <v>0</v>
      </c>
      <c r="AF197" s="156" t="n">
        <f aca="false">SUM(AF187:AF196)+reservavariáveisconsolidadoago[[#This Row],[27]]</f>
        <v>0</v>
      </c>
      <c r="AG197" s="156" t="n">
        <f aca="false">SUM(AG187:AG196)+reservavariáveisconsolidadoago[[#This Row],[28]]</f>
        <v>0</v>
      </c>
      <c r="AH197" s="156" t="n">
        <f aca="false">SUM(AH187:AH196)+reservavariáveisconsolidadoago[[#This Row],[29]]</f>
        <v>0</v>
      </c>
      <c r="AI197" s="223" t="n">
        <f aca="false">SUM(AI187:AI196)+reservavariáveisconsolidadoago[[#This Row],[30]]</f>
        <v>0</v>
      </c>
      <c r="AJ197" s="157" t="n">
        <f aca="false">reservavariáveisconsolidadoago[[#This Row],[31]]</f>
        <v>0</v>
      </c>
      <c r="AK197" s="158"/>
    </row>
    <row r="198" customFormat="false" ht="6.75" hidden="false" customHeight="true" outlineLevel="0" collapsed="false">
      <c r="B198" s="97"/>
      <c r="C198" s="162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233"/>
      <c r="AJ198" s="164"/>
      <c r="AK198" s="244"/>
    </row>
    <row r="199" s="78" customFormat="true" ht="12.75" hidden="false" customHeight="false" outlineLevel="0" collapsed="false">
      <c r="E199" s="100"/>
    </row>
    <row r="200" s="78" customFormat="true" ht="12" hidden="false" customHeight="false" outlineLevel="0" collapsed="false"/>
    <row r="201" s="78" customFormat="true" ht="12" hidden="false" customHeight="false" outlineLevel="0" collapsed="false"/>
    <row r="202" customFormat="false" ht="39.75" hidden="false" customHeight="true" outlineLevel="0" collapsed="false">
      <c r="C202" s="101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3" t="s">
        <v>2</v>
      </c>
    </row>
    <row r="203" s="78" customFormat="true" ht="12.75" hidden="false" customHeight="false" outlineLevel="0" collapsed="false">
      <c r="B203" s="161"/>
      <c r="AJ203" s="106" t="s">
        <v>64</v>
      </c>
    </row>
    <row r="204" customFormat="false" ht="6.75" hidden="false" customHeight="true" outlineLevel="0" collapsed="false">
      <c r="B204" s="86"/>
      <c r="C204" s="162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233"/>
      <c r="AK204" s="139"/>
    </row>
    <row r="205" customFormat="false" ht="13.5" hidden="true" customHeight="false" outlineLevel="0" collapsed="false">
      <c r="B205" s="86"/>
      <c r="C205" s="109" t="s">
        <v>68</v>
      </c>
      <c r="D205" s="110" t="s">
        <v>69</v>
      </c>
      <c r="E205" s="110" t="s">
        <v>30</v>
      </c>
      <c r="F205" s="110" t="s">
        <v>31</v>
      </c>
      <c r="G205" s="110" t="s">
        <v>32</v>
      </c>
      <c r="H205" s="110" t="s">
        <v>33</v>
      </c>
      <c r="I205" s="110" t="s">
        <v>34</v>
      </c>
      <c r="J205" s="110" t="s">
        <v>35</v>
      </c>
      <c r="K205" s="110" t="s">
        <v>36</v>
      </c>
      <c r="L205" s="110" t="s">
        <v>37</v>
      </c>
      <c r="M205" s="110" t="s">
        <v>38</v>
      </c>
      <c r="N205" s="110" t="s">
        <v>39</v>
      </c>
      <c r="O205" s="110" t="s">
        <v>40</v>
      </c>
      <c r="P205" s="110" t="s">
        <v>41</v>
      </c>
      <c r="Q205" s="110" t="s">
        <v>81</v>
      </c>
      <c r="R205" s="110" t="s">
        <v>82</v>
      </c>
      <c r="S205" s="110" t="s">
        <v>83</v>
      </c>
      <c r="T205" s="110" t="s">
        <v>84</v>
      </c>
      <c r="U205" s="110" t="s">
        <v>85</v>
      </c>
      <c r="V205" s="110" t="s">
        <v>86</v>
      </c>
      <c r="W205" s="110" t="s">
        <v>87</v>
      </c>
      <c r="X205" s="110" t="s">
        <v>88</v>
      </c>
      <c r="Y205" s="110" t="s">
        <v>89</v>
      </c>
      <c r="Z205" s="110" t="s">
        <v>90</v>
      </c>
      <c r="AA205" s="110" t="s">
        <v>91</v>
      </c>
      <c r="AB205" s="110" t="s">
        <v>92</v>
      </c>
      <c r="AC205" s="110" t="s">
        <v>93</v>
      </c>
      <c r="AD205" s="110" t="s">
        <v>94</v>
      </c>
      <c r="AE205" s="110" t="s">
        <v>95</v>
      </c>
      <c r="AF205" s="110" t="s">
        <v>96</v>
      </c>
      <c r="AG205" s="110" t="s">
        <v>97</v>
      </c>
      <c r="AH205" s="110" t="s">
        <v>98</v>
      </c>
      <c r="AI205" s="110" t="s">
        <v>99</v>
      </c>
      <c r="AJ205" s="111" t="s">
        <v>70</v>
      </c>
      <c r="AK205" s="86"/>
    </row>
    <row r="206" customFormat="false" ht="19.5" hidden="false" customHeight="true" outlineLevel="0" collapsed="false">
      <c r="B206" s="143"/>
      <c r="C206" s="144" t="str">
        <f aca="false">DADOS!$AP$3</f>
        <v>📝 COE</v>
      </c>
      <c r="D206" s="145" t="str">
        <f aca="false">IF(reservaoutrosconsolidadoago[[#This Row],[TOTAL (R$)]]=0,"",IF(OR(reservaoutrosconsolidadoago[[#This Row],[TOTAL (R$)]]=LARGE($AJ$206:$AJ$213,1),reservaoutrosconsolidadoago[[#This Row],[TOTAL (R$)]]=LARGE($AJ$206:$AJ$213,2)),DADOS!$I$11,""))</f>
        <v/>
      </c>
      <c r="E206" s="148" t="n">
        <f aca="false">SUMIFS(tabela_registros[VALOR],tabela_registros[MÊS],$AE$1,tabela_registros[DIA],reservaoutrosconsolidadoago[[#Headers],[1]],tabela_registros[REGISTRO],DADOS!$N$6,tabela_registros[TIPO],DADOS!$AJ$5,tabela_registros[CATEGORIA],reservaoutrosconsolidadoago[[#This Row],[ATUAL]])</f>
        <v>0</v>
      </c>
      <c r="F206" s="119" t="n">
        <f aca="false">SUMIFS(tabela_registros[VALOR],tabela_registros[MÊS],$AE$1,tabela_registros[DIA],reservaoutrosconsolidadoago[[#Headers],[2]],tabela_registros[REGISTRO],DADOS!$N$6,tabela_registros[TIPO],DADOS!$AJ$5,tabela_registros[CATEGORIA],reservaoutrosconsolidadoago[[#This Row],[ATUAL]])</f>
        <v>0</v>
      </c>
      <c r="G206" s="119" t="n">
        <f aca="false">SUMIFS(tabela_registros[VALOR],tabela_registros[MÊS],$AE$1,tabela_registros[DIA],reservaoutrosconsolidadoago[[#Headers],[3]],tabela_registros[REGISTRO],DADOS!$N$6,tabela_registros[TIPO],DADOS!$AJ$5,tabela_registros[CATEGORIA],reservaoutrosconsolidadoago[[#This Row],[ATUAL]])</f>
        <v>0</v>
      </c>
      <c r="H206" s="119" t="n">
        <f aca="false">SUMIFS(tabela_registros[VALOR],tabela_registros[MÊS],$AE$1,tabela_registros[DIA],reservaoutrosconsolidadoago[[#Headers],[4]],tabela_registros[REGISTRO],DADOS!$N$6,tabela_registros[TIPO],DADOS!$AJ$5,tabela_registros[CATEGORIA],reservaoutrosconsolidadoago[[#This Row],[ATUAL]])</f>
        <v>0</v>
      </c>
      <c r="I206" s="119" t="n">
        <f aca="false">SUMIFS(tabela_registros[VALOR],tabela_registros[MÊS],$AE$1,tabela_registros[DIA],reservaoutrosconsolidadoago[[#Headers],[5]],tabela_registros[REGISTRO],DADOS!$N$6,tabela_registros[TIPO],DADOS!$AJ$5,tabela_registros[CATEGORIA],reservaoutrosconsolidadoago[[#This Row],[ATUAL]])</f>
        <v>0</v>
      </c>
      <c r="J206" s="119" t="n">
        <f aca="false">SUMIFS(tabela_registros[VALOR],tabela_registros[MÊS],$AE$1,tabela_registros[DIA],reservaoutrosconsolidadoago[[#Headers],[6]],tabela_registros[REGISTRO],DADOS!$N$6,tabela_registros[TIPO],DADOS!$AJ$5,tabela_registros[CATEGORIA],reservaoutrosconsolidadoago[[#This Row],[ATUAL]])</f>
        <v>0</v>
      </c>
      <c r="K206" s="119" t="n">
        <f aca="false">SUMIFS(tabela_registros[VALOR],tabela_registros[MÊS],$AE$1,tabela_registros[DIA],reservaoutrosconsolidadoago[[#Headers],[7]],tabela_registros[REGISTRO],DADOS!$N$6,tabela_registros[TIPO],DADOS!$AJ$5,tabela_registros[CATEGORIA],reservaoutrosconsolidadoago[[#This Row],[ATUAL]])</f>
        <v>0</v>
      </c>
      <c r="L206" s="119" t="n">
        <f aca="false">SUMIFS(tabela_registros[VALOR],tabela_registros[MÊS],$AE$1,tabela_registros[DIA],reservaoutrosconsolidadoago[[#Headers],[8]],tabela_registros[REGISTRO],DADOS!$N$6,tabela_registros[TIPO],DADOS!$AJ$5,tabela_registros[CATEGORIA],reservaoutrosconsolidadoago[[#This Row],[ATUAL]])</f>
        <v>0</v>
      </c>
      <c r="M206" s="119" t="n">
        <f aca="false">SUMIFS(tabela_registros[VALOR],tabela_registros[MÊS],$AE$1,tabela_registros[DIA],reservaoutrosconsolidadoago[[#Headers],[9]],tabela_registros[REGISTRO],DADOS!$N$6,tabela_registros[TIPO],DADOS!$AJ$5,tabela_registros[CATEGORIA],reservaoutrosconsolidadoago[[#This Row],[ATUAL]])</f>
        <v>0</v>
      </c>
      <c r="N206" s="119" t="n">
        <f aca="false">SUMIFS(tabela_registros[VALOR],tabela_registros[MÊS],$AE$1,tabela_registros[DIA],reservaoutrosconsolidadoago[[#Headers],[10]],tabela_registros[REGISTRO],DADOS!$N$6,tabela_registros[TIPO],DADOS!$AJ$5,tabela_registros[CATEGORIA],reservaoutrosconsolidadoago[[#This Row],[ATUAL]])</f>
        <v>0</v>
      </c>
      <c r="O206" s="119" t="n">
        <f aca="false">SUMIFS(tabela_registros[VALOR],tabela_registros[MÊS],$AE$1,tabela_registros[DIA],reservaoutrosconsolidadoago[[#Headers],[11]],tabela_registros[REGISTRO],DADOS!$N$6,tabela_registros[TIPO],DADOS!$AJ$5,tabela_registros[CATEGORIA],reservaoutrosconsolidadoago[[#This Row],[ATUAL]])</f>
        <v>0</v>
      </c>
      <c r="P206" s="119" t="n">
        <f aca="false">SUMIFS(tabela_registros[VALOR],tabela_registros[MÊS],$AE$1,tabela_registros[DIA],reservaoutrosconsolidadoago[[#Headers],[12]],tabela_registros[REGISTRO],DADOS!$N$6,tabela_registros[TIPO],DADOS!$AJ$5,tabela_registros[CATEGORIA],reservaoutrosconsolidadoago[[#This Row],[ATUAL]])</f>
        <v>0</v>
      </c>
      <c r="Q206" s="119" t="n">
        <f aca="false">SUMIFS(tabela_registros[VALOR],tabela_registros[MÊS],$AE$1,tabela_registros[DIA],reservaoutrosconsolidadoago[[#Headers],[13]],tabela_registros[REGISTRO],DADOS!$N$6,tabela_registros[TIPO],DADOS!$AJ$5,tabela_registros[CATEGORIA],reservaoutrosconsolidadoago[[#This Row],[ATUAL]])</f>
        <v>0</v>
      </c>
      <c r="R206" s="119" t="n">
        <f aca="false">SUMIFS(tabela_registros[VALOR],tabela_registros[MÊS],$AE$1,tabela_registros[DIA],reservaoutrosconsolidadoago[[#Headers],[14]],tabela_registros[REGISTRO],DADOS!$N$6,tabela_registros[TIPO],DADOS!$AJ$5,tabela_registros[CATEGORIA],reservaoutrosconsolidadoago[[#This Row],[ATUAL]])</f>
        <v>0</v>
      </c>
      <c r="S206" s="119" t="n">
        <f aca="false">SUMIFS(tabela_registros[VALOR],tabela_registros[MÊS],$AE$1,tabela_registros[DIA],reservaoutrosconsolidadoago[[#Headers],[15]],tabela_registros[REGISTRO],DADOS!$N$6,tabela_registros[TIPO],DADOS!$AJ$5,tabela_registros[CATEGORIA],reservaoutrosconsolidadoago[[#This Row],[ATUAL]])</f>
        <v>0</v>
      </c>
      <c r="T206" s="119" t="n">
        <f aca="false">SUMIFS(tabela_registros[VALOR],tabela_registros[MÊS],$AE$1,tabela_registros[DIA],reservaoutrosconsolidadoago[[#Headers],[16]],tabela_registros[REGISTRO],DADOS!$N$6,tabela_registros[TIPO],DADOS!$AJ$5,tabela_registros[CATEGORIA],reservaoutrosconsolidadoago[[#This Row],[ATUAL]])</f>
        <v>0</v>
      </c>
      <c r="U206" s="119" t="n">
        <f aca="false">SUMIFS(tabela_registros[VALOR],tabela_registros[MÊS],$AE$1,tabela_registros[DIA],reservaoutrosconsolidadoago[[#Headers],[17]],tabela_registros[REGISTRO],DADOS!$N$6,tabela_registros[TIPO],DADOS!$AJ$5,tabela_registros[CATEGORIA],reservaoutrosconsolidadoago[[#This Row],[ATUAL]])</f>
        <v>0</v>
      </c>
      <c r="V206" s="119" t="n">
        <f aca="false">SUMIFS(tabela_registros[VALOR],tabela_registros[MÊS],$AE$1,tabela_registros[DIA],reservaoutrosconsolidadoago[[#Headers],[18]],tabela_registros[REGISTRO],DADOS!$N$6,tabela_registros[TIPO],DADOS!$AJ$5,tabela_registros[CATEGORIA],reservaoutrosconsolidadoago[[#This Row],[ATUAL]])</f>
        <v>0</v>
      </c>
      <c r="W206" s="119" t="n">
        <f aca="false">SUMIFS(tabela_registros[VALOR],tabela_registros[MÊS],$AE$1,tabela_registros[DIA],reservaoutrosconsolidadoago[[#Headers],[19]],tabela_registros[REGISTRO],DADOS!$N$6,tabela_registros[TIPO],DADOS!$AJ$5,tabela_registros[CATEGORIA],reservaoutrosconsolidadoago[[#This Row],[ATUAL]])</f>
        <v>0</v>
      </c>
      <c r="X206" s="119" t="n">
        <f aca="false">SUMIFS(tabela_registros[VALOR],tabela_registros[MÊS],$AE$1,tabela_registros[DIA],reservaoutrosconsolidadoago[[#Headers],[20]],tabela_registros[REGISTRO],DADOS!$N$6,tabela_registros[TIPO],DADOS!$AJ$5,tabela_registros[CATEGORIA],reservaoutrosconsolidadoago[[#This Row],[ATUAL]])</f>
        <v>0</v>
      </c>
      <c r="Y206" s="119" t="n">
        <f aca="false">SUMIFS(tabela_registros[VALOR],tabela_registros[MÊS],$AE$1,tabela_registros[DIA],reservaoutrosconsolidadoago[[#Headers],[21]],tabela_registros[REGISTRO],DADOS!$N$6,tabela_registros[TIPO],DADOS!$AJ$5,tabela_registros[CATEGORIA],reservaoutrosconsolidadoago[[#This Row],[ATUAL]])</f>
        <v>0</v>
      </c>
      <c r="Z206" s="119" t="n">
        <f aca="false">SUMIFS(tabela_registros[VALOR],tabela_registros[MÊS],$AE$1,tabela_registros[DIA],reservaoutrosconsolidadoago[[#Headers],[22]],tabela_registros[REGISTRO],DADOS!$N$6,tabela_registros[TIPO],DADOS!$AJ$5,tabela_registros[CATEGORIA],reservaoutrosconsolidadoago[[#This Row],[ATUAL]])</f>
        <v>0</v>
      </c>
      <c r="AA206" s="119" t="n">
        <f aca="false">SUMIFS(tabela_registros[VALOR],tabela_registros[MÊS],$AE$1,tabela_registros[DIA],reservaoutrosconsolidadoago[[#Headers],[23]],tabela_registros[REGISTRO],DADOS!$N$6,tabela_registros[TIPO],DADOS!$AJ$5,tabela_registros[CATEGORIA],reservaoutrosconsolidadoago[[#This Row],[ATUAL]])</f>
        <v>0</v>
      </c>
      <c r="AB206" s="119" t="n">
        <f aca="false">SUMIFS(tabela_registros[VALOR],tabela_registros[MÊS],$AE$1,tabela_registros[DIA],reservaoutrosconsolidadoago[[#Headers],[24]],tabela_registros[REGISTRO],DADOS!$N$6,tabela_registros[TIPO],DADOS!$AJ$5,tabela_registros[CATEGORIA],reservaoutrosconsolidadoago[[#This Row],[ATUAL]])</f>
        <v>0</v>
      </c>
      <c r="AC206" s="119" t="n">
        <f aca="false">SUMIFS(tabela_registros[VALOR],tabela_registros[MÊS],$AE$1,tabela_registros[DIA],reservaoutrosconsolidadoago[[#Headers],[25]],tabela_registros[REGISTRO],DADOS!$N$6,tabela_registros[TIPO],DADOS!$AJ$5,tabela_registros[CATEGORIA],reservaoutrosconsolidadoago[[#This Row],[ATUAL]])</f>
        <v>0</v>
      </c>
      <c r="AD206" s="119" t="n">
        <f aca="false">SUMIFS(tabela_registros[VALOR],tabela_registros[MÊS],$AE$1,tabela_registros[DIA],reservaoutrosconsolidadoago[[#Headers],[26]],tabela_registros[REGISTRO],DADOS!$N$6,tabela_registros[TIPO],DADOS!$AJ$5,tabela_registros[CATEGORIA],reservaoutrosconsolidadoago[[#This Row],[ATUAL]])</f>
        <v>0</v>
      </c>
      <c r="AE206" s="119" t="n">
        <f aca="false">SUMIFS(tabela_registros[VALOR],tabela_registros[MÊS],$AE$1,tabela_registros[DIA],reservaoutrosconsolidadoago[[#Headers],[27]],tabela_registros[REGISTRO],DADOS!$N$6,tabela_registros[TIPO],DADOS!$AJ$5,tabela_registros[CATEGORIA],reservaoutrosconsolidadoago[[#This Row],[ATUAL]])</f>
        <v>0</v>
      </c>
      <c r="AF206" s="119" t="n">
        <f aca="false">SUMIFS(tabela_registros[VALOR],tabela_registros[MÊS],$AE$1,tabela_registros[DIA],reservaoutrosconsolidadoago[[#Headers],[28]],tabela_registros[REGISTRO],DADOS!$N$6,tabela_registros[TIPO],DADOS!$AJ$5,tabela_registros[CATEGORIA],reservaoutrosconsolidadoago[[#This Row],[ATUAL]])</f>
        <v>0</v>
      </c>
      <c r="AG206" s="119" t="n">
        <f aca="false">SUMIFS(tabela_registros[VALOR],tabela_registros[MÊS],$AE$1,tabela_registros[DIA],reservaoutrosconsolidadoago[[#Headers],[29]],tabela_registros[REGISTRO],DADOS!$N$6,tabela_registros[TIPO],DADOS!$AJ$5,tabela_registros[CATEGORIA],reservaoutrosconsolidadoago[[#This Row],[ATUAL]])</f>
        <v>0</v>
      </c>
      <c r="AH206" s="119" t="n">
        <f aca="false">SUMIFS(tabela_registros[VALOR],tabela_registros[MÊS],$AE$1,tabela_registros[DIA],reservaoutrosconsolidadoago[[#Headers],[30]],tabela_registros[REGISTRO],DADOS!$N$6,tabela_registros[TIPO],DADOS!$AJ$5,tabela_registros[CATEGORIA],reservaoutrosconsolidadoago[[#This Row],[ATUAL]])</f>
        <v>0</v>
      </c>
      <c r="AI206" s="217" t="n">
        <f aca="false">SUMIFS(tabela_registros[VALOR],tabela_registros[MÊS],$AE$1,tabela_registros[DIA],reservaoutrosconsolidadoago[[#Headers],[31]],tabela_registros[REGISTRO],DADOS!$N$6,tabela_registros[TIPO],DADOS!$AJ$5,tabela_registros[CATEGORIA],reservaoutrosconsolidadoago[[#This Row],[ATUAL]])</f>
        <v>0</v>
      </c>
      <c r="AJ206" s="149" t="n">
        <f aca="false">SUM(reservaoutrosconsolidadoago[[#This Row],[1]:[31]])</f>
        <v>0</v>
      </c>
      <c r="AK206" s="165"/>
    </row>
    <row r="207" customFormat="false" ht="19.5" hidden="false" customHeight="true" outlineLevel="0" collapsed="false">
      <c r="B207" s="143"/>
      <c r="C207" s="144" t="str">
        <f aca="false">DADOS!$AP$4</f>
        <v>📝 FOREX</v>
      </c>
      <c r="D207" s="145" t="str">
        <f aca="false">IF(reservaoutrosconsolidadoago[[#This Row],[TOTAL (R$)]]=0,"",IF(OR(reservaoutrosconsolidadoago[[#This Row],[TOTAL (R$)]]=LARGE($AJ$206:$AJ$213,1),reservaoutrosconsolidadoago[[#This Row],[TOTAL (R$)]]=LARGE($AJ$206:$AJ$213,2)),DADOS!$I$11,""))</f>
        <v/>
      </c>
      <c r="E207" s="148" t="n">
        <f aca="false">SUMIFS(tabela_registros[VALOR],tabela_registros[MÊS],$AE$1,tabela_registros[DIA],reservaoutrosconsolidadoago[[#Headers],[1]],tabela_registros[REGISTRO],DADOS!$N$6,tabela_registros[TIPO],DADOS!$AJ$5,tabela_registros[CATEGORIA],reservaoutrosconsolidadoago[[#This Row],[ATUAL]])</f>
        <v>0</v>
      </c>
      <c r="F207" s="119" t="n">
        <f aca="false">SUMIFS(tabela_registros[VALOR],tabela_registros[MÊS],$AE$1,tabela_registros[DIA],reservaoutrosconsolidadoago[[#Headers],[2]],tabela_registros[REGISTRO],DADOS!$N$6,tabela_registros[TIPO],DADOS!$AJ$5,tabela_registros[CATEGORIA],reservaoutrosconsolidadoago[[#This Row],[ATUAL]])</f>
        <v>0</v>
      </c>
      <c r="G207" s="119" t="n">
        <f aca="false">SUMIFS(tabela_registros[VALOR],tabela_registros[MÊS],$AE$1,tabela_registros[DIA],reservaoutrosconsolidadoago[[#Headers],[3]],tabela_registros[REGISTRO],DADOS!$N$6,tabela_registros[TIPO],DADOS!$AJ$5,tabela_registros[CATEGORIA],reservaoutrosconsolidadoago[[#This Row],[ATUAL]])</f>
        <v>0</v>
      </c>
      <c r="H207" s="119" t="n">
        <f aca="false">SUMIFS(tabela_registros[VALOR],tabela_registros[MÊS],$AE$1,tabela_registros[DIA],reservaoutrosconsolidadoago[[#Headers],[4]],tabela_registros[REGISTRO],DADOS!$N$6,tabela_registros[TIPO],DADOS!$AJ$5,tabela_registros[CATEGORIA],reservaoutrosconsolidadoago[[#This Row],[ATUAL]])</f>
        <v>0</v>
      </c>
      <c r="I207" s="119" t="n">
        <f aca="false">SUMIFS(tabela_registros[VALOR],tabela_registros[MÊS],$AE$1,tabela_registros[DIA],reservaoutrosconsolidadoago[[#Headers],[5]],tabela_registros[REGISTRO],DADOS!$N$6,tabela_registros[TIPO],DADOS!$AJ$5,tabela_registros[CATEGORIA],reservaoutrosconsolidadoago[[#This Row],[ATUAL]])</f>
        <v>0</v>
      </c>
      <c r="J207" s="119" t="n">
        <f aca="false">SUMIFS(tabela_registros[VALOR],tabela_registros[MÊS],$AE$1,tabela_registros[DIA],reservaoutrosconsolidadoago[[#Headers],[6]],tabela_registros[REGISTRO],DADOS!$N$6,tabela_registros[TIPO],DADOS!$AJ$5,tabela_registros[CATEGORIA],reservaoutrosconsolidadoago[[#This Row],[ATUAL]])</f>
        <v>0</v>
      </c>
      <c r="K207" s="119" t="n">
        <f aca="false">SUMIFS(tabela_registros[VALOR],tabela_registros[MÊS],$AE$1,tabela_registros[DIA],reservaoutrosconsolidadoago[[#Headers],[7]],tabela_registros[REGISTRO],DADOS!$N$6,tabela_registros[TIPO],DADOS!$AJ$5,tabela_registros[CATEGORIA],reservaoutrosconsolidadoago[[#This Row],[ATUAL]])</f>
        <v>0</v>
      </c>
      <c r="L207" s="119" t="n">
        <f aca="false">SUMIFS(tabela_registros[VALOR],tabela_registros[MÊS],$AE$1,tabela_registros[DIA],reservaoutrosconsolidadoago[[#Headers],[8]],tabela_registros[REGISTRO],DADOS!$N$6,tabela_registros[TIPO],DADOS!$AJ$5,tabela_registros[CATEGORIA],reservaoutrosconsolidadoago[[#This Row],[ATUAL]])</f>
        <v>0</v>
      </c>
      <c r="M207" s="119" t="n">
        <f aca="false">SUMIFS(tabela_registros[VALOR],tabela_registros[MÊS],$AE$1,tabela_registros[DIA],reservaoutrosconsolidadoago[[#Headers],[9]],tabela_registros[REGISTRO],DADOS!$N$6,tabela_registros[TIPO],DADOS!$AJ$5,tabela_registros[CATEGORIA],reservaoutrosconsolidadoago[[#This Row],[ATUAL]])</f>
        <v>0</v>
      </c>
      <c r="N207" s="119" t="n">
        <f aca="false">SUMIFS(tabela_registros[VALOR],tabela_registros[MÊS],$AE$1,tabela_registros[DIA],reservaoutrosconsolidadoago[[#Headers],[10]],tabela_registros[REGISTRO],DADOS!$N$6,tabela_registros[TIPO],DADOS!$AJ$5,tabela_registros[CATEGORIA],reservaoutrosconsolidadoago[[#This Row],[ATUAL]])</f>
        <v>0</v>
      </c>
      <c r="O207" s="119" t="n">
        <f aca="false">SUMIFS(tabela_registros[VALOR],tabela_registros[MÊS],$AE$1,tabela_registros[DIA],reservaoutrosconsolidadoago[[#Headers],[11]],tabela_registros[REGISTRO],DADOS!$N$6,tabela_registros[TIPO],DADOS!$AJ$5,tabela_registros[CATEGORIA],reservaoutrosconsolidadoago[[#This Row],[ATUAL]])</f>
        <v>0</v>
      </c>
      <c r="P207" s="119" t="n">
        <f aca="false">SUMIFS(tabela_registros[VALOR],tabela_registros[MÊS],$AE$1,tabela_registros[DIA],reservaoutrosconsolidadoago[[#Headers],[12]],tabela_registros[REGISTRO],DADOS!$N$6,tabela_registros[TIPO],DADOS!$AJ$5,tabela_registros[CATEGORIA],reservaoutrosconsolidadoago[[#This Row],[ATUAL]])</f>
        <v>0</v>
      </c>
      <c r="Q207" s="119" t="n">
        <f aca="false">SUMIFS(tabela_registros[VALOR],tabela_registros[MÊS],$AE$1,tabela_registros[DIA],reservaoutrosconsolidadoago[[#Headers],[13]],tabela_registros[REGISTRO],DADOS!$N$6,tabela_registros[TIPO],DADOS!$AJ$5,tabela_registros[CATEGORIA],reservaoutrosconsolidadoago[[#This Row],[ATUAL]])</f>
        <v>0</v>
      </c>
      <c r="R207" s="119" t="n">
        <f aca="false">SUMIFS(tabela_registros[VALOR],tabela_registros[MÊS],$AE$1,tabela_registros[DIA],reservaoutrosconsolidadoago[[#Headers],[14]],tabela_registros[REGISTRO],DADOS!$N$6,tabela_registros[TIPO],DADOS!$AJ$5,tabela_registros[CATEGORIA],reservaoutrosconsolidadoago[[#This Row],[ATUAL]])</f>
        <v>0</v>
      </c>
      <c r="S207" s="119" t="n">
        <f aca="false">SUMIFS(tabela_registros[VALOR],tabela_registros[MÊS],$AE$1,tabela_registros[DIA],reservaoutrosconsolidadoago[[#Headers],[15]],tabela_registros[REGISTRO],DADOS!$N$6,tabela_registros[TIPO],DADOS!$AJ$5,tabela_registros[CATEGORIA],reservaoutrosconsolidadoago[[#This Row],[ATUAL]])</f>
        <v>0</v>
      </c>
      <c r="T207" s="119" t="n">
        <f aca="false">SUMIFS(tabela_registros[VALOR],tabela_registros[MÊS],$AE$1,tabela_registros[DIA],reservaoutrosconsolidadoago[[#Headers],[16]],tabela_registros[REGISTRO],DADOS!$N$6,tabela_registros[TIPO],DADOS!$AJ$5,tabela_registros[CATEGORIA],reservaoutrosconsolidadoago[[#This Row],[ATUAL]])</f>
        <v>0</v>
      </c>
      <c r="U207" s="119" t="n">
        <f aca="false">SUMIFS(tabela_registros[VALOR],tabela_registros[MÊS],$AE$1,tabela_registros[DIA],reservaoutrosconsolidadoago[[#Headers],[17]],tabela_registros[REGISTRO],DADOS!$N$6,tabela_registros[TIPO],DADOS!$AJ$5,tabela_registros[CATEGORIA],reservaoutrosconsolidadoago[[#This Row],[ATUAL]])</f>
        <v>0</v>
      </c>
      <c r="V207" s="119" t="n">
        <f aca="false">SUMIFS(tabela_registros[VALOR],tabela_registros[MÊS],$AE$1,tabela_registros[DIA],reservaoutrosconsolidadoago[[#Headers],[18]],tabela_registros[REGISTRO],DADOS!$N$6,tabela_registros[TIPO],DADOS!$AJ$5,tabela_registros[CATEGORIA],reservaoutrosconsolidadoago[[#This Row],[ATUAL]])</f>
        <v>0</v>
      </c>
      <c r="W207" s="119" t="n">
        <f aca="false">SUMIFS(tabela_registros[VALOR],tabela_registros[MÊS],$AE$1,tabela_registros[DIA],reservaoutrosconsolidadoago[[#Headers],[19]],tabela_registros[REGISTRO],DADOS!$N$6,tabela_registros[TIPO],DADOS!$AJ$5,tabela_registros[CATEGORIA],reservaoutrosconsolidadoago[[#This Row],[ATUAL]])</f>
        <v>0</v>
      </c>
      <c r="X207" s="119" t="n">
        <f aca="false">SUMIFS(tabela_registros[VALOR],tabela_registros[MÊS],$AE$1,tabela_registros[DIA],reservaoutrosconsolidadoago[[#Headers],[20]],tabela_registros[REGISTRO],DADOS!$N$6,tabela_registros[TIPO],DADOS!$AJ$5,tabela_registros[CATEGORIA],reservaoutrosconsolidadoago[[#This Row],[ATUAL]])</f>
        <v>0</v>
      </c>
      <c r="Y207" s="119" t="n">
        <f aca="false">SUMIFS(tabela_registros[VALOR],tabela_registros[MÊS],$AE$1,tabela_registros[DIA],reservaoutrosconsolidadoago[[#Headers],[21]],tabela_registros[REGISTRO],DADOS!$N$6,tabela_registros[TIPO],DADOS!$AJ$5,tabela_registros[CATEGORIA],reservaoutrosconsolidadoago[[#This Row],[ATUAL]])</f>
        <v>0</v>
      </c>
      <c r="Z207" s="119" t="n">
        <f aca="false">SUMIFS(tabela_registros[VALOR],tabela_registros[MÊS],$AE$1,tabela_registros[DIA],reservaoutrosconsolidadoago[[#Headers],[22]],tabela_registros[REGISTRO],DADOS!$N$6,tabela_registros[TIPO],DADOS!$AJ$5,tabela_registros[CATEGORIA],reservaoutrosconsolidadoago[[#This Row],[ATUAL]])</f>
        <v>0</v>
      </c>
      <c r="AA207" s="119" t="n">
        <f aca="false">SUMIFS(tabela_registros[VALOR],tabela_registros[MÊS],$AE$1,tabela_registros[DIA],reservaoutrosconsolidadoago[[#Headers],[23]],tabela_registros[REGISTRO],DADOS!$N$6,tabela_registros[TIPO],DADOS!$AJ$5,tabela_registros[CATEGORIA],reservaoutrosconsolidadoago[[#This Row],[ATUAL]])</f>
        <v>0</v>
      </c>
      <c r="AB207" s="119" t="n">
        <f aca="false">SUMIFS(tabela_registros[VALOR],tabela_registros[MÊS],$AE$1,tabela_registros[DIA],reservaoutrosconsolidadoago[[#Headers],[24]],tabela_registros[REGISTRO],DADOS!$N$6,tabela_registros[TIPO],DADOS!$AJ$5,tabela_registros[CATEGORIA],reservaoutrosconsolidadoago[[#This Row],[ATUAL]])</f>
        <v>0</v>
      </c>
      <c r="AC207" s="119" t="n">
        <f aca="false">SUMIFS(tabela_registros[VALOR],tabela_registros[MÊS],$AE$1,tabela_registros[DIA],reservaoutrosconsolidadoago[[#Headers],[25]],tabela_registros[REGISTRO],DADOS!$N$6,tabela_registros[TIPO],DADOS!$AJ$5,tabela_registros[CATEGORIA],reservaoutrosconsolidadoago[[#This Row],[ATUAL]])</f>
        <v>0</v>
      </c>
      <c r="AD207" s="119" t="n">
        <f aca="false">SUMIFS(tabela_registros[VALOR],tabela_registros[MÊS],$AE$1,tabela_registros[DIA],reservaoutrosconsolidadoago[[#Headers],[26]],tabela_registros[REGISTRO],DADOS!$N$6,tabela_registros[TIPO],DADOS!$AJ$5,tabela_registros[CATEGORIA],reservaoutrosconsolidadoago[[#This Row],[ATUAL]])</f>
        <v>0</v>
      </c>
      <c r="AE207" s="119" t="n">
        <f aca="false">SUMIFS(tabela_registros[VALOR],tabela_registros[MÊS],$AE$1,tabela_registros[DIA],reservaoutrosconsolidadoago[[#Headers],[27]],tabela_registros[REGISTRO],DADOS!$N$6,tabela_registros[TIPO],DADOS!$AJ$5,tabela_registros[CATEGORIA],reservaoutrosconsolidadoago[[#This Row],[ATUAL]])</f>
        <v>0</v>
      </c>
      <c r="AF207" s="119" t="n">
        <f aca="false">SUMIFS(tabela_registros[VALOR],tabela_registros[MÊS],$AE$1,tabela_registros[DIA],reservaoutrosconsolidadoago[[#Headers],[28]],tabela_registros[REGISTRO],DADOS!$N$6,tabela_registros[TIPO],DADOS!$AJ$5,tabela_registros[CATEGORIA],reservaoutrosconsolidadoago[[#This Row],[ATUAL]])</f>
        <v>0</v>
      </c>
      <c r="AG207" s="119" t="n">
        <f aca="false">SUMIFS(tabela_registros[VALOR],tabela_registros[MÊS],$AE$1,tabela_registros[DIA],reservaoutrosconsolidadoago[[#Headers],[29]],tabela_registros[REGISTRO],DADOS!$N$6,tabela_registros[TIPO],DADOS!$AJ$5,tabela_registros[CATEGORIA],reservaoutrosconsolidadoago[[#This Row],[ATUAL]])</f>
        <v>0</v>
      </c>
      <c r="AH207" s="119" t="n">
        <f aca="false">SUMIFS(tabela_registros[VALOR],tabela_registros[MÊS],$AE$1,tabela_registros[DIA],reservaoutrosconsolidadoago[[#Headers],[30]],tabela_registros[REGISTRO],DADOS!$N$6,tabela_registros[TIPO],DADOS!$AJ$5,tabela_registros[CATEGORIA],reservaoutrosconsolidadoago[[#This Row],[ATUAL]])</f>
        <v>0</v>
      </c>
      <c r="AI207" s="217" t="n">
        <f aca="false">SUMIFS(tabela_registros[VALOR],tabela_registros[MÊS],$AE$1,tabela_registros[DIA],reservaoutrosconsolidadoago[[#Headers],[31]],tabela_registros[REGISTRO],DADOS!$N$6,tabela_registros[TIPO],DADOS!$AJ$5,tabela_registros[CATEGORIA],reservaoutrosconsolidadoago[[#This Row],[ATUAL]])</f>
        <v>0</v>
      </c>
      <c r="AJ207" s="149" t="n">
        <f aca="false">SUM(reservaoutrosconsolidadoago[[#This Row],[1]:[31]])</f>
        <v>0</v>
      </c>
      <c r="AK207" s="165"/>
    </row>
    <row r="208" customFormat="false" ht="19.5" hidden="false" customHeight="true" outlineLevel="0" collapsed="false">
      <c r="B208" s="143"/>
      <c r="C208" s="144" t="str">
        <f aca="false">DADOS!$AP$5</f>
        <v>📝 FUNDO DE INVESTIMENTO</v>
      </c>
      <c r="D208" s="145" t="str">
        <f aca="false">IF(reservaoutrosconsolidadoago[[#This Row],[TOTAL (R$)]]=0,"",IF(OR(reservaoutrosconsolidadoago[[#This Row],[TOTAL (R$)]]=LARGE($AJ$206:$AJ$213,1),reservaoutrosconsolidadoago[[#This Row],[TOTAL (R$)]]=LARGE($AJ$206:$AJ$213,2)),DADOS!$I$11,""))</f>
        <v/>
      </c>
      <c r="E208" s="148" t="n">
        <f aca="false">SUMIFS(tabela_registros[VALOR],tabela_registros[MÊS],$AE$1,tabela_registros[DIA],reservaoutrosconsolidadoago[[#Headers],[1]],tabela_registros[REGISTRO],DADOS!$N$6,tabela_registros[TIPO],DADOS!$AJ$5,tabela_registros[CATEGORIA],reservaoutrosconsolidadoago[[#This Row],[ATUAL]])</f>
        <v>0</v>
      </c>
      <c r="F208" s="119" t="n">
        <f aca="false">SUMIFS(tabela_registros[VALOR],tabela_registros[MÊS],$AE$1,tabela_registros[DIA],reservaoutrosconsolidadoago[[#Headers],[2]],tabela_registros[REGISTRO],DADOS!$N$6,tabela_registros[TIPO],DADOS!$AJ$5,tabela_registros[CATEGORIA],reservaoutrosconsolidadoago[[#This Row],[ATUAL]])</f>
        <v>0</v>
      </c>
      <c r="G208" s="119" t="n">
        <f aca="false">SUMIFS(tabela_registros[VALOR],tabela_registros[MÊS],$AE$1,tabela_registros[DIA],reservaoutrosconsolidadoago[[#Headers],[3]],tabela_registros[REGISTRO],DADOS!$N$6,tabela_registros[TIPO],DADOS!$AJ$5,tabela_registros[CATEGORIA],reservaoutrosconsolidadoago[[#This Row],[ATUAL]])</f>
        <v>0</v>
      </c>
      <c r="H208" s="119" t="n">
        <f aca="false">SUMIFS(tabela_registros[VALOR],tabela_registros[MÊS],$AE$1,tabela_registros[DIA],reservaoutrosconsolidadoago[[#Headers],[4]],tabela_registros[REGISTRO],DADOS!$N$6,tabela_registros[TIPO],DADOS!$AJ$5,tabela_registros[CATEGORIA],reservaoutrosconsolidadoago[[#This Row],[ATUAL]])</f>
        <v>0</v>
      </c>
      <c r="I208" s="119" t="n">
        <f aca="false">SUMIFS(tabela_registros[VALOR],tabela_registros[MÊS],$AE$1,tabela_registros[DIA],reservaoutrosconsolidadoago[[#Headers],[5]],tabela_registros[REGISTRO],DADOS!$N$6,tabela_registros[TIPO],DADOS!$AJ$5,tabela_registros[CATEGORIA],reservaoutrosconsolidadoago[[#This Row],[ATUAL]])</f>
        <v>0</v>
      </c>
      <c r="J208" s="119" t="n">
        <f aca="false">SUMIFS(tabela_registros[VALOR],tabela_registros[MÊS],$AE$1,tabela_registros[DIA],reservaoutrosconsolidadoago[[#Headers],[6]],tabela_registros[REGISTRO],DADOS!$N$6,tabela_registros[TIPO],DADOS!$AJ$5,tabela_registros[CATEGORIA],reservaoutrosconsolidadoago[[#This Row],[ATUAL]])</f>
        <v>0</v>
      </c>
      <c r="K208" s="119" t="n">
        <f aca="false">SUMIFS(tabela_registros[VALOR],tabela_registros[MÊS],$AE$1,tabela_registros[DIA],reservaoutrosconsolidadoago[[#Headers],[7]],tabela_registros[REGISTRO],DADOS!$N$6,tabela_registros[TIPO],DADOS!$AJ$5,tabela_registros[CATEGORIA],reservaoutrosconsolidadoago[[#This Row],[ATUAL]])</f>
        <v>0</v>
      </c>
      <c r="L208" s="119" t="n">
        <f aca="false">SUMIFS(tabela_registros[VALOR],tabela_registros[MÊS],$AE$1,tabela_registros[DIA],reservaoutrosconsolidadoago[[#Headers],[8]],tabela_registros[REGISTRO],DADOS!$N$6,tabela_registros[TIPO],DADOS!$AJ$5,tabela_registros[CATEGORIA],reservaoutrosconsolidadoago[[#This Row],[ATUAL]])</f>
        <v>0</v>
      </c>
      <c r="M208" s="119" t="n">
        <f aca="false">SUMIFS(tabela_registros[VALOR],tabela_registros[MÊS],$AE$1,tabela_registros[DIA],reservaoutrosconsolidadoago[[#Headers],[9]],tabela_registros[REGISTRO],DADOS!$N$6,tabela_registros[TIPO],DADOS!$AJ$5,tabela_registros[CATEGORIA],reservaoutrosconsolidadoago[[#This Row],[ATUAL]])</f>
        <v>0</v>
      </c>
      <c r="N208" s="119" t="n">
        <f aca="false">SUMIFS(tabela_registros[VALOR],tabela_registros[MÊS],$AE$1,tabela_registros[DIA],reservaoutrosconsolidadoago[[#Headers],[10]],tabela_registros[REGISTRO],DADOS!$N$6,tabela_registros[TIPO],DADOS!$AJ$5,tabela_registros[CATEGORIA],reservaoutrosconsolidadoago[[#This Row],[ATUAL]])</f>
        <v>0</v>
      </c>
      <c r="O208" s="119" t="n">
        <f aca="false">SUMIFS(tabela_registros[VALOR],tabela_registros[MÊS],$AE$1,tabela_registros[DIA],reservaoutrosconsolidadoago[[#Headers],[11]],tabela_registros[REGISTRO],DADOS!$N$6,tabela_registros[TIPO],DADOS!$AJ$5,tabela_registros[CATEGORIA],reservaoutrosconsolidadoago[[#This Row],[ATUAL]])</f>
        <v>0</v>
      </c>
      <c r="P208" s="119" t="n">
        <f aca="false">SUMIFS(tabela_registros[VALOR],tabela_registros[MÊS],$AE$1,tabela_registros[DIA],reservaoutrosconsolidadoago[[#Headers],[12]],tabela_registros[REGISTRO],DADOS!$N$6,tabela_registros[TIPO],DADOS!$AJ$5,tabela_registros[CATEGORIA],reservaoutrosconsolidadoago[[#This Row],[ATUAL]])</f>
        <v>0</v>
      </c>
      <c r="Q208" s="119" t="n">
        <f aca="false">SUMIFS(tabela_registros[VALOR],tabela_registros[MÊS],$AE$1,tabela_registros[DIA],reservaoutrosconsolidadoago[[#Headers],[13]],tabela_registros[REGISTRO],DADOS!$N$6,tabela_registros[TIPO],DADOS!$AJ$5,tabela_registros[CATEGORIA],reservaoutrosconsolidadoago[[#This Row],[ATUAL]])</f>
        <v>0</v>
      </c>
      <c r="R208" s="119" t="n">
        <f aca="false">SUMIFS(tabela_registros[VALOR],tabela_registros[MÊS],$AE$1,tabela_registros[DIA],reservaoutrosconsolidadoago[[#Headers],[14]],tabela_registros[REGISTRO],DADOS!$N$6,tabela_registros[TIPO],DADOS!$AJ$5,tabela_registros[CATEGORIA],reservaoutrosconsolidadoago[[#This Row],[ATUAL]])</f>
        <v>0</v>
      </c>
      <c r="S208" s="119" t="n">
        <f aca="false">SUMIFS(tabela_registros[VALOR],tabela_registros[MÊS],$AE$1,tabela_registros[DIA],reservaoutrosconsolidadoago[[#Headers],[15]],tabela_registros[REGISTRO],DADOS!$N$6,tabela_registros[TIPO],DADOS!$AJ$5,tabela_registros[CATEGORIA],reservaoutrosconsolidadoago[[#This Row],[ATUAL]])</f>
        <v>0</v>
      </c>
      <c r="T208" s="119" t="n">
        <f aca="false">SUMIFS(tabela_registros[VALOR],tabela_registros[MÊS],$AE$1,tabela_registros[DIA],reservaoutrosconsolidadoago[[#Headers],[16]],tabela_registros[REGISTRO],DADOS!$N$6,tabela_registros[TIPO],DADOS!$AJ$5,tabela_registros[CATEGORIA],reservaoutrosconsolidadoago[[#This Row],[ATUAL]])</f>
        <v>0</v>
      </c>
      <c r="U208" s="119" t="n">
        <f aca="false">SUMIFS(tabela_registros[VALOR],tabela_registros[MÊS],$AE$1,tabela_registros[DIA],reservaoutrosconsolidadoago[[#Headers],[17]],tabela_registros[REGISTRO],DADOS!$N$6,tabela_registros[TIPO],DADOS!$AJ$5,tabela_registros[CATEGORIA],reservaoutrosconsolidadoago[[#This Row],[ATUAL]])</f>
        <v>0</v>
      </c>
      <c r="V208" s="119" t="n">
        <f aca="false">SUMIFS(tabela_registros[VALOR],tabela_registros[MÊS],$AE$1,tabela_registros[DIA],reservaoutrosconsolidadoago[[#Headers],[18]],tabela_registros[REGISTRO],DADOS!$N$6,tabela_registros[TIPO],DADOS!$AJ$5,tabela_registros[CATEGORIA],reservaoutrosconsolidadoago[[#This Row],[ATUAL]])</f>
        <v>0</v>
      </c>
      <c r="W208" s="119" t="n">
        <f aca="false">SUMIFS(tabela_registros[VALOR],tabela_registros[MÊS],$AE$1,tabela_registros[DIA],reservaoutrosconsolidadoago[[#Headers],[19]],tabela_registros[REGISTRO],DADOS!$N$6,tabela_registros[TIPO],DADOS!$AJ$5,tabela_registros[CATEGORIA],reservaoutrosconsolidadoago[[#This Row],[ATUAL]])</f>
        <v>0</v>
      </c>
      <c r="X208" s="119" t="n">
        <f aca="false">SUMIFS(tabela_registros[VALOR],tabela_registros[MÊS],$AE$1,tabela_registros[DIA],reservaoutrosconsolidadoago[[#Headers],[20]],tabela_registros[REGISTRO],DADOS!$N$6,tabela_registros[TIPO],DADOS!$AJ$5,tabela_registros[CATEGORIA],reservaoutrosconsolidadoago[[#This Row],[ATUAL]])</f>
        <v>0</v>
      </c>
      <c r="Y208" s="119" t="n">
        <f aca="false">SUMIFS(tabela_registros[VALOR],tabela_registros[MÊS],$AE$1,tabela_registros[DIA],reservaoutrosconsolidadoago[[#Headers],[21]],tabela_registros[REGISTRO],DADOS!$N$6,tabela_registros[TIPO],DADOS!$AJ$5,tabela_registros[CATEGORIA],reservaoutrosconsolidadoago[[#This Row],[ATUAL]])</f>
        <v>0</v>
      </c>
      <c r="Z208" s="119" t="n">
        <f aca="false">SUMIFS(tabela_registros[VALOR],tabela_registros[MÊS],$AE$1,tabela_registros[DIA],reservaoutrosconsolidadoago[[#Headers],[22]],tabela_registros[REGISTRO],DADOS!$N$6,tabela_registros[TIPO],DADOS!$AJ$5,tabela_registros[CATEGORIA],reservaoutrosconsolidadoago[[#This Row],[ATUAL]])</f>
        <v>0</v>
      </c>
      <c r="AA208" s="119" t="n">
        <f aca="false">SUMIFS(tabela_registros[VALOR],tabela_registros[MÊS],$AE$1,tabela_registros[DIA],reservaoutrosconsolidadoago[[#Headers],[23]],tabela_registros[REGISTRO],DADOS!$N$6,tabela_registros[TIPO],DADOS!$AJ$5,tabela_registros[CATEGORIA],reservaoutrosconsolidadoago[[#This Row],[ATUAL]])</f>
        <v>0</v>
      </c>
      <c r="AB208" s="119" t="n">
        <f aca="false">SUMIFS(tabela_registros[VALOR],tabela_registros[MÊS],$AE$1,tabela_registros[DIA],reservaoutrosconsolidadoago[[#Headers],[24]],tabela_registros[REGISTRO],DADOS!$N$6,tabela_registros[TIPO],DADOS!$AJ$5,tabela_registros[CATEGORIA],reservaoutrosconsolidadoago[[#This Row],[ATUAL]])</f>
        <v>0</v>
      </c>
      <c r="AC208" s="119" t="n">
        <f aca="false">SUMIFS(tabela_registros[VALOR],tabela_registros[MÊS],$AE$1,tabela_registros[DIA],reservaoutrosconsolidadoago[[#Headers],[25]],tabela_registros[REGISTRO],DADOS!$N$6,tabela_registros[TIPO],DADOS!$AJ$5,tabela_registros[CATEGORIA],reservaoutrosconsolidadoago[[#This Row],[ATUAL]])</f>
        <v>0</v>
      </c>
      <c r="AD208" s="119" t="n">
        <f aca="false">SUMIFS(tabela_registros[VALOR],tabela_registros[MÊS],$AE$1,tabela_registros[DIA],reservaoutrosconsolidadoago[[#Headers],[26]],tabela_registros[REGISTRO],DADOS!$N$6,tabela_registros[TIPO],DADOS!$AJ$5,tabela_registros[CATEGORIA],reservaoutrosconsolidadoago[[#This Row],[ATUAL]])</f>
        <v>0</v>
      </c>
      <c r="AE208" s="119" t="n">
        <f aca="false">SUMIFS(tabela_registros[VALOR],tabela_registros[MÊS],$AE$1,tabela_registros[DIA],reservaoutrosconsolidadoago[[#Headers],[27]],tabela_registros[REGISTRO],DADOS!$N$6,tabela_registros[TIPO],DADOS!$AJ$5,tabela_registros[CATEGORIA],reservaoutrosconsolidadoago[[#This Row],[ATUAL]])</f>
        <v>0</v>
      </c>
      <c r="AF208" s="119" t="n">
        <f aca="false">SUMIFS(tabela_registros[VALOR],tabela_registros[MÊS],$AE$1,tabela_registros[DIA],reservaoutrosconsolidadoago[[#Headers],[28]],tabela_registros[REGISTRO],DADOS!$N$6,tabela_registros[TIPO],DADOS!$AJ$5,tabela_registros[CATEGORIA],reservaoutrosconsolidadoago[[#This Row],[ATUAL]])</f>
        <v>0</v>
      </c>
      <c r="AG208" s="119" t="n">
        <f aca="false">SUMIFS(tabela_registros[VALOR],tabela_registros[MÊS],$AE$1,tabela_registros[DIA],reservaoutrosconsolidadoago[[#Headers],[29]],tabela_registros[REGISTRO],DADOS!$N$6,tabela_registros[TIPO],DADOS!$AJ$5,tabela_registros[CATEGORIA],reservaoutrosconsolidadoago[[#This Row],[ATUAL]])</f>
        <v>0</v>
      </c>
      <c r="AH208" s="119" t="n">
        <f aca="false">SUMIFS(tabela_registros[VALOR],tabela_registros[MÊS],$AE$1,tabela_registros[DIA],reservaoutrosconsolidadoago[[#Headers],[30]],tabela_registros[REGISTRO],DADOS!$N$6,tabela_registros[TIPO],DADOS!$AJ$5,tabela_registros[CATEGORIA],reservaoutrosconsolidadoago[[#This Row],[ATUAL]])</f>
        <v>0</v>
      </c>
      <c r="AI208" s="217" t="n">
        <f aca="false">SUMIFS(tabela_registros[VALOR],tabela_registros[MÊS],$AE$1,tabela_registros[DIA],reservaoutrosconsolidadoago[[#Headers],[31]],tabela_registros[REGISTRO],DADOS!$N$6,tabela_registros[TIPO],DADOS!$AJ$5,tabela_registros[CATEGORIA],reservaoutrosconsolidadoago[[#This Row],[ATUAL]])</f>
        <v>0</v>
      </c>
      <c r="AJ208" s="149" t="n">
        <f aca="false">SUM(reservaoutrosconsolidadoago[[#This Row],[1]:[31]])</f>
        <v>0</v>
      </c>
      <c r="AK208" s="165"/>
    </row>
    <row r="209" customFormat="false" ht="19.5" hidden="false" customHeight="true" outlineLevel="0" collapsed="false">
      <c r="B209" s="143"/>
      <c r="C209" s="144" t="str">
        <f aca="false">DADOS!$AP$6</f>
        <v>📝 NOVA EMPRESA</v>
      </c>
      <c r="D209" s="145" t="str">
        <f aca="false">IF(reservaoutrosconsolidadoago[[#This Row],[TOTAL (R$)]]=0,"",IF(OR(reservaoutrosconsolidadoago[[#This Row],[TOTAL (R$)]]=LARGE($AJ$206:$AJ$213,1),reservaoutrosconsolidadoago[[#This Row],[TOTAL (R$)]]=LARGE($AJ$206:$AJ$213,2)),DADOS!$I$11,""))</f>
        <v/>
      </c>
      <c r="E209" s="148" t="n">
        <f aca="false">SUMIFS(tabela_registros[VALOR],tabela_registros[MÊS],$AE$1,tabela_registros[DIA],reservaoutrosconsolidadoago[[#Headers],[1]],tabela_registros[REGISTRO],DADOS!$N$6,tabela_registros[TIPO],DADOS!$AJ$5,tabela_registros[CATEGORIA],reservaoutrosconsolidadoago[[#This Row],[ATUAL]])</f>
        <v>0</v>
      </c>
      <c r="F209" s="119" t="n">
        <f aca="false">SUMIFS(tabela_registros[VALOR],tabela_registros[MÊS],$AE$1,tabela_registros[DIA],reservaoutrosconsolidadoago[[#Headers],[2]],tabela_registros[REGISTRO],DADOS!$N$6,tabela_registros[TIPO],DADOS!$AJ$5,tabela_registros[CATEGORIA],reservaoutrosconsolidadoago[[#This Row],[ATUAL]])</f>
        <v>0</v>
      </c>
      <c r="G209" s="119" t="n">
        <f aca="false">SUMIFS(tabela_registros[VALOR],tabela_registros[MÊS],$AE$1,tabela_registros[DIA],reservaoutrosconsolidadoago[[#Headers],[3]],tabela_registros[REGISTRO],DADOS!$N$6,tabela_registros[TIPO],DADOS!$AJ$5,tabela_registros[CATEGORIA],reservaoutrosconsolidadoago[[#This Row],[ATUAL]])</f>
        <v>0</v>
      </c>
      <c r="H209" s="119" t="n">
        <f aca="false">SUMIFS(tabela_registros[VALOR],tabela_registros[MÊS],$AE$1,tabela_registros[DIA],reservaoutrosconsolidadoago[[#Headers],[4]],tabela_registros[REGISTRO],DADOS!$N$6,tabela_registros[TIPO],DADOS!$AJ$5,tabela_registros[CATEGORIA],reservaoutrosconsolidadoago[[#This Row],[ATUAL]])</f>
        <v>0</v>
      </c>
      <c r="I209" s="119" t="n">
        <f aca="false">SUMIFS(tabela_registros[VALOR],tabela_registros[MÊS],$AE$1,tabela_registros[DIA],reservaoutrosconsolidadoago[[#Headers],[5]],tabela_registros[REGISTRO],DADOS!$N$6,tabela_registros[TIPO],DADOS!$AJ$5,tabela_registros[CATEGORIA],reservaoutrosconsolidadoago[[#This Row],[ATUAL]])</f>
        <v>0</v>
      </c>
      <c r="J209" s="119" t="n">
        <f aca="false">SUMIFS(tabela_registros[VALOR],tabela_registros[MÊS],$AE$1,tabela_registros[DIA],reservaoutrosconsolidadoago[[#Headers],[6]],tabela_registros[REGISTRO],DADOS!$N$6,tabela_registros[TIPO],DADOS!$AJ$5,tabela_registros[CATEGORIA],reservaoutrosconsolidadoago[[#This Row],[ATUAL]])</f>
        <v>0</v>
      </c>
      <c r="K209" s="119" t="n">
        <f aca="false">SUMIFS(tabela_registros[VALOR],tabela_registros[MÊS],$AE$1,tabela_registros[DIA],reservaoutrosconsolidadoago[[#Headers],[7]],tabela_registros[REGISTRO],DADOS!$N$6,tabela_registros[TIPO],DADOS!$AJ$5,tabela_registros[CATEGORIA],reservaoutrosconsolidadoago[[#This Row],[ATUAL]])</f>
        <v>0</v>
      </c>
      <c r="L209" s="119" t="n">
        <f aca="false">SUMIFS(tabela_registros[VALOR],tabela_registros[MÊS],$AE$1,tabela_registros[DIA],reservaoutrosconsolidadoago[[#Headers],[8]],tabela_registros[REGISTRO],DADOS!$N$6,tabela_registros[TIPO],DADOS!$AJ$5,tabela_registros[CATEGORIA],reservaoutrosconsolidadoago[[#This Row],[ATUAL]])</f>
        <v>0</v>
      </c>
      <c r="M209" s="119" t="n">
        <f aca="false">SUMIFS(tabela_registros[VALOR],tabela_registros[MÊS],$AE$1,tabela_registros[DIA],reservaoutrosconsolidadoago[[#Headers],[9]],tabela_registros[REGISTRO],DADOS!$N$6,tabela_registros[TIPO],DADOS!$AJ$5,tabela_registros[CATEGORIA],reservaoutrosconsolidadoago[[#This Row],[ATUAL]])</f>
        <v>0</v>
      </c>
      <c r="N209" s="119" t="n">
        <f aca="false">SUMIFS(tabela_registros[VALOR],tabela_registros[MÊS],$AE$1,tabela_registros[DIA],reservaoutrosconsolidadoago[[#Headers],[10]],tabela_registros[REGISTRO],DADOS!$N$6,tabela_registros[TIPO],DADOS!$AJ$5,tabela_registros[CATEGORIA],reservaoutrosconsolidadoago[[#This Row],[ATUAL]])</f>
        <v>0</v>
      </c>
      <c r="O209" s="119" t="n">
        <f aca="false">SUMIFS(tabela_registros[VALOR],tabela_registros[MÊS],$AE$1,tabela_registros[DIA],reservaoutrosconsolidadoago[[#Headers],[11]],tabela_registros[REGISTRO],DADOS!$N$6,tabela_registros[TIPO],DADOS!$AJ$5,tabela_registros[CATEGORIA],reservaoutrosconsolidadoago[[#This Row],[ATUAL]])</f>
        <v>0</v>
      </c>
      <c r="P209" s="119" t="n">
        <f aca="false">SUMIFS(tabela_registros[VALOR],tabela_registros[MÊS],$AE$1,tabela_registros[DIA],reservaoutrosconsolidadoago[[#Headers],[12]],tabela_registros[REGISTRO],DADOS!$N$6,tabela_registros[TIPO],DADOS!$AJ$5,tabela_registros[CATEGORIA],reservaoutrosconsolidadoago[[#This Row],[ATUAL]])</f>
        <v>0</v>
      </c>
      <c r="Q209" s="119" t="n">
        <f aca="false">SUMIFS(tabela_registros[VALOR],tabela_registros[MÊS],$AE$1,tabela_registros[DIA],reservaoutrosconsolidadoago[[#Headers],[13]],tabela_registros[REGISTRO],DADOS!$N$6,tabela_registros[TIPO],DADOS!$AJ$5,tabela_registros[CATEGORIA],reservaoutrosconsolidadoago[[#This Row],[ATUAL]])</f>
        <v>0</v>
      </c>
      <c r="R209" s="119" t="n">
        <f aca="false">SUMIFS(tabela_registros[VALOR],tabela_registros[MÊS],$AE$1,tabela_registros[DIA],reservaoutrosconsolidadoago[[#Headers],[14]],tabela_registros[REGISTRO],DADOS!$N$6,tabela_registros[TIPO],DADOS!$AJ$5,tabela_registros[CATEGORIA],reservaoutrosconsolidadoago[[#This Row],[ATUAL]])</f>
        <v>0</v>
      </c>
      <c r="S209" s="119" t="n">
        <f aca="false">SUMIFS(tabela_registros[VALOR],tabela_registros[MÊS],$AE$1,tabela_registros[DIA],reservaoutrosconsolidadoago[[#Headers],[15]],tabela_registros[REGISTRO],DADOS!$N$6,tabela_registros[TIPO],DADOS!$AJ$5,tabela_registros[CATEGORIA],reservaoutrosconsolidadoago[[#This Row],[ATUAL]])</f>
        <v>0</v>
      </c>
      <c r="T209" s="119" t="n">
        <f aca="false">SUMIFS(tabela_registros[VALOR],tabela_registros[MÊS],$AE$1,tabela_registros[DIA],reservaoutrosconsolidadoago[[#Headers],[16]],tabela_registros[REGISTRO],DADOS!$N$6,tabela_registros[TIPO],DADOS!$AJ$5,tabela_registros[CATEGORIA],reservaoutrosconsolidadoago[[#This Row],[ATUAL]])</f>
        <v>0</v>
      </c>
      <c r="U209" s="119" t="n">
        <f aca="false">SUMIFS(tabela_registros[VALOR],tabela_registros[MÊS],$AE$1,tabela_registros[DIA],reservaoutrosconsolidadoago[[#Headers],[17]],tabela_registros[REGISTRO],DADOS!$N$6,tabela_registros[TIPO],DADOS!$AJ$5,tabela_registros[CATEGORIA],reservaoutrosconsolidadoago[[#This Row],[ATUAL]])</f>
        <v>0</v>
      </c>
      <c r="V209" s="119" t="n">
        <f aca="false">SUMIFS(tabela_registros[VALOR],tabela_registros[MÊS],$AE$1,tabela_registros[DIA],reservaoutrosconsolidadoago[[#Headers],[18]],tabela_registros[REGISTRO],DADOS!$N$6,tabela_registros[TIPO],DADOS!$AJ$5,tabela_registros[CATEGORIA],reservaoutrosconsolidadoago[[#This Row],[ATUAL]])</f>
        <v>0</v>
      </c>
      <c r="W209" s="119" t="n">
        <f aca="false">SUMIFS(tabela_registros[VALOR],tabela_registros[MÊS],$AE$1,tabela_registros[DIA],reservaoutrosconsolidadoago[[#Headers],[19]],tabela_registros[REGISTRO],DADOS!$N$6,tabela_registros[TIPO],DADOS!$AJ$5,tabela_registros[CATEGORIA],reservaoutrosconsolidadoago[[#This Row],[ATUAL]])</f>
        <v>0</v>
      </c>
      <c r="X209" s="119" t="n">
        <f aca="false">SUMIFS(tabela_registros[VALOR],tabela_registros[MÊS],$AE$1,tabela_registros[DIA],reservaoutrosconsolidadoago[[#Headers],[20]],tabela_registros[REGISTRO],DADOS!$N$6,tabela_registros[TIPO],DADOS!$AJ$5,tabela_registros[CATEGORIA],reservaoutrosconsolidadoago[[#This Row],[ATUAL]])</f>
        <v>0</v>
      </c>
      <c r="Y209" s="119" t="n">
        <f aca="false">SUMIFS(tabela_registros[VALOR],tabela_registros[MÊS],$AE$1,tabela_registros[DIA],reservaoutrosconsolidadoago[[#Headers],[21]],tabela_registros[REGISTRO],DADOS!$N$6,tabela_registros[TIPO],DADOS!$AJ$5,tabela_registros[CATEGORIA],reservaoutrosconsolidadoago[[#This Row],[ATUAL]])</f>
        <v>0</v>
      </c>
      <c r="Z209" s="119" t="n">
        <f aca="false">SUMIFS(tabela_registros[VALOR],tabela_registros[MÊS],$AE$1,tabela_registros[DIA],reservaoutrosconsolidadoago[[#Headers],[22]],tabela_registros[REGISTRO],DADOS!$N$6,tabela_registros[TIPO],DADOS!$AJ$5,tabela_registros[CATEGORIA],reservaoutrosconsolidadoago[[#This Row],[ATUAL]])</f>
        <v>0</v>
      </c>
      <c r="AA209" s="119" t="n">
        <f aca="false">SUMIFS(tabela_registros[VALOR],tabela_registros[MÊS],$AE$1,tabela_registros[DIA],reservaoutrosconsolidadoago[[#Headers],[23]],tabela_registros[REGISTRO],DADOS!$N$6,tabela_registros[TIPO],DADOS!$AJ$5,tabela_registros[CATEGORIA],reservaoutrosconsolidadoago[[#This Row],[ATUAL]])</f>
        <v>0</v>
      </c>
      <c r="AB209" s="119" t="n">
        <f aca="false">SUMIFS(tabela_registros[VALOR],tabela_registros[MÊS],$AE$1,tabela_registros[DIA],reservaoutrosconsolidadoago[[#Headers],[24]],tabela_registros[REGISTRO],DADOS!$N$6,tabela_registros[TIPO],DADOS!$AJ$5,tabela_registros[CATEGORIA],reservaoutrosconsolidadoago[[#This Row],[ATUAL]])</f>
        <v>0</v>
      </c>
      <c r="AC209" s="119" t="n">
        <f aca="false">SUMIFS(tabela_registros[VALOR],tabela_registros[MÊS],$AE$1,tabela_registros[DIA],reservaoutrosconsolidadoago[[#Headers],[25]],tabela_registros[REGISTRO],DADOS!$N$6,tabela_registros[TIPO],DADOS!$AJ$5,tabela_registros[CATEGORIA],reservaoutrosconsolidadoago[[#This Row],[ATUAL]])</f>
        <v>0</v>
      </c>
      <c r="AD209" s="119" t="n">
        <f aca="false">SUMIFS(tabela_registros[VALOR],tabela_registros[MÊS],$AE$1,tabela_registros[DIA],reservaoutrosconsolidadoago[[#Headers],[26]],tabela_registros[REGISTRO],DADOS!$N$6,tabela_registros[TIPO],DADOS!$AJ$5,tabela_registros[CATEGORIA],reservaoutrosconsolidadoago[[#This Row],[ATUAL]])</f>
        <v>0</v>
      </c>
      <c r="AE209" s="119" t="n">
        <f aca="false">SUMIFS(tabela_registros[VALOR],tabela_registros[MÊS],$AE$1,tabela_registros[DIA],reservaoutrosconsolidadoago[[#Headers],[27]],tabela_registros[REGISTRO],DADOS!$N$6,tabela_registros[TIPO],DADOS!$AJ$5,tabela_registros[CATEGORIA],reservaoutrosconsolidadoago[[#This Row],[ATUAL]])</f>
        <v>0</v>
      </c>
      <c r="AF209" s="119" t="n">
        <f aca="false">SUMIFS(tabela_registros[VALOR],tabela_registros[MÊS],$AE$1,tabela_registros[DIA],reservaoutrosconsolidadoago[[#Headers],[28]],tabela_registros[REGISTRO],DADOS!$N$6,tabela_registros[TIPO],DADOS!$AJ$5,tabela_registros[CATEGORIA],reservaoutrosconsolidadoago[[#This Row],[ATUAL]])</f>
        <v>0</v>
      </c>
      <c r="AG209" s="119" t="n">
        <f aca="false">SUMIFS(tabela_registros[VALOR],tabela_registros[MÊS],$AE$1,tabela_registros[DIA],reservaoutrosconsolidadoago[[#Headers],[29]],tabela_registros[REGISTRO],DADOS!$N$6,tabela_registros[TIPO],DADOS!$AJ$5,tabela_registros[CATEGORIA],reservaoutrosconsolidadoago[[#This Row],[ATUAL]])</f>
        <v>0</v>
      </c>
      <c r="AH209" s="119" t="n">
        <f aca="false">SUMIFS(tabela_registros[VALOR],tabela_registros[MÊS],$AE$1,tabela_registros[DIA],reservaoutrosconsolidadoago[[#Headers],[30]],tabela_registros[REGISTRO],DADOS!$N$6,tabela_registros[TIPO],DADOS!$AJ$5,tabela_registros[CATEGORIA],reservaoutrosconsolidadoago[[#This Row],[ATUAL]])</f>
        <v>0</v>
      </c>
      <c r="AI209" s="217" t="n">
        <f aca="false">SUMIFS(tabela_registros[VALOR],tabela_registros[MÊS],$AE$1,tabela_registros[DIA],reservaoutrosconsolidadoago[[#Headers],[31]],tabela_registros[REGISTRO],DADOS!$N$6,tabela_registros[TIPO],DADOS!$AJ$5,tabela_registros[CATEGORIA],reservaoutrosconsolidadoago[[#This Row],[ATUAL]])</f>
        <v>0</v>
      </c>
      <c r="AJ209" s="149" t="n">
        <f aca="false">SUM(reservaoutrosconsolidadoago[[#This Row],[1]:[31]])</f>
        <v>0</v>
      </c>
      <c r="AK209" s="165"/>
    </row>
    <row r="210" customFormat="false" ht="19.5" hidden="false" customHeight="true" outlineLevel="0" collapsed="false">
      <c r="B210" s="143"/>
      <c r="C210" s="144" t="str">
        <f aca="false">DADOS!$AP$7</f>
        <v>📝 PEER TO COMPANY</v>
      </c>
      <c r="D210" s="145" t="str">
        <f aca="false">IF(reservaoutrosconsolidadoago[[#This Row],[TOTAL (R$)]]=0,"",IF(OR(reservaoutrosconsolidadoago[[#This Row],[TOTAL (R$)]]=LARGE($AJ$206:$AJ$213,1),reservaoutrosconsolidadoago[[#This Row],[TOTAL (R$)]]=LARGE($AJ$206:$AJ$213,2)),DADOS!$I$11,""))</f>
        <v/>
      </c>
      <c r="E210" s="148" t="n">
        <f aca="false">SUMIFS(tabela_registros[VALOR],tabela_registros[MÊS],$AE$1,tabela_registros[DIA],reservaoutrosconsolidadoago[[#Headers],[1]],tabela_registros[REGISTRO],DADOS!$N$6,tabela_registros[TIPO],DADOS!$AJ$5,tabela_registros[CATEGORIA],reservaoutrosconsolidadoago[[#This Row],[ATUAL]])</f>
        <v>0</v>
      </c>
      <c r="F210" s="119" t="n">
        <f aca="false">SUMIFS(tabela_registros[VALOR],tabela_registros[MÊS],$AE$1,tabela_registros[DIA],reservaoutrosconsolidadoago[[#Headers],[2]],tabela_registros[REGISTRO],DADOS!$N$6,tabela_registros[TIPO],DADOS!$AJ$5,tabela_registros[CATEGORIA],reservaoutrosconsolidadoago[[#This Row],[ATUAL]])</f>
        <v>0</v>
      </c>
      <c r="G210" s="119" t="n">
        <f aca="false">SUMIFS(tabela_registros[VALOR],tabela_registros[MÊS],$AE$1,tabela_registros[DIA],reservaoutrosconsolidadoago[[#Headers],[3]],tabela_registros[REGISTRO],DADOS!$N$6,tabela_registros[TIPO],DADOS!$AJ$5,tabela_registros[CATEGORIA],reservaoutrosconsolidadoago[[#This Row],[ATUAL]])</f>
        <v>0</v>
      </c>
      <c r="H210" s="119" t="n">
        <f aca="false">SUMIFS(tabela_registros[VALOR],tabela_registros[MÊS],$AE$1,tabela_registros[DIA],reservaoutrosconsolidadoago[[#Headers],[4]],tabela_registros[REGISTRO],DADOS!$N$6,tabela_registros[TIPO],DADOS!$AJ$5,tabela_registros[CATEGORIA],reservaoutrosconsolidadoago[[#This Row],[ATUAL]])</f>
        <v>0</v>
      </c>
      <c r="I210" s="119" t="n">
        <f aca="false">SUMIFS(tabela_registros[VALOR],tabela_registros[MÊS],$AE$1,tabela_registros[DIA],reservaoutrosconsolidadoago[[#Headers],[5]],tabela_registros[REGISTRO],DADOS!$N$6,tabela_registros[TIPO],DADOS!$AJ$5,tabela_registros[CATEGORIA],reservaoutrosconsolidadoago[[#This Row],[ATUAL]])</f>
        <v>0</v>
      </c>
      <c r="J210" s="119" t="n">
        <f aca="false">SUMIFS(tabela_registros[VALOR],tabela_registros[MÊS],$AE$1,tabela_registros[DIA],reservaoutrosconsolidadoago[[#Headers],[6]],tabela_registros[REGISTRO],DADOS!$N$6,tabela_registros[TIPO],DADOS!$AJ$5,tabela_registros[CATEGORIA],reservaoutrosconsolidadoago[[#This Row],[ATUAL]])</f>
        <v>0</v>
      </c>
      <c r="K210" s="119" t="n">
        <f aca="false">SUMIFS(tabela_registros[VALOR],tabela_registros[MÊS],$AE$1,tabela_registros[DIA],reservaoutrosconsolidadoago[[#Headers],[7]],tabela_registros[REGISTRO],DADOS!$N$6,tabela_registros[TIPO],DADOS!$AJ$5,tabela_registros[CATEGORIA],reservaoutrosconsolidadoago[[#This Row],[ATUAL]])</f>
        <v>0</v>
      </c>
      <c r="L210" s="119" t="n">
        <f aca="false">SUMIFS(tabela_registros[VALOR],tabela_registros[MÊS],$AE$1,tabela_registros[DIA],reservaoutrosconsolidadoago[[#Headers],[8]],tabela_registros[REGISTRO],DADOS!$N$6,tabela_registros[TIPO],DADOS!$AJ$5,tabela_registros[CATEGORIA],reservaoutrosconsolidadoago[[#This Row],[ATUAL]])</f>
        <v>0</v>
      </c>
      <c r="M210" s="119" t="n">
        <f aca="false">SUMIFS(tabela_registros[VALOR],tabela_registros[MÊS],$AE$1,tabela_registros[DIA],reservaoutrosconsolidadoago[[#Headers],[9]],tabela_registros[REGISTRO],DADOS!$N$6,tabela_registros[TIPO],DADOS!$AJ$5,tabela_registros[CATEGORIA],reservaoutrosconsolidadoago[[#This Row],[ATUAL]])</f>
        <v>0</v>
      </c>
      <c r="N210" s="119" t="n">
        <f aca="false">SUMIFS(tabela_registros[VALOR],tabela_registros[MÊS],$AE$1,tabela_registros[DIA],reservaoutrosconsolidadoago[[#Headers],[10]],tabela_registros[REGISTRO],DADOS!$N$6,tabela_registros[TIPO],DADOS!$AJ$5,tabela_registros[CATEGORIA],reservaoutrosconsolidadoago[[#This Row],[ATUAL]])</f>
        <v>0</v>
      </c>
      <c r="O210" s="119" t="n">
        <f aca="false">SUMIFS(tabela_registros[VALOR],tabela_registros[MÊS],$AE$1,tabela_registros[DIA],reservaoutrosconsolidadoago[[#Headers],[11]],tabela_registros[REGISTRO],DADOS!$N$6,tabela_registros[TIPO],DADOS!$AJ$5,tabela_registros[CATEGORIA],reservaoutrosconsolidadoago[[#This Row],[ATUAL]])</f>
        <v>0</v>
      </c>
      <c r="P210" s="119" t="n">
        <f aca="false">SUMIFS(tabela_registros[VALOR],tabela_registros[MÊS],$AE$1,tabela_registros[DIA],reservaoutrosconsolidadoago[[#Headers],[12]],tabela_registros[REGISTRO],DADOS!$N$6,tabela_registros[TIPO],DADOS!$AJ$5,tabela_registros[CATEGORIA],reservaoutrosconsolidadoago[[#This Row],[ATUAL]])</f>
        <v>0</v>
      </c>
      <c r="Q210" s="119" t="n">
        <f aca="false">SUMIFS(tabela_registros[VALOR],tabela_registros[MÊS],$AE$1,tabela_registros[DIA],reservaoutrosconsolidadoago[[#Headers],[13]],tabela_registros[REGISTRO],DADOS!$N$6,tabela_registros[TIPO],DADOS!$AJ$5,tabela_registros[CATEGORIA],reservaoutrosconsolidadoago[[#This Row],[ATUAL]])</f>
        <v>0</v>
      </c>
      <c r="R210" s="119" t="n">
        <f aca="false">SUMIFS(tabela_registros[VALOR],tabela_registros[MÊS],$AE$1,tabela_registros[DIA],reservaoutrosconsolidadoago[[#Headers],[14]],tabela_registros[REGISTRO],DADOS!$N$6,tabela_registros[TIPO],DADOS!$AJ$5,tabela_registros[CATEGORIA],reservaoutrosconsolidadoago[[#This Row],[ATUAL]])</f>
        <v>0</v>
      </c>
      <c r="S210" s="119" t="n">
        <f aca="false">SUMIFS(tabela_registros[VALOR],tabela_registros[MÊS],$AE$1,tabela_registros[DIA],reservaoutrosconsolidadoago[[#Headers],[15]],tabela_registros[REGISTRO],DADOS!$N$6,tabela_registros[TIPO],DADOS!$AJ$5,tabela_registros[CATEGORIA],reservaoutrosconsolidadoago[[#This Row],[ATUAL]])</f>
        <v>0</v>
      </c>
      <c r="T210" s="119" t="n">
        <f aca="false">SUMIFS(tabela_registros[VALOR],tabela_registros[MÊS],$AE$1,tabela_registros[DIA],reservaoutrosconsolidadoago[[#Headers],[16]],tabela_registros[REGISTRO],DADOS!$N$6,tabela_registros[TIPO],DADOS!$AJ$5,tabela_registros[CATEGORIA],reservaoutrosconsolidadoago[[#This Row],[ATUAL]])</f>
        <v>0</v>
      </c>
      <c r="U210" s="119" t="n">
        <f aca="false">SUMIFS(tabela_registros[VALOR],tabela_registros[MÊS],$AE$1,tabela_registros[DIA],reservaoutrosconsolidadoago[[#Headers],[17]],tabela_registros[REGISTRO],DADOS!$N$6,tabela_registros[TIPO],DADOS!$AJ$5,tabela_registros[CATEGORIA],reservaoutrosconsolidadoago[[#This Row],[ATUAL]])</f>
        <v>0</v>
      </c>
      <c r="V210" s="119" t="n">
        <f aca="false">SUMIFS(tabela_registros[VALOR],tabela_registros[MÊS],$AE$1,tabela_registros[DIA],reservaoutrosconsolidadoago[[#Headers],[18]],tabela_registros[REGISTRO],DADOS!$N$6,tabela_registros[TIPO],DADOS!$AJ$5,tabela_registros[CATEGORIA],reservaoutrosconsolidadoago[[#This Row],[ATUAL]])</f>
        <v>0</v>
      </c>
      <c r="W210" s="119" t="n">
        <f aca="false">SUMIFS(tabela_registros[VALOR],tabela_registros[MÊS],$AE$1,tabela_registros[DIA],reservaoutrosconsolidadoago[[#Headers],[19]],tabela_registros[REGISTRO],DADOS!$N$6,tabela_registros[TIPO],DADOS!$AJ$5,tabela_registros[CATEGORIA],reservaoutrosconsolidadoago[[#This Row],[ATUAL]])</f>
        <v>0</v>
      </c>
      <c r="X210" s="119" t="n">
        <f aca="false">SUMIFS(tabela_registros[VALOR],tabela_registros[MÊS],$AE$1,tabela_registros[DIA],reservaoutrosconsolidadoago[[#Headers],[20]],tabela_registros[REGISTRO],DADOS!$N$6,tabela_registros[TIPO],DADOS!$AJ$5,tabela_registros[CATEGORIA],reservaoutrosconsolidadoago[[#This Row],[ATUAL]])</f>
        <v>0</v>
      </c>
      <c r="Y210" s="119" t="n">
        <f aca="false">SUMIFS(tabela_registros[VALOR],tabela_registros[MÊS],$AE$1,tabela_registros[DIA],reservaoutrosconsolidadoago[[#Headers],[21]],tabela_registros[REGISTRO],DADOS!$N$6,tabela_registros[TIPO],DADOS!$AJ$5,tabela_registros[CATEGORIA],reservaoutrosconsolidadoago[[#This Row],[ATUAL]])</f>
        <v>0</v>
      </c>
      <c r="Z210" s="119" t="n">
        <f aca="false">SUMIFS(tabela_registros[VALOR],tabela_registros[MÊS],$AE$1,tabela_registros[DIA],reservaoutrosconsolidadoago[[#Headers],[22]],tabela_registros[REGISTRO],DADOS!$N$6,tabela_registros[TIPO],DADOS!$AJ$5,tabela_registros[CATEGORIA],reservaoutrosconsolidadoago[[#This Row],[ATUAL]])</f>
        <v>0</v>
      </c>
      <c r="AA210" s="119" t="n">
        <f aca="false">SUMIFS(tabela_registros[VALOR],tabela_registros[MÊS],$AE$1,tabela_registros[DIA],reservaoutrosconsolidadoago[[#Headers],[23]],tabela_registros[REGISTRO],DADOS!$N$6,tabela_registros[TIPO],DADOS!$AJ$5,tabela_registros[CATEGORIA],reservaoutrosconsolidadoago[[#This Row],[ATUAL]])</f>
        <v>0</v>
      </c>
      <c r="AB210" s="119" t="n">
        <f aca="false">SUMIFS(tabela_registros[VALOR],tabela_registros[MÊS],$AE$1,tabela_registros[DIA],reservaoutrosconsolidadoago[[#Headers],[24]],tabela_registros[REGISTRO],DADOS!$N$6,tabela_registros[TIPO],DADOS!$AJ$5,tabela_registros[CATEGORIA],reservaoutrosconsolidadoago[[#This Row],[ATUAL]])</f>
        <v>0</v>
      </c>
      <c r="AC210" s="119" t="n">
        <f aca="false">SUMIFS(tabela_registros[VALOR],tabela_registros[MÊS],$AE$1,tabela_registros[DIA],reservaoutrosconsolidadoago[[#Headers],[25]],tabela_registros[REGISTRO],DADOS!$N$6,tabela_registros[TIPO],DADOS!$AJ$5,tabela_registros[CATEGORIA],reservaoutrosconsolidadoago[[#This Row],[ATUAL]])</f>
        <v>0</v>
      </c>
      <c r="AD210" s="119" t="n">
        <f aca="false">SUMIFS(tabela_registros[VALOR],tabela_registros[MÊS],$AE$1,tabela_registros[DIA],reservaoutrosconsolidadoago[[#Headers],[26]],tabela_registros[REGISTRO],DADOS!$N$6,tabela_registros[TIPO],DADOS!$AJ$5,tabela_registros[CATEGORIA],reservaoutrosconsolidadoago[[#This Row],[ATUAL]])</f>
        <v>0</v>
      </c>
      <c r="AE210" s="119" t="n">
        <f aca="false">SUMIFS(tabela_registros[VALOR],tabela_registros[MÊS],$AE$1,tabela_registros[DIA],reservaoutrosconsolidadoago[[#Headers],[27]],tabela_registros[REGISTRO],DADOS!$N$6,tabela_registros[TIPO],DADOS!$AJ$5,tabela_registros[CATEGORIA],reservaoutrosconsolidadoago[[#This Row],[ATUAL]])</f>
        <v>0</v>
      </c>
      <c r="AF210" s="119" t="n">
        <f aca="false">SUMIFS(tabela_registros[VALOR],tabela_registros[MÊS],$AE$1,tabela_registros[DIA],reservaoutrosconsolidadoago[[#Headers],[28]],tabela_registros[REGISTRO],DADOS!$N$6,tabela_registros[TIPO],DADOS!$AJ$5,tabela_registros[CATEGORIA],reservaoutrosconsolidadoago[[#This Row],[ATUAL]])</f>
        <v>0</v>
      </c>
      <c r="AG210" s="119" t="n">
        <f aca="false">SUMIFS(tabela_registros[VALOR],tabela_registros[MÊS],$AE$1,tabela_registros[DIA],reservaoutrosconsolidadoago[[#Headers],[29]],tabela_registros[REGISTRO],DADOS!$N$6,tabela_registros[TIPO],DADOS!$AJ$5,tabela_registros[CATEGORIA],reservaoutrosconsolidadoago[[#This Row],[ATUAL]])</f>
        <v>0</v>
      </c>
      <c r="AH210" s="119" t="n">
        <f aca="false">SUMIFS(tabela_registros[VALOR],tabela_registros[MÊS],$AE$1,tabela_registros[DIA],reservaoutrosconsolidadoago[[#Headers],[30]],tabela_registros[REGISTRO],DADOS!$N$6,tabela_registros[TIPO],DADOS!$AJ$5,tabela_registros[CATEGORIA],reservaoutrosconsolidadoago[[#This Row],[ATUAL]])</f>
        <v>0</v>
      </c>
      <c r="AI210" s="217" t="n">
        <f aca="false">SUMIFS(tabela_registros[VALOR],tabela_registros[MÊS],$AE$1,tabela_registros[DIA],reservaoutrosconsolidadoago[[#Headers],[31]],tabela_registros[REGISTRO],DADOS!$N$6,tabela_registros[TIPO],DADOS!$AJ$5,tabela_registros[CATEGORIA],reservaoutrosconsolidadoago[[#This Row],[ATUAL]])</f>
        <v>0</v>
      </c>
      <c r="AJ210" s="149" t="n">
        <f aca="false">SUM(reservaoutrosconsolidadoago[[#This Row],[1]:[31]])</f>
        <v>0</v>
      </c>
      <c r="AK210" s="165"/>
    </row>
    <row r="211" customFormat="false" ht="19.5" hidden="false" customHeight="true" outlineLevel="0" collapsed="false">
      <c r="B211" s="143"/>
      <c r="C211" s="144" t="str">
        <f aca="false">DADOS!$AP$8</f>
        <v>📝 PEER TO PEER</v>
      </c>
      <c r="D211" s="145" t="str">
        <f aca="false">IF(reservaoutrosconsolidadoago[[#This Row],[TOTAL (R$)]]=0,"",IF(OR(reservaoutrosconsolidadoago[[#This Row],[TOTAL (R$)]]=LARGE($AJ$206:$AJ$213,1),reservaoutrosconsolidadoago[[#This Row],[TOTAL (R$)]]=LARGE($AJ$206:$AJ$213,2)),DADOS!$I$11,""))</f>
        <v/>
      </c>
      <c r="E211" s="148" t="n">
        <f aca="false">SUMIFS(tabela_registros[VALOR],tabela_registros[MÊS],$AE$1,tabela_registros[DIA],reservaoutrosconsolidadoago[[#Headers],[1]],tabela_registros[REGISTRO],DADOS!$N$6,tabela_registros[TIPO],DADOS!$AJ$5,tabela_registros[CATEGORIA],reservaoutrosconsolidadoago[[#This Row],[ATUAL]])</f>
        <v>0</v>
      </c>
      <c r="F211" s="119" t="n">
        <f aca="false">SUMIFS(tabela_registros[VALOR],tabela_registros[MÊS],$AE$1,tabela_registros[DIA],reservaoutrosconsolidadoago[[#Headers],[2]],tabela_registros[REGISTRO],DADOS!$N$6,tabela_registros[TIPO],DADOS!$AJ$5,tabela_registros[CATEGORIA],reservaoutrosconsolidadoago[[#This Row],[ATUAL]])</f>
        <v>0</v>
      </c>
      <c r="G211" s="119" t="n">
        <f aca="false">SUMIFS(tabela_registros[VALOR],tabela_registros[MÊS],$AE$1,tabela_registros[DIA],reservaoutrosconsolidadoago[[#Headers],[3]],tabela_registros[REGISTRO],DADOS!$N$6,tabela_registros[TIPO],DADOS!$AJ$5,tabela_registros[CATEGORIA],reservaoutrosconsolidadoago[[#This Row],[ATUAL]])</f>
        <v>0</v>
      </c>
      <c r="H211" s="119" t="n">
        <f aca="false">SUMIFS(tabela_registros[VALOR],tabela_registros[MÊS],$AE$1,tabela_registros[DIA],reservaoutrosconsolidadoago[[#Headers],[4]],tabela_registros[REGISTRO],DADOS!$N$6,tabela_registros[TIPO],DADOS!$AJ$5,tabela_registros[CATEGORIA],reservaoutrosconsolidadoago[[#This Row],[ATUAL]])</f>
        <v>0</v>
      </c>
      <c r="I211" s="119" t="n">
        <f aca="false">SUMIFS(tabela_registros[VALOR],tabela_registros[MÊS],$AE$1,tabela_registros[DIA],reservaoutrosconsolidadoago[[#Headers],[5]],tabela_registros[REGISTRO],DADOS!$N$6,tabela_registros[TIPO],DADOS!$AJ$5,tabela_registros[CATEGORIA],reservaoutrosconsolidadoago[[#This Row],[ATUAL]])</f>
        <v>0</v>
      </c>
      <c r="J211" s="119" t="n">
        <f aca="false">SUMIFS(tabela_registros[VALOR],tabela_registros[MÊS],$AE$1,tabela_registros[DIA],reservaoutrosconsolidadoago[[#Headers],[6]],tabela_registros[REGISTRO],DADOS!$N$6,tabela_registros[TIPO],DADOS!$AJ$5,tabela_registros[CATEGORIA],reservaoutrosconsolidadoago[[#This Row],[ATUAL]])</f>
        <v>0</v>
      </c>
      <c r="K211" s="119" t="n">
        <f aca="false">SUMIFS(tabela_registros[VALOR],tabela_registros[MÊS],$AE$1,tabela_registros[DIA],reservaoutrosconsolidadoago[[#Headers],[7]],tabela_registros[REGISTRO],DADOS!$N$6,tabela_registros[TIPO],DADOS!$AJ$5,tabela_registros[CATEGORIA],reservaoutrosconsolidadoago[[#This Row],[ATUAL]])</f>
        <v>0</v>
      </c>
      <c r="L211" s="119" t="n">
        <f aca="false">SUMIFS(tabela_registros[VALOR],tabela_registros[MÊS],$AE$1,tabela_registros[DIA],reservaoutrosconsolidadoago[[#Headers],[8]],tabela_registros[REGISTRO],DADOS!$N$6,tabela_registros[TIPO],DADOS!$AJ$5,tabela_registros[CATEGORIA],reservaoutrosconsolidadoago[[#This Row],[ATUAL]])</f>
        <v>0</v>
      </c>
      <c r="M211" s="119" t="n">
        <f aca="false">SUMIFS(tabela_registros[VALOR],tabela_registros[MÊS],$AE$1,tabela_registros[DIA],reservaoutrosconsolidadoago[[#Headers],[9]],tabela_registros[REGISTRO],DADOS!$N$6,tabela_registros[TIPO],DADOS!$AJ$5,tabela_registros[CATEGORIA],reservaoutrosconsolidadoago[[#This Row],[ATUAL]])</f>
        <v>0</v>
      </c>
      <c r="N211" s="119" t="n">
        <f aca="false">SUMIFS(tabela_registros[VALOR],tabela_registros[MÊS],$AE$1,tabela_registros[DIA],reservaoutrosconsolidadoago[[#Headers],[10]],tabela_registros[REGISTRO],DADOS!$N$6,tabela_registros[TIPO],DADOS!$AJ$5,tabela_registros[CATEGORIA],reservaoutrosconsolidadoago[[#This Row],[ATUAL]])</f>
        <v>0</v>
      </c>
      <c r="O211" s="119" t="n">
        <f aca="false">SUMIFS(tabela_registros[VALOR],tabela_registros[MÊS],$AE$1,tabela_registros[DIA],reservaoutrosconsolidadoago[[#Headers],[11]],tabela_registros[REGISTRO],DADOS!$N$6,tabela_registros[TIPO],DADOS!$AJ$5,tabela_registros[CATEGORIA],reservaoutrosconsolidadoago[[#This Row],[ATUAL]])</f>
        <v>0</v>
      </c>
      <c r="P211" s="119" t="n">
        <f aca="false">SUMIFS(tabela_registros[VALOR],tabela_registros[MÊS],$AE$1,tabela_registros[DIA],reservaoutrosconsolidadoago[[#Headers],[12]],tabela_registros[REGISTRO],DADOS!$N$6,tabela_registros[TIPO],DADOS!$AJ$5,tabela_registros[CATEGORIA],reservaoutrosconsolidadoago[[#This Row],[ATUAL]])</f>
        <v>0</v>
      </c>
      <c r="Q211" s="119" t="n">
        <f aca="false">SUMIFS(tabela_registros[VALOR],tabela_registros[MÊS],$AE$1,tabela_registros[DIA],reservaoutrosconsolidadoago[[#Headers],[13]],tabela_registros[REGISTRO],DADOS!$N$6,tabela_registros[TIPO],DADOS!$AJ$5,tabela_registros[CATEGORIA],reservaoutrosconsolidadoago[[#This Row],[ATUAL]])</f>
        <v>0</v>
      </c>
      <c r="R211" s="119" t="n">
        <f aca="false">SUMIFS(tabela_registros[VALOR],tabela_registros[MÊS],$AE$1,tabela_registros[DIA],reservaoutrosconsolidadoago[[#Headers],[14]],tabela_registros[REGISTRO],DADOS!$N$6,tabela_registros[TIPO],DADOS!$AJ$5,tabela_registros[CATEGORIA],reservaoutrosconsolidadoago[[#This Row],[ATUAL]])</f>
        <v>0</v>
      </c>
      <c r="S211" s="119" t="n">
        <f aca="false">SUMIFS(tabela_registros[VALOR],tabela_registros[MÊS],$AE$1,tabela_registros[DIA],reservaoutrosconsolidadoago[[#Headers],[15]],tabela_registros[REGISTRO],DADOS!$N$6,tabela_registros[TIPO],DADOS!$AJ$5,tabela_registros[CATEGORIA],reservaoutrosconsolidadoago[[#This Row],[ATUAL]])</f>
        <v>0</v>
      </c>
      <c r="T211" s="119" t="n">
        <f aca="false">SUMIFS(tabela_registros[VALOR],tabela_registros[MÊS],$AE$1,tabela_registros[DIA],reservaoutrosconsolidadoago[[#Headers],[16]],tabela_registros[REGISTRO],DADOS!$N$6,tabela_registros[TIPO],DADOS!$AJ$5,tabela_registros[CATEGORIA],reservaoutrosconsolidadoago[[#This Row],[ATUAL]])</f>
        <v>0</v>
      </c>
      <c r="U211" s="119" t="n">
        <f aca="false">SUMIFS(tabela_registros[VALOR],tabela_registros[MÊS],$AE$1,tabela_registros[DIA],reservaoutrosconsolidadoago[[#Headers],[17]],tabela_registros[REGISTRO],DADOS!$N$6,tabela_registros[TIPO],DADOS!$AJ$5,tabela_registros[CATEGORIA],reservaoutrosconsolidadoago[[#This Row],[ATUAL]])</f>
        <v>0</v>
      </c>
      <c r="V211" s="119" t="n">
        <f aca="false">SUMIFS(tabela_registros[VALOR],tabela_registros[MÊS],$AE$1,tabela_registros[DIA],reservaoutrosconsolidadoago[[#Headers],[18]],tabela_registros[REGISTRO],DADOS!$N$6,tabela_registros[TIPO],DADOS!$AJ$5,tabela_registros[CATEGORIA],reservaoutrosconsolidadoago[[#This Row],[ATUAL]])</f>
        <v>0</v>
      </c>
      <c r="W211" s="119" t="n">
        <f aca="false">SUMIFS(tabela_registros[VALOR],tabela_registros[MÊS],$AE$1,tabela_registros[DIA],reservaoutrosconsolidadoago[[#Headers],[19]],tabela_registros[REGISTRO],DADOS!$N$6,tabela_registros[TIPO],DADOS!$AJ$5,tabela_registros[CATEGORIA],reservaoutrosconsolidadoago[[#This Row],[ATUAL]])</f>
        <v>0</v>
      </c>
      <c r="X211" s="119" t="n">
        <f aca="false">SUMIFS(tabela_registros[VALOR],tabela_registros[MÊS],$AE$1,tabela_registros[DIA],reservaoutrosconsolidadoago[[#Headers],[20]],tabela_registros[REGISTRO],DADOS!$N$6,tabela_registros[TIPO],DADOS!$AJ$5,tabela_registros[CATEGORIA],reservaoutrosconsolidadoago[[#This Row],[ATUAL]])</f>
        <v>0</v>
      </c>
      <c r="Y211" s="119" t="n">
        <f aca="false">SUMIFS(tabela_registros[VALOR],tabela_registros[MÊS],$AE$1,tabela_registros[DIA],reservaoutrosconsolidadoago[[#Headers],[21]],tabela_registros[REGISTRO],DADOS!$N$6,tabela_registros[TIPO],DADOS!$AJ$5,tabela_registros[CATEGORIA],reservaoutrosconsolidadoago[[#This Row],[ATUAL]])</f>
        <v>0</v>
      </c>
      <c r="Z211" s="119" t="n">
        <f aca="false">SUMIFS(tabela_registros[VALOR],tabela_registros[MÊS],$AE$1,tabela_registros[DIA],reservaoutrosconsolidadoago[[#Headers],[22]],tabela_registros[REGISTRO],DADOS!$N$6,tabela_registros[TIPO],DADOS!$AJ$5,tabela_registros[CATEGORIA],reservaoutrosconsolidadoago[[#This Row],[ATUAL]])</f>
        <v>0</v>
      </c>
      <c r="AA211" s="119" t="n">
        <f aca="false">SUMIFS(tabela_registros[VALOR],tabela_registros[MÊS],$AE$1,tabela_registros[DIA],reservaoutrosconsolidadoago[[#Headers],[23]],tabela_registros[REGISTRO],DADOS!$N$6,tabela_registros[TIPO],DADOS!$AJ$5,tabela_registros[CATEGORIA],reservaoutrosconsolidadoago[[#This Row],[ATUAL]])</f>
        <v>0</v>
      </c>
      <c r="AB211" s="119" t="n">
        <f aca="false">SUMIFS(tabela_registros[VALOR],tabela_registros[MÊS],$AE$1,tabela_registros[DIA],reservaoutrosconsolidadoago[[#Headers],[24]],tabela_registros[REGISTRO],DADOS!$N$6,tabela_registros[TIPO],DADOS!$AJ$5,tabela_registros[CATEGORIA],reservaoutrosconsolidadoago[[#This Row],[ATUAL]])</f>
        <v>0</v>
      </c>
      <c r="AC211" s="119" t="n">
        <f aca="false">SUMIFS(tabela_registros[VALOR],tabela_registros[MÊS],$AE$1,tabela_registros[DIA],reservaoutrosconsolidadoago[[#Headers],[25]],tabela_registros[REGISTRO],DADOS!$N$6,tabela_registros[TIPO],DADOS!$AJ$5,tabela_registros[CATEGORIA],reservaoutrosconsolidadoago[[#This Row],[ATUAL]])</f>
        <v>0</v>
      </c>
      <c r="AD211" s="119" t="n">
        <f aca="false">SUMIFS(tabela_registros[VALOR],tabela_registros[MÊS],$AE$1,tabela_registros[DIA],reservaoutrosconsolidadoago[[#Headers],[26]],tabela_registros[REGISTRO],DADOS!$N$6,tabela_registros[TIPO],DADOS!$AJ$5,tabela_registros[CATEGORIA],reservaoutrosconsolidadoago[[#This Row],[ATUAL]])</f>
        <v>0</v>
      </c>
      <c r="AE211" s="119" t="n">
        <f aca="false">SUMIFS(tabela_registros[VALOR],tabela_registros[MÊS],$AE$1,tabela_registros[DIA],reservaoutrosconsolidadoago[[#Headers],[27]],tabela_registros[REGISTRO],DADOS!$N$6,tabela_registros[TIPO],DADOS!$AJ$5,tabela_registros[CATEGORIA],reservaoutrosconsolidadoago[[#This Row],[ATUAL]])</f>
        <v>0</v>
      </c>
      <c r="AF211" s="119" t="n">
        <f aca="false">SUMIFS(tabela_registros[VALOR],tabela_registros[MÊS],$AE$1,tabela_registros[DIA],reservaoutrosconsolidadoago[[#Headers],[28]],tabela_registros[REGISTRO],DADOS!$N$6,tabela_registros[TIPO],DADOS!$AJ$5,tabela_registros[CATEGORIA],reservaoutrosconsolidadoago[[#This Row],[ATUAL]])</f>
        <v>0</v>
      </c>
      <c r="AG211" s="119" t="n">
        <f aca="false">SUMIFS(tabela_registros[VALOR],tabela_registros[MÊS],$AE$1,tabela_registros[DIA],reservaoutrosconsolidadoago[[#Headers],[29]],tabela_registros[REGISTRO],DADOS!$N$6,tabela_registros[TIPO],DADOS!$AJ$5,tabela_registros[CATEGORIA],reservaoutrosconsolidadoago[[#This Row],[ATUAL]])</f>
        <v>0</v>
      </c>
      <c r="AH211" s="119" t="n">
        <f aca="false">SUMIFS(tabela_registros[VALOR],tabela_registros[MÊS],$AE$1,tabela_registros[DIA],reservaoutrosconsolidadoago[[#Headers],[30]],tabela_registros[REGISTRO],DADOS!$N$6,tabela_registros[TIPO],DADOS!$AJ$5,tabela_registros[CATEGORIA],reservaoutrosconsolidadoago[[#This Row],[ATUAL]])</f>
        <v>0</v>
      </c>
      <c r="AI211" s="217" t="n">
        <f aca="false">SUMIFS(tabela_registros[VALOR],tabela_registros[MÊS],$AE$1,tabela_registros[DIA],reservaoutrosconsolidadoago[[#Headers],[31]],tabela_registros[REGISTRO],DADOS!$N$6,tabela_registros[TIPO],DADOS!$AJ$5,tabela_registros[CATEGORIA],reservaoutrosconsolidadoago[[#This Row],[ATUAL]])</f>
        <v>0</v>
      </c>
      <c r="AJ211" s="149" t="n">
        <f aca="false">SUM(reservaoutrosconsolidadoago[[#This Row],[1]:[31]])</f>
        <v>0</v>
      </c>
      <c r="AK211" s="165"/>
    </row>
    <row r="212" customFormat="false" ht="19.5" hidden="false" customHeight="true" outlineLevel="0" collapsed="false">
      <c r="B212" s="143"/>
      <c r="C212" s="144" t="str">
        <f aca="false">DADOS!$AP$9</f>
        <v>📝 PREVIDÊNCIA PRIVADA</v>
      </c>
      <c r="D212" s="145" t="str">
        <f aca="false">IF(reservaoutrosconsolidadoago[[#This Row],[TOTAL (R$)]]=0,"",IF(OR(reservaoutrosconsolidadoago[[#This Row],[TOTAL (R$)]]=LARGE($AJ$206:$AJ$213,1),reservaoutrosconsolidadoago[[#This Row],[TOTAL (R$)]]=LARGE($AJ$206:$AJ$213,2)),DADOS!$I$11,""))</f>
        <v/>
      </c>
      <c r="E212" s="148" t="n">
        <f aca="false">SUMIFS(tabela_registros[VALOR],tabela_registros[MÊS],$AE$1,tabela_registros[DIA],reservaoutrosconsolidadoago[[#Headers],[1]],tabela_registros[REGISTRO],DADOS!$N$6,tabela_registros[TIPO],DADOS!$AJ$5,tabela_registros[CATEGORIA],reservaoutrosconsolidadoago[[#This Row],[ATUAL]])</f>
        <v>0</v>
      </c>
      <c r="F212" s="119" t="n">
        <f aca="false">SUMIFS(tabela_registros[VALOR],tabela_registros[MÊS],$AE$1,tabela_registros[DIA],reservaoutrosconsolidadoago[[#Headers],[2]],tabela_registros[REGISTRO],DADOS!$N$6,tabela_registros[TIPO],DADOS!$AJ$5,tabela_registros[CATEGORIA],reservaoutrosconsolidadoago[[#This Row],[ATUAL]])</f>
        <v>0</v>
      </c>
      <c r="G212" s="119" t="n">
        <f aca="false">SUMIFS(tabela_registros[VALOR],tabela_registros[MÊS],$AE$1,tabela_registros[DIA],reservaoutrosconsolidadoago[[#Headers],[3]],tabela_registros[REGISTRO],DADOS!$N$6,tabela_registros[TIPO],DADOS!$AJ$5,tabela_registros[CATEGORIA],reservaoutrosconsolidadoago[[#This Row],[ATUAL]])</f>
        <v>0</v>
      </c>
      <c r="H212" s="119" t="n">
        <f aca="false">SUMIFS(tabela_registros[VALOR],tabela_registros[MÊS],$AE$1,tabela_registros[DIA],reservaoutrosconsolidadoago[[#Headers],[4]],tabela_registros[REGISTRO],DADOS!$N$6,tabela_registros[TIPO],DADOS!$AJ$5,tabela_registros[CATEGORIA],reservaoutrosconsolidadoago[[#This Row],[ATUAL]])</f>
        <v>0</v>
      </c>
      <c r="I212" s="119" t="n">
        <f aca="false">SUMIFS(tabela_registros[VALOR],tabela_registros[MÊS],$AE$1,tabela_registros[DIA],reservaoutrosconsolidadoago[[#Headers],[5]],tabela_registros[REGISTRO],DADOS!$N$6,tabela_registros[TIPO],DADOS!$AJ$5,tabela_registros[CATEGORIA],reservaoutrosconsolidadoago[[#This Row],[ATUAL]])</f>
        <v>0</v>
      </c>
      <c r="J212" s="119" t="n">
        <f aca="false">SUMIFS(tabela_registros[VALOR],tabela_registros[MÊS],$AE$1,tabela_registros[DIA],reservaoutrosconsolidadoago[[#Headers],[6]],tabela_registros[REGISTRO],DADOS!$N$6,tabela_registros[TIPO],DADOS!$AJ$5,tabela_registros[CATEGORIA],reservaoutrosconsolidadoago[[#This Row],[ATUAL]])</f>
        <v>0</v>
      </c>
      <c r="K212" s="119" t="n">
        <f aca="false">SUMIFS(tabela_registros[VALOR],tabela_registros[MÊS],$AE$1,tabela_registros[DIA],reservaoutrosconsolidadoago[[#Headers],[7]],tabela_registros[REGISTRO],DADOS!$N$6,tabela_registros[TIPO],DADOS!$AJ$5,tabela_registros[CATEGORIA],reservaoutrosconsolidadoago[[#This Row],[ATUAL]])</f>
        <v>0</v>
      </c>
      <c r="L212" s="119" t="n">
        <f aca="false">SUMIFS(tabela_registros[VALOR],tabela_registros[MÊS],$AE$1,tabela_registros[DIA],reservaoutrosconsolidadoago[[#Headers],[8]],tabela_registros[REGISTRO],DADOS!$N$6,tabela_registros[TIPO],DADOS!$AJ$5,tabela_registros[CATEGORIA],reservaoutrosconsolidadoago[[#This Row],[ATUAL]])</f>
        <v>0</v>
      </c>
      <c r="M212" s="119" t="n">
        <f aca="false">SUMIFS(tabela_registros[VALOR],tabela_registros[MÊS],$AE$1,tabela_registros[DIA],reservaoutrosconsolidadoago[[#Headers],[9]],tabela_registros[REGISTRO],DADOS!$N$6,tabela_registros[TIPO],DADOS!$AJ$5,tabela_registros[CATEGORIA],reservaoutrosconsolidadoago[[#This Row],[ATUAL]])</f>
        <v>0</v>
      </c>
      <c r="N212" s="119" t="n">
        <f aca="false">SUMIFS(tabela_registros[VALOR],tabela_registros[MÊS],$AE$1,tabela_registros[DIA],reservaoutrosconsolidadoago[[#Headers],[10]],tabela_registros[REGISTRO],DADOS!$N$6,tabela_registros[TIPO],DADOS!$AJ$5,tabela_registros[CATEGORIA],reservaoutrosconsolidadoago[[#This Row],[ATUAL]])</f>
        <v>0</v>
      </c>
      <c r="O212" s="119" t="n">
        <f aca="false">SUMIFS(tabela_registros[VALOR],tabela_registros[MÊS],$AE$1,tabela_registros[DIA],reservaoutrosconsolidadoago[[#Headers],[11]],tabela_registros[REGISTRO],DADOS!$N$6,tabela_registros[TIPO],DADOS!$AJ$5,tabela_registros[CATEGORIA],reservaoutrosconsolidadoago[[#This Row],[ATUAL]])</f>
        <v>0</v>
      </c>
      <c r="P212" s="119" t="n">
        <f aca="false">SUMIFS(tabela_registros[VALOR],tabela_registros[MÊS],$AE$1,tabela_registros[DIA],reservaoutrosconsolidadoago[[#Headers],[12]],tabela_registros[REGISTRO],DADOS!$N$6,tabela_registros[TIPO],DADOS!$AJ$5,tabela_registros[CATEGORIA],reservaoutrosconsolidadoago[[#This Row],[ATUAL]])</f>
        <v>0</v>
      </c>
      <c r="Q212" s="119" t="n">
        <f aca="false">SUMIFS(tabela_registros[VALOR],tabela_registros[MÊS],$AE$1,tabela_registros[DIA],reservaoutrosconsolidadoago[[#Headers],[13]],tabela_registros[REGISTRO],DADOS!$N$6,tabela_registros[TIPO],DADOS!$AJ$5,tabela_registros[CATEGORIA],reservaoutrosconsolidadoago[[#This Row],[ATUAL]])</f>
        <v>0</v>
      </c>
      <c r="R212" s="119" t="n">
        <f aca="false">SUMIFS(tabela_registros[VALOR],tabela_registros[MÊS],$AE$1,tabela_registros[DIA],reservaoutrosconsolidadoago[[#Headers],[14]],tabela_registros[REGISTRO],DADOS!$N$6,tabela_registros[TIPO],DADOS!$AJ$5,tabela_registros[CATEGORIA],reservaoutrosconsolidadoago[[#This Row],[ATUAL]])</f>
        <v>0</v>
      </c>
      <c r="S212" s="119" t="n">
        <f aca="false">SUMIFS(tabela_registros[VALOR],tabela_registros[MÊS],$AE$1,tabela_registros[DIA],reservaoutrosconsolidadoago[[#Headers],[15]],tabela_registros[REGISTRO],DADOS!$N$6,tabela_registros[TIPO],DADOS!$AJ$5,tabela_registros[CATEGORIA],reservaoutrosconsolidadoago[[#This Row],[ATUAL]])</f>
        <v>0</v>
      </c>
      <c r="T212" s="119" t="n">
        <f aca="false">SUMIFS(tabela_registros[VALOR],tabela_registros[MÊS],$AE$1,tabela_registros[DIA],reservaoutrosconsolidadoago[[#Headers],[16]],tabela_registros[REGISTRO],DADOS!$N$6,tabela_registros[TIPO],DADOS!$AJ$5,tabela_registros[CATEGORIA],reservaoutrosconsolidadoago[[#This Row],[ATUAL]])</f>
        <v>0</v>
      </c>
      <c r="U212" s="119" t="n">
        <f aca="false">SUMIFS(tabela_registros[VALOR],tabela_registros[MÊS],$AE$1,tabela_registros[DIA],reservaoutrosconsolidadoago[[#Headers],[17]],tabela_registros[REGISTRO],DADOS!$N$6,tabela_registros[TIPO],DADOS!$AJ$5,tabela_registros[CATEGORIA],reservaoutrosconsolidadoago[[#This Row],[ATUAL]])</f>
        <v>0</v>
      </c>
      <c r="V212" s="119" t="n">
        <f aca="false">SUMIFS(tabela_registros[VALOR],tabela_registros[MÊS],$AE$1,tabela_registros[DIA],reservaoutrosconsolidadoago[[#Headers],[18]],tabela_registros[REGISTRO],DADOS!$N$6,tabela_registros[TIPO],DADOS!$AJ$5,tabela_registros[CATEGORIA],reservaoutrosconsolidadoago[[#This Row],[ATUAL]])</f>
        <v>0</v>
      </c>
      <c r="W212" s="119" t="n">
        <f aca="false">SUMIFS(tabela_registros[VALOR],tabela_registros[MÊS],$AE$1,tabela_registros[DIA],reservaoutrosconsolidadoago[[#Headers],[19]],tabela_registros[REGISTRO],DADOS!$N$6,tabela_registros[TIPO],DADOS!$AJ$5,tabela_registros[CATEGORIA],reservaoutrosconsolidadoago[[#This Row],[ATUAL]])</f>
        <v>0</v>
      </c>
      <c r="X212" s="119" t="n">
        <f aca="false">SUMIFS(tabela_registros[VALOR],tabela_registros[MÊS],$AE$1,tabela_registros[DIA],reservaoutrosconsolidadoago[[#Headers],[20]],tabela_registros[REGISTRO],DADOS!$N$6,tabela_registros[TIPO],DADOS!$AJ$5,tabela_registros[CATEGORIA],reservaoutrosconsolidadoago[[#This Row],[ATUAL]])</f>
        <v>0</v>
      </c>
      <c r="Y212" s="119" t="n">
        <f aca="false">SUMIFS(tabela_registros[VALOR],tabela_registros[MÊS],$AE$1,tabela_registros[DIA],reservaoutrosconsolidadoago[[#Headers],[21]],tabela_registros[REGISTRO],DADOS!$N$6,tabela_registros[TIPO],DADOS!$AJ$5,tabela_registros[CATEGORIA],reservaoutrosconsolidadoago[[#This Row],[ATUAL]])</f>
        <v>0</v>
      </c>
      <c r="Z212" s="119" t="n">
        <f aca="false">SUMIFS(tabela_registros[VALOR],tabela_registros[MÊS],$AE$1,tabela_registros[DIA],reservaoutrosconsolidadoago[[#Headers],[22]],tabela_registros[REGISTRO],DADOS!$N$6,tabela_registros[TIPO],DADOS!$AJ$5,tabela_registros[CATEGORIA],reservaoutrosconsolidadoago[[#This Row],[ATUAL]])</f>
        <v>0</v>
      </c>
      <c r="AA212" s="119" t="n">
        <f aca="false">SUMIFS(tabela_registros[VALOR],tabela_registros[MÊS],$AE$1,tabela_registros[DIA],reservaoutrosconsolidadoago[[#Headers],[23]],tabela_registros[REGISTRO],DADOS!$N$6,tabela_registros[TIPO],DADOS!$AJ$5,tabela_registros[CATEGORIA],reservaoutrosconsolidadoago[[#This Row],[ATUAL]])</f>
        <v>0</v>
      </c>
      <c r="AB212" s="119" t="n">
        <f aca="false">SUMIFS(tabela_registros[VALOR],tabela_registros[MÊS],$AE$1,tabela_registros[DIA],reservaoutrosconsolidadoago[[#Headers],[24]],tabela_registros[REGISTRO],DADOS!$N$6,tabela_registros[TIPO],DADOS!$AJ$5,tabela_registros[CATEGORIA],reservaoutrosconsolidadoago[[#This Row],[ATUAL]])</f>
        <v>0</v>
      </c>
      <c r="AC212" s="119" t="n">
        <f aca="false">SUMIFS(tabela_registros[VALOR],tabela_registros[MÊS],$AE$1,tabela_registros[DIA],reservaoutrosconsolidadoago[[#Headers],[25]],tabela_registros[REGISTRO],DADOS!$N$6,tabela_registros[TIPO],DADOS!$AJ$5,tabela_registros[CATEGORIA],reservaoutrosconsolidadoago[[#This Row],[ATUAL]])</f>
        <v>0</v>
      </c>
      <c r="AD212" s="119" t="n">
        <f aca="false">SUMIFS(tabela_registros[VALOR],tabela_registros[MÊS],$AE$1,tabela_registros[DIA],reservaoutrosconsolidadoago[[#Headers],[26]],tabela_registros[REGISTRO],DADOS!$N$6,tabela_registros[TIPO],DADOS!$AJ$5,tabela_registros[CATEGORIA],reservaoutrosconsolidadoago[[#This Row],[ATUAL]])</f>
        <v>0</v>
      </c>
      <c r="AE212" s="119" t="n">
        <f aca="false">SUMIFS(tabela_registros[VALOR],tabela_registros[MÊS],$AE$1,tabela_registros[DIA],reservaoutrosconsolidadoago[[#Headers],[27]],tabela_registros[REGISTRO],DADOS!$N$6,tabela_registros[TIPO],DADOS!$AJ$5,tabela_registros[CATEGORIA],reservaoutrosconsolidadoago[[#This Row],[ATUAL]])</f>
        <v>0</v>
      </c>
      <c r="AF212" s="119" t="n">
        <f aca="false">SUMIFS(tabela_registros[VALOR],tabela_registros[MÊS],$AE$1,tabela_registros[DIA],reservaoutrosconsolidadoago[[#Headers],[28]],tabela_registros[REGISTRO],DADOS!$N$6,tabela_registros[TIPO],DADOS!$AJ$5,tabela_registros[CATEGORIA],reservaoutrosconsolidadoago[[#This Row],[ATUAL]])</f>
        <v>0</v>
      </c>
      <c r="AG212" s="119" t="n">
        <f aca="false">SUMIFS(tabela_registros[VALOR],tabela_registros[MÊS],$AE$1,tabela_registros[DIA],reservaoutrosconsolidadoago[[#Headers],[29]],tabela_registros[REGISTRO],DADOS!$N$6,tabela_registros[TIPO],DADOS!$AJ$5,tabela_registros[CATEGORIA],reservaoutrosconsolidadoago[[#This Row],[ATUAL]])</f>
        <v>0</v>
      </c>
      <c r="AH212" s="119" t="n">
        <f aca="false">SUMIFS(tabela_registros[VALOR],tabela_registros[MÊS],$AE$1,tabela_registros[DIA],reservaoutrosconsolidadoago[[#Headers],[30]],tabela_registros[REGISTRO],DADOS!$N$6,tabela_registros[TIPO],DADOS!$AJ$5,tabela_registros[CATEGORIA],reservaoutrosconsolidadoago[[#This Row],[ATUAL]])</f>
        <v>0</v>
      </c>
      <c r="AI212" s="217" t="n">
        <f aca="false">SUMIFS(tabela_registros[VALOR],tabela_registros[MÊS],$AE$1,tabela_registros[DIA],reservaoutrosconsolidadoago[[#Headers],[31]],tabela_registros[REGISTRO],DADOS!$N$6,tabela_registros[TIPO],DADOS!$AJ$5,tabela_registros[CATEGORIA],reservaoutrosconsolidadoago[[#This Row],[ATUAL]])</f>
        <v>0</v>
      </c>
      <c r="AJ212" s="149" t="n">
        <f aca="false">SUM(reservaoutrosconsolidadoago[[#This Row],[1]:[31]])</f>
        <v>0</v>
      </c>
      <c r="AK212" s="165"/>
    </row>
    <row r="213" customFormat="false" ht="19.5" hidden="false" customHeight="true" outlineLevel="0" collapsed="false">
      <c r="B213" s="143"/>
      <c r="C213" s="144" t="str">
        <f aca="false">DADOS!$AP$10</f>
        <v>📎 OUTROS</v>
      </c>
      <c r="D213" s="145" t="str">
        <f aca="false">IF(reservaoutrosconsolidadoago[[#This Row],[TOTAL (R$)]]=0,"",IF(OR(reservaoutrosconsolidadoago[[#This Row],[TOTAL (R$)]]=LARGE($AJ$206:$AJ$213,1),reservaoutrosconsolidadoago[[#This Row],[TOTAL (R$)]]=LARGE($AJ$206:$AJ$213,2)),DADOS!$I$11,""))</f>
        <v/>
      </c>
      <c r="E213" s="148" t="n">
        <f aca="false">SUMIFS(tabela_registros[VALOR],tabela_registros[MÊS],$AE$1,tabela_registros[DIA],reservaoutrosconsolidadoago[[#Headers],[1]],tabela_registros[REGISTRO],DADOS!$N$6,tabela_registros[TIPO],DADOS!$AJ$5,tabela_registros[CATEGORIA],reservaoutrosconsolidadoago[[#This Row],[ATUAL]])</f>
        <v>0</v>
      </c>
      <c r="F213" s="119" t="n">
        <f aca="false">SUMIFS(tabela_registros[VALOR],tabela_registros[MÊS],$AE$1,tabela_registros[DIA],reservaoutrosconsolidadoago[[#Headers],[2]],tabela_registros[REGISTRO],DADOS!$N$6,tabela_registros[TIPO],DADOS!$AJ$5,tabela_registros[CATEGORIA],reservaoutrosconsolidadoago[[#This Row],[ATUAL]])</f>
        <v>0</v>
      </c>
      <c r="G213" s="119" t="n">
        <f aca="false">SUMIFS(tabela_registros[VALOR],tabela_registros[MÊS],$AE$1,tabela_registros[DIA],reservaoutrosconsolidadoago[[#Headers],[3]],tabela_registros[REGISTRO],DADOS!$N$6,tabela_registros[TIPO],DADOS!$AJ$5,tabela_registros[CATEGORIA],reservaoutrosconsolidadoago[[#This Row],[ATUAL]])</f>
        <v>0</v>
      </c>
      <c r="H213" s="119" t="n">
        <f aca="false">SUMIFS(tabela_registros[VALOR],tabela_registros[MÊS],$AE$1,tabela_registros[DIA],reservaoutrosconsolidadoago[[#Headers],[4]],tabela_registros[REGISTRO],DADOS!$N$6,tabela_registros[TIPO],DADOS!$AJ$5,tabela_registros[CATEGORIA],reservaoutrosconsolidadoago[[#This Row],[ATUAL]])</f>
        <v>0</v>
      </c>
      <c r="I213" s="119" t="n">
        <f aca="false">SUMIFS(tabela_registros[VALOR],tabela_registros[MÊS],$AE$1,tabela_registros[DIA],reservaoutrosconsolidadoago[[#Headers],[5]],tabela_registros[REGISTRO],DADOS!$N$6,tabela_registros[TIPO],DADOS!$AJ$5,tabela_registros[CATEGORIA],reservaoutrosconsolidadoago[[#This Row],[ATUAL]])</f>
        <v>0</v>
      </c>
      <c r="J213" s="119" t="n">
        <f aca="false">SUMIFS(tabela_registros[VALOR],tabela_registros[MÊS],$AE$1,tabela_registros[DIA],reservaoutrosconsolidadoago[[#Headers],[6]],tabela_registros[REGISTRO],DADOS!$N$6,tabela_registros[TIPO],DADOS!$AJ$5,tabela_registros[CATEGORIA],reservaoutrosconsolidadoago[[#This Row],[ATUAL]])</f>
        <v>0</v>
      </c>
      <c r="K213" s="119" t="n">
        <f aca="false">SUMIFS(tabela_registros[VALOR],tabela_registros[MÊS],$AE$1,tabela_registros[DIA],reservaoutrosconsolidadoago[[#Headers],[7]],tabela_registros[REGISTRO],DADOS!$N$6,tabela_registros[TIPO],DADOS!$AJ$5,tabela_registros[CATEGORIA],reservaoutrosconsolidadoago[[#This Row],[ATUAL]])</f>
        <v>0</v>
      </c>
      <c r="L213" s="119" t="n">
        <f aca="false">SUMIFS(tabela_registros[VALOR],tabela_registros[MÊS],$AE$1,tabela_registros[DIA],reservaoutrosconsolidadoago[[#Headers],[8]],tabela_registros[REGISTRO],DADOS!$N$6,tabela_registros[TIPO],DADOS!$AJ$5,tabela_registros[CATEGORIA],reservaoutrosconsolidadoago[[#This Row],[ATUAL]])</f>
        <v>0</v>
      </c>
      <c r="M213" s="119" t="n">
        <f aca="false">SUMIFS(tabela_registros[VALOR],tabela_registros[MÊS],$AE$1,tabela_registros[DIA],reservaoutrosconsolidadoago[[#Headers],[9]],tabela_registros[REGISTRO],DADOS!$N$6,tabela_registros[TIPO],DADOS!$AJ$5,tabela_registros[CATEGORIA],reservaoutrosconsolidadoago[[#This Row],[ATUAL]])</f>
        <v>0</v>
      </c>
      <c r="N213" s="119" t="n">
        <f aca="false">SUMIFS(tabela_registros[VALOR],tabela_registros[MÊS],$AE$1,tabela_registros[DIA],reservaoutrosconsolidadoago[[#Headers],[10]],tabela_registros[REGISTRO],DADOS!$N$6,tabela_registros[TIPO],DADOS!$AJ$5,tabela_registros[CATEGORIA],reservaoutrosconsolidadoago[[#This Row],[ATUAL]])</f>
        <v>0</v>
      </c>
      <c r="O213" s="119" t="n">
        <f aca="false">SUMIFS(tabela_registros[VALOR],tabela_registros[MÊS],$AE$1,tabela_registros[DIA],reservaoutrosconsolidadoago[[#Headers],[11]],tabela_registros[REGISTRO],DADOS!$N$6,tabela_registros[TIPO],DADOS!$AJ$5,tabela_registros[CATEGORIA],reservaoutrosconsolidadoago[[#This Row],[ATUAL]])</f>
        <v>0</v>
      </c>
      <c r="P213" s="119" t="n">
        <f aca="false">SUMIFS(tabela_registros[VALOR],tabela_registros[MÊS],$AE$1,tabela_registros[DIA],reservaoutrosconsolidadoago[[#Headers],[12]],tabela_registros[REGISTRO],DADOS!$N$6,tabela_registros[TIPO],DADOS!$AJ$5,tabela_registros[CATEGORIA],reservaoutrosconsolidadoago[[#This Row],[ATUAL]])</f>
        <v>0</v>
      </c>
      <c r="Q213" s="119" t="n">
        <f aca="false">SUMIFS(tabela_registros[VALOR],tabela_registros[MÊS],$AE$1,tabela_registros[DIA],reservaoutrosconsolidadoago[[#Headers],[13]],tabela_registros[REGISTRO],DADOS!$N$6,tabela_registros[TIPO],DADOS!$AJ$5,tabela_registros[CATEGORIA],reservaoutrosconsolidadoago[[#This Row],[ATUAL]])</f>
        <v>0</v>
      </c>
      <c r="R213" s="119" t="n">
        <f aca="false">SUMIFS(tabela_registros[VALOR],tabela_registros[MÊS],$AE$1,tabela_registros[DIA],reservaoutrosconsolidadoago[[#Headers],[14]],tabela_registros[REGISTRO],DADOS!$N$6,tabela_registros[TIPO],DADOS!$AJ$5,tabela_registros[CATEGORIA],reservaoutrosconsolidadoago[[#This Row],[ATUAL]])</f>
        <v>0</v>
      </c>
      <c r="S213" s="119" t="n">
        <f aca="false">SUMIFS(tabela_registros[VALOR],tabela_registros[MÊS],$AE$1,tabela_registros[DIA],reservaoutrosconsolidadoago[[#Headers],[15]],tabela_registros[REGISTRO],DADOS!$N$6,tabela_registros[TIPO],DADOS!$AJ$5,tabela_registros[CATEGORIA],reservaoutrosconsolidadoago[[#This Row],[ATUAL]])</f>
        <v>0</v>
      </c>
      <c r="T213" s="119" t="n">
        <f aca="false">SUMIFS(tabela_registros[VALOR],tabela_registros[MÊS],$AE$1,tabela_registros[DIA],reservaoutrosconsolidadoago[[#Headers],[16]],tabela_registros[REGISTRO],DADOS!$N$6,tabela_registros[TIPO],DADOS!$AJ$5,tabela_registros[CATEGORIA],reservaoutrosconsolidadoago[[#This Row],[ATUAL]])</f>
        <v>0</v>
      </c>
      <c r="U213" s="119" t="n">
        <f aca="false">SUMIFS(tabela_registros[VALOR],tabela_registros[MÊS],$AE$1,tabela_registros[DIA],reservaoutrosconsolidadoago[[#Headers],[17]],tabela_registros[REGISTRO],DADOS!$N$6,tabela_registros[TIPO],DADOS!$AJ$5,tabela_registros[CATEGORIA],reservaoutrosconsolidadoago[[#This Row],[ATUAL]])</f>
        <v>0</v>
      </c>
      <c r="V213" s="119" t="n">
        <f aca="false">SUMIFS(tabela_registros[VALOR],tabela_registros[MÊS],$AE$1,tabela_registros[DIA],reservaoutrosconsolidadoago[[#Headers],[18]],tabela_registros[REGISTRO],DADOS!$N$6,tabela_registros[TIPO],DADOS!$AJ$5,tabela_registros[CATEGORIA],reservaoutrosconsolidadoago[[#This Row],[ATUAL]])</f>
        <v>0</v>
      </c>
      <c r="W213" s="119" t="n">
        <f aca="false">SUMIFS(tabela_registros[VALOR],tabela_registros[MÊS],$AE$1,tabela_registros[DIA],reservaoutrosconsolidadoago[[#Headers],[19]],tabela_registros[REGISTRO],DADOS!$N$6,tabela_registros[TIPO],DADOS!$AJ$5,tabela_registros[CATEGORIA],reservaoutrosconsolidadoago[[#This Row],[ATUAL]])</f>
        <v>0</v>
      </c>
      <c r="X213" s="119" t="n">
        <f aca="false">SUMIFS(tabela_registros[VALOR],tabela_registros[MÊS],$AE$1,tabela_registros[DIA],reservaoutrosconsolidadoago[[#Headers],[20]],tabela_registros[REGISTRO],DADOS!$N$6,tabela_registros[TIPO],DADOS!$AJ$5,tabela_registros[CATEGORIA],reservaoutrosconsolidadoago[[#This Row],[ATUAL]])</f>
        <v>0</v>
      </c>
      <c r="Y213" s="119" t="n">
        <f aca="false">SUMIFS(tabela_registros[VALOR],tabela_registros[MÊS],$AE$1,tabela_registros[DIA],reservaoutrosconsolidadoago[[#Headers],[21]],tabela_registros[REGISTRO],DADOS!$N$6,tabela_registros[TIPO],DADOS!$AJ$5,tabela_registros[CATEGORIA],reservaoutrosconsolidadoago[[#This Row],[ATUAL]])</f>
        <v>0</v>
      </c>
      <c r="Z213" s="119" t="n">
        <f aca="false">SUMIFS(tabela_registros[VALOR],tabela_registros[MÊS],$AE$1,tabela_registros[DIA],reservaoutrosconsolidadoago[[#Headers],[22]],tabela_registros[REGISTRO],DADOS!$N$6,tabela_registros[TIPO],DADOS!$AJ$5,tabela_registros[CATEGORIA],reservaoutrosconsolidadoago[[#This Row],[ATUAL]])</f>
        <v>0</v>
      </c>
      <c r="AA213" s="119" t="n">
        <f aca="false">SUMIFS(tabela_registros[VALOR],tabela_registros[MÊS],$AE$1,tabela_registros[DIA],reservaoutrosconsolidadoago[[#Headers],[23]],tabela_registros[REGISTRO],DADOS!$N$6,tabela_registros[TIPO],DADOS!$AJ$5,tabela_registros[CATEGORIA],reservaoutrosconsolidadoago[[#This Row],[ATUAL]])</f>
        <v>0</v>
      </c>
      <c r="AB213" s="119" t="n">
        <f aca="false">SUMIFS(tabela_registros[VALOR],tabela_registros[MÊS],$AE$1,tabela_registros[DIA],reservaoutrosconsolidadoago[[#Headers],[24]],tabela_registros[REGISTRO],DADOS!$N$6,tabela_registros[TIPO],DADOS!$AJ$5,tabela_registros[CATEGORIA],reservaoutrosconsolidadoago[[#This Row],[ATUAL]])</f>
        <v>0</v>
      </c>
      <c r="AC213" s="119" t="n">
        <f aca="false">SUMIFS(tabela_registros[VALOR],tabela_registros[MÊS],$AE$1,tabela_registros[DIA],reservaoutrosconsolidadoago[[#Headers],[25]],tabela_registros[REGISTRO],DADOS!$N$6,tabela_registros[TIPO],DADOS!$AJ$5,tabela_registros[CATEGORIA],reservaoutrosconsolidadoago[[#This Row],[ATUAL]])</f>
        <v>0</v>
      </c>
      <c r="AD213" s="119" t="n">
        <f aca="false">SUMIFS(tabela_registros[VALOR],tabela_registros[MÊS],$AE$1,tabela_registros[DIA],reservaoutrosconsolidadoago[[#Headers],[26]],tabela_registros[REGISTRO],DADOS!$N$6,tabela_registros[TIPO],DADOS!$AJ$5,tabela_registros[CATEGORIA],reservaoutrosconsolidadoago[[#This Row],[ATUAL]])</f>
        <v>0</v>
      </c>
      <c r="AE213" s="119" t="n">
        <f aca="false">SUMIFS(tabela_registros[VALOR],tabela_registros[MÊS],$AE$1,tabela_registros[DIA],reservaoutrosconsolidadoago[[#Headers],[27]],tabela_registros[REGISTRO],DADOS!$N$6,tabela_registros[TIPO],DADOS!$AJ$5,tabela_registros[CATEGORIA],reservaoutrosconsolidadoago[[#This Row],[ATUAL]])</f>
        <v>0</v>
      </c>
      <c r="AF213" s="119" t="n">
        <f aca="false">SUMIFS(tabela_registros[VALOR],tabela_registros[MÊS],$AE$1,tabela_registros[DIA],reservaoutrosconsolidadoago[[#Headers],[28]],tabela_registros[REGISTRO],DADOS!$N$6,tabela_registros[TIPO],DADOS!$AJ$5,tabela_registros[CATEGORIA],reservaoutrosconsolidadoago[[#This Row],[ATUAL]])</f>
        <v>0</v>
      </c>
      <c r="AG213" s="119" t="n">
        <f aca="false">SUMIFS(tabela_registros[VALOR],tabela_registros[MÊS],$AE$1,tabela_registros[DIA],reservaoutrosconsolidadoago[[#Headers],[29]],tabela_registros[REGISTRO],DADOS!$N$6,tabela_registros[TIPO],DADOS!$AJ$5,tabela_registros[CATEGORIA],reservaoutrosconsolidadoago[[#This Row],[ATUAL]])</f>
        <v>0</v>
      </c>
      <c r="AH213" s="119" t="n">
        <f aca="false">SUMIFS(tabela_registros[VALOR],tabela_registros[MÊS],$AE$1,tabela_registros[DIA],reservaoutrosconsolidadoago[[#Headers],[30]],tabela_registros[REGISTRO],DADOS!$N$6,tabela_registros[TIPO],DADOS!$AJ$5,tabela_registros[CATEGORIA],reservaoutrosconsolidadoago[[#This Row],[ATUAL]])</f>
        <v>0</v>
      </c>
      <c r="AI213" s="218" t="n">
        <f aca="false">SUMIFS(tabela_registros[VALOR],tabela_registros[MÊS],$AE$1,tabela_registros[DIA],reservaoutrosconsolidadoago[[#Headers],[31]],tabela_registros[REGISTRO],DADOS!$N$6,tabela_registros[TIPO],DADOS!$AJ$5,tabela_registros[CATEGORIA],reservaoutrosconsolidadoago[[#This Row],[ATUAL]])</f>
        <v>0</v>
      </c>
      <c r="AJ213" s="149" t="n">
        <f aca="false">SUM(reservaoutrosconsolidadoago[[#This Row],[1]:[31]])</f>
        <v>0</v>
      </c>
      <c r="AK213" s="165"/>
    </row>
    <row r="214" s="122" customFormat="true" ht="21" hidden="false" customHeight="true" outlineLevel="0" collapsed="false">
      <c r="B214" s="152"/>
      <c r="C214" s="153" t="s">
        <v>2</v>
      </c>
      <c r="D214" s="166"/>
      <c r="E214" s="155" t="n">
        <f aca="false">SUM(E206:E213)</f>
        <v>0</v>
      </c>
      <c r="F214" s="156" t="n">
        <f aca="false">SUM(F206:F213)+reservaoutrosconsolidadoago[[#This Row],[1]]</f>
        <v>0</v>
      </c>
      <c r="G214" s="156" t="n">
        <f aca="false">SUM(G206:G213)+reservaoutrosconsolidadoago[[#This Row],[2]]</f>
        <v>0</v>
      </c>
      <c r="H214" s="156" t="n">
        <f aca="false">SUM(H206:H213)+reservaoutrosconsolidadoago[[#This Row],[3]]</f>
        <v>0</v>
      </c>
      <c r="I214" s="156" t="n">
        <f aca="false">SUM(I206:I213)+reservaoutrosconsolidadoago[[#This Row],[4]]</f>
        <v>0</v>
      </c>
      <c r="J214" s="156" t="n">
        <f aca="false">SUM(J206:J213)+reservaoutrosconsolidadoago[[#This Row],[5]]</f>
        <v>0</v>
      </c>
      <c r="K214" s="156" t="n">
        <f aca="false">SUM(K206:K213)+reservaoutrosconsolidadoago[[#This Row],[6]]</f>
        <v>0</v>
      </c>
      <c r="L214" s="156" t="n">
        <f aca="false">SUM(L206:L213)+reservaoutrosconsolidadoago[[#This Row],[7]]</f>
        <v>0</v>
      </c>
      <c r="M214" s="156" t="n">
        <f aca="false">SUM(M206:M213)+reservaoutrosconsolidadoago[[#This Row],[8]]</f>
        <v>0</v>
      </c>
      <c r="N214" s="156" t="n">
        <f aca="false">SUM(N206:N213)+reservaoutrosconsolidadoago[[#This Row],[9]]</f>
        <v>0</v>
      </c>
      <c r="O214" s="156" t="n">
        <f aca="false">SUM(O206:O213)+reservaoutrosconsolidadoago[[#This Row],[10]]</f>
        <v>0</v>
      </c>
      <c r="P214" s="156" t="n">
        <f aca="false">SUM(P206:P213)+reservaoutrosconsolidadoago[[#This Row],[11]]</f>
        <v>0</v>
      </c>
      <c r="Q214" s="156" t="n">
        <f aca="false">SUM(Q206:Q213)+reservaoutrosconsolidadoago[[#This Row],[12]]</f>
        <v>0</v>
      </c>
      <c r="R214" s="156" t="n">
        <f aca="false">SUM(R206:R213)+reservaoutrosconsolidadoago[[#This Row],[13]]</f>
        <v>0</v>
      </c>
      <c r="S214" s="156" t="n">
        <f aca="false">SUM(S206:S213)+reservaoutrosconsolidadoago[[#This Row],[14]]</f>
        <v>0</v>
      </c>
      <c r="T214" s="156" t="n">
        <f aca="false">SUM(T206:T213)+reservaoutrosconsolidadoago[[#This Row],[15]]</f>
        <v>0</v>
      </c>
      <c r="U214" s="156" t="n">
        <f aca="false">SUM(U206:U213)+reservaoutrosconsolidadoago[[#This Row],[16]]</f>
        <v>0</v>
      </c>
      <c r="V214" s="156" t="n">
        <f aca="false">SUM(V206:V213)+reservaoutrosconsolidadoago[[#This Row],[17]]</f>
        <v>0</v>
      </c>
      <c r="W214" s="156" t="n">
        <f aca="false">SUM(W206:W213)+reservaoutrosconsolidadoago[[#This Row],[18]]</f>
        <v>0</v>
      </c>
      <c r="X214" s="156" t="n">
        <f aca="false">SUM(X206:X213)+reservaoutrosconsolidadoago[[#This Row],[19]]</f>
        <v>0</v>
      </c>
      <c r="Y214" s="156" t="n">
        <f aca="false">SUM(Y206:Y213)+reservaoutrosconsolidadoago[[#This Row],[20]]</f>
        <v>0</v>
      </c>
      <c r="Z214" s="156" t="n">
        <f aca="false">SUM(Z206:Z213)+reservaoutrosconsolidadoago[[#This Row],[21]]</f>
        <v>0</v>
      </c>
      <c r="AA214" s="156" t="n">
        <f aca="false">SUM(AA206:AA213)+reservaoutrosconsolidadoago[[#This Row],[22]]</f>
        <v>0</v>
      </c>
      <c r="AB214" s="156" t="n">
        <f aca="false">SUM(AB206:AB213)+reservaoutrosconsolidadoago[[#This Row],[23]]</f>
        <v>0</v>
      </c>
      <c r="AC214" s="156" t="n">
        <f aca="false">SUM(AC206:AC213)+reservaoutrosconsolidadoago[[#This Row],[24]]</f>
        <v>0</v>
      </c>
      <c r="AD214" s="156" t="n">
        <f aca="false">SUM(AD206:AD213)+reservaoutrosconsolidadoago[[#This Row],[25]]</f>
        <v>0</v>
      </c>
      <c r="AE214" s="156" t="n">
        <f aca="false">SUM(AE206:AE213)+reservaoutrosconsolidadoago[[#This Row],[26]]</f>
        <v>0</v>
      </c>
      <c r="AF214" s="156" t="n">
        <f aca="false">SUM(AF206:AF213)+reservaoutrosconsolidadoago[[#This Row],[27]]</f>
        <v>0</v>
      </c>
      <c r="AG214" s="156" t="n">
        <f aca="false">SUM(AG206:AG213)+reservaoutrosconsolidadoago[[#This Row],[28]]</f>
        <v>0</v>
      </c>
      <c r="AH214" s="156" t="n">
        <f aca="false">SUM(AH206:AH213)+reservaoutrosconsolidadoago[[#This Row],[29]]</f>
        <v>0</v>
      </c>
      <c r="AI214" s="223" t="n">
        <f aca="false">SUM(AI206:AI213)+reservaoutrosconsolidadoago[[#This Row],[30]]</f>
        <v>0</v>
      </c>
      <c r="AJ214" s="157" t="n">
        <f aca="false">reservaoutrosconsolidadoago[[#This Row],[31]]</f>
        <v>0</v>
      </c>
      <c r="AK214" s="158"/>
    </row>
    <row r="215" customFormat="false" ht="6.75" hidden="false" customHeight="true" outlineLevel="0" collapsed="false">
      <c r="B215" s="97"/>
      <c r="C215" s="162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233"/>
      <c r="AJ215" s="164"/>
      <c r="AK215" s="244"/>
    </row>
    <row r="216" customFormat="false" ht="12.75" hidden="false" customHeight="false" outlineLevel="0" collapsed="false"/>
    <row r="217" customFormat="false" ht="12" hidden="false" customHeight="false" outlineLevel="0" collapsed="false"/>
  </sheetData>
  <sheetProtection algorithmName="SHA-512" hashValue="0yYI+jg1BcWnjb5e6H4Cu4dSJNQA7i6Zb9+1wgZW1slO9rHCXrDs3rkeFueZV32wzftcCWZfC7i8+sY2oeGr2A==" saltValue="Zzfe1E3pypkQEoYgo9xGuw==" spinCount="100000" sheet="true" objects="true" scenarios="true" selectLockedCells="true" selectUnlockedCells="true"/>
  <mergeCells count="26">
    <mergeCell ref="C2:C6"/>
    <mergeCell ref="E3:G3"/>
    <mergeCell ref="I3:K3"/>
    <mergeCell ref="M3:O3"/>
    <mergeCell ref="Q3:S3"/>
    <mergeCell ref="U3:W3"/>
    <mergeCell ref="Z3:AA4"/>
    <mergeCell ref="AC3:AD4"/>
    <mergeCell ref="AF3:AG4"/>
    <mergeCell ref="E4:G4"/>
    <mergeCell ref="I4:K4"/>
    <mergeCell ref="M4:O4"/>
    <mergeCell ref="Q4:S4"/>
    <mergeCell ref="U4:W4"/>
    <mergeCell ref="E10:AI10"/>
    <mergeCell ref="E21:AI21"/>
    <mergeCell ref="E33:AI33"/>
    <mergeCell ref="E56:AI56"/>
    <mergeCell ref="E78:AI78"/>
    <mergeCell ref="E92:AI92"/>
    <mergeCell ref="E109:AI109"/>
    <mergeCell ref="E128:AI128"/>
    <mergeCell ref="E147:AI147"/>
    <mergeCell ref="E164:AI164"/>
    <mergeCell ref="E183:AI183"/>
    <mergeCell ref="E202:AI202"/>
  </mergeCells>
  <hyperlinks>
    <hyperlink ref="Z3" location="'🔒'!A1" display="REGISTROS"/>
    <hyperlink ref="AC3" location="'📈'!A1" display="RADAR"/>
    <hyperlink ref="AF3" location="ANUAL!A1" display="ANUA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17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24" activeCellId="0" sqref="D24"/>
    </sheetView>
  </sheetViews>
  <sheetFormatPr defaultColWidth="2.1484375" defaultRowHeight="12" zeroHeight="true" outlineLevelRow="0" outlineLevelCol="0"/>
  <cols>
    <col collapsed="false" customWidth="false" hidden="false" outlineLevel="0" max="1" min="1" style="78" width="2.14"/>
    <col collapsed="false" customWidth="true" hidden="false" outlineLevel="0" max="2" min="2" style="78" width="1.58"/>
    <col collapsed="false" customWidth="true" hidden="false" outlineLevel="0" max="3" min="3" style="78" width="29.29"/>
    <col collapsed="false" customWidth="true" hidden="false" outlineLevel="0" max="4" min="4" style="78" width="4.71"/>
    <col collapsed="false" customWidth="true" hidden="false" outlineLevel="0" max="34" min="5" style="78" width="5.57"/>
    <col collapsed="false" customWidth="true" hidden="true" outlineLevel="0" max="35" min="35" style="167" width="5.57"/>
    <col collapsed="false" customWidth="true" hidden="false" outlineLevel="0" max="36" min="36" style="78" width="9.58"/>
    <col collapsed="false" customWidth="true" hidden="false" outlineLevel="0" max="37" min="37" style="78" width="1.58"/>
    <col collapsed="false" customWidth="true" hidden="false" outlineLevel="0" max="38" min="38" style="78" width="2"/>
    <col collapsed="false" customWidth="false" hidden="true" outlineLevel="0" max="1024" min="39" style="78" width="2.14"/>
  </cols>
  <sheetData>
    <row r="1" customFormat="false" ht="29.25" hidden="true" customHeight="true" outlineLevel="0" collapsed="false">
      <c r="A1" s="81"/>
      <c r="B1" s="81"/>
      <c r="C1" s="81"/>
      <c r="D1" s="82"/>
      <c r="AD1" s="78" t="s">
        <v>19</v>
      </c>
      <c r="AE1" s="168" t="n">
        <v>9</v>
      </c>
      <c r="AH1" s="78" t="s">
        <v>42</v>
      </c>
      <c r="AI1" s="169" t="n">
        <f aca="false">IF('⚙️'!$Q$3=$AE$1,'⚙️'!$F$13,0)</f>
        <v>0</v>
      </c>
      <c r="AK1" s="169"/>
    </row>
    <row r="2" customFormat="false" ht="15.75" hidden="false" customHeight="true" outlineLevel="0" collapsed="false">
      <c r="A2" s="84"/>
      <c r="B2" s="84"/>
      <c r="C2" s="85" t="s">
        <v>107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7"/>
      <c r="U2" s="87"/>
      <c r="V2" s="87"/>
      <c r="W2" s="87"/>
      <c r="X2" s="87"/>
      <c r="Y2" s="87"/>
      <c r="Z2" s="87"/>
      <c r="AA2" s="87"/>
      <c r="AB2" s="87"/>
      <c r="AC2" s="238"/>
      <c r="AD2" s="239"/>
      <c r="AE2" s="239"/>
      <c r="AF2" s="239"/>
      <c r="AG2" s="239"/>
      <c r="AH2" s="239"/>
      <c r="AI2" s="239"/>
      <c r="AJ2" s="239"/>
      <c r="AK2" s="239"/>
      <c r="AL2" s="239"/>
    </row>
    <row r="3" s="180" customFormat="true" ht="18" hidden="false" customHeight="true" outlineLevel="0" collapsed="false">
      <c r="A3" s="89"/>
      <c r="B3" s="89"/>
      <c r="C3" s="85"/>
      <c r="D3" s="86"/>
      <c r="E3" s="90" t="s">
        <v>45</v>
      </c>
      <c r="F3" s="90"/>
      <c r="G3" s="90"/>
      <c r="H3" s="87"/>
      <c r="I3" s="90" t="s">
        <v>46</v>
      </c>
      <c r="J3" s="90"/>
      <c r="K3" s="90"/>
      <c r="L3" s="87"/>
      <c r="M3" s="90" t="s">
        <v>47</v>
      </c>
      <c r="N3" s="90"/>
      <c r="O3" s="90"/>
      <c r="P3" s="87"/>
      <c r="Q3" s="90" t="s">
        <v>48</v>
      </c>
      <c r="R3" s="90"/>
      <c r="S3" s="90"/>
      <c r="T3" s="87"/>
      <c r="U3" s="90" t="s">
        <v>49</v>
      </c>
      <c r="V3" s="90"/>
      <c r="W3" s="90"/>
      <c r="X3" s="87"/>
      <c r="Y3" s="87"/>
      <c r="Z3" s="178" t="s">
        <v>50</v>
      </c>
      <c r="AA3" s="178"/>
      <c r="AB3" s="239"/>
      <c r="AC3" s="178" t="s">
        <v>51</v>
      </c>
      <c r="AD3" s="178"/>
      <c r="AE3" s="239"/>
      <c r="AF3" s="178" t="s">
        <v>17</v>
      </c>
      <c r="AG3" s="178"/>
      <c r="AH3" s="240"/>
      <c r="AI3" s="240"/>
      <c r="AJ3" s="240"/>
      <c r="AK3" s="239"/>
      <c r="AL3" s="239"/>
    </row>
    <row r="4" s="180" customFormat="true" ht="18" hidden="false" customHeight="true" outlineLevel="0" collapsed="false">
      <c r="A4" s="89"/>
      <c r="B4" s="89"/>
      <c r="C4" s="85"/>
      <c r="D4" s="86"/>
      <c r="E4" s="94" t="n">
        <f aca="false">$AJ$16</f>
        <v>0</v>
      </c>
      <c r="F4" s="94"/>
      <c r="G4" s="94"/>
      <c r="H4" s="87"/>
      <c r="I4" s="94" t="n">
        <f aca="false">$AJ$14</f>
        <v>0</v>
      </c>
      <c r="J4" s="94"/>
      <c r="K4" s="94"/>
      <c r="L4" s="87"/>
      <c r="M4" s="94" t="n">
        <f aca="false">$AJ$15</f>
        <v>0</v>
      </c>
      <c r="N4" s="94"/>
      <c r="O4" s="94"/>
      <c r="P4" s="87"/>
      <c r="Q4" s="94" t="n">
        <f aca="false">$AJ$25</f>
        <v>0</v>
      </c>
      <c r="R4" s="94"/>
      <c r="S4" s="94"/>
      <c r="T4" s="87"/>
      <c r="U4" s="94" t="n">
        <f aca="false">$AJ$26</f>
        <v>0</v>
      </c>
      <c r="V4" s="94"/>
      <c r="W4" s="94"/>
      <c r="X4" s="87"/>
      <c r="Y4" s="87"/>
      <c r="Z4" s="178"/>
      <c r="AA4" s="178"/>
      <c r="AB4" s="239"/>
      <c r="AC4" s="178"/>
      <c r="AD4" s="178"/>
      <c r="AE4" s="239"/>
      <c r="AF4" s="178"/>
      <c r="AG4" s="178"/>
      <c r="AH4" s="240"/>
      <c r="AI4" s="240"/>
      <c r="AJ4" s="240"/>
      <c r="AK4" s="239"/>
      <c r="AL4" s="239"/>
    </row>
    <row r="5" customFormat="false" ht="11.25" hidden="false" customHeight="true" outlineLevel="0" collapsed="false">
      <c r="A5" s="89"/>
      <c r="B5" s="89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7"/>
      <c r="Y5" s="86"/>
      <c r="Z5" s="86"/>
      <c r="AA5" s="87"/>
      <c r="AB5" s="87"/>
      <c r="AC5" s="241"/>
      <c r="AD5" s="242"/>
      <c r="AE5" s="242"/>
      <c r="AF5" s="242"/>
      <c r="AG5" s="242"/>
      <c r="AH5" s="242"/>
      <c r="AI5" s="242"/>
      <c r="AJ5" s="239"/>
      <c r="AK5" s="239"/>
      <c r="AL5" s="239"/>
    </row>
    <row r="6" customFormat="false" ht="13.5" hidden="false" customHeight="true" outlineLevel="0" collapsed="false">
      <c r="A6" s="96"/>
      <c r="B6" s="96"/>
      <c r="C6" s="85"/>
      <c r="D6" s="97"/>
      <c r="E6" s="98" t="s">
        <v>30</v>
      </c>
      <c r="F6" s="98" t="s">
        <v>31</v>
      </c>
      <c r="G6" s="99" t="s">
        <v>32</v>
      </c>
      <c r="H6" s="99" t="s">
        <v>33</v>
      </c>
      <c r="I6" s="99" t="s">
        <v>34</v>
      </c>
      <c r="J6" s="99" t="s">
        <v>35</v>
      </c>
      <c r="K6" s="99" t="s">
        <v>36</v>
      </c>
      <c r="L6" s="99" t="s">
        <v>37</v>
      </c>
      <c r="M6" s="99" t="s">
        <v>38</v>
      </c>
      <c r="N6" s="99" t="s">
        <v>39</v>
      </c>
      <c r="O6" s="99" t="s">
        <v>40</v>
      </c>
      <c r="P6" s="99" t="s">
        <v>41</v>
      </c>
      <c r="Q6" s="99" t="s">
        <v>81</v>
      </c>
      <c r="R6" s="99" t="s">
        <v>82</v>
      </c>
      <c r="S6" s="99" t="s">
        <v>83</v>
      </c>
      <c r="T6" s="99" t="s">
        <v>84</v>
      </c>
      <c r="U6" s="99" t="s">
        <v>85</v>
      </c>
      <c r="V6" s="99" t="s">
        <v>86</v>
      </c>
      <c r="W6" s="99" t="s">
        <v>87</v>
      </c>
      <c r="X6" s="99" t="s">
        <v>88</v>
      </c>
      <c r="Y6" s="99" t="s">
        <v>89</v>
      </c>
      <c r="Z6" s="99" t="s">
        <v>90</v>
      </c>
      <c r="AA6" s="99" t="s">
        <v>91</v>
      </c>
      <c r="AB6" s="99" t="s">
        <v>92</v>
      </c>
      <c r="AC6" s="99" t="s">
        <v>93</v>
      </c>
      <c r="AD6" s="99" t="s">
        <v>94</v>
      </c>
      <c r="AE6" s="99" t="s">
        <v>95</v>
      </c>
      <c r="AF6" s="99" t="s">
        <v>96</v>
      </c>
      <c r="AG6" s="99" t="s">
        <v>97</v>
      </c>
      <c r="AH6" s="99" t="s">
        <v>98</v>
      </c>
      <c r="AI6" s="243" t="s">
        <v>99</v>
      </c>
      <c r="AJ6" s="239"/>
      <c r="AK6" s="239"/>
      <c r="AL6" s="239"/>
    </row>
    <row r="7" s="78" customFormat="true" ht="12.75" hidden="false" customHeight="false" outlineLevel="0" collapsed="false">
      <c r="E7" s="100"/>
    </row>
    <row r="8" s="78" customFormat="true" ht="12" hidden="false" customHeight="false" outlineLevel="0" collapsed="false"/>
    <row r="9" s="78" customFormat="true" ht="12" hidden="false" customHeight="false" outlineLevel="0" collapsed="false"/>
    <row r="10" customFormat="false" ht="39.75" hidden="false" customHeight="true" outlineLevel="0" collapsed="false">
      <c r="C10" s="101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3" t="s">
        <v>2</v>
      </c>
    </row>
    <row r="11" s="78" customFormat="true" ht="12.75" hidden="false" customHeight="false" outlineLevel="0" collapsed="false">
      <c r="AJ11" s="106" t="s">
        <v>64</v>
      </c>
    </row>
    <row r="12" customFormat="false" ht="6.75" hidden="false" customHeight="tru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94"/>
      <c r="AK12" s="107"/>
    </row>
    <row r="13" customFormat="false" ht="13.5" hidden="true" customHeight="false" outlineLevel="0" collapsed="false">
      <c r="B13" s="86"/>
      <c r="C13" s="109" t="s">
        <v>68</v>
      </c>
      <c r="D13" s="110" t="s">
        <v>69</v>
      </c>
      <c r="E13" s="110" t="s">
        <v>30</v>
      </c>
      <c r="F13" s="110" t="s">
        <v>31</v>
      </c>
      <c r="G13" s="110" t="s">
        <v>32</v>
      </c>
      <c r="H13" s="110" t="s">
        <v>33</v>
      </c>
      <c r="I13" s="110" t="s">
        <v>34</v>
      </c>
      <c r="J13" s="110" t="s">
        <v>35</v>
      </c>
      <c r="K13" s="110" t="s">
        <v>36</v>
      </c>
      <c r="L13" s="110" t="s">
        <v>37</v>
      </c>
      <c r="M13" s="110" t="s">
        <v>38</v>
      </c>
      <c r="N13" s="110" t="s">
        <v>39</v>
      </c>
      <c r="O13" s="110" t="s">
        <v>40</v>
      </c>
      <c r="P13" s="110" t="s">
        <v>41</v>
      </c>
      <c r="Q13" s="110" t="s">
        <v>81</v>
      </c>
      <c r="R13" s="110" t="s">
        <v>82</v>
      </c>
      <c r="S13" s="110" t="s">
        <v>83</v>
      </c>
      <c r="T13" s="110" t="s">
        <v>84</v>
      </c>
      <c r="U13" s="110" t="s">
        <v>85</v>
      </c>
      <c r="V13" s="110" t="s">
        <v>86</v>
      </c>
      <c r="W13" s="110" t="s">
        <v>87</v>
      </c>
      <c r="X13" s="110" t="s">
        <v>88</v>
      </c>
      <c r="Y13" s="110" t="s">
        <v>89</v>
      </c>
      <c r="Z13" s="110" t="s">
        <v>90</v>
      </c>
      <c r="AA13" s="110" t="s">
        <v>91</v>
      </c>
      <c r="AB13" s="110" t="s">
        <v>92</v>
      </c>
      <c r="AC13" s="110" t="s">
        <v>93</v>
      </c>
      <c r="AD13" s="110" t="s">
        <v>94</v>
      </c>
      <c r="AE13" s="110" t="s">
        <v>95</v>
      </c>
      <c r="AF13" s="110" t="s">
        <v>96</v>
      </c>
      <c r="AG13" s="110" t="s">
        <v>97</v>
      </c>
      <c r="AH13" s="110" t="s">
        <v>98</v>
      </c>
      <c r="AI13" s="110" t="s">
        <v>99</v>
      </c>
      <c r="AJ13" s="111" t="s">
        <v>70</v>
      </c>
      <c r="AK13" s="107"/>
    </row>
    <row r="14" customFormat="false" ht="19.5" hidden="false" customHeight="true" outlineLevel="0" collapsed="false">
      <c r="B14" s="107"/>
      <c r="C14" s="112" t="s">
        <v>71</v>
      </c>
      <c r="D14" s="113"/>
      <c r="E14" s="114" t="n">
        <f aca="false">SUMIFS(tabela_registros[VALOR],tabela_registros[MÊS],$AE$1,tabela_registros[DIA],settotal3059718395107119131[[#Headers],[1]],tabela_registros[REGISTRO],DADOS!$N$3)</f>
        <v>0</v>
      </c>
      <c r="F14" s="114" t="n">
        <f aca="false">SUMIFS(tabela_registros[VALOR],tabela_registros[MÊS],$AE$1,tabela_registros[DIA],settotal3059718395107119131[[#Headers],[2]],tabela_registros[REGISTRO],DADOS!$N$3)</f>
        <v>0</v>
      </c>
      <c r="G14" s="114" t="n">
        <f aca="false">SUMIFS(tabela_registros[VALOR],tabela_registros[MÊS],$AE$1,tabela_registros[DIA],settotal3059718395107119131[[#Headers],[3]],tabela_registros[REGISTRO],DADOS!$N$3)</f>
        <v>0</v>
      </c>
      <c r="H14" s="114" t="n">
        <f aca="false">SUMIFS(tabela_registros[VALOR],tabela_registros[MÊS],$AE$1,tabela_registros[DIA],settotal3059718395107119131[[#Headers],[4]],tabela_registros[REGISTRO],DADOS!$N$3)</f>
        <v>0</v>
      </c>
      <c r="I14" s="114" t="n">
        <f aca="false">SUMIFS(tabela_registros[VALOR],tabela_registros[MÊS],$AE$1,tabela_registros[DIA],settotal3059718395107119131[[#Headers],[5]],tabela_registros[REGISTRO],DADOS!$N$3)</f>
        <v>0</v>
      </c>
      <c r="J14" s="114" t="n">
        <f aca="false">SUMIFS(tabela_registros[VALOR],tabela_registros[MÊS],$AE$1,tabela_registros[DIA],settotal3059718395107119131[[#Headers],[6]],tabela_registros[REGISTRO],DADOS!$N$3)</f>
        <v>0</v>
      </c>
      <c r="K14" s="114" t="n">
        <f aca="false">SUMIFS(tabela_registros[VALOR],tabela_registros[MÊS],$AE$1,tabela_registros[DIA],settotal3059718395107119131[[#Headers],[7]],tabela_registros[REGISTRO],DADOS!$N$3)</f>
        <v>0</v>
      </c>
      <c r="L14" s="114" t="n">
        <f aca="false">SUMIFS(tabela_registros[VALOR],tabela_registros[MÊS],$AE$1,tabela_registros[DIA],settotal3059718395107119131[[#Headers],[8]],tabela_registros[REGISTRO],DADOS!$N$3)</f>
        <v>0</v>
      </c>
      <c r="M14" s="114" t="n">
        <f aca="false">SUMIFS(tabela_registros[VALOR],tabela_registros[MÊS],$AE$1,tabela_registros[DIA],settotal3059718395107119131[[#Headers],[9]],tabela_registros[REGISTRO],DADOS!$N$3)</f>
        <v>0</v>
      </c>
      <c r="N14" s="114" t="n">
        <f aca="false">SUMIFS(tabela_registros[VALOR],tabela_registros[MÊS],$AE$1,tabela_registros[DIA],settotal3059718395107119131[[#Headers],[10]],tabela_registros[REGISTRO],DADOS!$N$3)</f>
        <v>0</v>
      </c>
      <c r="O14" s="114" t="n">
        <f aca="false">SUMIFS(tabela_registros[VALOR],tabela_registros[MÊS],$AE$1,tabela_registros[DIA],settotal3059718395107119131[[#Headers],[11]],tabela_registros[REGISTRO],DADOS!$N$3)</f>
        <v>0</v>
      </c>
      <c r="P14" s="114" t="n">
        <f aca="false">SUMIFS(tabela_registros[VALOR],tabela_registros[MÊS],$AE$1,tabela_registros[DIA],settotal3059718395107119131[[#Headers],[12]],tabela_registros[REGISTRO],DADOS!$N$3)</f>
        <v>0</v>
      </c>
      <c r="Q14" s="114" t="n">
        <f aca="false">SUMIFS(tabela_registros[VALOR],tabela_registros[MÊS],$AE$1,tabela_registros[DIA],settotal3059718395107119131[[#Headers],[13]],tabela_registros[REGISTRO],DADOS!$N$3)</f>
        <v>0</v>
      </c>
      <c r="R14" s="114" t="n">
        <f aca="false">SUMIFS(tabela_registros[VALOR],tabela_registros[MÊS],$AE$1,tabela_registros[DIA],settotal3059718395107119131[[#Headers],[14]],tabela_registros[REGISTRO],DADOS!$N$3)</f>
        <v>0</v>
      </c>
      <c r="S14" s="114" t="n">
        <f aca="false">SUMIFS(tabela_registros[VALOR],tabela_registros[MÊS],$AE$1,tabela_registros[DIA],settotal3059718395107119131[[#Headers],[15]],tabela_registros[REGISTRO],DADOS!$N$3)</f>
        <v>0</v>
      </c>
      <c r="T14" s="114" t="n">
        <f aca="false">SUMIFS(tabela_registros[VALOR],tabela_registros[MÊS],$AE$1,tabela_registros[DIA],settotal3059718395107119131[[#Headers],[16]],tabela_registros[REGISTRO],DADOS!$N$3)</f>
        <v>0</v>
      </c>
      <c r="U14" s="114" t="n">
        <f aca="false">SUMIFS(tabela_registros[VALOR],tabela_registros[MÊS],$AE$1,tabela_registros[DIA],settotal3059718395107119131[[#Headers],[17]],tabela_registros[REGISTRO],DADOS!$N$3)</f>
        <v>0</v>
      </c>
      <c r="V14" s="114" t="n">
        <f aca="false">SUMIFS(tabela_registros[VALOR],tabela_registros[MÊS],$AE$1,tabela_registros[DIA],settotal3059718395107119131[[#Headers],[18]],tabela_registros[REGISTRO],DADOS!$N$3)</f>
        <v>0</v>
      </c>
      <c r="W14" s="114" t="n">
        <f aca="false">SUMIFS(tabela_registros[VALOR],tabela_registros[MÊS],$AE$1,tabela_registros[DIA],settotal3059718395107119131[[#Headers],[19]],tabela_registros[REGISTRO],DADOS!$N$3)</f>
        <v>0</v>
      </c>
      <c r="X14" s="114" t="n">
        <f aca="false">SUMIFS(tabela_registros[VALOR],tabela_registros[MÊS],$AE$1,tabela_registros[DIA],settotal3059718395107119131[[#Headers],[20]],tabela_registros[REGISTRO],DADOS!$N$3)</f>
        <v>0</v>
      </c>
      <c r="Y14" s="114" t="n">
        <f aca="false">SUMIFS(tabela_registros[VALOR],tabela_registros[MÊS],$AE$1,tabela_registros[DIA],settotal3059718395107119131[[#Headers],[21]],tabela_registros[REGISTRO],DADOS!$N$3)</f>
        <v>0</v>
      </c>
      <c r="Z14" s="114" t="n">
        <f aca="false">SUMIFS(tabela_registros[VALOR],tabela_registros[MÊS],$AE$1,tabela_registros[DIA],settotal3059718395107119131[[#Headers],[22]],tabela_registros[REGISTRO],DADOS!$N$3)</f>
        <v>0</v>
      </c>
      <c r="AA14" s="114" t="n">
        <f aca="false">SUMIFS(tabela_registros[VALOR],tabela_registros[MÊS],$AE$1,tabela_registros[DIA],settotal3059718395107119131[[#Headers],[23]],tabela_registros[REGISTRO],DADOS!$N$3)</f>
        <v>0</v>
      </c>
      <c r="AB14" s="114" t="n">
        <f aca="false">SUMIFS(tabela_registros[VALOR],tabela_registros[MÊS],$AE$1,tabela_registros[DIA],settotal3059718395107119131[[#Headers],[24]],tabela_registros[REGISTRO],DADOS!$N$3)</f>
        <v>0</v>
      </c>
      <c r="AC14" s="114" t="n">
        <f aca="false">SUMIFS(tabela_registros[VALOR],tabela_registros[MÊS],$AE$1,tabela_registros[DIA],settotal3059718395107119131[[#Headers],[25]],tabela_registros[REGISTRO],DADOS!$N$3)</f>
        <v>0</v>
      </c>
      <c r="AD14" s="114" t="n">
        <f aca="false">SUMIFS(tabela_registros[VALOR],tabela_registros[MÊS],$AE$1,tabela_registros[DIA],settotal3059718395107119131[[#Headers],[26]],tabela_registros[REGISTRO],DADOS!$N$3)</f>
        <v>0</v>
      </c>
      <c r="AE14" s="114" t="n">
        <f aca="false">SUMIFS(tabela_registros[VALOR],tabela_registros[MÊS],$AE$1,tabela_registros[DIA],settotal3059718395107119131[[#Headers],[27]],tabela_registros[REGISTRO],DADOS!$N$3)</f>
        <v>0</v>
      </c>
      <c r="AF14" s="114" t="n">
        <f aca="false">SUMIFS(tabela_registros[VALOR],tabela_registros[MÊS],$AE$1,tabela_registros[DIA],settotal3059718395107119131[[#Headers],[28]],tabela_registros[REGISTRO],DADOS!$N$3)</f>
        <v>0</v>
      </c>
      <c r="AG14" s="114" t="n">
        <f aca="false">SUMIFS(tabela_registros[VALOR],tabela_registros[MÊS],$AE$1,tabela_registros[DIA],settotal3059718395107119131[[#Headers],[29]],tabela_registros[REGISTRO],DADOS!$N$3)</f>
        <v>0</v>
      </c>
      <c r="AH14" s="115" t="n">
        <f aca="false">SUMIFS(tabela_registros[VALOR],tabela_registros[MÊS],$AE$1,tabela_registros[DIA],settotal3059718395107119131[[#Headers],[30]],tabela_registros[REGISTRO],DADOS!$N$3)</f>
        <v>0</v>
      </c>
      <c r="AI14" s="116" t="n">
        <f aca="false">SUMIFS(tabela_registros[VALOR],tabela_registros[MÊS],$AE$1,tabela_registros[DIA],settotal3059718395107119131[[#Headers],[31]],tabela_registros[REGISTRO],DADOS!$N$3)</f>
        <v>0</v>
      </c>
      <c r="AJ14" s="116" t="n">
        <f aca="false">SUM(settotal3059718395107119131[[#This Row],[1]:[31]])</f>
        <v>0</v>
      </c>
      <c r="AK14" s="107"/>
    </row>
    <row r="15" customFormat="false" ht="18" hidden="false" customHeight="true" outlineLevel="0" collapsed="false">
      <c r="B15" s="107"/>
      <c r="C15" s="112" t="s">
        <v>72</v>
      </c>
      <c r="D15" s="113"/>
      <c r="E15" s="119" t="n">
        <f aca="false">SUMIFS(tabela_registros[VALOR],tabela_registros[MÊS],$AE$1,tabela_registros[DIA],settotal3059718395107119131[[#Headers],[1]],tabela_registros[REGISTRO],DADOS!$N$4)</f>
        <v>0</v>
      </c>
      <c r="F15" s="119" t="n">
        <f aca="false">SUMIFS(tabela_registros[VALOR],tabela_registros[MÊS],$AE$1,tabela_registros[DIA],settotal3059718395107119131[[#Headers],[2]],tabela_registros[REGISTRO],DADOS!$N$4)</f>
        <v>0</v>
      </c>
      <c r="G15" s="119" t="n">
        <f aca="false">SUMIFS(tabela_registros[VALOR],tabela_registros[MÊS],$AE$1,tabela_registros[DIA],settotal3059718395107119131[[#Headers],[3]],tabela_registros[REGISTRO],DADOS!$N$4)</f>
        <v>0</v>
      </c>
      <c r="H15" s="119" t="n">
        <f aca="false">SUMIFS(tabela_registros[VALOR],tabela_registros[MÊS],$AE$1,tabela_registros[DIA],settotal3059718395107119131[[#Headers],[4]],tabela_registros[REGISTRO],DADOS!$N$4)</f>
        <v>0</v>
      </c>
      <c r="I15" s="119" t="n">
        <f aca="false">SUMIFS(tabela_registros[VALOR],tabela_registros[MÊS],$AE$1,tabela_registros[DIA],settotal3059718395107119131[[#Headers],[5]],tabela_registros[REGISTRO],DADOS!$N$4)</f>
        <v>0</v>
      </c>
      <c r="J15" s="119" t="n">
        <f aca="false">SUMIFS(tabela_registros[VALOR],tabela_registros[MÊS],$AE$1,tabela_registros[DIA],settotal3059718395107119131[[#Headers],[6]],tabela_registros[REGISTRO],DADOS!$N$4)</f>
        <v>0</v>
      </c>
      <c r="K15" s="119" t="n">
        <f aca="false">SUMIFS(tabela_registros[VALOR],tabela_registros[MÊS],$AE$1,tabela_registros[DIA],settotal3059718395107119131[[#Headers],[7]],tabela_registros[REGISTRO],DADOS!$N$4)</f>
        <v>0</v>
      </c>
      <c r="L15" s="119" t="n">
        <f aca="false">SUMIFS(tabela_registros[VALOR],tabela_registros[MÊS],$AE$1,tabela_registros[DIA],settotal3059718395107119131[[#Headers],[8]],tabela_registros[REGISTRO],DADOS!$N$4)</f>
        <v>0</v>
      </c>
      <c r="M15" s="119" t="n">
        <f aca="false">SUMIFS(tabela_registros[VALOR],tabela_registros[MÊS],$AE$1,tabela_registros[DIA],settotal3059718395107119131[[#Headers],[9]],tabela_registros[REGISTRO],DADOS!$N$4)</f>
        <v>0</v>
      </c>
      <c r="N15" s="119" t="n">
        <f aca="false">SUMIFS(tabela_registros[VALOR],tabela_registros[MÊS],$AE$1,tabela_registros[DIA],settotal3059718395107119131[[#Headers],[10]],tabela_registros[REGISTRO],DADOS!$N$4)</f>
        <v>0</v>
      </c>
      <c r="O15" s="119" t="n">
        <f aca="false">SUMIFS(tabela_registros[VALOR],tabela_registros[MÊS],$AE$1,tabela_registros[DIA],settotal3059718395107119131[[#Headers],[11]],tabela_registros[REGISTRO],DADOS!$N$4)</f>
        <v>0</v>
      </c>
      <c r="P15" s="119" t="n">
        <f aca="false">SUMIFS(tabela_registros[VALOR],tabela_registros[MÊS],$AE$1,tabela_registros[DIA],settotal3059718395107119131[[#Headers],[12]],tabela_registros[REGISTRO],DADOS!$N$4)</f>
        <v>0</v>
      </c>
      <c r="Q15" s="119" t="n">
        <f aca="false">SUMIFS(tabela_registros[VALOR],tabela_registros[MÊS],$AE$1,tabela_registros[DIA],settotal3059718395107119131[[#Headers],[13]],tabela_registros[REGISTRO],DADOS!$N$4)</f>
        <v>0</v>
      </c>
      <c r="R15" s="119" t="n">
        <f aca="false">SUMIFS(tabela_registros[VALOR],tabela_registros[MÊS],$AE$1,tabela_registros[DIA],settotal3059718395107119131[[#Headers],[14]],tabela_registros[REGISTRO],DADOS!$N$4)</f>
        <v>0</v>
      </c>
      <c r="S15" s="119" t="n">
        <f aca="false">SUMIFS(tabela_registros[VALOR],tabela_registros[MÊS],$AE$1,tabela_registros[DIA],settotal3059718395107119131[[#Headers],[15]],tabela_registros[REGISTRO],DADOS!$N$4)</f>
        <v>0</v>
      </c>
      <c r="T15" s="119" t="n">
        <f aca="false">SUMIFS(tabela_registros[VALOR],tabela_registros[MÊS],$AE$1,tabela_registros[DIA],settotal3059718395107119131[[#Headers],[16]],tabela_registros[REGISTRO],DADOS!$N$4)</f>
        <v>0</v>
      </c>
      <c r="U15" s="119" t="n">
        <f aca="false">SUMIFS(tabela_registros[VALOR],tabela_registros[MÊS],$AE$1,tabela_registros[DIA],settotal3059718395107119131[[#Headers],[17]],tabela_registros[REGISTRO],DADOS!$N$4)</f>
        <v>0</v>
      </c>
      <c r="V15" s="119" t="n">
        <f aca="false">SUMIFS(tabela_registros[VALOR],tabela_registros[MÊS],$AE$1,tabela_registros[DIA],settotal3059718395107119131[[#Headers],[18]],tabela_registros[REGISTRO],DADOS!$N$4)</f>
        <v>0</v>
      </c>
      <c r="W15" s="119" t="n">
        <f aca="false">SUMIFS(tabela_registros[VALOR],tabela_registros[MÊS],$AE$1,tabela_registros[DIA],settotal3059718395107119131[[#Headers],[19]],tabela_registros[REGISTRO],DADOS!$N$4)</f>
        <v>0</v>
      </c>
      <c r="X15" s="119" t="n">
        <f aca="false">SUMIFS(tabela_registros[VALOR],tabela_registros[MÊS],$AE$1,tabela_registros[DIA],settotal3059718395107119131[[#Headers],[20]],tabela_registros[REGISTRO],DADOS!$N$4)</f>
        <v>0</v>
      </c>
      <c r="Y15" s="119" t="n">
        <f aca="false">SUMIFS(tabela_registros[VALOR],tabela_registros[MÊS],$AE$1,tabela_registros[DIA],settotal3059718395107119131[[#Headers],[21]],tabela_registros[REGISTRO],DADOS!$N$4)</f>
        <v>0</v>
      </c>
      <c r="Z15" s="119" t="n">
        <f aca="false">SUMIFS(tabela_registros[VALOR],tabela_registros[MÊS],$AE$1,tabela_registros[DIA],settotal3059718395107119131[[#Headers],[22]],tabela_registros[REGISTRO],DADOS!$N$4)</f>
        <v>0</v>
      </c>
      <c r="AA15" s="119" t="n">
        <f aca="false">SUMIFS(tabela_registros[VALOR],tabela_registros[MÊS],$AE$1,tabela_registros[DIA],settotal3059718395107119131[[#Headers],[23]],tabela_registros[REGISTRO],DADOS!$N$4)</f>
        <v>0</v>
      </c>
      <c r="AB15" s="119" t="n">
        <f aca="false">SUMIFS(tabela_registros[VALOR],tabela_registros[MÊS],$AE$1,tabela_registros[DIA],settotal3059718395107119131[[#Headers],[24]],tabela_registros[REGISTRO],DADOS!$N$4)</f>
        <v>0</v>
      </c>
      <c r="AC15" s="119" t="n">
        <f aca="false">SUMIFS(tabela_registros[VALOR],tabela_registros[MÊS],$AE$1,tabela_registros[DIA],settotal3059718395107119131[[#Headers],[25]],tabela_registros[REGISTRO],DADOS!$N$4)</f>
        <v>0</v>
      </c>
      <c r="AD15" s="119" t="n">
        <f aca="false">SUMIFS(tabela_registros[VALOR],tabela_registros[MÊS],$AE$1,tabela_registros[DIA],settotal3059718395107119131[[#Headers],[26]],tabela_registros[REGISTRO],DADOS!$N$4)</f>
        <v>0</v>
      </c>
      <c r="AE15" s="119" t="n">
        <f aca="false">SUMIFS(tabela_registros[VALOR],tabela_registros[MÊS],$AE$1,tabela_registros[DIA],settotal3059718395107119131[[#Headers],[27]],tabela_registros[REGISTRO],DADOS!$N$4)</f>
        <v>0</v>
      </c>
      <c r="AF15" s="119" t="n">
        <f aca="false">SUMIFS(tabela_registros[VALOR],tabela_registros[MÊS],$AE$1,tabela_registros[DIA],settotal3059718395107119131[[#Headers],[28]],tabela_registros[REGISTRO],DADOS!$N$4)</f>
        <v>0</v>
      </c>
      <c r="AG15" s="119" t="n">
        <f aca="false">SUMIFS(tabela_registros[VALOR],tabela_registros[MÊS],$AE$1,tabela_registros[DIA],settotal3059718395107119131[[#Headers],[29]],tabela_registros[REGISTRO],DADOS!$N$4)</f>
        <v>0</v>
      </c>
      <c r="AH15" s="120" t="n">
        <f aca="false">SUMIFS(tabela_registros[VALOR],tabela_registros[MÊS],$AE$1,tabela_registros[DIA],settotal3059718395107119131[[#Headers],[30]],tabela_registros[REGISTRO],DADOS!$N$4)</f>
        <v>0</v>
      </c>
      <c r="AI15" s="121" t="n">
        <f aca="false">SUMIFS(tabela_registros[VALOR],tabela_registros[MÊS],$AE$1,tabela_registros[DIA],settotal3059718395107119131[[#Headers],[31]],tabela_registros[REGISTRO],DADOS!$N$4)</f>
        <v>0</v>
      </c>
      <c r="AJ15" s="121" t="n">
        <f aca="false">SUM(settotal3059718395107119131[[#This Row],[1]:[31]])</f>
        <v>0</v>
      </c>
      <c r="AK15" s="107"/>
    </row>
    <row r="16" s="122" customFormat="true" ht="21" hidden="false" customHeight="true" outlineLevel="0" collapsed="false">
      <c r="B16" s="123"/>
      <c r="C16" s="124" t="s">
        <v>73</v>
      </c>
      <c r="D16" s="125"/>
      <c r="E16" s="126" t="n">
        <f aca="false">(E14-E15)+AI1</f>
        <v>0</v>
      </c>
      <c r="F16" s="127" t="n">
        <f aca="false">settotal3059718395107119131[[#This Row],[1]]+(F14-F15)</f>
        <v>0</v>
      </c>
      <c r="G16" s="127" t="n">
        <f aca="false">settotal3059718395107119131[[#This Row],[2]]+(G14-G15)</f>
        <v>0</v>
      </c>
      <c r="H16" s="127" t="n">
        <f aca="false">settotal3059718395107119131[[#This Row],[3]]+(H14-H15)</f>
        <v>0</v>
      </c>
      <c r="I16" s="127" t="n">
        <f aca="false">settotal3059718395107119131[[#This Row],[4]]+(I14-I15)</f>
        <v>0</v>
      </c>
      <c r="J16" s="127" t="n">
        <f aca="false">settotal3059718395107119131[[#This Row],[5]]+(J14-J15)</f>
        <v>0</v>
      </c>
      <c r="K16" s="127" t="n">
        <f aca="false">settotal3059718395107119131[[#This Row],[6]]+(K14-K15)</f>
        <v>0</v>
      </c>
      <c r="L16" s="127" t="n">
        <f aca="false">settotal3059718395107119131[[#This Row],[7]]+(L14-L15)</f>
        <v>0</v>
      </c>
      <c r="M16" s="127" t="n">
        <f aca="false">settotal3059718395107119131[[#This Row],[8]]+(M14-M15)</f>
        <v>0</v>
      </c>
      <c r="N16" s="127" t="n">
        <f aca="false">settotal3059718395107119131[[#This Row],[9]]+(N14-N15)</f>
        <v>0</v>
      </c>
      <c r="O16" s="127" t="n">
        <f aca="false">settotal3059718395107119131[[#This Row],[10]]+(O14-O15)</f>
        <v>0</v>
      </c>
      <c r="P16" s="127" t="n">
        <f aca="false">settotal3059718395107119131[[#This Row],[11]]+(P14-P15)</f>
        <v>0</v>
      </c>
      <c r="Q16" s="127" t="n">
        <f aca="false">settotal3059718395107119131[[#This Row],[12]]+(Q14-Q15)</f>
        <v>0</v>
      </c>
      <c r="R16" s="127" t="n">
        <f aca="false">settotal3059718395107119131[[#This Row],[13]]+(R14-R15)</f>
        <v>0</v>
      </c>
      <c r="S16" s="127" t="n">
        <f aca="false">settotal3059718395107119131[[#This Row],[14]]+(S14-S15)</f>
        <v>0</v>
      </c>
      <c r="T16" s="127" t="n">
        <f aca="false">settotal3059718395107119131[[#This Row],[15]]+(T14-T15)</f>
        <v>0</v>
      </c>
      <c r="U16" s="127" t="n">
        <f aca="false">settotal3059718395107119131[[#This Row],[16]]+(U14-U15)</f>
        <v>0</v>
      </c>
      <c r="V16" s="127" t="n">
        <f aca="false">settotal3059718395107119131[[#This Row],[17]]+(V14-V15)</f>
        <v>0</v>
      </c>
      <c r="W16" s="127" t="n">
        <f aca="false">settotal3059718395107119131[[#This Row],[18]]+(W14-W15)</f>
        <v>0</v>
      </c>
      <c r="X16" s="127" t="n">
        <f aca="false">settotal3059718395107119131[[#This Row],[19]]+(X14-X15)</f>
        <v>0</v>
      </c>
      <c r="Y16" s="127" t="n">
        <f aca="false">settotal3059718395107119131[[#This Row],[20]]+(Y14-Y15)</f>
        <v>0</v>
      </c>
      <c r="Z16" s="127" t="n">
        <f aca="false">settotal3059718395107119131[[#This Row],[21]]+(Z14-Z15)</f>
        <v>0</v>
      </c>
      <c r="AA16" s="127" t="n">
        <f aca="false">settotal3059718395107119131[[#This Row],[22]]+(AA14-AA15)</f>
        <v>0</v>
      </c>
      <c r="AB16" s="127" t="n">
        <f aca="false">settotal3059718395107119131[[#This Row],[23]]+(AB14-AB15)</f>
        <v>0</v>
      </c>
      <c r="AC16" s="127" t="n">
        <f aca="false">settotal3059718395107119131[[#This Row],[24]]+(AC14-AC15)</f>
        <v>0</v>
      </c>
      <c r="AD16" s="127" t="n">
        <f aca="false">settotal3059718395107119131[[#This Row],[25]]+(AD14-AD15)</f>
        <v>0</v>
      </c>
      <c r="AE16" s="127" t="n">
        <f aca="false">settotal3059718395107119131[[#This Row],[26]]+(AE14-AE15)</f>
        <v>0</v>
      </c>
      <c r="AF16" s="127" t="n">
        <f aca="false">settotal3059718395107119131[[#This Row],[27]]+(AF14-AF15)</f>
        <v>0</v>
      </c>
      <c r="AG16" s="127" t="n">
        <f aca="false">settotal3059718395107119131[[#This Row],[28]]+(AG14-AG15)</f>
        <v>0</v>
      </c>
      <c r="AH16" s="128" t="n">
        <f aca="false">settotal3059718395107119131[[#This Row],[29]]+(AH14-AH15)</f>
        <v>0</v>
      </c>
      <c r="AI16" s="129" t="n">
        <f aca="false">settotal3059718395107119131[[#This Row],[30]]+(AI14-AI15)</f>
        <v>0</v>
      </c>
      <c r="AJ16" s="129" t="n">
        <f aca="false">settotal3059718395107119131[[#This Row],[31]]</f>
        <v>0</v>
      </c>
      <c r="AK16" s="123"/>
    </row>
    <row r="17" customFormat="false" ht="6.75" hidden="false" customHeight="true" outlineLevel="0" collapsed="false"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94"/>
      <c r="AJ17" s="107"/>
      <c r="AK17" s="107"/>
    </row>
    <row r="18" customFormat="false" ht="12.75" hidden="false" customHeight="false" outlineLevel="0" collapsed="false">
      <c r="C18" s="133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</row>
    <row r="19" customFormat="false" ht="12" hidden="false" customHeight="false" outlineLevel="0" collapsed="false">
      <c r="C19" s="133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</row>
    <row r="20" customFormat="false" ht="12" hidden="false" customHeight="false" outlineLevel="0" collapsed="false">
      <c r="A20" s="133"/>
      <c r="B20" s="133"/>
      <c r="C20" s="133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</row>
    <row r="21" customFormat="false" ht="39.75" hidden="false" customHeight="true" outlineLevel="0" collapsed="false">
      <c r="A21" s="133"/>
      <c r="B21" s="133"/>
      <c r="C21" s="133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3" t="s">
        <v>2</v>
      </c>
    </row>
    <row r="22" s="78" customFormat="true" ht="11.25" hidden="false" customHeight="true" outlineLevel="0" collapsed="false">
      <c r="C22" s="101"/>
      <c r="AJ22" s="106" t="s">
        <v>64</v>
      </c>
    </row>
    <row r="23" customFormat="false" ht="6.75" hidden="false" customHeight="true" outlineLevel="0" collapsed="false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94"/>
      <c r="AK23" s="107"/>
    </row>
    <row r="24" customFormat="false" ht="13.5" hidden="true" customHeight="false" outlineLevel="0" collapsed="false">
      <c r="B24" s="86"/>
      <c r="C24" s="110" t="s">
        <v>68</v>
      </c>
      <c r="D24" s="107" t="s">
        <v>69</v>
      </c>
      <c r="E24" s="110" t="s">
        <v>30</v>
      </c>
      <c r="F24" s="110" t="s">
        <v>31</v>
      </c>
      <c r="G24" s="110" t="s">
        <v>32</v>
      </c>
      <c r="H24" s="110" t="s">
        <v>33</v>
      </c>
      <c r="I24" s="110" t="s">
        <v>34</v>
      </c>
      <c r="J24" s="110" t="s">
        <v>35</v>
      </c>
      <c r="K24" s="110" t="s">
        <v>36</v>
      </c>
      <c r="L24" s="110" t="s">
        <v>37</v>
      </c>
      <c r="M24" s="110" t="s">
        <v>38</v>
      </c>
      <c r="N24" s="110" t="s">
        <v>39</v>
      </c>
      <c r="O24" s="110" t="s">
        <v>40</v>
      </c>
      <c r="P24" s="110" t="s">
        <v>41</v>
      </c>
      <c r="Q24" s="110" t="s">
        <v>81</v>
      </c>
      <c r="R24" s="110" t="s">
        <v>82</v>
      </c>
      <c r="S24" s="110" t="s">
        <v>83</v>
      </c>
      <c r="T24" s="110" t="s">
        <v>84</v>
      </c>
      <c r="U24" s="110" t="s">
        <v>85</v>
      </c>
      <c r="V24" s="110" t="s">
        <v>86</v>
      </c>
      <c r="W24" s="110" t="s">
        <v>87</v>
      </c>
      <c r="X24" s="110" t="s">
        <v>88</v>
      </c>
      <c r="Y24" s="110" t="s">
        <v>89</v>
      </c>
      <c r="Z24" s="110" t="s">
        <v>90</v>
      </c>
      <c r="AA24" s="110" t="s">
        <v>91</v>
      </c>
      <c r="AB24" s="110" t="s">
        <v>92</v>
      </c>
      <c r="AC24" s="110" t="s">
        <v>93</v>
      </c>
      <c r="AD24" s="110" t="s">
        <v>94</v>
      </c>
      <c r="AE24" s="110" t="s">
        <v>95</v>
      </c>
      <c r="AF24" s="110" t="s">
        <v>96</v>
      </c>
      <c r="AG24" s="110" t="s">
        <v>97</v>
      </c>
      <c r="AH24" s="110" t="s">
        <v>98</v>
      </c>
      <c r="AI24" s="110" t="s">
        <v>99</v>
      </c>
      <c r="AJ24" s="111" t="s">
        <v>70</v>
      </c>
      <c r="AK24" s="107"/>
    </row>
    <row r="25" customFormat="false" ht="19.5" hidden="false" customHeight="true" outlineLevel="0" collapsed="false">
      <c r="B25" s="107"/>
      <c r="C25" s="112" t="s">
        <v>15</v>
      </c>
      <c r="D25" s="113"/>
      <c r="E25" s="114" t="n">
        <f aca="false">SUMIFS(tabela_registros[VALOR],tabela_registros[MÊS],$AE$1,tabela_registros[DIA],settotal3059718395107119131[[#Headers],[1]],tabela_registros[REGISTRO],DADOS!$N$5)</f>
        <v>0</v>
      </c>
      <c r="F25" s="114" t="n">
        <f aca="false">SUMIFS(tabela_registros[VALOR],tabela_registros[MÊS],$AE$1,tabela_registros[DIA],settotal3059718395107119131[[#Headers],[2]],tabela_registros[REGISTRO],DADOS!$N$5)</f>
        <v>0</v>
      </c>
      <c r="G25" s="114" t="n">
        <f aca="false">SUMIFS(tabela_registros[VALOR],tabela_registros[MÊS],$AE$1,tabela_registros[DIA],settotal3059718395107119131[[#Headers],[3]],tabela_registros[REGISTRO],DADOS!$N$5)</f>
        <v>0</v>
      </c>
      <c r="H25" s="114" t="n">
        <f aca="false">SUMIFS(tabela_registros[VALOR],tabela_registros[MÊS],$AE$1,tabela_registros[DIA],settotal3059718395107119131[[#Headers],[4]],tabela_registros[REGISTRO],DADOS!$N$5)</f>
        <v>0</v>
      </c>
      <c r="I25" s="114" t="n">
        <f aca="false">SUMIFS(tabela_registros[VALOR],tabela_registros[MÊS],$AE$1,tabela_registros[DIA],settotal3059718395107119131[[#Headers],[5]],tabela_registros[REGISTRO],DADOS!$N$5)</f>
        <v>0</v>
      </c>
      <c r="J25" s="114" t="n">
        <f aca="false">SUMIFS(tabela_registros[VALOR],tabela_registros[MÊS],$AE$1,tabela_registros[DIA],settotal3059718395107119131[[#Headers],[6]],tabela_registros[REGISTRO],DADOS!$N$5)</f>
        <v>0</v>
      </c>
      <c r="K25" s="114" t="n">
        <f aca="false">SUMIFS(tabela_registros[VALOR],tabela_registros[MÊS],$AE$1,tabela_registros[DIA],settotal3059718395107119131[[#Headers],[7]],tabela_registros[REGISTRO],DADOS!$N$5)</f>
        <v>0</v>
      </c>
      <c r="L25" s="114" t="n">
        <f aca="false">SUMIFS(tabela_registros[VALOR],tabela_registros[MÊS],$AE$1,tabela_registros[DIA],settotal3059718395107119131[[#Headers],[8]],tabela_registros[REGISTRO],DADOS!$N$5)</f>
        <v>0</v>
      </c>
      <c r="M25" s="114" t="n">
        <f aca="false">SUMIFS(tabela_registros[VALOR],tabela_registros[MÊS],$AE$1,tabela_registros[DIA],settotal3059718395107119131[[#Headers],[9]],tabela_registros[REGISTRO],DADOS!$N$5)</f>
        <v>0</v>
      </c>
      <c r="N25" s="114" t="n">
        <f aca="false">SUMIFS(tabela_registros[VALOR],tabela_registros[MÊS],$AE$1,tabela_registros[DIA],settotal3059718395107119131[[#Headers],[10]],tabela_registros[REGISTRO],DADOS!$N$5)</f>
        <v>0</v>
      </c>
      <c r="O25" s="114" t="n">
        <f aca="false">SUMIFS(tabela_registros[VALOR],tabela_registros[MÊS],$AE$1,tabela_registros[DIA],settotal3059718395107119131[[#Headers],[11]],tabela_registros[REGISTRO],DADOS!$N$5)</f>
        <v>0</v>
      </c>
      <c r="P25" s="114" t="n">
        <f aca="false">SUMIFS(tabela_registros[VALOR],tabela_registros[MÊS],$AE$1,tabela_registros[DIA],settotal3059718395107119131[[#Headers],[12]],tabela_registros[REGISTRO],DADOS!$N$5)</f>
        <v>0</v>
      </c>
      <c r="Q25" s="114" t="n">
        <f aca="false">SUMIFS(tabela_registros[VALOR],tabela_registros[MÊS],$AE$1,tabela_registros[DIA],settotal3059718395107119131[[#Headers],[13]],tabela_registros[REGISTRO],DADOS!$N$5)</f>
        <v>0</v>
      </c>
      <c r="R25" s="114" t="n">
        <f aca="false">SUMIFS(tabela_registros[VALOR],tabela_registros[MÊS],$AE$1,tabela_registros[DIA],settotal3059718395107119131[[#Headers],[14]],tabela_registros[REGISTRO],DADOS!$N$5)</f>
        <v>0</v>
      </c>
      <c r="S25" s="114" t="n">
        <f aca="false">SUMIFS(tabela_registros[VALOR],tabela_registros[MÊS],$AE$1,tabela_registros[DIA],settotal3059718395107119131[[#Headers],[15]],tabela_registros[REGISTRO],DADOS!$N$5)</f>
        <v>0</v>
      </c>
      <c r="T25" s="114" t="n">
        <f aca="false">SUMIFS(tabela_registros[VALOR],tabela_registros[MÊS],$AE$1,tabela_registros[DIA],settotal3059718395107119131[[#Headers],[16]],tabela_registros[REGISTRO],DADOS!$N$5)</f>
        <v>0</v>
      </c>
      <c r="U25" s="114" t="n">
        <f aca="false">SUMIFS(tabela_registros[VALOR],tabela_registros[MÊS],$AE$1,tabela_registros[DIA],settotal3059718395107119131[[#Headers],[17]],tabela_registros[REGISTRO],DADOS!$N$5)</f>
        <v>0</v>
      </c>
      <c r="V25" s="114" t="n">
        <f aca="false">SUMIFS(tabela_registros[VALOR],tabela_registros[MÊS],$AE$1,tabela_registros[DIA],settotal3059718395107119131[[#Headers],[18]],tabela_registros[REGISTRO],DADOS!$N$5)</f>
        <v>0</v>
      </c>
      <c r="W25" s="114" t="n">
        <f aca="false">SUMIFS(tabela_registros[VALOR],tabela_registros[MÊS],$AE$1,tabela_registros[DIA],settotal3059718395107119131[[#Headers],[19]],tabela_registros[REGISTRO],DADOS!$N$5)</f>
        <v>0</v>
      </c>
      <c r="X25" s="114" t="n">
        <f aca="false">SUMIFS(tabela_registros[VALOR],tabela_registros[MÊS],$AE$1,tabela_registros[DIA],settotal3059718395107119131[[#Headers],[20]],tabela_registros[REGISTRO],DADOS!$N$5)</f>
        <v>0</v>
      </c>
      <c r="Y25" s="114" t="n">
        <f aca="false">SUMIFS(tabela_registros[VALOR],tabela_registros[MÊS],$AE$1,tabela_registros[DIA],settotal3059718395107119131[[#Headers],[21]],tabela_registros[REGISTRO],DADOS!$N$5)</f>
        <v>0</v>
      </c>
      <c r="Z25" s="114" t="n">
        <f aca="false">SUMIFS(tabela_registros[VALOR],tabela_registros[MÊS],$AE$1,tabela_registros[DIA],settotal3059718395107119131[[#Headers],[22]],tabela_registros[REGISTRO],DADOS!$N$5)</f>
        <v>0</v>
      </c>
      <c r="AA25" s="114" t="n">
        <f aca="false">SUMIFS(tabela_registros[VALOR],tabela_registros[MÊS],$AE$1,tabela_registros[DIA],settotal3059718395107119131[[#Headers],[23]],tabela_registros[REGISTRO],DADOS!$N$5)</f>
        <v>0</v>
      </c>
      <c r="AB25" s="114" t="n">
        <f aca="false">SUMIFS(tabela_registros[VALOR],tabela_registros[MÊS],$AE$1,tabela_registros[DIA],settotal3059718395107119131[[#Headers],[24]],tabela_registros[REGISTRO],DADOS!$N$5)</f>
        <v>0</v>
      </c>
      <c r="AC25" s="114" t="n">
        <f aca="false">SUMIFS(tabela_registros[VALOR],tabela_registros[MÊS],$AE$1,tabela_registros[DIA],settotal3059718395107119131[[#Headers],[25]],tabela_registros[REGISTRO],DADOS!$N$5)</f>
        <v>0</v>
      </c>
      <c r="AD25" s="114" t="n">
        <f aca="false">SUMIFS(tabela_registros[VALOR],tabela_registros[MÊS],$AE$1,tabela_registros[DIA],settotal3059718395107119131[[#Headers],[26]],tabela_registros[REGISTRO],DADOS!$N$5)</f>
        <v>0</v>
      </c>
      <c r="AE25" s="114" t="n">
        <f aca="false">SUMIFS(tabela_registros[VALOR],tabela_registros[MÊS],$AE$1,tabela_registros[DIA],settotal3059718395107119131[[#Headers],[27]],tabela_registros[REGISTRO],DADOS!$N$5)</f>
        <v>0</v>
      </c>
      <c r="AF25" s="114" t="n">
        <f aca="false">SUMIFS(tabela_registros[VALOR],tabela_registros[MÊS],$AE$1,tabela_registros[DIA],settotal3059718395107119131[[#Headers],[28]],tabela_registros[REGISTRO],DADOS!$N$5)</f>
        <v>0</v>
      </c>
      <c r="AG25" s="114" t="n">
        <f aca="false">SUMIFS(tabela_registros[VALOR],tabela_registros[MÊS],$AE$1,tabela_registros[DIA],settotal3059718395107119131[[#Headers],[29]],tabela_registros[REGISTRO],DADOS!$N$5)</f>
        <v>0</v>
      </c>
      <c r="AH25" s="115" t="n">
        <f aca="false">SUMIFS(tabela_registros[VALOR],tabela_registros[MÊS],$AE$1,tabela_registros[DIA],settotal3059718395107119131[[#Headers],[30]],tabela_registros[REGISTRO],DADOS!$N$5)</f>
        <v>0</v>
      </c>
      <c r="AI25" s="116" t="n">
        <f aca="false">SUMIFS(tabela_registros[VALOR],tabela_registros[MÊS],$AE$1,tabela_registros[DIA],settotal3059718395107119131[[#Headers],[31]],tabela_registros[REGISTRO],DADOS!$N$5)</f>
        <v>0</v>
      </c>
      <c r="AJ25" s="116" t="n">
        <f aca="false">SUM(E25:AI25)</f>
        <v>0</v>
      </c>
      <c r="AK25" s="107"/>
    </row>
    <row r="26" customFormat="false" ht="18" hidden="false" customHeight="true" outlineLevel="0" collapsed="false">
      <c r="B26" s="107"/>
      <c r="C26" s="135" t="s">
        <v>14</v>
      </c>
      <c r="D26" s="136"/>
      <c r="E26" s="119" t="n">
        <f aca="false">SUMIFS(tabela_registros[VALOR],tabela_registros[MÊS],$AE$1,tabela_registros[DIA],settotal3059718395107119131[[#Headers],[1]],tabela_registros[REGISTRO],DADOS!$N$6)</f>
        <v>0</v>
      </c>
      <c r="F26" s="119" t="n">
        <f aca="false">SUMIFS(tabela_registros[VALOR],tabela_registros[MÊS],$AE$1,tabela_registros[DIA],settotal3059718395107119131[[#Headers],[2]],tabela_registros[REGISTRO],DADOS!$N$6)</f>
        <v>0</v>
      </c>
      <c r="G26" s="119" t="n">
        <f aca="false">SUMIFS(tabela_registros[VALOR],tabela_registros[MÊS],$AE$1,tabela_registros[DIA],settotal3059718395107119131[[#Headers],[3]],tabela_registros[REGISTRO],DADOS!$N$6)</f>
        <v>0</v>
      </c>
      <c r="H26" s="119" t="n">
        <f aca="false">SUMIFS(tabela_registros[VALOR],tabela_registros[MÊS],$AE$1,tabela_registros[DIA],settotal3059718395107119131[[#Headers],[4]],tabela_registros[REGISTRO],DADOS!$N$6)</f>
        <v>0</v>
      </c>
      <c r="I26" s="119" t="n">
        <f aca="false">SUMIFS(tabela_registros[VALOR],tabela_registros[MÊS],$AE$1,tabela_registros[DIA],settotal3059718395107119131[[#Headers],[5]],tabela_registros[REGISTRO],DADOS!$N$6)</f>
        <v>0</v>
      </c>
      <c r="J26" s="119" t="n">
        <f aca="false">SUMIFS(tabela_registros[VALOR],tabela_registros[MÊS],$AE$1,tabela_registros[DIA],settotal3059718395107119131[[#Headers],[6]],tabela_registros[REGISTRO],DADOS!$N$6)</f>
        <v>0</v>
      </c>
      <c r="K26" s="119" t="n">
        <f aca="false">SUMIFS(tabela_registros[VALOR],tabela_registros[MÊS],$AE$1,tabela_registros[DIA],settotal3059718395107119131[[#Headers],[7]],tabela_registros[REGISTRO],DADOS!$N$6)</f>
        <v>0</v>
      </c>
      <c r="L26" s="119" t="n">
        <f aca="false">SUMIFS(tabela_registros[VALOR],tabela_registros[MÊS],$AE$1,tabela_registros[DIA],settotal3059718395107119131[[#Headers],[8]],tabela_registros[REGISTRO],DADOS!$N$6)</f>
        <v>0</v>
      </c>
      <c r="M26" s="119" t="n">
        <f aca="false">SUMIFS(tabela_registros[VALOR],tabela_registros[MÊS],$AE$1,tabela_registros[DIA],settotal3059718395107119131[[#Headers],[9]],tabela_registros[REGISTRO],DADOS!$N$6)</f>
        <v>0</v>
      </c>
      <c r="N26" s="119" t="n">
        <f aca="false">SUMIFS(tabela_registros[VALOR],tabela_registros[MÊS],$AE$1,tabela_registros[DIA],settotal3059718395107119131[[#Headers],[10]],tabela_registros[REGISTRO],DADOS!$N$6)</f>
        <v>0</v>
      </c>
      <c r="O26" s="119" t="n">
        <f aca="false">SUMIFS(tabela_registros[VALOR],tabela_registros[MÊS],$AE$1,tabela_registros[DIA],settotal3059718395107119131[[#Headers],[11]],tabela_registros[REGISTRO],DADOS!$N$6)</f>
        <v>0</v>
      </c>
      <c r="P26" s="119" t="n">
        <f aca="false">SUMIFS(tabela_registros[VALOR],tabela_registros[MÊS],$AE$1,tabela_registros[DIA],settotal3059718395107119131[[#Headers],[12]],tabela_registros[REGISTRO],DADOS!$N$6)</f>
        <v>0</v>
      </c>
      <c r="Q26" s="119" t="n">
        <f aca="false">SUMIFS(tabela_registros[VALOR],tabela_registros[MÊS],$AE$1,tabela_registros[DIA],settotal3059718395107119131[[#Headers],[13]],tabela_registros[REGISTRO],DADOS!$N$6)</f>
        <v>0</v>
      </c>
      <c r="R26" s="119" t="n">
        <f aca="false">SUMIFS(tabela_registros[VALOR],tabela_registros[MÊS],$AE$1,tabela_registros[DIA],settotal3059718395107119131[[#Headers],[14]],tabela_registros[REGISTRO],DADOS!$N$6)</f>
        <v>0</v>
      </c>
      <c r="S26" s="119" t="n">
        <f aca="false">SUMIFS(tabela_registros[VALOR],tabela_registros[MÊS],$AE$1,tabela_registros[DIA],settotal3059718395107119131[[#Headers],[15]],tabela_registros[REGISTRO],DADOS!$N$6)</f>
        <v>0</v>
      </c>
      <c r="T26" s="119" t="n">
        <f aca="false">SUMIFS(tabela_registros[VALOR],tabela_registros[MÊS],$AE$1,tabela_registros[DIA],settotal3059718395107119131[[#Headers],[16]],tabela_registros[REGISTRO],DADOS!$N$6)</f>
        <v>0</v>
      </c>
      <c r="U26" s="119" t="n">
        <f aca="false">SUMIFS(tabela_registros[VALOR],tabela_registros[MÊS],$AE$1,tabela_registros[DIA],settotal3059718395107119131[[#Headers],[17]],tabela_registros[REGISTRO],DADOS!$N$6)</f>
        <v>0</v>
      </c>
      <c r="V26" s="119" t="n">
        <f aca="false">SUMIFS(tabela_registros[VALOR],tabela_registros[MÊS],$AE$1,tabela_registros[DIA],settotal3059718395107119131[[#Headers],[18]],tabela_registros[REGISTRO],DADOS!$N$6)</f>
        <v>0</v>
      </c>
      <c r="W26" s="119" t="n">
        <f aca="false">SUMIFS(tabela_registros[VALOR],tabela_registros[MÊS],$AE$1,tabela_registros[DIA],settotal3059718395107119131[[#Headers],[19]],tabela_registros[REGISTRO],DADOS!$N$6)</f>
        <v>0</v>
      </c>
      <c r="X26" s="119" t="n">
        <f aca="false">SUMIFS(tabela_registros[VALOR],tabela_registros[MÊS],$AE$1,tabela_registros[DIA],settotal3059718395107119131[[#Headers],[20]],tabela_registros[REGISTRO],DADOS!$N$6)</f>
        <v>0</v>
      </c>
      <c r="Y26" s="119" t="n">
        <f aca="false">SUMIFS(tabela_registros[VALOR],tabela_registros[MÊS],$AE$1,tabela_registros[DIA],settotal3059718395107119131[[#Headers],[21]],tabela_registros[REGISTRO],DADOS!$N$6)</f>
        <v>0</v>
      </c>
      <c r="Z26" s="119" t="n">
        <f aca="false">SUMIFS(tabela_registros[VALOR],tabela_registros[MÊS],$AE$1,tabela_registros[DIA],settotal3059718395107119131[[#Headers],[22]],tabela_registros[REGISTRO],DADOS!$N$6)</f>
        <v>0</v>
      </c>
      <c r="AA26" s="119" t="n">
        <f aca="false">SUMIFS(tabela_registros[VALOR],tabela_registros[MÊS],$AE$1,tabela_registros[DIA],settotal3059718395107119131[[#Headers],[23]],tabela_registros[REGISTRO],DADOS!$N$6)</f>
        <v>0</v>
      </c>
      <c r="AB26" s="119" t="n">
        <f aca="false">SUMIFS(tabela_registros[VALOR],tabela_registros[MÊS],$AE$1,tabela_registros[DIA],settotal3059718395107119131[[#Headers],[24]],tabela_registros[REGISTRO],DADOS!$N$6)</f>
        <v>0</v>
      </c>
      <c r="AC26" s="119" t="n">
        <f aca="false">SUMIFS(tabela_registros[VALOR],tabela_registros[MÊS],$AE$1,tabela_registros[DIA],settotal3059718395107119131[[#Headers],[25]],tabela_registros[REGISTRO],DADOS!$N$6)</f>
        <v>0</v>
      </c>
      <c r="AD26" s="119" t="n">
        <f aca="false">SUMIFS(tabela_registros[VALOR],tabela_registros[MÊS],$AE$1,tabela_registros[DIA],settotal3059718395107119131[[#Headers],[26]],tabela_registros[REGISTRO],DADOS!$N$6)</f>
        <v>0</v>
      </c>
      <c r="AE26" s="119" t="n">
        <f aca="false">SUMIFS(tabela_registros[VALOR],tabela_registros[MÊS],$AE$1,tabela_registros[DIA],settotal3059718395107119131[[#Headers],[27]],tabela_registros[REGISTRO],DADOS!$N$6)</f>
        <v>0</v>
      </c>
      <c r="AF26" s="119" t="n">
        <f aca="false">SUMIFS(tabela_registros[VALOR],tabela_registros[MÊS],$AE$1,tabela_registros[DIA],settotal3059718395107119131[[#Headers],[28]],tabela_registros[REGISTRO],DADOS!$N$6)</f>
        <v>0</v>
      </c>
      <c r="AG26" s="119" t="n">
        <f aca="false">SUMIFS(tabela_registros[VALOR],tabela_registros[MÊS],$AE$1,tabela_registros[DIA],settotal3059718395107119131[[#Headers],[29]],tabela_registros[REGISTRO],DADOS!$N$6)</f>
        <v>0</v>
      </c>
      <c r="AH26" s="120" t="n">
        <f aca="false">SUMIFS(tabela_registros[VALOR],tabela_registros[MÊS],$AE$1,tabela_registros[DIA],settotal3059718395107119131[[#Headers],[30]],tabela_registros[REGISTRO],DADOS!$N$6)</f>
        <v>0</v>
      </c>
      <c r="AI26" s="121" t="n">
        <f aca="false">SUMIFS(tabela_registros[VALOR],tabela_registros[MÊS],$AE$1,tabela_registros[DIA],settotal3059718395107119131[[#Headers],[31]],tabela_registros[REGISTRO],DADOS!$N$6)</f>
        <v>0</v>
      </c>
      <c r="AJ26" s="121" t="n">
        <f aca="false">SUM(E26:AI26)</f>
        <v>0</v>
      </c>
      <c r="AK26" s="107"/>
    </row>
    <row r="27" s="122" customFormat="true" ht="21" hidden="false" customHeight="true" outlineLevel="0" collapsed="false">
      <c r="B27" s="123"/>
      <c r="C27" s="124" t="s">
        <v>2</v>
      </c>
      <c r="D27" s="137"/>
      <c r="E27" s="126" t="n">
        <f aca="false">SUM(E25:E26)</f>
        <v>0</v>
      </c>
      <c r="F27" s="127" t="n">
        <f aca="false">SUM(F25:F26)+setinvestir2158708294106118130[[#This Row],[1]]</f>
        <v>0</v>
      </c>
      <c r="G27" s="127" t="n">
        <f aca="false">SUM(G25:G26)+setinvestir2158708294106118130[[#This Row],[2]]</f>
        <v>0</v>
      </c>
      <c r="H27" s="127" t="n">
        <f aca="false">SUM(H25:H26)+setinvestir2158708294106118130[[#This Row],[3]]</f>
        <v>0</v>
      </c>
      <c r="I27" s="127" t="n">
        <f aca="false">SUM(I25:I26)+setinvestir2158708294106118130[[#This Row],[4]]</f>
        <v>0</v>
      </c>
      <c r="J27" s="127" t="n">
        <f aca="false">SUM(J25:J26)+setinvestir2158708294106118130[[#This Row],[5]]</f>
        <v>0</v>
      </c>
      <c r="K27" s="127" t="n">
        <f aca="false">SUM(K25:K26)+setinvestir2158708294106118130[[#This Row],[6]]</f>
        <v>0</v>
      </c>
      <c r="L27" s="127" t="n">
        <f aca="false">SUM(L25:L26)+setinvestir2158708294106118130[[#This Row],[7]]</f>
        <v>0</v>
      </c>
      <c r="M27" s="127" t="n">
        <f aca="false">SUM(M25:M26)+setinvestir2158708294106118130[[#This Row],[8]]</f>
        <v>0</v>
      </c>
      <c r="N27" s="127" t="n">
        <f aca="false">SUM(N25:N26)+setinvestir2158708294106118130[[#This Row],[9]]</f>
        <v>0</v>
      </c>
      <c r="O27" s="127" t="n">
        <f aca="false">SUM(O25:O26)+setinvestir2158708294106118130[[#This Row],[10]]</f>
        <v>0</v>
      </c>
      <c r="P27" s="127" t="n">
        <f aca="false">SUM(P25:P26)+setinvestir2158708294106118130[[#This Row],[11]]</f>
        <v>0</v>
      </c>
      <c r="Q27" s="127" t="n">
        <f aca="false">SUM(Q25:Q26)+setinvestir2158708294106118130[[#This Row],[12]]</f>
        <v>0</v>
      </c>
      <c r="R27" s="127" t="n">
        <f aca="false">SUM(R25:R26)+setinvestir2158708294106118130[[#This Row],[13]]</f>
        <v>0</v>
      </c>
      <c r="S27" s="127" t="n">
        <f aca="false">SUM(S25:S26)+setinvestir2158708294106118130[[#This Row],[14]]</f>
        <v>0</v>
      </c>
      <c r="T27" s="127" t="n">
        <f aca="false">SUM(T25:T26)+setinvestir2158708294106118130[[#This Row],[15]]</f>
        <v>0</v>
      </c>
      <c r="U27" s="127" t="n">
        <f aca="false">SUM(U25:U26)+setinvestir2158708294106118130[[#This Row],[16]]</f>
        <v>0</v>
      </c>
      <c r="V27" s="127" t="n">
        <f aca="false">SUM(V25:V26)+setinvestir2158708294106118130[[#This Row],[17]]</f>
        <v>0</v>
      </c>
      <c r="W27" s="127" t="n">
        <f aca="false">SUM(W25:W26)+setinvestir2158708294106118130[[#This Row],[18]]</f>
        <v>0</v>
      </c>
      <c r="X27" s="127" t="n">
        <f aca="false">SUM(X25:X26)+setinvestir2158708294106118130[[#This Row],[19]]</f>
        <v>0</v>
      </c>
      <c r="Y27" s="127" t="n">
        <f aca="false">SUM(Y25:Y26)+setinvestir2158708294106118130[[#This Row],[20]]</f>
        <v>0</v>
      </c>
      <c r="Z27" s="127" t="n">
        <f aca="false">SUM(Z25:Z26)+setinvestir2158708294106118130[[#This Row],[21]]</f>
        <v>0</v>
      </c>
      <c r="AA27" s="127" t="n">
        <f aca="false">SUM(AA25:AA26)+setinvestir2158708294106118130[[#This Row],[22]]</f>
        <v>0</v>
      </c>
      <c r="AB27" s="127" t="n">
        <f aca="false">SUM(AB25:AB26)+setinvestir2158708294106118130[[#This Row],[23]]</f>
        <v>0</v>
      </c>
      <c r="AC27" s="127" t="n">
        <f aca="false">SUM(AC25:AC26)+setinvestir2158708294106118130[[#This Row],[24]]</f>
        <v>0</v>
      </c>
      <c r="AD27" s="127" t="n">
        <f aca="false">SUM(AD25:AD26)+setinvestir2158708294106118130[[#This Row],[25]]</f>
        <v>0</v>
      </c>
      <c r="AE27" s="127" t="n">
        <f aca="false">SUM(AE25:AE26)+setinvestir2158708294106118130[[#This Row],[26]]</f>
        <v>0</v>
      </c>
      <c r="AF27" s="127" t="n">
        <f aca="false">SUM(AF25:AF26)+setinvestir2158708294106118130[[#This Row],[27]]</f>
        <v>0</v>
      </c>
      <c r="AG27" s="127" t="n">
        <f aca="false">SUM(AG25:AG26)+setinvestir2158708294106118130[[#This Row],[28]]</f>
        <v>0</v>
      </c>
      <c r="AH27" s="128" t="n">
        <f aca="false">SUM(AH25:AH26)+setinvestir2158708294106118130[[#This Row],[29]]</f>
        <v>0</v>
      </c>
      <c r="AI27" s="129" t="n">
        <f aca="false">SUM(AI25:AI26)+setinvestir2158708294106118130[[#This Row],[30]]</f>
        <v>0</v>
      </c>
      <c r="AJ27" s="129" t="n">
        <f aca="false">setinvestir2158708294106118130[[#This Row],[31]]</f>
        <v>0</v>
      </c>
      <c r="AK27" s="123"/>
    </row>
    <row r="28" customFormat="false" ht="6.75" hidden="true" customHeight="true" outlineLevel="0" collapsed="false">
      <c r="B28" s="107"/>
      <c r="C28" s="78" t="s">
        <v>73</v>
      </c>
      <c r="E28" s="138" t="n">
        <f aca="false">SUBTOTAL(109,setinvestir2158708294106118130[1])</f>
        <v>0</v>
      </c>
      <c r="F28" s="138" t="n">
        <f aca="false">SUBTOTAL(109,setinvestir2158708294106118130[2])</f>
        <v>0</v>
      </c>
      <c r="G28" s="138" t="n">
        <f aca="false">SUBTOTAL(109,setinvestir2158708294106118130[3])</f>
        <v>0</v>
      </c>
      <c r="H28" s="138" t="n">
        <f aca="false">SUBTOTAL(109,setinvestir2158708294106118130[4])</f>
        <v>0</v>
      </c>
      <c r="I28" s="138" t="n">
        <f aca="false">SUBTOTAL(109,setinvestir2158708294106118130[5])</f>
        <v>0</v>
      </c>
      <c r="J28" s="138" t="n">
        <f aca="false">SUBTOTAL(109,setinvestir2158708294106118130[6])</f>
        <v>0</v>
      </c>
      <c r="K28" s="138" t="n">
        <f aca="false">SUBTOTAL(109,setinvestir2158708294106118130[7])</f>
        <v>0</v>
      </c>
      <c r="L28" s="138" t="n">
        <f aca="false">SUBTOTAL(109,setinvestir2158708294106118130[8])</f>
        <v>0</v>
      </c>
      <c r="M28" s="138" t="n">
        <f aca="false">SUBTOTAL(109,setinvestir2158708294106118130[9])</f>
        <v>0</v>
      </c>
      <c r="N28" s="138" t="n">
        <f aca="false">SUBTOTAL(109,setinvestir2158708294106118130[10])</f>
        <v>0</v>
      </c>
      <c r="O28" s="138" t="n">
        <f aca="false">SUBTOTAL(109,setinvestir2158708294106118130[11])</f>
        <v>0</v>
      </c>
      <c r="P28" s="138" t="n">
        <f aca="false">SUBTOTAL(109,setinvestir2158708294106118130[12])</f>
        <v>0</v>
      </c>
      <c r="Q28" s="138" t="n">
        <f aca="false">SUBTOTAL(109,setinvestir2158708294106118130[13])</f>
        <v>0</v>
      </c>
      <c r="R28" s="138" t="n">
        <f aca="false">SUBTOTAL(109,setinvestir2158708294106118130[14])</f>
        <v>0</v>
      </c>
      <c r="S28" s="138" t="n">
        <f aca="false">SUBTOTAL(109,setinvestir2158708294106118130[15])</f>
        <v>0</v>
      </c>
      <c r="T28" s="138" t="n">
        <f aca="false">SUBTOTAL(109,setinvestir2158708294106118130[16])</f>
        <v>0</v>
      </c>
      <c r="U28" s="138" t="n">
        <f aca="false">SUBTOTAL(109,setinvestir2158708294106118130[17])</f>
        <v>0</v>
      </c>
      <c r="V28" s="138" t="n">
        <f aca="false">SUBTOTAL(109,setinvestir2158708294106118130[18])</f>
        <v>0</v>
      </c>
      <c r="W28" s="138" t="n">
        <f aca="false">SUBTOTAL(109,setinvestir2158708294106118130[19])</f>
        <v>0</v>
      </c>
      <c r="X28" s="138" t="n">
        <f aca="false">SUBTOTAL(109,setinvestir2158708294106118130[20])</f>
        <v>0</v>
      </c>
      <c r="Y28" s="138" t="n">
        <f aca="false">SUBTOTAL(109,setinvestir2158708294106118130[21])</f>
        <v>0</v>
      </c>
      <c r="Z28" s="138" t="n">
        <f aca="false">SUBTOTAL(109,setinvestir2158708294106118130[22])</f>
        <v>0</v>
      </c>
      <c r="AA28" s="138" t="n">
        <f aca="false">SUBTOTAL(109,setinvestir2158708294106118130[23])</f>
        <v>0</v>
      </c>
      <c r="AB28" s="138" t="n">
        <f aca="false">SUBTOTAL(109,setinvestir2158708294106118130[24])</f>
        <v>0</v>
      </c>
      <c r="AC28" s="138" t="n">
        <f aca="false">SUBTOTAL(109,setinvestir2158708294106118130[25])</f>
        <v>0</v>
      </c>
      <c r="AD28" s="138" t="n">
        <f aca="false">SUBTOTAL(109,setinvestir2158708294106118130[26])</f>
        <v>0</v>
      </c>
      <c r="AE28" s="138" t="n">
        <f aca="false">SUBTOTAL(109,setinvestir2158708294106118130[27])</f>
        <v>0</v>
      </c>
      <c r="AF28" s="138" t="n">
        <f aca="false">SUBTOTAL(109,setinvestir2158708294106118130[28])</f>
        <v>0</v>
      </c>
      <c r="AG28" s="138" t="n">
        <f aca="false">SUBTOTAL(109,setinvestir2158708294106118130[29])</f>
        <v>0</v>
      </c>
      <c r="AH28" s="138" t="n">
        <f aca="false">SUBTOTAL(109,setinvestir2158708294106118130[30])</f>
        <v>0</v>
      </c>
      <c r="AI28" s="138" t="n">
        <f aca="false">SUBTOTAL(109,setinvestir2158708294106118130[31])</f>
        <v>0</v>
      </c>
      <c r="AJ28" s="138" t="n">
        <f aca="false">SUBTOTAL(109,setinvestir2158708294106118130[TOTAL (R$)])</f>
        <v>0</v>
      </c>
      <c r="AK28" s="107"/>
    </row>
    <row r="29" customFormat="false" ht="6.75" hidden="false" customHeight="true" outlineLevel="0" collapsed="false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94"/>
      <c r="AJ29" s="107"/>
      <c r="AK29" s="107"/>
    </row>
    <row r="30" customFormat="false" ht="12.75" hidden="false" customHeight="false" outlineLevel="0" collapsed="false">
      <c r="C30" s="133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</row>
    <row r="31" customFormat="false" ht="12" hidden="false" customHeight="false" outlineLevel="0" collapsed="false">
      <c r="C31" s="133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</row>
    <row r="32" customFormat="false" ht="12" hidden="false" customHeight="false" outlineLevel="0" collapsed="false">
      <c r="C32" s="133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</row>
    <row r="33" customFormat="false" ht="39.75" hidden="false" customHeight="true" outlineLevel="0" collapsed="false">
      <c r="C33" s="133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3" t="s">
        <v>2</v>
      </c>
    </row>
    <row r="34" s="78" customFormat="true" ht="11.25" hidden="false" customHeight="true" outlineLevel="0" collapsed="false">
      <c r="C34" s="101"/>
      <c r="AJ34" s="106" t="s">
        <v>64</v>
      </c>
    </row>
    <row r="35" customFormat="false" ht="6.75" hidden="false" customHeight="true" outlineLevel="0" collapsed="false">
      <c r="B35" s="139"/>
      <c r="C35" s="140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212"/>
      <c r="AK35" s="139"/>
    </row>
    <row r="36" customFormat="false" ht="12.75" hidden="true" customHeight="false" outlineLevel="0" collapsed="false">
      <c r="B36" s="86"/>
      <c r="C36" s="109" t="s">
        <v>74</v>
      </c>
      <c r="D36" s="110" t="s">
        <v>69</v>
      </c>
      <c r="E36" s="110" t="s">
        <v>30</v>
      </c>
      <c r="F36" s="110" t="s">
        <v>31</v>
      </c>
      <c r="G36" s="110" t="s">
        <v>32</v>
      </c>
      <c r="H36" s="110" t="s">
        <v>33</v>
      </c>
      <c r="I36" s="110" t="s">
        <v>34</v>
      </c>
      <c r="J36" s="110" t="s">
        <v>35</v>
      </c>
      <c r="K36" s="110" t="s">
        <v>36</v>
      </c>
      <c r="L36" s="110" t="s">
        <v>37</v>
      </c>
      <c r="M36" s="110" t="s">
        <v>38</v>
      </c>
      <c r="N36" s="110" t="s">
        <v>39</v>
      </c>
      <c r="O36" s="110" t="s">
        <v>40</v>
      </c>
      <c r="P36" s="110" t="s">
        <v>41</v>
      </c>
      <c r="Q36" s="110" t="s">
        <v>81</v>
      </c>
      <c r="R36" s="110" t="s">
        <v>82</v>
      </c>
      <c r="S36" s="110" t="s">
        <v>83</v>
      </c>
      <c r="T36" s="110" t="s">
        <v>84</v>
      </c>
      <c r="U36" s="110" t="s">
        <v>85</v>
      </c>
      <c r="V36" s="110" t="s">
        <v>86</v>
      </c>
      <c r="W36" s="110" t="s">
        <v>87</v>
      </c>
      <c r="X36" s="110" t="s">
        <v>88</v>
      </c>
      <c r="Y36" s="110" t="s">
        <v>89</v>
      </c>
      <c r="Z36" s="110" t="s">
        <v>90</v>
      </c>
      <c r="AA36" s="110" t="s">
        <v>91</v>
      </c>
      <c r="AB36" s="110" t="s">
        <v>92</v>
      </c>
      <c r="AC36" s="110" t="s">
        <v>93</v>
      </c>
      <c r="AD36" s="110" t="s">
        <v>94</v>
      </c>
      <c r="AE36" s="110" t="s">
        <v>95</v>
      </c>
      <c r="AF36" s="110" t="s">
        <v>96</v>
      </c>
      <c r="AG36" s="110" t="s">
        <v>97</v>
      </c>
      <c r="AH36" s="110" t="s">
        <v>98</v>
      </c>
      <c r="AI36" s="110" t="s">
        <v>99</v>
      </c>
      <c r="AJ36" s="142" t="s">
        <v>2</v>
      </c>
      <c r="AK36" s="86" t="s">
        <v>75</v>
      </c>
    </row>
    <row r="37" customFormat="false" ht="19.5" hidden="false" customHeight="true" outlineLevel="0" collapsed="false">
      <c r="B37" s="143"/>
      <c r="C37" s="144" t="str">
        <f aca="false">DADOS!$R$3</f>
        <v>💧 ÁGUA</v>
      </c>
      <c r="D37" s="145" t="str">
        <f aca="false">IF(despesafixaconsolidadoset[[#This Row],[TOTAL]]=0,"",IF(OR(despesafixaconsolidadoset[[#This Row],[TOTAL]]=LARGE($AJ$37:$AJ$50,1),despesafixaconsolidadoset[[#This Row],[TOTAL]]=LARGE($AJ$37:$AJ$50,2),despesafixaconsolidadoset[[#This Row],[TOTAL]]=LARGE($AJ$37:$AJ$50,3),despesafixaconsolidadoset[[#This Row],[TOTAL]]=LARGE($AJ$37:$AJ$50,4),despesafixaconsolidadoset[[#This Row],[TOTAL]]=LARGE($AJ$37:$AJ$50,5)),DADOS!$I$8,""))</f>
        <v/>
      </c>
      <c r="E37" s="146" t="n">
        <f aca="false">SUMIFS(tabela_registros[VALOR],tabela_registros[MÊS],$AE$1,tabela_registros[DIA],settotal3059718395107119131[[#Headers],[1]],tabela_registros[REGISTRO],DADOS!$N$4,tabela_registros[TIPO],DADOS!$P$3,tabela_registros[CATEGORIA],despesafixaconsolidadoset[[#This Row],[DESPESA FIXA]])</f>
        <v>0</v>
      </c>
      <c r="F37" s="114" t="n">
        <f aca="false">SUMIFS(tabela_registros[VALOR],tabela_registros[MÊS],$AE$1,tabela_registros[DIA],settotal3059718395107119131[[#Headers],[2]],tabela_registros[REGISTRO],DADOS!$N$4,tabela_registros[TIPO],DADOS!$P$3,tabela_registros[CATEGORIA],despesafixaconsolidadoset[[#This Row],[DESPESA FIXA]])</f>
        <v>0</v>
      </c>
      <c r="G37" s="114" t="n">
        <f aca="false">SUMIFS(tabela_registros[VALOR],tabela_registros[MÊS],$AE$1,tabela_registros[DIA],settotal3059718395107119131[[#Headers],[3]],tabela_registros[REGISTRO],DADOS!$N$4,tabela_registros[TIPO],DADOS!$P$3,tabela_registros[CATEGORIA],despesafixaconsolidadoset[[#This Row],[DESPESA FIXA]])</f>
        <v>0</v>
      </c>
      <c r="H37" s="114" t="n">
        <f aca="false">SUMIFS(tabela_registros[VALOR],tabela_registros[MÊS],$AE$1,tabela_registros[DIA],settotal3059718395107119131[[#Headers],[4]],tabela_registros[REGISTRO],DADOS!$N$4,tabela_registros[TIPO],DADOS!$P$3,tabela_registros[CATEGORIA],despesafixaconsolidadoset[[#This Row],[DESPESA FIXA]])</f>
        <v>0</v>
      </c>
      <c r="I37" s="114" t="n">
        <f aca="false">SUMIFS(tabela_registros[VALOR],tabela_registros[MÊS],$AE$1,tabela_registros[DIA],settotal3059718395107119131[[#Headers],[5]],tabela_registros[REGISTRO],DADOS!$N$4,tabela_registros[TIPO],DADOS!$P$3,tabela_registros[CATEGORIA],despesafixaconsolidadoset[[#This Row],[DESPESA FIXA]])</f>
        <v>0</v>
      </c>
      <c r="J37" s="114" t="n">
        <f aca="false">SUMIFS(tabela_registros[VALOR],tabela_registros[MÊS],$AE$1,tabela_registros[DIA],settotal3059718395107119131[[#Headers],[6]],tabela_registros[REGISTRO],DADOS!$N$4,tabela_registros[TIPO],DADOS!$P$3,tabela_registros[CATEGORIA],despesafixaconsolidadoset[[#This Row],[DESPESA FIXA]])</f>
        <v>0</v>
      </c>
      <c r="K37" s="114" t="n">
        <f aca="false">SUMIFS(tabela_registros[VALOR],tabela_registros[MÊS],$AE$1,tabela_registros[DIA],settotal3059718395107119131[[#Headers],[7]],tabela_registros[REGISTRO],DADOS!$N$4,tabela_registros[TIPO],DADOS!$P$3,tabela_registros[CATEGORIA],despesafixaconsolidadoset[[#This Row],[DESPESA FIXA]])</f>
        <v>0</v>
      </c>
      <c r="L37" s="114" t="n">
        <f aca="false">SUMIFS(tabela_registros[VALOR],tabela_registros[MÊS],$AE$1,tabela_registros[DIA],settotal3059718395107119131[[#Headers],[8]],tabela_registros[REGISTRO],DADOS!$N$4,tabela_registros[TIPO],DADOS!$P$3,tabela_registros[CATEGORIA],despesafixaconsolidadoset[[#This Row],[DESPESA FIXA]])</f>
        <v>0</v>
      </c>
      <c r="M37" s="114" t="n">
        <f aca="false">SUMIFS(tabela_registros[VALOR],tabela_registros[MÊS],$AE$1,tabela_registros[DIA],settotal3059718395107119131[[#Headers],[9]],tabela_registros[REGISTRO],DADOS!$N$4,tabela_registros[TIPO],DADOS!$P$3,tabela_registros[CATEGORIA],despesafixaconsolidadoset[[#This Row],[DESPESA FIXA]])</f>
        <v>0</v>
      </c>
      <c r="N37" s="114" t="n">
        <f aca="false">SUMIFS(tabela_registros[VALOR],tabela_registros[MÊS],$AE$1,tabela_registros[DIA],settotal3059718395107119131[[#Headers],[10]],tabela_registros[REGISTRO],DADOS!$N$4,tabela_registros[TIPO],DADOS!$P$3,tabela_registros[CATEGORIA],despesafixaconsolidadoset[[#This Row],[DESPESA FIXA]])</f>
        <v>0</v>
      </c>
      <c r="O37" s="114" t="n">
        <f aca="false">SUMIFS(tabela_registros[VALOR],tabela_registros[MÊS],$AE$1,tabela_registros[DIA],settotal3059718395107119131[[#Headers],[11]],tabela_registros[REGISTRO],DADOS!$N$4,tabela_registros[TIPO],DADOS!$P$3,tabela_registros[CATEGORIA],despesafixaconsolidadoset[[#This Row],[DESPESA FIXA]])</f>
        <v>0</v>
      </c>
      <c r="P37" s="114" t="n">
        <f aca="false">SUMIFS(tabela_registros[VALOR],tabela_registros[MÊS],$AE$1,tabela_registros[DIA],settotal3059718395107119131[[#Headers],[12]],tabela_registros[REGISTRO],DADOS!$N$4,tabela_registros[TIPO],DADOS!$P$3,tabela_registros[CATEGORIA],despesafixaconsolidadoset[[#This Row],[DESPESA FIXA]])</f>
        <v>0</v>
      </c>
      <c r="Q37" s="114" t="n">
        <f aca="false">SUMIFS(tabela_registros[VALOR],tabela_registros[MÊS],$AE$1,tabela_registros[DIA],settotal3059718395107119131[[#Headers],[13]],tabela_registros[REGISTRO],DADOS!$N$4,tabela_registros[TIPO],DADOS!$P$3,tabela_registros[CATEGORIA],despesafixaconsolidadoset[[#This Row],[DESPESA FIXA]])</f>
        <v>0</v>
      </c>
      <c r="R37" s="114" t="n">
        <f aca="false">SUMIFS(tabela_registros[VALOR],tabela_registros[MÊS],$AE$1,tabela_registros[DIA],settotal3059718395107119131[[#Headers],[14]],tabela_registros[REGISTRO],DADOS!$N$4,tabela_registros[TIPO],DADOS!$P$3,tabela_registros[CATEGORIA],despesafixaconsolidadoset[[#This Row],[DESPESA FIXA]])</f>
        <v>0</v>
      </c>
      <c r="S37" s="114" t="n">
        <f aca="false">SUMIFS(tabela_registros[VALOR],tabela_registros[MÊS],$AE$1,tabela_registros[DIA],settotal3059718395107119131[[#Headers],[15]],tabela_registros[REGISTRO],DADOS!$N$4,tabela_registros[TIPO],DADOS!$P$3,tabela_registros[CATEGORIA],despesafixaconsolidadoset[[#This Row],[DESPESA FIXA]])</f>
        <v>0</v>
      </c>
      <c r="T37" s="114" t="n">
        <f aca="false">SUMIFS(tabela_registros[VALOR],tabela_registros[MÊS],$AE$1,tabela_registros[DIA],settotal3059718395107119131[[#Headers],[16]],tabela_registros[REGISTRO],DADOS!$N$4,tabela_registros[TIPO],DADOS!$P$3,tabela_registros[CATEGORIA],despesafixaconsolidadoset[[#This Row],[DESPESA FIXA]])</f>
        <v>0</v>
      </c>
      <c r="U37" s="114" t="n">
        <f aca="false">SUMIFS(tabela_registros[VALOR],tabela_registros[MÊS],$AE$1,tabela_registros[DIA],settotal3059718395107119131[[#Headers],[17]],tabela_registros[REGISTRO],DADOS!$N$4,tabela_registros[TIPO],DADOS!$P$3,tabela_registros[CATEGORIA],despesafixaconsolidadoset[[#This Row],[DESPESA FIXA]])</f>
        <v>0</v>
      </c>
      <c r="V37" s="114" t="n">
        <f aca="false">SUMIFS(tabela_registros[VALOR],tabela_registros[MÊS],$AE$1,tabela_registros[DIA],settotal3059718395107119131[[#Headers],[18]],tabela_registros[REGISTRO],DADOS!$N$4,tabela_registros[TIPO],DADOS!$P$3,tabela_registros[CATEGORIA],despesafixaconsolidadoset[[#This Row],[DESPESA FIXA]])</f>
        <v>0</v>
      </c>
      <c r="W37" s="114" t="n">
        <f aca="false">SUMIFS(tabela_registros[VALOR],tabela_registros[MÊS],$AE$1,tabela_registros[DIA],settotal3059718395107119131[[#Headers],[19]],tabela_registros[REGISTRO],DADOS!$N$4,tabela_registros[TIPO],DADOS!$P$3,tabela_registros[CATEGORIA],despesafixaconsolidadoset[[#This Row],[DESPESA FIXA]])</f>
        <v>0</v>
      </c>
      <c r="X37" s="114" t="n">
        <f aca="false">SUMIFS(tabela_registros[VALOR],tabela_registros[MÊS],$AE$1,tabela_registros[DIA],settotal3059718395107119131[[#Headers],[20]],tabela_registros[REGISTRO],DADOS!$N$4,tabela_registros[TIPO],DADOS!$P$3,tabela_registros[CATEGORIA],despesafixaconsolidadoset[[#This Row],[DESPESA FIXA]])</f>
        <v>0</v>
      </c>
      <c r="Y37" s="114" t="n">
        <f aca="false">SUMIFS(tabela_registros[VALOR],tabela_registros[MÊS],$AE$1,tabela_registros[DIA],settotal3059718395107119131[[#Headers],[21]],tabela_registros[REGISTRO],DADOS!$N$4,tabela_registros[TIPO],DADOS!$P$3,tabela_registros[CATEGORIA],despesafixaconsolidadoset[[#This Row],[DESPESA FIXA]])</f>
        <v>0</v>
      </c>
      <c r="Z37" s="114" t="n">
        <f aca="false">SUMIFS(tabela_registros[VALOR],tabela_registros[MÊS],$AE$1,tabela_registros[DIA],settotal3059718395107119131[[#Headers],[22]],tabela_registros[REGISTRO],DADOS!$N$4,tabela_registros[TIPO],DADOS!$P$3,tabela_registros[CATEGORIA],despesafixaconsolidadoset[[#This Row],[DESPESA FIXA]])</f>
        <v>0</v>
      </c>
      <c r="AA37" s="114" t="n">
        <f aca="false">SUMIFS(tabela_registros[VALOR],tabela_registros[MÊS],$AE$1,tabela_registros[DIA],settotal3059718395107119131[[#Headers],[23]],tabela_registros[REGISTRO],DADOS!$N$4,tabela_registros[TIPO],DADOS!$P$3,tabela_registros[CATEGORIA],despesafixaconsolidadoset[[#This Row],[DESPESA FIXA]])</f>
        <v>0</v>
      </c>
      <c r="AB37" s="114" t="n">
        <f aca="false">SUMIFS(tabela_registros[VALOR],tabela_registros[MÊS],$AE$1,tabela_registros[DIA],settotal3059718395107119131[[#Headers],[24]],tabela_registros[REGISTRO],DADOS!$N$4,tabela_registros[TIPO],DADOS!$P$3,tabela_registros[CATEGORIA],despesafixaconsolidadoset[[#This Row],[DESPESA FIXA]])</f>
        <v>0</v>
      </c>
      <c r="AC37" s="114" t="n">
        <f aca="false">SUMIFS(tabela_registros[VALOR],tabela_registros[MÊS],$AE$1,tabela_registros[DIA],settotal3059718395107119131[[#Headers],[25]],tabela_registros[REGISTRO],DADOS!$N$4,tabela_registros[TIPO],DADOS!$P$3,tabela_registros[CATEGORIA],despesafixaconsolidadoset[[#This Row],[DESPESA FIXA]])</f>
        <v>0</v>
      </c>
      <c r="AD37" s="114" t="n">
        <f aca="false">SUMIFS(tabela_registros[VALOR],tabela_registros[MÊS],$AE$1,tabela_registros[DIA],settotal3059718395107119131[[#Headers],[26]],tabela_registros[REGISTRO],DADOS!$N$4,tabela_registros[TIPO],DADOS!$P$3,tabela_registros[CATEGORIA],despesafixaconsolidadoset[[#This Row],[DESPESA FIXA]])</f>
        <v>0</v>
      </c>
      <c r="AE37" s="114" t="n">
        <f aca="false">SUMIFS(tabela_registros[VALOR],tabela_registros[MÊS],$AE$1,tabela_registros[DIA],settotal3059718395107119131[[#Headers],[27]],tabela_registros[REGISTRO],DADOS!$N$4,tabela_registros[TIPO],DADOS!$P$3,tabela_registros[CATEGORIA],despesafixaconsolidadoset[[#This Row],[DESPESA FIXA]])</f>
        <v>0</v>
      </c>
      <c r="AF37" s="114" t="n">
        <f aca="false">SUMIFS(tabela_registros[VALOR],tabela_registros[MÊS],$AE$1,tabela_registros[DIA],settotal3059718395107119131[[#Headers],[28]],tabela_registros[REGISTRO],DADOS!$N$4,tabela_registros[TIPO],DADOS!$P$3,tabela_registros[CATEGORIA],despesafixaconsolidadoset[[#This Row],[DESPESA FIXA]])</f>
        <v>0</v>
      </c>
      <c r="AG37" s="114" t="n">
        <f aca="false">SUMIFS(tabela_registros[VALOR],tabela_registros[MÊS],$AE$1,tabela_registros[DIA],settotal3059718395107119131[[#Headers],[29]],tabela_registros[REGISTRO],DADOS!$N$4,tabela_registros[TIPO],DADOS!$P$3,tabela_registros[CATEGORIA],despesafixaconsolidadoset[[#This Row],[DESPESA FIXA]])</f>
        <v>0</v>
      </c>
      <c r="AH37" s="114" t="n">
        <f aca="false">SUMIFS(tabela_registros[VALOR],tabela_registros[MÊS],$AE$1,tabela_registros[DIA],settotal3059718395107119131[[#Headers],[30]],tabela_registros[REGISTRO],DADOS!$N$4,tabela_registros[TIPO],DADOS!$P$3,tabela_registros[CATEGORIA],despesafixaconsolidadoset[[#This Row],[DESPESA FIXA]])</f>
        <v>0</v>
      </c>
      <c r="AI37" s="216" t="n">
        <f aca="false">SUMIFS(tabela_registros[VALOR],tabela_registros[MÊS],$AE$1,tabela_registros[DIA],settotal3059718395107119131[[#Headers],[31]],tabela_registros[REGISTRO],DADOS!$N$4,tabela_registros[TIPO],DADOS!$P$3,tabela_registros[CATEGORIA],despesafixaconsolidadoset[[#This Row],[DESPESA FIXA]])</f>
        <v>0</v>
      </c>
      <c r="AJ37" s="147" t="n">
        <f aca="false">SUM(despesafixaconsolidadoset[[#This Row],[1]:[31]])</f>
        <v>0</v>
      </c>
      <c r="AK37" s="143"/>
    </row>
    <row r="38" customFormat="false" ht="18" hidden="false" customHeight="true" outlineLevel="0" collapsed="false">
      <c r="B38" s="143"/>
      <c r="C38" s="144" t="str">
        <f aca="false">DADOS!$R$4</f>
        <v>🐶 ANIMAIS DE ESTIMAÇÃO</v>
      </c>
      <c r="D38" s="145" t="str">
        <f aca="false">IF(despesafixaconsolidadoset[[#This Row],[TOTAL]]=0,"",IF(OR(despesafixaconsolidadoset[[#This Row],[TOTAL]]=LARGE($AJ$37:$AJ$50,1),despesafixaconsolidadoset[[#This Row],[TOTAL]]=LARGE($AJ$37:$AJ$50,2),despesafixaconsolidadoset[[#This Row],[TOTAL]]=LARGE($AJ$37:$AJ$50,3),despesafixaconsolidadoset[[#This Row],[TOTAL]]=LARGE($AJ$37:$AJ$50,4),despesafixaconsolidadoset[[#This Row],[TOTAL]]=LARGE($AJ$37:$AJ$50,5)),DADOS!$I$8,""))</f>
        <v/>
      </c>
      <c r="E38" s="148" t="n">
        <f aca="false">SUMIFS(tabela_registros[VALOR],tabela_registros[MÊS],$AE$1,tabela_registros[DIA],settotal3059718395107119131[[#Headers],[1]],tabela_registros[REGISTRO],DADOS!$N$4,tabela_registros[TIPO],DADOS!$P$3,tabela_registros[CATEGORIA],despesafixaconsolidadoset[[#This Row],[DESPESA FIXA]])</f>
        <v>0</v>
      </c>
      <c r="F38" s="119" t="n">
        <f aca="false">SUMIFS(tabela_registros[VALOR],tabela_registros[MÊS],$AE$1,tabela_registros[DIA],settotal3059718395107119131[[#Headers],[2]],tabela_registros[REGISTRO],DADOS!$N$4,tabela_registros[TIPO],DADOS!$P$3,tabela_registros[CATEGORIA],despesafixaconsolidadoset[[#This Row],[DESPESA FIXA]])</f>
        <v>0</v>
      </c>
      <c r="G38" s="119" t="n">
        <f aca="false">SUMIFS(tabela_registros[VALOR],tabela_registros[MÊS],$AE$1,tabela_registros[DIA],settotal3059718395107119131[[#Headers],[3]],tabela_registros[REGISTRO],DADOS!$N$4,tabela_registros[TIPO],DADOS!$P$3,tabela_registros[CATEGORIA],despesafixaconsolidadoset[[#This Row],[DESPESA FIXA]])</f>
        <v>0</v>
      </c>
      <c r="H38" s="119" t="n">
        <f aca="false">SUMIFS(tabela_registros[VALOR],tabela_registros[MÊS],$AE$1,tabela_registros[DIA],settotal3059718395107119131[[#Headers],[4]],tabela_registros[REGISTRO],DADOS!$N$4,tabela_registros[TIPO],DADOS!$P$3,tabela_registros[CATEGORIA],despesafixaconsolidadoset[[#This Row],[DESPESA FIXA]])</f>
        <v>0</v>
      </c>
      <c r="I38" s="119" t="n">
        <f aca="false">SUMIFS(tabela_registros[VALOR],tabela_registros[MÊS],$AE$1,tabela_registros[DIA],settotal3059718395107119131[[#Headers],[5]],tabela_registros[REGISTRO],DADOS!$N$4,tabela_registros[TIPO],DADOS!$P$3,tabela_registros[CATEGORIA],despesafixaconsolidadoset[[#This Row],[DESPESA FIXA]])</f>
        <v>0</v>
      </c>
      <c r="J38" s="119" t="n">
        <f aca="false">SUMIFS(tabela_registros[VALOR],tabela_registros[MÊS],$AE$1,tabela_registros[DIA],settotal3059718395107119131[[#Headers],[6]],tabela_registros[REGISTRO],DADOS!$N$4,tabela_registros[TIPO],DADOS!$P$3,tabela_registros[CATEGORIA],despesafixaconsolidadoset[[#This Row],[DESPESA FIXA]])</f>
        <v>0</v>
      </c>
      <c r="K38" s="119" t="n">
        <f aca="false">SUMIFS(tabela_registros[VALOR],tabela_registros[MÊS],$AE$1,tabela_registros[DIA],settotal3059718395107119131[[#Headers],[7]],tabela_registros[REGISTRO],DADOS!$N$4,tabela_registros[TIPO],DADOS!$P$3,tabela_registros[CATEGORIA],despesafixaconsolidadoset[[#This Row],[DESPESA FIXA]])</f>
        <v>0</v>
      </c>
      <c r="L38" s="119" t="n">
        <f aca="false">SUMIFS(tabela_registros[VALOR],tabela_registros[MÊS],$AE$1,tabela_registros[DIA],settotal3059718395107119131[[#Headers],[8]],tabela_registros[REGISTRO],DADOS!$N$4,tabela_registros[TIPO],DADOS!$P$3,tabela_registros[CATEGORIA],despesafixaconsolidadoset[[#This Row],[DESPESA FIXA]])</f>
        <v>0</v>
      </c>
      <c r="M38" s="119" t="n">
        <f aca="false">SUMIFS(tabela_registros[VALOR],tabela_registros[MÊS],$AE$1,tabela_registros[DIA],settotal3059718395107119131[[#Headers],[9]],tabela_registros[REGISTRO],DADOS!$N$4,tabela_registros[TIPO],DADOS!$P$3,tabela_registros[CATEGORIA],despesafixaconsolidadoset[[#This Row],[DESPESA FIXA]])</f>
        <v>0</v>
      </c>
      <c r="N38" s="119" t="n">
        <f aca="false">SUMIFS(tabela_registros[VALOR],tabela_registros[MÊS],$AE$1,tabela_registros[DIA],settotal3059718395107119131[[#Headers],[10]],tabela_registros[REGISTRO],DADOS!$N$4,tabela_registros[TIPO],DADOS!$P$3,tabela_registros[CATEGORIA],despesafixaconsolidadoset[[#This Row],[DESPESA FIXA]])</f>
        <v>0</v>
      </c>
      <c r="O38" s="119" t="n">
        <f aca="false">SUMIFS(tabela_registros[VALOR],tabela_registros[MÊS],$AE$1,tabela_registros[DIA],settotal3059718395107119131[[#Headers],[11]],tabela_registros[REGISTRO],DADOS!$N$4,tabela_registros[TIPO],DADOS!$P$3,tabela_registros[CATEGORIA],despesafixaconsolidadoset[[#This Row],[DESPESA FIXA]])</f>
        <v>0</v>
      </c>
      <c r="P38" s="119" t="n">
        <f aca="false">SUMIFS(tabela_registros[VALOR],tabela_registros[MÊS],$AE$1,tabela_registros[DIA],settotal3059718395107119131[[#Headers],[12]],tabela_registros[REGISTRO],DADOS!$N$4,tabela_registros[TIPO],DADOS!$P$3,tabela_registros[CATEGORIA],despesafixaconsolidadoset[[#This Row],[DESPESA FIXA]])</f>
        <v>0</v>
      </c>
      <c r="Q38" s="119" t="n">
        <f aca="false">SUMIFS(tabela_registros[VALOR],tabela_registros[MÊS],$AE$1,tabela_registros[DIA],settotal3059718395107119131[[#Headers],[13]],tabela_registros[REGISTRO],DADOS!$N$4,tabela_registros[TIPO],DADOS!$P$3,tabela_registros[CATEGORIA],despesafixaconsolidadoset[[#This Row],[DESPESA FIXA]])</f>
        <v>0</v>
      </c>
      <c r="R38" s="119" t="n">
        <f aca="false">SUMIFS(tabela_registros[VALOR],tabela_registros[MÊS],$AE$1,tabela_registros[DIA],settotal3059718395107119131[[#Headers],[14]],tabela_registros[REGISTRO],DADOS!$N$4,tabela_registros[TIPO],DADOS!$P$3,tabela_registros[CATEGORIA],despesafixaconsolidadoset[[#This Row],[DESPESA FIXA]])</f>
        <v>0</v>
      </c>
      <c r="S38" s="119" t="n">
        <f aca="false">SUMIFS(tabela_registros[VALOR],tabela_registros[MÊS],$AE$1,tabela_registros[DIA],settotal3059718395107119131[[#Headers],[15]],tabela_registros[REGISTRO],DADOS!$N$4,tabela_registros[TIPO],DADOS!$P$3,tabela_registros[CATEGORIA],despesafixaconsolidadoset[[#This Row],[DESPESA FIXA]])</f>
        <v>0</v>
      </c>
      <c r="T38" s="119" t="n">
        <f aca="false">SUMIFS(tabela_registros[VALOR],tabela_registros[MÊS],$AE$1,tabela_registros[DIA],settotal3059718395107119131[[#Headers],[16]],tabela_registros[REGISTRO],DADOS!$N$4,tabela_registros[TIPO],DADOS!$P$3,tabela_registros[CATEGORIA],despesafixaconsolidadoset[[#This Row],[DESPESA FIXA]])</f>
        <v>0</v>
      </c>
      <c r="U38" s="119" t="n">
        <f aca="false">SUMIFS(tabela_registros[VALOR],tabela_registros[MÊS],$AE$1,tabela_registros[DIA],settotal3059718395107119131[[#Headers],[17]],tabela_registros[REGISTRO],DADOS!$N$4,tabela_registros[TIPO],DADOS!$P$3,tabela_registros[CATEGORIA],despesafixaconsolidadoset[[#This Row],[DESPESA FIXA]])</f>
        <v>0</v>
      </c>
      <c r="V38" s="119" t="n">
        <f aca="false">SUMIFS(tabela_registros[VALOR],tabela_registros[MÊS],$AE$1,tabela_registros[DIA],settotal3059718395107119131[[#Headers],[18]],tabela_registros[REGISTRO],DADOS!$N$4,tabela_registros[TIPO],DADOS!$P$3,tabela_registros[CATEGORIA],despesafixaconsolidadoset[[#This Row],[DESPESA FIXA]])</f>
        <v>0</v>
      </c>
      <c r="W38" s="119" t="n">
        <f aca="false">SUMIFS(tabela_registros[VALOR],tabela_registros[MÊS],$AE$1,tabela_registros[DIA],settotal3059718395107119131[[#Headers],[19]],tabela_registros[REGISTRO],DADOS!$N$4,tabela_registros[TIPO],DADOS!$P$3,tabela_registros[CATEGORIA],despesafixaconsolidadoset[[#This Row],[DESPESA FIXA]])</f>
        <v>0</v>
      </c>
      <c r="X38" s="119" t="n">
        <f aca="false">SUMIFS(tabela_registros[VALOR],tabela_registros[MÊS],$AE$1,tabela_registros[DIA],settotal3059718395107119131[[#Headers],[20]],tabela_registros[REGISTRO],DADOS!$N$4,tabela_registros[TIPO],DADOS!$P$3,tabela_registros[CATEGORIA],despesafixaconsolidadoset[[#This Row],[DESPESA FIXA]])</f>
        <v>0</v>
      </c>
      <c r="Y38" s="119" t="n">
        <f aca="false">SUMIFS(tabela_registros[VALOR],tabela_registros[MÊS],$AE$1,tabela_registros[DIA],settotal3059718395107119131[[#Headers],[21]],tabela_registros[REGISTRO],DADOS!$N$4,tabela_registros[TIPO],DADOS!$P$3,tabela_registros[CATEGORIA],despesafixaconsolidadoset[[#This Row],[DESPESA FIXA]])</f>
        <v>0</v>
      </c>
      <c r="Z38" s="119" t="n">
        <f aca="false">SUMIFS(tabela_registros[VALOR],tabela_registros[MÊS],$AE$1,tabela_registros[DIA],settotal3059718395107119131[[#Headers],[22]],tabela_registros[REGISTRO],DADOS!$N$4,tabela_registros[TIPO],DADOS!$P$3,tabela_registros[CATEGORIA],despesafixaconsolidadoset[[#This Row],[DESPESA FIXA]])</f>
        <v>0</v>
      </c>
      <c r="AA38" s="119" t="n">
        <f aca="false">SUMIFS(tabela_registros[VALOR],tabela_registros[MÊS],$AE$1,tabela_registros[DIA],settotal3059718395107119131[[#Headers],[23]],tabela_registros[REGISTRO],DADOS!$N$4,tabela_registros[TIPO],DADOS!$P$3,tabela_registros[CATEGORIA],despesafixaconsolidadoset[[#This Row],[DESPESA FIXA]])</f>
        <v>0</v>
      </c>
      <c r="AB38" s="119" t="n">
        <f aca="false">SUMIFS(tabela_registros[VALOR],tabela_registros[MÊS],$AE$1,tabela_registros[DIA],settotal3059718395107119131[[#Headers],[24]],tabela_registros[REGISTRO],DADOS!$N$4,tabela_registros[TIPO],DADOS!$P$3,tabela_registros[CATEGORIA],despesafixaconsolidadoset[[#This Row],[DESPESA FIXA]])</f>
        <v>0</v>
      </c>
      <c r="AC38" s="119" t="n">
        <f aca="false">SUMIFS(tabela_registros[VALOR],tabela_registros[MÊS],$AE$1,tabela_registros[DIA],settotal3059718395107119131[[#Headers],[25]],tabela_registros[REGISTRO],DADOS!$N$4,tabela_registros[TIPO],DADOS!$P$3,tabela_registros[CATEGORIA],despesafixaconsolidadoset[[#This Row],[DESPESA FIXA]])</f>
        <v>0</v>
      </c>
      <c r="AD38" s="119" t="n">
        <f aca="false">SUMIFS(tabela_registros[VALOR],tabela_registros[MÊS],$AE$1,tabela_registros[DIA],settotal3059718395107119131[[#Headers],[26]],tabela_registros[REGISTRO],DADOS!$N$4,tabela_registros[TIPO],DADOS!$P$3,tabela_registros[CATEGORIA],despesafixaconsolidadoset[[#This Row],[DESPESA FIXA]])</f>
        <v>0</v>
      </c>
      <c r="AE38" s="119" t="n">
        <f aca="false">SUMIFS(tabela_registros[VALOR],tabela_registros[MÊS],$AE$1,tabela_registros[DIA],settotal3059718395107119131[[#Headers],[27]],tabela_registros[REGISTRO],DADOS!$N$4,tabela_registros[TIPO],DADOS!$P$3,tabela_registros[CATEGORIA],despesafixaconsolidadoset[[#This Row],[DESPESA FIXA]])</f>
        <v>0</v>
      </c>
      <c r="AF38" s="119" t="n">
        <f aca="false">SUMIFS(tabela_registros[VALOR],tabela_registros[MÊS],$AE$1,tabela_registros[DIA],settotal3059718395107119131[[#Headers],[28]],tabela_registros[REGISTRO],DADOS!$N$4,tabela_registros[TIPO],DADOS!$P$3,tabela_registros[CATEGORIA],despesafixaconsolidadoset[[#This Row],[DESPESA FIXA]])</f>
        <v>0</v>
      </c>
      <c r="AG38" s="119" t="n">
        <f aca="false">SUMIFS(tabela_registros[VALOR],tabela_registros[MÊS],$AE$1,tabela_registros[DIA],settotal3059718395107119131[[#Headers],[29]],tabela_registros[REGISTRO],DADOS!$N$4,tabela_registros[TIPO],DADOS!$P$3,tabela_registros[CATEGORIA],despesafixaconsolidadoset[[#This Row],[DESPESA FIXA]])</f>
        <v>0</v>
      </c>
      <c r="AH38" s="119" t="n">
        <f aca="false">SUMIFS(tabela_registros[VALOR],tabela_registros[MÊS],$AE$1,tabela_registros[DIA],settotal3059718395107119131[[#Headers],[30]],tabela_registros[REGISTRO],DADOS!$N$4,tabela_registros[TIPO],DADOS!$P$3,tabela_registros[CATEGORIA],despesafixaconsolidadoset[[#This Row],[DESPESA FIXA]])</f>
        <v>0</v>
      </c>
      <c r="AI38" s="217" t="n">
        <f aca="false">SUMIFS(tabela_registros[VALOR],tabela_registros[MÊS],$AE$1,tabela_registros[DIA],settotal3059718395107119131[[#Headers],[31]],tabela_registros[REGISTRO],DADOS!$N$4,tabela_registros[TIPO],DADOS!$P$3,tabela_registros[CATEGORIA],despesafixaconsolidadoset[[#This Row],[DESPESA FIXA]])</f>
        <v>0</v>
      </c>
      <c r="AJ38" s="149" t="n">
        <f aca="false">SUM(despesafixaconsolidadoset[[#This Row],[1]:[31]])</f>
        <v>0</v>
      </c>
      <c r="AK38" s="143"/>
    </row>
    <row r="39" customFormat="false" ht="18" hidden="false" customHeight="true" outlineLevel="0" collapsed="false">
      <c r="B39" s="143"/>
      <c r="C39" s="144" t="str">
        <f aca="false">DADOS!$R$5</f>
        <v>🔖 ASSINATURAS E SERVIÇOS</v>
      </c>
      <c r="D39" s="145" t="str">
        <f aca="false">IF(despesafixaconsolidadoset[[#This Row],[TOTAL]]=0,"",IF(OR(despesafixaconsolidadoset[[#This Row],[TOTAL]]=LARGE($AJ$37:$AJ$50,1),despesafixaconsolidadoset[[#This Row],[TOTAL]]=LARGE($AJ$37:$AJ$50,2),despesafixaconsolidadoset[[#This Row],[TOTAL]]=LARGE($AJ$37:$AJ$50,3),despesafixaconsolidadoset[[#This Row],[TOTAL]]=LARGE($AJ$37:$AJ$50,4),despesafixaconsolidadoset[[#This Row],[TOTAL]]=LARGE($AJ$37:$AJ$50,5)),DADOS!$I$8,""))</f>
        <v/>
      </c>
      <c r="E39" s="148" t="n">
        <f aca="false">SUMIFS(tabela_registros[VALOR],tabela_registros[MÊS],$AE$1,tabela_registros[DIA],settotal3059718395107119131[[#Headers],[1]],tabela_registros[REGISTRO],DADOS!$N$4,tabela_registros[TIPO],DADOS!$P$3,tabela_registros[CATEGORIA],despesafixaconsolidadoset[[#This Row],[DESPESA FIXA]])</f>
        <v>0</v>
      </c>
      <c r="F39" s="119" t="n">
        <f aca="false">SUMIFS(tabela_registros[VALOR],tabela_registros[MÊS],$AE$1,tabela_registros[DIA],settotal3059718395107119131[[#Headers],[2]],tabela_registros[REGISTRO],DADOS!$N$4,tabela_registros[TIPO],DADOS!$P$3,tabela_registros[CATEGORIA],despesafixaconsolidadoset[[#This Row],[DESPESA FIXA]])</f>
        <v>0</v>
      </c>
      <c r="G39" s="119" t="n">
        <f aca="false">SUMIFS(tabela_registros[VALOR],tabela_registros[MÊS],$AE$1,tabela_registros[DIA],settotal3059718395107119131[[#Headers],[3]],tabela_registros[REGISTRO],DADOS!$N$4,tabela_registros[TIPO],DADOS!$P$3,tabela_registros[CATEGORIA],despesafixaconsolidadoset[[#This Row],[DESPESA FIXA]])</f>
        <v>0</v>
      </c>
      <c r="H39" s="119" t="n">
        <f aca="false">SUMIFS(tabela_registros[VALOR],tabela_registros[MÊS],$AE$1,tabela_registros[DIA],settotal3059718395107119131[[#Headers],[4]],tabela_registros[REGISTRO],DADOS!$N$4,tabela_registros[TIPO],DADOS!$P$3,tabela_registros[CATEGORIA],despesafixaconsolidadoset[[#This Row],[DESPESA FIXA]])</f>
        <v>0</v>
      </c>
      <c r="I39" s="119" t="n">
        <f aca="false">SUMIFS(tabela_registros[VALOR],tabela_registros[MÊS],$AE$1,tabela_registros[DIA],settotal3059718395107119131[[#Headers],[5]],tabela_registros[REGISTRO],DADOS!$N$4,tabela_registros[TIPO],DADOS!$P$3,tabela_registros[CATEGORIA],despesafixaconsolidadoset[[#This Row],[DESPESA FIXA]])</f>
        <v>0</v>
      </c>
      <c r="J39" s="119" t="n">
        <f aca="false">SUMIFS(tabela_registros[VALOR],tabela_registros[MÊS],$AE$1,tabela_registros[DIA],settotal3059718395107119131[[#Headers],[6]],tabela_registros[REGISTRO],DADOS!$N$4,tabela_registros[TIPO],DADOS!$P$3,tabela_registros[CATEGORIA],despesafixaconsolidadoset[[#This Row],[DESPESA FIXA]])</f>
        <v>0</v>
      </c>
      <c r="K39" s="119" t="n">
        <f aca="false">SUMIFS(tabela_registros[VALOR],tabela_registros[MÊS],$AE$1,tabela_registros[DIA],settotal3059718395107119131[[#Headers],[7]],tabela_registros[REGISTRO],DADOS!$N$4,tabela_registros[TIPO],DADOS!$P$3,tabela_registros[CATEGORIA],despesafixaconsolidadoset[[#This Row],[DESPESA FIXA]])</f>
        <v>0</v>
      </c>
      <c r="L39" s="119" t="n">
        <f aca="false">SUMIFS(tabela_registros[VALOR],tabela_registros[MÊS],$AE$1,tabela_registros[DIA],settotal3059718395107119131[[#Headers],[8]],tabela_registros[REGISTRO],DADOS!$N$4,tabela_registros[TIPO],DADOS!$P$3,tabela_registros[CATEGORIA],despesafixaconsolidadoset[[#This Row],[DESPESA FIXA]])</f>
        <v>0</v>
      </c>
      <c r="M39" s="119" t="n">
        <f aca="false">SUMIFS(tabela_registros[VALOR],tabela_registros[MÊS],$AE$1,tabela_registros[DIA],settotal3059718395107119131[[#Headers],[9]],tabela_registros[REGISTRO],DADOS!$N$4,tabela_registros[TIPO],DADOS!$P$3,tabela_registros[CATEGORIA],despesafixaconsolidadoset[[#This Row],[DESPESA FIXA]])</f>
        <v>0</v>
      </c>
      <c r="N39" s="119" t="n">
        <f aca="false">SUMIFS(tabela_registros[VALOR],tabela_registros[MÊS],$AE$1,tabela_registros[DIA],settotal3059718395107119131[[#Headers],[10]],tabela_registros[REGISTRO],DADOS!$N$4,tabela_registros[TIPO],DADOS!$P$3,tabela_registros[CATEGORIA],despesafixaconsolidadoset[[#This Row],[DESPESA FIXA]])</f>
        <v>0</v>
      </c>
      <c r="O39" s="119" t="n">
        <f aca="false">SUMIFS(tabela_registros[VALOR],tabela_registros[MÊS],$AE$1,tabela_registros[DIA],settotal3059718395107119131[[#Headers],[11]],tabela_registros[REGISTRO],DADOS!$N$4,tabela_registros[TIPO],DADOS!$P$3,tabela_registros[CATEGORIA],despesafixaconsolidadoset[[#This Row],[DESPESA FIXA]])</f>
        <v>0</v>
      </c>
      <c r="P39" s="119" t="n">
        <f aca="false">SUMIFS(tabela_registros[VALOR],tabela_registros[MÊS],$AE$1,tabela_registros[DIA],settotal3059718395107119131[[#Headers],[12]],tabela_registros[REGISTRO],DADOS!$N$4,tabela_registros[TIPO],DADOS!$P$3,tabela_registros[CATEGORIA],despesafixaconsolidadoset[[#This Row],[DESPESA FIXA]])</f>
        <v>0</v>
      </c>
      <c r="Q39" s="119" t="n">
        <f aca="false">SUMIFS(tabela_registros[VALOR],tabela_registros[MÊS],$AE$1,tabela_registros[DIA],settotal3059718395107119131[[#Headers],[13]],tabela_registros[REGISTRO],DADOS!$N$4,tabela_registros[TIPO],DADOS!$P$3,tabela_registros[CATEGORIA],despesafixaconsolidadoset[[#This Row],[DESPESA FIXA]])</f>
        <v>0</v>
      </c>
      <c r="R39" s="119" t="n">
        <f aca="false">SUMIFS(tabela_registros[VALOR],tabela_registros[MÊS],$AE$1,tabela_registros[DIA],settotal3059718395107119131[[#Headers],[14]],tabela_registros[REGISTRO],DADOS!$N$4,tabela_registros[TIPO],DADOS!$P$3,tabela_registros[CATEGORIA],despesafixaconsolidadoset[[#This Row],[DESPESA FIXA]])</f>
        <v>0</v>
      </c>
      <c r="S39" s="119" t="n">
        <f aca="false">SUMIFS(tabela_registros[VALOR],tabela_registros[MÊS],$AE$1,tabela_registros[DIA],settotal3059718395107119131[[#Headers],[15]],tabela_registros[REGISTRO],DADOS!$N$4,tabela_registros[TIPO],DADOS!$P$3,tabela_registros[CATEGORIA],despesafixaconsolidadoset[[#This Row],[DESPESA FIXA]])</f>
        <v>0</v>
      </c>
      <c r="T39" s="119" t="n">
        <f aca="false">SUMIFS(tabela_registros[VALOR],tabela_registros[MÊS],$AE$1,tabela_registros[DIA],settotal3059718395107119131[[#Headers],[16]],tabela_registros[REGISTRO],DADOS!$N$4,tabela_registros[TIPO],DADOS!$P$3,tabela_registros[CATEGORIA],despesafixaconsolidadoset[[#This Row],[DESPESA FIXA]])</f>
        <v>0</v>
      </c>
      <c r="U39" s="119" t="n">
        <f aca="false">SUMIFS(tabela_registros[VALOR],tabela_registros[MÊS],$AE$1,tabela_registros[DIA],settotal3059718395107119131[[#Headers],[17]],tabela_registros[REGISTRO],DADOS!$N$4,tabela_registros[TIPO],DADOS!$P$3,tabela_registros[CATEGORIA],despesafixaconsolidadoset[[#This Row],[DESPESA FIXA]])</f>
        <v>0</v>
      </c>
      <c r="V39" s="119" t="n">
        <f aca="false">SUMIFS(tabela_registros[VALOR],tabela_registros[MÊS],$AE$1,tabela_registros[DIA],settotal3059718395107119131[[#Headers],[18]],tabela_registros[REGISTRO],DADOS!$N$4,tabela_registros[TIPO],DADOS!$P$3,tabela_registros[CATEGORIA],despesafixaconsolidadoset[[#This Row],[DESPESA FIXA]])</f>
        <v>0</v>
      </c>
      <c r="W39" s="119" t="n">
        <f aca="false">SUMIFS(tabela_registros[VALOR],tabela_registros[MÊS],$AE$1,tabela_registros[DIA],settotal3059718395107119131[[#Headers],[19]],tabela_registros[REGISTRO],DADOS!$N$4,tabela_registros[TIPO],DADOS!$P$3,tabela_registros[CATEGORIA],despesafixaconsolidadoset[[#This Row],[DESPESA FIXA]])</f>
        <v>0</v>
      </c>
      <c r="X39" s="119" t="n">
        <f aca="false">SUMIFS(tabela_registros[VALOR],tabela_registros[MÊS],$AE$1,tabela_registros[DIA],settotal3059718395107119131[[#Headers],[20]],tabela_registros[REGISTRO],DADOS!$N$4,tabela_registros[TIPO],DADOS!$P$3,tabela_registros[CATEGORIA],despesafixaconsolidadoset[[#This Row],[DESPESA FIXA]])</f>
        <v>0</v>
      </c>
      <c r="Y39" s="119" t="n">
        <f aca="false">SUMIFS(tabela_registros[VALOR],tabela_registros[MÊS],$AE$1,tabela_registros[DIA],settotal3059718395107119131[[#Headers],[21]],tabela_registros[REGISTRO],DADOS!$N$4,tabela_registros[TIPO],DADOS!$P$3,tabela_registros[CATEGORIA],despesafixaconsolidadoset[[#This Row],[DESPESA FIXA]])</f>
        <v>0</v>
      </c>
      <c r="Z39" s="119" t="n">
        <f aca="false">SUMIFS(tabela_registros[VALOR],tabela_registros[MÊS],$AE$1,tabela_registros[DIA],settotal3059718395107119131[[#Headers],[22]],tabela_registros[REGISTRO],DADOS!$N$4,tabela_registros[TIPO],DADOS!$P$3,tabela_registros[CATEGORIA],despesafixaconsolidadoset[[#This Row],[DESPESA FIXA]])</f>
        <v>0</v>
      </c>
      <c r="AA39" s="119" t="n">
        <f aca="false">SUMIFS(tabela_registros[VALOR],tabela_registros[MÊS],$AE$1,tabela_registros[DIA],settotal3059718395107119131[[#Headers],[23]],tabela_registros[REGISTRO],DADOS!$N$4,tabela_registros[TIPO],DADOS!$P$3,tabela_registros[CATEGORIA],despesafixaconsolidadoset[[#This Row],[DESPESA FIXA]])</f>
        <v>0</v>
      </c>
      <c r="AB39" s="119" t="n">
        <f aca="false">SUMIFS(tabela_registros[VALOR],tabela_registros[MÊS],$AE$1,tabela_registros[DIA],settotal3059718395107119131[[#Headers],[24]],tabela_registros[REGISTRO],DADOS!$N$4,tabela_registros[TIPO],DADOS!$P$3,tabela_registros[CATEGORIA],despesafixaconsolidadoset[[#This Row],[DESPESA FIXA]])</f>
        <v>0</v>
      </c>
      <c r="AC39" s="119" t="n">
        <f aca="false">SUMIFS(tabela_registros[VALOR],tabela_registros[MÊS],$AE$1,tabela_registros[DIA],settotal3059718395107119131[[#Headers],[25]],tabela_registros[REGISTRO],DADOS!$N$4,tabela_registros[TIPO],DADOS!$P$3,tabela_registros[CATEGORIA],despesafixaconsolidadoset[[#This Row],[DESPESA FIXA]])</f>
        <v>0</v>
      </c>
      <c r="AD39" s="119" t="n">
        <f aca="false">SUMIFS(tabela_registros[VALOR],tabela_registros[MÊS],$AE$1,tabela_registros[DIA],settotal3059718395107119131[[#Headers],[26]],tabela_registros[REGISTRO],DADOS!$N$4,tabela_registros[TIPO],DADOS!$P$3,tabela_registros[CATEGORIA],despesafixaconsolidadoset[[#This Row],[DESPESA FIXA]])</f>
        <v>0</v>
      </c>
      <c r="AE39" s="119" t="n">
        <f aca="false">SUMIFS(tabela_registros[VALOR],tabela_registros[MÊS],$AE$1,tabela_registros[DIA],settotal3059718395107119131[[#Headers],[27]],tabela_registros[REGISTRO],DADOS!$N$4,tabela_registros[TIPO],DADOS!$P$3,tabela_registros[CATEGORIA],despesafixaconsolidadoset[[#This Row],[DESPESA FIXA]])</f>
        <v>0</v>
      </c>
      <c r="AF39" s="119" t="n">
        <f aca="false">SUMIFS(tabela_registros[VALOR],tabela_registros[MÊS],$AE$1,tabela_registros[DIA],settotal3059718395107119131[[#Headers],[28]],tabela_registros[REGISTRO],DADOS!$N$4,tabela_registros[TIPO],DADOS!$P$3,tabela_registros[CATEGORIA],despesafixaconsolidadoset[[#This Row],[DESPESA FIXA]])</f>
        <v>0</v>
      </c>
      <c r="AG39" s="119" t="n">
        <f aca="false">SUMIFS(tabela_registros[VALOR],tabela_registros[MÊS],$AE$1,tabela_registros[DIA],settotal3059718395107119131[[#Headers],[29]],tabela_registros[REGISTRO],DADOS!$N$4,tabela_registros[TIPO],DADOS!$P$3,tabela_registros[CATEGORIA],despesafixaconsolidadoset[[#This Row],[DESPESA FIXA]])</f>
        <v>0</v>
      </c>
      <c r="AH39" s="119" t="n">
        <f aca="false">SUMIFS(tabela_registros[VALOR],tabela_registros[MÊS],$AE$1,tabela_registros[DIA],settotal3059718395107119131[[#Headers],[30]],tabela_registros[REGISTRO],DADOS!$N$4,tabela_registros[TIPO],DADOS!$P$3,tabela_registros[CATEGORIA],despesafixaconsolidadoset[[#This Row],[DESPESA FIXA]])</f>
        <v>0</v>
      </c>
      <c r="AI39" s="217" t="n">
        <f aca="false">SUMIFS(tabela_registros[VALOR],tabela_registros[MÊS],$AE$1,tabela_registros[DIA],settotal3059718395107119131[[#Headers],[31]],tabela_registros[REGISTRO],DADOS!$N$4,tabela_registros[TIPO],DADOS!$P$3,tabela_registros[CATEGORIA],despesafixaconsolidadoset[[#This Row],[DESPESA FIXA]])</f>
        <v>0</v>
      </c>
      <c r="AJ39" s="149" t="n">
        <f aca="false">SUM(despesafixaconsolidadoset[[#This Row],[1]:[31]])</f>
        <v>0</v>
      </c>
      <c r="AK39" s="143"/>
    </row>
    <row r="40" customFormat="false" ht="18" hidden="false" customHeight="true" outlineLevel="0" collapsed="false">
      <c r="B40" s="143"/>
      <c r="C40" s="144" t="str">
        <f aca="false">DADOS!$R$6</f>
        <v>📱 CELULAR</v>
      </c>
      <c r="D40" s="145" t="str">
        <f aca="false">IF(despesafixaconsolidadoset[[#This Row],[TOTAL]]=0,"",IF(OR(despesafixaconsolidadoset[[#This Row],[TOTAL]]=LARGE($AJ$37:$AJ$50,1),despesafixaconsolidadoset[[#This Row],[TOTAL]]=LARGE($AJ$37:$AJ$50,2),despesafixaconsolidadoset[[#This Row],[TOTAL]]=LARGE($AJ$37:$AJ$50,3),despesafixaconsolidadoset[[#This Row],[TOTAL]]=LARGE($AJ$37:$AJ$50,4),despesafixaconsolidadoset[[#This Row],[TOTAL]]=LARGE($AJ$37:$AJ$50,5)),DADOS!$I$8,""))</f>
        <v/>
      </c>
      <c r="E40" s="148" t="n">
        <f aca="false">SUMIFS(tabela_registros[VALOR],tabela_registros[MÊS],$AE$1,tabela_registros[DIA],settotal3059718395107119131[[#Headers],[1]],tabela_registros[REGISTRO],DADOS!$N$4,tabela_registros[TIPO],DADOS!$P$3,tabela_registros[CATEGORIA],despesafixaconsolidadoset[[#This Row],[DESPESA FIXA]])</f>
        <v>0</v>
      </c>
      <c r="F40" s="119" t="n">
        <f aca="false">SUMIFS(tabela_registros[VALOR],tabela_registros[MÊS],$AE$1,tabela_registros[DIA],settotal3059718395107119131[[#Headers],[2]],tabela_registros[REGISTRO],DADOS!$N$4,tabela_registros[TIPO],DADOS!$P$3,tabela_registros[CATEGORIA],despesafixaconsolidadoset[[#This Row],[DESPESA FIXA]])</f>
        <v>0</v>
      </c>
      <c r="G40" s="119" t="n">
        <f aca="false">SUMIFS(tabela_registros[VALOR],tabela_registros[MÊS],$AE$1,tabela_registros[DIA],settotal3059718395107119131[[#Headers],[3]],tabela_registros[REGISTRO],DADOS!$N$4,tabela_registros[TIPO],DADOS!$P$3,tabela_registros[CATEGORIA],despesafixaconsolidadoset[[#This Row],[DESPESA FIXA]])</f>
        <v>0</v>
      </c>
      <c r="H40" s="119" t="n">
        <f aca="false">SUMIFS(tabela_registros[VALOR],tabela_registros[MÊS],$AE$1,tabela_registros[DIA],settotal3059718395107119131[[#Headers],[4]],tabela_registros[REGISTRO],DADOS!$N$4,tabela_registros[TIPO],DADOS!$P$3,tabela_registros[CATEGORIA],despesafixaconsolidadoset[[#This Row],[DESPESA FIXA]])</f>
        <v>0</v>
      </c>
      <c r="I40" s="119" t="n">
        <f aca="false">SUMIFS(tabela_registros[VALOR],tabela_registros[MÊS],$AE$1,tabela_registros[DIA],settotal3059718395107119131[[#Headers],[5]],tabela_registros[REGISTRO],DADOS!$N$4,tabela_registros[TIPO],DADOS!$P$3,tabela_registros[CATEGORIA],despesafixaconsolidadoset[[#This Row],[DESPESA FIXA]])</f>
        <v>0</v>
      </c>
      <c r="J40" s="119" t="n">
        <f aca="false">SUMIFS(tabela_registros[VALOR],tabela_registros[MÊS],$AE$1,tabela_registros[DIA],settotal3059718395107119131[[#Headers],[6]],tabela_registros[REGISTRO],DADOS!$N$4,tabela_registros[TIPO],DADOS!$P$3,tabela_registros[CATEGORIA],despesafixaconsolidadoset[[#This Row],[DESPESA FIXA]])</f>
        <v>0</v>
      </c>
      <c r="K40" s="119" t="n">
        <f aca="false">SUMIFS(tabela_registros[VALOR],tabela_registros[MÊS],$AE$1,tabela_registros[DIA],settotal3059718395107119131[[#Headers],[7]],tabela_registros[REGISTRO],DADOS!$N$4,tabela_registros[TIPO],DADOS!$P$3,tabela_registros[CATEGORIA],despesafixaconsolidadoset[[#This Row],[DESPESA FIXA]])</f>
        <v>0</v>
      </c>
      <c r="L40" s="119" t="n">
        <f aca="false">SUMIFS(tabela_registros[VALOR],tabela_registros[MÊS],$AE$1,tabela_registros[DIA],settotal3059718395107119131[[#Headers],[8]],tabela_registros[REGISTRO],DADOS!$N$4,tabela_registros[TIPO],DADOS!$P$3,tabela_registros[CATEGORIA],despesafixaconsolidadoset[[#This Row],[DESPESA FIXA]])</f>
        <v>0</v>
      </c>
      <c r="M40" s="119" t="n">
        <f aca="false">SUMIFS(tabela_registros[VALOR],tabela_registros[MÊS],$AE$1,tabela_registros[DIA],settotal3059718395107119131[[#Headers],[9]],tabela_registros[REGISTRO],DADOS!$N$4,tabela_registros[TIPO],DADOS!$P$3,tabela_registros[CATEGORIA],despesafixaconsolidadoset[[#This Row],[DESPESA FIXA]])</f>
        <v>0</v>
      </c>
      <c r="N40" s="119" t="n">
        <f aca="false">SUMIFS(tabela_registros[VALOR],tabela_registros[MÊS],$AE$1,tabela_registros[DIA],settotal3059718395107119131[[#Headers],[10]],tabela_registros[REGISTRO],DADOS!$N$4,tabela_registros[TIPO],DADOS!$P$3,tabela_registros[CATEGORIA],despesafixaconsolidadoset[[#This Row],[DESPESA FIXA]])</f>
        <v>0</v>
      </c>
      <c r="O40" s="119" t="n">
        <f aca="false">SUMIFS(tabela_registros[VALOR],tabela_registros[MÊS],$AE$1,tabela_registros[DIA],settotal3059718395107119131[[#Headers],[11]],tabela_registros[REGISTRO],DADOS!$N$4,tabela_registros[TIPO],DADOS!$P$3,tabela_registros[CATEGORIA],despesafixaconsolidadoset[[#This Row],[DESPESA FIXA]])</f>
        <v>0</v>
      </c>
      <c r="P40" s="119" t="n">
        <f aca="false">SUMIFS(tabela_registros[VALOR],tabela_registros[MÊS],$AE$1,tabela_registros[DIA],settotal3059718395107119131[[#Headers],[12]],tabela_registros[REGISTRO],DADOS!$N$4,tabela_registros[TIPO],DADOS!$P$3,tabela_registros[CATEGORIA],despesafixaconsolidadoset[[#This Row],[DESPESA FIXA]])</f>
        <v>0</v>
      </c>
      <c r="Q40" s="119" t="n">
        <f aca="false">SUMIFS(tabela_registros[VALOR],tabela_registros[MÊS],$AE$1,tabela_registros[DIA],settotal3059718395107119131[[#Headers],[13]],tabela_registros[REGISTRO],DADOS!$N$4,tabela_registros[TIPO],DADOS!$P$3,tabela_registros[CATEGORIA],despesafixaconsolidadoset[[#This Row],[DESPESA FIXA]])</f>
        <v>0</v>
      </c>
      <c r="R40" s="119" t="n">
        <f aca="false">SUMIFS(tabela_registros[VALOR],tabela_registros[MÊS],$AE$1,tabela_registros[DIA],settotal3059718395107119131[[#Headers],[14]],tabela_registros[REGISTRO],DADOS!$N$4,tabela_registros[TIPO],DADOS!$P$3,tabela_registros[CATEGORIA],despesafixaconsolidadoset[[#This Row],[DESPESA FIXA]])</f>
        <v>0</v>
      </c>
      <c r="S40" s="119" t="n">
        <f aca="false">SUMIFS(tabela_registros[VALOR],tabela_registros[MÊS],$AE$1,tabela_registros[DIA],settotal3059718395107119131[[#Headers],[15]],tabela_registros[REGISTRO],DADOS!$N$4,tabela_registros[TIPO],DADOS!$P$3,tabela_registros[CATEGORIA],despesafixaconsolidadoset[[#This Row],[DESPESA FIXA]])</f>
        <v>0</v>
      </c>
      <c r="T40" s="119" t="n">
        <f aca="false">SUMIFS(tabela_registros[VALOR],tabela_registros[MÊS],$AE$1,tabela_registros[DIA],settotal3059718395107119131[[#Headers],[16]],tabela_registros[REGISTRO],DADOS!$N$4,tabela_registros[TIPO],DADOS!$P$3,tabela_registros[CATEGORIA],despesafixaconsolidadoset[[#This Row],[DESPESA FIXA]])</f>
        <v>0</v>
      </c>
      <c r="U40" s="119" t="n">
        <f aca="false">SUMIFS(tabela_registros[VALOR],tabela_registros[MÊS],$AE$1,tabela_registros[DIA],settotal3059718395107119131[[#Headers],[17]],tabela_registros[REGISTRO],DADOS!$N$4,tabela_registros[TIPO],DADOS!$P$3,tabela_registros[CATEGORIA],despesafixaconsolidadoset[[#This Row],[DESPESA FIXA]])</f>
        <v>0</v>
      </c>
      <c r="V40" s="119" t="n">
        <f aca="false">SUMIFS(tabela_registros[VALOR],tabela_registros[MÊS],$AE$1,tabela_registros[DIA],settotal3059718395107119131[[#Headers],[18]],tabela_registros[REGISTRO],DADOS!$N$4,tabela_registros[TIPO],DADOS!$P$3,tabela_registros[CATEGORIA],despesafixaconsolidadoset[[#This Row],[DESPESA FIXA]])</f>
        <v>0</v>
      </c>
      <c r="W40" s="119" t="n">
        <f aca="false">SUMIFS(tabela_registros[VALOR],tabela_registros[MÊS],$AE$1,tabela_registros[DIA],settotal3059718395107119131[[#Headers],[19]],tabela_registros[REGISTRO],DADOS!$N$4,tabela_registros[TIPO],DADOS!$P$3,tabela_registros[CATEGORIA],despesafixaconsolidadoset[[#This Row],[DESPESA FIXA]])</f>
        <v>0</v>
      </c>
      <c r="X40" s="119" t="n">
        <f aca="false">SUMIFS(tabela_registros[VALOR],tabela_registros[MÊS],$AE$1,tabela_registros[DIA],settotal3059718395107119131[[#Headers],[20]],tabela_registros[REGISTRO],DADOS!$N$4,tabela_registros[TIPO],DADOS!$P$3,tabela_registros[CATEGORIA],despesafixaconsolidadoset[[#This Row],[DESPESA FIXA]])</f>
        <v>0</v>
      </c>
      <c r="Y40" s="119" t="n">
        <f aca="false">SUMIFS(tabela_registros[VALOR],tabela_registros[MÊS],$AE$1,tabela_registros[DIA],settotal3059718395107119131[[#Headers],[21]],tabela_registros[REGISTRO],DADOS!$N$4,tabela_registros[TIPO],DADOS!$P$3,tabela_registros[CATEGORIA],despesafixaconsolidadoset[[#This Row],[DESPESA FIXA]])</f>
        <v>0</v>
      </c>
      <c r="Z40" s="119" t="n">
        <f aca="false">SUMIFS(tabela_registros[VALOR],tabela_registros[MÊS],$AE$1,tabela_registros[DIA],settotal3059718395107119131[[#Headers],[22]],tabela_registros[REGISTRO],DADOS!$N$4,tabela_registros[TIPO],DADOS!$P$3,tabela_registros[CATEGORIA],despesafixaconsolidadoset[[#This Row],[DESPESA FIXA]])</f>
        <v>0</v>
      </c>
      <c r="AA40" s="119" t="n">
        <f aca="false">SUMIFS(tabela_registros[VALOR],tabela_registros[MÊS],$AE$1,tabela_registros[DIA],settotal3059718395107119131[[#Headers],[23]],tabela_registros[REGISTRO],DADOS!$N$4,tabela_registros[TIPO],DADOS!$P$3,tabela_registros[CATEGORIA],despesafixaconsolidadoset[[#This Row],[DESPESA FIXA]])</f>
        <v>0</v>
      </c>
      <c r="AB40" s="119" t="n">
        <f aca="false">SUMIFS(tabela_registros[VALOR],tabela_registros[MÊS],$AE$1,tabela_registros[DIA],settotal3059718395107119131[[#Headers],[24]],tabela_registros[REGISTRO],DADOS!$N$4,tabela_registros[TIPO],DADOS!$P$3,tabela_registros[CATEGORIA],despesafixaconsolidadoset[[#This Row],[DESPESA FIXA]])</f>
        <v>0</v>
      </c>
      <c r="AC40" s="119" t="n">
        <f aca="false">SUMIFS(tabela_registros[VALOR],tabela_registros[MÊS],$AE$1,tabela_registros[DIA],settotal3059718395107119131[[#Headers],[25]],tabela_registros[REGISTRO],DADOS!$N$4,tabela_registros[TIPO],DADOS!$P$3,tabela_registros[CATEGORIA],despesafixaconsolidadoset[[#This Row],[DESPESA FIXA]])</f>
        <v>0</v>
      </c>
      <c r="AD40" s="119" t="n">
        <f aca="false">SUMIFS(tabela_registros[VALOR],tabela_registros[MÊS],$AE$1,tabela_registros[DIA],settotal3059718395107119131[[#Headers],[26]],tabela_registros[REGISTRO],DADOS!$N$4,tabela_registros[TIPO],DADOS!$P$3,tabela_registros[CATEGORIA],despesafixaconsolidadoset[[#This Row],[DESPESA FIXA]])</f>
        <v>0</v>
      </c>
      <c r="AE40" s="119" t="n">
        <f aca="false">SUMIFS(tabela_registros[VALOR],tabela_registros[MÊS],$AE$1,tabela_registros[DIA],settotal3059718395107119131[[#Headers],[27]],tabela_registros[REGISTRO],DADOS!$N$4,tabela_registros[TIPO],DADOS!$P$3,tabela_registros[CATEGORIA],despesafixaconsolidadoset[[#This Row],[DESPESA FIXA]])</f>
        <v>0</v>
      </c>
      <c r="AF40" s="119" t="n">
        <f aca="false">SUMIFS(tabela_registros[VALOR],tabela_registros[MÊS],$AE$1,tabela_registros[DIA],settotal3059718395107119131[[#Headers],[28]],tabela_registros[REGISTRO],DADOS!$N$4,tabela_registros[TIPO],DADOS!$P$3,tabela_registros[CATEGORIA],despesafixaconsolidadoset[[#This Row],[DESPESA FIXA]])</f>
        <v>0</v>
      </c>
      <c r="AG40" s="119" t="n">
        <f aca="false">SUMIFS(tabela_registros[VALOR],tabela_registros[MÊS],$AE$1,tabela_registros[DIA],settotal3059718395107119131[[#Headers],[29]],tabela_registros[REGISTRO],DADOS!$N$4,tabela_registros[TIPO],DADOS!$P$3,tabela_registros[CATEGORIA],despesafixaconsolidadoset[[#This Row],[DESPESA FIXA]])</f>
        <v>0</v>
      </c>
      <c r="AH40" s="119" t="n">
        <f aca="false">SUMIFS(tabela_registros[VALOR],tabela_registros[MÊS],$AE$1,tabela_registros[DIA],settotal3059718395107119131[[#Headers],[30]],tabela_registros[REGISTRO],DADOS!$N$4,tabela_registros[TIPO],DADOS!$P$3,tabela_registros[CATEGORIA],despesafixaconsolidadoset[[#This Row],[DESPESA FIXA]])</f>
        <v>0</v>
      </c>
      <c r="AI40" s="217" t="n">
        <f aca="false">SUMIFS(tabela_registros[VALOR],tabela_registros[MÊS],$AE$1,tabela_registros[DIA],settotal3059718395107119131[[#Headers],[31]],tabela_registros[REGISTRO],DADOS!$N$4,tabela_registros[TIPO],DADOS!$P$3,tabela_registros[CATEGORIA],despesafixaconsolidadoset[[#This Row],[DESPESA FIXA]])</f>
        <v>0</v>
      </c>
      <c r="AJ40" s="149" t="n">
        <f aca="false">SUM(despesafixaconsolidadoset[[#This Row],[1]:[31]])</f>
        <v>0</v>
      </c>
      <c r="AK40" s="143"/>
    </row>
    <row r="41" customFormat="false" ht="18" hidden="false" customHeight="true" outlineLevel="0" collapsed="false">
      <c r="B41" s="143"/>
      <c r="C41" s="144" t="str">
        <f aca="false">DADOS!$R$7</f>
        <v>📖 EDUCAÇÃO</v>
      </c>
      <c r="D41" s="145" t="str">
        <f aca="false">IF(despesafixaconsolidadoset[[#This Row],[TOTAL]]=0,"",IF(OR(despesafixaconsolidadoset[[#This Row],[TOTAL]]=LARGE($AJ$37:$AJ$50,1),despesafixaconsolidadoset[[#This Row],[TOTAL]]=LARGE($AJ$37:$AJ$50,2),despesafixaconsolidadoset[[#This Row],[TOTAL]]=LARGE($AJ$37:$AJ$50,3),despesafixaconsolidadoset[[#This Row],[TOTAL]]=LARGE($AJ$37:$AJ$50,4),despesafixaconsolidadoset[[#This Row],[TOTAL]]=LARGE($AJ$37:$AJ$50,5)),DADOS!$I$8,""))</f>
        <v/>
      </c>
      <c r="E41" s="148" t="n">
        <f aca="false">SUMIFS(tabela_registros[VALOR],tabela_registros[MÊS],$AE$1,tabela_registros[DIA],settotal3059718395107119131[[#Headers],[1]],tabela_registros[REGISTRO],DADOS!$N$4,tabela_registros[TIPO],DADOS!$P$3,tabela_registros[CATEGORIA],despesafixaconsolidadoset[[#This Row],[DESPESA FIXA]])</f>
        <v>0</v>
      </c>
      <c r="F41" s="119" t="n">
        <f aca="false">SUMIFS(tabela_registros[VALOR],tabela_registros[MÊS],$AE$1,tabela_registros[DIA],settotal3059718395107119131[[#Headers],[2]],tabela_registros[REGISTRO],DADOS!$N$4,tabela_registros[TIPO],DADOS!$P$3,tabela_registros[CATEGORIA],despesafixaconsolidadoset[[#This Row],[DESPESA FIXA]])</f>
        <v>0</v>
      </c>
      <c r="G41" s="119" t="n">
        <f aca="false">SUMIFS(tabela_registros[VALOR],tabela_registros[MÊS],$AE$1,tabela_registros[DIA],settotal3059718395107119131[[#Headers],[3]],tabela_registros[REGISTRO],DADOS!$N$4,tabela_registros[TIPO],DADOS!$P$3,tabela_registros[CATEGORIA],despesafixaconsolidadoset[[#This Row],[DESPESA FIXA]])</f>
        <v>0</v>
      </c>
      <c r="H41" s="119" t="n">
        <f aca="false">SUMIFS(tabela_registros[VALOR],tabela_registros[MÊS],$AE$1,tabela_registros[DIA],settotal3059718395107119131[[#Headers],[4]],tabela_registros[REGISTRO],DADOS!$N$4,tabela_registros[TIPO],DADOS!$P$3,tabela_registros[CATEGORIA],despesafixaconsolidadoset[[#This Row],[DESPESA FIXA]])</f>
        <v>0</v>
      </c>
      <c r="I41" s="119" t="n">
        <f aca="false">SUMIFS(tabela_registros[VALOR],tabela_registros[MÊS],$AE$1,tabela_registros[DIA],settotal3059718395107119131[[#Headers],[5]],tabela_registros[REGISTRO],DADOS!$N$4,tabela_registros[TIPO],DADOS!$P$3,tabela_registros[CATEGORIA],despesafixaconsolidadoset[[#This Row],[DESPESA FIXA]])</f>
        <v>0</v>
      </c>
      <c r="J41" s="119" t="n">
        <f aca="false">SUMIFS(tabela_registros[VALOR],tabela_registros[MÊS],$AE$1,tabela_registros[DIA],settotal3059718395107119131[[#Headers],[6]],tabela_registros[REGISTRO],DADOS!$N$4,tabela_registros[TIPO],DADOS!$P$3,tabela_registros[CATEGORIA],despesafixaconsolidadoset[[#This Row],[DESPESA FIXA]])</f>
        <v>0</v>
      </c>
      <c r="K41" s="119" t="n">
        <f aca="false">SUMIFS(tabela_registros[VALOR],tabela_registros[MÊS],$AE$1,tabela_registros[DIA],settotal3059718395107119131[[#Headers],[7]],tabela_registros[REGISTRO],DADOS!$N$4,tabela_registros[TIPO],DADOS!$P$3,tabela_registros[CATEGORIA],despesafixaconsolidadoset[[#This Row],[DESPESA FIXA]])</f>
        <v>0</v>
      </c>
      <c r="L41" s="119" t="n">
        <f aca="false">SUMIFS(tabela_registros[VALOR],tabela_registros[MÊS],$AE$1,tabela_registros[DIA],settotal3059718395107119131[[#Headers],[8]],tabela_registros[REGISTRO],DADOS!$N$4,tabela_registros[TIPO],DADOS!$P$3,tabela_registros[CATEGORIA],despesafixaconsolidadoset[[#This Row],[DESPESA FIXA]])</f>
        <v>0</v>
      </c>
      <c r="M41" s="119" t="n">
        <f aca="false">SUMIFS(tabela_registros[VALOR],tabela_registros[MÊS],$AE$1,tabela_registros[DIA],settotal3059718395107119131[[#Headers],[9]],tabela_registros[REGISTRO],DADOS!$N$4,tabela_registros[TIPO],DADOS!$P$3,tabela_registros[CATEGORIA],despesafixaconsolidadoset[[#This Row],[DESPESA FIXA]])</f>
        <v>0</v>
      </c>
      <c r="N41" s="119" t="n">
        <f aca="false">SUMIFS(tabela_registros[VALOR],tabela_registros[MÊS],$AE$1,tabela_registros[DIA],settotal3059718395107119131[[#Headers],[10]],tabela_registros[REGISTRO],DADOS!$N$4,tabela_registros[TIPO],DADOS!$P$3,tabela_registros[CATEGORIA],despesafixaconsolidadoset[[#This Row],[DESPESA FIXA]])</f>
        <v>0</v>
      </c>
      <c r="O41" s="119" t="n">
        <f aca="false">SUMIFS(tabela_registros[VALOR],tabela_registros[MÊS],$AE$1,tabela_registros[DIA],settotal3059718395107119131[[#Headers],[11]],tabela_registros[REGISTRO],DADOS!$N$4,tabela_registros[TIPO],DADOS!$P$3,tabela_registros[CATEGORIA],despesafixaconsolidadoset[[#This Row],[DESPESA FIXA]])</f>
        <v>0</v>
      </c>
      <c r="P41" s="119" t="n">
        <f aca="false">SUMIFS(tabela_registros[VALOR],tabela_registros[MÊS],$AE$1,tabela_registros[DIA],settotal3059718395107119131[[#Headers],[12]],tabela_registros[REGISTRO],DADOS!$N$4,tabela_registros[TIPO],DADOS!$P$3,tabela_registros[CATEGORIA],despesafixaconsolidadoset[[#This Row],[DESPESA FIXA]])</f>
        <v>0</v>
      </c>
      <c r="Q41" s="119" t="n">
        <f aca="false">SUMIFS(tabela_registros[VALOR],tabela_registros[MÊS],$AE$1,tabela_registros[DIA],settotal3059718395107119131[[#Headers],[13]],tabela_registros[REGISTRO],DADOS!$N$4,tabela_registros[TIPO],DADOS!$P$3,tabela_registros[CATEGORIA],despesafixaconsolidadoset[[#This Row],[DESPESA FIXA]])</f>
        <v>0</v>
      </c>
      <c r="R41" s="119" t="n">
        <f aca="false">SUMIFS(tabela_registros[VALOR],tabela_registros[MÊS],$AE$1,tabela_registros[DIA],settotal3059718395107119131[[#Headers],[14]],tabela_registros[REGISTRO],DADOS!$N$4,tabela_registros[TIPO],DADOS!$P$3,tabela_registros[CATEGORIA],despesafixaconsolidadoset[[#This Row],[DESPESA FIXA]])</f>
        <v>0</v>
      </c>
      <c r="S41" s="119" t="n">
        <f aca="false">SUMIFS(tabela_registros[VALOR],tabela_registros[MÊS],$AE$1,tabela_registros[DIA],settotal3059718395107119131[[#Headers],[15]],tabela_registros[REGISTRO],DADOS!$N$4,tabela_registros[TIPO],DADOS!$P$3,tabela_registros[CATEGORIA],despesafixaconsolidadoset[[#This Row],[DESPESA FIXA]])</f>
        <v>0</v>
      </c>
      <c r="T41" s="119" t="n">
        <f aca="false">SUMIFS(tabela_registros[VALOR],tabela_registros[MÊS],$AE$1,tabela_registros[DIA],settotal3059718395107119131[[#Headers],[16]],tabela_registros[REGISTRO],DADOS!$N$4,tabela_registros[TIPO],DADOS!$P$3,tabela_registros[CATEGORIA],despesafixaconsolidadoset[[#This Row],[DESPESA FIXA]])</f>
        <v>0</v>
      </c>
      <c r="U41" s="119" t="n">
        <f aca="false">SUMIFS(tabela_registros[VALOR],tabela_registros[MÊS],$AE$1,tabela_registros[DIA],settotal3059718395107119131[[#Headers],[17]],tabela_registros[REGISTRO],DADOS!$N$4,tabela_registros[TIPO],DADOS!$P$3,tabela_registros[CATEGORIA],despesafixaconsolidadoset[[#This Row],[DESPESA FIXA]])</f>
        <v>0</v>
      </c>
      <c r="V41" s="119" t="n">
        <f aca="false">SUMIFS(tabela_registros[VALOR],tabela_registros[MÊS],$AE$1,tabela_registros[DIA],settotal3059718395107119131[[#Headers],[18]],tabela_registros[REGISTRO],DADOS!$N$4,tabela_registros[TIPO],DADOS!$P$3,tabela_registros[CATEGORIA],despesafixaconsolidadoset[[#This Row],[DESPESA FIXA]])</f>
        <v>0</v>
      </c>
      <c r="W41" s="119" t="n">
        <f aca="false">SUMIFS(tabela_registros[VALOR],tabela_registros[MÊS],$AE$1,tabela_registros[DIA],settotal3059718395107119131[[#Headers],[19]],tabela_registros[REGISTRO],DADOS!$N$4,tabela_registros[TIPO],DADOS!$P$3,tabela_registros[CATEGORIA],despesafixaconsolidadoset[[#This Row],[DESPESA FIXA]])</f>
        <v>0</v>
      </c>
      <c r="X41" s="119" t="n">
        <f aca="false">SUMIFS(tabela_registros[VALOR],tabela_registros[MÊS],$AE$1,tabela_registros[DIA],settotal3059718395107119131[[#Headers],[20]],tabela_registros[REGISTRO],DADOS!$N$4,tabela_registros[TIPO],DADOS!$P$3,tabela_registros[CATEGORIA],despesafixaconsolidadoset[[#This Row],[DESPESA FIXA]])</f>
        <v>0</v>
      </c>
      <c r="Y41" s="119" t="n">
        <f aca="false">SUMIFS(tabela_registros[VALOR],tabela_registros[MÊS],$AE$1,tabela_registros[DIA],settotal3059718395107119131[[#Headers],[21]],tabela_registros[REGISTRO],DADOS!$N$4,tabela_registros[TIPO],DADOS!$P$3,tabela_registros[CATEGORIA],despesafixaconsolidadoset[[#This Row],[DESPESA FIXA]])</f>
        <v>0</v>
      </c>
      <c r="Z41" s="119" t="n">
        <f aca="false">SUMIFS(tabela_registros[VALOR],tabela_registros[MÊS],$AE$1,tabela_registros[DIA],settotal3059718395107119131[[#Headers],[22]],tabela_registros[REGISTRO],DADOS!$N$4,tabela_registros[TIPO],DADOS!$P$3,tabela_registros[CATEGORIA],despesafixaconsolidadoset[[#This Row],[DESPESA FIXA]])</f>
        <v>0</v>
      </c>
      <c r="AA41" s="119" t="n">
        <f aca="false">SUMIFS(tabela_registros[VALOR],tabela_registros[MÊS],$AE$1,tabela_registros[DIA],settotal3059718395107119131[[#Headers],[23]],tabela_registros[REGISTRO],DADOS!$N$4,tabela_registros[TIPO],DADOS!$P$3,tabela_registros[CATEGORIA],despesafixaconsolidadoset[[#This Row],[DESPESA FIXA]])</f>
        <v>0</v>
      </c>
      <c r="AB41" s="119" t="n">
        <f aca="false">SUMIFS(tabela_registros[VALOR],tabela_registros[MÊS],$AE$1,tabela_registros[DIA],settotal3059718395107119131[[#Headers],[24]],tabela_registros[REGISTRO],DADOS!$N$4,tabela_registros[TIPO],DADOS!$P$3,tabela_registros[CATEGORIA],despesafixaconsolidadoset[[#This Row],[DESPESA FIXA]])</f>
        <v>0</v>
      </c>
      <c r="AC41" s="119" t="n">
        <f aca="false">SUMIFS(tabela_registros[VALOR],tabela_registros[MÊS],$AE$1,tabela_registros[DIA],settotal3059718395107119131[[#Headers],[25]],tabela_registros[REGISTRO],DADOS!$N$4,tabela_registros[TIPO],DADOS!$P$3,tabela_registros[CATEGORIA],despesafixaconsolidadoset[[#This Row],[DESPESA FIXA]])</f>
        <v>0</v>
      </c>
      <c r="AD41" s="119" t="n">
        <f aca="false">SUMIFS(tabela_registros[VALOR],tabela_registros[MÊS],$AE$1,tabela_registros[DIA],settotal3059718395107119131[[#Headers],[26]],tabela_registros[REGISTRO],DADOS!$N$4,tabela_registros[TIPO],DADOS!$P$3,tabela_registros[CATEGORIA],despesafixaconsolidadoset[[#This Row],[DESPESA FIXA]])</f>
        <v>0</v>
      </c>
      <c r="AE41" s="119" t="n">
        <f aca="false">SUMIFS(tabela_registros[VALOR],tabela_registros[MÊS],$AE$1,tabela_registros[DIA],settotal3059718395107119131[[#Headers],[27]],tabela_registros[REGISTRO],DADOS!$N$4,tabela_registros[TIPO],DADOS!$P$3,tabela_registros[CATEGORIA],despesafixaconsolidadoset[[#This Row],[DESPESA FIXA]])</f>
        <v>0</v>
      </c>
      <c r="AF41" s="119" t="n">
        <f aca="false">SUMIFS(tabela_registros[VALOR],tabela_registros[MÊS],$AE$1,tabela_registros[DIA],settotal3059718395107119131[[#Headers],[28]],tabela_registros[REGISTRO],DADOS!$N$4,tabela_registros[TIPO],DADOS!$P$3,tabela_registros[CATEGORIA],despesafixaconsolidadoset[[#This Row],[DESPESA FIXA]])</f>
        <v>0</v>
      </c>
      <c r="AG41" s="119" t="n">
        <f aca="false">SUMIFS(tabela_registros[VALOR],tabela_registros[MÊS],$AE$1,tabela_registros[DIA],settotal3059718395107119131[[#Headers],[29]],tabela_registros[REGISTRO],DADOS!$N$4,tabela_registros[TIPO],DADOS!$P$3,tabela_registros[CATEGORIA],despesafixaconsolidadoset[[#This Row],[DESPESA FIXA]])</f>
        <v>0</v>
      </c>
      <c r="AH41" s="119" t="n">
        <f aca="false">SUMIFS(tabela_registros[VALOR],tabela_registros[MÊS],$AE$1,tabela_registros[DIA],settotal3059718395107119131[[#Headers],[30]],tabela_registros[REGISTRO],DADOS!$N$4,tabela_registros[TIPO],DADOS!$P$3,tabela_registros[CATEGORIA],despesafixaconsolidadoset[[#This Row],[DESPESA FIXA]])</f>
        <v>0</v>
      </c>
      <c r="AI41" s="217" t="n">
        <f aca="false">SUMIFS(tabela_registros[VALOR],tabela_registros[MÊS],$AE$1,tabela_registros[DIA],settotal3059718395107119131[[#Headers],[31]],tabela_registros[REGISTRO],DADOS!$N$4,tabela_registros[TIPO],DADOS!$P$3,tabela_registros[CATEGORIA],despesafixaconsolidadoset[[#This Row],[DESPESA FIXA]])</f>
        <v>0</v>
      </c>
      <c r="AJ41" s="149" t="n">
        <f aca="false">SUM(despesafixaconsolidadoset[[#This Row],[1]:[31]])</f>
        <v>0</v>
      </c>
      <c r="AK41" s="143"/>
    </row>
    <row r="42" customFormat="false" ht="18" hidden="false" customHeight="true" outlineLevel="0" collapsed="false">
      <c r="B42" s="143"/>
      <c r="C42" s="144" t="str">
        <f aca="false">DADOS!$R$8</f>
        <v>🏦 EMPRÉSTIMO</v>
      </c>
      <c r="D42" s="145" t="str">
        <f aca="false">IF(despesafixaconsolidadoset[[#This Row],[TOTAL]]=0,"",IF(OR(despesafixaconsolidadoset[[#This Row],[TOTAL]]=LARGE($AJ$37:$AJ$50,1),despesafixaconsolidadoset[[#This Row],[TOTAL]]=LARGE($AJ$37:$AJ$50,2),despesafixaconsolidadoset[[#This Row],[TOTAL]]=LARGE($AJ$37:$AJ$50,3),despesafixaconsolidadoset[[#This Row],[TOTAL]]=LARGE($AJ$37:$AJ$50,4),despesafixaconsolidadoset[[#This Row],[TOTAL]]=LARGE($AJ$37:$AJ$50,5)),DADOS!$I$8,""))</f>
        <v/>
      </c>
      <c r="E42" s="148" t="n">
        <f aca="false">SUMIFS(tabela_registros[VALOR],tabela_registros[MÊS],$AE$1,tabela_registros[DIA],settotal3059718395107119131[[#Headers],[1]],tabela_registros[REGISTRO],DADOS!$N$4,tabela_registros[TIPO],DADOS!$P$3,tabela_registros[CATEGORIA],despesafixaconsolidadoset[[#This Row],[DESPESA FIXA]])</f>
        <v>0</v>
      </c>
      <c r="F42" s="119" t="n">
        <f aca="false">SUMIFS(tabela_registros[VALOR],tabela_registros[MÊS],$AE$1,tabela_registros[DIA],settotal3059718395107119131[[#Headers],[2]],tabela_registros[REGISTRO],DADOS!$N$4,tabela_registros[TIPO],DADOS!$P$3,tabela_registros[CATEGORIA],despesafixaconsolidadoset[[#This Row],[DESPESA FIXA]])</f>
        <v>0</v>
      </c>
      <c r="G42" s="119" t="n">
        <f aca="false">SUMIFS(tabela_registros[VALOR],tabela_registros[MÊS],$AE$1,tabela_registros[DIA],settotal3059718395107119131[[#Headers],[3]],tabela_registros[REGISTRO],DADOS!$N$4,tabela_registros[TIPO],DADOS!$P$3,tabela_registros[CATEGORIA],despesafixaconsolidadoset[[#This Row],[DESPESA FIXA]])</f>
        <v>0</v>
      </c>
      <c r="H42" s="119" t="n">
        <f aca="false">SUMIFS(tabela_registros[VALOR],tabela_registros[MÊS],$AE$1,tabela_registros[DIA],settotal3059718395107119131[[#Headers],[4]],tabela_registros[REGISTRO],DADOS!$N$4,tabela_registros[TIPO],DADOS!$P$3,tabela_registros[CATEGORIA],despesafixaconsolidadoset[[#This Row],[DESPESA FIXA]])</f>
        <v>0</v>
      </c>
      <c r="I42" s="119" t="n">
        <f aca="false">SUMIFS(tabela_registros[VALOR],tabela_registros[MÊS],$AE$1,tabela_registros[DIA],settotal3059718395107119131[[#Headers],[5]],tabela_registros[REGISTRO],DADOS!$N$4,tabela_registros[TIPO],DADOS!$P$3,tabela_registros[CATEGORIA],despesafixaconsolidadoset[[#This Row],[DESPESA FIXA]])</f>
        <v>0</v>
      </c>
      <c r="J42" s="119" t="n">
        <f aca="false">SUMIFS(tabela_registros[VALOR],tabela_registros[MÊS],$AE$1,tabela_registros[DIA],settotal3059718395107119131[[#Headers],[6]],tabela_registros[REGISTRO],DADOS!$N$4,tabela_registros[TIPO],DADOS!$P$3,tabela_registros[CATEGORIA],despesafixaconsolidadoset[[#This Row],[DESPESA FIXA]])</f>
        <v>0</v>
      </c>
      <c r="K42" s="119" t="n">
        <f aca="false">SUMIFS(tabela_registros[VALOR],tabela_registros[MÊS],$AE$1,tabela_registros[DIA],settotal3059718395107119131[[#Headers],[7]],tabela_registros[REGISTRO],DADOS!$N$4,tabela_registros[TIPO],DADOS!$P$3,tabela_registros[CATEGORIA],despesafixaconsolidadoset[[#This Row],[DESPESA FIXA]])</f>
        <v>0</v>
      </c>
      <c r="L42" s="119" t="n">
        <f aca="false">SUMIFS(tabela_registros[VALOR],tabela_registros[MÊS],$AE$1,tabela_registros[DIA],settotal3059718395107119131[[#Headers],[8]],tabela_registros[REGISTRO],DADOS!$N$4,tabela_registros[TIPO],DADOS!$P$3,tabela_registros[CATEGORIA],despesafixaconsolidadoset[[#This Row],[DESPESA FIXA]])</f>
        <v>0</v>
      </c>
      <c r="M42" s="119" t="n">
        <f aca="false">SUMIFS(tabela_registros[VALOR],tabela_registros[MÊS],$AE$1,tabela_registros[DIA],settotal3059718395107119131[[#Headers],[9]],tabela_registros[REGISTRO],DADOS!$N$4,tabela_registros[TIPO],DADOS!$P$3,tabela_registros[CATEGORIA],despesafixaconsolidadoset[[#This Row],[DESPESA FIXA]])</f>
        <v>0</v>
      </c>
      <c r="N42" s="119" t="n">
        <f aca="false">SUMIFS(tabela_registros[VALOR],tabela_registros[MÊS],$AE$1,tabela_registros[DIA],settotal3059718395107119131[[#Headers],[10]],tabela_registros[REGISTRO],DADOS!$N$4,tabela_registros[TIPO],DADOS!$P$3,tabela_registros[CATEGORIA],despesafixaconsolidadoset[[#This Row],[DESPESA FIXA]])</f>
        <v>0</v>
      </c>
      <c r="O42" s="119" t="n">
        <f aca="false">SUMIFS(tabela_registros[VALOR],tabela_registros[MÊS],$AE$1,tabela_registros[DIA],settotal3059718395107119131[[#Headers],[11]],tabela_registros[REGISTRO],DADOS!$N$4,tabela_registros[TIPO],DADOS!$P$3,tabela_registros[CATEGORIA],despesafixaconsolidadoset[[#This Row],[DESPESA FIXA]])</f>
        <v>0</v>
      </c>
      <c r="P42" s="119" t="n">
        <f aca="false">SUMIFS(tabela_registros[VALOR],tabela_registros[MÊS],$AE$1,tabela_registros[DIA],settotal3059718395107119131[[#Headers],[12]],tabela_registros[REGISTRO],DADOS!$N$4,tabela_registros[TIPO],DADOS!$P$3,tabela_registros[CATEGORIA],despesafixaconsolidadoset[[#This Row],[DESPESA FIXA]])</f>
        <v>0</v>
      </c>
      <c r="Q42" s="119" t="n">
        <f aca="false">SUMIFS(tabela_registros[VALOR],tabela_registros[MÊS],$AE$1,tabela_registros[DIA],settotal3059718395107119131[[#Headers],[13]],tabela_registros[REGISTRO],DADOS!$N$4,tabela_registros[TIPO],DADOS!$P$3,tabela_registros[CATEGORIA],despesafixaconsolidadoset[[#This Row],[DESPESA FIXA]])</f>
        <v>0</v>
      </c>
      <c r="R42" s="119" t="n">
        <f aca="false">SUMIFS(tabela_registros[VALOR],tabela_registros[MÊS],$AE$1,tabela_registros[DIA],settotal3059718395107119131[[#Headers],[14]],tabela_registros[REGISTRO],DADOS!$N$4,tabela_registros[TIPO],DADOS!$P$3,tabela_registros[CATEGORIA],despesafixaconsolidadoset[[#This Row],[DESPESA FIXA]])</f>
        <v>0</v>
      </c>
      <c r="S42" s="119" t="n">
        <f aca="false">SUMIFS(tabela_registros[VALOR],tabela_registros[MÊS],$AE$1,tabela_registros[DIA],settotal3059718395107119131[[#Headers],[15]],tabela_registros[REGISTRO],DADOS!$N$4,tabela_registros[TIPO],DADOS!$P$3,tabela_registros[CATEGORIA],despesafixaconsolidadoset[[#This Row],[DESPESA FIXA]])</f>
        <v>0</v>
      </c>
      <c r="T42" s="119" t="n">
        <f aca="false">SUMIFS(tabela_registros[VALOR],tabela_registros[MÊS],$AE$1,tabela_registros[DIA],settotal3059718395107119131[[#Headers],[16]],tabela_registros[REGISTRO],DADOS!$N$4,tabela_registros[TIPO],DADOS!$P$3,tabela_registros[CATEGORIA],despesafixaconsolidadoset[[#This Row],[DESPESA FIXA]])</f>
        <v>0</v>
      </c>
      <c r="U42" s="119" t="n">
        <f aca="false">SUMIFS(tabela_registros[VALOR],tabela_registros[MÊS],$AE$1,tabela_registros[DIA],settotal3059718395107119131[[#Headers],[17]],tabela_registros[REGISTRO],DADOS!$N$4,tabela_registros[TIPO],DADOS!$P$3,tabela_registros[CATEGORIA],despesafixaconsolidadoset[[#This Row],[DESPESA FIXA]])</f>
        <v>0</v>
      </c>
      <c r="V42" s="119" t="n">
        <f aca="false">SUMIFS(tabela_registros[VALOR],tabela_registros[MÊS],$AE$1,tabela_registros[DIA],settotal3059718395107119131[[#Headers],[18]],tabela_registros[REGISTRO],DADOS!$N$4,tabela_registros[TIPO],DADOS!$P$3,tabela_registros[CATEGORIA],despesafixaconsolidadoset[[#This Row],[DESPESA FIXA]])</f>
        <v>0</v>
      </c>
      <c r="W42" s="119" t="n">
        <f aca="false">SUMIFS(tabela_registros[VALOR],tabela_registros[MÊS],$AE$1,tabela_registros[DIA],settotal3059718395107119131[[#Headers],[19]],tabela_registros[REGISTRO],DADOS!$N$4,tabela_registros[TIPO],DADOS!$P$3,tabela_registros[CATEGORIA],despesafixaconsolidadoset[[#This Row],[DESPESA FIXA]])</f>
        <v>0</v>
      </c>
      <c r="X42" s="119" t="n">
        <f aca="false">SUMIFS(tabela_registros[VALOR],tabela_registros[MÊS],$AE$1,tabela_registros[DIA],settotal3059718395107119131[[#Headers],[20]],tabela_registros[REGISTRO],DADOS!$N$4,tabela_registros[TIPO],DADOS!$P$3,tabela_registros[CATEGORIA],despesafixaconsolidadoset[[#This Row],[DESPESA FIXA]])</f>
        <v>0</v>
      </c>
      <c r="Y42" s="119" t="n">
        <f aca="false">SUMIFS(tabela_registros[VALOR],tabela_registros[MÊS],$AE$1,tabela_registros[DIA],settotal3059718395107119131[[#Headers],[21]],tabela_registros[REGISTRO],DADOS!$N$4,tabela_registros[TIPO],DADOS!$P$3,tabela_registros[CATEGORIA],despesafixaconsolidadoset[[#This Row],[DESPESA FIXA]])</f>
        <v>0</v>
      </c>
      <c r="Z42" s="119" t="n">
        <f aca="false">SUMIFS(tabela_registros[VALOR],tabela_registros[MÊS],$AE$1,tabela_registros[DIA],settotal3059718395107119131[[#Headers],[22]],tabela_registros[REGISTRO],DADOS!$N$4,tabela_registros[TIPO],DADOS!$P$3,tabela_registros[CATEGORIA],despesafixaconsolidadoset[[#This Row],[DESPESA FIXA]])</f>
        <v>0</v>
      </c>
      <c r="AA42" s="119" t="n">
        <f aca="false">SUMIFS(tabela_registros[VALOR],tabela_registros[MÊS],$AE$1,tabela_registros[DIA],settotal3059718395107119131[[#Headers],[23]],tabela_registros[REGISTRO],DADOS!$N$4,tabela_registros[TIPO],DADOS!$P$3,tabela_registros[CATEGORIA],despesafixaconsolidadoset[[#This Row],[DESPESA FIXA]])</f>
        <v>0</v>
      </c>
      <c r="AB42" s="119" t="n">
        <f aca="false">SUMIFS(tabela_registros[VALOR],tabela_registros[MÊS],$AE$1,tabela_registros[DIA],settotal3059718395107119131[[#Headers],[24]],tabela_registros[REGISTRO],DADOS!$N$4,tabela_registros[TIPO],DADOS!$P$3,tabela_registros[CATEGORIA],despesafixaconsolidadoset[[#This Row],[DESPESA FIXA]])</f>
        <v>0</v>
      </c>
      <c r="AC42" s="119" t="n">
        <f aca="false">SUMIFS(tabela_registros[VALOR],tabela_registros[MÊS],$AE$1,tabela_registros[DIA],settotal3059718395107119131[[#Headers],[25]],tabela_registros[REGISTRO],DADOS!$N$4,tabela_registros[TIPO],DADOS!$P$3,tabela_registros[CATEGORIA],despesafixaconsolidadoset[[#This Row],[DESPESA FIXA]])</f>
        <v>0</v>
      </c>
      <c r="AD42" s="119" t="n">
        <f aca="false">SUMIFS(tabela_registros[VALOR],tabela_registros[MÊS],$AE$1,tabela_registros[DIA],settotal3059718395107119131[[#Headers],[26]],tabela_registros[REGISTRO],DADOS!$N$4,tabela_registros[TIPO],DADOS!$P$3,tabela_registros[CATEGORIA],despesafixaconsolidadoset[[#This Row],[DESPESA FIXA]])</f>
        <v>0</v>
      </c>
      <c r="AE42" s="119" t="n">
        <f aca="false">SUMIFS(tabela_registros[VALOR],tabela_registros[MÊS],$AE$1,tabela_registros[DIA],settotal3059718395107119131[[#Headers],[27]],tabela_registros[REGISTRO],DADOS!$N$4,tabela_registros[TIPO],DADOS!$P$3,tabela_registros[CATEGORIA],despesafixaconsolidadoset[[#This Row],[DESPESA FIXA]])</f>
        <v>0</v>
      </c>
      <c r="AF42" s="119" t="n">
        <f aca="false">SUMIFS(tabela_registros[VALOR],tabela_registros[MÊS],$AE$1,tabela_registros[DIA],settotal3059718395107119131[[#Headers],[28]],tabela_registros[REGISTRO],DADOS!$N$4,tabela_registros[TIPO],DADOS!$P$3,tabela_registros[CATEGORIA],despesafixaconsolidadoset[[#This Row],[DESPESA FIXA]])</f>
        <v>0</v>
      </c>
      <c r="AG42" s="119" t="n">
        <f aca="false">SUMIFS(tabela_registros[VALOR],tabela_registros[MÊS],$AE$1,tabela_registros[DIA],settotal3059718395107119131[[#Headers],[29]],tabela_registros[REGISTRO],DADOS!$N$4,tabela_registros[TIPO],DADOS!$P$3,tabela_registros[CATEGORIA],despesafixaconsolidadoset[[#This Row],[DESPESA FIXA]])</f>
        <v>0</v>
      </c>
      <c r="AH42" s="119" t="n">
        <f aca="false">SUMIFS(tabela_registros[VALOR],tabela_registros[MÊS],$AE$1,tabela_registros[DIA],settotal3059718395107119131[[#Headers],[30]],tabela_registros[REGISTRO],DADOS!$N$4,tabela_registros[TIPO],DADOS!$P$3,tabela_registros[CATEGORIA],despesafixaconsolidadoset[[#This Row],[DESPESA FIXA]])</f>
        <v>0</v>
      </c>
      <c r="AI42" s="217" t="n">
        <f aca="false">SUMIFS(tabela_registros[VALOR],tabela_registros[MÊS],$AE$1,tabela_registros[DIA],settotal3059718395107119131[[#Headers],[31]],tabela_registros[REGISTRO],DADOS!$N$4,tabela_registros[TIPO],DADOS!$P$3,tabela_registros[CATEGORIA],despesafixaconsolidadoset[[#This Row],[DESPESA FIXA]])</f>
        <v>0</v>
      </c>
      <c r="AJ42" s="149" t="n">
        <f aca="false">SUM(despesafixaconsolidadoset[[#This Row],[1]:[31]])</f>
        <v>0</v>
      </c>
      <c r="AK42" s="143"/>
    </row>
    <row r="43" customFormat="false" ht="18" hidden="false" customHeight="true" outlineLevel="0" collapsed="false">
      <c r="B43" s="143"/>
      <c r="C43" s="144" t="str">
        <f aca="false">DADOS!$R$9</f>
        <v>💡 ENERGIA</v>
      </c>
      <c r="D43" s="145" t="str">
        <f aca="false">IF(despesafixaconsolidadoset[[#This Row],[TOTAL]]=0,"",IF(OR(despesafixaconsolidadoset[[#This Row],[TOTAL]]=LARGE($AJ$37:$AJ$50,1),despesafixaconsolidadoset[[#This Row],[TOTAL]]=LARGE($AJ$37:$AJ$50,2),despesafixaconsolidadoset[[#This Row],[TOTAL]]=LARGE($AJ$37:$AJ$50,3),despesafixaconsolidadoset[[#This Row],[TOTAL]]=LARGE($AJ$37:$AJ$50,4),despesafixaconsolidadoset[[#This Row],[TOTAL]]=LARGE($AJ$37:$AJ$50,5)),DADOS!$I$8,""))</f>
        <v/>
      </c>
      <c r="E43" s="148" t="n">
        <f aca="false">SUMIFS(tabela_registros[VALOR],tabela_registros[MÊS],$AE$1,tabela_registros[DIA],settotal3059718395107119131[[#Headers],[1]],tabela_registros[REGISTRO],DADOS!$N$4,tabela_registros[TIPO],DADOS!$P$3,tabela_registros[CATEGORIA],despesafixaconsolidadoset[[#This Row],[DESPESA FIXA]])</f>
        <v>0</v>
      </c>
      <c r="F43" s="119" t="n">
        <f aca="false">SUMIFS(tabela_registros[VALOR],tabela_registros[MÊS],$AE$1,tabela_registros[DIA],settotal3059718395107119131[[#Headers],[2]],tabela_registros[REGISTRO],DADOS!$N$4,tabela_registros[TIPO],DADOS!$P$3,tabela_registros[CATEGORIA],despesafixaconsolidadoset[[#This Row],[DESPESA FIXA]])</f>
        <v>0</v>
      </c>
      <c r="G43" s="119" t="n">
        <f aca="false">SUMIFS(tabela_registros[VALOR],tabela_registros[MÊS],$AE$1,tabela_registros[DIA],settotal3059718395107119131[[#Headers],[3]],tabela_registros[REGISTRO],DADOS!$N$4,tabela_registros[TIPO],DADOS!$P$3,tabela_registros[CATEGORIA],despesafixaconsolidadoset[[#This Row],[DESPESA FIXA]])</f>
        <v>0</v>
      </c>
      <c r="H43" s="119" t="n">
        <f aca="false">SUMIFS(tabela_registros[VALOR],tabela_registros[MÊS],$AE$1,tabela_registros[DIA],settotal3059718395107119131[[#Headers],[4]],tabela_registros[REGISTRO],DADOS!$N$4,tabela_registros[TIPO],DADOS!$P$3,tabela_registros[CATEGORIA],despesafixaconsolidadoset[[#This Row],[DESPESA FIXA]])</f>
        <v>0</v>
      </c>
      <c r="I43" s="119" t="n">
        <f aca="false">SUMIFS(tabela_registros[VALOR],tabela_registros[MÊS],$AE$1,tabela_registros[DIA],settotal3059718395107119131[[#Headers],[5]],tabela_registros[REGISTRO],DADOS!$N$4,tabela_registros[TIPO],DADOS!$P$3,tabela_registros[CATEGORIA],despesafixaconsolidadoset[[#This Row],[DESPESA FIXA]])</f>
        <v>0</v>
      </c>
      <c r="J43" s="119" t="n">
        <f aca="false">SUMIFS(tabela_registros[VALOR],tabela_registros[MÊS],$AE$1,tabela_registros[DIA],settotal3059718395107119131[[#Headers],[6]],tabela_registros[REGISTRO],DADOS!$N$4,tabela_registros[TIPO],DADOS!$P$3,tabela_registros[CATEGORIA],despesafixaconsolidadoset[[#This Row],[DESPESA FIXA]])</f>
        <v>0</v>
      </c>
      <c r="K43" s="119" t="n">
        <f aca="false">SUMIFS(tabela_registros[VALOR],tabela_registros[MÊS],$AE$1,tabela_registros[DIA],settotal3059718395107119131[[#Headers],[7]],tabela_registros[REGISTRO],DADOS!$N$4,tabela_registros[TIPO],DADOS!$P$3,tabela_registros[CATEGORIA],despesafixaconsolidadoset[[#This Row],[DESPESA FIXA]])</f>
        <v>0</v>
      </c>
      <c r="L43" s="119" t="n">
        <f aca="false">SUMIFS(tabela_registros[VALOR],tabela_registros[MÊS],$AE$1,tabela_registros[DIA],settotal3059718395107119131[[#Headers],[8]],tabela_registros[REGISTRO],DADOS!$N$4,tabela_registros[TIPO],DADOS!$P$3,tabela_registros[CATEGORIA],despesafixaconsolidadoset[[#This Row],[DESPESA FIXA]])</f>
        <v>0</v>
      </c>
      <c r="M43" s="119" t="n">
        <f aca="false">SUMIFS(tabela_registros[VALOR],tabela_registros[MÊS],$AE$1,tabela_registros[DIA],settotal3059718395107119131[[#Headers],[9]],tabela_registros[REGISTRO],DADOS!$N$4,tabela_registros[TIPO],DADOS!$P$3,tabela_registros[CATEGORIA],despesafixaconsolidadoset[[#This Row],[DESPESA FIXA]])</f>
        <v>0</v>
      </c>
      <c r="N43" s="119" t="n">
        <f aca="false">SUMIFS(tabela_registros[VALOR],tabela_registros[MÊS],$AE$1,tabela_registros[DIA],settotal3059718395107119131[[#Headers],[10]],tabela_registros[REGISTRO],DADOS!$N$4,tabela_registros[TIPO],DADOS!$P$3,tabela_registros[CATEGORIA],despesafixaconsolidadoset[[#This Row],[DESPESA FIXA]])</f>
        <v>0</v>
      </c>
      <c r="O43" s="119" t="n">
        <f aca="false">SUMIFS(tabela_registros[VALOR],tabela_registros[MÊS],$AE$1,tabela_registros[DIA],settotal3059718395107119131[[#Headers],[11]],tabela_registros[REGISTRO],DADOS!$N$4,tabela_registros[TIPO],DADOS!$P$3,tabela_registros[CATEGORIA],despesafixaconsolidadoset[[#This Row],[DESPESA FIXA]])</f>
        <v>0</v>
      </c>
      <c r="P43" s="119" t="n">
        <f aca="false">SUMIFS(tabela_registros[VALOR],tabela_registros[MÊS],$AE$1,tabela_registros[DIA],settotal3059718395107119131[[#Headers],[12]],tabela_registros[REGISTRO],DADOS!$N$4,tabela_registros[TIPO],DADOS!$P$3,tabela_registros[CATEGORIA],despesafixaconsolidadoset[[#This Row],[DESPESA FIXA]])</f>
        <v>0</v>
      </c>
      <c r="Q43" s="119" t="n">
        <f aca="false">SUMIFS(tabela_registros[VALOR],tabela_registros[MÊS],$AE$1,tabela_registros[DIA],settotal3059718395107119131[[#Headers],[13]],tabela_registros[REGISTRO],DADOS!$N$4,tabela_registros[TIPO],DADOS!$P$3,tabela_registros[CATEGORIA],despesafixaconsolidadoset[[#This Row],[DESPESA FIXA]])</f>
        <v>0</v>
      </c>
      <c r="R43" s="119" t="n">
        <f aca="false">SUMIFS(tabela_registros[VALOR],tabela_registros[MÊS],$AE$1,tabela_registros[DIA],settotal3059718395107119131[[#Headers],[14]],tabela_registros[REGISTRO],DADOS!$N$4,tabela_registros[TIPO],DADOS!$P$3,tabela_registros[CATEGORIA],despesafixaconsolidadoset[[#This Row],[DESPESA FIXA]])</f>
        <v>0</v>
      </c>
      <c r="S43" s="119" t="n">
        <f aca="false">SUMIFS(tabela_registros[VALOR],tabela_registros[MÊS],$AE$1,tabela_registros[DIA],settotal3059718395107119131[[#Headers],[15]],tabela_registros[REGISTRO],DADOS!$N$4,tabela_registros[TIPO],DADOS!$P$3,tabela_registros[CATEGORIA],despesafixaconsolidadoset[[#This Row],[DESPESA FIXA]])</f>
        <v>0</v>
      </c>
      <c r="T43" s="119" t="n">
        <f aca="false">SUMIFS(tabela_registros[VALOR],tabela_registros[MÊS],$AE$1,tabela_registros[DIA],settotal3059718395107119131[[#Headers],[16]],tabela_registros[REGISTRO],DADOS!$N$4,tabela_registros[TIPO],DADOS!$P$3,tabela_registros[CATEGORIA],despesafixaconsolidadoset[[#This Row],[DESPESA FIXA]])</f>
        <v>0</v>
      </c>
      <c r="U43" s="119" t="n">
        <f aca="false">SUMIFS(tabela_registros[VALOR],tabela_registros[MÊS],$AE$1,tabela_registros[DIA],settotal3059718395107119131[[#Headers],[17]],tabela_registros[REGISTRO],DADOS!$N$4,tabela_registros[TIPO],DADOS!$P$3,tabela_registros[CATEGORIA],despesafixaconsolidadoset[[#This Row],[DESPESA FIXA]])</f>
        <v>0</v>
      </c>
      <c r="V43" s="119" t="n">
        <f aca="false">SUMIFS(tabela_registros[VALOR],tabela_registros[MÊS],$AE$1,tabela_registros[DIA],settotal3059718395107119131[[#Headers],[18]],tabela_registros[REGISTRO],DADOS!$N$4,tabela_registros[TIPO],DADOS!$P$3,tabela_registros[CATEGORIA],despesafixaconsolidadoset[[#This Row],[DESPESA FIXA]])</f>
        <v>0</v>
      </c>
      <c r="W43" s="119" t="n">
        <f aca="false">SUMIFS(tabela_registros[VALOR],tabela_registros[MÊS],$AE$1,tabela_registros[DIA],settotal3059718395107119131[[#Headers],[19]],tabela_registros[REGISTRO],DADOS!$N$4,tabela_registros[TIPO],DADOS!$P$3,tabela_registros[CATEGORIA],despesafixaconsolidadoset[[#This Row],[DESPESA FIXA]])</f>
        <v>0</v>
      </c>
      <c r="X43" s="119" t="n">
        <f aca="false">SUMIFS(tabela_registros[VALOR],tabela_registros[MÊS],$AE$1,tabela_registros[DIA],settotal3059718395107119131[[#Headers],[20]],tabela_registros[REGISTRO],DADOS!$N$4,tabela_registros[TIPO],DADOS!$P$3,tabela_registros[CATEGORIA],despesafixaconsolidadoset[[#This Row],[DESPESA FIXA]])</f>
        <v>0</v>
      </c>
      <c r="Y43" s="119" t="n">
        <f aca="false">SUMIFS(tabela_registros[VALOR],tabela_registros[MÊS],$AE$1,tabela_registros[DIA],settotal3059718395107119131[[#Headers],[21]],tabela_registros[REGISTRO],DADOS!$N$4,tabela_registros[TIPO],DADOS!$P$3,tabela_registros[CATEGORIA],despesafixaconsolidadoset[[#This Row],[DESPESA FIXA]])</f>
        <v>0</v>
      </c>
      <c r="Z43" s="119" t="n">
        <f aca="false">SUMIFS(tabela_registros[VALOR],tabela_registros[MÊS],$AE$1,tabela_registros[DIA],settotal3059718395107119131[[#Headers],[22]],tabela_registros[REGISTRO],DADOS!$N$4,tabela_registros[TIPO],DADOS!$P$3,tabela_registros[CATEGORIA],despesafixaconsolidadoset[[#This Row],[DESPESA FIXA]])</f>
        <v>0</v>
      </c>
      <c r="AA43" s="119" t="n">
        <f aca="false">SUMIFS(tabela_registros[VALOR],tabela_registros[MÊS],$AE$1,tabela_registros[DIA],settotal3059718395107119131[[#Headers],[23]],tabela_registros[REGISTRO],DADOS!$N$4,tabela_registros[TIPO],DADOS!$P$3,tabela_registros[CATEGORIA],despesafixaconsolidadoset[[#This Row],[DESPESA FIXA]])</f>
        <v>0</v>
      </c>
      <c r="AB43" s="119" t="n">
        <f aca="false">SUMIFS(tabela_registros[VALOR],tabela_registros[MÊS],$AE$1,tabela_registros[DIA],settotal3059718395107119131[[#Headers],[24]],tabela_registros[REGISTRO],DADOS!$N$4,tabela_registros[TIPO],DADOS!$P$3,tabela_registros[CATEGORIA],despesafixaconsolidadoset[[#This Row],[DESPESA FIXA]])</f>
        <v>0</v>
      </c>
      <c r="AC43" s="119" t="n">
        <f aca="false">SUMIFS(tabela_registros[VALOR],tabela_registros[MÊS],$AE$1,tabela_registros[DIA],settotal3059718395107119131[[#Headers],[25]],tabela_registros[REGISTRO],DADOS!$N$4,tabela_registros[TIPO],DADOS!$P$3,tabela_registros[CATEGORIA],despesafixaconsolidadoset[[#This Row],[DESPESA FIXA]])</f>
        <v>0</v>
      </c>
      <c r="AD43" s="119" t="n">
        <f aca="false">SUMIFS(tabela_registros[VALOR],tabela_registros[MÊS],$AE$1,tabela_registros[DIA],settotal3059718395107119131[[#Headers],[26]],tabela_registros[REGISTRO],DADOS!$N$4,tabela_registros[TIPO],DADOS!$P$3,tabela_registros[CATEGORIA],despesafixaconsolidadoset[[#This Row],[DESPESA FIXA]])</f>
        <v>0</v>
      </c>
      <c r="AE43" s="119" t="n">
        <f aca="false">SUMIFS(tabela_registros[VALOR],tabela_registros[MÊS],$AE$1,tabela_registros[DIA],settotal3059718395107119131[[#Headers],[27]],tabela_registros[REGISTRO],DADOS!$N$4,tabela_registros[TIPO],DADOS!$P$3,tabela_registros[CATEGORIA],despesafixaconsolidadoset[[#This Row],[DESPESA FIXA]])</f>
        <v>0</v>
      </c>
      <c r="AF43" s="119" t="n">
        <f aca="false">SUMIFS(tabela_registros[VALOR],tabela_registros[MÊS],$AE$1,tabela_registros[DIA],settotal3059718395107119131[[#Headers],[28]],tabela_registros[REGISTRO],DADOS!$N$4,tabela_registros[TIPO],DADOS!$P$3,tabela_registros[CATEGORIA],despesafixaconsolidadoset[[#This Row],[DESPESA FIXA]])</f>
        <v>0</v>
      </c>
      <c r="AG43" s="119" t="n">
        <f aca="false">SUMIFS(tabela_registros[VALOR],tabela_registros[MÊS],$AE$1,tabela_registros[DIA],settotal3059718395107119131[[#Headers],[29]],tabela_registros[REGISTRO],DADOS!$N$4,tabela_registros[TIPO],DADOS!$P$3,tabela_registros[CATEGORIA],despesafixaconsolidadoset[[#This Row],[DESPESA FIXA]])</f>
        <v>0</v>
      </c>
      <c r="AH43" s="119" t="n">
        <f aca="false">SUMIFS(tabela_registros[VALOR],tabela_registros[MÊS],$AE$1,tabela_registros[DIA],settotal3059718395107119131[[#Headers],[30]],tabela_registros[REGISTRO],DADOS!$N$4,tabela_registros[TIPO],DADOS!$P$3,tabela_registros[CATEGORIA],despesafixaconsolidadoset[[#This Row],[DESPESA FIXA]])</f>
        <v>0</v>
      </c>
      <c r="AI43" s="217" t="n">
        <f aca="false">SUMIFS(tabela_registros[VALOR],tabela_registros[MÊS],$AE$1,tabela_registros[DIA],settotal3059718395107119131[[#Headers],[31]],tabela_registros[REGISTRO],DADOS!$N$4,tabela_registros[TIPO],DADOS!$P$3,tabela_registros[CATEGORIA],despesafixaconsolidadoset[[#This Row],[DESPESA FIXA]])</f>
        <v>0</v>
      </c>
      <c r="AJ43" s="149" t="n">
        <f aca="false">SUM(despesafixaconsolidadoset[[#This Row],[1]:[31]])</f>
        <v>0</v>
      </c>
      <c r="AK43" s="143"/>
    </row>
    <row r="44" customFormat="false" ht="18" hidden="false" customHeight="true" outlineLevel="0" collapsed="false">
      <c r="B44" s="143"/>
      <c r="C44" s="144" t="str">
        <f aca="false">DADOS!$R$10</f>
        <v>👨‍👩‍👧 FAMÍLIA</v>
      </c>
      <c r="D44" s="145" t="str">
        <f aca="false">IF(despesafixaconsolidadoset[[#This Row],[TOTAL]]=0,"",IF(OR(despesafixaconsolidadoset[[#This Row],[TOTAL]]=LARGE($AJ$37:$AJ$50,1),despesafixaconsolidadoset[[#This Row],[TOTAL]]=LARGE($AJ$37:$AJ$50,2),despesafixaconsolidadoset[[#This Row],[TOTAL]]=LARGE($AJ$37:$AJ$50,3),despesafixaconsolidadoset[[#This Row],[TOTAL]]=LARGE($AJ$37:$AJ$50,4),despesafixaconsolidadoset[[#This Row],[TOTAL]]=LARGE($AJ$37:$AJ$50,5)),DADOS!$I$8,""))</f>
        <v/>
      </c>
      <c r="E44" s="148" t="n">
        <f aca="false">SUMIFS(tabela_registros[VALOR],tabela_registros[MÊS],$AE$1,tabela_registros[DIA],settotal3059718395107119131[[#Headers],[1]],tabela_registros[REGISTRO],DADOS!$N$4,tabela_registros[TIPO],DADOS!$P$3,tabela_registros[CATEGORIA],despesafixaconsolidadoset[[#This Row],[DESPESA FIXA]])</f>
        <v>0</v>
      </c>
      <c r="F44" s="119" t="n">
        <f aca="false">SUMIFS(tabela_registros[VALOR],tabela_registros[MÊS],$AE$1,tabela_registros[DIA],settotal3059718395107119131[[#Headers],[2]],tabela_registros[REGISTRO],DADOS!$N$4,tabela_registros[TIPO],DADOS!$P$3,tabela_registros[CATEGORIA],despesafixaconsolidadoset[[#This Row],[DESPESA FIXA]])</f>
        <v>0</v>
      </c>
      <c r="G44" s="119" t="n">
        <f aca="false">SUMIFS(tabela_registros[VALOR],tabela_registros[MÊS],$AE$1,tabela_registros[DIA],settotal3059718395107119131[[#Headers],[3]],tabela_registros[REGISTRO],DADOS!$N$4,tabela_registros[TIPO],DADOS!$P$3,tabela_registros[CATEGORIA],despesafixaconsolidadoset[[#This Row],[DESPESA FIXA]])</f>
        <v>0</v>
      </c>
      <c r="H44" s="119" t="n">
        <f aca="false">SUMIFS(tabela_registros[VALOR],tabela_registros[MÊS],$AE$1,tabela_registros[DIA],settotal3059718395107119131[[#Headers],[4]],tabela_registros[REGISTRO],DADOS!$N$4,tabela_registros[TIPO],DADOS!$P$3,tabela_registros[CATEGORIA],despesafixaconsolidadoset[[#This Row],[DESPESA FIXA]])</f>
        <v>0</v>
      </c>
      <c r="I44" s="119" t="n">
        <f aca="false">SUMIFS(tabela_registros[VALOR],tabela_registros[MÊS],$AE$1,tabela_registros[DIA],settotal3059718395107119131[[#Headers],[5]],tabela_registros[REGISTRO],DADOS!$N$4,tabela_registros[TIPO],DADOS!$P$3,tabela_registros[CATEGORIA],despesafixaconsolidadoset[[#This Row],[DESPESA FIXA]])</f>
        <v>0</v>
      </c>
      <c r="J44" s="119" t="n">
        <f aca="false">SUMIFS(tabela_registros[VALOR],tabela_registros[MÊS],$AE$1,tabela_registros[DIA],settotal3059718395107119131[[#Headers],[6]],tabela_registros[REGISTRO],DADOS!$N$4,tabela_registros[TIPO],DADOS!$P$3,tabela_registros[CATEGORIA],despesafixaconsolidadoset[[#This Row],[DESPESA FIXA]])</f>
        <v>0</v>
      </c>
      <c r="K44" s="119" t="n">
        <f aca="false">SUMIFS(tabela_registros[VALOR],tabela_registros[MÊS],$AE$1,tabela_registros[DIA],settotal3059718395107119131[[#Headers],[7]],tabela_registros[REGISTRO],DADOS!$N$4,tabela_registros[TIPO],DADOS!$P$3,tabela_registros[CATEGORIA],despesafixaconsolidadoset[[#This Row],[DESPESA FIXA]])</f>
        <v>0</v>
      </c>
      <c r="L44" s="119" t="n">
        <f aca="false">SUMIFS(tabela_registros[VALOR],tabela_registros[MÊS],$AE$1,tabela_registros[DIA],settotal3059718395107119131[[#Headers],[8]],tabela_registros[REGISTRO],DADOS!$N$4,tabela_registros[TIPO],DADOS!$P$3,tabela_registros[CATEGORIA],despesafixaconsolidadoset[[#This Row],[DESPESA FIXA]])</f>
        <v>0</v>
      </c>
      <c r="M44" s="119" t="n">
        <f aca="false">SUMIFS(tabela_registros[VALOR],tabela_registros[MÊS],$AE$1,tabela_registros[DIA],settotal3059718395107119131[[#Headers],[9]],tabela_registros[REGISTRO],DADOS!$N$4,tabela_registros[TIPO],DADOS!$P$3,tabela_registros[CATEGORIA],despesafixaconsolidadoset[[#This Row],[DESPESA FIXA]])</f>
        <v>0</v>
      </c>
      <c r="N44" s="119" t="n">
        <f aca="false">SUMIFS(tabela_registros[VALOR],tabela_registros[MÊS],$AE$1,tabela_registros[DIA],settotal3059718395107119131[[#Headers],[10]],tabela_registros[REGISTRO],DADOS!$N$4,tabela_registros[TIPO],DADOS!$P$3,tabela_registros[CATEGORIA],despesafixaconsolidadoset[[#This Row],[DESPESA FIXA]])</f>
        <v>0</v>
      </c>
      <c r="O44" s="119" t="n">
        <f aca="false">SUMIFS(tabela_registros[VALOR],tabela_registros[MÊS],$AE$1,tabela_registros[DIA],settotal3059718395107119131[[#Headers],[11]],tabela_registros[REGISTRO],DADOS!$N$4,tabela_registros[TIPO],DADOS!$P$3,tabela_registros[CATEGORIA],despesafixaconsolidadoset[[#This Row],[DESPESA FIXA]])</f>
        <v>0</v>
      </c>
      <c r="P44" s="119" t="n">
        <f aca="false">SUMIFS(tabela_registros[VALOR],tabela_registros[MÊS],$AE$1,tabela_registros[DIA],settotal3059718395107119131[[#Headers],[12]],tabela_registros[REGISTRO],DADOS!$N$4,tabela_registros[TIPO],DADOS!$P$3,tabela_registros[CATEGORIA],despesafixaconsolidadoset[[#This Row],[DESPESA FIXA]])</f>
        <v>0</v>
      </c>
      <c r="Q44" s="119" t="n">
        <f aca="false">SUMIFS(tabela_registros[VALOR],tabela_registros[MÊS],$AE$1,tabela_registros[DIA],settotal3059718395107119131[[#Headers],[13]],tabela_registros[REGISTRO],DADOS!$N$4,tabela_registros[TIPO],DADOS!$P$3,tabela_registros[CATEGORIA],despesafixaconsolidadoset[[#This Row],[DESPESA FIXA]])</f>
        <v>0</v>
      </c>
      <c r="R44" s="119" t="n">
        <f aca="false">SUMIFS(tabela_registros[VALOR],tabela_registros[MÊS],$AE$1,tabela_registros[DIA],settotal3059718395107119131[[#Headers],[14]],tabela_registros[REGISTRO],DADOS!$N$4,tabela_registros[TIPO],DADOS!$P$3,tabela_registros[CATEGORIA],despesafixaconsolidadoset[[#This Row],[DESPESA FIXA]])</f>
        <v>0</v>
      </c>
      <c r="S44" s="119" t="n">
        <f aca="false">SUMIFS(tabela_registros[VALOR],tabela_registros[MÊS],$AE$1,tabela_registros[DIA],settotal3059718395107119131[[#Headers],[15]],tabela_registros[REGISTRO],DADOS!$N$4,tabela_registros[TIPO],DADOS!$P$3,tabela_registros[CATEGORIA],despesafixaconsolidadoset[[#This Row],[DESPESA FIXA]])</f>
        <v>0</v>
      </c>
      <c r="T44" s="119" t="n">
        <f aca="false">SUMIFS(tabela_registros[VALOR],tabela_registros[MÊS],$AE$1,tabela_registros[DIA],settotal3059718395107119131[[#Headers],[16]],tabela_registros[REGISTRO],DADOS!$N$4,tabela_registros[TIPO],DADOS!$P$3,tabela_registros[CATEGORIA],despesafixaconsolidadoset[[#This Row],[DESPESA FIXA]])</f>
        <v>0</v>
      </c>
      <c r="U44" s="119" t="n">
        <f aca="false">SUMIFS(tabela_registros[VALOR],tabela_registros[MÊS],$AE$1,tabela_registros[DIA],settotal3059718395107119131[[#Headers],[17]],tabela_registros[REGISTRO],DADOS!$N$4,tabela_registros[TIPO],DADOS!$P$3,tabela_registros[CATEGORIA],despesafixaconsolidadoset[[#This Row],[DESPESA FIXA]])</f>
        <v>0</v>
      </c>
      <c r="V44" s="119" t="n">
        <f aca="false">SUMIFS(tabela_registros[VALOR],tabela_registros[MÊS],$AE$1,tabela_registros[DIA],settotal3059718395107119131[[#Headers],[18]],tabela_registros[REGISTRO],DADOS!$N$4,tabela_registros[TIPO],DADOS!$P$3,tabela_registros[CATEGORIA],despesafixaconsolidadoset[[#This Row],[DESPESA FIXA]])</f>
        <v>0</v>
      </c>
      <c r="W44" s="119" t="n">
        <f aca="false">SUMIFS(tabela_registros[VALOR],tabela_registros[MÊS],$AE$1,tabela_registros[DIA],settotal3059718395107119131[[#Headers],[19]],tabela_registros[REGISTRO],DADOS!$N$4,tabela_registros[TIPO],DADOS!$P$3,tabela_registros[CATEGORIA],despesafixaconsolidadoset[[#This Row],[DESPESA FIXA]])</f>
        <v>0</v>
      </c>
      <c r="X44" s="119" t="n">
        <f aca="false">SUMIFS(tabela_registros[VALOR],tabela_registros[MÊS],$AE$1,tabela_registros[DIA],settotal3059718395107119131[[#Headers],[20]],tabela_registros[REGISTRO],DADOS!$N$4,tabela_registros[TIPO],DADOS!$P$3,tabela_registros[CATEGORIA],despesafixaconsolidadoset[[#This Row],[DESPESA FIXA]])</f>
        <v>0</v>
      </c>
      <c r="Y44" s="119" t="n">
        <f aca="false">SUMIFS(tabela_registros[VALOR],tabela_registros[MÊS],$AE$1,tabela_registros[DIA],settotal3059718395107119131[[#Headers],[21]],tabela_registros[REGISTRO],DADOS!$N$4,tabela_registros[TIPO],DADOS!$P$3,tabela_registros[CATEGORIA],despesafixaconsolidadoset[[#This Row],[DESPESA FIXA]])</f>
        <v>0</v>
      </c>
      <c r="Z44" s="119" t="n">
        <f aca="false">SUMIFS(tabela_registros[VALOR],tabela_registros[MÊS],$AE$1,tabela_registros[DIA],settotal3059718395107119131[[#Headers],[22]],tabela_registros[REGISTRO],DADOS!$N$4,tabela_registros[TIPO],DADOS!$P$3,tabela_registros[CATEGORIA],despesafixaconsolidadoset[[#This Row],[DESPESA FIXA]])</f>
        <v>0</v>
      </c>
      <c r="AA44" s="119" t="n">
        <f aca="false">SUMIFS(tabela_registros[VALOR],tabela_registros[MÊS],$AE$1,tabela_registros[DIA],settotal3059718395107119131[[#Headers],[23]],tabela_registros[REGISTRO],DADOS!$N$4,tabela_registros[TIPO],DADOS!$P$3,tabela_registros[CATEGORIA],despesafixaconsolidadoset[[#This Row],[DESPESA FIXA]])</f>
        <v>0</v>
      </c>
      <c r="AB44" s="119" t="n">
        <f aca="false">SUMIFS(tabela_registros[VALOR],tabela_registros[MÊS],$AE$1,tabela_registros[DIA],settotal3059718395107119131[[#Headers],[24]],tabela_registros[REGISTRO],DADOS!$N$4,tabela_registros[TIPO],DADOS!$P$3,tabela_registros[CATEGORIA],despesafixaconsolidadoset[[#This Row],[DESPESA FIXA]])</f>
        <v>0</v>
      </c>
      <c r="AC44" s="119" t="n">
        <f aca="false">SUMIFS(tabela_registros[VALOR],tabela_registros[MÊS],$AE$1,tabela_registros[DIA],settotal3059718395107119131[[#Headers],[25]],tabela_registros[REGISTRO],DADOS!$N$4,tabela_registros[TIPO],DADOS!$P$3,tabela_registros[CATEGORIA],despesafixaconsolidadoset[[#This Row],[DESPESA FIXA]])</f>
        <v>0</v>
      </c>
      <c r="AD44" s="119" t="n">
        <f aca="false">SUMIFS(tabela_registros[VALOR],tabela_registros[MÊS],$AE$1,tabela_registros[DIA],settotal3059718395107119131[[#Headers],[26]],tabela_registros[REGISTRO],DADOS!$N$4,tabela_registros[TIPO],DADOS!$P$3,tabela_registros[CATEGORIA],despesafixaconsolidadoset[[#This Row],[DESPESA FIXA]])</f>
        <v>0</v>
      </c>
      <c r="AE44" s="119" t="n">
        <f aca="false">SUMIFS(tabela_registros[VALOR],tabela_registros[MÊS],$AE$1,tabela_registros[DIA],settotal3059718395107119131[[#Headers],[27]],tabela_registros[REGISTRO],DADOS!$N$4,tabela_registros[TIPO],DADOS!$P$3,tabela_registros[CATEGORIA],despesafixaconsolidadoset[[#This Row],[DESPESA FIXA]])</f>
        <v>0</v>
      </c>
      <c r="AF44" s="119" t="n">
        <f aca="false">SUMIFS(tabela_registros[VALOR],tabela_registros[MÊS],$AE$1,tabela_registros[DIA],settotal3059718395107119131[[#Headers],[28]],tabela_registros[REGISTRO],DADOS!$N$4,tabela_registros[TIPO],DADOS!$P$3,tabela_registros[CATEGORIA],despesafixaconsolidadoset[[#This Row],[DESPESA FIXA]])</f>
        <v>0</v>
      </c>
      <c r="AG44" s="119" t="n">
        <f aca="false">SUMIFS(tabela_registros[VALOR],tabela_registros[MÊS],$AE$1,tabela_registros[DIA],settotal3059718395107119131[[#Headers],[29]],tabela_registros[REGISTRO],DADOS!$N$4,tabela_registros[TIPO],DADOS!$P$3,tabela_registros[CATEGORIA],despesafixaconsolidadoset[[#This Row],[DESPESA FIXA]])</f>
        <v>0</v>
      </c>
      <c r="AH44" s="119" t="n">
        <f aca="false">SUMIFS(tabela_registros[VALOR],tabela_registros[MÊS],$AE$1,tabela_registros[DIA],settotal3059718395107119131[[#Headers],[30]],tabela_registros[REGISTRO],DADOS!$N$4,tabela_registros[TIPO],DADOS!$P$3,tabela_registros[CATEGORIA],despesafixaconsolidadoset[[#This Row],[DESPESA FIXA]])</f>
        <v>0</v>
      </c>
      <c r="AI44" s="217" t="n">
        <f aca="false">SUMIFS(tabela_registros[VALOR],tabela_registros[MÊS],$AE$1,tabela_registros[DIA],settotal3059718395107119131[[#Headers],[31]],tabela_registros[REGISTRO],DADOS!$N$4,tabela_registros[TIPO],DADOS!$P$3,tabela_registros[CATEGORIA],despesafixaconsolidadoset[[#This Row],[DESPESA FIXA]])</f>
        <v>0</v>
      </c>
      <c r="AJ44" s="149" t="n">
        <f aca="false">SUM(despesafixaconsolidadoset[[#This Row],[1]:[31]])</f>
        <v>0</v>
      </c>
      <c r="AK44" s="143"/>
    </row>
    <row r="45" customFormat="false" ht="18" hidden="false" customHeight="true" outlineLevel="0" collapsed="false">
      <c r="B45" s="143"/>
      <c r="C45" s="144" t="str">
        <f aca="false">DADOS!$R$11</f>
        <v>🔢 IMPOSTOS</v>
      </c>
      <c r="D45" s="145" t="str">
        <f aca="false">IF(despesafixaconsolidadoset[[#This Row],[TOTAL]]=0,"",IF(OR(despesafixaconsolidadoset[[#This Row],[TOTAL]]=LARGE($AJ$37:$AJ$50,1),despesafixaconsolidadoset[[#This Row],[TOTAL]]=LARGE($AJ$37:$AJ$50,2),despesafixaconsolidadoset[[#This Row],[TOTAL]]=LARGE($AJ$37:$AJ$50,3),despesafixaconsolidadoset[[#This Row],[TOTAL]]=LARGE($AJ$37:$AJ$50,4),despesafixaconsolidadoset[[#This Row],[TOTAL]]=LARGE($AJ$37:$AJ$50,5)),DADOS!$I$8,""))</f>
        <v/>
      </c>
      <c r="E45" s="148" t="n">
        <f aca="false">SUMIFS(tabela_registros[VALOR],tabela_registros[MÊS],$AE$1,tabela_registros[DIA],settotal3059718395107119131[[#Headers],[1]],tabela_registros[REGISTRO],DADOS!$N$4,tabela_registros[TIPO],DADOS!$P$3,tabela_registros[CATEGORIA],despesafixaconsolidadoset[[#This Row],[DESPESA FIXA]])</f>
        <v>0</v>
      </c>
      <c r="F45" s="119" t="n">
        <f aca="false">SUMIFS(tabela_registros[VALOR],tabela_registros[MÊS],$AE$1,tabela_registros[DIA],settotal3059718395107119131[[#Headers],[2]],tabela_registros[REGISTRO],DADOS!$N$4,tabela_registros[TIPO],DADOS!$P$3,tabela_registros[CATEGORIA],despesafixaconsolidadoset[[#This Row],[DESPESA FIXA]])</f>
        <v>0</v>
      </c>
      <c r="G45" s="119" t="n">
        <f aca="false">SUMIFS(tabela_registros[VALOR],tabela_registros[MÊS],$AE$1,tabela_registros[DIA],settotal3059718395107119131[[#Headers],[3]],tabela_registros[REGISTRO],DADOS!$N$4,tabela_registros[TIPO],DADOS!$P$3,tabela_registros[CATEGORIA],despesafixaconsolidadoset[[#This Row],[DESPESA FIXA]])</f>
        <v>0</v>
      </c>
      <c r="H45" s="119" t="n">
        <f aca="false">SUMIFS(tabela_registros[VALOR],tabela_registros[MÊS],$AE$1,tabela_registros[DIA],settotal3059718395107119131[[#Headers],[4]],tabela_registros[REGISTRO],DADOS!$N$4,tabela_registros[TIPO],DADOS!$P$3,tabela_registros[CATEGORIA],despesafixaconsolidadoset[[#This Row],[DESPESA FIXA]])</f>
        <v>0</v>
      </c>
      <c r="I45" s="119" t="n">
        <f aca="false">SUMIFS(tabela_registros[VALOR],tabela_registros[MÊS],$AE$1,tabela_registros[DIA],settotal3059718395107119131[[#Headers],[5]],tabela_registros[REGISTRO],DADOS!$N$4,tabela_registros[TIPO],DADOS!$P$3,tabela_registros[CATEGORIA],despesafixaconsolidadoset[[#This Row],[DESPESA FIXA]])</f>
        <v>0</v>
      </c>
      <c r="J45" s="119" t="n">
        <f aca="false">SUMIFS(tabela_registros[VALOR],tabela_registros[MÊS],$AE$1,tabela_registros[DIA],settotal3059718395107119131[[#Headers],[6]],tabela_registros[REGISTRO],DADOS!$N$4,tabela_registros[TIPO],DADOS!$P$3,tabela_registros[CATEGORIA],despesafixaconsolidadoset[[#This Row],[DESPESA FIXA]])</f>
        <v>0</v>
      </c>
      <c r="K45" s="119" t="n">
        <f aca="false">SUMIFS(tabela_registros[VALOR],tabela_registros[MÊS],$AE$1,tabela_registros[DIA],settotal3059718395107119131[[#Headers],[7]],tabela_registros[REGISTRO],DADOS!$N$4,tabela_registros[TIPO],DADOS!$P$3,tabela_registros[CATEGORIA],despesafixaconsolidadoset[[#This Row],[DESPESA FIXA]])</f>
        <v>0</v>
      </c>
      <c r="L45" s="119" t="n">
        <f aca="false">SUMIFS(tabela_registros[VALOR],tabela_registros[MÊS],$AE$1,tabela_registros[DIA],settotal3059718395107119131[[#Headers],[8]],tabela_registros[REGISTRO],DADOS!$N$4,tabela_registros[TIPO],DADOS!$P$3,tabela_registros[CATEGORIA],despesafixaconsolidadoset[[#This Row],[DESPESA FIXA]])</f>
        <v>0</v>
      </c>
      <c r="M45" s="119" t="n">
        <f aca="false">SUMIFS(tabela_registros[VALOR],tabela_registros[MÊS],$AE$1,tabela_registros[DIA],settotal3059718395107119131[[#Headers],[9]],tabela_registros[REGISTRO],DADOS!$N$4,tabela_registros[TIPO],DADOS!$P$3,tabela_registros[CATEGORIA],despesafixaconsolidadoset[[#This Row],[DESPESA FIXA]])</f>
        <v>0</v>
      </c>
      <c r="N45" s="119" t="n">
        <f aca="false">SUMIFS(tabela_registros[VALOR],tabela_registros[MÊS],$AE$1,tabela_registros[DIA],settotal3059718395107119131[[#Headers],[10]],tabela_registros[REGISTRO],DADOS!$N$4,tabela_registros[TIPO],DADOS!$P$3,tabela_registros[CATEGORIA],despesafixaconsolidadoset[[#This Row],[DESPESA FIXA]])</f>
        <v>0</v>
      </c>
      <c r="O45" s="119" t="n">
        <f aca="false">SUMIFS(tabela_registros[VALOR],tabela_registros[MÊS],$AE$1,tabela_registros[DIA],settotal3059718395107119131[[#Headers],[11]],tabela_registros[REGISTRO],DADOS!$N$4,tabela_registros[TIPO],DADOS!$P$3,tabela_registros[CATEGORIA],despesafixaconsolidadoset[[#This Row],[DESPESA FIXA]])</f>
        <v>0</v>
      </c>
      <c r="P45" s="119" t="n">
        <f aca="false">SUMIFS(tabela_registros[VALOR],tabela_registros[MÊS],$AE$1,tabela_registros[DIA],settotal3059718395107119131[[#Headers],[12]],tabela_registros[REGISTRO],DADOS!$N$4,tabela_registros[TIPO],DADOS!$P$3,tabela_registros[CATEGORIA],despesafixaconsolidadoset[[#This Row],[DESPESA FIXA]])</f>
        <v>0</v>
      </c>
      <c r="Q45" s="119" t="n">
        <f aca="false">SUMIFS(tabela_registros[VALOR],tabela_registros[MÊS],$AE$1,tabela_registros[DIA],settotal3059718395107119131[[#Headers],[13]],tabela_registros[REGISTRO],DADOS!$N$4,tabela_registros[TIPO],DADOS!$P$3,tabela_registros[CATEGORIA],despesafixaconsolidadoset[[#This Row],[DESPESA FIXA]])</f>
        <v>0</v>
      </c>
      <c r="R45" s="119" t="n">
        <f aca="false">SUMIFS(tabela_registros[VALOR],tabela_registros[MÊS],$AE$1,tabela_registros[DIA],settotal3059718395107119131[[#Headers],[14]],tabela_registros[REGISTRO],DADOS!$N$4,tabela_registros[TIPO],DADOS!$P$3,tabela_registros[CATEGORIA],despesafixaconsolidadoset[[#This Row],[DESPESA FIXA]])</f>
        <v>0</v>
      </c>
      <c r="S45" s="119" t="n">
        <f aca="false">SUMIFS(tabela_registros[VALOR],tabela_registros[MÊS],$AE$1,tabela_registros[DIA],settotal3059718395107119131[[#Headers],[15]],tabela_registros[REGISTRO],DADOS!$N$4,tabela_registros[TIPO],DADOS!$P$3,tabela_registros[CATEGORIA],despesafixaconsolidadoset[[#This Row],[DESPESA FIXA]])</f>
        <v>0</v>
      </c>
      <c r="T45" s="119" t="n">
        <f aca="false">SUMIFS(tabela_registros[VALOR],tabela_registros[MÊS],$AE$1,tabela_registros[DIA],settotal3059718395107119131[[#Headers],[16]],tabela_registros[REGISTRO],DADOS!$N$4,tabela_registros[TIPO],DADOS!$P$3,tabela_registros[CATEGORIA],despesafixaconsolidadoset[[#This Row],[DESPESA FIXA]])</f>
        <v>0</v>
      </c>
      <c r="U45" s="119" t="n">
        <f aca="false">SUMIFS(tabela_registros[VALOR],tabela_registros[MÊS],$AE$1,tabela_registros[DIA],settotal3059718395107119131[[#Headers],[17]],tabela_registros[REGISTRO],DADOS!$N$4,tabela_registros[TIPO],DADOS!$P$3,tabela_registros[CATEGORIA],despesafixaconsolidadoset[[#This Row],[DESPESA FIXA]])</f>
        <v>0</v>
      </c>
      <c r="V45" s="119" t="n">
        <f aca="false">SUMIFS(tabela_registros[VALOR],tabela_registros[MÊS],$AE$1,tabela_registros[DIA],settotal3059718395107119131[[#Headers],[18]],tabela_registros[REGISTRO],DADOS!$N$4,tabela_registros[TIPO],DADOS!$P$3,tabela_registros[CATEGORIA],despesafixaconsolidadoset[[#This Row],[DESPESA FIXA]])</f>
        <v>0</v>
      </c>
      <c r="W45" s="119" t="n">
        <f aca="false">SUMIFS(tabela_registros[VALOR],tabela_registros[MÊS],$AE$1,tabela_registros[DIA],settotal3059718395107119131[[#Headers],[19]],tabela_registros[REGISTRO],DADOS!$N$4,tabela_registros[TIPO],DADOS!$P$3,tabela_registros[CATEGORIA],despesafixaconsolidadoset[[#This Row],[DESPESA FIXA]])</f>
        <v>0</v>
      </c>
      <c r="X45" s="119" t="n">
        <f aca="false">SUMIFS(tabela_registros[VALOR],tabela_registros[MÊS],$AE$1,tabela_registros[DIA],settotal3059718395107119131[[#Headers],[20]],tabela_registros[REGISTRO],DADOS!$N$4,tabela_registros[TIPO],DADOS!$P$3,tabela_registros[CATEGORIA],despesafixaconsolidadoset[[#This Row],[DESPESA FIXA]])</f>
        <v>0</v>
      </c>
      <c r="Y45" s="119" t="n">
        <f aca="false">SUMIFS(tabela_registros[VALOR],tabela_registros[MÊS],$AE$1,tabela_registros[DIA],settotal3059718395107119131[[#Headers],[21]],tabela_registros[REGISTRO],DADOS!$N$4,tabela_registros[TIPO],DADOS!$P$3,tabela_registros[CATEGORIA],despesafixaconsolidadoset[[#This Row],[DESPESA FIXA]])</f>
        <v>0</v>
      </c>
      <c r="Z45" s="119" t="n">
        <f aca="false">SUMIFS(tabela_registros[VALOR],tabela_registros[MÊS],$AE$1,tabela_registros[DIA],settotal3059718395107119131[[#Headers],[22]],tabela_registros[REGISTRO],DADOS!$N$4,tabela_registros[TIPO],DADOS!$P$3,tabela_registros[CATEGORIA],despesafixaconsolidadoset[[#This Row],[DESPESA FIXA]])</f>
        <v>0</v>
      </c>
      <c r="AA45" s="119" t="n">
        <f aca="false">SUMIFS(tabela_registros[VALOR],tabela_registros[MÊS],$AE$1,tabela_registros[DIA],settotal3059718395107119131[[#Headers],[23]],tabela_registros[REGISTRO],DADOS!$N$4,tabela_registros[TIPO],DADOS!$P$3,tabela_registros[CATEGORIA],despesafixaconsolidadoset[[#This Row],[DESPESA FIXA]])</f>
        <v>0</v>
      </c>
      <c r="AB45" s="119" t="n">
        <f aca="false">SUMIFS(tabela_registros[VALOR],tabela_registros[MÊS],$AE$1,tabela_registros[DIA],settotal3059718395107119131[[#Headers],[24]],tabela_registros[REGISTRO],DADOS!$N$4,tabela_registros[TIPO],DADOS!$P$3,tabela_registros[CATEGORIA],despesafixaconsolidadoset[[#This Row],[DESPESA FIXA]])</f>
        <v>0</v>
      </c>
      <c r="AC45" s="119" t="n">
        <f aca="false">SUMIFS(tabela_registros[VALOR],tabela_registros[MÊS],$AE$1,tabela_registros[DIA],settotal3059718395107119131[[#Headers],[25]],tabela_registros[REGISTRO],DADOS!$N$4,tabela_registros[TIPO],DADOS!$P$3,tabela_registros[CATEGORIA],despesafixaconsolidadoset[[#This Row],[DESPESA FIXA]])</f>
        <v>0</v>
      </c>
      <c r="AD45" s="119" t="n">
        <f aca="false">SUMIFS(tabela_registros[VALOR],tabela_registros[MÊS],$AE$1,tabela_registros[DIA],settotal3059718395107119131[[#Headers],[26]],tabela_registros[REGISTRO],DADOS!$N$4,tabela_registros[TIPO],DADOS!$P$3,tabela_registros[CATEGORIA],despesafixaconsolidadoset[[#This Row],[DESPESA FIXA]])</f>
        <v>0</v>
      </c>
      <c r="AE45" s="119" t="n">
        <f aca="false">SUMIFS(tabela_registros[VALOR],tabela_registros[MÊS],$AE$1,tabela_registros[DIA],settotal3059718395107119131[[#Headers],[27]],tabela_registros[REGISTRO],DADOS!$N$4,tabela_registros[TIPO],DADOS!$P$3,tabela_registros[CATEGORIA],despesafixaconsolidadoset[[#This Row],[DESPESA FIXA]])</f>
        <v>0</v>
      </c>
      <c r="AF45" s="119" t="n">
        <f aca="false">SUMIFS(tabela_registros[VALOR],tabela_registros[MÊS],$AE$1,tabela_registros[DIA],settotal3059718395107119131[[#Headers],[28]],tabela_registros[REGISTRO],DADOS!$N$4,tabela_registros[TIPO],DADOS!$P$3,tabela_registros[CATEGORIA],despesafixaconsolidadoset[[#This Row],[DESPESA FIXA]])</f>
        <v>0</v>
      </c>
      <c r="AG45" s="119" t="n">
        <f aca="false">SUMIFS(tabela_registros[VALOR],tabela_registros[MÊS],$AE$1,tabela_registros[DIA],settotal3059718395107119131[[#Headers],[29]],tabela_registros[REGISTRO],DADOS!$N$4,tabela_registros[TIPO],DADOS!$P$3,tabela_registros[CATEGORIA],despesafixaconsolidadoset[[#This Row],[DESPESA FIXA]])</f>
        <v>0</v>
      </c>
      <c r="AH45" s="119" t="n">
        <f aca="false">SUMIFS(tabela_registros[VALOR],tabela_registros[MÊS],$AE$1,tabela_registros[DIA],settotal3059718395107119131[[#Headers],[30]],tabela_registros[REGISTRO],DADOS!$N$4,tabela_registros[TIPO],DADOS!$P$3,tabela_registros[CATEGORIA],despesafixaconsolidadoset[[#This Row],[DESPESA FIXA]])</f>
        <v>0</v>
      </c>
      <c r="AI45" s="217" t="n">
        <f aca="false">SUMIFS(tabela_registros[VALOR],tabela_registros[MÊS],$AE$1,tabela_registros[DIA],settotal3059718395107119131[[#Headers],[31]],tabela_registros[REGISTRO],DADOS!$N$4,tabela_registros[TIPO],DADOS!$P$3,tabela_registros[CATEGORIA],despesafixaconsolidadoset[[#This Row],[DESPESA FIXA]])</f>
        <v>0</v>
      </c>
      <c r="AJ45" s="149" t="n">
        <f aca="false">SUM(despesafixaconsolidadoset[[#This Row],[1]:[31]])</f>
        <v>0</v>
      </c>
      <c r="AK45" s="143"/>
    </row>
    <row r="46" customFormat="false" ht="18" hidden="false" customHeight="true" outlineLevel="0" collapsed="false">
      <c r="B46" s="143"/>
      <c r="C46" s="144" t="str">
        <f aca="false">DADOS!$R$12</f>
        <v>🖱️ INTERNET</v>
      </c>
      <c r="D46" s="145" t="str">
        <f aca="false">IF(despesafixaconsolidadoset[[#This Row],[TOTAL]]=0,"",IF(OR(despesafixaconsolidadoset[[#This Row],[TOTAL]]=LARGE($AJ$37:$AJ$50,1),despesafixaconsolidadoset[[#This Row],[TOTAL]]=LARGE($AJ$37:$AJ$50,2),despesafixaconsolidadoset[[#This Row],[TOTAL]]=LARGE($AJ$37:$AJ$50,3),despesafixaconsolidadoset[[#This Row],[TOTAL]]=LARGE($AJ$37:$AJ$50,4),despesafixaconsolidadoset[[#This Row],[TOTAL]]=LARGE($AJ$37:$AJ$50,5)),DADOS!$I$8,""))</f>
        <v/>
      </c>
      <c r="E46" s="148" t="n">
        <f aca="false">SUMIFS(tabela_registros[VALOR],tabela_registros[MÊS],$AE$1,tabela_registros[DIA],settotal3059718395107119131[[#Headers],[1]],tabela_registros[REGISTRO],DADOS!$N$4,tabela_registros[TIPO],DADOS!$P$3,tabela_registros[CATEGORIA],despesafixaconsolidadoset[[#This Row],[DESPESA FIXA]])</f>
        <v>0</v>
      </c>
      <c r="F46" s="119" t="n">
        <f aca="false">SUMIFS(tabela_registros[VALOR],tabela_registros[MÊS],$AE$1,tabela_registros[DIA],settotal3059718395107119131[[#Headers],[2]],tabela_registros[REGISTRO],DADOS!$N$4,tabela_registros[TIPO],DADOS!$P$3,tabela_registros[CATEGORIA],despesafixaconsolidadoset[[#This Row],[DESPESA FIXA]])</f>
        <v>0</v>
      </c>
      <c r="G46" s="119" t="n">
        <f aca="false">SUMIFS(tabela_registros[VALOR],tabela_registros[MÊS],$AE$1,tabela_registros[DIA],settotal3059718395107119131[[#Headers],[3]],tabela_registros[REGISTRO],DADOS!$N$4,tabela_registros[TIPO],DADOS!$P$3,tabela_registros[CATEGORIA],despesafixaconsolidadoset[[#This Row],[DESPESA FIXA]])</f>
        <v>0</v>
      </c>
      <c r="H46" s="119" t="n">
        <f aca="false">SUMIFS(tabela_registros[VALOR],tabela_registros[MÊS],$AE$1,tabela_registros[DIA],settotal3059718395107119131[[#Headers],[4]],tabela_registros[REGISTRO],DADOS!$N$4,tabela_registros[TIPO],DADOS!$P$3,tabela_registros[CATEGORIA],despesafixaconsolidadoset[[#This Row],[DESPESA FIXA]])</f>
        <v>0</v>
      </c>
      <c r="I46" s="119" t="n">
        <f aca="false">SUMIFS(tabela_registros[VALOR],tabela_registros[MÊS],$AE$1,tabela_registros[DIA],settotal3059718395107119131[[#Headers],[5]],tabela_registros[REGISTRO],DADOS!$N$4,tabela_registros[TIPO],DADOS!$P$3,tabela_registros[CATEGORIA],despesafixaconsolidadoset[[#This Row],[DESPESA FIXA]])</f>
        <v>0</v>
      </c>
      <c r="J46" s="119" t="n">
        <f aca="false">SUMIFS(tabela_registros[VALOR],tabela_registros[MÊS],$AE$1,tabela_registros[DIA],settotal3059718395107119131[[#Headers],[6]],tabela_registros[REGISTRO],DADOS!$N$4,tabela_registros[TIPO],DADOS!$P$3,tabela_registros[CATEGORIA],despesafixaconsolidadoset[[#This Row],[DESPESA FIXA]])</f>
        <v>0</v>
      </c>
      <c r="K46" s="119" t="n">
        <f aca="false">SUMIFS(tabela_registros[VALOR],tabela_registros[MÊS],$AE$1,tabela_registros[DIA],settotal3059718395107119131[[#Headers],[7]],tabela_registros[REGISTRO],DADOS!$N$4,tabela_registros[TIPO],DADOS!$P$3,tabela_registros[CATEGORIA],despesafixaconsolidadoset[[#This Row],[DESPESA FIXA]])</f>
        <v>0</v>
      </c>
      <c r="L46" s="119" t="n">
        <f aca="false">SUMIFS(tabela_registros[VALOR],tabela_registros[MÊS],$AE$1,tabela_registros[DIA],settotal3059718395107119131[[#Headers],[8]],tabela_registros[REGISTRO],DADOS!$N$4,tabela_registros[TIPO],DADOS!$P$3,tabela_registros[CATEGORIA],despesafixaconsolidadoset[[#This Row],[DESPESA FIXA]])</f>
        <v>0</v>
      </c>
      <c r="M46" s="119" t="n">
        <f aca="false">SUMIFS(tabela_registros[VALOR],tabela_registros[MÊS],$AE$1,tabela_registros[DIA],settotal3059718395107119131[[#Headers],[9]],tabela_registros[REGISTRO],DADOS!$N$4,tabela_registros[TIPO],DADOS!$P$3,tabela_registros[CATEGORIA],despesafixaconsolidadoset[[#This Row],[DESPESA FIXA]])</f>
        <v>0</v>
      </c>
      <c r="N46" s="119" t="n">
        <f aca="false">SUMIFS(tabela_registros[VALOR],tabela_registros[MÊS],$AE$1,tabela_registros[DIA],settotal3059718395107119131[[#Headers],[10]],tabela_registros[REGISTRO],DADOS!$N$4,tabela_registros[TIPO],DADOS!$P$3,tabela_registros[CATEGORIA],despesafixaconsolidadoset[[#This Row],[DESPESA FIXA]])</f>
        <v>0</v>
      </c>
      <c r="O46" s="119" t="n">
        <f aca="false">SUMIFS(tabela_registros[VALOR],tabela_registros[MÊS],$AE$1,tabela_registros[DIA],settotal3059718395107119131[[#Headers],[11]],tabela_registros[REGISTRO],DADOS!$N$4,tabela_registros[TIPO],DADOS!$P$3,tabela_registros[CATEGORIA],despesafixaconsolidadoset[[#This Row],[DESPESA FIXA]])</f>
        <v>0</v>
      </c>
      <c r="P46" s="119" t="n">
        <f aca="false">SUMIFS(tabela_registros[VALOR],tabela_registros[MÊS],$AE$1,tabela_registros[DIA],settotal3059718395107119131[[#Headers],[12]],tabela_registros[REGISTRO],DADOS!$N$4,tabela_registros[TIPO],DADOS!$P$3,tabela_registros[CATEGORIA],despesafixaconsolidadoset[[#This Row],[DESPESA FIXA]])</f>
        <v>0</v>
      </c>
      <c r="Q46" s="119" t="n">
        <f aca="false">SUMIFS(tabela_registros[VALOR],tabela_registros[MÊS],$AE$1,tabela_registros[DIA],settotal3059718395107119131[[#Headers],[13]],tabela_registros[REGISTRO],DADOS!$N$4,tabela_registros[TIPO],DADOS!$P$3,tabela_registros[CATEGORIA],despesafixaconsolidadoset[[#This Row],[DESPESA FIXA]])</f>
        <v>0</v>
      </c>
      <c r="R46" s="119" t="n">
        <f aca="false">SUMIFS(tabela_registros[VALOR],tabela_registros[MÊS],$AE$1,tabela_registros[DIA],settotal3059718395107119131[[#Headers],[14]],tabela_registros[REGISTRO],DADOS!$N$4,tabela_registros[TIPO],DADOS!$P$3,tabela_registros[CATEGORIA],despesafixaconsolidadoset[[#This Row],[DESPESA FIXA]])</f>
        <v>0</v>
      </c>
      <c r="S46" s="119" t="n">
        <f aca="false">SUMIFS(tabela_registros[VALOR],tabela_registros[MÊS],$AE$1,tabela_registros[DIA],settotal3059718395107119131[[#Headers],[15]],tabela_registros[REGISTRO],DADOS!$N$4,tabela_registros[TIPO],DADOS!$P$3,tabela_registros[CATEGORIA],despesafixaconsolidadoset[[#This Row],[DESPESA FIXA]])</f>
        <v>0</v>
      </c>
      <c r="T46" s="119" t="n">
        <f aca="false">SUMIFS(tabela_registros[VALOR],tabela_registros[MÊS],$AE$1,tabela_registros[DIA],settotal3059718395107119131[[#Headers],[16]],tabela_registros[REGISTRO],DADOS!$N$4,tabela_registros[TIPO],DADOS!$P$3,tabela_registros[CATEGORIA],despesafixaconsolidadoset[[#This Row],[DESPESA FIXA]])</f>
        <v>0</v>
      </c>
      <c r="U46" s="119" t="n">
        <f aca="false">SUMIFS(tabela_registros[VALOR],tabela_registros[MÊS],$AE$1,tabela_registros[DIA],settotal3059718395107119131[[#Headers],[17]],tabela_registros[REGISTRO],DADOS!$N$4,tabela_registros[TIPO],DADOS!$P$3,tabela_registros[CATEGORIA],despesafixaconsolidadoset[[#This Row],[DESPESA FIXA]])</f>
        <v>0</v>
      </c>
      <c r="V46" s="119" t="n">
        <f aca="false">SUMIFS(tabela_registros[VALOR],tabela_registros[MÊS],$AE$1,tabela_registros[DIA],settotal3059718395107119131[[#Headers],[18]],tabela_registros[REGISTRO],DADOS!$N$4,tabela_registros[TIPO],DADOS!$P$3,tabela_registros[CATEGORIA],despesafixaconsolidadoset[[#This Row],[DESPESA FIXA]])</f>
        <v>0</v>
      </c>
      <c r="W46" s="119" t="n">
        <f aca="false">SUMIFS(tabela_registros[VALOR],tabela_registros[MÊS],$AE$1,tabela_registros[DIA],settotal3059718395107119131[[#Headers],[19]],tabela_registros[REGISTRO],DADOS!$N$4,tabela_registros[TIPO],DADOS!$P$3,tabela_registros[CATEGORIA],despesafixaconsolidadoset[[#This Row],[DESPESA FIXA]])</f>
        <v>0</v>
      </c>
      <c r="X46" s="119" t="n">
        <f aca="false">SUMIFS(tabela_registros[VALOR],tabela_registros[MÊS],$AE$1,tabela_registros[DIA],settotal3059718395107119131[[#Headers],[20]],tabela_registros[REGISTRO],DADOS!$N$4,tabela_registros[TIPO],DADOS!$P$3,tabela_registros[CATEGORIA],despesafixaconsolidadoset[[#This Row],[DESPESA FIXA]])</f>
        <v>0</v>
      </c>
      <c r="Y46" s="119" t="n">
        <f aca="false">SUMIFS(tabela_registros[VALOR],tabela_registros[MÊS],$AE$1,tabela_registros[DIA],settotal3059718395107119131[[#Headers],[21]],tabela_registros[REGISTRO],DADOS!$N$4,tabela_registros[TIPO],DADOS!$P$3,tabela_registros[CATEGORIA],despesafixaconsolidadoset[[#This Row],[DESPESA FIXA]])</f>
        <v>0</v>
      </c>
      <c r="Z46" s="119" t="n">
        <f aca="false">SUMIFS(tabela_registros[VALOR],tabela_registros[MÊS],$AE$1,tabela_registros[DIA],settotal3059718395107119131[[#Headers],[22]],tabela_registros[REGISTRO],DADOS!$N$4,tabela_registros[TIPO],DADOS!$P$3,tabela_registros[CATEGORIA],despesafixaconsolidadoset[[#This Row],[DESPESA FIXA]])</f>
        <v>0</v>
      </c>
      <c r="AA46" s="119" t="n">
        <f aca="false">SUMIFS(tabela_registros[VALOR],tabela_registros[MÊS],$AE$1,tabela_registros[DIA],settotal3059718395107119131[[#Headers],[23]],tabela_registros[REGISTRO],DADOS!$N$4,tabela_registros[TIPO],DADOS!$P$3,tabela_registros[CATEGORIA],despesafixaconsolidadoset[[#This Row],[DESPESA FIXA]])</f>
        <v>0</v>
      </c>
      <c r="AB46" s="119" t="n">
        <f aca="false">SUMIFS(tabela_registros[VALOR],tabela_registros[MÊS],$AE$1,tabela_registros[DIA],settotal3059718395107119131[[#Headers],[24]],tabela_registros[REGISTRO],DADOS!$N$4,tabela_registros[TIPO],DADOS!$P$3,tabela_registros[CATEGORIA],despesafixaconsolidadoset[[#This Row],[DESPESA FIXA]])</f>
        <v>0</v>
      </c>
      <c r="AC46" s="119" t="n">
        <f aca="false">SUMIFS(tabela_registros[VALOR],tabela_registros[MÊS],$AE$1,tabela_registros[DIA],settotal3059718395107119131[[#Headers],[25]],tabela_registros[REGISTRO],DADOS!$N$4,tabela_registros[TIPO],DADOS!$P$3,tabela_registros[CATEGORIA],despesafixaconsolidadoset[[#This Row],[DESPESA FIXA]])</f>
        <v>0</v>
      </c>
      <c r="AD46" s="119" t="n">
        <f aca="false">SUMIFS(tabela_registros[VALOR],tabela_registros[MÊS],$AE$1,tabela_registros[DIA],settotal3059718395107119131[[#Headers],[26]],tabela_registros[REGISTRO],DADOS!$N$4,tabela_registros[TIPO],DADOS!$P$3,tabela_registros[CATEGORIA],despesafixaconsolidadoset[[#This Row],[DESPESA FIXA]])</f>
        <v>0</v>
      </c>
      <c r="AE46" s="119" t="n">
        <f aca="false">SUMIFS(tabela_registros[VALOR],tabela_registros[MÊS],$AE$1,tabela_registros[DIA],settotal3059718395107119131[[#Headers],[27]],tabela_registros[REGISTRO],DADOS!$N$4,tabela_registros[TIPO],DADOS!$P$3,tabela_registros[CATEGORIA],despesafixaconsolidadoset[[#This Row],[DESPESA FIXA]])</f>
        <v>0</v>
      </c>
      <c r="AF46" s="119" t="n">
        <f aca="false">SUMIFS(tabela_registros[VALOR],tabela_registros[MÊS],$AE$1,tabela_registros[DIA],settotal3059718395107119131[[#Headers],[28]],tabela_registros[REGISTRO],DADOS!$N$4,tabela_registros[TIPO],DADOS!$P$3,tabela_registros[CATEGORIA],despesafixaconsolidadoset[[#This Row],[DESPESA FIXA]])</f>
        <v>0</v>
      </c>
      <c r="AG46" s="119" t="n">
        <f aca="false">SUMIFS(tabela_registros[VALOR],tabela_registros[MÊS],$AE$1,tabela_registros[DIA],settotal3059718395107119131[[#Headers],[29]],tabela_registros[REGISTRO],DADOS!$N$4,tabela_registros[TIPO],DADOS!$P$3,tabela_registros[CATEGORIA],despesafixaconsolidadoset[[#This Row],[DESPESA FIXA]])</f>
        <v>0</v>
      </c>
      <c r="AH46" s="119" t="n">
        <f aca="false">SUMIFS(tabela_registros[VALOR],tabela_registros[MÊS],$AE$1,tabela_registros[DIA],settotal3059718395107119131[[#Headers],[30]],tabela_registros[REGISTRO],DADOS!$N$4,tabela_registros[TIPO],DADOS!$P$3,tabela_registros[CATEGORIA],despesafixaconsolidadoset[[#This Row],[DESPESA FIXA]])</f>
        <v>0</v>
      </c>
      <c r="AI46" s="217" t="n">
        <f aca="false">SUMIFS(tabela_registros[VALOR],tabela_registros[MÊS],$AE$1,tabela_registros[DIA],settotal3059718395107119131[[#Headers],[31]],tabela_registros[REGISTRO],DADOS!$N$4,tabela_registros[TIPO],DADOS!$P$3,tabela_registros[CATEGORIA],despesafixaconsolidadoset[[#This Row],[DESPESA FIXA]])</f>
        <v>0</v>
      </c>
      <c r="AJ46" s="149" t="n">
        <f aca="false">SUM(despesafixaconsolidadoset[[#This Row],[1]:[31]])</f>
        <v>0</v>
      </c>
      <c r="AK46" s="143"/>
    </row>
    <row r="47" customFormat="false" ht="18" hidden="false" customHeight="true" outlineLevel="0" collapsed="false">
      <c r="B47" s="143"/>
      <c r="C47" s="144" t="str">
        <f aca="false">DADOS!$R$13</f>
        <v>🏠 MORADIA</v>
      </c>
      <c r="D47" s="145" t="str">
        <f aca="false">IF(despesafixaconsolidadoset[[#This Row],[TOTAL]]=0,"",IF(OR(despesafixaconsolidadoset[[#This Row],[TOTAL]]=LARGE($AJ$37:$AJ$50,1),despesafixaconsolidadoset[[#This Row],[TOTAL]]=LARGE($AJ$37:$AJ$50,2),despesafixaconsolidadoset[[#This Row],[TOTAL]]=LARGE($AJ$37:$AJ$50,3),despesafixaconsolidadoset[[#This Row],[TOTAL]]=LARGE($AJ$37:$AJ$50,4),despesafixaconsolidadoset[[#This Row],[TOTAL]]=LARGE($AJ$37:$AJ$50,5)),DADOS!$I$8,""))</f>
        <v/>
      </c>
      <c r="E47" s="148" t="n">
        <f aca="false">SUMIFS(tabela_registros[VALOR],tabela_registros[MÊS],$AE$1,tabela_registros[DIA],settotal3059718395107119131[[#Headers],[1]],tabela_registros[REGISTRO],DADOS!$N$4,tabela_registros[TIPO],DADOS!$P$3,tabela_registros[CATEGORIA],despesafixaconsolidadoset[[#This Row],[DESPESA FIXA]])</f>
        <v>0</v>
      </c>
      <c r="F47" s="119" t="n">
        <f aca="false">SUMIFS(tabela_registros[VALOR],tabela_registros[MÊS],$AE$1,tabela_registros[DIA],settotal3059718395107119131[[#Headers],[2]],tabela_registros[REGISTRO],DADOS!$N$4,tabela_registros[TIPO],DADOS!$P$3,tabela_registros[CATEGORIA],despesafixaconsolidadoset[[#This Row],[DESPESA FIXA]])</f>
        <v>0</v>
      </c>
      <c r="G47" s="119" t="n">
        <f aca="false">SUMIFS(tabela_registros[VALOR],tabela_registros[MÊS],$AE$1,tabela_registros[DIA],settotal3059718395107119131[[#Headers],[3]],tabela_registros[REGISTRO],DADOS!$N$4,tabela_registros[TIPO],DADOS!$P$3,tabela_registros[CATEGORIA],despesafixaconsolidadoset[[#This Row],[DESPESA FIXA]])</f>
        <v>0</v>
      </c>
      <c r="H47" s="119" t="n">
        <f aca="false">SUMIFS(tabela_registros[VALOR],tabela_registros[MÊS],$AE$1,tabela_registros[DIA],settotal3059718395107119131[[#Headers],[4]],tabela_registros[REGISTRO],DADOS!$N$4,tabela_registros[TIPO],DADOS!$P$3,tabela_registros[CATEGORIA],despesafixaconsolidadoset[[#This Row],[DESPESA FIXA]])</f>
        <v>0</v>
      </c>
      <c r="I47" s="119" t="n">
        <f aca="false">SUMIFS(tabela_registros[VALOR],tabela_registros[MÊS],$AE$1,tabela_registros[DIA],settotal3059718395107119131[[#Headers],[5]],tabela_registros[REGISTRO],DADOS!$N$4,tabela_registros[TIPO],DADOS!$P$3,tabela_registros[CATEGORIA],despesafixaconsolidadoset[[#This Row],[DESPESA FIXA]])</f>
        <v>0</v>
      </c>
      <c r="J47" s="119" t="n">
        <f aca="false">SUMIFS(tabela_registros[VALOR],tabela_registros[MÊS],$AE$1,tabela_registros[DIA],settotal3059718395107119131[[#Headers],[6]],tabela_registros[REGISTRO],DADOS!$N$4,tabela_registros[TIPO],DADOS!$P$3,tabela_registros[CATEGORIA],despesafixaconsolidadoset[[#This Row],[DESPESA FIXA]])</f>
        <v>0</v>
      </c>
      <c r="K47" s="119" t="n">
        <f aca="false">SUMIFS(tabela_registros[VALOR],tabela_registros[MÊS],$AE$1,tabela_registros[DIA],settotal3059718395107119131[[#Headers],[7]],tabela_registros[REGISTRO],DADOS!$N$4,tabela_registros[TIPO],DADOS!$P$3,tabela_registros[CATEGORIA],despesafixaconsolidadoset[[#This Row],[DESPESA FIXA]])</f>
        <v>0</v>
      </c>
      <c r="L47" s="119" t="n">
        <f aca="false">SUMIFS(tabela_registros[VALOR],tabela_registros[MÊS],$AE$1,tabela_registros[DIA],settotal3059718395107119131[[#Headers],[8]],tabela_registros[REGISTRO],DADOS!$N$4,tabela_registros[TIPO],DADOS!$P$3,tabela_registros[CATEGORIA],despesafixaconsolidadoset[[#This Row],[DESPESA FIXA]])</f>
        <v>0</v>
      </c>
      <c r="M47" s="119" t="n">
        <f aca="false">SUMIFS(tabela_registros[VALOR],tabela_registros[MÊS],$AE$1,tabela_registros[DIA],settotal3059718395107119131[[#Headers],[9]],tabela_registros[REGISTRO],DADOS!$N$4,tabela_registros[TIPO],DADOS!$P$3,tabela_registros[CATEGORIA],despesafixaconsolidadoset[[#This Row],[DESPESA FIXA]])</f>
        <v>0</v>
      </c>
      <c r="N47" s="119" t="n">
        <f aca="false">SUMIFS(tabela_registros[VALOR],tabela_registros[MÊS],$AE$1,tabela_registros[DIA],settotal3059718395107119131[[#Headers],[10]],tabela_registros[REGISTRO],DADOS!$N$4,tabela_registros[TIPO],DADOS!$P$3,tabela_registros[CATEGORIA],despesafixaconsolidadoset[[#This Row],[DESPESA FIXA]])</f>
        <v>0</v>
      </c>
      <c r="O47" s="119" t="n">
        <f aca="false">SUMIFS(tabela_registros[VALOR],tabela_registros[MÊS],$AE$1,tabela_registros[DIA],settotal3059718395107119131[[#Headers],[11]],tabela_registros[REGISTRO],DADOS!$N$4,tabela_registros[TIPO],DADOS!$P$3,tabela_registros[CATEGORIA],despesafixaconsolidadoset[[#This Row],[DESPESA FIXA]])</f>
        <v>0</v>
      </c>
      <c r="P47" s="119" t="n">
        <f aca="false">SUMIFS(tabela_registros[VALOR],tabela_registros[MÊS],$AE$1,tabela_registros[DIA],settotal3059718395107119131[[#Headers],[12]],tabela_registros[REGISTRO],DADOS!$N$4,tabela_registros[TIPO],DADOS!$P$3,tabela_registros[CATEGORIA],despesafixaconsolidadoset[[#This Row],[DESPESA FIXA]])</f>
        <v>0</v>
      </c>
      <c r="Q47" s="119" t="n">
        <f aca="false">SUMIFS(tabela_registros[VALOR],tabela_registros[MÊS],$AE$1,tabela_registros[DIA],settotal3059718395107119131[[#Headers],[13]],tabela_registros[REGISTRO],DADOS!$N$4,tabela_registros[TIPO],DADOS!$P$3,tabela_registros[CATEGORIA],despesafixaconsolidadoset[[#This Row],[DESPESA FIXA]])</f>
        <v>0</v>
      </c>
      <c r="R47" s="119" t="n">
        <f aca="false">SUMIFS(tabela_registros[VALOR],tabela_registros[MÊS],$AE$1,tabela_registros[DIA],settotal3059718395107119131[[#Headers],[14]],tabela_registros[REGISTRO],DADOS!$N$4,tabela_registros[TIPO],DADOS!$P$3,tabela_registros[CATEGORIA],despesafixaconsolidadoset[[#This Row],[DESPESA FIXA]])</f>
        <v>0</v>
      </c>
      <c r="S47" s="119" t="n">
        <f aca="false">SUMIFS(tabela_registros[VALOR],tabela_registros[MÊS],$AE$1,tabela_registros[DIA],settotal3059718395107119131[[#Headers],[15]],tabela_registros[REGISTRO],DADOS!$N$4,tabela_registros[TIPO],DADOS!$P$3,tabela_registros[CATEGORIA],despesafixaconsolidadoset[[#This Row],[DESPESA FIXA]])</f>
        <v>0</v>
      </c>
      <c r="T47" s="119" t="n">
        <f aca="false">SUMIFS(tabela_registros[VALOR],tabela_registros[MÊS],$AE$1,tabela_registros[DIA],settotal3059718395107119131[[#Headers],[16]],tabela_registros[REGISTRO],DADOS!$N$4,tabela_registros[TIPO],DADOS!$P$3,tabela_registros[CATEGORIA],despesafixaconsolidadoset[[#This Row],[DESPESA FIXA]])</f>
        <v>0</v>
      </c>
      <c r="U47" s="119" t="n">
        <f aca="false">SUMIFS(tabela_registros[VALOR],tabela_registros[MÊS],$AE$1,tabela_registros[DIA],settotal3059718395107119131[[#Headers],[17]],tabela_registros[REGISTRO],DADOS!$N$4,tabela_registros[TIPO],DADOS!$P$3,tabela_registros[CATEGORIA],despesafixaconsolidadoset[[#This Row],[DESPESA FIXA]])</f>
        <v>0</v>
      </c>
      <c r="V47" s="119" t="n">
        <f aca="false">SUMIFS(tabela_registros[VALOR],tabela_registros[MÊS],$AE$1,tabela_registros[DIA],settotal3059718395107119131[[#Headers],[18]],tabela_registros[REGISTRO],DADOS!$N$4,tabela_registros[TIPO],DADOS!$P$3,tabela_registros[CATEGORIA],despesafixaconsolidadoset[[#This Row],[DESPESA FIXA]])</f>
        <v>0</v>
      </c>
      <c r="W47" s="119" t="n">
        <f aca="false">SUMIFS(tabela_registros[VALOR],tabela_registros[MÊS],$AE$1,tabela_registros[DIA],settotal3059718395107119131[[#Headers],[19]],tabela_registros[REGISTRO],DADOS!$N$4,tabela_registros[TIPO],DADOS!$P$3,tabela_registros[CATEGORIA],despesafixaconsolidadoset[[#This Row],[DESPESA FIXA]])</f>
        <v>0</v>
      </c>
      <c r="X47" s="119" t="n">
        <f aca="false">SUMIFS(tabela_registros[VALOR],tabela_registros[MÊS],$AE$1,tabela_registros[DIA],settotal3059718395107119131[[#Headers],[20]],tabela_registros[REGISTRO],DADOS!$N$4,tabela_registros[TIPO],DADOS!$P$3,tabela_registros[CATEGORIA],despesafixaconsolidadoset[[#This Row],[DESPESA FIXA]])</f>
        <v>0</v>
      </c>
      <c r="Y47" s="119" t="n">
        <f aca="false">SUMIFS(tabela_registros[VALOR],tabela_registros[MÊS],$AE$1,tabela_registros[DIA],settotal3059718395107119131[[#Headers],[21]],tabela_registros[REGISTRO],DADOS!$N$4,tabela_registros[TIPO],DADOS!$P$3,tabela_registros[CATEGORIA],despesafixaconsolidadoset[[#This Row],[DESPESA FIXA]])</f>
        <v>0</v>
      </c>
      <c r="Z47" s="119" t="n">
        <f aca="false">SUMIFS(tabela_registros[VALOR],tabela_registros[MÊS],$AE$1,tabela_registros[DIA],settotal3059718395107119131[[#Headers],[22]],tabela_registros[REGISTRO],DADOS!$N$4,tabela_registros[TIPO],DADOS!$P$3,tabela_registros[CATEGORIA],despesafixaconsolidadoset[[#This Row],[DESPESA FIXA]])</f>
        <v>0</v>
      </c>
      <c r="AA47" s="119" t="n">
        <f aca="false">SUMIFS(tabela_registros[VALOR],tabela_registros[MÊS],$AE$1,tabela_registros[DIA],settotal3059718395107119131[[#Headers],[23]],tabela_registros[REGISTRO],DADOS!$N$4,tabela_registros[TIPO],DADOS!$P$3,tabela_registros[CATEGORIA],despesafixaconsolidadoset[[#This Row],[DESPESA FIXA]])</f>
        <v>0</v>
      </c>
      <c r="AB47" s="119" t="n">
        <f aca="false">SUMIFS(tabela_registros[VALOR],tabela_registros[MÊS],$AE$1,tabela_registros[DIA],settotal3059718395107119131[[#Headers],[24]],tabela_registros[REGISTRO],DADOS!$N$4,tabela_registros[TIPO],DADOS!$P$3,tabela_registros[CATEGORIA],despesafixaconsolidadoset[[#This Row],[DESPESA FIXA]])</f>
        <v>0</v>
      </c>
      <c r="AC47" s="119" t="n">
        <f aca="false">SUMIFS(tabela_registros[VALOR],tabela_registros[MÊS],$AE$1,tabela_registros[DIA],settotal3059718395107119131[[#Headers],[25]],tabela_registros[REGISTRO],DADOS!$N$4,tabela_registros[TIPO],DADOS!$P$3,tabela_registros[CATEGORIA],despesafixaconsolidadoset[[#This Row],[DESPESA FIXA]])</f>
        <v>0</v>
      </c>
      <c r="AD47" s="119" t="n">
        <f aca="false">SUMIFS(tabela_registros[VALOR],tabela_registros[MÊS],$AE$1,tabela_registros[DIA],settotal3059718395107119131[[#Headers],[26]],tabela_registros[REGISTRO],DADOS!$N$4,tabela_registros[TIPO],DADOS!$P$3,tabela_registros[CATEGORIA],despesafixaconsolidadoset[[#This Row],[DESPESA FIXA]])</f>
        <v>0</v>
      </c>
      <c r="AE47" s="119" t="n">
        <f aca="false">SUMIFS(tabela_registros[VALOR],tabela_registros[MÊS],$AE$1,tabela_registros[DIA],settotal3059718395107119131[[#Headers],[27]],tabela_registros[REGISTRO],DADOS!$N$4,tabela_registros[TIPO],DADOS!$P$3,tabela_registros[CATEGORIA],despesafixaconsolidadoset[[#This Row],[DESPESA FIXA]])</f>
        <v>0</v>
      </c>
      <c r="AF47" s="119" t="n">
        <f aca="false">SUMIFS(tabela_registros[VALOR],tabela_registros[MÊS],$AE$1,tabela_registros[DIA],settotal3059718395107119131[[#Headers],[28]],tabela_registros[REGISTRO],DADOS!$N$4,tabela_registros[TIPO],DADOS!$P$3,tabela_registros[CATEGORIA],despesafixaconsolidadoset[[#This Row],[DESPESA FIXA]])</f>
        <v>0</v>
      </c>
      <c r="AG47" s="119" t="n">
        <f aca="false">SUMIFS(tabela_registros[VALOR],tabela_registros[MÊS],$AE$1,tabela_registros[DIA],settotal3059718395107119131[[#Headers],[29]],tabela_registros[REGISTRO],DADOS!$N$4,tabela_registros[TIPO],DADOS!$P$3,tabela_registros[CATEGORIA],despesafixaconsolidadoset[[#This Row],[DESPESA FIXA]])</f>
        <v>0</v>
      </c>
      <c r="AH47" s="119" t="n">
        <f aca="false">SUMIFS(tabela_registros[VALOR],tabela_registros[MÊS],$AE$1,tabela_registros[DIA],settotal3059718395107119131[[#Headers],[30]],tabela_registros[REGISTRO],DADOS!$N$4,tabela_registros[TIPO],DADOS!$P$3,tabela_registros[CATEGORIA],despesafixaconsolidadoset[[#This Row],[DESPESA FIXA]])</f>
        <v>0</v>
      </c>
      <c r="AI47" s="217" t="n">
        <f aca="false">SUMIFS(tabela_registros[VALOR],tabela_registros[MÊS],$AE$1,tabela_registros[DIA],settotal3059718395107119131[[#Headers],[31]],tabela_registros[REGISTRO],DADOS!$N$4,tabela_registros[TIPO],DADOS!$P$3,tabela_registros[CATEGORIA],despesafixaconsolidadoset[[#This Row],[DESPESA FIXA]])</f>
        <v>0</v>
      </c>
      <c r="AJ47" s="149" t="n">
        <f aca="false">SUM(despesafixaconsolidadoset[[#This Row],[1]:[31]])</f>
        <v>0</v>
      </c>
      <c r="AK47" s="143"/>
    </row>
    <row r="48" customFormat="false" ht="18" hidden="false" customHeight="true" outlineLevel="0" collapsed="false">
      <c r="B48" s="143"/>
      <c r="C48" s="144" t="str">
        <f aca="false">DADOS!$R$14</f>
        <v>💊 SAÚDE</v>
      </c>
      <c r="D48" s="145" t="str">
        <f aca="false">IF(despesafixaconsolidadoset[[#This Row],[TOTAL]]=0,"",IF(OR(despesafixaconsolidadoset[[#This Row],[TOTAL]]=LARGE($AJ$37:$AJ$50,1),despesafixaconsolidadoset[[#This Row],[TOTAL]]=LARGE($AJ$37:$AJ$50,2),despesafixaconsolidadoset[[#This Row],[TOTAL]]=LARGE($AJ$37:$AJ$50,3),despesafixaconsolidadoset[[#This Row],[TOTAL]]=LARGE($AJ$37:$AJ$50,4),despesafixaconsolidadoset[[#This Row],[TOTAL]]=LARGE($AJ$37:$AJ$50,5)),DADOS!$I$8,""))</f>
        <v/>
      </c>
      <c r="E48" s="148" t="n">
        <f aca="false">SUMIFS(tabela_registros[VALOR],tabela_registros[MÊS],$AE$1,tabela_registros[DIA],settotal3059718395107119131[[#Headers],[1]],tabela_registros[REGISTRO],DADOS!$N$4,tabela_registros[TIPO],DADOS!$P$3,tabela_registros[CATEGORIA],despesafixaconsolidadoset[[#This Row],[DESPESA FIXA]])</f>
        <v>0</v>
      </c>
      <c r="F48" s="119" t="n">
        <f aca="false">SUMIFS(tabela_registros[VALOR],tabela_registros[MÊS],$AE$1,tabela_registros[DIA],settotal3059718395107119131[[#Headers],[2]],tabela_registros[REGISTRO],DADOS!$N$4,tabela_registros[TIPO],DADOS!$P$3,tabela_registros[CATEGORIA],despesafixaconsolidadoset[[#This Row],[DESPESA FIXA]])</f>
        <v>0</v>
      </c>
      <c r="G48" s="119" t="n">
        <f aca="false">SUMIFS(tabela_registros[VALOR],tabela_registros[MÊS],$AE$1,tabela_registros[DIA],settotal3059718395107119131[[#Headers],[3]],tabela_registros[REGISTRO],DADOS!$N$4,tabela_registros[TIPO],DADOS!$P$3,tabela_registros[CATEGORIA],despesafixaconsolidadoset[[#This Row],[DESPESA FIXA]])</f>
        <v>0</v>
      </c>
      <c r="H48" s="119" t="n">
        <f aca="false">SUMIFS(tabela_registros[VALOR],tabela_registros[MÊS],$AE$1,tabela_registros[DIA],settotal3059718395107119131[[#Headers],[4]],tabela_registros[REGISTRO],DADOS!$N$4,tabela_registros[TIPO],DADOS!$P$3,tabela_registros[CATEGORIA],despesafixaconsolidadoset[[#This Row],[DESPESA FIXA]])</f>
        <v>0</v>
      </c>
      <c r="I48" s="119" t="n">
        <f aca="false">SUMIFS(tabela_registros[VALOR],tabela_registros[MÊS],$AE$1,tabela_registros[DIA],settotal3059718395107119131[[#Headers],[5]],tabela_registros[REGISTRO],DADOS!$N$4,tabela_registros[TIPO],DADOS!$P$3,tabela_registros[CATEGORIA],despesafixaconsolidadoset[[#This Row],[DESPESA FIXA]])</f>
        <v>0</v>
      </c>
      <c r="J48" s="119" t="n">
        <f aca="false">SUMIFS(tabela_registros[VALOR],tabela_registros[MÊS],$AE$1,tabela_registros[DIA],settotal3059718395107119131[[#Headers],[6]],tabela_registros[REGISTRO],DADOS!$N$4,tabela_registros[TIPO],DADOS!$P$3,tabela_registros[CATEGORIA],despesafixaconsolidadoset[[#This Row],[DESPESA FIXA]])</f>
        <v>0</v>
      </c>
      <c r="K48" s="119" t="n">
        <f aca="false">SUMIFS(tabela_registros[VALOR],tabela_registros[MÊS],$AE$1,tabela_registros[DIA],settotal3059718395107119131[[#Headers],[7]],tabela_registros[REGISTRO],DADOS!$N$4,tabela_registros[TIPO],DADOS!$P$3,tabela_registros[CATEGORIA],despesafixaconsolidadoset[[#This Row],[DESPESA FIXA]])</f>
        <v>0</v>
      </c>
      <c r="L48" s="119" t="n">
        <f aca="false">SUMIFS(tabela_registros[VALOR],tabela_registros[MÊS],$AE$1,tabela_registros[DIA],settotal3059718395107119131[[#Headers],[8]],tabela_registros[REGISTRO],DADOS!$N$4,tabela_registros[TIPO],DADOS!$P$3,tabela_registros[CATEGORIA],despesafixaconsolidadoset[[#This Row],[DESPESA FIXA]])</f>
        <v>0</v>
      </c>
      <c r="M48" s="119" t="n">
        <f aca="false">SUMIFS(tabela_registros[VALOR],tabela_registros[MÊS],$AE$1,tabela_registros[DIA],settotal3059718395107119131[[#Headers],[9]],tabela_registros[REGISTRO],DADOS!$N$4,tabela_registros[TIPO],DADOS!$P$3,tabela_registros[CATEGORIA],despesafixaconsolidadoset[[#This Row],[DESPESA FIXA]])</f>
        <v>0</v>
      </c>
      <c r="N48" s="119" t="n">
        <f aca="false">SUMIFS(tabela_registros[VALOR],tabela_registros[MÊS],$AE$1,tabela_registros[DIA],settotal3059718395107119131[[#Headers],[10]],tabela_registros[REGISTRO],DADOS!$N$4,tabela_registros[TIPO],DADOS!$P$3,tabela_registros[CATEGORIA],despesafixaconsolidadoset[[#This Row],[DESPESA FIXA]])</f>
        <v>0</v>
      </c>
      <c r="O48" s="119" t="n">
        <f aca="false">SUMIFS(tabela_registros[VALOR],tabela_registros[MÊS],$AE$1,tabela_registros[DIA],settotal3059718395107119131[[#Headers],[11]],tabela_registros[REGISTRO],DADOS!$N$4,tabela_registros[TIPO],DADOS!$P$3,tabela_registros[CATEGORIA],despesafixaconsolidadoset[[#This Row],[DESPESA FIXA]])</f>
        <v>0</v>
      </c>
      <c r="P48" s="119" t="n">
        <f aca="false">SUMIFS(tabela_registros[VALOR],tabela_registros[MÊS],$AE$1,tabela_registros[DIA],settotal3059718395107119131[[#Headers],[12]],tabela_registros[REGISTRO],DADOS!$N$4,tabela_registros[TIPO],DADOS!$P$3,tabela_registros[CATEGORIA],despesafixaconsolidadoset[[#This Row],[DESPESA FIXA]])</f>
        <v>0</v>
      </c>
      <c r="Q48" s="119" t="n">
        <f aca="false">SUMIFS(tabela_registros[VALOR],tabela_registros[MÊS],$AE$1,tabela_registros[DIA],settotal3059718395107119131[[#Headers],[13]],tabela_registros[REGISTRO],DADOS!$N$4,tabela_registros[TIPO],DADOS!$P$3,tabela_registros[CATEGORIA],despesafixaconsolidadoset[[#This Row],[DESPESA FIXA]])</f>
        <v>0</v>
      </c>
      <c r="R48" s="119" t="n">
        <f aca="false">SUMIFS(tabela_registros[VALOR],tabela_registros[MÊS],$AE$1,tabela_registros[DIA],settotal3059718395107119131[[#Headers],[14]],tabela_registros[REGISTRO],DADOS!$N$4,tabela_registros[TIPO],DADOS!$P$3,tabela_registros[CATEGORIA],despesafixaconsolidadoset[[#This Row],[DESPESA FIXA]])</f>
        <v>0</v>
      </c>
      <c r="S48" s="119" t="n">
        <f aca="false">SUMIFS(tabela_registros[VALOR],tabela_registros[MÊS],$AE$1,tabela_registros[DIA],settotal3059718395107119131[[#Headers],[15]],tabela_registros[REGISTRO],DADOS!$N$4,tabela_registros[TIPO],DADOS!$P$3,tabela_registros[CATEGORIA],despesafixaconsolidadoset[[#This Row],[DESPESA FIXA]])</f>
        <v>0</v>
      </c>
      <c r="T48" s="119" t="n">
        <f aca="false">SUMIFS(tabela_registros[VALOR],tabela_registros[MÊS],$AE$1,tabela_registros[DIA],settotal3059718395107119131[[#Headers],[16]],tabela_registros[REGISTRO],DADOS!$N$4,tabela_registros[TIPO],DADOS!$P$3,tabela_registros[CATEGORIA],despesafixaconsolidadoset[[#This Row],[DESPESA FIXA]])</f>
        <v>0</v>
      </c>
      <c r="U48" s="119" t="n">
        <f aca="false">SUMIFS(tabela_registros[VALOR],tabela_registros[MÊS],$AE$1,tabela_registros[DIA],settotal3059718395107119131[[#Headers],[17]],tabela_registros[REGISTRO],DADOS!$N$4,tabela_registros[TIPO],DADOS!$P$3,tabela_registros[CATEGORIA],despesafixaconsolidadoset[[#This Row],[DESPESA FIXA]])</f>
        <v>0</v>
      </c>
      <c r="V48" s="119" t="n">
        <f aca="false">SUMIFS(tabela_registros[VALOR],tabela_registros[MÊS],$AE$1,tabela_registros[DIA],settotal3059718395107119131[[#Headers],[18]],tabela_registros[REGISTRO],DADOS!$N$4,tabela_registros[TIPO],DADOS!$P$3,tabela_registros[CATEGORIA],despesafixaconsolidadoset[[#This Row],[DESPESA FIXA]])</f>
        <v>0</v>
      </c>
      <c r="W48" s="119" t="n">
        <f aca="false">SUMIFS(tabela_registros[VALOR],tabela_registros[MÊS],$AE$1,tabela_registros[DIA],settotal3059718395107119131[[#Headers],[19]],tabela_registros[REGISTRO],DADOS!$N$4,tabela_registros[TIPO],DADOS!$P$3,tabela_registros[CATEGORIA],despesafixaconsolidadoset[[#This Row],[DESPESA FIXA]])</f>
        <v>0</v>
      </c>
      <c r="X48" s="119" t="n">
        <f aca="false">SUMIFS(tabela_registros[VALOR],tabela_registros[MÊS],$AE$1,tabela_registros[DIA],settotal3059718395107119131[[#Headers],[20]],tabela_registros[REGISTRO],DADOS!$N$4,tabela_registros[TIPO],DADOS!$P$3,tabela_registros[CATEGORIA],despesafixaconsolidadoset[[#This Row],[DESPESA FIXA]])</f>
        <v>0</v>
      </c>
      <c r="Y48" s="119" t="n">
        <f aca="false">SUMIFS(tabela_registros[VALOR],tabela_registros[MÊS],$AE$1,tabela_registros[DIA],settotal3059718395107119131[[#Headers],[21]],tabela_registros[REGISTRO],DADOS!$N$4,tabela_registros[TIPO],DADOS!$P$3,tabela_registros[CATEGORIA],despesafixaconsolidadoset[[#This Row],[DESPESA FIXA]])</f>
        <v>0</v>
      </c>
      <c r="Z48" s="119" t="n">
        <f aca="false">SUMIFS(tabela_registros[VALOR],tabela_registros[MÊS],$AE$1,tabela_registros[DIA],settotal3059718395107119131[[#Headers],[22]],tabela_registros[REGISTRO],DADOS!$N$4,tabela_registros[TIPO],DADOS!$P$3,tabela_registros[CATEGORIA],despesafixaconsolidadoset[[#This Row],[DESPESA FIXA]])</f>
        <v>0</v>
      </c>
      <c r="AA48" s="119" t="n">
        <f aca="false">SUMIFS(tabela_registros[VALOR],tabela_registros[MÊS],$AE$1,tabela_registros[DIA],settotal3059718395107119131[[#Headers],[23]],tabela_registros[REGISTRO],DADOS!$N$4,tabela_registros[TIPO],DADOS!$P$3,tabela_registros[CATEGORIA],despesafixaconsolidadoset[[#This Row],[DESPESA FIXA]])</f>
        <v>0</v>
      </c>
      <c r="AB48" s="119" t="n">
        <f aca="false">SUMIFS(tabela_registros[VALOR],tabela_registros[MÊS],$AE$1,tabela_registros[DIA],settotal3059718395107119131[[#Headers],[24]],tabela_registros[REGISTRO],DADOS!$N$4,tabela_registros[TIPO],DADOS!$P$3,tabela_registros[CATEGORIA],despesafixaconsolidadoset[[#This Row],[DESPESA FIXA]])</f>
        <v>0</v>
      </c>
      <c r="AC48" s="119" t="n">
        <f aca="false">SUMIFS(tabela_registros[VALOR],tabela_registros[MÊS],$AE$1,tabela_registros[DIA],settotal3059718395107119131[[#Headers],[25]],tabela_registros[REGISTRO],DADOS!$N$4,tabela_registros[TIPO],DADOS!$P$3,tabela_registros[CATEGORIA],despesafixaconsolidadoset[[#This Row],[DESPESA FIXA]])</f>
        <v>0</v>
      </c>
      <c r="AD48" s="119" t="n">
        <f aca="false">SUMIFS(tabela_registros[VALOR],tabela_registros[MÊS],$AE$1,tabela_registros[DIA],settotal3059718395107119131[[#Headers],[26]],tabela_registros[REGISTRO],DADOS!$N$4,tabela_registros[TIPO],DADOS!$P$3,tabela_registros[CATEGORIA],despesafixaconsolidadoset[[#This Row],[DESPESA FIXA]])</f>
        <v>0</v>
      </c>
      <c r="AE48" s="119" t="n">
        <f aca="false">SUMIFS(tabela_registros[VALOR],tabela_registros[MÊS],$AE$1,tabela_registros[DIA],settotal3059718395107119131[[#Headers],[27]],tabela_registros[REGISTRO],DADOS!$N$4,tabela_registros[TIPO],DADOS!$P$3,tabela_registros[CATEGORIA],despesafixaconsolidadoset[[#This Row],[DESPESA FIXA]])</f>
        <v>0</v>
      </c>
      <c r="AF48" s="119" t="n">
        <f aca="false">SUMIFS(tabela_registros[VALOR],tabela_registros[MÊS],$AE$1,tabela_registros[DIA],settotal3059718395107119131[[#Headers],[28]],tabela_registros[REGISTRO],DADOS!$N$4,tabela_registros[TIPO],DADOS!$P$3,tabela_registros[CATEGORIA],despesafixaconsolidadoset[[#This Row],[DESPESA FIXA]])</f>
        <v>0</v>
      </c>
      <c r="AG48" s="119" t="n">
        <f aca="false">SUMIFS(tabela_registros[VALOR],tabela_registros[MÊS],$AE$1,tabela_registros[DIA],settotal3059718395107119131[[#Headers],[29]],tabela_registros[REGISTRO],DADOS!$N$4,tabela_registros[TIPO],DADOS!$P$3,tabela_registros[CATEGORIA],despesafixaconsolidadoset[[#This Row],[DESPESA FIXA]])</f>
        <v>0</v>
      </c>
      <c r="AH48" s="119" t="n">
        <f aca="false">SUMIFS(tabela_registros[VALOR],tabela_registros[MÊS],$AE$1,tabela_registros[DIA],settotal3059718395107119131[[#Headers],[30]],tabela_registros[REGISTRO],DADOS!$N$4,tabela_registros[TIPO],DADOS!$P$3,tabela_registros[CATEGORIA],despesafixaconsolidadoset[[#This Row],[DESPESA FIXA]])</f>
        <v>0</v>
      </c>
      <c r="AI48" s="217" t="n">
        <f aca="false">SUMIFS(tabela_registros[VALOR],tabela_registros[MÊS],$AE$1,tabela_registros[DIA],settotal3059718395107119131[[#Headers],[31]],tabela_registros[REGISTRO],DADOS!$N$4,tabela_registros[TIPO],DADOS!$P$3,tabela_registros[CATEGORIA],despesafixaconsolidadoset[[#This Row],[DESPESA FIXA]])</f>
        <v>0</v>
      </c>
      <c r="AJ48" s="149" t="n">
        <f aca="false">SUM(despesafixaconsolidadoset[[#This Row],[1]:[31]])</f>
        <v>0</v>
      </c>
      <c r="AK48" s="143"/>
    </row>
    <row r="49" customFormat="false" ht="18" hidden="false" customHeight="true" outlineLevel="0" collapsed="false">
      <c r="B49" s="143"/>
      <c r="C49" s="144" t="str">
        <f aca="false">DADOS!$R$15</f>
        <v>📞 TELEFONE</v>
      </c>
      <c r="D49" s="145" t="str">
        <f aca="false">IF(despesafixaconsolidadoset[[#This Row],[TOTAL]]=0,"",IF(OR(despesafixaconsolidadoset[[#This Row],[TOTAL]]=LARGE($AJ$37:$AJ$50,1),despesafixaconsolidadoset[[#This Row],[TOTAL]]=LARGE($AJ$37:$AJ$50,2),despesafixaconsolidadoset[[#This Row],[TOTAL]]=LARGE($AJ$37:$AJ$50,3),despesafixaconsolidadoset[[#This Row],[TOTAL]]=LARGE($AJ$37:$AJ$50,4),despesafixaconsolidadoset[[#This Row],[TOTAL]]=LARGE($AJ$37:$AJ$50,5)),DADOS!$I$8,""))</f>
        <v/>
      </c>
      <c r="E49" s="148" t="n">
        <f aca="false">SUMIFS(tabela_registros[VALOR],tabela_registros[MÊS],$AE$1,tabela_registros[DIA],settotal3059718395107119131[[#Headers],[1]],tabela_registros[REGISTRO],DADOS!$N$4,tabela_registros[TIPO],DADOS!$P$3,tabela_registros[CATEGORIA],despesafixaconsolidadoset[[#This Row],[DESPESA FIXA]])</f>
        <v>0</v>
      </c>
      <c r="F49" s="119" t="n">
        <f aca="false">SUMIFS(tabela_registros[VALOR],tabela_registros[MÊS],$AE$1,tabela_registros[DIA],settotal3059718395107119131[[#Headers],[2]],tabela_registros[REGISTRO],DADOS!$N$4,tabela_registros[TIPO],DADOS!$P$3,tabela_registros[CATEGORIA],despesafixaconsolidadoset[[#This Row],[DESPESA FIXA]])</f>
        <v>0</v>
      </c>
      <c r="G49" s="119" t="n">
        <f aca="false">SUMIFS(tabela_registros[VALOR],tabela_registros[MÊS],$AE$1,tabela_registros[DIA],settotal3059718395107119131[[#Headers],[3]],tabela_registros[REGISTRO],DADOS!$N$4,tabela_registros[TIPO],DADOS!$P$3,tabela_registros[CATEGORIA],despesafixaconsolidadoset[[#This Row],[DESPESA FIXA]])</f>
        <v>0</v>
      </c>
      <c r="H49" s="119" t="n">
        <f aca="false">SUMIFS(tabela_registros[VALOR],tabela_registros[MÊS],$AE$1,tabela_registros[DIA],settotal3059718395107119131[[#Headers],[4]],tabela_registros[REGISTRO],DADOS!$N$4,tabela_registros[TIPO],DADOS!$P$3,tabela_registros[CATEGORIA],despesafixaconsolidadoset[[#This Row],[DESPESA FIXA]])</f>
        <v>0</v>
      </c>
      <c r="I49" s="119" t="n">
        <f aca="false">SUMIFS(tabela_registros[VALOR],tabela_registros[MÊS],$AE$1,tabela_registros[DIA],settotal3059718395107119131[[#Headers],[5]],tabela_registros[REGISTRO],DADOS!$N$4,tabela_registros[TIPO],DADOS!$P$3,tabela_registros[CATEGORIA],despesafixaconsolidadoset[[#This Row],[DESPESA FIXA]])</f>
        <v>0</v>
      </c>
      <c r="J49" s="119" t="n">
        <f aca="false">SUMIFS(tabela_registros[VALOR],tabela_registros[MÊS],$AE$1,tabela_registros[DIA],settotal3059718395107119131[[#Headers],[6]],tabela_registros[REGISTRO],DADOS!$N$4,tabela_registros[TIPO],DADOS!$P$3,tabela_registros[CATEGORIA],despesafixaconsolidadoset[[#This Row],[DESPESA FIXA]])</f>
        <v>0</v>
      </c>
      <c r="K49" s="119" t="n">
        <f aca="false">SUMIFS(tabela_registros[VALOR],tabela_registros[MÊS],$AE$1,tabela_registros[DIA],settotal3059718395107119131[[#Headers],[7]],tabela_registros[REGISTRO],DADOS!$N$4,tabela_registros[TIPO],DADOS!$P$3,tabela_registros[CATEGORIA],despesafixaconsolidadoset[[#This Row],[DESPESA FIXA]])</f>
        <v>0</v>
      </c>
      <c r="L49" s="119" t="n">
        <f aca="false">SUMIFS(tabela_registros[VALOR],tabela_registros[MÊS],$AE$1,tabela_registros[DIA],settotal3059718395107119131[[#Headers],[8]],tabela_registros[REGISTRO],DADOS!$N$4,tabela_registros[TIPO],DADOS!$P$3,tabela_registros[CATEGORIA],despesafixaconsolidadoset[[#This Row],[DESPESA FIXA]])</f>
        <v>0</v>
      </c>
      <c r="M49" s="119" t="n">
        <f aca="false">SUMIFS(tabela_registros[VALOR],tabela_registros[MÊS],$AE$1,tabela_registros[DIA],settotal3059718395107119131[[#Headers],[9]],tabela_registros[REGISTRO],DADOS!$N$4,tabela_registros[TIPO],DADOS!$P$3,tabela_registros[CATEGORIA],despesafixaconsolidadoset[[#This Row],[DESPESA FIXA]])</f>
        <v>0</v>
      </c>
      <c r="N49" s="119" t="n">
        <f aca="false">SUMIFS(tabela_registros[VALOR],tabela_registros[MÊS],$AE$1,tabela_registros[DIA],settotal3059718395107119131[[#Headers],[10]],tabela_registros[REGISTRO],DADOS!$N$4,tabela_registros[TIPO],DADOS!$P$3,tabela_registros[CATEGORIA],despesafixaconsolidadoset[[#This Row],[DESPESA FIXA]])</f>
        <v>0</v>
      </c>
      <c r="O49" s="119" t="n">
        <f aca="false">SUMIFS(tabela_registros[VALOR],tabela_registros[MÊS],$AE$1,tabela_registros[DIA],settotal3059718395107119131[[#Headers],[11]],tabela_registros[REGISTRO],DADOS!$N$4,tabela_registros[TIPO],DADOS!$P$3,tabela_registros[CATEGORIA],despesafixaconsolidadoset[[#This Row],[DESPESA FIXA]])</f>
        <v>0</v>
      </c>
      <c r="P49" s="119" t="n">
        <f aca="false">SUMIFS(tabela_registros[VALOR],tabela_registros[MÊS],$AE$1,tabela_registros[DIA],settotal3059718395107119131[[#Headers],[12]],tabela_registros[REGISTRO],DADOS!$N$4,tabela_registros[TIPO],DADOS!$P$3,tabela_registros[CATEGORIA],despesafixaconsolidadoset[[#This Row],[DESPESA FIXA]])</f>
        <v>0</v>
      </c>
      <c r="Q49" s="119" t="n">
        <f aca="false">SUMIFS(tabela_registros[VALOR],tabela_registros[MÊS],$AE$1,tabela_registros[DIA],settotal3059718395107119131[[#Headers],[13]],tabela_registros[REGISTRO],DADOS!$N$4,tabela_registros[TIPO],DADOS!$P$3,tabela_registros[CATEGORIA],despesafixaconsolidadoset[[#This Row],[DESPESA FIXA]])</f>
        <v>0</v>
      </c>
      <c r="R49" s="119" t="n">
        <f aca="false">SUMIFS(tabela_registros[VALOR],tabela_registros[MÊS],$AE$1,tabela_registros[DIA],settotal3059718395107119131[[#Headers],[14]],tabela_registros[REGISTRO],DADOS!$N$4,tabela_registros[TIPO],DADOS!$P$3,tabela_registros[CATEGORIA],despesafixaconsolidadoset[[#This Row],[DESPESA FIXA]])</f>
        <v>0</v>
      </c>
      <c r="S49" s="119" t="n">
        <f aca="false">SUMIFS(tabela_registros[VALOR],tabela_registros[MÊS],$AE$1,tabela_registros[DIA],settotal3059718395107119131[[#Headers],[15]],tabela_registros[REGISTRO],DADOS!$N$4,tabela_registros[TIPO],DADOS!$P$3,tabela_registros[CATEGORIA],despesafixaconsolidadoset[[#This Row],[DESPESA FIXA]])</f>
        <v>0</v>
      </c>
      <c r="T49" s="119" t="n">
        <f aca="false">SUMIFS(tabela_registros[VALOR],tabela_registros[MÊS],$AE$1,tabela_registros[DIA],settotal3059718395107119131[[#Headers],[16]],tabela_registros[REGISTRO],DADOS!$N$4,tabela_registros[TIPO],DADOS!$P$3,tabela_registros[CATEGORIA],despesafixaconsolidadoset[[#This Row],[DESPESA FIXA]])</f>
        <v>0</v>
      </c>
      <c r="U49" s="119" t="n">
        <f aca="false">SUMIFS(tabela_registros[VALOR],tabela_registros[MÊS],$AE$1,tabela_registros[DIA],settotal3059718395107119131[[#Headers],[17]],tabela_registros[REGISTRO],DADOS!$N$4,tabela_registros[TIPO],DADOS!$P$3,tabela_registros[CATEGORIA],despesafixaconsolidadoset[[#This Row],[DESPESA FIXA]])</f>
        <v>0</v>
      </c>
      <c r="V49" s="119" t="n">
        <f aca="false">SUMIFS(tabela_registros[VALOR],tabela_registros[MÊS],$AE$1,tabela_registros[DIA],settotal3059718395107119131[[#Headers],[18]],tabela_registros[REGISTRO],DADOS!$N$4,tabela_registros[TIPO],DADOS!$P$3,tabela_registros[CATEGORIA],despesafixaconsolidadoset[[#This Row],[DESPESA FIXA]])</f>
        <v>0</v>
      </c>
      <c r="W49" s="119" t="n">
        <f aca="false">SUMIFS(tabela_registros[VALOR],tabela_registros[MÊS],$AE$1,tabela_registros[DIA],settotal3059718395107119131[[#Headers],[19]],tabela_registros[REGISTRO],DADOS!$N$4,tabela_registros[TIPO],DADOS!$P$3,tabela_registros[CATEGORIA],despesafixaconsolidadoset[[#This Row],[DESPESA FIXA]])</f>
        <v>0</v>
      </c>
      <c r="X49" s="119" t="n">
        <f aca="false">SUMIFS(tabela_registros[VALOR],tabela_registros[MÊS],$AE$1,tabela_registros[DIA],settotal3059718395107119131[[#Headers],[20]],tabela_registros[REGISTRO],DADOS!$N$4,tabela_registros[TIPO],DADOS!$P$3,tabela_registros[CATEGORIA],despesafixaconsolidadoset[[#This Row],[DESPESA FIXA]])</f>
        <v>0</v>
      </c>
      <c r="Y49" s="119" t="n">
        <f aca="false">SUMIFS(tabela_registros[VALOR],tabela_registros[MÊS],$AE$1,tabela_registros[DIA],settotal3059718395107119131[[#Headers],[21]],tabela_registros[REGISTRO],DADOS!$N$4,tabela_registros[TIPO],DADOS!$P$3,tabela_registros[CATEGORIA],despesafixaconsolidadoset[[#This Row],[DESPESA FIXA]])</f>
        <v>0</v>
      </c>
      <c r="Z49" s="119" t="n">
        <f aca="false">SUMIFS(tabela_registros[VALOR],tabela_registros[MÊS],$AE$1,tabela_registros[DIA],settotal3059718395107119131[[#Headers],[22]],tabela_registros[REGISTRO],DADOS!$N$4,tabela_registros[TIPO],DADOS!$P$3,tabela_registros[CATEGORIA],despesafixaconsolidadoset[[#This Row],[DESPESA FIXA]])</f>
        <v>0</v>
      </c>
      <c r="AA49" s="119" t="n">
        <f aca="false">SUMIFS(tabela_registros[VALOR],tabela_registros[MÊS],$AE$1,tabela_registros[DIA],settotal3059718395107119131[[#Headers],[23]],tabela_registros[REGISTRO],DADOS!$N$4,tabela_registros[TIPO],DADOS!$P$3,tabela_registros[CATEGORIA],despesafixaconsolidadoset[[#This Row],[DESPESA FIXA]])</f>
        <v>0</v>
      </c>
      <c r="AB49" s="119" t="n">
        <f aca="false">SUMIFS(tabela_registros[VALOR],tabela_registros[MÊS],$AE$1,tabela_registros[DIA],settotal3059718395107119131[[#Headers],[24]],tabela_registros[REGISTRO],DADOS!$N$4,tabela_registros[TIPO],DADOS!$P$3,tabela_registros[CATEGORIA],despesafixaconsolidadoset[[#This Row],[DESPESA FIXA]])</f>
        <v>0</v>
      </c>
      <c r="AC49" s="119" t="n">
        <f aca="false">SUMIFS(tabela_registros[VALOR],tabela_registros[MÊS],$AE$1,tabela_registros[DIA],settotal3059718395107119131[[#Headers],[25]],tabela_registros[REGISTRO],DADOS!$N$4,tabela_registros[TIPO],DADOS!$P$3,tabela_registros[CATEGORIA],despesafixaconsolidadoset[[#This Row],[DESPESA FIXA]])</f>
        <v>0</v>
      </c>
      <c r="AD49" s="119" t="n">
        <f aca="false">SUMIFS(tabela_registros[VALOR],tabela_registros[MÊS],$AE$1,tabela_registros[DIA],settotal3059718395107119131[[#Headers],[26]],tabela_registros[REGISTRO],DADOS!$N$4,tabela_registros[TIPO],DADOS!$P$3,tabela_registros[CATEGORIA],despesafixaconsolidadoset[[#This Row],[DESPESA FIXA]])</f>
        <v>0</v>
      </c>
      <c r="AE49" s="119" t="n">
        <f aca="false">SUMIFS(tabela_registros[VALOR],tabela_registros[MÊS],$AE$1,tabela_registros[DIA],settotal3059718395107119131[[#Headers],[27]],tabela_registros[REGISTRO],DADOS!$N$4,tabela_registros[TIPO],DADOS!$P$3,tabela_registros[CATEGORIA],despesafixaconsolidadoset[[#This Row],[DESPESA FIXA]])</f>
        <v>0</v>
      </c>
      <c r="AF49" s="119" t="n">
        <f aca="false">SUMIFS(tabela_registros[VALOR],tabela_registros[MÊS],$AE$1,tabela_registros[DIA],settotal3059718395107119131[[#Headers],[28]],tabela_registros[REGISTRO],DADOS!$N$4,tabela_registros[TIPO],DADOS!$P$3,tabela_registros[CATEGORIA],despesafixaconsolidadoset[[#This Row],[DESPESA FIXA]])</f>
        <v>0</v>
      </c>
      <c r="AG49" s="119" t="n">
        <f aca="false">SUMIFS(tabela_registros[VALOR],tabela_registros[MÊS],$AE$1,tabela_registros[DIA],settotal3059718395107119131[[#Headers],[29]],tabela_registros[REGISTRO],DADOS!$N$4,tabela_registros[TIPO],DADOS!$P$3,tabela_registros[CATEGORIA],despesafixaconsolidadoset[[#This Row],[DESPESA FIXA]])</f>
        <v>0</v>
      </c>
      <c r="AH49" s="119" t="n">
        <f aca="false">SUMIFS(tabela_registros[VALOR],tabela_registros[MÊS],$AE$1,tabela_registros[DIA],settotal3059718395107119131[[#Headers],[30]],tabela_registros[REGISTRO],DADOS!$N$4,tabela_registros[TIPO],DADOS!$P$3,tabela_registros[CATEGORIA],despesafixaconsolidadoset[[#This Row],[DESPESA FIXA]])</f>
        <v>0</v>
      </c>
      <c r="AI49" s="217" t="n">
        <f aca="false">SUMIFS(tabela_registros[VALOR],tabela_registros[MÊS],$AE$1,tabela_registros[DIA],settotal3059718395107119131[[#Headers],[31]],tabela_registros[REGISTRO],DADOS!$N$4,tabela_registros[TIPO],DADOS!$P$3,tabela_registros[CATEGORIA],despesafixaconsolidadoset[[#This Row],[DESPESA FIXA]])</f>
        <v>0</v>
      </c>
      <c r="AJ49" s="149" t="n">
        <f aca="false">SUM(despesafixaconsolidadoset[[#This Row],[1]:[31]])</f>
        <v>0</v>
      </c>
      <c r="AK49" s="143"/>
    </row>
    <row r="50" customFormat="false" ht="18" hidden="false" customHeight="true" outlineLevel="0" collapsed="false">
      <c r="B50" s="143"/>
      <c r="C50" s="144" t="str">
        <f aca="false">DADOS!$R$16</f>
        <v>📎 OUTROS</v>
      </c>
      <c r="D50" s="145" t="str">
        <f aca="false">IF(despesafixaconsolidadoset[[#This Row],[TOTAL]]=0,"",IF(OR(despesafixaconsolidadoset[[#This Row],[TOTAL]]=LARGE($AJ$37:$AJ$50,1),despesafixaconsolidadoset[[#This Row],[TOTAL]]=LARGE($AJ$37:$AJ$50,2),despesafixaconsolidadoset[[#This Row],[TOTAL]]=LARGE($AJ$37:$AJ$50,3),despesafixaconsolidadoset[[#This Row],[TOTAL]]=LARGE($AJ$37:$AJ$50,4),despesafixaconsolidadoset[[#This Row],[TOTAL]]=LARGE($AJ$37:$AJ$50,5)),DADOS!$I$8,""))</f>
        <v/>
      </c>
      <c r="E50" s="150" t="n">
        <f aca="false">SUMIFS(tabela_registros[VALOR],tabela_registros[MÊS],$AE$1,tabela_registros[DIA],settotal3059718395107119131[[#Headers],[1]],tabela_registros[REGISTRO],DADOS!$N$4,tabela_registros[TIPO],DADOS!$P$3,tabela_registros[CATEGORIA],despesafixaconsolidadoset[[#This Row],[DESPESA FIXA]])</f>
        <v>0</v>
      </c>
      <c r="F50" s="151" t="n">
        <f aca="false">SUMIFS(tabela_registros[VALOR],tabela_registros[MÊS],$AE$1,tabela_registros[DIA],settotal3059718395107119131[[#Headers],[2]],tabela_registros[REGISTRO],DADOS!$N$4,tabela_registros[TIPO],DADOS!$P$3,tabela_registros[CATEGORIA],despesafixaconsolidadoset[[#This Row],[DESPESA FIXA]])</f>
        <v>0</v>
      </c>
      <c r="G50" s="151" t="n">
        <f aca="false">SUMIFS(tabela_registros[VALOR],tabela_registros[MÊS],$AE$1,tabela_registros[DIA],settotal3059718395107119131[[#Headers],[3]],tabela_registros[REGISTRO],DADOS!$N$4,tabela_registros[TIPO],DADOS!$P$3,tabela_registros[CATEGORIA],despesafixaconsolidadoset[[#This Row],[DESPESA FIXA]])</f>
        <v>0</v>
      </c>
      <c r="H50" s="151" t="n">
        <f aca="false">SUMIFS(tabela_registros[VALOR],tabela_registros[MÊS],$AE$1,tabela_registros[DIA],settotal3059718395107119131[[#Headers],[4]],tabela_registros[REGISTRO],DADOS!$N$4,tabela_registros[TIPO],DADOS!$P$3,tabela_registros[CATEGORIA],despesafixaconsolidadoset[[#This Row],[DESPESA FIXA]])</f>
        <v>0</v>
      </c>
      <c r="I50" s="151" t="n">
        <f aca="false">SUMIFS(tabela_registros[VALOR],tabela_registros[MÊS],$AE$1,tabela_registros[DIA],settotal3059718395107119131[[#Headers],[5]],tabela_registros[REGISTRO],DADOS!$N$4,tabela_registros[TIPO],DADOS!$P$3,tabela_registros[CATEGORIA],despesafixaconsolidadoset[[#This Row],[DESPESA FIXA]])</f>
        <v>0</v>
      </c>
      <c r="J50" s="151" t="n">
        <f aca="false">SUMIFS(tabela_registros[VALOR],tabela_registros[MÊS],$AE$1,tabela_registros[DIA],settotal3059718395107119131[[#Headers],[6]],tabela_registros[REGISTRO],DADOS!$N$4,tabela_registros[TIPO],DADOS!$P$3,tabela_registros[CATEGORIA],despesafixaconsolidadoset[[#This Row],[DESPESA FIXA]])</f>
        <v>0</v>
      </c>
      <c r="K50" s="151" t="n">
        <f aca="false">SUMIFS(tabela_registros[VALOR],tabela_registros[MÊS],$AE$1,tabela_registros[DIA],settotal3059718395107119131[[#Headers],[7]],tabela_registros[REGISTRO],DADOS!$N$4,tabela_registros[TIPO],DADOS!$P$3,tabela_registros[CATEGORIA],despesafixaconsolidadoset[[#This Row],[DESPESA FIXA]])</f>
        <v>0</v>
      </c>
      <c r="L50" s="151" t="n">
        <f aca="false">SUMIFS(tabela_registros[VALOR],tabela_registros[MÊS],$AE$1,tabela_registros[DIA],settotal3059718395107119131[[#Headers],[8]],tabela_registros[REGISTRO],DADOS!$N$4,tabela_registros[TIPO],DADOS!$P$3,tabela_registros[CATEGORIA],despesafixaconsolidadoset[[#This Row],[DESPESA FIXA]])</f>
        <v>0</v>
      </c>
      <c r="M50" s="151" t="n">
        <f aca="false">SUMIFS(tabela_registros[VALOR],tabela_registros[MÊS],$AE$1,tabela_registros[DIA],settotal3059718395107119131[[#Headers],[9]],tabela_registros[REGISTRO],DADOS!$N$4,tabela_registros[TIPO],DADOS!$P$3,tabela_registros[CATEGORIA],despesafixaconsolidadoset[[#This Row],[DESPESA FIXA]])</f>
        <v>0</v>
      </c>
      <c r="N50" s="151" t="n">
        <f aca="false">SUMIFS(tabela_registros[VALOR],tabela_registros[MÊS],$AE$1,tabela_registros[DIA],settotal3059718395107119131[[#Headers],[10]],tabela_registros[REGISTRO],DADOS!$N$4,tabela_registros[TIPO],DADOS!$P$3,tabela_registros[CATEGORIA],despesafixaconsolidadoset[[#This Row],[DESPESA FIXA]])</f>
        <v>0</v>
      </c>
      <c r="O50" s="151" t="n">
        <f aca="false">SUMIFS(tabela_registros[VALOR],tabela_registros[MÊS],$AE$1,tabela_registros[DIA],settotal3059718395107119131[[#Headers],[11]],tabela_registros[REGISTRO],DADOS!$N$4,tabela_registros[TIPO],DADOS!$P$3,tabela_registros[CATEGORIA],despesafixaconsolidadoset[[#This Row],[DESPESA FIXA]])</f>
        <v>0</v>
      </c>
      <c r="P50" s="151" t="n">
        <f aca="false">SUMIFS(tabela_registros[VALOR],tabela_registros[MÊS],$AE$1,tabela_registros[DIA],settotal3059718395107119131[[#Headers],[12]],tabela_registros[REGISTRO],DADOS!$N$4,tabela_registros[TIPO],DADOS!$P$3,tabela_registros[CATEGORIA],despesafixaconsolidadoset[[#This Row],[DESPESA FIXA]])</f>
        <v>0</v>
      </c>
      <c r="Q50" s="151" t="n">
        <f aca="false">SUMIFS(tabela_registros[VALOR],tabela_registros[MÊS],$AE$1,tabela_registros[DIA],settotal3059718395107119131[[#Headers],[13]],tabela_registros[REGISTRO],DADOS!$N$4,tabela_registros[TIPO],DADOS!$P$3,tabela_registros[CATEGORIA],despesafixaconsolidadoset[[#This Row],[DESPESA FIXA]])</f>
        <v>0</v>
      </c>
      <c r="R50" s="151" t="n">
        <f aca="false">SUMIFS(tabela_registros[VALOR],tabela_registros[MÊS],$AE$1,tabela_registros[DIA],settotal3059718395107119131[[#Headers],[14]],tabela_registros[REGISTRO],DADOS!$N$4,tabela_registros[TIPO],DADOS!$P$3,tabela_registros[CATEGORIA],despesafixaconsolidadoset[[#This Row],[DESPESA FIXA]])</f>
        <v>0</v>
      </c>
      <c r="S50" s="151" t="n">
        <f aca="false">SUMIFS(tabela_registros[VALOR],tabela_registros[MÊS],$AE$1,tabela_registros[DIA],settotal3059718395107119131[[#Headers],[15]],tabela_registros[REGISTRO],DADOS!$N$4,tabela_registros[TIPO],DADOS!$P$3,tabela_registros[CATEGORIA],despesafixaconsolidadoset[[#This Row],[DESPESA FIXA]])</f>
        <v>0</v>
      </c>
      <c r="T50" s="151" t="n">
        <f aca="false">SUMIFS(tabela_registros[VALOR],tabela_registros[MÊS],$AE$1,tabela_registros[DIA],settotal3059718395107119131[[#Headers],[16]],tabela_registros[REGISTRO],DADOS!$N$4,tabela_registros[TIPO],DADOS!$P$3,tabela_registros[CATEGORIA],despesafixaconsolidadoset[[#This Row],[DESPESA FIXA]])</f>
        <v>0</v>
      </c>
      <c r="U50" s="151" t="n">
        <f aca="false">SUMIFS(tabela_registros[VALOR],tabela_registros[MÊS],$AE$1,tabela_registros[DIA],settotal3059718395107119131[[#Headers],[17]],tabela_registros[REGISTRO],DADOS!$N$4,tabela_registros[TIPO],DADOS!$P$3,tabela_registros[CATEGORIA],despesafixaconsolidadoset[[#This Row],[DESPESA FIXA]])</f>
        <v>0</v>
      </c>
      <c r="V50" s="151" t="n">
        <f aca="false">SUMIFS(tabela_registros[VALOR],tabela_registros[MÊS],$AE$1,tabela_registros[DIA],settotal3059718395107119131[[#Headers],[18]],tabela_registros[REGISTRO],DADOS!$N$4,tabela_registros[TIPO],DADOS!$P$3,tabela_registros[CATEGORIA],despesafixaconsolidadoset[[#This Row],[DESPESA FIXA]])</f>
        <v>0</v>
      </c>
      <c r="W50" s="151" t="n">
        <f aca="false">SUMIFS(tabela_registros[VALOR],tabela_registros[MÊS],$AE$1,tabela_registros[DIA],settotal3059718395107119131[[#Headers],[19]],tabela_registros[REGISTRO],DADOS!$N$4,tabela_registros[TIPO],DADOS!$P$3,tabela_registros[CATEGORIA],despesafixaconsolidadoset[[#This Row],[DESPESA FIXA]])</f>
        <v>0</v>
      </c>
      <c r="X50" s="151" t="n">
        <f aca="false">SUMIFS(tabela_registros[VALOR],tabela_registros[MÊS],$AE$1,tabela_registros[DIA],settotal3059718395107119131[[#Headers],[20]],tabela_registros[REGISTRO],DADOS!$N$4,tabela_registros[TIPO],DADOS!$P$3,tabela_registros[CATEGORIA],despesafixaconsolidadoset[[#This Row],[DESPESA FIXA]])</f>
        <v>0</v>
      </c>
      <c r="Y50" s="151" t="n">
        <f aca="false">SUMIFS(tabela_registros[VALOR],tabela_registros[MÊS],$AE$1,tabela_registros[DIA],settotal3059718395107119131[[#Headers],[21]],tabela_registros[REGISTRO],DADOS!$N$4,tabela_registros[TIPO],DADOS!$P$3,tabela_registros[CATEGORIA],despesafixaconsolidadoset[[#This Row],[DESPESA FIXA]])</f>
        <v>0</v>
      </c>
      <c r="Z50" s="151" t="n">
        <f aca="false">SUMIFS(tabela_registros[VALOR],tabela_registros[MÊS],$AE$1,tabela_registros[DIA],settotal3059718395107119131[[#Headers],[22]],tabela_registros[REGISTRO],DADOS!$N$4,tabela_registros[TIPO],DADOS!$P$3,tabela_registros[CATEGORIA],despesafixaconsolidadoset[[#This Row],[DESPESA FIXA]])</f>
        <v>0</v>
      </c>
      <c r="AA50" s="151" t="n">
        <f aca="false">SUMIFS(tabela_registros[VALOR],tabela_registros[MÊS],$AE$1,tabela_registros[DIA],settotal3059718395107119131[[#Headers],[23]],tabela_registros[REGISTRO],DADOS!$N$4,tabela_registros[TIPO],DADOS!$P$3,tabela_registros[CATEGORIA],despesafixaconsolidadoset[[#This Row],[DESPESA FIXA]])</f>
        <v>0</v>
      </c>
      <c r="AB50" s="151" t="n">
        <f aca="false">SUMIFS(tabela_registros[VALOR],tabela_registros[MÊS],$AE$1,tabela_registros[DIA],settotal3059718395107119131[[#Headers],[24]],tabela_registros[REGISTRO],DADOS!$N$4,tabela_registros[TIPO],DADOS!$P$3,tabela_registros[CATEGORIA],despesafixaconsolidadoset[[#This Row],[DESPESA FIXA]])</f>
        <v>0</v>
      </c>
      <c r="AC50" s="151" t="n">
        <f aca="false">SUMIFS(tabela_registros[VALOR],tabela_registros[MÊS],$AE$1,tabela_registros[DIA],settotal3059718395107119131[[#Headers],[25]],tabela_registros[REGISTRO],DADOS!$N$4,tabela_registros[TIPO],DADOS!$P$3,tabela_registros[CATEGORIA],despesafixaconsolidadoset[[#This Row],[DESPESA FIXA]])</f>
        <v>0</v>
      </c>
      <c r="AD50" s="151" t="n">
        <f aca="false">SUMIFS(tabela_registros[VALOR],tabela_registros[MÊS],$AE$1,tabela_registros[DIA],settotal3059718395107119131[[#Headers],[26]],tabela_registros[REGISTRO],DADOS!$N$4,tabela_registros[TIPO],DADOS!$P$3,tabela_registros[CATEGORIA],despesafixaconsolidadoset[[#This Row],[DESPESA FIXA]])</f>
        <v>0</v>
      </c>
      <c r="AE50" s="151" t="n">
        <f aca="false">SUMIFS(tabela_registros[VALOR],tabela_registros[MÊS],$AE$1,tabela_registros[DIA],settotal3059718395107119131[[#Headers],[27]],tabela_registros[REGISTRO],DADOS!$N$4,tabela_registros[TIPO],DADOS!$P$3,tabela_registros[CATEGORIA],despesafixaconsolidadoset[[#This Row],[DESPESA FIXA]])</f>
        <v>0</v>
      </c>
      <c r="AF50" s="151" t="n">
        <f aca="false">SUMIFS(tabela_registros[VALOR],tabela_registros[MÊS],$AE$1,tabela_registros[DIA],settotal3059718395107119131[[#Headers],[28]],tabela_registros[REGISTRO],DADOS!$N$4,tabela_registros[TIPO],DADOS!$P$3,tabela_registros[CATEGORIA],despesafixaconsolidadoset[[#This Row],[DESPESA FIXA]])</f>
        <v>0</v>
      </c>
      <c r="AG50" s="151" t="n">
        <f aca="false">SUMIFS(tabela_registros[VALOR],tabela_registros[MÊS],$AE$1,tabela_registros[DIA],settotal3059718395107119131[[#Headers],[29]],tabela_registros[REGISTRO],DADOS!$N$4,tabela_registros[TIPO],DADOS!$P$3,tabela_registros[CATEGORIA],despesafixaconsolidadoset[[#This Row],[DESPESA FIXA]])</f>
        <v>0</v>
      </c>
      <c r="AH50" s="151" t="n">
        <f aca="false">SUMIFS(tabela_registros[VALOR],tabela_registros[MÊS],$AE$1,tabela_registros[DIA],settotal3059718395107119131[[#Headers],[30]],tabela_registros[REGISTRO],DADOS!$N$4,tabela_registros[TIPO],DADOS!$P$3,tabela_registros[CATEGORIA],despesafixaconsolidadoset[[#This Row],[DESPESA FIXA]])</f>
        <v>0</v>
      </c>
      <c r="AI50" s="218" t="n">
        <f aca="false">SUMIFS(tabela_registros[VALOR],tabela_registros[MÊS],$AE$1,tabela_registros[DIA],settotal3059718395107119131[[#Headers],[31]],tabela_registros[REGISTRO],DADOS!$N$4,tabela_registros[TIPO],DADOS!$P$3,tabela_registros[CATEGORIA],despesafixaconsolidadoset[[#This Row],[DESPESA FIXA]])</f>
        <v>0</v>
      </c>
      <c r="AJ50" s="219" t="n">
        <f aca="false">SUM(despesafixaconsolidadoset[[#This Row],[1]:[31]])</f>
        <v>0</v>
      </c>
      <c r="AK50" s="143"/>
    </row>
    <row r="51" s="122" customFormat="true" ht="21" hidden="false" customHeight="true" outlineLevel="0" collapsed="false">
      <c r="B51" s="152"/>
      <c r="C51" s="153" t="s">
        <v>2</v>
      </c>
      <c r="D51" s="154" t="str">
        <f aca="false">IF(despesafixaconsolidadoset[[#This Row],[TOTAL]]=0,"",IF(OR(despesafixaconsolidadoset[[#This Row],[TOTAL]]=SMALL($AJ$37:$AJ$50,1),despesafixaconsolidadoset[[#This Row],[TOTAL]]=SMALL($AJ$37:$AJ$50,2),despesafixaconsolidadoset[[#This Row],[TOTAL]]=SMALL($AJ$37:$AJ$50,3),despesafixaconsolidadoset[[#This Row],[TOTAL]]=SMALL($AJ$37:$AJ$50,4),despesafixaconsolidadoset[[#This Row],[TOTAL]]=SMALL($AJ$37:$AJ$50,5)),DADOS!$I$8,""))</f>
        <v/>
      </c>
      <c r="E51" s="155" t="n">
        <f aca="false">SUM(E37:E50)</f>
        <v>0</v>
      </c>
      <c r="F51" s="156" t="n">
        <f aca="false">SUM(F37:F50)+despesafixaconsolidadoset[[#This Row],[1]]</f>
        <v>0</v>
      </c>
      <c r="G51" s="156" t="n">
        <f aca="false">SUM(G37:G50)+despesafixaconsolidadoset[[#This Row],[2]]</f>
        <v>0</v>
      </c>
      <c r="H51" s="156" t="n">
        <f aca="false">SUM(H37:H50)+despesafixaconsolidadoset[[#This Row],[3]]</f>
        <v>0</v>
      </c>
      <c r="I51" s="156" t="n">
        <f aca="false">SUM(I37:I50)+despesafixaconsolidadoset[[#This Row],[4]]</f>
        <v>0</v>
      </c>
      <c r="J51" s="156" t="n">
        <f aca="false">SUM(J37:J50)+despesafixaconsolidadoset[[#This Row],[5]]</f>
        <v>0</v>
      </c>
      <c r="K51" s="156" t="n">
        <f aca="false">SUM(K37:K50)+despesafixaconsolidadoset[[#This Row],[6]]</f>
        <v>0</v>
      </c>
      <c r="L51" s="156" t="n">
        <f aca="false">SUM(L37:L50)+despesafixaconsolidadoset[[#This Row],[7]]</f>
        <v>0</v>
      </c>
      <c r="M51" s="156" t="n">
        <f aca="false">SUM(M37:M50)+despesafixaconsolidadoset[[#This Row],[8]]</f>
        <v>0</v>
      </c>
      <c r="N51" s="156" t="n">
        <f aca="false">SUM(N37:N50)+despesafixaconsolidadoset[[#This Row],[9]]</f>
        <v>0</v>
      </c>
      <c r="O51" s="156" t="n">
        <f aca="false">SUM(O37:O50)+despesafixaconsolidadoset[[#This Row],[10]]</f>
        <v>0</v>
      </c>
      <c r="P51" s="156" t="n">
        <f aca="false">SUM(P37:P50)+despesafixaconsolidadoset[[#This Row],[11]]</f>
        <v>0</v>
      </c>
      <c r="Q51" s="156" t="n">
        <f aca="false">SUM(Q37:Q50)+despesafixaconsolidadoset[[#This Row],[12]]</f>
        <v>0</v>
      </c>
      <c r="R51" s="156" t="n">
        <f aca="false">SUM(R37:R50)+despesafixaconsolidadoset[[#This Row],[13]]</f>
        <v>0</v>
      </c>
      <c r="S51" s="156" t="n">
        <f aca="false">SUM(S37:S50)+despesafixaconsolidadoset[[#This Row],[14]]</f>
        <v>0</v>
      </c>
      <c r="T51" s="156" t="n">
        <f aca="false">SUM(T37:T50)+despesafixaconsolidadoset[[#This Row],[15]]</f>
        <v>0</v>
      </c>
      <c r="U51" s="156" t="n">
        <f aca="false">SUM(U37:U50)+despesafixaconsolidadoset[[#This Row],[16]]</f>
        <v>0</v>
      </c>
      <c r="V51" s="156" t="n">
        <f aca="false">SUM(V37:V50)+despesafixaconsolidadoset[[#This Row],[17]]</f>
        <v>0</v>
      </c>
      <c r="W51" s="156" t="n">
        <f aca="false">SUM(W37:W50)+despesafixaconsolidadoset[[#This Row],[18]]</f>
        <v>0</v>
      </c>
      <c r="X51" s="156" t="n">
        <f aca="false">SUM(X37:X50)+despesafixaconsolidadoset[[#This Row],[19]]</f>
        <v>0</v>
      </c>
      <c r="Y51" s="156" t="n">
        <f aca="false">SUM(Y37:Y50)+despesafixaconsolidadoset[[#This Row],[20]]</f>
        <v>0</v>
      </c>
      <c r="Z51" s="156" t="n">
        <f aca="false">SUM(Z37:Z50)+despesafixaconsolidadoset[[#This Row],[21]]</f>
        <v>0</v>
      </c>
      <c r="AA51" s="156" t="n">
        <f aca="false">SUM(AA37:AA50)+despesafixaconsolidadoset[[#This Row],[22]]</f>
        <v>0</v>
      </c>
      <c r="AB51" s="156" t="n">
        <f aca="false">SUM(AB37:AB50)+despesafixaconsolidadoset[[#This Row],[23]]</f>
        <v>0</v>
      </c>
      <c r="AC51" s="156" t="n">
        <f aca="false">SUM(AC37:AC50)+despesafixaconsolidadoset[[#This Row],[24]]</f>
        <v>0</v>
      </c>
      <c r="AD51" s="156" t="n">
        <f aca="false">SUM(AD37:AD50)+despesafixaconsolidadoset[[#This Row],[25]]</f>
        <v>0</v>
      </c>
      <c r="AE51" s="156" t="n">
        <f aca="false">SUM(AE37:AE50)+despesafixaconsolidadoset[[#This Row],[26]]</f>
        <v>0</v>
      </c>
      <c r="AF51" s="156" t="n">
        <f aca="false">SUM(AF37:AF50)+despesafixaconsolidadoset[[#This Row],[27]]</f>
        <v>0</v>
      </c>
      <c r="AG51" s="156" t="n">
        <f aca="false">SUM(AG37:AG50)+despesafixaconsolidadoset[[#This Row],[28]]</f>
        <v>0</v>
      </c>
      <c r="AH51" s="156" t="n">
        <f aca="false">SUM(AH37:AH50)+despesafixaconsolidadoset[[#This Row],[29]]</f>
        <v>0</v>
      </c>
      <c r="AI51" s="223" t="n">
        <f aca="false">SUM(AI37:AI50)+despesafixaconsolidadoset[[#This Row],[30]]</f>
        <v>0</v>
      </c>
      <c r="AJ51" s="157" t="n">
        <f aca="false">despesafixaconsolidadoset[[#This Row],[31]]</f>
        <v>0</v>
      </c>
      <c r="AK51" s="158"/>
    </row>
    <row r="52" customFormat="false" ht="6.75" hidden="false" customHeight="true" outlineLevel="0" collapsed="false">
      <c r="B52" s="97"/>
      <c r="C52" s="159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227"/>
      <c r="AJ52" s="97"/>
      <c r="AK52" s="244"/>
    </row>
    <row r="53" customFormat="false" ht="12.75" hidden="false" customHeight="false" outlineLevel="0" collapsed="false">
      <c r="C53" s="133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K53" s="100"/>
    </row>
    <row r="54" customFormat="false" ht="12" hidden="false" customHeight="false" outlineLevel="0" collapsed="false">
      <c r="C54" s="133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</row>
    <row r="55" customFormat="false" ht="12" hidden="false" customHeight="false" outlineLevel="0" collapsed="false">
      <c r="C55" s="133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</row>
    <row r="56" customFormat="false" ht="39.75" hidden="false" customHeight="true" outlineLevel="0" collapsed="false">
      <c r="C56" s="133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3" t="s">
        <v>2</v>
      </c>
    </row>
    <row r="57" s="78" customFormat="true" ht="11.25" hidden="false" customHeight="true" outlineLevel="0" collapsed="false">
      <c r="C57" s="101"/>
      <c r="AJ57" s="106" t="s">
        <v>64</v>
      </c>
    </row>
    <row r="58" customFormat="false" ht="6.75" hidden="false" customHeight="true" outlineLevel="0" collapsed="false">
      <c r="B58" s="139"/>
      <c r="C58" s="140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212"/>
      <c r="AK58" s="139"/>
    </row>
    <row r="59" customFormat="false" ht="12.75" hidden="true" customHeight="false" outlineLevel="0" collapsed="false">
      <c r="B59" s="86"/>
      <c r="C59" s="109" t="s">
        <v>79</v>
      </c>
      <c r="D59" s="110" t="s">
        <v>69</v>
      </c>
      <c r="E59" s="110" t="s">
        <v>30</v>
      </c>
      <c r="F59" s="110" t="s">
        <v>31</v>
      </c>
      <c r="G59" s="110" t="s">
        <v>32</v>
      </c>
      <c r="H59" s="110" t="s">
        <v>33</v>
      </c>
      <c r="I59" s="110" t="s">
        <v>34</v>
      </c>
      <c r="J59" s="110" t="s">
        <v>35</v>
      </c>
      <c r="K59" s="110" t="s">
        <v>36</v>
      </c>
      <c r="L59" s="110" t="s">
        <v>37</v>
      </c>
      <c r="M59" s="110" t="s">
        <v>38</v>
      </c>
      <c r="N59" s="110" t="s">
        <v>39</v>
      </c>
      <c r="O59" s="110" t="s">
        <v>40</v>
      </c>
      <c r="P59" s="110" t="s">
        <v>41</v>
      </c>
      <c r="Q59" s="110" t="s">
        <v>81</v>
      </c>
      <c r="R59" s="110" t="s">
        <v>82</v>
      </c>
      <c r="S59" s="110" t="s">
        <v>83</v>
      </c>
      <c r="T59" s="110" t="s">
        <v>84</v>
      </c>
      <c r="U59" s="110" t="s">
        <v>85</v>
      </c>
      <c r="V59" s="110" t="s">
        <v>86</v>
      </c>
      <c r="W59" s="110" t="s">
        <v>87</v>
      </c>
      <c r="X59" s="110" t="s">
        <v>88</v>
      </c>
      <c r="Y59" s="110" t="s">
        <v>89</v>
      </c>
      <c r="Z59" s="110" t="s">
        <v>90</v>
      </c>
      <c r="AA59" s="110" t="s">
        <v>91</v>
      </c>
      <c r="AB59" s="110" t="s">
        <v>92</v>
      </c>
      <c r="AC59" s="110" t="s">
        <v>93</v>
      </c>
      <c r="AD59" s="110" t="s">
        <v>94</v>
      </c>
      <c r="AE59" s="110" t="s">
        <v>95</v>
      </c>
      <c r="AF59" s="110" t="s">
        <v>96</v>
      </c>
      <c r="AG59" s="110" t="s">
        <v>97</v>
      </c>
      <c r="AH59" s="110" t="s">
        <v>98</v>
      </c>
      <c r="AI59" s="110" t="s">
        <v>99</v>
      </c>
      <c r="AJ59" s="142" t="s">
        <v>2</v>
      </c>
      <c r="AK59" s="86" t="s">
        <v>75</v>
      </c>
    </row>
    <row r="60" customFormat="false" ht="19.5" hidden="false" customHeight="true" outlineLevel="0" collapsed="false">
      <c r="B60" s="143"/>
      <c r="C60" s="144" t="str">
        <f aca="false">DADOS!$T$3</f>
        <v>🍕 ALIMENTAÇÃO</v>
      </c>
      <c r="D60" s="145" t="str">
        <f aca="false">IF(despesavariávelconsolidadoset[[#This Row],[TOTAL]]=0,"",IF(OR(despesavariávelconsolidadoset[[#This Row],[TOTAL]]=LARGE($AJ$60:$AJ$72,1),despesavariávelconsolidadoset[[#This Row],[TOTAL]]=LARGE($AJ$60:$AJ$72,2),despesavariávelconsolidadoset[[#This Row],[TOTAL]]=LARGE($AJ$60:$AJ$72,3),despesavariávelconsolidadoset[[#This Row],[TOTAL]]=LARGE($AJ$60:$AJ$72,4),despesavariávelconsolidadoset[[#This Row],[TOTAL]]=LARGE($AJ$60:$AJ$72,5)),DADOS!$I$8,""))</f>
        <v/>
      </c>
      <c r="E60" s="146" t="n">
        <f aca="false">SUMIFS(tabela_registros[VALOR],tabela_registros[MÊS],$AE$1,tabela_registros[DIA],settotal3059718395107119131[[#Headers],[1]],tabela_registros[REGISTRO],DADOS!$N$4,tabela_registros[TIPO],DADOS!$P$4,tabela_registros[CATEGORIA],despesavariávelconsolidadoset[[#This Row],[DESPESA VARIÁVEL]])</f>
        <v>0</v>
      </c>
      <c r="F60" s="114" t="n">
        <f aca="false">SUMIFS(tabela_registros[VALOR],tabela_registros[MÊS],$AE$1,tabela_registros[DIA],settotal3059718395107119131[[#Headers],[2]],tabela_registros[REGISTRO],DADOS!$N$4,tabela_registros[TIPO],DADOS!$P$4,tabela_registros[CATEGORIA],despesavariávelconsolidadoset[[#This Row],[DESPESA VARIÁVEL]])</f>
        <v>0</v>
      </c>
      <c r="G60" s="114" t="n">
        <f aca="false">SUMIFS(tabela_registros[VALOR],tabela_registros[MÊS],$AE$1,tabela_registros[DIA],settotal3059718395107119131[[#Headers],[3]],tabela_registros[REGISTRO],DADOS!$N$4,tabela_registros[TIPO],DADOS!$P$4,tabela_registros[CATEGORIA],despesavariávelconsolidadoset[[#This Row],[DESPESA VARIÁVEL]])</f>
        <v>0</v>
      </c>
      <c r="H60" s="114" t="n">
        <f aca="false">SUMIFS(tabela_registros[VALOR],tabela_registros[MÊS],$AE$1,tabela_registros[DIA],settotal3059718395107119131[[#Headers],[4]],tabela_registros[REGISTRO],DADOS!$N$4,tabela_registros[TIPO],DADOS!$P$4,tabela_registros[CATEGORIA],despesavariávelconsolidadoset[[#This Row],[DESPESA VARIÁVEL]])</f>
        <v>0</v>
      </c>
      <c r="I60" s="114" t="n">
        <f aca="false">SUMIFS(tabela_registros[VALOR],tabela_registros[MÊS],$AE$1,tabela_registros[DIA],settotal3059718395107119131[[#Headers],[5]],tabela_registros[REGISTRO],DADOS!$N$4,tabela_registros[TIPO],DADOS!$P$4,tabela_registros[CATEGORIA],despesavariávelconsolidadoset[[#This Row],[DESPESA VARIÁVEL]])</f>
        <v>0</v>
      </c>
      <c r="J60" s="114" t="n">
        <f aca="false">SUMIFS(tabela_registros[VALOR],tabela_registros[MÊS],$AE$1,tabela_registros[DIA],settotal3059718395107119131[[#Headers],[6]],tabela_registros[REGISTRO],DADOS!$N$4,tabela_registros[TIPO],DADOS!$P$4,tabela_registros[CATEGORIA],despesavariávelconsolidadoset[[#This Row],[DESPESA VARIÁVEL]])</f>
        <v>0</v>
      </c>
      <c r="K60" s="114" t="n">
        <f aca="false">SUMIFS(tabela_registros[VALOR],tabela_registros[MÊS],$AE$1,tabela_registros[DIA],settotal3059718395107119131[[#Headers],[7]],tabela_registros[REGISTRO],DADOS!$N$4,tabela_registros[TIPO],DADOS!$P$4,tabela_registros[CATEGORIA],despesavariávelconsolidadoset[[#This Row],[DESPESA VARIÁVEL]])</f>
        <v>0</v>
      </c>
      <c r="L60" s="114" t="n">
        <f aca="false">SUMIFS(tabela_registros[VALOR],tabela_registros[MÊS],$AE$1,tabela_registros[DIA],settotal3059718395107119131[[#Headers],[8]],tabela_registros[REGISTRO],DADOS!$N$4,tabela_registros[TIPO],DADOS!$P$4,tabela_registros[CATEGORIA],despesavariávelconsolidadoset[[#This Row],[DESPESA VARIÁVEL]])</f>
        <v>0</v>
      </c>
      <c r="M60" s="114" t="n">
        <f aca="false">SUMIFS(tabela_registros[VALOR],tabela_registros[MÊS],$AE$1,tabela_registros[DIA],settotal3059718395107119131[[#Headers],[9]],tabela_registros[REGISTRO],DADOS!$N$4,tabela_registros[TIPO],DADOS!$P$4,tabela_registros[CATEGORIA],despesavariávelconsolidadoset[[#This Row],[DESPESA VARIÁVEL]])</f>
        <v>0</v>
      </c>
      <c r="N60" s="114" t="n">
        <f aca="false">SUMIFS(tabela_registros[VALOR],tabela_registros[MÊS],$AE$1,tabela_registros[DIA],settotal3059718395107119131[[#Headers],[10]],tabela_registros[REGISTRO],DADOS!$N$4,tabela_registros[TIPO],DADOS!$P$4,tabela_registros[CATEGORIA],despesavariávelconsolidadoset[[#This Row],[DESPESA VARIÁVEL]])</f>
        <v>0</v>
      </c>
      <c r="O60" s="114" t="n">
        <f aca="false">SUMIFS(tabela_registros[VALOR],tabela_registros[MÊS],$AE$1,tabela_registros[DIA],settotal3059718395107119131[[#Headers],[11]],tabela_registros[REGISTRO],DADOS!$N$4,tabela_registros[TIPO],DADOS!$P$4,tabela_registros[CATEGORIA],despesavariávelconsolidadoset[[#This Row],[DESPESA VARIÁVEL]])</f>
        <v>0</v>
      </c>
      <c r="P60" s="114" t="n">
        <f aca="false">SUMIFS(tabela_registros[VALOR],tabela_registros[MÊS],$AE$1,tabela_registros[DIA],settotal3059718395107119131[[#Headers],[12]],tabela_registros[REGISTRO],DADOS!$N$4,tabela_registros[TIPO],DADOS!$P$4,tabela_registros[CATEGORIA],despesavariávelconsolidadoset[[#This Row],[DESPESA VARIÁVEL]])</f>
        <v>0</v>
      </c>
      <c r="Q60" s="114" t="n">
        <f aca="false">SUMIFS(tabela_registros[VALOR],tabela_registros[MÊS],$AE$1,tabela_registros[DIA],settotal3059718395107119131[[#Headers],[13]],tabela_registros[REGISTRO],DADOS!$N$4,tabela_registros[TIPO],DADOS!$P$4,tabela_registros[CATEGORIA],despesavariávelconsolidadoset[[#This Row],[DESPESA VARIÁVEL]])</f>
        <v>0</v>
      </c>
      <c r="R60" s="114" t="n">
        <f aca="false">SUMIFS(tabela_registros[VALOR],tabela_registros[MÊS],$AE$1,tabela_registros[DIA],settotal3059718395107119131[[#Headers],[14]],tabela_registros[REGISTRO],DADOS!$N$4,tabela_registros[TIPO],DADOS!$P$4,tabela_registros[CATEGORIA],despesavariávelconsolidadoset[[#This Row],[DESPESA VARIÁVEL]])</f>
        <v>0</v>
      </c>
      <c r="S60" s="114" t="n">
        <f aca="false">SUMIFS(tabela_registros[VALOR],tabela_registros[MÊS],$AE$1,tabela_registros[DIA],settotal3059718395107119131[[#Headers],[15]],tabela_registros[REGISTRO],DADOS!$N$4,tabela_registros[TIPO],DADOS!$P$4,tabela_registros[CATEGORIA],despesavariávelconsolidadoset[[#This Row],[DESPESA VARIÁVEL]])</f>
        <v>0</v>
      </c>
      <c r="T60" s="114" t="n">
        <f aca="false">SUMIFS(tabela_registros[VALOR],tabela_registros[MÊS],$AE$1,tabela_registros[DIA],settotal3059718395107119131[[#Headers],[16]],tabela_registros[REGISTRO],DADOS!$N$4,tabela_registros[TIPO],DADOS!$P$4,tabela_registros[CATEGORIA],despesavariávelconsolidadoset[[#This Row],[DESPESA VARIÁVEL]])</f>
        <v>0</v>
      </c>
      <c r="U60" s="114" t="n">
        <f aca="false">SUMIFS(tabela_registros[VALOR],tabela_registros[MÊS],$AE$1,tabela_registros[DIA],settotal3059718395107119131[[#Headers],[17]],tabela_registros[REGISTRO],DADOS!$N$4,tabela_registros[TIPO],DADOS!$P$4,tabela_registros[CATEGORIA],despesavariávelconsolidadoset[[#This Row],[DESPESA VARIÁVEL]])</f>
        <v>0</v>
      </c>
      <c r="V60" s="114" t="n">
        <f aca="false">SUMIFS(tabela_registros[VALOR],tabela_registros[MÊS],$AE$1,tabela_registros[DIA],settotal3059718395107119131[[#Headers],[18]],tabela_registros[REGISTRO],DADOS!$N$4,tabela_registros[TIPO],DADOS!$P$4,tabela_registros[CATEGORIA],despesavariávelconsolidadoset[[#This Row],[DESPESA VARIÁVEL]])</f>
        <v>0</v>
      </c>
      <c r="W60" s="114" t="n">
        <f aca="false">SUMIFS(tabela_registros[VALOR],tabela_registros[MÊS],$AE$1,tabela_registros[DIA],settotal3059718395107119131[[#Headers],[19]],tabela_registros[REGISTRO],DADOS!$N$4,tabela_registros[TIPO],DADOS!$P$4,tabela_registros[CATEGORIA],despesavariávelconsolidadoset[[#This Row],[DESPESA VARIÁVEL]])</f>
        <v>0</v>
      </c>
      <c r="X60" s="114" t="n">
        <f aca="false">SUMIFS(tabela_registros[VALOR],tabela_registros[MÊS],$AE$1,tabela_registros[DIA],settotal3059718395107119131[[#Headers],[20]],tabela_registros[REGISTRO],DADOS!$N$4,tabela_registros[TIPO],DADOS!$P$4,tabela_registros[CATEGORIA],despesavariávelconsolidadoset[[#This Row],[DESPESA VARIÁVEL]])</f>
        <v>0</v>
      </c>
      <c r="Y60" s="114" t="n">
        <f aca="false">SUMIFS(tabela_registros[VALOR],tabela_registros[MÊS],$AE$1,tabela_registros[DIA],settotal3059718395107119131[[#Headers],[21]],tabela_registros[REGISTRO],DADOS!$N$4,tabela_registros[TIPO],DADOS!$P$4,tabela_registros[CATEGORIA],despesavariávelconsolidadoset[[#This Row],[DESPESA VARIÁVEL]])</f>
        <v>0</v>
      </c>
      <c r="Z60" s="114" t="n">
        <f aca="false">SUMIFS(tabela_registros[VALOR],tabela_registros[MÊS],$AE$1,tabela_registros[DIA],settotal3059718395107119131[[#Headers],[22]],tabela_registros[REGISTRO],DADOS!$N$4,tabela_registros[TIPO],DADOS!$P$4,tabela_registros[CATEGORIA],despesavariávelconsolidadoset[[#This Row],[DESPESA VARIÁVEL]])</f>
        <v>0</v>
      </c>
      <c r="AA60" s="114" t="n">
        <f aca="false">SUMIFS(tabela_registros[VALOR],tabela_registros[MÊS],$AE$1,tabela_registros[DIA],settotal3059718395107119131[[#Headers],[23]],tabela_registros[REGISTRO],DADOS!$N$4,tabela_registros[TIPO],DADOS!$P$4,tabela_registros[CATEGORIA],despesavariávelconsolidadoset[[#This Row],[DESPESA VARIÁVEL]])</f>
        <v>0</v>
      </c>
      <c r="AB60" s="114" t="n">
        <f aca="false">SUMIFS(tabela_registros[VALOR],tabela_registros[MÊS],$AE$1,tabela_registros[DIA],settotal3059718395107119131[[#Headers],[24]],tabela_registros[REGISTRO],DADOS!$N$4,tabela_registros[TIPO],DADOS!$P$4,tabela_registros[CATEGORIA],despesavariávelconsolidadoset[[#This Row],[DESPESA VARIÁVEL]])</f>
        <v>0</v>
      </c>
      <c r="AC60" s="114" t="n">
        <f aca="false">SUMIFS(tabela_registros[VALOR],tabela_registros[MÊS],$AE$1,tabela_registros[DIA],settotal3059718395107119131[[#Headers],[25]],tabela_registros[REGISTRO],DADOS!$N$4,tabela_registros[TIPO],DADOS!$P$4,tabela_registros[CATEGORIA],despesavariávelconsolidadoset[[#This Row],[DESPESA VARIÁVEL]])</f>
        <v>0</v>
      </c>
      <c r="AD60" s="114" t="n">
        <f aca="false">SUMIFS(tabela_registros[VALOR],tabela_registros[MÊS],$AE$1,tabela_registros[DIA],settotal3059718395107119131[[#Headers],[26]],tabela_registros[REGISTRO],DADOS!$N$4,tabela_registros[TIPO],DADOS!$P$4,tabela_registros[CATEGORIA],despesavariávelconsolidadoset[[#This Row],[DESPESA VARIÁVEL]])</f>
        <v>0</v>
      </c>
      <c r="AE60" s="114" t="n">
        <f aca="false">SUMIFS(tabela_registros[VALOR],tabela_registros[MÊS],$AE$1,tabela_registros[DIA],settotal3059718395107119131[[#Headers],[27]],tabela_registros[REGISTRO],DADOS!$N$4,tabela_registros[TIPO],DADOS!$P$4,tabela_registros[CATEGORIA],despesavariávelconsolidadoset[[#This Row],[DESPESA VARIÁVEL]])</f>
        <v>0</v>
      </c>
      <c r="AF60" s="114" t="n">
        <f aca="false">SUMIFS(tabela_registros[VALOR],tabela_registros[MÊS],$AE$1,tabela_registros[DIA],settotal3059718395107119131[[#Headers],[28]],tabela_registros[REGISTRO],DADOS!$N$4,tabela_registros[TIPO],DADOS!$P$4,tabela_registros[CATEGORIA],despesavariávelconsolidadoset[[#This Row],[DESPESA VARIÁVEL]])</f>
        <v>0</v>
      </c>
      <c r="AG60" s="114" t="n">
        <f aca="false">SUMIFS(tabela_registros[VALOR],tabela_registros[MÊS],$AE$1,tabela_registros[DIA],settotal3059718395107119131[[#Headers],[29]],tabela_registros[REGISTRO],DADOS!$N$4,tabela_registros[TIPO],DADOS!$P$4,tabela_registros[CATEGORIA],despesavariávelconsolidadoset[[#This Row],[DESPESA VARIÁVEL]])</f>
        <v>0</v>
      </c>
      <c r="AH60" s="114" t="n">
        <f aca="false">SUMIFS(tabela_registros[VALOR],tabela_registros[MÊS],$AE$1,tabela_registros[DIA],settotal3059718395107119131[[#Headers],[30]],tabela_registros[REGISTRO],DADOS!$N$4,tabela_registros[TIPO],DADOS!$P$4,tabela_registros[CATEGORIA],despesavariávelconsolidadoset[[#This Row],[DESPESA VARIÁVEL]])</f>
        <v>0</v>
      </c>
      <c r="AI60" s="216" t="n">
        <f aca="false">SUMIFS(tabela_registros[VALOR],tabela_registros[MÊS],$AE$1,tabela_registros[DIA],settotal3059718395107119131[[#Headers],[31]],tabela_registros[REGISTRO],DADOS!$N$4,tabela_registros[TIPO],DADOS!$P$4,tabela_registros[CATEGORIA],despesavariávelconsolidadoset[[#This Row],[DESPESA VARIÁVEL]])</f>
        <v>0</v>
      </c>
      <c r="AJ60" s="147" t="n">
        <f aca="false">SUM(despesavariávelconsolidadoset[[#This Row],[1]:[31]])</f>
        <v>0</v>
      </c>
      <c r="AK60" s="143"/>
    </row>
    <row r="61" customFormat="false" ht="18" hidden="false" customHeight="true" outlineLevel="0" collapsed="false">
      <c r="B61" s="143"/>
      <c r="C61" s="144" t="str">
        <f aca="false">DADOS!$T$4</f>
        <v>💳 CARTÃO DE CRÉDITO</v>
      </c>
      <c r="D61" s="145" t="str">
        <f aca="false">IF(despesavariávelconsolidadoset[[#This Row],[TOTAL]]=0,"",IF(OR(despesavariávelconsolidadoset[[#This Row],[TOTAL]]=LARGE($AJ$60:$AJ$72,1),despesavariávelconsolidadoset[[#This Row],[TOTAL]]=LARGE($AJ$60:$AJ$72,2),despesavariávelconsolidadoset[[#This Row],[TOTAL]]=LARGE($AJ$60:$AJ$72,3),despesavariávelconsolidadoset[[#This Row],[TOTAL]]=LARGE($AJ$60:$AJ$72,4),despesavariávelconsolidadoset[[#This Row],[TOTAL]]=LARGE($AJ$60:$AJ$72,5)),DADOS!$I$8,""))</f>
        <v/>
      </c>
      <c r="E61" s="148" t="n">
        <f aca="false">SUMIFS(tabela_registros[VALOR],tabela_registros[MÊS],$AE$1,tabela_registros[DIA],settotal3059718395107119131[[#Headers],[1]],tabela_registros[REGISTRO],DADOS!$N$4,tabela_registros[TIPO],DADOS!$P$4,tabela_registros[CATEGORIA],despesavariávelconsolidadoset[[#This Row],[DESPESA VARIÁVEL]])</f>
        <v>0</v>
      </c>
      <c r="F61" s="119" t="n">
        <f aca="false">SUMIFS(tabela_registros[VALOR],tabela_registros[MÊS],$AE$1,tabela_registros[DIA],settotal3059718395107119131[[#Headers],[2]],tabela_registros[REGISTRO],DADOS!$N$4,tabela_registros[TIPO],DADOS!$P$4,tabela_registros[CATEGORIA],despesavariávelconsolidadoset[[#This Row],[DESPESA VARIÁVEL]])</f>
        <v>0</v>
      </c>
      <c r="G61" s="119" t="n">
        <f aca="false">SUMIFS(tabela_registros[VALOR],tabela_registros[MÊS],$AE$1,tabela_registros[DIA],settotal3059718395107119131[[#Headers],[3]],tabela_registros[REGISTRO],DADOS!$N$4,tabela_registros[TIPO],DADOS!$P$4,tabela_registros[CATEGORIA],despesavariávelconsolidadoset[[#This Row],[DESPESA VARIÁVEL]])</f>
        <v>0</v>
      </c>
      <c r="H61" s="119" t="n">
        <f aca="false">SUMIFS(tabela_registros[VALOR],tabela_registros[MÊS],$AE$1,tabela_registros[DIA],settotal3059718395107119131[[#Headers],[4]],tabela_registros[REGISTRO],DADOS!$N$4,tabela_registros[TIPO],DADOS!$P$4,tabela_registros[CATEGORIA],despesavariávelconsolidadoset[[#This Row],[DESPESA VARIÁVEL]])</f>
        <v>0</v>
      </c>
      <c r="I61" s="119" t="n">
        <f aca="false">SUMIFS(tabela_registros[VALOR],tabela_registros[MÊS],$AE$1,tabela_registros[DIA],settotal3059718395107119131[[#Headers],[5]],tabela_registros[REGISTRO],DADOS!$N$4,tabela_registros[TIPO],DADOS!$P$4,tabela_registros[CATEGORIA],despesavariávelconsolidadoset[[#This Row],[DESPESA VARIÁVEL]])</f>
        <v>0</v>
      </c>
      <c r="J61" s="119" t="n">
        <f aca="false">SUMIFS(tabela_registros[VALOR],tabela_registros[MÊS],$AE$1,tabela_registros[DIA],settotal3059718395107119131[[#Headers],[6]],tabela_registros[REGISTRO],DADOS!$N$4,tabela_registros[TIPO],DADOS!$P$4,tabela_registros[CATEGORIA],despesavariávelconsolidadoset[[#This Row],[DESPESA VARIÁVEL]])</f>
        <v>0</v>
      </c>
      <c r="K61" s="119" t="n">
        <f aca="false">SUMIFS(tabela_registros[VALOR],tabela_registros[MÊS],$AE$1,tabela_registros[DIA],settotal3059718395107119131[[#Headers],[7]],tabela_registros[REGISTRO],DADOS!$N$4,tabela_registros[TIPO],DADOS!$P$4,tabela_registros[CATEGORIA],despesavariávelconsolidadoset[[#This Row],[DESPESA VARIÁVEL]])</f>
        <v>0</v>
      </c>
      <c r="L61" s="119" t="n">
        <f aca="false">SUMIFS(tabela_registros[VALOR],tabela_registros[MÊS],$AE$1,tabela_registros[DIA],settotal3059718395107119131[[#Headers],[8]],tabela_registros[REGISTRO],DADOS!$N$4,tabela_registros[TIPO],DADOS!$P$4,tabela_registros[CATEGORIA],despesavariávelconsolidadoset[[#This Row],[DESPESA VARIÁVEL]])</f>
        <v>0</v>
      </c>
      <c r="M61" s="119" t="n">
        <f aca="false">SUMIFS(tabela_registros[VALOR],tabela_registros[MÊS],$AE$1,tabela_registros[DIA],settotal3059718395107119131[[#Headers],[9]],tabela_registros[REGISTRO],DADOS!$N$4,tabela_registros[TIPO],DADOS!$P$4,tabela_registros[CATEGORIA],despesavariávelconsolidadoset[[#This Row],[DESPESA VARIÁVEL]])</f>
        <v>0</v>
      </c>
      <c r="N61" s="119" t="n">
        <f aca="false">SUMIFS(tabela_registros[VALOR],tabela_registros[MÊS],$AE$1,tabela_registros[DIA],settotal3059718395107119131[[#Headers],[10]],tabela_registros[REGISTRO],DADOS!$N$4,tabela_registros[TIPO],DADOS!$P$4,tabela_registros[CATEGORIA],despesavariávelconsolidadoset[[#This Row],[DESPESA VARIÁVEL]])</f>
        <v>0</v>
      </c>
      <c r="O61" s="119" t="n">
        <f aca="false">SUMIFS(tabela_registros[VALOR],tabela_registros[MÊS],$AE$1,tabela_registros[DIA],settotal3059718395107119131[[#Headers],[11]],tabela_registros[REGISTRO],DADOS!$N$4,tabela_registros[TIPO],DADOS!$P$4,tabela_registros[CATEGORIA],despesavariávelconsolidadoset[[#This Row],[DESPESA VARIÁVEL]])</f>
        <v>0</v>
      </c>
      <c r="P61" s="119" t="n">
        <f aca="false">SUMIFS(tabela_registros[VALOR],tabela_registros[MÊS],$AE$1,tabela_registros[DIA],settotal3059718395107119131[[#Headers],[12]],tabela_registros[REGISTRO],DADOS!$N$4,tabela_registros[TIPO],DADOS!$P$4,tabela_registros[CATEGORIA],despesavariávelconsolidadoset[[#This Row],[DESPESA VARIÁVEL]])</f>
        <v>0</v>
      </c>
      <c r="Q61" s="119" t="n">
        <f aca="false">SUMIFS(tabela_registros[VALOR],tabela_registros[MÊS],$AE$1,tabela_registros[DIA],settotal3059718395107119131[[#Headers],[13]],tabela_registros[REGISTRO],DADOS!$N$4,tabela_registros[TIPO],DADOS!$P$4,tabela_registros[CATEGORIA],despesavariávelconsolidadoset[[#This Row],[DESPESA VARIÁVEL]])</f>
        <v>0</v>
      </c>
      <c r="R61" s="119" t="n">
        <f aca="false">SUMIFS(tabela_registros[VALOR],tabela_registros[MÊS],$AE$1,tabela_registros[DIA],settotal3059718395107119131[[#Headers],[14]],tabela_registros[REGISTRO],DADOS!$N$4,tabela_registros[TIPO],DADOS!$P$4,tabela_registros[CATEGORIA],despesavariávelconsolidadoset[[#This Row],[DESPESA VARIÁVEL]])</f>
        <v>0</v>
      </c>
      <c r="S61" s="119" t="n">
        <f aca="false">SUMIFS(tabela_registros[VALOR],tabela_registros[MÊS],$AE$1,tabela_registros[DIA],settotal3059718395107119131[[#Headers],[15]],tabela_registros[REGISTRO],DADOS!$N$4,tabela_registros[TIPO],DADOS!$P$4,tabela_registros[CATEGORIA],despesavariávelconsolidadoset[[#This Row],[DESPESA VARIÁVEL]])</f>
        <v>0</v>
      </c>
      <c r="T61" s="119" t="n">
        <f aca="false">SUMIFS(tabela_registros[VALOR],tabela_registros[MÊS],$AE$1,tabela_registros[DIA],settotal3059718395107119131[[#Headers],[16]],tabela_registros[REGISTRO],DADOS!$N$4,tabela_registros[TIPO],DADOS!$P$4,tabela_registros[CATEGORIA],despesavariávelconsolidadoset[[#This Row],[DESPESA VARIÁVEL]])</f>
        <v>0</v>
      </c>
      <c r="U61" s="119" t="n">
        <f aca="false">SUMIFS(tabela_registros[VALOR],tabela_registros[MÊS],$AE$1,tabela_registros[DIA],settotal3059718395107119131[[#Headers],[17]],tabela_registros[REGISTRO],DADOS!$N$4,tabela_registros[TIPO],DADOS!$P$4,tabela_registros[CATEGORIA],despesavariávelconsolidadoset[[#This Row],[DESPESA VARIÁVEL]])</f>
        <v>0</v>
      </c>
      <c r="V61" s="119" t="n">
        <f aca="false">SUMIFS(tabela_registros[VALOR],tabela_registros[MÊS],$AE$1,tabela_registros[DIA],settotal3059718395107119131[[#Headers],[18]],tabela_registros[REGISTRO],DADOS!$N$4,tabela_registros[TIPO],DADOS!$P$4,tabela_registros[CATEGORIA],despesavariávelconsolidadoset[[#This Row],[DESPESA VARIÁVEL]])</f>
        <v>0</v>
      </c>
      <c r="W61" s="119" t="n">
        <f aca="false">SUMIFS(tabela_registros[VALOR],tabela_registros[MÊS],$AE$1,tabela_registros[DIA],settotal3059718395107119131[[#Headers],[19]],tabela_registros[REGISTRO],DADOS!$N$4,tabela_registros[TIPO],DADOS!$P$4,tabela_registros[CATEGORIA],despesavariávelconsolidadoset[[#This Row],[DESPESA VARIÁVEL]])</f>
        <v>0</v>
      </c>
      <c r="X61" s="119" t="n">
        <f aca="false">SUMIFS(tabela_registros[VALOR],tabela_registros[MÊS],$AE$1,tabela_registros[DIA],settotal3059718395107119131[[#Headers],[20]],tabela_registros[REGISTRO],DADOS!$N$4,tabela_registros[TIPO],DADOS!$P$4,tabela_registros[CATEGORIA],despesavariávelconsolidadoset[[#This Row],[DESPESA VARIÁVEL]])</f>
        <v>0</v>
      </c>
      <c r="Y61" s="119" t="n">
        <f aca="false">SUMIFS(tabela_registros[VALOR],tabela_registros[MÊS],$AE$1,tabela_registros[DIA],settotal3059718395107119131[[#Headers],[21]],tabela_registros[REGISTRO],DADOS!$N$4,tabela_registros[TIPO],DADOS!$P$4,tabela_registros[CATEGORIA],despesavariávelconsolidadoset[[#This Row],[DESPESA VARIÁVEL]])</f>
        <v>0</v>
      </c>
      <c r="Z61" s="119" t="n">
        <f aca="false">SUMIFS(tabela_registros[VALOR],tabela_registros[MÊS],$AE$1,tabela_registros[DIA],settotal3059718395107119131[[#Headers],[22]],tabela_registros[REGISTRO],DADOS!$N$4,tabela_registros[TIPO],DADOS!$P$4,tabela_registros[CATEGORIA],despesavariávelconsolidadoset[[#This Row],[DESPESA VARIÁVEL]])</f>
        <v>0</v>
      </c>
      <c r="AA61" s="119" t="n">
        <f aca="false">SUMIFS(tabela_registros[VALOR],tabela_registros[MÊS],$AE$1,tabela_registros[DIA],settotal3059718395107119131[[#Headers],[23]],tabela_registros[REGISTRO],DADOS!$N$4,tabela_registros[TIPO],DADOS!$P$4,tabela_registros[CATEGORIA],despesavariávelconsolidadoset[[#This Row],[DESPESA VARIÁVEL]])</f>
        <v>0</v>
      </c>
      <c r="AB61" s="119" t="n">
        <f aca="false">SUMIFS(tabela_registros[VALOR],tabela_registros[MÊS],$AE$1,tabela_registros[DIA],settotal3059718395107119131[[#Headers],[24]],tabela_registros[REGISTRO],DADOS!$N$4,tabela_registros[TIPO],DADOS!$P$4,tabela_registros[CATEGORIA],despesavariávelconsolidadoset[[#This Row],[DESPESA VARIÁVEL]])</f>
        <v>0</v>
      </c>
      <c r="AC61" s="119" t="n">
        <f aca="false">SUMIFS(tabela_registros[VALOR],tabela_registros[MÊS],$AE$1,tabela_registros[DIA],settotal3059718395107119131[[#Headers],[25]],tabela_registros[REGISTRO],DADOS!$N$4,tabela_registros[TIPO],DADOS!$P$4,tabela_registros[CATEGORIA],despesavariávelconsolidadoset[[#This Row],[DESPESA VARIÁVEL]])</f>
        <v>0</v>
      </c>
      <c r="AD61" s="119" t="n">
        <f aca="false">SUMIFS(tabela_registros[VALOR],tabela_registros[MÊS],$AE$1,tabela_registros[DIA],settotal3059718395107119131[[#Headers],[26]],tabela_registros[REGISTRO],DADOS!$N$4,tabela_registros[TIPO],DADOS!$P$4,tabela_registros[CATEGORIA],despesavariávelconsolidadoset[[#This Row],[DESPESA VARIÁVEL]])</f>
        <v>0</v>
      </c>
      <c r="AE61" s="119" t="n">
        <f aca="false">SUMIFS(tabela_registros[VALOR],tabela_registros[MÊS],$AE$1,tabela_registros[DIA],settotal3059718395107119131[[#Headers],[27]],tabela_registros[REGISTRO],DADOS!$N$4,tabela_registros[TIPO],DADOS!$P$4,tabela_registros[CATEGORIA],despesavariávelconsolidadoset[[#This Row],[DESPESA VARIÁVEL]])</f>
        <v>0</v>
      </c>
      <c r="AF61" s="119" t="n">
        <f aca="false">SUMIFS(tabela_registros[VALOR],tabela_registros[MÊS],$AE$1,tabela_registros[DIA],settotal3059718395107119131[[#Headers],[28]],tabela_registros[REGISTRO],DADOS!$N$4,tabela_registros[TIPO],DADOS!$P$4,tabela_registros[CATEGORIA],despesavariávelconsolidadoset[[#This Row],[DESPESA VARIÁVEL]])</f>
        <v>0</v>
      </c>
      <c r="AG61" s="119" t="n">
        <f aca="false">SUMIFS(tabela_registros[VALOR],tabela_registros[MÊS],$AE$1,tabela_registros[DIA],settotal3059718395107119131[[#Headers],[29]],tabela_registros[REGISTRO],DADOS!$N$4,tabela_registros[TIPO],DADOS!$P$4,tabela_registros[CATEGORIA],despesavariávelconsolidadoset[[#This Row],[DESPESA VARIÁVEL]])</f>
        <v>0</v>
      </c>
      <c r="AH61" s="119" t="n">
        <f aca="false">SUMIFS(tabela_registros[VALOR],tabela_registros[MÊS],$AE$1,tabela_registros[DIA],settotal3059718395107119131[[#Headers],[30]],tabela_registros[REGISTRO],DADOS!$N$4,tabela_registros[TIPO],DADOS!$P$4,tabela_registros[CATEGORIA],despesavariávelconsolidadoset[[#This Row],[DESPESA VARIÁVEL]])</f>
        <v>0</v>
      </c>
      <c r="AI61" s="217" t="n">
        <f aca="false">SUMIFS(tabela_registros[VALOR],tabela_registros[MÊS],$AE$1,tabela_registros[DIA],settotal3059718395107119131[[#Headers],[31]],tabela_registros[REGISTRO],DADOS!$N$4,tabela_registros[TIPO],DADOS!$P$4,tabela_registros[CATEGORIA],despesavariávelconsolidadoset[[#This Row],[DESPESA VARIÁVEL]])</f>
        <v>0</v>
      </c>
      <c r="AJ61" s="149" t="n">
        <f aca="false">SUM(despesavariávelconsolidadoset[[#This Row],[1]:[31]])</f>
        <v>0</v>
      </c>
      <c r="AK61" s="143"/>
    </row>
    <row r="62" customFormat="false" ht="18" hidden="false" customHeight="true" outlineLevel="0" collapsed="false">
      <c r="B62" s="143"/>
      <c r="C62" s="144" t="str">
        <f aca="false">DADOS!$T$5</f>
        <v>✍️ CHEQUE ESPECIAL</v>
      </c>
      <c r="D62" s="145" t="str">
        <f aca="false">IF(despesavariávelconsolidadoset[[#This Row],[TOTAL]]=0,"",IF(OR(despesavariávelconsolidadoset[[#This Row],[TOTAL]]=LARGE($AJ$60:$AJ$72,1),despesavariávelconsolidadoset[[#This Row],[TOTAL]]=LARGE($AJ$60:$AJ$72,2),despesavariávelconsolidadoset[[#This Row],[TOTAL]]=LARGE($AJ$60:$AJ$72,3),despesavariávelconsolidadoset[[#This Row],[TOTAL]]=LARGE($AJ$60:$AJ$72,4),despesavariávelconsolidadoset[[#This Row],[TOTAL]]=LARGE($AJ$60:$AJ$72,5)),DADOS!$I$8,""))</f>
        <v/>
      </c>
      <c r="E62" s="148" t="n">
        <f aca="false">SUMIFS(tabela_registros[VALOR],tabela_registros[MÊS],$AE$1,tabela_registros[DIA],settotal3059718395107119131[[#Headers],[1]],tabela_registros[REGISTRO],DADOS!$N$4,tabela_registros[TIPO],DADOS!$P$4,tabela_registros[CATEGORIA],despesavariávelconsolidadoset[[#This Row],[DESPESA VARIÁVEL]])</f>
        <v>0</v>
      </c>
      <c r="F62" s="119" t="n">
        <f aca="false">SUMIFS(tabela_registros[VALOR],tabela_registros[MÊS],$AE$1,tabela_registros[DIA],settotal3059718395107119131[[#Headers],[2]],tabela_registros[REGISTRO],DADOS!$N$4,tabela_registros[TIPO],DADOS!$P$4,tabela_registros[CATEGORIA],despesavariávelconsolidadoset[[#This Row],[DESPESA VARIÁVEL]])</f>
        <v>0</v>
      </c>
      <c r="G62" s="119" t="n">
        <f aca="false">SUMIFS(tabela_registros[VALOR],tabela_registros[MÊS],$AE$1,tabela_registros[DIA],settotal3059718395107119131[[#Headers],[3]],tabela_registros[REGISTRO],DADOS!$N$4,tabela_registros[TIPO],DADOS!$P$4,tabela_registros[CATEGORIA],despesavariávelconsolidadoset[[#This Row],[DESPESA VARIÁVEL]])</f>
        <v>0</v>
      </c>
      <c r="H62" s="119" t="n">
        <f aca="false">SUMIFS(tabela_registros[VALOR],tabela_registros[MÊS],$AE$1,tabela_registros[DIA],settotal3059718395107119131[[#Headers],[4]],tabela_registros[REGISTRO],DADOS!$N$4,tabela_registros[TIPO],DADOS!$P$4,tabela_registros[CATEGORIA],despesavariávelconsolidadoset[[#This Row],[DESPESA VARIÁVEL]])</f>
        <v>0</v>
      </c>
      <c r="I62" s="119" t="n">
        <f aca="false">SUMIFS(tabela_registros[VALOR],tabela_registros[MÊS],$AE$1,tabela_registros[DIA],settotal3059718395107119131[[#Headers],[5]],tabela_registros[REGISTRO],DADOS!$N$4,tabela_registros[TIPO],DADOS!$P$4,tabela_registros[CATEGORIA],despesavariávelconsolidadoset[[#This Row],[DESPESA VARIÁVEL]])</f>
        <v>0</v>
      </c>
      <c r="J62" s="119" t="n">
        <f aca="false">SUMIFS(tabela_registros[VALOR],tabela_registros[MÊS],$AE$1,tabela_registros[DIA],settotal3059718395107119131[[#Headers],[6]],tabela_registros[REGISTRO],DADOS!$N$4,tabela_registros[TIPO],DADOS!$P$4,tabela_registros[CATEGORIA],despesavariávelconsolidadoset[[#This Row],[DESPESA VARIÁVEL]])</f>
        <v>0</v>
      </c>
      <c r="K62" s="119" t="n">
        <f aca="false">SUMIFS(tabela_registros[VALOR],tabela_registros[MÊS],$AE$1,tabela_registros[DIA],settotal3059718395107119131[[#Headers],[7]],tabela_registros[REGISTRO],DADOS!$N$4,tabela_registros[TIPO],DADOS!$P$4,tabela_registros[CATEGORIA],despesavariávelconsolidadoset[[#This Row],[DESPESA VARIÁVEL]])</f>
        <v>0</v>
      </c>
      <c r="L62" s="119" t="n">
        <f aca="false">SUMIFS(tabela_registros[VALOR],tabela_registros[MÊS],$AE$1,tabela_registros[DIA],settotal3059718395107119131[[#Headers],[8]],tabela_registros[REGISTRO],DADOS!$N$4,tabela_registros[TIPO],DADOS!$P$4,tabela_registros[CATEGORIA],despesavariávelconsolidadoset[[#This Row],[DESPESA VARIÁVEL]])</f>
        <v>0</v>
      </c>
      <c r="M62" s="119" t="n">
        <f aca="false">SUMIFS(tabela_registros[VALOR],tabela_registros[MÊS],$AE$1,tabela_registros[DIA],settotal3059718395107119131[[#Headers],[9]],tabela_registros[REGISTRO],DADOS!$N$4,tabela_registros[TIPO],DADOS!$P$4,tabela_registros[CATEGORIA],despesavariávelconsolidadoset[[#This Row],[DESPESA VARIÁVEL]])</f>
        <v>0</v>
      </c>
      <c r="N62" s="119" t="n">
        <f aca="false">SUMIFS(tabela_registros[VALOR],tabela_registros[MÊS],$AE$1,tabela_registros[DIA],settotal3059718395107119131[[#Headers],[10]],tabela_registros[REGISTRO],DADOS!$N$4,tabela_registros[TIPO],DADOS!$P$4,tabela_registros[CATEGORIA],despesavariávelconsolidadoset[[#This Row],[DESPESA VARIÁVEL]])</f>
        <v>0</v>
      </c>
      <c r="O62" s="119" t="n">
        <f aca="false">SUMIFS(tabela_registros[VALOR],tabela_registros[MÊS],$AE$1,tabela_registros[DIA],settotal3059718395107119131[[#Headers],[11]],tabela_registros[REGISTRO],DADOS!$N$4,tabela_registros[TIPO],DADOS!$P$4,tabela_registros[CATEGORIA],despesavariávelconsolidadoset[[#This Row],[DESPESA VARIÁVEL]])</f>
        <v>0</v>
      </c>
      <c r="P62" s="119" t="n">
        <f aca="false">SUMIFS(tabela_registros[VALOR],tabela_registros[MÊS],$AE$1,tabela_registros[DIA],settotal3059718395107119131[[#Headers],[12]],tabela_registros[REGISTRO],DADOS!$N$4,tabela_registros[TIPO],DADOS!$P$4,tabela_registros[CATEGORIA],despesavariávelconsolidadoset[[#This Row],[DESPESA VARIÁVEL]])</f>
        <v>0</v>
      </c>
      <c r="Q62" s="119" t="n">
        <f aca="false">SUMIFS(tabela_registros[VALOR],tabela_registros[MÊS],$AE$1,tabela_registros[DIA],settotal3059718395107119131[[#Headers],[13]],tabela_registros[REGISTRO],DADOS!$N$4,tabela_registros[TIPO],DADOS!$P$4,tabela_registros[CATEGORIA],despesavariávelconsolidadoset[[#This Row],[DESPESA VARIÁVEL]])</f>
        <v>0</v>
      </c>
      <c r="R62" s="119" t="n">
        <f aca="false">SUMIFS(tabela_registros[VALOR],tabela_registros[MÊS],$AE$1,tabela_registros[DIA],settotal3059718395107119131[[#Headers],[14]],tabela_registros[REGISTRO],DADOS!$N$4,tabela_registros[TIPO],DADOS!$P$4,tabela_registros[CATEGORIA],despesavariávelconsolidadoset[[#This Row],[DESPESA VARIÁVEL]])</f>
        <v>0</v>
      </c>
      <c r="S62" s="119" t="n">
        <f aca="false">SUMIFS(tabela_registros[VALOR],tabela_registros[MÊS],$AE$1,tabela_registros[DIA],settotal3059718395107119131[[#Headers],[15]],tabela_registros[REGISTRO],DADOS!$N$4,tabela_registros[TIPO],DADOS!$P$4,tabela_registros[CATEGORIA],despesavariávelconsolidadoset[[#This Row],[DESPESA VARIÁVEL]])</f>
        <v>0</v>
      </c>
      <c r="T62" s="119" t="n">
        <f aca="false">SUMIFS(tabela_registros[VALOR],tabela_registros[MÊS],$AE$1,tabela_registros[DIA],settotal3059718395107119131[[#Headers],[16]],tabela_registros[REGISTRO],DADOS!$N$4,tabela_registros[TIPO],DADOS!$P$4,tabela_registros[CATEGORIA],despesavariávelconsolidadoset[[#This Row],[DESPESA VARIÁVEL]])</f>
        <v>0</v>
      </c>
      <c r="U62" s="119" t="n">
        <f aca="false">SUMIFS(tabela_registros[VALOR],tabela_registros[MÊS],$AE$1,tabela_registros[DIA],settotal3059718395107119131[[#Headers],[17]],tabela_registros[REGISTRO],DADOS!$N$4,tabela_registros[TIPO],DADOS!$P$4,tabela_registros[CATEGORIA],despesavariávelconsolidadoset[[#This Row],[DESPESA VARIÁVEL]])</f>
        <v>0</v>
      </c>
      <c r="V62" s="119" t="n">
        <f aca="false">SUMIFS(tabela_registros[VALOR],tabela_registros[MÊS],$AE$1,tabela_registros[DIA],settotal3059718395107119131[[#Headers],[18]],tabela_registros[REGISTRO],DADOS!$N$4,tabela_registros[TIPO],DADOS!$P$4,tabela_registros[CATEGORIA],despesavariávelconsolidadoset[[#This Row],[DESPESA VARIÁVEL]])</f>
        <v>0</v>
      </c>
      <c r="W62" s="119" t="n">
        <f aca="false">SUMIFS(tabela_registros[VALOR],tabela_registros[MÊS],$AE$1,tabela_registros[DIA],settotal3059718395107119131[[#Headers],[19]],tabela_registros[REGISTRO],DADOS!$N$4,tabela_registros[TIPO],DADOS!$P$4,tabela_registros[CATEGORIA],despesavariávelconsolidadoset[[#This Row],[DESPESA VARIÁVEL]])</f>
        <v>0</v>
      </c>
      <c r="X62" s="119" t="n">
        <f aca="false">SUMIFS(tabela_registros[VALOR],tabela_registros[MÊS],$AE$1,tabela_registros[DIA],settotal3059718395107119131[[#Headers],[20]],tabela_registros[REGISTRO],DADOS!$N$4,tabela_registros[TIPO],DADOS!$P$4,tabela_registros[CATEGORIA],despesavariávelconsolidadoset[[#This Row],[DESPESA VARIÁVEL]])</f>
        <v>0</v>
      </c>
      <c r="Y62" s="119" t="n">
        <f aca="false">SUMIFS(tabela_registros[VALOR],tabela_registros[MÊS],$AE$1,tabela_registros[DIA],settotal3059718395107119131[[#Headers],[21]],tabela_registros[REGISTRO],DADOS!$N$4,tabela_registros[TIPO],DADOS!$P$4,tabela_registros[CATEGORIA],despesavariávelconsolidadoset[[#This Row],[DESPESA VARIÁVEL]])</f>
        <v>0</v>
      </c>
      <c r="Z62" s="119" t="n">
        <f aca="false">SUMIFS(tabela_registros[VALOR],tabela_registros[MÊS],$AE$1,tabela_registros[DIA],settotal3059718395107119131[[#Headers],[22]],tabela_registros[REGISTRO],DADOS!$N$4,tabela_registros[TIPO],DADOS!$P$4,tabela_registros[CATEGORIA],despesavariávelconsolidadoset[[#This Row],[DESPESA VARIÁVEL]])</f>
        <v>0</v>
      </c>
      <c r="AA62" s="119" t="n">
        <f aca="false">SUMIFS(tabela_registros[VALOR],tabela_registros[MÊS],$AE$1,tabela_registros[DIA],settotal3059718395107119131[[#Headers],[23]],tabela_registros[REGISTRO],DADOS!$N$4,tabela_registros[TIPO],DADOS!$P$4,tabela_registros[CATEGORIA],despesavariávelconsolidadoset[[#This Row],[DESPESA VARIÁVEL]])</f>
        <v>0</v>
      </c>
      <c r="AB62" s="119" t="n">
        <f aca="false">SUMIFS(tabela_registros[VALOR],tabela_registros[MÊS],$AE$1,tabela_registros[DIA],settotal3059718395107119131[[#Headers],[24]],tabela_registros[REGISTRO],DADOS!$N$4,tabela_registros[TIPO],DADOS!$P$4,tabela_registros[CATEGORIA],despesavariávelconsolidadoset[[#This Row],[DESPESA VARIÁVEL]])</f>
        <v>0</v>
      </c>
      <c r="AC62" s="119" t="n">
        <f aca="false">SUMIFS(tabela_registros[VALOR],tabela_registros[MÊS],$AE$1,tabela_registros[DIA],settotal3059718395107119131[[#Headers],[25]],tabela_registros[REGISTRO],DADOS!$N$4,tabela_registros[TIPO],DADOS!$P$4,tabela_registros[CATEGORIA],despesavariávelconsolidadoset[[#This Row],[DESPESA VARIÁVEL]])</f>
        <v>0</v>
      </c>
      <c r="AD62" s="119" t="n">
        <f aca="false">SUMIFS(tabela_registros[VALOR],tabela_registros[MÊS],$AE$1,tabela_registros[DIA],settotal3059718395107119131[[#Headers],[26]],tabela_registros[REGISTRO],DADOS!$N$4,tabela_registros[TIPO],DADOS!$P$4,tabela_registros[CATEGORIA],despesavariávelconsolidadoset[[#This Row],[DESPESA VARIÁVEL]])</f>
        <v>0</v>
      </c>
      <c r="AE62" s="119" t="n">
        <f aca="false">SUMIFS(tabela_registros[VALOR],tabela_registros[MÊS],$AE$1,tabela_registros[DIA],settotal3059718395107119131[[#Headers],[27]],tabela_registros[REGISTRO],DADOS!$N$4,tabela_registros[TIPO],DADOS!$P$4,tabela_registros[CATEGORIA],despesavariávelconsolidadoset[[#This Row],[DESPESA VARIÁVEL]])</f>
        <v>0</v>
      </c>
      <c r="AF62" s="119" t="n">
        <f aca="false">SUMIFS(tabela_registros[VALOR],tabela_registros[MÊS],$AE$1,tabela_registros[DIA],settotal3059718395107119131[[#Headers],[28]],tabela_registros[REGISTRO],DADOS!$N$4,tabela_registros[TIPO],DADOS!$P$4,tabela_registros[CATEGORIA],despesavariávelconsolidadoset[[#This Row],[DESPESA VARIÁVEL]])</f>
        <v>0</v>
      </c>
      <c r="AG62" s="119" t="n">
        <f aca="false">SUMIFS(tabela_registros[VALOR],tabela_registros[MÊS],$AE$1,tabela_registros[DIA],settotal3059718395107119131[[#Headers],[29]],tabela_registros[REGISTRO],DADOS!$N$4,tabela_registros[TIPO],DADOS!$P$4,tabela_registros[CATEGORIA],despesavariávelconsolidadoset[[#This Row],[DESPESA VARIÁVEL]])</f>
        <v>0</v>
      </c>
      <c r="AH62" s="119" t="n">
        <f aca="false">SUMIFS(tabela_registros[VALOR],tabela_registros[MÊS],$AE$1,tabela_registros[DIA],settotal3059718395107119131[[#Headers],[30]],tabela_registros[REGISTRO],DADOS!$N$4,tabela_registros[TIPO],DADOS!$P$4,tabela_registros[CATEGORIA],despesavariávelconsolidadoset[[#This Row],[DESPESA VARIÁVEL]])</f>
        <v>0</v>
      </c>
      <c r="AI62" s="217" t="n">
        <f aca="false">SUMIFS(tabela_registros[VALOR],tabela_registros[MÊS],$AE$1,tabela_registros[DIA],settotal3059718395107119131[[#Headers],[31]],tabela_registros[REGISTRO],DADOS!$N$4,tabela_registros[TIPO],DADOS!$P$4,tabela_registros[CATEGORIA],despesavariávelconsolidadoset[[#This Row],[DESPESA VARIÁVEL]])</f>
        <v>0</v>
      </c>
      <c r="AJ62" s="149" t="n">
        <f aca="false">SUM(despesavariávelconsolidadoset[[#This Row],[1]:[31]])</f>
        <v>0</v>
      </c>
      <c r="AK62" s="143"/>
    </row>
    <row r="63" customFormat="false" ht="18" hidden="false" customHeight="true" outlineLevel="0" collapsed="false">
      <c r="B63" s="143"/>
      <c r="C63" s="144" t="str">
        <f aca="false">DADOS!$T$6</f>
        <v>💄 CUIDADOS PESSOAIS</v>
      </c>
      <c r="D63" s="145" t="str">
        <f aca="false">IF(despesavariávelconsolidadoset[[#This Row],[TOTAL]]=0,"",IF(OR(despesavariávelconsolidadoset[[#This Row],[TOTAL]]=LARGE($AJ$60:$AJ$72,1),despesavariávelconsolidadoset[[#This Row],[TOTAL]]=LARGE($AJ$60:$AJ$72,2),despesavariávelconsolidadoset[[#This Row],[TOTAL]]=LARGE($AJ$60:$AJ$72,3),despesavariávelconsolidadoset[[#This Row],[TOTAL]]=LARGE($AJ$60:$AJ$72,4),despesavariávelconsolidadoset[[#This Row],[TOTAL]]=LARGE($AJ$60:$AJ$72,5)),DADOS!$I$8,""))</f>
        <v/>
      </c>
      <c r="E63" s="148" t="n">
        <f aca="false">SUMIFS(tabela_registros[VALOR],tabela_registros[MÊS],$AE$1,tabela_registros[DIA],settotal3059718395107119131[[#Headers],[1]],tabela_registros[REGISTRO],DADOS!$N$4,tabela_registros[TIPO],DADOS!$P$4,tabela_registros[CATEGORIA],despesavariávelconsolidadoset[[#This Row],[DESPESA VARIÁVEL]])</f>
        <v>0</v>
      </c>
      <c r="F63" s="119" t="n">
        <f aca="false">SUMIFS(tabela_registros[VALOR],tabela_registros[MÊS],$AE$1,tabela_registros[DIA],settotal3059718395107119131[[#Headers],[2]],tabela_registros[REGISTRO],DADOS!$N$4,tabela_registros[TIPO],DADOS!$P$4,tabela_registros[CATEGORIA],despesavariávelconsolidadoset[[#This Row],[DESPESA VARIÁVEL]])</f>
        <v>0</v>
      </c>
      <c r="G63" s="119" t="n">
        <f aca="false">SUMIFS(tabela_registros[VALOR],tabela_registros[MÊS],$AE$1,tabela_registros[DIA],settotal3059718395107119131[[#Headers],[3]],tabela_registros[REGISTRO],DADOS!$N$4,tabela_registros[TIPO],DADOS!$P$4,tabela_registros[CATEGORIA],despesavariávelconsolidadoset[[#This Row],[DESPESA VARIÁVEL]])</f>
        <v>0</v>
      </c>
      <c r="H63" s="119" t="n">
        <f aca="false">SUMIFS(tabela_registros[VALOR],tabela_registros[MÊS],$AE$1,tabela_registros[DIA],settotal3059718395107119131[[#Headers],[4]],tabela_registros[REGISTRO],DADOS!$N$4,tabela_registros[TIPO],DADOS!$P$4,tabela_registros[CATEGORIA],despesavariávelconsolidadoset[[#This Row],[DESPESA VARIÁVEL]])</f>
        <v>0</v>
      </c>
      <c r="I63" s="119" t="n">
        <f aca="false">SUMIFS(tabela_registros[VALOR],tabela_registros[MÊS],$AE$1,tabela_registros[DIA],settotal3059718395107119131[[#Headers],[5]],tabela_registros[REGISTRO],DADOS!$N$4,tabela_registros[TIPO],DADOS!$P$4,tabela_registros[CATEGORIA],despesavariávelconsolidadoset[[#This Row],[DESPESA VARIÁVEL]])</f>
        <v>0</v>
      </c>
      <c r="J63" s="119" t="n">
        <f aca="false">SUMIFS(tabela_registros[VALOR],tabela_registros[MÊS],$AE$1,tabela_registros[DIA],settotal3059718395107119131[[#Headers],[6]],tabela_registros[REGISTRO],DADOS!$N$4,tabela_registros[TIPO],DADOS!$P$4,tabela_registros[CATEGORIA],despesavariávelconsolidadoset[[#This Row],[DESPESA VARIÁVEL]])</f>
        <v>0</v>
      </c>
      <c r="K63" s="119" t="n">
        <f aca="false">SUMIFS(tabela_registros[VALOR],tabela_registros[MÊS],$AE$1,tabela_registros[DIA],settotal3059718395107119131[[#Headers],[7]],tabela_registros[REGISTRO],DADOS!$N$4,tabela_registros[TIPO],DADOS!$P$4,tabela_registros[CATEGORIA],despesavariávelconsolidadoset[[#This Row],[DESPESA VARIÁVEL]])</f>
        <v>0</v>
      </c>
      <c r="L63" s="119" t="n">
        <f aca="false">SUMIFS(tabela_registros[VALOR],tabela_registros[MÊS],$AE$1,tabela_registros[DIA],settotal3059718395107119131[[#Headers],[8]],tabela_registros[REGISTRO],DADOS!$N$4,tabela_registros[TIPO],DADOS!$P$4,tabela_registros[CATEGORIA],despesavariávelconsolidadoset[[#This Row],[DESPESA VARIÁVEL]])</f>
        <v>0</v>
      </c>
      <c r="M63" s="119" t="n">
        <f aca="false">SUMIFS(tabela_registros[VALOR],tabela_registros[MÊS],$AE$1,tabela_registros[DIA],settotal3059718395107119131[[#Headers],[9]],tabela_registros[REGISTRO],DADOS!$N$4,tabela_registros[TIPO],DADOS!$P$4,tabela_registros[CATEGORIA],despesavariávelconsolidadoset[[#This Row],[DESPESA VARIÁVEL]])</f>
        <v>0</v>
      </c>
      <c r="N63" s="119" t="n">
        <f aca="false">SUMIFS(tabela_registros[VALOR],tabela_registros[MÊS],$AE$1,tabela_registros[DIA],settotal3059718395107119131[[#Headers],[10]],tabela_registros[REGISTRO],DADOS!$N$4,tabela_registros[TIPO],DADOS!$P$4,tabela_registros[CATEGORIA],despesavariávelconsolidadoset[[#This Row],[DESPESA VARIÁVEL]])</f>
        <v>0</v>
      </c>
      <c r="O63" s="119" t="n">
        <f aca="false">SUMIFS(tabela_registros[VALOR],tabela_registros[MÊS],$AE$1,tabela_registros[DIA],settotal3059718395107119131[[#Headers],[11]],tabela_registros[REGISTRO],DADOS!$N$4,tabela_registros[TIPO],DADOS!$P$4,tabela_registros[CATEGORIA],despesavariávelconsolidadoset[[#This Row],[DESPESA VARIÁVEL]])</f>
        <v>0</v>
      </c>
      <c r="P63" s="119" t="n">
        <f aca="false">SUMIFS(tabela_registros[VALOR],tabela_registros[MÊS],$AE$1,tabela_registros[DIA],settotal3059718395107119131[[#Headers],[12]],tabela_registros[REGISTRO],DADOS!$N$4,tabela_registros[TIPO],DADOS!$P$4,tabela_registros[CATEGORIA],despesavariávelconsolidadoset[[#This Row],[DESPESA VARIÁVEL]])</f>
        <v>0</v>
      </c>
      <c r="Q63" s="119" t="n">
        <f aca="false">SUMIFS(tabela_registros[VALOR],tabela_registros[MÊS],$AE$1,tabela_registros[DIA],settotal3059718395107119131[[#Headers],[13]],tabela_registros[REGISTRO],DADOS!$N$4,tabela_registros[TIPO],DADOS!$P$4,tabela_registros[CATEGORIA],despesavariávelconsolidadoset[[#This Row],[DESPESA VARIÁVEL]])</f>
        <v>0</v>
      </c>
      <c r="R63" s="119" t="n">
        <f aca="false">SUMIFS(tabela_registros[VALOR],tabela_registros[MÊS],$AE$1,tabela_registros[DIA],settotal3059718395107119131[[#Headers],[14]],tabela_registros[REGISTRO],DADOS!$N$4,tabela_registros[TIPO],DADOS!$P$4,tabela_registros[CATEGORIA],despesavariávelconsolidadoset[[#This Row],[DESPESA VARIÁVEL]])</f>
        <v>0</v>
      </c>
      <c r="S63" s="119" t="n">
        <f aca="false">SUMIFS(tabela_registros[VALOR],tabela_registros[MÊS],$AE$1,tabela_registros[DIA],settotal3059718395107119131[[#Headers],[15]],tabela_registros[REGISTRO],DADOS!$N$4,tabela_registros[TIPO],DADOS!$P$4,tabela_registros[CATEGORIA],despesavariávelconsolidadoset[[#This Row],[DESPESA VARIÁVEL]])</f>
        <v>0</v>
      </c>
      <c r="T63" s="119" t="n">
        <f aca="false">SUMIFS(tabela_registros[VALOR],tabela_registros[MÊS],$AE$1,tabela_registros[DIA],settotal3059718395107119131[[#Headers],[16]],tabela_registros[REGISTRO],DADOS!$N$4,tabela_registros[TIPO],DADOS!$P$4,tabela_registros[CATEGORIA],despesavariávelconsolidadoset[[#This Row],[DESPESA VARIÁVEL]])</f>
        <v>0</v>
      </c>
      <c r="U63" s="119" t="n">
        <f aca="false">SUMIFS(tabela_registros[VALOR],tabela_registros[MÊS],$AE$1,tabela_registros[DIA],settotal3059718395107119131[[#Headers],[17]],tabela_registros[REGISTRO],DADOS!$N$4,tabela_registros[TIPO],DADOS!$P$4,tabela_registros[CATEGORIA],despesavariávelconsolidadoset[[#This Row],[DESPESA VARIÁVEL]])</f>
        <v>0</v>
      </c>
      <c r="V63" s="119" t="n">
        <f aca="false">SUMIFS(tabela_registros[VALOR],tabela_registros[MÊS],$AE$1,tabela_registros[DIA],settotal3059718395107119131[[#Headers],[18]],tabela_registros[REGISTRO],DADOS!$N$4,tabela_registros[TIPO],DADOS!$P$4,tabela_registros[CATEGORIA],despesavariávelconsolidadoset[[#This Row],[DESPESA VARIÁVEL]])</f>
        <v>0</v>
      </c>
      <c r="W63" s="119" t="n">
        <f aca="false">SUMIFS(tabela_registros[VALOR],tabela_registros[MÊS],$AE$1,tabela_registros[DIA],settotal3059718395107119131[[#Headers],[19]],tabela_registros[REGISTRO],DADOS!$N$4,tabela_registros[TIPO],DADOS!$P$4,tabela_registros[CATEGORIA],despesavariávelconsolidadoset[[#This Row],[DESPESA VARIÁVEL]])</f>
        <v>0</v>
      </c>
      <c r="X63" s="119" t="n">
        <f aca="false">SUMIFS(tabela_registros[VALOR],tabela_registros[MÊS],$AE$1,tabela_registros[DIA],settotal3059718395107119131[[#Headers],[20]],tabela_registros[REGISTRO],DADOS!$N$4,tabela_registros[TIPO],DADOS!$P$4,tabela_registros[CATEGORIA],despesavariávelconsolidadoset[[#This Row],[DESPESA VARIÁVEL]])</f>
        <v>0</v>
      </c>
      <c r="Y63" s="119" t="n">
        <f aca="false">SUMIFS(tabela_registros[VALOR],tabela_registros[MÊS],$AE$1,tabela_registros[DIA],settotal3059718395107119131[[#Headers],[21]],tabela_registros[REGISTRO],DADOS!$N$4,tabela_registros[TIPO],DADOS!$P$4,tabela_registros[CATEGORIA],despesavariávelconsolidadoset[[#This Row],[DESPESA VARIÁVEL]])</f>
        <v>0</v>
      </c>
      <c r="Z63" s="119" t="n">
        <f aca="false">SUMIFS(tabela_registros[VALOR],tabela_registros[MÊS],$AE$1,tabela_registros[DIA],settotal3059718395107119131[[#Headers],[22]],tabela_registros[REGISTRO],DADOS!$N$4,tabela_registros[TIPO],DADOS!$P$4,tabela_registros[CATEGORIA],despesavariávelconsolidadoset[[#This Row],[DESPESA VARIÁVEL]])</f>
        <v>0</v>
      </c>
      <c r="AA63" s="119" t="n">
        <f aca="false">SUMIFS(tabela_registros[VALOR],tabela_registros[MÊS],$AE$1,tabela_registros[DIA],settotal3059718395107119131[[#Headers],[23]],tabela_registros[REGISTRO],DADOS!$N$4,tabela_registros[TIPO],DADOS!$P$4,tabela_registros[CATEGORIA],despesavariávelconsolidadoset[[#This Row],[DESPESA VARIÁVEL]])</f>
        <v>0</v>
      </c>
      <c r="AB63" s="119" t="n">
        <f aca="false">SUMIFS(tabela_registros[VALOR],tabela_registros[MÊS],$AE$1,tabela_registros[DIA],settotal3059718395107119131[[#Headers],[24]],tabela_registros[REGISTRO],DADOS!$N$4,tabela_registros[TIPO],DADOS!$P$4,tabela_registros[CATEGORIA],despesavariávelconsolidadoset[[#This Row],[DESPESA VARIÁVEL]])</f>
        <v>0</v>
      </c>
      <c r="AC63" s="119" t="n">
        <f aca="false">SUMIFS(tabela_registros[VALOR],tabela_registros[MÊS],$AE$1,tabela_registros[DIA],settotal3059718395107119131[[#Headers],[25]],tabela_registros[REGISTRO],DADOS!$N$4,tabela_registros[TIPO],DADOS!$P$4,tabela_registros[CATEGORIA],despesavariávelconsolidadoset[[#This Row],[DESPESA VARIÁVEL]])</f>
        <v>0</v>
      </c>
      <c r="AD63" s="119" t="n">
        <f aca="false">SUMIFS(tabela_registros[VALOR],tabela_registros[MÊS],$AE$1,tabela_registros[DIA],settotal3059718395107119131[[#Headers],[26]],tabela_registros[REGISTRO],DADOS!$N$4,tabela_registros[TIPO],DADOS!$P$4,tabela_registros[CATEGORIA],despesavariávelconsolidadoset[[#This Row],[DESPESA VARIÁVEL]])</f>
        <v>0</v>
      </c>
      <c r="AE63" s="119" t="n">
        <f aca="false">SUMIFS(tabela_registros[VALOR],tabela_registros[MÊS],$AE$1,tabela_registros[DIA],settotal3059718395107119131[[#Headers],[27]],tabela_registros[REGISTRO],DADOS!$N$4,tabela_registros[TIPO],DADOS!$P$4,tabela_registros[CATEGORIA],despesavariávelconsolidadoset[[#This Row],[DESPESA VARIÁVEL]])</f>
        <v>0</v>
      </c>
      <c r="AF63" s="119" t="n">
        <f aca="false">SUMIFS(tabela_registros[VALOR],tabela_registros[MÊS],$AE$1,tabela_registros[DIA],settotal3059718395107119131[[#Headers],[28]],tabela_registros[REGISTRO],DADOS!$N$4,tabela_registros[TIPO],DADOS!$P$4,tabela_registros[CATEGORIA],despesavariávelconsolidadoset[[#This Row],[DESPESA VARIÁVEL]])</f>
        <v>0</v>
      </c>
      <c r="AG63" s="119" t="n">
        <f aca="false">SUMIFS(tabela_registros[VALOR],tabela_registros[MÊS],$AE$1,tabela_registros[DIA],settotal3059718395107119131[[#Headers],[29]],tabela_registros[REGISTRO],DADOS!$N$4,tabela_registros[TIPO],DADOS!$P$4,tabela_registros[CATEGORIA],despesavariávelconsolidadoset[[#This Row],[DESPESA VARIÁVEL]])</f>
        <v>0</v>
      </c>
      <c r="AH63" s="119" t="n">
        <f aca="false">SUMIFS(tabela_registros[VALOR],tabela_registros[MÊS],$AE$1,tabela_registros[DIA],settotal3059718395107119131[[#Headers],[30]],tabela_registros[REGISTRO],DADOS!$N$4,tabela_registros[TIPO],DADOS!$P$4,tabela_registros[CATEGORIA],despesavariávelconsolidadoset[[#This Row],[DESPESA VARIÁVEL]])</f>
        <v>0</v>
      </c>
      <c r="AI63" s="217" t="n">
        <f aca="false">SUMIFS(tabela_registros[VALOR],tabela_registros[MÊS],$AE$1,tabela_registros[DIA],settotal3059718395107119131[[#Headers],[31]],tabela_registros[REGISTRO],DADOS!$N$4,tabela_registros[TIPO],DADOS!$P$4,tabela_registros[CATEGORIA],despesavariávelconsolidadoset[[#This Row],[DESPESA VARIÁVEL]])</f>
        <v>0</v>
      </c>
      <c r="AJ63" s="149" t="n">
        <f aca="false">SUM(despesavariávelconsolidadoset[[#This Row],[1]:[31]])</f>
        <v>0</v>
      </c>
      <c r="AK63" s="143"/>
    </row>
    <row r="64" customFormat="false" ht="18" hidden="false" customHeight="true" outlineLevel="0" collapsed="false">
      <c r="B64" s="143"/>
      <c r="C64" s="144" t="str">
        <f aca="false">DADOS!$T$7</f>
        <v>🤝 DOAÇÃO</v>
      </c>
      <c r="D64" s="145" t="str">
        <f aca="false">IF(despesavariávelconsolidadoset[[#This Row],[TOTAL]]=0,"",IF(OR(despesavariávelconsolidadoset[[#This Row],[TOTAL]]=LARGE($AJ$60:$AJ$72,1),despesavariávelconsolidadoset[[#This Row],[TOTAL]]=LARGE($AJ$60:$AJ$72,2),despesavariávelconsolidadoset[[#This Row],[TOTAL]]=LARGE($AJ$60:$AJ$72,3),despesavariávelconsolidadoset[[#This Row],[TOTAL]]=LARGE($AJ$60:$AJ$72,4),despesavariávelconsolidadoset[[#This Row],[TOTAL]]=LARGE($AJ$60:$AJ$72,5)),DADOS!$I$8,""))</f>
        <v/>
      </c>
      <c r="E64" s="148" t="n">
        <f aca="false">SUMIFS(tabela_registros[VALOR],tabela_registros[MÊS],$AE$1,tabela_registros[DIA],settotal3059718395107119131[[#Headers],[1]],tabela_registros[REGISTRO],DADOS!$N$4,tabela_registros[TIPO],DADOS!$P$4,tabela_registros[CATEGORIA],despesavariávelconsolidadoset[[#This Row],[DESPESA VARIÁVEL]])</f>
        <v>0</v>
      </c>
      <c r="F64" s="119" t="n">
        <f aca="false">SUMIFS(tabela_registros[VALOR],tabela_registros[MÊS],$AE$1,tabela_registros[DIA],settotal3059718395107119131[[#Headers],[2]],tabela_registros[REGISTRO],DADOS!$N$4,tabela_registros[TIPO],DADOS!$P$4,tabela_registros[CATEGORIA],despesavariávelconsolidadoset[[#This Row],[DESPESA VARIÁVEL]])</f>
        <v>0</v>
      </c>
      <c r="G64" s="119" t="n">
        <f aca="false">SUMIFS(tabela_registros[VALOR],tabela_registros[MÊS],$AE$1,tabela_registros[DIA],settotal3059718395107119131[[#Headers],[3]],tabela_registros[REGISTRO],DADOS!$N$4,tabela_registros[TIPO],DADOS!$P$4,tabela_registros[CATEGORIA],despesavariávelconsolidadoset[[#This Row],[DESPESA VARIÁVEL]])</f>
        <v>0</v>
      </c>
      <c r="H64" s="119" t="n">
        <f aca="false">SUMIFS(tabela_registros[VALOR],tabela_registros[MÊS],$AE$1,tabela_registros[DIA],settotal3059718395107119131[[#Headers],[4]],tabela_registros[REGISTRO],DADOS!$N$4,tabela_registros[TIPO],DADOS!$P$4,tabela_registros[CATEGORIA],despesavariávelconsolidadoset[[#This Row],[DESPESA VARIÁVEL]])</f>
        <v>0</v>
      </c>
      <c r="I64" s="119" t="n">
        <f aca="false">SUMIFS(tabela_registros[VALOR],tabela_registros[MÊS],$AE$1,tabela_registros[DIA],settotal3059718395107119131[[#Headers],[5]],tabela_registros[REGISTRO],DADOS!$N$4,tabela_registros[TIPO],DADOS!$P$4,tabela_registros[CATEGORIA],despesavariávelconsolidadoset[[#This Row],[DESPESA VARIÁVEL]])</f>
        <v>0</v>
      </c>
      <c r="J64" s="119" t="n">
        <f aca="false">SUMIFS(tabela_registros[VALOR],tabela_registros[MÊS],$AE$1,tabela_registros[DIA],settotal3059718395107119131[[#Headers],[6]],tabela_registros[REGISTRO],DADOS!$N$4,tabela_registros[TIPO],DADOS!$P$4,tabela_registros[CATEGORIA],despesavariávelconsolidadoset[[#This Row],[DESPESA VARIÁVEL]])</f>
        <v>0</v>
      </c>
      <c r="K64" s="119" t="n">
        <f aca="false">SUMIFS(tabela_registros[VALOR],tabela_registros[MÊS],$AE$1,tabela_registros[DIA],settotal3059718395107119131[[#Headers],[7]],tabela_registros[REGISTRO],DADOS!$N$4,tabela_registros[TIPO],DADOS!$P$4,tabela_registros[CATEGORIA],despesavariávelconsolidadoset[[#This Row],[DESPESA VARIÁVEL]])</f>
        <v>0</v>
      </c>
      <c r="L64" s="119" t="n">
        <f aca="false">SUMIFS(tabela_registros[VALOR],tabela_registros[MÊS],$AE$1,tabela_registros[DIA],settotal3059718395107119131[[#Headers],[8]],tabela_registros[REGISTRO],DADOS!$N$4,tabela_registros[TIPO],DADOS!$P$4,tabela_registros[CATEGORIA],despesavariávelconsolidadoset[[#This Row],[DESPESA VARIÁVEL]])</f>
        <v>0</v>
      </c>
      <c r="M64" s="119" t="n">
        <f aca="false">SUMIFS(tabela_registros[VALOR],tabela_registros[MÊS],$AE$1,tabela_registros[DIA],settotal3059718395107119131[[#Headers],[9]],tabela_registros[REGISTRO],DADOS!$N$4,tabela_registros[TIPO],DADOS!$P$4,tabela_registros[CATEGORIA],despesavariávelconsolidadoset[[#This Row],[DESPESA VARIÁVEL]])</f>
        <v>0</v>
      </c>
      <c r="N64" s="119" t="n">
        <f aca="false">SUMIFS(tabela_registros[VALOR],tabela_registros[MÊS],$AE$1,tabela_registros[DIA],settotal3059718395107119131[[#Headers],[10]],tabela_registros[REGISTRO],DADOS!$N$4,tabela_registros[TIPO],DADOS!$P$4,tabela_registros[CATEGORIA],despesavariávelconsolidadoset[[#This Row],[DESPESA VARIÁVEL]])</f>
        <v>0</v>
      </c>
      <c r="O64" s="119" t="n">
        <f aca="false">SUMIFS(tabela_registros[VALOR],tabela_registros[MÊS],$AE$1,tabela_registros[DIA],settotal3059718395107119131[[#Headers],[11]],tabela_registros[REGISTRO],DADOS!$N$4,tabela_registros[TIPO],DADOS!$P$4,tabela_registros[CATEGORIA],despesavariávelconsolidadoset[[#This Row],[DESPESA VARIÁVEL]])</f>
        <v>0</v>
      </c>
      <c r="P64" s="119" t="n">
        <f aca="false">SUMIFS(tabela_registros[VALOR],tabela_registros[MÊS],$AE$1,tabela_registros[DIA],settotal3059718395107119131[[#Headers],[12]],tabela_registros[REGISTRO],DADOS!$N$4,tabela_registros[TIPO],DADOS!$P$4,tabela_registros[CATEGORIA],despesavariávelconsolidadoset[[#This Row],[DESPESA VARIÁVEL]])</f>
        <v>0</v>
      </c>
      <c r="Q64" s="119" t="n">
        <f aca="false">SUMIFS(tabela_registros[VALOR],tabela_registros[MÊS],$AE$1,tabela_registros[DIA],settotal3059718395107119131[[#Headers],[13]],tabela_registros[REGISTRO],DADOS!$N$4,tabela_registros[TIPO],DADOS!$P$4,tabela_registros[CATEGORIA],despesavariávelconsolidadoset[[#This Row],[DESPESA VARIÁVEL]])</f>
        <v>0</v>
      </c>
      <c r="R64" s="119" t="n">
        <f aca="false">SUMIFS(tabela_registros[VALOR],tabela_registros[MÊS],$AE$1,tabela_registros[DIA],settotal3059718395107119131[[#Headers],[14]],tabela_registros[REGISTRO],DADOS!$N$4,tabela_registros[TIPO],DADOS!$P$4,tabela_registros[CATEGORIA],despesavariávelconsolidadoset[[#This Row],[DESPESA VARIÁVEL]])</f>
        <v>0</v>
      </c>
      <c r="S64" s="119" t="n">
        <f aca="false">SUMIFS(tabela_registros[VALOR],tabela_registros[MÊS],$AE$1,tabela_registros[DIA],settotal3059718395107119131[[#Headers],[15]],tabela_registros[REGISTRO],DADOS!$N$4,tabela_registros[TIPO],DADOS!$P$4,tabela_registros[CATEGORIA],despesavariávelconsolidadoset[[#This Row],[DESPESA VARIÁVEL]])</f>
        <v>0</v>
      </c>
      <c r="T64" s="119" t="n">
        <f aca="false">SUMIFS(tabela_registros[VALOR],tabela_registros[MÊS],$AE$1,tabela_registros[DIA],settotal3059718395107119131[[#Headers],[16]],tabela_registros[REGISTRO],DADOS!$N$4,tabela_registros[TIPO],DADOS!$P$4,tabela_registros[CATEGORIA],despesavariávelconsolidadoset[[#This Row],[DESPESA VARIÁVEL]])</f>
        <v>0</v>
      </c>
      <c r="U64" s="119" t="n">
        <f aca="false">SUMIFS(tabela_registros[VALOR],tabela_registros[MÊS],$AE$1,tabela_registros[DIA],settotal3059718395107119131[[#Headers],[17]],tabela_registros[REGISTRO],DADOS!$N$4,tabela_registros[TIPO],DADOS!$P$4,tabela_registros[CATEGORIA],despesavariávelconsolidadoset[[#This Row],[DESPESA VARIÁVEL]])</f>
        <v>0</v>
      </c>
      <c r="V64" s="119" t="n">
        <f aca="false">SUMIFS(tabela_registros[VALOR],tabela_registros[MÊS],$AE$1,tabela_registros[DIA],settotal3059718395107119131[[#Headers],[18]],tabela_registros[REGISTRO],DADOS!$N$4,tabela_registros[TIPO],DADOS!$P$4,tabela_registros[CATEGORIA],despesavariávelconsolidadoset[[#This Row],[DESPESA VARIÁVEL]])</f>
        <v>0</v>
      </c>
      <c r="W64" s="119" t="n">
        <f aca="false">SUMIFS(tabela_registros[VALOR],tabela_registros[MÊS],$AE$1,tabela_registros[DIA],settotal3059718395107119131[[#Headers],[19]],tabela_registros[REGISTRO],DADOS!$N$4,tabela_registros[TIPO],DADOS!$P$4,tabela_registros[CATEGORIA],despesavariávelconsolidadoset[[#This Row],[DESPESA VARIÁVEL]])</f>
        <v>0</v>
      </c>
      <c r="X64" s="119" t="n">
        <f aca="false">SUMIFS(tabela_registros[VALOR],tabela_registros[MÊS],$AE$1,tabela_registros[DIA],settotal3059718395107119131[[#Headers],[20]],tabela_registros[REGISTRO],DADOS!$N$4,tabela_registros[TIPO],DADOS!$P$4,tabela_registros[CATEGORIA],despesavariávelconsolidadoset[[#This Row],[DESPESA VARIÁVEL]])</f>
        <v>0</v>
      </c>
      <c r="Y64" s="119" t="n">
        <f aca="false">SUMIFS(tabela_registros[VALOR],tabela_registros[MÊS],$AE$1,tabela_registros[DIA],settotal3059718395107119131[[#Headers],[21]],tabela_registros[REGISTRO],DADOS!$N$4,tabela_registros[TIPO],DADOS!$P$4,tabela_registros[CATEGORIA],despesavariávelconsolidadoset[[#This Row],[DESPESA VARIÁVEL]])</f>
        <v>0</v>
      </c>
      <c r="Z64" s="119" t="n">
        <f aca="false">SUMIFS(tabela_registros[VALOR],tabela_registros[MÊS],$AE$1,tabela_registros[DIA],settotal3059718395107119131[[#Headers],[22]],tabela_registros[REGISTRO],DADOS!$N$4,tabela_registros[TIPO],DADOS!$P$4,tabela_registros[CATEGORIA],despesavariávelconsolidadoset[[#This Row],[DESPESA VARIÁVEL]])</f>
        <v>0</v>
      </c>
      <c r="AA64" s="119" t="n">
        <f aca="false">SUMIFS(tabela_registros[VALOR],tabela_registros[MÊS],$AE$1,tabela_registros[DIA],settotal3059718395107119131[[#Headers],[23]],tabela_registros[REGISTRO],DADOS!$N$4,tabela_registros[TIPO],DADOS!$P$4,tabela_registros[CATEGORIA],despesavariávelconsolidadoset[[#This Row],[DESPESA VARIÁVEL]])</f>
        <v>0</v>
      </c>
      <c r="AB64" s="119" t="n">
        <f aca="false">SUMIFS(tabela_registros[VALOR],tabela_registros[MÊS],$AE$1,tabela_registros[DIA],settotal3059718395107119131[[#Headers],[24]],tabela_registros[REGISTRO],DADOS!$N$4,tabela_registros[TIPO],DADOS!$P$4,tabela_registros[CATEGORIA],despesavariávelconsolidadoset[[#This Row],[DESPESA VARIÁVEL]])</f>
        <v>0</v>
      </c>
      <c r="AC64" s="119" t="n">
        <f aca="false">SUMIFS(tabela_registros[VALOR],tabela_registros[MÊS],$AE$1,tabela_registros[DIA],settotal3059718395107119131[[#Headers],[25]],tabela_registros[REGISTRO],DADOS!$N$4,tabela_registros[TIPO],DADOS!$P$4,tabela_registros[CATEGORIA],despesavariávelconsolidadoset[[#This Row],[DESPESA VARIÁVEL]])</f>
        <v>0</v>
      </c>
      <c r="AD64" s="119" t="n">
        <f aca="false">SUMIFS(tabela_registros[VALOR],tabela_registros[MÊS],$AE$1,tabela_registros[DIA],settotal3059718395107119131[[#Headers],[26]],tabela_registros[REGISTRO],DADOS!$N$4,tabela_registros[TIPO],DADOS!$P$4,tabela_registros[CATEGORIA],despesavariávelconsolidadoset[[#This Row],[DESPESA VARIÁVEL]])</f>
        <v>0</v>
      </c>
      <c r="AE64" s="119" t="n">
        <f aca="false">SUMIFS(tabela_registros[VALOR],tabela_registros[MÊS],$AE$1,tabela_registros[DIA],settotal3059718395107119131[[#Headers],[27]],tabela_registros[REGISTRO],DADOS!$N$4,tabela_registros[TIPO],DADOS!$P$4,tabela_registros[CATEGORIA],despesavariávelconsolidadoset[[#This Row],[DESPESA VARIÁVEL]])</f>
        <v>0</v>
      </c>
      <c r="AF64" s="119" t="n">
        <f aca="false">SUMIFS(tabela_registros[VALOR],tabela_registros[MÊS],$AE$1,tabela_registros[DIA],settotal3059718395107119131[[#Headers],[28]],tabela_registros[REGISTRO],DADOS!$N$4,tabela_registros[TIPO],DADOS!$P$4,tabela_registros[CATEGORIA],despesavariávelconsolidadoset[[#This Row],[DESPESA VARIÁVEL]])</f>
        <v>0</v>
      </c>
      <c r="AG64" s="119" t="n">
        <f aca="false">SUMIFS(tabela_registros[VALOR],tabela_registros[MÊS],$AE$1,tabela_registros[DIA],settotal3059718395107119131[[#Headers],[29]],tabela_registros[REGISTRO],DADOS!$N$4,tabela_registros[TIPO],DADOS!$P$4,tabela_registros[CATEGORIA],despesavariávelconsolidadoset[[#This Row],[DESPESA VARIÁVEL]])</f>
        <v>0</v>
      </c>
      <c r="AH64" s="119" t="n">
        <f aca="false">SUMIFS(tabela_registros[VALOR],tabela_registros[MÊS],$AE$1,tabela_registros[DIA],settotal3059718395107119131[[#Headers],[30]],tabela_registros[REGISTRO],DADOS!$N$4,tabela_registros[TIPO],DADOS!$P$4,tabela_registros[CATEGORIA],despesavariávelconsolidadoset[[#This Row],[DESPESA VARIÁVEL]])</f>
        <v>0</v>
      </c>
      <c r="AI64" s="217" t="n">
        <f aca="false">SUMIFS(tabela_registros[VALOR],tabela_registros[MÊS],$AE$1,tabela_registros[DIA],settotal3059718395107119131[[#Headers],[31]],tabela_registros[REGISTRO],DADOS!$N$4,tabela_registros[TIPO],DADOS!$P$4,tabela_registros[CATEGORIA],despesavariávelconsolidadoset[[#This Row],[DESPESA VARIÁVEL]])</f>
        <v>0</v>
      </c>
      <c r="AJ64" s="149" t="n">
        <f aca="false">SUM(despesavariávelconsolidadoset[[#This Row],[1]:[31]])</f>
        <v>0</v>
      </c>
      <c r="AK64" s="143"/>
    </row>
    <row r="65" customFormat="false" ht="18" hidden="false" customHeight="true" outlineLevel="0" collapsed="false">
      <c r="B65" s="143"/>
      <c r="C65" s="144" t="str">
        <f aca="false">DADOS!$T$8</f>
        <v>📖 EDUCAÇÃO</v>
      </c>
      <c r="D65" s="145" t="str">
        <f aca="false">IF(despesavariávelconsolidadoset[[#This Row],[TOTAL]]=0,"",IF(OR(despesavariávelconsolidadoset[[#This Row],[TOTAL]]=LARGE($AJ$60:$AJ$72,1),despesavariávelconsolidadoset[[#This Row],[TOTAL]]=LARGE($AJ$60:$AJ$72,2),despesavariávelconsolidadoset[[#This Row],[TOTAL]]=LARGE($AJ$60:$AJ$72,3),despesavariávelconsolidadoset[[#This Row],[TOTAL]]=LARGE($AJ$60:$AJ$72,4),despesavariávelconsolidadoset[[#This Row],[TOTAL]]=LARGE($AJ$60:$AJ$72,5)),DADOS!$I$8,""))</f>
        <v/>
      </c>
      <c r="E65" s="148" t="n">
        <f aca="false">SUMIFS(tabela_registros[VALOR],tabela_registros[MÊS],$AE$1,tabela_registros[DIA],settotal3059718395107119131[[#Headers],[1]],tabela_registros[REGISTRO],DADOS!$N$4,tabela_registros[TIPO],DADOS!$P$4,tabela_registros[CATEGORIA],despesavariávelconsolidadoset[[#This Row],[DESPESA VARIÁVEL]])</f>
        <v>0</v>
      </c>
      <c r="F65" s="119" t="n">
        <f aca="false">SUMIFS(tabela_registros[VALOR],tabela_registros[MÊS],$AE$1,tabela_registros[DIA],settotal3059718395107119131[[#Headers],[2]],tabela_registros[REGISTRO],DADOS!$N$4,tabela_registros[TIPO],DADOS!$P$4,tabela_registros[CATEGORIA],despesavariávelconsolidadoset[[#This Row],[DESPESA VARIÁVEL]])</f>
        <v>0</v>
      </c>
      <c r="G65" s="119" t="n">
        <f aca="false">SUMIFS(tabela_registros[VALOR],tabela_registros[MÊS],$AE$1,tabela_registros[DIA],settotal3059718395107119131[[#Headers],[3]],tabela_registros[REGISTRO],DADOS!$N$4,tabela_registros[TIPO],DADOS!$P$4,tabela_registros[CATEGORIA],despesavariávelconsolidadoset[[#This Row],[DESPESA VARIÁVEL]])</f>
        <v>0</v>
      </c>
      <c r="H65" s="119" t="n">
        <f aca="false">SUMIFS(tabela_registros[VALOR],tabela_registros[MÊS],$AE$1,tabela_registros[DIA],settotal3059718395107119131[[#Headers],[4]],tabela_registros[REGISTRO],DADOS!$N$4,tabela_registros[TIPO],DADOS!$P$4,tabela_registros[CATEGORIA],despesavariávelconsolidadoset[[#This Row],[DESPESA VARIÁVEL]])</f>
        <v>0</v>
      </c>
      <c r="I65" s="119" t="n">
        <f aca="false">SUMIFS(tabela_registros[VALOR],tabela_registros[MÊS],$AE$1,tabela_registros[DIA],settotal3059718395107119131[[#Headers],[5]],tabela_registros[REGISTRO],DADOS!$N$4,tabela_registros[TIPO],DADOS!$P$4,tabela_registros[CATEGORIA],despesavariávelconsolidadoset[[#This Row],[DESPESA VARIÁVEL]])</f>
        <v>0</v>
      </c>
      <c r="J65" s="119" t="n">
        <f aca="false">SUMIFS(tabela_registros[VALOR],tabela_registros[MÊS],$AE$1,tabela_registros[DIA],settotal3059718395107119131[[#Headers],[6]],tabela_registros[REGISTRO],DADOS!$N$4,tabela_registros[TIPO],DADOS!$P$4,tabela_registros[CATEGORIA],despesavariávelconsolidadoset[[#This Row],[DESPESA VARIÁVEL]])</f>
        <v>0</v>
      </c>
      <c r="K65" s="119" t="n">
        <f aca="false">SUMIFS(tabela_registros[VALOR],tabela_registros[MÊS],$AE$1,tabela_registros[DIA],settotal3059718395107119131[[#Headers],[7]],tabela_registros[REGISTRO],DADOS!$N$4,tabela_registros[TIPO],DADOS!$P$4,tabela_registros[CATEGORIA],despesavariávelconsolidadoset[[#This Row],[DESPESA VARIÁVEL]])</f>
        <v>0</v>
      </c>
      <c r="L65" s="119" t="n">
        <f aca="false">SUMIFS(tabela_registros[VALOR],tabela_registros[MÊS],$AE$1,tabela_registros[DIA],settotal3059718395107119131[[#Headers],[8]],tabela_registros[REGISTRO],DADOS!$N$4,tabela_registros[TIPO],DADOS!$P$4,tabela_registros[CATEGORIA],despesavariávelconsolidadoset[[#This Row],[DESPESA VARIÁVEL]])</f>
        <v>0</v>
      </c>
      <c r="M65" s="119" t="n">
        <f aca="false">SUMIFS(tabela_registros[VALOR],tabela_registros[MÊS],$AE$1,tabela_registros[DIA],settotal3059718395107119131[[#Headers],[9]],tabela_registros[REGISTRO],DADOS!$N$4,tabela_registros[TIPO],DADOS!$P$4,tabela_registros[CATEGORIA],despesavariávelconsolidadoset[[#This Row],[DESPESA VARIÁVEL]])</f>
        <v>0</v>
      </c>
      <c r="N65" s="119" t="n">
        <f aca="false">SUMIFS(tabela_registros[VALOR],tabela_registros[MÊS],$AE$1,tabela_registros[DIA],settotal3059718395107119131[[#Headers],[10]],tabela_registros[REGISTRO],DADOS!$N$4,tabela_registros[TIPO],DADOS!$P$4,tabela_registros[CATEGORIA],despesavariávelconsolidadoset[[#This Row],[DESPESA VARIÁVEL]])</f>
        <v>0</v>
      </c>
      <c r="O65" s="119" t="n">
        <f aca="false">SUMIFS(tabela_registros[VALOR],tabela_registros[MÊS],$AE$1,tabela_registros[DIA],settotal3059718395107119131[[#Headers],[11]],tabela_registros[REGISTRO],DADOS!$N$4,tabela_registros[TIPO],DADOS!$P$4,tabela_registros[CATEGORIA],despesavariávelconsolidadoset[[#This Row],[DESPESA VARIÁVEL]])</f>
        <v>0</v>
      </c>
      <c r="P65" s="119" t="n">
        <f aca="false">SUMIFS(tabela_registros[VALOR],tabela_registros[MÊS],$AE$1,tabela_registros[DIA],settotal3059718395107119131[[#Headers],[12]],tabela_registros[REGISTRO],DADOS!$N$4,tabela_registros[TIPO],DADOS!$P$4,tabela_registros[CATEGORIA],despesavariávelconsolidadoset[[#This Row],[DESPESA VARIÁVEL]])</f>
        <v>0</v>
      </c>
      <c r="Q65" s="119" t="n">
        <f aca="false">SUMIFS(tabela_registros[VALOR],tabela_registros[MÊS],$AE$1,tabela_registros[DIA],settotal3059718395107119131[[#Headers],[13]],tabela_registros[REGISTRO],DADOS!$N$4,tabela_registros[TIPO],DADOS!$P$4,tabela_registros[CATEGORIA],despesavariávelconsolidadoset[[#This Row],[DESPESA VARIÁVEL]])</f>
        <v>0</v>
      </c>
      <c r="R65" s="119" t="n">
        <f aca="false">SUMIFS(tabela_registros[VALOR],tabela_registros[MÊS],$AE$1,tabela_registros[DIA],settotal3059718395107119131[[#Headers],[14]],tabela_registros[REGISTRO],DADOS!$N$4,tabela_registros[TIPO],DADOS!$P$4,tabela_registros[CATEGORIA],despesavariávelconsolidadoset[[#This Row],[DESPESA VARIÁVEL]])</f>
        <v>0</v>
      </c>
      <c r="S65" s="119" t="n">
        <f aca="false">SUMIFS(tabela_registros[VALOR],tabela_registros[MÊS],$AE$1,tabela_registros[DIA],settotal3059718395107119131[[#Headers],[15]],tabela_registros[REGISTRO],DADOS!$N$4,tabela_registros[TIPO],DADOS!$P$4,tabela_registros[CATEGORIA],despesavariávelconsolidadoset[[#This Row],[DESPESA VARIÁVEL]])</f>
        <v>0</v>
      </c>
      <c r="T65" s="119" t="n">
        <f aca="false">SUMIFS(tabela_registros[VALOR],tabela_registros[MÊS],$AE$1,tabela_registros[DIA],settotal3059718395107119131[[#Headers],[16]],tabela_registros[REGISTRO],DADOS!$N$4,tabela_registros[TIPO],DADOS!$P$4,tabela_registros[CATEGORIA],despesavariávelconsolidadoset[[#This Row],[DESPESA VARIÁVEL]])</f>
        <v>0</v>
      </c>
      <c r="U65" s="119" t="n">
        <f aca="false">SUMIFS(tabela_registros[VALOR],tabela_registros[MÊS],$AE$1,tabela_registros[DIA],settotal3059718395107119131[[#Headers],[17]],tabela_registros[REGISTRO],DADOS!$N$4,tabela_registros[TIPO],DADOS!$P$4,tabela_registros[CATEGORIA],despesavariávelconsolidadoset[[#This Row],[DESPESA VARIÁVEL]])</f>
        <v>0</v>
      </c>
      <c r="V65" s="119" t="n">
        <f aca="false">SUMIFS(tabela_registros[VALOR],tabela_registros[MÊS],$AE$1,tabela_registros[DIA],settotal3059718395107119131[[#Headers],[18]],tabela_registros[REGISTRO],DADOS!$N$4,tabela_registros[TIPO],DADOS!$P$4,tabela_registros[CATEGORIA],despesavariávelconsolidadoset[[#This Row],[DESPESA VARIÁVEL]])</f>
        <v>0</v>
      </c>
      <c r="W65" s="119" t="n">
        <f aca="false">SUMIFS(tabela_registros[VALOR],tabela_registros[MÊS],$AE$1,tabela_registros[DIA],settotal3059718395107119131[[#Headers],[19]],tabela_registros[REGISTRO],DADOS!$N$4,tabela_registros[TIPO],DADOS!$P$4,tabela_registros[CATEGORIA],despesavariávelconsolidadoset[[#This Row],[DESPESA VARIÁVEL]])</f>
        <v>0</v>
      </c>
      <c r="X65" s="119" t="n">
        <f aca="false">SUMIFS(tabela_registros[VALOR],tabela_registros[MÊS],$AE$1,tabela_registros[DIA],settotal3059718395107119131[[#Headers],[20]],tabela_registros[REGISTRO],DADOS!$N$4,tabela_registros[TIPO],DADOS!$P$4,tabela_registros[CATEGORIA],despesavariávelconsolidadoset[[#This Row],[DESPESA VARIÁVEL]])</f>
        <v>0</v>
      </c>
      <c r="Y65" s="119" t="n">
        <f aca="false">SUMIFS(tabela_registros[VALOR],tabela_registros[MÊS],$AE$1,tabela_registros[DIA],settotal3059718395107119131[[#Headers],[21]],tabela_registros[REGISTRO],DADOS!$N$4,tabela_registros[TIPO],DADOS!$P$4,tabela_registros[CATEGORIA],despesavariávelconsolidadoset[[#This Row],[DESPESA VARIÁVEL]])</f>
        <v>0</v>
      </c>
      <c r="Z65" s="119" t="n">
        <f aca="false">SUMIFS(tabela_registros[VALOR],tabela_registros[MÊS],$AE$1,tabela_registros[DIA],settotal3059718395107119131[[#Headers],[22]],tabela_registros[REGISTRO],DADOS!$N$4,tabela_registros[TIPO],DADOS!$P$4,tabela_registros[CATEGORIA],despesavariávelconsolidadoset[[#This Row],[DESPESA VARIÁVEL]])</f>
        <v>0</v>
      </c>
      <c r="AA65" s="119" t="n">
        <f aca="false">SUMIFS(tabela_registros[VALOR],tabela_registros[MÊS],$AE$1,tabela_registros[DIA],settotal3059718395107119131[[#Headers],[23]],tabela_registros[REGISTRO],DADOS!$N$4,tabela_registros[TIPO],DADOS!$P$4,tabela_registros[CATEGORIA],despesavariávelconsolidadoset[[#This Row],[DESPESA VARIÁVEL]])</f>
        <v>0</v>
      </c>
      <c r="AB65" s="119" t="n">
        <f aca="false">SUMIFS(tabela_registros[VALOR],tabela_registros[MÊS],$AE$1,tabela_registros[DIA],settotal3059718395107119131[[#Headers],[24]],tabela_registros[REGISTRO],DADOS!$N$4,tabela_registros[TIPO],DADOS!$P$4,tabela_registros[CATEGORIA],despesavariávelconsolidadoset[[#This Row],[DESPESA VARIÁVEL]])</f>
        <v>0</v>
      </c>
      <c r="AC65" s="119" t="n">
        <f aca="false">SUMIFS(tabela_registros[VALOR],tabela_registros[MÊS],$AE$1,tabela_registros[DIA],settotal3059718395107119131[[#Headers],[25]],tabela_registros[REGISTRO],DADOS!$N$4,tabela_registros[TIPO],DADOS!$P$4,tabela_registros[CATEGORIA],despesavariávelconsolidadoset[[#This Row],[DESPESA VARIÁVEL]])</f>
        <v>0</v>
      </c>
      <c r="AD65" s="119" t="n">
        <f aca="false">SUMIFS(tabela_registros[VALOR],tabela_registros[MÊS],$AE$1,tabela_registros[DIA],settotal3059718395107119131[[#Headers],[26]],tabela_registros[REGISTRO],DADOS!$N$4,tabela_registros[TIPO],DADOS!$P$4,tabela_registros[CATEGORIA],despesavariávelconsolidadoset[[#This Row],[DESPESA VARIÁVEL]])</f>
        <v>0</v>
      </c>
      <c r="AE65" s="119" t="n">
        <f aca="false">SUMIFS(tabela_registros[VALOR],tabela_registros[MÊS],$AE$1,tabela_registros[DIA],settotal3059718395107119131[[#Headers],[27]],tabela_registros[REGISTRO],DADOS!$N$4,tabela_registros[TIPO],DADOS!$P$4,tabela_registros[CATEGORIA],despesavariávelconsolidadoset[[#This Row],[DESPESA VARIÁVEL]])</f>
        <v>0</v>
      </c>
      <c r="AF65" s="119" t="n">
        <f aca="false">SUMIFS(tabela_registros[VALOR],tabela_registros[MÊS],$AE$1,tabela_registros[DIA],settotal3059718395107119131[[#Headers],[28]],tabela_registros[REGISTRO],DADOS!$N$4,tabela_registros[TIPO],DADOS!$P$4,tabela_registros[CATEGORIA],despesavariávelconsolidadoset[[#This Row],[DESPESA VARIÁVEL]])</f>
        <v>0</v>
      </c>
      <c r="AG65" s="119" t="n">
        <f aca="false">SUMIFS(tabela_registros[VALOR],tabela_registros[MÊS],$AE$1,tabela_registros[DIA],settotal3059718395107119131[[#Headers],[29]],tabela_registros[REGISTRO],DADOS!$N$4,tabela_registros[TIPO],DADOS!$P$4,tabela_registros[CATEGORIA],despesavariávelconsolidadoset[[#This Row],[DESPESA VARIÁVEL]])</f>
        <v>0</v>
      </c>
      <c r="AH65" s="119" t="n">
        <f aca="false">SUMIFS(tabela_registros[VALOR],tabela_registros[MÊS],$AE$1,tabela_registros[DIA],settotal3059718395107119131[[#Headers],[30]],tabela_registros[REGISTRO],DADOS!$N$4,tabela_registros[TIPO],DADOS!$P$4,tabela_registros[CATEGORIA],despesavariávelconsolidadoset[[#This Row],[DESPESA VARIÁVEL]])</f>
        <v>0</v>
      </c>
      <c r="AI65" s="217" t="n">
        <f aca="false">SUMIFS(tabela_registros[VALOR],tabela_registros[MÊS],$AE$1,tabela_registros[DIA],settotal3059718395107119131[[#Headers],[31]],tabela_registros[REGISTRO],DADOS!$N$4,tabela_registros[TIPO],DADOS!$P$4,tabela_registros[CATEGORIA],despesavariávelconsolidadoset[[#This Row],[DESPESA VARIÁVEL]])</f>
        <v>0</v>
      </c>
      <c r="AJ65" s="149" t="n">
        <f aca="false">SUM(despesavariávelconsolidadoset[[#This Row],[1]:[31]])</f>
        <v>0</v>
      </c>
      <c r="AK65" s="143"/>
    </row>
    <row r="66" customFormat="false" ht="18" hidden="false" customHeight="true" outlineLevel="0" collapsed="false">
      <c r="B66" s="143"/>
      <c r="C66" s="144" t="str">
        <f aca="false">DADOS!$T$9</f>
        <v>🎭 LAZER</v>
      </c>
      <c r="D66" s="145" t="str">
        <f aca="false">IF(despesavariávelconsolidadoset[[#This Row],[TOTAL]]=0,"",IF(OR(despesavariávelconsolidadoset[[#This Row],[TOTAL]]=LARGE($AJ$60:$AJ$72,1),despesavariávelconsolidadoset[[#This Row],[TOTAL]]=LARGE($AJ$60:$AJ$72,2),despesavariávelconsolidadoset[[#This Row],[TOTAL]]=LARGE($AJ$60:$AJ$72,3),despesavariávelconsolidadoset[[#This Row],[TOTAL]]=LARGE($AJ$60:$AJ$72,4),despesavariávelconsolidadoset[[#This Row],[TOTAL]]=LARGE($AJ$60:$AJ$72,5)),DADOS!$I$8,""))</f>
        <v/>
      </c>
      <c r="E66" s="148" t="n">
        <f aca="false">SUMIFS(tabela_registros[VALOR],tabela_registros[MÊS],$AE$1,tabela_registros[DIA],settotal3059718395107119131[[#Headers],[1]],tabela_registros[REGISTRO],DADOS!$N$4,tabela_registros[TIPO],DADOS!$P$4,tabela_registros[CATEGORIA],despesavariávelconsolidadoset[[#This Row],[DESPESA VARIÁVEL]])</f>
        <v>0</v>
      </c>
      <c r="F66" s="119" t="n">
        <f aca="false">SUMIFS(tabela_registros[VALOR],tabela_registros[MÊS],$AE$1,tabela_registros[DIA],settotal3059718395107119131[[#Headers],[2]],tabela_registros[REGISTRO],DADOS!$N$4,tabela_registros[TIPO],DADOS!$P$4,tabela_registros[CATEGORIA],despesavariávelconsolidadoset[[#This Row],[DESPESA VARIÁVEL]])</f>
        <v>0</v>
      </c>
      <c r="G66" s="119" t="n">
        <f aca="false">SUMIFS(tabela_registros[VALOR],tabela_registros[MÊS],$AE$1,tabela_registros[DIA],settotal3059718395107119131[[#Headers],[3]],tabela_registros[REGISTRO],DADOS!$N$4,tabela_registros[TIPO],DADOS!$P$4,tabela_registros[CATEGORIA],despesavariávelconsolidadoset[[#This Row],[DESPESA VARIÁVEL]])</f>
        <v>0</v>
      </c>
      <c r="H66" s="119" t="n">
        <f aca="false">SUMIFS(tabela_registros[VALOR],tabela_registros[MÊS],$AE$1,tabela_registros[DIA],settotal3059718395107119131[[#Headers],[4]],tabela_registros[REGISTRO],DADOS!$N$4,tabela_registros[TIPO],DADOS!$P$4,tabela_registros[CATEGORIA],despesavariávelconsolidadoset[[#This Row],[DESPESA VARIÁVEL]])</f>
        <v>0</v>
      </c>
      <c r="I66" s="119" t="n">
        <f aca="false">SUMIFS(tabela_registros[VALOR],tabela_registros[MÊS],$AE$1,tabela_registros[DIA],settotal3059718395107119131[[#Headers],[5]],tabela_registros[REGISTRO],DADOS!$N$4,tabela_registros[TIPO],DADOS!$P$4,tabela_registros[CATEGORIA],despesavariávelconsolidadoset[[#This Row],[DESPESA VARIÁVEL]])</f>
        <v>0</v>
      </c>
      <c r="J66" s="119" t="n">
        <f aca="false">SUMIFS(tabela_registros[VALOR],tabela_registros[MÊS],$AE$1,tabela_registros[DIA],settotal3059718395107119131[[#Headers],[6]],tabela_registros[REGISTRO],DADOS!$N$4,tabela_registros[TIPO],DADOS!$P$4,tabela_registros[CATEGORIA],despesavariávelconsolidadoset[[#This Row],[DESPESA VARIÁVEL]])</f>
        <v>0</v>
      </c>
      <c r="K66" s="119" t="n">
        <f aca="false">SUMIFS(tabela_registros[VALOR],tabela_registros[MÊS],$AE$1,tabela_registros[DIA],settotal3059718395107119131[[#Headers],[7]],tabela_registros[REGISTRO],DADOS!$N$4,tabela_registros[TIPO],DADOS!$P$4,tabela_registros[CATEGORIA],despesavariávelconsolidadoset[[#This Row],[DESPESA VARIÁVEL]])</f>
        <v>0</v>
      </c>
      <c r="L66" s="119" t="n">
        <f aca="false">SUMIFS(tabela_registros[VALOR],tabela_registros[MÊS],$AE$1,tabela_registros[DIA],settotal3059718395107119131[[#Headers],[8]],tabela_registros[REGISTRO],DADOS!$N$4,tabela_registros[TIPO],DADOS!$P$4,tabela_registros[CATEGORIA],despesavariávelconsolidadoset[[#This Row],[DESPESA VARIÁVEL]])</f>
        <v>0</v>
      </c>
      <c r="M66" s="119" t="n">
        <f aca="false">SUMIFS(tabela_registros[VALOR],tabela_registros[MÊS],$AE$1,tabela_registros[DIA],settotal3059718395107119131[[#Headers],[9]],tabela_registros[REGISTRO],DADOS!$N$4,tabela_registros[TIPO],DADOS!$P$4,tabela_registros[CATEGORIA],despesavariávelconsolidadoset[[#This Row],[DESPESA VARIÁVEL]])</f>
        <v>0</v>
      </c>
      <c r="N66" s="119" t="n">
        <f aca="false">SUMIFS(tabela_registros[VALOR],tabela_registros[MÊS],$AE$1,tabela_registros[DIA],settotal3059718395107119131[[#Headers],[10]],tabela_registros[REGISTRO],DADOS!$N$4,tabela_registros[TIPO],DADOS!$P$4,tabela_registros[CATEGORIA],despesavariávelconsolidadoset[[#This Row],[DESPESA VARIÁVEL]])</f>
        <v>0</v>
      </c>
      <c r="O66" s="119" t="n">
        <f aca="false">SUMIFS(tabela_registros[VALOR],tabela_registros[MÊS],$AE$1,tabela_registros[DIA],settotal3059718395107119131[[#Headers],[11]],tabela_registros[REGISTRO],DADOS!$N$4,tabela_registros[TIPO],DADOS!$P$4,tabela_registros[CATEGORIA],despesavariávelconsolidadoset[[#This Row],[DESPESA VARIÁVEL]])</f>
        <v>0</v>
      </c>
      <c r="P66" s="119" t="n">
        <f aca="false">SUMIFS(tabela_registros[VALOR],tabela_registros[MÊS],$AE$1,tabela_registros[DIA],settotal3059718395107119131[[#Headers],[12]],tabela_registros[REGISTRO],DADOS!$N$4,tabela_registros[TIPO],DADOS!$P$4,tabela_registros[CATEGORIA],despesavariávelconsolidadoset[[#This Row],[DESPESA VARIÁVEL]])</f>
        <v>0</v>
      </c>
      <c r="Q66" s="119" t="n">
        <f aca="false">SUMIFS(tabela_registros[VALOR],tabela_registros[MÊS],$AE$1,tabela_registros[DIA],settotal3059718395107119131[[#Headers],[13]],tabela_registros[REGISTRO],DADOS!$N$4,tabela_registros[TIPO],DADOS!$P$4,tabela_registros[CATEGORIA],despesavariávelconsolidadoset[[#This Row],[DESPESA VARIÁVEL]])</f>
        <v>0</v>
      </c>
      <c r="R66" s="119" t="n">
        <f aca="false">SUMIFS(tabela_registros[VALOR],tabela_registros[MÊS],$AE$1,tabela_registros[DIA],settotal3059718395107119131[[#Headers],[14]],tabela_registros[REGISTRO],DADOS!$N$4,tabela_registros[TIPO],DADOS!$P$4,tabela_registros[CATEGORIA],despesavariávelconsolidadoset[[#This Row],[DESPESA VARIÁVEL]])</f>
        <v>0</v>
      </c>
      <c r="S66" s="119" t="n">
        <f aca="false">SUMIFS(tabela_registros[VALOR],tabela_registros[MÊS],$AE$1,tabela_registros[DIA],settotal3059718395107119131[[#Headers],[15]],tabela_registros[REGISTRO],DADOS!$N$4,tabela_registros[TIPO],DADOS!$P$4,tabela_registros[CATEGORIA],despesavariávelconsolidadoset[[#This Row],[DESPESA VARIÁVEL]])</f>
        <v>0</v>
      </c>
      <c r="T66" s="119" t="n">
        <f aca="false">SUMIFS(tabela_registros[VALOR],tabela_registros[MÊS],$AE$1,tabela_registros[DIA],settotal3059718395107119131[[#Headers],[16]],tabela_registros[REGISTRO],DADOS!$N$4,tabela_registros[TIPO],DADOS!$P$4,tabela_registros[CATEGORIA],despesavariávelconsolidadoset[[#This Row],[DESPESA VARIÁVEL]])</f>
        <v>0</v>
      </c>
      <c r="U66" s="119" t="n">
        <f aca="false">SUMIFS(tabela_registros[VALOR],tabela_registros[MÊS],$AE$1,tabela_registros[DIA],settotal3059718395107119131[[#Headers],[17]],tabela_registros[REGISTRO],DADOS!$N$4,tabela_registros[TIPO],DADOS!$P$4,tabela_registros[CATEGORIA],despesavariávelconsolidadoset[[#This Row],[DESPESA VARIÁVEL]])</f>
        <v>0</v>
      </c>
      <c r="V66" s="119" t="n">
        <f aca="false">SUMIFS(tabela_registros[VALOR],tabela_registros[MÊS],$AE$1,tabela_registros[DIA],settotal3059718395107119131[[#Headers],[18]],tabela_registros[REGISTRO],DADOS!$N$4,tabela_registros[TIPO],DADOS!$P$4,tabela_registros[CATEGORIA],despesavariávelconsolidadoset[[#This Row],[DESPESA VARIÁVEL]])</f>
        <v>0</v>
      </c>
      <c r="W66" s="119" t="n">
        <f aca="false">SUMIFS(tabela_registros[VALOR],tabela_registros[MÊS],$AE$1,tabela_registros[DIA],settotal3059718395107119131[[#Headers],[19]],tabela_registros[REGISTRO],DADOS!$N$4,tabela_registros[TIPO],DADOS!$P$4,tabela_registros[CATEGORIA],despesavariávelconsolidadoset[[#This Row],[DESPESA VARIÁVEL]])</f>
        <v>0</v>
      </c>
      <c r="X66" s="119" t="n">
        <f aca="false">SUMIFS(tabela_registros[VALOR],tabela_registros[MÊS],$AE$1,tabela_registros[DIA],settotal3059718395107119131[[#Headers],[20]],tabela_registros[REGISTRO],DADOS!$N$4,tabela_registros[TIPO],DADOS!$P$4,tabela_registros[CATEGORIA],despesavariávelconsolidadoset[[#This Row],[DESPESA VARIÁVEL]])</f>
        <v>0</v>
      </c>
      <c r="Y66" s="119" t="n">
        <f aca="false">SUMIFS(tabela_registros[VALOR],tabela_registros[MÊS],$AE$1,tabela_registros[DIA],settotal3059718395107119131[[#Headers],[21]],tabela_registros[REGISTRO],DADOS!$N$4,tabela_registros[TIPO],DADOS!$P$4,tabela_registros[CATEGORIA],despesavariávelconsolidadoset[[#This Row],[DESPESA VARIÁVEL]])</f>
        <v>0</v>
      </c>
      <c r="Z66" s="119" t="n">
        <f aca="false">SUMIFS(tabela_registros[VALOR],tabela_registros[MÊS],$AE$1,tabela_registros[DIA],settotal3059718395107119131[[#Headers],[22]],tabela_registros[REGISTRO],DADOS!$N$4,tabela_registros[TIPO],DADOS!$P$4,tabela_registros[CATEGORIA],despesavariávelconsolidadoset[[#This Row],[DESPESA VARIÁVEL]])</f>
        <v>0</v>
      </c>
      <c r="AA66" s="119" t="n">
        <f aca="false">SUMIFS(tabela_registros[VALOR],tabela_registros[MÊS],$AE$1,tabela_registros[DIA],settotal3059718395107119131[[#Headers],[23]],tabela_registros[REGISTRO],DADOS!$N$4,tabela_registros[TIPO],DADOS!$P$4,tabela_registros[CATEGORIA],despesavariávelconsolidadoset[[#This Row],[DESPESA VARIÁVEL]])</f>
        <v>0</v>
      </c>
      <c r="AB66" s="119" t="n">
        <f aca="false">SUMIFS(tabela_registros[VALOR],tabela_registros[MÊS],$AE$1,tabela_registros[DIA],settotal3059718395107119131[[#Headers],[24]],tabela_registros[REGISTRO],DADOS!$N$4,tabela_registros[TIPO],DADOS!$P$4,tabela_registros[CATEGORIA],despesavariávelconsolidadoset[[#This Row],[DESPESA VARIÁVEL]])</f>
        <v>0</v>
      </c>
      <c r="AC66" s="119" t="n">
        <f aca="false">SUMIFS(tabela_registros[VALOR],tabela_registros[MÊS],$AE$1,tabela_registros[DIA],settotal3059718395107119131[[#Headers],[25]],tabela_registros[REGISTRO],DADOS!$N$4,tabela_registros[TIPO],DADOS!$P$4,tabela_registros[CATEGORIA],despesavariávelconsolidadoset[[#This Row],[DESPESA VARIÁVEL]])</f>
        <v>0</v>
      </c>
      <c r="AD66" s="119" t="n">
        <f aca="false">SUMIFS(tabela_registros[VALOR],tabela_registros[MÊS],$AE$1,tabela_registros[DIA],settotal3059718395107119131[[#Headers],[26]],tabela_registros[REGISTRO],DADOS!$N$4,tabela_registros[TIPO],DADOS!$P$4,tabela_registros[CATEGORIA],despesavariávelconsolidadoset[[#This Row],[DESPESA VARIÁVEL]])</f>
        <v>0</v>
      </c>
      <c r="AE66" s="119" t="n">
        <f aca="false">SUMIFS(tabela_registros[VALOR],tabela_registros[MÊS],$AE$1,tabela_registros[DIA],settotal3059718395107119131[[#Headers],[27]],tabela_registros[REGISTRO],DADOS!$N$4,tabela_registros[TIPO],DADOS!$P$4,tabela_registros[CATEGORIA],despesavariávelconsolidadoset[[#This Row],[DESPESA VARIÁVEL]])</f>
        <v>0</v>
      </c>
      <c r="AF66" s="119" t="n">
        <f aca="false">SUMIFS(tabela_registros[VALOR],tabela_registros[MÊS],$AE$1,tabela_registros[DIA],settotal3059718395107119131[[#Headers],[28]],tabela_registros[REGISTRO],DADOS!$N$4,tabela_registros[TIPO],DADOS!$P$4,tabela_registros[CATEGORIA],despesavariávelconsolidadoset[[#This Row],[DESPESA VARIÁVEL]])</f>
        <v>0</v>
      </c>
      <c r="AG66" s="119" t="n">
        <f aca="false">SUMIFS(tabela_registros[VALOR],tabela_registros[MÊS],$AE$1,tabela_registros[DIA],settotal3059718395107119131[[#Headers],[29]],tabela_registros[REGISTRO],DADOS!$N$4,tabela_registros[TIPO],DADOS!$P$4,tabela_registros[CATEGORIA],despesavariávelconsolidadoset[[#This Row],[DESPESA VARIÁVEL]])</f>
        <v>0</v>
      </c>
      <c r="AH66" s="119" t="n">
        <f aca="false">SUMIFS(tabela_registros[VALOR],tabela_registros[MÊS],$AE$1,tabela_registros[DIA],settotal3059718395107119131[[#Headers],[30]],tabela_registros[REGISTRO],DADOS!$N$4,tabela_registros[TIPO],DADOS!$P$4,tabela_registros[CATEGORIA],despesavariávelconsolidadoset[[#This Row],[DESPESA VARIÁVEL]])</f>
        <v>0</v>
      </c>
      <c r="AI66" s="217" t="n">
        <f aca="false">SUMIFS(tabela_registros[VALOR],tabela_registros[MÊS],$AE$1,tabela_registros[DIA],settotal3059718395107119131[[#Headers],[31]],tabela_registros[REGISTRO],DADOS!$N$4,tabela_registros[TIPO],DADOS!$P$4,tabela_registros[CATEGORIA],despesavariávelconsolidadoset[[#This Row],[DESPESA VARIÁVEL]])</f>
        <v>0</v>
      </c>
      <c r="AJ66" s="149" t="n">
        <f aca="false">SUM(despesavariávelconsolidadoset[[#This Row],[1]:[31]])</f>
        <v>0</v>
      </c>
      <c r="AK66" s="143"/>
    </row>
    <row r="67" customFormat="false" ht="18" hidden="false" customHeight="true" outlineLevel="0" collapsed="false">
      <c r="B67" s="143"/>
      <c r="C67" s="144" t="str">
        <f aca="false">DADOS!$T$10</f>
        <v>🛒 MERCADO</v>
      </c>
      <c r="D67" s="145" t="str">
        <f aca="false">IF(despesavariávelconsolidadoset[[#This Row],[TOTAL]]=0,"",IF(OR(despesavariávelconsolidadoset[[#This Row],[TOTAL]]=LARGE($AJ$60:$AJ$72,1),despesavariávelconsolidadoset[[#This Row],[TOTAL]]=LARGE($AJ$60:$AJ$72,2),despesavariávelconsolidadoset[[#This Row],[TOTAL]]=LARGE($AJ$60:$AJ$72,3),despesavariávelconsolidadoset[[#This Row],[TOTAL]]=LARGE($AJ$60:$AJ$72,4),despesavariávelconsolidadoset[[#This Row],[TOTAL]]=LARGE($AJ$60:$AJ$72,5)),DADOS!$I$8,""))</f>
        <v/>
      </c>
      <c r="E67" s="148" t="n">
        <f aca="false">SUMIFS(tabela_registros[VALOR],tabela_registros[MÊS],$AE$1,tabela_registros[DIA],settotal3059718395107119131[[#Headers],[1]],tabela_registros[REGISTRO],DADOS!$N$4,tabela_registros[TIPO],DADOS!$P$4,tabela_registros[CATEGORIA],despesavariávelconsolidadoset[[#This Row],[DESPESA VARIÁVEL]])</f>
        <v>0</v>
      </c>
      <c r="F67" s="119" t="n">
        <f aca="false">SUMIFS(tabela_registros[VALOR],tabela_registros[MÊS],$AE$1,tabela_registros[DIA],settotal3059718395107119131[[#Headers],[2]],tabela_registros[REGISTRO],DADOS!$N$4,tabela_registros[TIPO],DADOS!$P$4,tabela_registros[CATEGORIA],despesavariávelconsolidadoset[[#This Row],[DESPESA VARIÁVEL]])</f>
        <v>0</v>
      </c>
      <c r="G67" s="119" t="n">
        <f aca="false">SUMIFS(tabela_registros[VALOR],tabela_registros[MÊS],$AE$1,tabela_registros[DIA],settotal3059718395107119131[[#Headers],[3]],tabela_registros[REGISTRO],DADOS!$N$4,tabela_registros[TIPO],DADOS!$P$4,tabela_registros[CATEGORIA],despesavariávelconsolidadoset[[#This Row],[DESPESA VARIÁVEL]])</f>
        <v>0</v>
      </c>
      <c r="H67" s="119" t="n">
        <f aca="false">SUMIFS(tabela_registros[VALOR],tabela_registros[MÊS],$AE$1,tabela_registros[DIA],settotal3059718395107119131[[#Headers],[4]],tabela_registros[REGISTRO],DADOS!$N$4,tabela_registros[TIPO],DADOS!$P$4,tabela_registros[CATEGORIA],despesavariávelconsolidadoset[[#This Row],[DESPESA VARIÁVEL]])</f>
        <v>0</v>
      </c>
      <c r="I67" s="119" t="n">
        <f aca="false">SUMIFS(tabela_registros[VALOR],tabela_registros[MÊS],$AE$1,tabela_registros[DIA],settotal3059718395107119131[[#Headers],[5]],tabela_registros[REGISTRO],DADOS!$N$4,tabela_registros[TIPO],DADOS!$P$4,tabela_registros[CATEGORIA],despesavariávelconsolidadoset[[#This Row],[DESPESA VARIÁVEL]])</f>
        <v>0</v>
      </c>
      <c r="J67" s="119" t="n">
        <f aca="false">SUMIFS(tabela_registros[VALOR],tabela_registros[MÊS],$AE$1,tabela_registros[DIA],settotal3059718395107119131[[#Headers],[6]],tabela_registros[REGISTRO],DADOS!$N$4,tabela_registros[TIPO],DADOS!$P$4,tabela_registros[CATEGORIA],despesavariávelconsolidadoset[[#This Row],[DESPESA VARIÁVEL]])</f>
        <v>0</v>
      </c>
      <c r="K67" s="119" t="n">
        <f aca="false">SUMIFS(tabela_registros[VALOR],tabela_registros[MÊS],$AE$1,tabela_registros[DIA],settotal3059718395107119131[[#Headers],[7]],tabela_registros[REGISTRO],DADOS!$N$4,tabela_registros[TIPO],DADOS!$P$4,tabela_registros[CATEGORIA],despesavariávelconsolidadoset[[#This Row],[DESPESA VARIÁVEL]])</f>
        <v>0</v>
      </c>
      <c r="L67" s="119" t="n">
        <f aca="false">SUMIFS(tabela_registros[VALOR],tabela_registros[MÊS],$AE$1,tabela_registros[DIA],settotal3059718395107119131[[#Headers],[8]],tabela_registros[REGISTRO],DADOS!$N$4,tabela_registros[TIPO],DADOS!$P$4,tabela_registros[CATEGORIA],despesavariávelconsolidadoset[[#This Row],[DESPESA VARIÁVEL]])</f>
        <v>0</v>
      </c>
      <c r="M67" s="119" t="n">
        <f aca="false">SUMIFS(tabela_registros[VALOR],tabela_registros[MÊS],$AE$1,tabela_registros[DIA],settotal3059718395107119131[[#Headers],[9]],tabela_registros[REGISTRO],DADOS!$N$4,tabela_registros[TIPO],DADOS!$P$4,tabela_registros[CATEGORIA],despesavariávelconsolidadoset[[#This Row],[DESPESA VARIÁVEL]])</f>
        <v>0</v>
      </c>
      <c r="N67" s="119" t="n">
        <f aca="false">SUMIFS(tabela_registros[VALOR],tabela_registros[MÊS],$AE$1,tabela_registros[DIA],settotal3059718395107119131[[#Headers],[10]],tabela_registros[REGISTRO],DADOS!$N$4,tabela_registros[TIPO],DADOS!$P$4,tabela_registros[CATEGORIA],despesavariávelconsolidadoset[[#This Row],[DESPESA VARIÁVEL]])</f>
        <v>0</v>
      </c>
      <c r="O67" s="119" t="n">
        <f aca="false">SUMIFS(tabela_registros[VALOR],tabela_registros[MÊS],$AE$1,tabela_registros[DIA],settotal3059718395107119131[[#Headers],[11]],tabela_registros[REGISTRO],DADOS!$N$4,tabela_registros[TIPO],DADOS!$P$4,tabela_registros[CATEGORIA],despesavariávelconsolidadoset[[#This Row],[DESPESA VARIÁVEL]])</f>
        <v>0</v>
      </c>
      <c r="P67" s="119" t="n">
        <f aca="false">SUMIFS(tabela_registros[VALOR],tabela_registros[MÊS],$AE$1,tabela_registros[DIA],settotal3059718395107119131[[#Headers],[12]],tabela_registros[REGISTRO],DADOS!$N$4,tabela_registros[TIPO],DADOS!$P$4,tabela_registros[CATEGORIA],despesavariávelconsolidadoset[[#This Row],[DESPESA VARIÁVEL]])</f>
        <v>0</v>
      </c>
      <c r="Q67" s="119" t="n">
        <f aca="false">SUMIFS(tabela_registros[VALOR],tabela_registros[MÊS],$AE$1,tabela_registros[DIA],settotal3059718395107119131[[#Headers],[13]],tabela_registros[REGISTRO],DADOS!$N$4,tabela_registros[TIPO],DADOS!$P$4,tabela_registros[CATEGORIA],despesavariávelconsolidadoset[[#This Row],[DESPESA VARIÁVEL]])</f>
        <v>0</v>
      </c>
      <c r="R67" s="119" t="n">
        <f aca="false">SUMIFS(tabela_registros[VALOR],tabela_registros[MÊS],$AE$1,tabela_registros[DIA],settotal3059718395107119131[[#Headers],[14]],tabela_registros[REGISTRO],DADOS!$N$4,tabela_registros[TIPO],DADOS!$P$4,tabela_registros[CATEGORIA],despesavariávelconsolidadoset[[#This Row],[DESPESA VARIÁVEL]])</f>
        <v>0</v>
      </c>
      <c r="S67" s="119" t="n">
        <f aca="false">SUMIFS(tabela_registros[VALOR],tabela_registros[MÊS],$AE$1,tabela_registros[DIA],settotal3059718395107119131[[#Headers],[15]],tabela_registros[REGISTRO],DADOS!$N$4,tabela_registros[TIPO],DADOS!$P$4,tabela_registros[CATEGORIA],despesavariávelconsolidadoset[[#This Row],[DESPESA VARIÁVEL]])</f>
        <v>0</v>
      </c>
      <c r="T67" s="119" t="n">
        <f aca="false">SUMIFS(tabela_registros[VALOR],tabela_registros[MÊS],$AE$1,tabela_registros[DIA],settotal3059718395107119131[[#Headers],[16]],tabela_registros[REGISTRO],DADOS!$N$4,tabela_registros[TIPO],DADOS!$P$4,tabela_registros[CATEGORIA],despesavariávelconsolidadoset[[#This Row],[DESPESA VARIÁVEL]])</f>
        <v>0</v>
      </c>
      <c r="U67" s="119" t="n">
        <f aca="false">SUMIFS(tabela_registros[VALOR],tabela_registros[MÊS],$AE$1,tabela_registros[DIA],settotal3059718395107119131[[#Headers],[17]],tabela_registros[REGISTRO],DADOS!$N$4,tabela_registros[TIPO],DADOS!$P$4,tabela_registros[CATEGORIA],despesavariávelconsolidadoset[[#This Row],[DESPESA VARIÁVEL]])</f>
        <v>0</v>
      </c>
      <c r="V67" s="119" t="n">
        <f aca="false">SUMIFS(tabela_registros[VALOR],tabela_registros[MÊS],$AE$1,tabela_registros[DIA],settotal3059718395107119131[[#Headers],[18]],tabela_registros[REGISTRO],DADOS!$N$4,tabela_registros[TIPO],DADOS!$P$4,tabela_registros[CATEGORIA],despesavariávelconsolidadoset[[#This Row],[DESPESA VARIÁVEL]])</f>
        <v>0</v>
      </c>
      <c r="W67" s="119" t="n">
        <f aca="false">SUMIFS(tabela_registros[VALOR],tabela_registros[MÊS],$AE$1,tabela_registros[DIA],settotal3059718395107119131[[#Headers],[19]],tabela_registros[REGISTRO],DADOS!$N$4,tabela_registros[TIPO],DADOS!$P$4,tabela_registros[CATEGORIA],despesavariávelconsolidadoset[[#This Row],[DESPESA VARIÁVEL]])</f>
        <v>0</v>
      </c>
      <c r="X67" s="119" t="n">
        <f aca="false">SUMIFS(tabela_registros[VALOR],tabela_registros[MÊS],$AE$1,tabela_registros[DIA],settotal3059718395107119131[[#Headers],[20]],tabela_registros[REGISTRO],DADOS!$N$4,tabela_registros[TIPO],DADOS!$P$4,tabela_registros[CATEGORIA],despesavariávelconsolidadoset[[#This Row],[DESPESA VARIÁVEL]])</f>
        <v>0</v>
      </c>
      <c r="Y67" s="119" t="n">
        <f aca="false">SUMIFS(tabela_registros[VALOR],tabela_registros[MÊS],$AE$1,tabela_registros[DIA],settotal3059718395107119131[[#Headers],[21]],tabela_registros[REGISTRO],DADOS!$N$4,tabela_registros[TIPO],DADOS!$P$4,tabela_registros[CATEGORIA],despesavariávelconsolidadoset[[#This Row],[DESPESA VARIÁVEL]])</f>
        <v>0</v>
      </c>
      <c r="Z67" s="119" t="n">
        <f aca="false">SUMIFS(tabela_registros[VALOR],tabela_registros[MÊS],$AE$1,tabela_registros[DIA],settotal3059718395107119131[[#Headers],[22]],tabela_registros[REGISTRO],DADOS!$N$4,tabela_registros[TIPO],DADOS!$P$4,tabela_registros[CATEGORIA],despesavariávelconsolidadoset[[#This Row],[DESPESA VARIÁVEL]])</f>
        <v>0</v>
      </c>
      <c r="AA67" s="119" t="n">
        <f aca="false">SUMIFS(tabela_registros[VALOR],tabela_registros[MÊS],$AE$1,tabela_registros[DIA],settotal3059718395107119131[[#Headers],[23]],tabela_registros[REGISTRO],DADOS!$N$4,tabela_registros[TIPO],DADOS!$P$4,tabela_registros[CATEGORIA],despesavariávelconsolidadoset[[#This Row],[DESPESA VARIÁVEL]])</f>
        <v>0</v>
      </c>
      <c r="AB67" s="119" t="n">
        <f aca="false">SUMIFS(tabela_registros[VALOR],tabela_registros[MÊS],$AE$1,tabela_registros[DIA],settotal3059718395107119131[[#Headers],[24]],tabela_registros[REGISTRO],DADOS!$N$4,tabela_registros[TIPO],DADOS!$P$4,tabela_registros[CATEGORIA],despesavariávelconsolidadoset[[#This Row],[DESPESA VARIÁVEL]])</f>
        <v>0</v>
      </c>
      <c r="AC67" s="119" t="n">
        <f aca="false">SUMIFS(tabela_registros[VALOR],tabela_registros[MÊS],$AE$1,tabela_registros[DIA],settotal3059718395107119131[[#Headers],[25]],tabela_registros[REGISTRO],DADOS!$N$4,tabela_registros[TIPO],DADOS!$P$4,tabela_registros[CATEGORIA],despesavariávelconsolidadoset[[#This Row],[DESPESA VARIÁVEL]])</f>
        <v>0</v>
      </c>
      <c r="AD67" s="119" t="n">
        <f aca="false">SUMIFS(tabela_registros[VALOR],tabela_registros[MÊS],$AE$1,tabela_registros[DIA],settotal3059718395107119131[[#Headers],[26]],tabela_registros[REGISTRO],DADOS!$N$4,tabela_registros[TIPO],DADOS!$P$4,tabela_registros[CATEGORIA],despesavariávelconsolidadoset[[#This Row],[DESPESA VARIÁVEL]])</f>
        <v>0</v>
      </c>
      <c r="AE67" s="119" t="n">
        <f aca="false">SUMIFS(tabela_registros[VALOR],tabela_registros[MÊS],$AE$1,tabela_registros[DIA],settotal3059718395107119131[[#Headers],[27]],tabela_registros[REGISTRO],DADOS!$N$4,tabela_registros[TIPO],DADOS!$P$4,tabela_registros[CATEGORIA],despesavariávelconsolidadoset[[#This Row],[DESPESA VARIÁVEL]])</f>
        <v>0</v>
      </c>
      <c r="AF67" s="119" t="n">
        <f aca="false">SUMIFS(tabela_registros[VALOR],tabela_registros[MÊS],$AE$1,tabela_registros[DIA],settotal3059718395107119131[[#Headers],[28]],tabela_registros[REGISTRO],DADOS!$N$4,tabela_registros[TIPO],DADOS!$P$4,tabela_registros[CATEGORIA],despesavariávelconsolidadoset[[#This Row],[DESPESA VARIÁVEL]])</f>
        <v>0</v>
      </c>
      <c r="AG67" s="119" t="n">
        <f aca="false">SUMIFS(tabela_registros[VALOR],tabela_registros[MÊS],$AE$1,tabela_registros[DIA],settotal3059718395107119131[[#Headers],[29]],tabela_registros[REGISTRO],DADOS!$N$4,tabela_registros[TIPO],DADOS!$P$4,tabela_registros[CATEGORIA],despesavariávelconsolidadoset[[#This Row],[DESPESA VARIÁVEL]])</f>
        <v>0</v>
      </c>
      <c r="AH67" s="119" t="n">
        <f aca="false">SUMIFS(tabela_registros[VALOR],tabela_registros[MÊS],$AE$1,tabela_registros[DIA],settotal3059718395107119131[[#Headers],[30]],tabela_registros[REGISTRO],DADOS!$N$4,tabela_registros[TIPO],DADOS!$P$4,tabela_registros[CATEGORIA],despesavariávelconsolidadoset[[#This Row],[DESPESA VARIÁVEL]])</f>
        <v>0</v>
      </c>
      <c r="AI67" s="217" t="n">
        <f aca="false">SUMIFS(tabela_registros[VALOR],tabela_registros[MÊS],$AE$1,tabela_registros[DIA],settotal3059718395107119131[[#Headers],[31]],tabela_registros[REGISTRO],DADOS!$N$4,tabela_registros[TIPO],DADOS!$P$4,tabela_registros[CATEGORIA],despesavariávelconsolidadoset[[#This Row],[DESPESA VARIÁVEL]])</f>
        <v>0</v>
      </c>
      <c r="AJ67" s="149" t="n">
        <f aca="false">SUM(despesavariávelconsolidadoset[[#This Row],[1]:[31]])</f>
        <v>0</v>
      </c>
      <c r="AK67" s="143"/>
    </row>
    <row r="68" customFormat="false" ht="18" hidden="false" customHeight="true" outlineLevel="0" collapsed="false">
      <c r="B68" s="143"/>
      <c r="C68" s="144" t="str">
        <f aca="false">DADOS!$T$11</f>
        <v>🎁 PRESENTES</v>
      </c>
      <c r="D68" s="145" t="str">
        <f aca="false">IF(despesavariávelconsolidadoset[[#This Row],[TOTAL]]=0,"",IF(OR(despesavariávelconsolidadoset[[#This Row],[TOTAL]]=LARGE($AJ$60:$AJ$72,1),despesavariávelconsolidadoset[[#This Row],[TOTAL]]=LARGE($AJ$60:$AJ$72,2),despesavariávelconsolidadoset[[#This Row],[TOTAL]]=LARGE($AJ$60:$AJ$72,3),despesavariávelconsolidadoset[[#This Row],[TOTAL]]=LARGE($AJ$60:$AJ$72,4),despesavariávelconsolidadoset[[#This Row],[TOTAL]]=LARGE($AJ$60:$AJ$72,5)),DADOS!$I$8,""))</f>
        <v/>
      </c>
      <c r="E68" s="148" t="n">
        <f aca="false">SUMIFS(tabela_registros[VALOR],tabela_registros[MÊS],$AE$1,tabela_registros[DIA],settotal3059718395107119131[[#Headers],[1]],tabela_registros[REGISTRO],DADOS!$N$4,tabela_registros[TIPO],DADOS!$P$4,tabela_registros[CATEGORIA],despesavariávelconsolidadoset[[#This Row],[DESPESA VARIÁVEL]])</f>
        <v>0</v>
      </c>
      <c r="F68" s="119" t="n">
        <f aca="false">SUMIFS(tabela_registros[VALOR],tabela_registros[MÊS],$AE$1,tabela_registros[DIA],settotal3059718395107119131[[#Headers],[2]],tabela_registros[REGISTRO],DADOS!$N$4,tabela_registros[TIPO],DADOS!$P$4,tabela_registros[CATEGORIA],despesavariávelconsolidadoset[[#This Row],[DESPESA VARIÁVEL]])</f>
        <v>0</v>
      </c>
      <c r="G68" s="119" t="n">
        <f aca="false">SUMIFS(tabela_registros[VALOR],tabela_registros[MÊS],$AE$1,tabela_registros[DIA],settotal3059718395107119131[[#Headers],[3]],tabela_registros[REGISTRO],DADOS!$N$4,tabela_registros[TIPO],DADOS!$P$4,tabela_registros[CATEGORIA],despesavariávelconsolidadoset[[#This Row],[DESPESA VARIÁVEL]])</f>
        <v>0</v>
      </c>
      <c r="H68" s="119" t="n">
        <f aca="false">SUMIFS(tabela_registros[VALOR],tabela_registros[MÊS],$AE$1,tabela_registros[DIA],settotal3059718395107119131[[#Headers],[4]],tabela_registros[REGISTRO],DADOS!$N$4,tabela_registros[TIPO],DADOS!$P$4,tabela_registros[CATEGORIA],despesavariávelconsolidadoset[[#This Row],[DESPESA VARIÁVEL]])</f>
        <v>0</v>
      </c>
      <c r="I68" s="119" t="n">
        <f aca="false">SUMIFS(tabela_registros[VALOR],tabela_registros[MÊS],$AE$1,tabela_registros[DIA],settotal3059718395107119131[[#Headers],[5]],tabela_registros[REGISTRO],DADOS!$N$4,tabela_registros[TIPO],DADOS!$P$4,tabela_registros[CATEGORIA],despesavariávelconsolidadoset[[#This Row],[DESPESA VARIÁVEL]])</f>
        <v>0</v>
      </c>
      <c r="J68" s="119" t="n">
        <f aca="false">SUMIFS(tabela_registros[VALOR],tabela_registros[MÊS],$AE$1,tabela_registros[DIA],settotal3059718395107119131[[#Headers],[6]],tabela_registros[REGISTRO],DADOS!$N$4,tabela_registros[TIPO],DADOS!$P$4,tabela_registros[CATEGORIA],despesavariávelconsolidadoset[[#This Row],[DESPESA VARIÁVEL]])</f>
        <v>0</v>
      </c>
      <c r="K68" s="119" t="n">
        <f aca="false">SUMIFS(tabela_registros[VALOR],tabela_registros[MÊS],$AE$1,tabela_registros[DIA],settotal3059718395107119131[[#Headers],[7]],tabela_registros[REGISTRO],DADOS!$N$4,tabela_registros[TIPO],DADOS!$P$4,tabela_registros[CATEGORIA],despesavariávelconsolidadoset[[#This Row],[DESPESA VARIÁVEL]])</f>
        <v>0</v>
      </c>
      <c r="L68" s="119" t="n">
        <f aca="false">SUMIFS(tabela_registros[VALOR],tabela_registros[MÊS],$AE$1,tabela_registros[DIA],settotal3059718395107119131[[#Headers],[8]],tabela_registros[REGISTRO],DADOS!$N$4,tabela_registros[TIPO],DADOS!$P$4,tabela_registros[CATEGORIA],despesavariávelconsolidadoset[[#This Row],[DESPESA VARIÁVEL]])</f>
        <v>0</v>
      </c>
      <c r="M68" s="119" t="n">
        <f aca="false">SUMIFS(tabela_registros[VALOR],tabela_registros[MÊS],$AE$1,tabela_registros[DIA],settotal3059718395107119131[[#Headers],[9]],tabela_registros[REGISTRO],DADOS!$N$4,tabela_registros[TIPO],DADOS!$P$4,tabela_registros[CATEGORIA],despesavariávelconsolidadoset[[#This Row],[DESPESA VARIÁVEL]])</f>
        <v>0</v>
      </c>
      <c r="N68" s="119" t="n">
        <f aca="false">SUMIFS(tabela_registros[VALOR],tabela_registros[MÊS],$AE$1,tabela_registros[DIA],settotal3059718395107119131[[#Headers],[10]],tabela_registros[REGISTRO],DADOS!$N$4,tabela_registros[TIPO],DADOS!$P$4,tabela_registros[CATEGORIA],despesavariávelconsolidadoset[[#This Row],[DESPESA VARIÁVEL]])</f>
        <v>0</v>
      </c>
      <c r="O68" s="119" t="n">
        <f aca="false">SUMIFS(tabela_registros[VALOR],tabela_registros[MÊS],$AE$1,tabela_registros[DIA],settotal3059718395107119131[[#Headers],[11]],tabela_registros[REGISTRO],DADOS!$N$4,tabela_registros[TIPO],DADOS!$P$4,tabela_registros[CATEGORIA],despesavariávelconsolidadoset[[#This Row],[DESPESA VARIÁVEL]])</f>
        <v>0</v>
      </c>
      <c r="P68" s="119" t="n">
        <f aca="false">SUMIFS(tabela_registros[VALOR],tabela_registros[MÊS],$AE$1,tabela_registros[DIA],settotal3059718395107119131[[#Headers],[12]],tabela_registros[REGISTRO],DADOS!$N$4,tabela_registros[TIPO],DADOS!$P$4,tabela_registros[CATEGORIA],despesavariávelconsolidadoset[[#This Row],[DESPESA VARIÁVEL]])</f>
        <v>0</v>
      </c>
      <c r="Q68" s="119" t="n">
        <f aca="false">SUMIFS(tabela_registros[VALOR],tabela_registros[MÊS],$AE$1,tabela_registros[DIA],settotal3059718395107119131[[#Headers],[13]],tabela_registros[REGISTRO],DADOS!$N$4,tabela_registros[TIPO],DADOS!$P$4,tabela_registros[CATEGORIA],despesavariávelconsolidadoset[[#This Row],[DESPESA VARIÁVEL]])</f>
        <v>0</v>
      </c>
      <c r="R68" s="119" t="n">
        <f aca="false">SUMIFS(tabela_registros[VALOR],tabela_registros[MÊS],$AE$1,tabela_registros[DIA],settotal3059718395107119131[[#Headers],[14]],tabela_registros[REGISTRO],DADOS!$N$4,tabela_registros[TIPO],DADOS!$P$4,tabela_registros[CATEGORIA],despesavariávelconsolidadoset[[#This Row],[DESPESA VARIÁVEL]])</f>
        <v>0</v>
      </c>
      <c r="S68" s="119" t="n">
        <f aca="false">SUMIFS(tabela_registros[VALOR],tabela_registros[MÊS],$AE$1,tabela_registros[DIA],settotal3059718395107119131[[#Headers],[15]],tabela_registros[REGISTRO],DADOS!$N$4,tabela_registros[TIPO],DADOS!$P$4,tabela_registros[CATEGORIA],despesavariávelconsolidadoset[[#This Row],[DESPESA VARIÁVEL]])</f>
        <v>0</v>
      </c>
      <c r="T68" s="119" t="n">
        <f aca="false">SUMIFS(tabela_registros[VALOR],tabela_registros[MÊS],$AE$1,tabela_registros[DIA],settotal3059718395107119131[[#Headers],[16]],tabela_registros[REGISTRO],DADOS!$N$4,tabela_registros[TIPO],DADOS!$P$4,tabela_registros[CATEGORIA],despesavariávelconsolidadoset[[#This Row],[DESPESA VARIÁVEL]])</f>
        <v>0</v>
      </c>
      <c r="U68" s="119" t="n">
        <f aca="false">SUMIFS(tabela_registros[VALOR],tabela_registros[MÊS],$AE$1,tabela_registros[DIA],settotal3059718395107119131[[#Headers],[17]],tabela_registros[REGISTRO],DADOS!$N$4,tabela_registros[TIPO],DADOS!$P$4,tabela_registros[CATEGORIA],despesavariávelconsolidadoset[[#This Row],[DESPESA VARIÁVEL]])</f>
        <v>0</v>
      </c>
      <c r="V68" s="119" t="n">
        <f aca="false">SUMIFS(tabela_registros[VALOR],tabela_registros[MÊS],$AE$1,tabela_registros[DIA],settotal3059718395107119131[[#Headers],[18]],tabela_registros[REGISTRO],DADOS!$N$4,tabela_registros[TIPO],DADOS!$P$4,tabela_registros[CATEGORIA],despesavariávelconsolidadoset[[#This Row],[DESPESA VARIÁVEL]])</f>
        <v>0</v>
      </c>
      <c r="W68" s="119" t="n">
        <f aca="false">SUMIFS(tabela_registros[VALOR],tabela_registros[MÊS],$AE$1,tabela_registros[DIA],settotal3059718395107119131[[#Headers],[19]],tabela_registros[REGISTRO],DADOS!$N$4,tabela_registros[TIPO],DADOS!$P$4,tabela_registros[CATEGORIA],despesavariávelconsolidadoset[[#This Row],[DESPESA VARIÁVEL]])</f>
        <v>0</v>
      </c>
      <c r="X68" s="119" t="n">
        <f aca="false">SUMIFS(tabela_registros[VALOR],tabela_registros[MÊS],$AE$1,tabela_registros[DIA],settotal3059718395107119131[[#Headers],[20]],tabela_registros[REGISTRO],DADOS!$N$4,tabela_registros[TIPO],DADOS!$P$4,tabela_registros[CATEGORIA],despesavariávelconsolidadoset[[#This Row],[DESPESA VARIÁVEL]])</f>
        <v>0</v>
      </c>
      <c r="Y68" s="119" t="n">
        <f aca="false">SUMIFS(tabela_registros[VALOR],tabela_registros[MÊS],$AE$1,tabela_registros[DIA],settotal3059718395107119131[[#Headers],[21]],tabela_registros[REGISTRO],DADOS!$N$4,tabela_registros[TIPO],DADOS!$P$4,tabela_registros[CATEGORIA],despesavariávelconsolidadoset[[#This Row],[DESPESA VARIÁVEL]])</f>
        <v>0</v>
      </c>
      <c r="Z68" s="119" t="n">
        <f aca="false">SUMIFS(tabela_registros[VALOR],tabela_registros[MÊS],$AE$1,tabela_registros[DIA],settotal3059718395107119131[[#Headers],[22]],tabela_registros[REGISTRO],DADOS!$N$4,tabela_registros[TIPO],DADOS!$P$4,tabela_registros[CATEGORIA],despesavariávelconsolidadoset[[#This Row],[DESPESA VARIÁVEL]])</f>
        <v>0</v>
      </c>
      <c r="AA68" s="119" t="n">
        <f aca="false">SUMIFS(tabela_registros[VALOR],tabela_registros[MÊS],$AE$1,tabela_registros[DIA],settotal3059718395107119131[[#Headers],[23]],tabela_registros[REGISTRO],DADOS!$N$4,tabela_registros[TIPO],DADOS!$P$4,tabela_registros[CATEGORIA],despesavariávelconsolidadoset[[#This Row],[DESPESA VARIÁVEL]])</f>
        <v>0</v>
      </c>
      <c r="AB68" s="119" t="n">
        <f aca="false">SUMIFS(tabela_registros[VALOR],tabela_registros[MÊS],$AE$1,tabela_registros[DIA],settotal3059718395107119131[[#Headers],[24]],tabela_registros[REGISTRO],DADOS!$N$4,tabela_registros[TIPO],DADOS!$P$4,tabela_registros[CATEGORIA],despesavariávelconsolidadoset[[#This Row],[DESPESA VARIÁVEL]])</f>
        <v>0</v>
      </c>
      <c r="AC68" s="119" t="n">
        <f aca="false">SUMIFS(tabela_registros[VALOR],tabela_registros[MÊS],$AE$1,tabela_registros[DIA],settotal3059718395107119131[[#Headers],[25]],tabela_registros[REGISTRO],DADOS!$N$4,tabela_registros[TIPO],DADOS!$P$4,tabela_registros[CATEGORIA],despesavariávelconsolidadoset[[#This Row],[DESPESA VARIÁVEL]])</f>
        <v>0</v>
      </c>
      <c r="AD68" s="119" t="n">
        <f aca="false">SUMIFS(tabela_registros[VALOR],tabela_registros[MÊS],$AE$1,tabela_registros[DIA],settotal3059718395107119131[[#Headers],[26]],tabela_registros[REGISTRO],DADOS!$N$4,tabela_registros[TIPO],DADOS!$P$4,tabela_registros[CATEGORIA],despesavariávelconsolidadoset[[#This Row],[DESPESA VARIÁVEL]])</f>
        <v>0</v>
      </c>
      <c r="AE68" s="119" t="n">
        <f aca="false">SUMIFS(tabela_registros[VALOR],tabela_registros[MÊS],$AE$1,tabela_registros[DIA],settotal3059718395107119131[[#Headers],[27]],tabela_registros[REGISTRO],DADOS!$N$4,tabela_registros[TIPO],DADOS!$P$4,tabela_registros[CATEGORIA],despesavariávelconsolidadoset[[#This Row],[DESPESA VARIÁVEL]])</f>
        <v>0</v>
      </c>
      <c r="AF68" s="119" t="n">
        <f aca="false">SUMIFS(tabela_registros[VALOR],tabela_registros[MÊS],$AE$1,tabela_registros[DIA],settotal3059718395107119131[[#Headers],[28]],tabela_registros[REGISTRO],DADOS!$N$4,tabela_registros[TIPO],DADOS!$P$4,tabela_registros[CATEGORIA],despesavariávelconsolidadoset[[#This Row],[DESPESA VARIÁVEL]])</f>
        <v>0</v>
      </c>
      <c r="AG68" s="119" t="n">
        <f aca="false">SUMIFS(tabela_registros[VALOR],tabela_registros[MÊS],$AE$1,tabela_registros[DIA],settotal3059718395107119131[[#Headers],[29]],tabela_registros[REGISTRO],DADOS!$N$4,tabela_registros[TIPO],DADOS!$P$4,tabela_registros[CATEGORIA],despesavariávelconsolidadoset[[#This Row],[DESPESA VARIÁVEL]])</f>
        <v>0</v>
      </c>
      <c r="AH68" s="119" t="n">
        <f aca="false">SUMIFS(tabela_registros[VALOR],tabela_registros[MÊS],$AE$1,tabela_registros[DIA],settotal3059718395107119131[[#Headers],[30]],tabela_registros[REGISTRO],DADOS!$N$4,tabela_registros[TIPO],DADOS!$P$4,tabela_registros[CATEGORIA],despesavariávelconsolidadoset[[#This Row],[DESPESA VARIÁVEL]])</f>
        <v>0</v>
      </c>
      <c r="AI68" s="217" t="n">
        <f aca="false">SUMIFS(tabela_registros[VALOR],tabela_registros[MÊS],$AE$1,tabela_registros[DIA],settotal3059718395107119131[[#Headers],[31]],tabela_registros[REGISTRO],DADOS!$N$4,tabela_registros[TIPO],DADOS!$P$4,tabela_registros[CATEGORIA],despesavariávelconsolidadoset[[#This Row],[DESPESA VARIÁVEL]])</f>
        <v>0</v>
      </c>
      <c r="AJ68" s="149" t="n">
        <f aca="false">SUM(despesavariávelconsolidadoset[[#This Row],[1]:[31]])</f>
        <v>0</v>
      </c>
      <c r="AK68" s="143"/>
    </row>
    <row r="69" customFormat="false" ht="18" hidden="false" customHeight="true" outlineLevel="0" collapsed="false">
      <c r="B69" s="143"/>
      <c r="C69" s="144" t="str">
        <f aca="false">DADOS!$T$12</f>
        <v>💊 SAÚDE</v>
      </c>
      <c r="D69" s="145" t="str">
        <f aca="false">IF(despesavariávelconsolidadoset[[#This Row],[TOTAL]]=0,"",IF(OR(despesavariávelconsolidadoset[[#This Row],[TOTAL]]=LARGE($AJ$60:$AJ$72,1),despesavariávelconsolidadoset[[#This Row],[TOTAL]]=LARGE($AJ$60:$AJ$72,2),despesavariávelconsolidadoset[[#This Row],[TOTAL]]=LARGE($AJ$60:$AJ$72,3),despesavariávelconsolidadoset[[#This Row],[TOTAL]]=LARGE($AJ$60:$AJ$72,4),despesavariávelconsolidadoset[[#This Row],[TOTAL]]=LARGE($AJ$60:$AJ$72,5)),DADOS!$I$8,""))</f>
        <v/>
      </c>
      <c r="E69" s="148" t="n">
        <f aca="false">SUMIFS(tabela_registros[VALOR],tabela_registros[MÊS],$AE$1,tabela_registros[DIA],settotal3059718395107119131[[#Headers],[1]],tabela_registros[REGISTRO],DADOS!$N$4,tabela_registros[TIPO],DADOS!$P$4,tabela_registros[CATEGORIA],despesavariávelconsolidadoset[[#This Row],[DESPESA VARIÁVEL]])</f>
        <v>0</v>
      </c>
      <c r="F69" s="119" t="n">
        <f aca="false">SUMIFS(tabela_registros[VALOR],tabela_registros[MÊS],$AE$1,tabela_registros[DIA],settotal3059718395107119131[[#Headers],[2]],tabela_registros[REGISTRO],DADOS!$N$4,tabela_registros[TIPO],DADOS!$P$4,tabela_registros[CATEGORIA],despesavariávelconsolidadoset[[#This Row],[DESPESA VARIÁVEL]])</f>
        <v>0</v>
      </c>
      <c r="G69" s="119" t="n">
        <f aca="false">SUMIFS(tabela_registros[VALOR],tabela_registros[MÊS],$AE$1,tabela_registros[DIA],settotal3059718395107119131[[#Headers],[3]],tabela_registros[REGISTRO],DADOS!$N$4,tabela_registros[TIPO],DADOS!$P$4,tabela_registros[CATEGORIA],despesavariávelconsolidadoset[[#This Row],[DESPESA VARIÁVEL]])</f>
        <v>0</v>
      </c>
      <c r="H69" s="119" t="n">
        <f aca="false">SUMIFS(tabela_registros[VALOR],tabela_registros[MÊS],$AE$1,tabela_registros[DIA],settotal3059718395107119131[[#Headers],[4]],tabela_registros[REGISTRO],DADOS!$N$4,tabela_registros[TIPO],DADOS!$P$4,tabela_registros[CATEGORIA],despesavariávelconsolidadoset[[#This Row],[DESPESA VARIÁVEL]])</f>
        <v>0</v>
      </c>
      <c r="I69" s="119" t="n">
        <f aca="false">SUMIFS(tabela_registros[VALOR],tabela_registros[MÊS],$AE$1,tabela_registros[DIA],settotal3059718395107119131[[#Headers],[5]],tabela_registros[REGISTRO],DADOS!$N$4,tabela_registros[TIPO],DADOS!$P$4,tabela_registros[CATEGORIA],despesavariávelconsolidadoset[[#This Row],[DESPESA VARIÁVEL]])</f>
        <v>0</v>
      </c>
      <c r="J69" s="119" t="n">
        <f aca="false">SUMIFS(tabela_registros[VALOR],tabela_registros[MÊS],$AE$1,tabela_registros[DIA],settotal3059718395107119131[[#Headers],[6]],tabela_registros[REGISTRO],DADOS!$N$4,tabela_registros[TIPO],DADOS!$P$4,tabela_registros[CATEGORIA],despesavariávelconsolidadoset[[#This Row],[DESPESA VARIÁVEL]])</f>
        <v>0</v>
      </c>
      <c r="K69" s="119" t="n">
        <f aca="false">SUMIFS(tabela_registros[VALOR],tabela_registros[MÊS],$AE$1,tabela_registros[DIA],settotal3059718395107119131[[#Headers],[7]],tabela_registros[REGISTRO],DADOS!$N$4,tabela_registros[TIPO],DADOS!$P$4,tabela_registros[CATEGORIA],despesavariávelconsolidadoset[[#This Row],[DESPESA VARIÁVEL]])</f>
        <v>0</v>
      </c>
      <c r="L69" s="119" t="n">
        <f aca="false">SUMIFS(tabela_registros[VALOR],tabela_registros[MÊS],$AE$1,tabela_registros[DIA],settotal3059718395107119131[[#Headers],[8]],tabela_registros[REGISTRO],DADOS!$N$4,tabela_registros[TIPO],DADOS!$P$4,tabela_registros[CATEGORIA],despesavariávelconsolidadoset[[#This Row],[DESPESA VARIÁVEL]])</f>
        <v>0</v>
      </c>
      <c r="M69" s="119" t="n">
        <f aca="false">SUMIFS(tabela_registros[VALOR],tabela_registros[MÊS],$AE$1,tabela_registros[DIA],settotal3059718395107119131[[#Headers],[9]],tabela_registros[REGISTRO],DADOS!$N$4,tabela_registros[TIPO],DADOS!$P$4,tabela_registros[CATEGORIA],despesavariávelconsolidadoset[[#This Row],[DESPESA VARIÁVEL]])</f>
        <v>0</v>
      </c>
      <c r="N69" s="119" t="n">
        <f aca="false">SUMIFS(tabela_registros[VALOR],tabela_registros[MÊS],$AE$1,tabela_registros[DIA],settotal3059718395107119131[[#Headers],[10]],tabela_registros[REGISTRO],DADOS!$N$4,tabela_registros[TIPO],DADOS!$P$4,tabela_registros[CATEGORIA],despesavariávelconsolidadoset[[#This Row],[DESPESA VARIÁVEL]])</f>
        <v>0</v>
      </c>
      <c r="O69" s="119" t="n">
        <f aca="false">SUMIFS(tabela_registros[VALOR],tabela_registros[MÊS],$AE$1,tabela_registros[DIA],settotal3059718395107119131[[#Headers],[11]],tabela_registros[REGISTRO],DADOS!$N$4,tabela_registros[TIPO],DADOS!$P$4,tabela_registros[CATEGORIA],despesavariávelconsolidadoset[[#This Row],[DESPESA VARIÁVEL]])</f>
        <v>0</v>
      </c>
      <c r="P69" s="119" t="n">
        <f aca="false">SUMIFS(tabela_registros[VALOR],tabela_registros[MÊS],$AE$1,tabela_registros[DIA],settotal3059718395107119131[[#Headers],[12]],tabela_registros[REGISTRO],DADOS!$N$4,tabela_registros[TIPO],DADOS!$P$4,tabela_registros[CATEGORIA],despesavariávelconsolidadoset[[#This Row],[DESPESA VARIÁVEL]])</f>
        <v>0</v>
      </c>
      <c r="Q69" s="119" t="n">
        <f aca="false">SUMIFS(tabela_registros[VALOR],tabela_registros[MÊS],$AE$1,tabela_registros[DIA],settotal3059718395107119131[[#Headers],[13]],tabela_registros[REGISTRO],DADOS!$N$4,tabela_registros[TIPO],DADOS!$P$4,tabela_registros[CATEGORIA],despesavariávelconsolidadoset[[#This Row],[DESPESA VARIÁVEL]])</f>
        <v>0</v>
      </c>
      <c r="R69" s="119" t="n">
        <f aca="false">SUMIFS(tabela_registros[VALOR],tabela_registros[MÊS],$AE$1,tabela_registros[DIA],settotal3059718395107119131[[#Headers],[14]],tabela_registros[REGISTRO],DADOS!$N$4,tabela_registros[TIPO],DADOS!$P$4,tabela_registros[CATEGORIA],despesavariávelconsolidadoset[[#This Row],[DESPESA VARIÁVEL]])</f>
        <v>0</v>
      </c>
      <c r="S69" s="119" t="n">
        <f aca="false">SUMIFS(tabela_registros[VALOR],tabela_registros[MÊS],$AE$1,tabela_registros[DIA],settotal3059718395107119131[[#Headers],[15]],tabela_registros[REGISTRO],DADOS!$N$4,tabela_registros[TIPO],DADOS!$P$4,tabela_registros[CATEGORIA],despesavariávelconsolidadoset[[#This Row],[DESPESA VARIÁVEL]])</f>
        <v>0</v>
      </c>
      <c r="T69" s="119" t="n">
        <f aca="false">SUMIFS(tabela_registros[VALOR],tabela_registros[MÊS],$AE$1,tabela_registros[DIA],settotal3059718395107119131[[#Headers],[16]],tabela_registros[REGISTRO],DADOS!$N$4,tabela_registros[TIPO],DADOS!$P$4,tabela_registros[CATEGORIA],despesavariávelconsolidadoset[[#This Row],[DESPESA VARIÁVEL]])</f>
        <v>0</v>
      </c>
      <c r="U69" s="119" t="n">
        <f aca="false">SUMIFS(tabela_registros[VALOR],tabela_registros[MÊS],$AE$1,tabela_registros[DIA],settotal3059718395107119131[[#Headers],[17]],tabela_registros[REGISTRO],DADOS!$N$4,tabela_registros[TIPO],DADOS!$P$4,tabela_registros[CATEGORIA],despesavariávelconsolidadoset[[#This Row],[DESPESA VARIÁVEL]])</f>
        <v>0</v>
      </c>
      <c r="V69" s="119" t="n">
        <f aca="false">SUMIFS(tabela_registros[VALOR],tabela_registros[MÊS],$AE$1,tabela_registros[DIA],settotal3059718395107119131[[#Headers],[18]],tabela_registros[REGISTRO],DADOS!$N$4,tabela_registros[TIPO],DADOS!$P$4,tabela_registros[CATEGORIA],despesavariávelconsolidadoset[[#This Row],[DESPESA VARIÁVEL]])</f>
        <v>0</v>
      </c>
      <c r="W69" s="119" t="n">
        <f aca="false">SUMIFS(tabela_registros[VALOR],tabela_registros[MÊS],$AE$1,tabela_registros[DIA],settotal3059718395107119131[[#Headers],[19]],tabela_registros[REGISTRO],DADOS!$N$4,tabela_registros[TIPO],DADOS!$P$4,tabela_registros[CATEGORIA],despesavariávelconsolidadoset[[#This Row],[DESPESA VARIÁVEL]])</f>
        <v>0</v>
      </c>
      <c r="X69" s="119" t="n">
        <f aca="false">SUMIFS(tabela_registros[VALOR],tabela_registros[MÊS],$AE$1,tabela_registros[DIA],settotal3059718395107119131[[#Headers],[20]],tabela_registros[REGISTRO],DADOS!$N$4,tabela_registros[TIPO],DADOS!$P$4,tabela_registros[CATEGORIA],despesavariávelconsolidadoset[[#This Row],[DESPESA VARIÁVEL]])</f>
        <v>0</v>
      </c>
      <c r="Y69" s="119" t="n">
        <f aca="false">SUMIFS(tabela_registros[VALOR],tabela_registros[MÊS],$AE$1,tabela_registros[DIA],settotal3059718395107119131[[#Headers],[21]],tabela_registros[REGISTRO],DADOS!$N$4,tabela_registros[TIPO],DADOS!$P$4,tabela_registros[CATEGORIA],despesavariávelconsolidadoset[[#This Row],[DESPESA VARIÁVEL]])</f>
        <v>0</v>
      </c>
      <c r="Z69" s="119" t="n">
        <f aca="false">SUMIFS(tabela_registros[VALOR],tabela_registros[MÊS],$AE$1,tabela_registros[DIA],settotal3059718395107119131[[#Headers],[22]],tabela_registros[REGISTRO],DADOS!$N$4,tabela_registros[TIPO],DADOS!$P$4,tabela_registros[CATEGORIA],despesavariávelconsolidadoset[[#This Row],[DESPESA VARIÁVEL]])</f>
        <v>0</v>
      </c>
      <c r="AA69" s="119" t="n">
        <f aca="false">SUMIFS(tabela_registros[VALOR],tabela_registros[MÊS],$AE$1,tabela_registros[DIA],settotal3059718395107119131[[#Headers],[23]],tabela_registros[REGISTRO],DADOS!$N$4,tabela_registros[TIPO],DADOS!$P$4,tabela_registros[CATEGORIA],despesavariávelconsolidadoset[[#This Row],[DESPESA VARIÁVEL]])</f>
        <v>0</v>
      </c>
      <c r="AB69" s="119" t="n">
        <f aca="false">SUMIFS(tabela_registros[VALOR],tabela_registros[MÊS],$AE$1,tabela_registros[DIA],settotal3059718395107119131[[#Headers],[24]],tabela_registros[REGISTRO],DADOS!$N$4,tabela_registros[TIPO],DADOS!$P$4,tabela_registros[CATEGORIA],despesavariávelconsolidadoset[[#This Row],[DESPESA VARIÁVEL]])</f>
        <v>0</v>
      </c>
      <c r="AC69" s="119" t="n">
        <f aca="false">SUMIFS(tabela_registros[VALOR],tabela_registros[MÊS],$AE$1,tabela_registros[DIA],settotal3059718395107119131[[#Headers],[25]],tabela_registros[REGISTRO],DADOS!$N$4,tabela_registros[TIPO],DADOS!$P$4,tabela_registros[CATEGORIA],despesavariávelconsolidadoset[[#This Row],[DESPESA VARIÁVEL]])</f>
        <v>0</v>
      </c>
      <c r="AD69" s="119" t="n">
        <f aca="false">SUMIFS(tabela_registros[VALOR],tabela_registros[MÊS],$AE$1,tabela_registros[DIA],settotal3059718395107119131[[#Headers],[26]],tabela_registros[REGISTRO],DADOS!$N$4,tabela_registros[TIPO],DADOS!$P$4,tabela_registros[CATEGORIA],despesavariávelconsolidadoset[[#This Row],[DESPESA VARIÁVEL]])</f>
        <v>0</v>
      </c>
      <c r="AE69" s="119" t="n">
        <f aca="false">SUMIFS(tabela_registros[VALOR],tabela_registros[MÊS],$AE$1,tabela_registros[DIA],settotal3059718395107119131[[#Headers],[27]],tabela_registros[REGISTRO],DADOS!$N$4,tabela_registros[TIPO],DADOS!$P$4,tabela_registros[CATEGORIA],despesavariávelconsolidadoset[[#This Row],[DESPESA VARIÁVEL]])</f>
        <v>0</v>
      </c>
      <c r="AF69" s="119" t="n">
        <f aca="false">SUMIFS(tabela_registros[VALOR],tabela_registros[MÊS],$AE$1,tabela_registros[DIA],settotal3059718395107119131[[#Headers],[28]],tabela_registros[REGISTRO],DADOS!$N$4,tabela_registros[TIPO],DADOS!$P$4,tabela_registros[CATEGORIA],despesavariávelconsolidadoset[[#This Row],[DESPESA VARIÁVEL]])</f>
        <v>0</v>
      </c>
      <c r="AG69" s="119" t="n">
        <f aca="false">SUMIFS(tabela_registros[VALOR],tabela_registros[MÊS],$AE$1,tabela_registros[DIA],settotal3059718395107119131[[#Headers],[29]],tabela_registros[REGISTRO],DADOS!$N$4,tabela_registros[TIPO],DADOS!$P$4,tabela_registros[CATEGORIA],despesavariávelconsolidadoset[[#This Row],[DESPESA VARIÁVEL]])</f>
        <v>0</v>
      </c>
      <c r="AH69" s="119" t="n">
        <f aca="false">SUMIFS(tabela_registros[VALOR],tabela_registros[MÊS],$AE$1,tabela_registros[DIA],settotal3059718395107119131[[#Headers],[30]],tabela_registros[REGISTRO],DADOS!$N$4,tabela_registros[TIPO],DADOS!$P$4,tabela_registros[CATEGORIA],despesavariávelconsolidadoset[[#This Row],[DESPESA VARIÁVEL]])</f>
        <v>0</v>
      </c>
      <c r="AI69" s="217" t="n">
        <f aca="false">SUMIFS(tabela_registros[VALOR],tabela_registros[MÊS],$AE$1,tabela_registros[DIA],settotal3059718395107119131[[#Headers],[31]],tabela_registros[REGISTRO],DADOS!$N$4,tabela_registros[TIPO],DADOS!$P$4,tabela_registros[CATEGORIA],despesavariávelconsolidadoset[[#This Row],[DESPESA VARIÁVEL]])</f>
        <v>0</v>
      </c>
      <c r="AJ69" s="149" t="n">
        <f aca="false">SUM(despesavariávelconsolidadoset[[#This Row],[1]:[31]])</f>
        <v>0</v>
      </c>
      <c r="AK69" s="143"/>
    </row>
    <row r="70" customFormat="false" ht="18" hidden="false" customHeight="true" outlineLevel="0" collapsed="false">
      <c r="B70" s="143"/>
      <c r="C70" s="144" t="str">
        <f aca="false">DADOS!$T$13</f>
        <v>🚍 TRANSPORTE</v>
      </c>
      <c r="D70" s="145" t="str">
        <f aca="false">IF(despesavariávelconsolidadoset[[#This Row],[TOTAL]]=0,"",IF(OR(despesavariávelconsolidadoset[[#This Row],[TOTAL]]=LARGE($AJ$60:$AJ$72,1),despesavariávelconsolidadoset[[#This Row],[TOTAL]]=LARGE($AJ$60:$AJ$72,2),despesavariávelconsolidadoset[[#This Row],[TOTAL]]=LARGE($AJ$60:$AJ$72,3),despesavariávelconsolidadoset[[#This Row],[TOTAL]]=LARGE($AJ$60:$AJ$72,4),despesavariávelconsolidadoset[[#This Row],[TOTAL]]=LARGE($AJ$60:$AJ$72,5)),DADOS!$I$8,""))</f>
        <v/>
      </c>
      <c r="E70" s="148" t="n">
        <f aca="false">SUMIFS(tabela_registros[VALOR],tabela_registros[MÊS],$AE$1,tabela_registros[DIA],settotal3059718395107119131[[#Headers],[1]],tabela_registros[REGISTRO],DADOS!$N$4,tabela_registros[TIPO],DADOS!$P$4,tabela_registros[CATEGORIA],despesavariávelconsolidadoset[[#This Row],[DESPESA VARIÁVEL]])</f>
        <v>0</v>
      </c>
      <c r="F70" s="119" t="n">
        <f aca="false">SUMIFS(tabela_registros[VALOR],tabela_registros[MÊS],$AE$1,tabela_registros[DIA],settotal3059718395107119131[[#Headers],[2]],tabela_registros[REGISTRO],DADOS!$N$4,tabela_registros[TIPO],DADOS!$P$4,tabela_registros[CATEGORIA],despesavariávelconsolidadoset[[#This Row],[DESPESA VARIÁVEL]])</f>
        <v>0</v>
      </c>
      <c r="G70" s="119" t="n">
        <f aca="false">SUMIFS(tabela_registros[VALOR],tabela_registros[MÊS],$AE$1,tabela_registros[DIA],settotal3059718395107119131[[#Headers],[3]],tabela_registros[REGISTRO],DADOS!$N$4,tabela_registros[TIPO],DADOS!$P$4,tabela_registros[CATEGORIA],despesavariávelconsolidadoset[[#This Row],[DESPESA VARIÁVEL]])</f>
        <v>0</v>
      </c>
      <c r="H70" s="119" t="n">
        <f aca="false">SUMIFS(tabela_registros[VALOR],tabela_registros[MÊS],$AE$1,tabela_registros[DIA],settotal3059718395107119131[[#Headers],[4]],tabela_registros[REGISTRO],DADOS!$N$4,tabela_registros[TIPO],DADOS!$P$4,tabela_registros[CATEGORIA],despesavariávelconsolidadoset[[#This Row],[DESPESA VARIÁVEL]])</f>
        <v>0</v>
      </c>
      <c r="I70" s="119" t="n">
        <f aca="false">SUMIFS(tabela_registros[VALOR],tabela_registros[MÊS],$AE$1,tabela_registros[DIA],settotal3059718395107119131[[#Headers],[5]],tabela_registros[REGISTRO],DADOS!$N$4,tabela_registros[TIPO],DADOS!$P$4,tabela_registros[CATEGORIA],despesavariávelconsolidadoset[[#This Row],[DESPESA VARIÁVEL]])</f>
        <v>0</v>
      </c>
      <c r="J70" s="119" t="n">
        <f aca="false">SUMIFS(tabela_registros[VALOR],tabela_registros[MÊS],$AE$1,tabela_registros[DIA],settotal3059718395107119131[[#Headers],[6]],tabela_registros[REGISTRO],DADOS!$N$4,tabela_registros[TIPO],DADOS!$P$4,tabela_registros[CATEGORIA],despesavariávelconsolidadoset[[#This Row],[DESPESA VARIÁVEL]])</f>
        <v>0</v>
      </c>
      <c r="K70" s="119" t="n">
        <f aca="false">SUMIFS(tabela_registros[VALOR],tabela_registros[MÊS],$AE$1,tabela_registros[DIA],settotal3059718395107119131[[#Headers],[7]],tabela_registros[REGISTRO],DADOS!$N$4,tabela_registros[TIPO],DADOS!$P$4,tabela_registros[CATEGORIA],despesavariávelconsolidadoset[[#This Row],[DESPESA VARIÁVEL]])</f>
        <v>0</v>
      </c>
      <c r="L70" s="119" t="n">
        <f aca="false">SUMIFS(tabela_registros[VALOR],tabela_registros[MÊS],$AE$1,tabela_registros[DIA],settotal3059718395107119131[[#Headers],[8]],tabela_registros[REGISTRO],DADOS!$N$4,tabela_registros[TIPO],DADOS!$P$4,tabela_registros[CATEGORIA],despesavariávelconsolidadoset[[#This Row],[DESPESA VARIÁVEL]])</f>
        <v>0</v>
      </c>
      <c r="M70" s="119" t="n">
        <f aca="false">SUMIFS(tabela_registros[VALOR],tabela_registros[MÊS],$AE$1,tabela_registros[DIA],settotal3059718395107119131[[#Headers],[9]],tabela_registros[REGISTRO],DADOS!$N$4,tabela_registros[TIPO],DADOS!$P$4,tabela_registros[CATEGORIA],despesavariávelconsolidadoset[[#This Row],[DESPESA VARIÁVEL]])</f>
        <v>0</v>
      </c>
      <c r="N70" s="119" t="n">
        <f aca="false">SUMIFS(tabela_registros[VALOR],tabela_registros[MÊS],$AE$1,tabela_registros[DIA],settotal3059718395107119131[[#Headers],[10]],tabela_registros[REGISTRO],DADOS!$N$4,tabela_registros[TIPO],DADOS!$P$4,tabela_registros[CATEGORIA],despesavariávelconsolidadoset[[#This Row],[DESPESA VARIÁVEL]])</f>
        <v>0</v>
      </c>
      <c r="O70" s="119" t="n">
        <f aca="false">SUMIFS(tabela_registros[VALOR],tabela_registros[MÊS],$AE$1,tabela_registros[DIA],settotal3059718395107119131[[#Headers],[11]],tabela_registros[REGISTRO],DADOS!$N$4,tabela_registros[TIPO],DADOS!$P$4,tabela_registros[CATEGORIA],despesavariávelconsolidadoset[[#This Row],[DESPESA VARIÁVEL]])</f>
        <v>0</v>
      </c>
      <c r="P70" s="119" t="n">
        <f aca="false">SUMIFS(tabela_registros[VALOR],tabela_registros[MÊS],$AE$1,tabela_registros[DIA],settotal3059718395107119131[[#Headers],[12]],tabela_registros[REGISTRO],DADOS!$N$4,tabela_registros[TIPO],DADOS!$P$4,tabela_registros[CATEGORIA],despesavariávelconsolidadoset[[#This Row],[DESPESA VARIÁVEL]])</f>
        <v>0</v>
      </c>
      <c r="Q70" s="119" t="n">
        <f aca="false">SUMIFS(tabela_registros[VALOR],tabela_registros[MÊS],$AE$1,tabela_registros[DIA],settotal3059718395107119131[[#Headers],[13]],tabela_registros[REGISTRO],DADOS!$N$4,tabela_registros[TIPO],DADOS!$P$4,tabela_registros[CATEGORIA],despesavariávelconsolidadoset[[#This Row],[DESPESA VARIÁVEL]])</f>
        <v>0</v>
      </c>
      <c r="R70" s="119" t="n">
        <f aca="false">SUMIFS(tabela_registros[VALOR],tabela_registros[MÊS],$AE$1,tabela_registros[DIA],settotal3059718395107119131[[#Headers],[14]],tabela_registros[REGISTRO],DADOS!$N$4,tabela_registros[TIPO],DADOS!$P$4,tabela_registros[CATEGORIA],despesavariávelconsolidadoset[[#This Row],[DESPESA VARIÁVEL]])</f>
        <v>0</v>
      </c>
      <c r="S70" s="119" t="n">
        <f aca="false">SUMIFS(tabela_registros[VALOR],tabela_registros[MÊS],$AE$1,tabela_registros[DIA],settotal3059718395107119131[[#Headers],[15]],tabela_registros[REGISTRO],DADOS!$N$4,tabela_registros[TIPO],DADOS!$P$4,tabela_registros[CATEGORIA],despesavariávelconsolidadoset[[#This Row],[DESPESA VARIÁVEL]])</f>
        <v>0</v>
      </c>
      <c r="T70" s="119" t="n">
        <f aca="false">SUMIFS(tabela_registros[VALOR],tabela_registros[MÊS],$AE$1,tabela_registros[DIA],settotal3059718395107119131[[#Headers],[16]],tabela_registros[REGISTRO],DADOS!$N$4,tabela_registros[TIPO],DADOS!$P$4,tabela_registros[CATEGORIA],despesavariávelconsolidadoset[[#This Row],[DESPESA VARIÁVEL]])</f>
        <v>0</v>
      </c>
      <c r="U70" s="119" t="n">
        <f aca="false">SUMIFS(tabela_registros[VALOR],tabela_registros[MÊS],$AE$1,tabela_registros[DIA],settotal3059718395107119131[[#Headers],[17]],tabela_registros[REGISTRO],DADOS!$N$4,tabela_registros[TIPO],DADOS!$P$4,tabela_registros[CATEGORIA],despesavariávelconsolidadoset[[#This Row],[DESPESA VARIÁVEL]])</f>
        <v>0</v>
      </c>
      <c r="V70" s="119" t="n">
        <f aca="false">SUMIFS(tabela_registros[VALOR],tabela_registros[MÊS],$AE$1,tabela_registros[DIA],settotal3059718395107119131[[#Headers],[18]],tabela_registros[REGISTRO],DADOS!$N$4,tabela_registros[TIPO],DADOS!$P$4,tabela_registros[CATEGORIA],despesavariávelconsolidadoset[[#This Row],[DESPESA VARIÁVEL]])</f>
        <v>0</v>
      </c>
      <c r="W70" s="119" t="n">
        <f aca="false">SUMIFS(tabela_registros[VALOR],tabela_registros[MÊS],$AE$1,tabela_registros[DIA],settotal3059718395107119131[[#Headers],[19]],tabela_registros[REGISTRO],DADOS!$N$4,tabela_registros[TIPO],DADOS!$P$4,tabela_registros[CATEGORIA],despesavariávelconsolidadoset[[#This Row],[DESPESA VARIÁVEL]])</f>
        <v>0</v>
      </c>
      <c r="X70" s="119" t="n">
        <f aca="false">SUMIFS(tabela_registros[VALOR],tabela_registros[MÊS],$AE$1,tabela_registros[DIA],settotal3059718395107119131[[#Headers],[20]],tabela_registros[REGISTRO],DADOS!$N$4,tabela_registros[TIPO],DADOS!$P$4,tabela_registros[CATEGORIA],despesavariávelconsolidadoset[[#This Row],[DESPESA VARIÁVEL]])</f>
        <v>0</v>
      </c>
      <c r="Y70" s="119" t="n">
        <f aca="false">SUMIFS(tabela_registros[VALOR],tabela_registros[MÊS],$AE$1,tabela_registros[DIA],settotal3059718395107119131[[#Headers],[21]],tabela_registros[REGISTRO],DADOS!$N$4,tabela_registros[TIPO],DADOS!$P$4,tabela_registros[CATEGORIA],despesavariávelconsolidadoset[[#This Row],[DESPESA VARIÁVEL]])</f>
        <v>0</v>
      </c>
      <c r="Z70" s="119" t="n">
        <f aca="false">SUMIFS(tabela_registros[VALOR],tabela_registros[MÊS],$AE$1,tabela_registros[DIA],settotal3059718395107119131[[#Headers],[22]],tabela_registros[REGISTRO],DADOS!$N$4,tabela_registros[TIPO],DADOS!$P$4,tabela_registros[CATEGORIA],despesavariávelconsolidadoset[[#This Row],[DESPESA VARIÁVEL]])</f>
        <v>0</v>
      </c>
      <c r="AA70" s="119" t="n">
        <f aca="false">SUMIFS(tabela_registros[VALOR],tabela_registros[MÊS],$AE$1,tabela_registros[DIA],settotal3059718395107119131[[#Headers],[23]],tabela_registros[REGISTRO],DADOS!$N$4,tabela_registros[TIPO],DADOS!$P$4,tabela_registros[CATEGORIA],despesavariávelconsolidadoset[[#This Row],[DESPESA VARIÁVEL]])</f>
        <v>0</v>
      </c>
      <c r="AB70" s="119" t="n">
        <f aca="false">SUMIFS(tabela_registros[VALOR],tabela_registros[MÊS],$AE$1,tabela_registros[DIA],settotal3059718395107119131[[#Headers],[24]],tabela_registros[REGISTRO],DADOS!$N$4,tabela_registros[TIPO],DADOS!$P$4,tabela_registros[CATEGORIA],despesavariávelconsolidadoset[[#This Row],[DESPESA VARIÁVEL]])</f>
        <v>0</v>
      </c>
      <c r="AC70" s="119" t="n">
        <f aca="false">SUMIFS(tabela_registros[VALOR],tabela_registros[MÊS],$AE$1,tabela_registros[DIA],settotal3059718395107119131[[#Headers],[25]],tabela_registros[REGISTRO],DADOS!$N$4,tabela_registros[TIPO],DADOS!$P$4,tabela_registros[CATEGORIA],despesavariávelconsolidadoset[[#This Row],[DESPESA VARIÁVEL]])</f>
        <v>0</v>
      </c>
      <c r="AD70" s="119" t="n">
        <f aca="false">SUMIFS(tabela_registros[VALOR],tabela_registros[MÊS],$AE$1,tabela_registros[DIA],settotal3059718395107119131[[#Headers],[26]],tabela_registros[REGISTRO],DADOS!$N$4,tabela_registros[TIPO],DADOS!$P$4,tabela_registros[CATEGORIA],despesavariávelconsolidadoset[[#This Row],[DESPESA VARIÁVEL]])</f>
        <v>0</v>
      </c>
      <c r="AE70" s="119" t="n">
        <f aca="false">SUMIFS(tabela_registros[VALOR],tabela_registros[MÊS],$AE$1,tabela_registros[DIA],settotal3059718395107119131[[#Headers],[27]],tabela_registros[REGISTRO],DADOS!$N$4,tabela_registros[TIPO],DADOS!$P$4,tabela_registros[CATEGORIA],despesavariávelconsolidadoset[[#This Row],[DESPESA VARIÁVEL]])</f>
        <v>0</v>
      </c>
      <c r="AF70" s="119" t="n">
        <f aca="false">SUMIFS(tabela_registros[VALOR],tabela_registros[MÊS],$AE$1,tabela_registros[DIA],settotal3059718395107119131[[#Headers],[28]],tabela_registros[REGISTRO],DADOS!$N$4,tabela_registros[TIPO],DADOS!$P$4,tabela_registros[CATEGORIA],despesavariávelconsolidadoset[[#This Row],[DESPESA VARIÁVEL]])</f>
        <v>0</v>
      </c>
      <c r="AG70" s="119" t="n">
        <f aca="false">SUMIFS(tabela_registros[VALOR],tabela_registros[MÊS],$AE$1,tabela_registros[DIA],settotal3059718395107119131[[#Headers],[29]],tabela_registros[REGISTRO],DADOS!$N$4,tabela_registros[TIPO],DADOS!$P$4,tabela_registros[CATEGORIA],despesavariávelconsolidadoset[[#This Row],[DESPESA VARIÁVEL]])</f>
        <v>0</v>
      </c>
      <c r="AH70" s="119" t="n">
        <f aca="false">SUMIFS(tabela_registros[VALOR],tabela_registros[MÊS],$AE$1,tabela_registros[DIA],settotal3059718395107119131[[#Headers],[30]],tabela_registros[REGISTRO],DADOS!$N$4,tabela_registros[TIPO],DADOS!$P$4,tabela_registros[CATEGORIA],despesavariávelconsolidadoset[[#This Row],[DESPESA VARIÁVEL]])</f>
        <v>0</v>
      </c>
      <c r="AI70" s="217" t="n">
        <f aca="false">SUMIFS(tabela_registros[VALOR],tabela_registros[MÊS],$AE$1,tabela_registros[DIA],settotal3059718395107119131[[#Headers],[31]],tabela_registros[REGISTRO],DADOS!$N$4,tabela_registros[TIPO],DADOS!$P$4,tabela_registros[CATEGORIA],despesavariávelconsolidadoset[[#This Row],[DESPESA VARIÁVEL]])</f>
        <v>0</v>
      </c>
      <c r="AJ70" s="149" t="n">
        <f aca="false">SUM(despesavariávelconsolidadoset[[#This Row],[1]:[31]])</f>
        <v>0</v>
      </c>
      <c r="AK70" s="143"/>
    </row>
    <row r="71" customFormat="false" ht="18" hidden="false" customHeight="true" outlineLevel="0" collapsed="false">
      <c r="B71" s="143"/>
      <c r="C71" s="144" t="str">
        <f aca="false">DADOS!$T$14</f>
        <v>🛍️ VESTUÁRIO</v>
      </c>
      <c r="D71" s="145" t="str">
        <f aca="false">IF(despesavariávelconsolidadoset[[#This Row],[TOTAL]]=0,"",IF(OR(despesavariávelconsolidadoset[[#This Row],[TOTAL]]=LARGE($AJ$60:$AJ$72,1),despesavariávelconsolidadoset[[#This Row],[TOTAL]]=LARGE($AJ$60:$AJ$72,2),despesavariávelconsolidadoset[[#This Row],[TOTAL]]=LARGE($AJ$60:$AJ$72,3),despesavariávelconsolidadoset[[#This Row],[TOTAL]]=LARGE($AJ$60:$AJ$72,4),despesavariávelconsolidadoset[[#This Row],[TOTAL]]=LARGE($AJ$60:$AJ$72,5)),DADOS!$I$8,""))</f>
        <v/>
      </c>
      <c r="E71" s="148" t="n">
        <f aca="false">SUMIFS(tabela_registros[VALOR],tabela_registros[MÊS],$AE$1,tabela_registros[DIA],settotal3059718395107119131[[#Headers],[1]],tabela_registros[REGISTRO],DADOS!$N$4,tabela_registros[TIPO],DADOS!$P$4,tabela_registros[CATEGORIA],despesavariávelconsolidadoset[[#This Row],[DESPESA VARIÁVEL]])</f>
        <v>0</v>
      </c>
      <c r="F71" s="119" t="n">
        <f aca="false">SUMIFS(tabela_registros[VALOR],tabela_registros[MÊS],$AE$1,tabela_registros[DIA],settotal3059718395107119131[[#Headers],[2]],tabela_registros[REGISTRO],DADOS!$N$4,tabela_registros[TIPO],DADOS!$P$4,tabela_registros[CATEGORIA],despesavariávelconsolidadoset[[#This Row],[DESPESA VARIÁVEL]])</f>
        <v>0</v>
      </c>
      <c r="G71" s="119" t="n">
        <f aca="false">SUMIFS(tabela_registros[VALOR],tabela_registros[MÊS],$AE$1,tabela_registros[DIA],settotal3059718395107119131[[#Headers],[3]],tabela_registros[REGISTRO],DADOS!$N$4,tabela_registros[TIPO],DADOS!$P$4,tabela_registros[CATEGORIA],despesavariávelconsolidadoset[[#This Row],[DESPESA VARIÁVEL]])</f>
        <v>0</v>
      </c>
      <c r="H71" s="119" t="n">
        <f aca="false">SUMIFS(tabela_registros[VALOR],tabela_registros[MÊS],$AE$1,tabela_registros[DIA],settotal3059718395107119131[[#Headers],[4]],tabela_registros[REGISTRO],DADOS!$N$4,tabela_registros[TIPO],DADOS!$P$4,tabela_registros[CATEGORIA],despesavariávelconsolidadoset[[#This Row],[DESPESA VARIÁVEL]])</f>
        <v>0</v>
      </c>
      <c r="I71" s="119" t="n">
        <f aca="false">SUMIFS(tabela_registros[VALOR],tabela_registros[MÊS],$AE$1,tabela_registros[DIA],settotal3059718395107119131[[#Headers],[5]],tabela_registros[REGISTRO],DADOS!$N$4,tabela_registros[TIPO],DADOS!$P$4,tabela_registros[CATEGORIA],despesavariávelconsolidadoset[[#This Row],[DESPESA VARIÁVEL]])</f>
        <v>0</v>
      </c>
      <c r="J71" s="119" t="n">
        <f aca="false">SUMIFS(tabela_registros[VALOR],tabela_registros[MÊS],$AE$1,tabela_registros[DIA],settotal3059718395107119131[[#Headers],[6]],tabela_registros[REGISTRO],DADOS!$N$4,tabela_registros[TIPO],DADOS!$P$4,tabela_registros[CATEGORIA],despesavariávelconsolidadoset[[#This Row],[DESPESA VARIÁVEL]])</f>
        <v>0</v>
      </c>
      <c r="K71" s="119" t="n">
        <f aca="false">SUMIFS(tabela_registros[VALOR],tabela_registros[MÊS],$AE$1,tabela_registros[DIA],settotal3059718395107119131[[#Headers],[7]],tabela_registros[REGISTRO],DADOS!$N$4,tabela_registros[TIPO],DADOS!$P$4,tabela_registros[CATEGORIA],despesavariávelconsolidadoset[[#This Row],[DESPESA VARIÁVEL]])</f>
        <v>0</v>
      </c>
      <c r="L71" s="119" t="n">
        <f aca="false">SUMIFS(tabela_registros[VALOR],tabela_registros[MÊS],$AE$1,tabela_registros[DIA],settotal3059718395107119131[[#Headers],[8]],tabela_registros[REGISTRO],DADOS!$N$4,tabela_registros[TIPO],DADOS!$P$4,tabela_registros[CATEGORIA],despesavariávelconsolidadoset[[#This Row],[DESPESA VARIÁVEL]])</f>
        <v>0</v>
      </c>
      <c r="M71" s="119" t="n">
        <f aca="false">SUMIFS(tabela_registros[VALOR],tabela_registros[MÊS],$AE$1,tabela_registros[DIA],settotal3059718395107119131[[#Headers],[9]],tabela_registros[REGISTRO],DADOS!$N$4,tabela_registros[TIPO],DADOS!$P$4,tabela_registros[CATEGORIA],despesavariávelconsolidadoset[[#This Row],[DESPESA VARIÁVEL]])</f>
        <v>0</v>
      </c>
      <c r="N71" s="119" t="n">
        <f aca="false">SUMIFS(tabela_registros[VALOR],tabela_registros[MÊS],$AE$1,tabela_registros[DIA],settotal3059718395107119131[[#Headers],[10]],tabela_registros[REGISTRO],DADOS!$N$4,tabela_registros[TIPO],DADOS!$P$4,tabela_registros[CATEGORIA],despesavariávelconsolidadoset[[#This Row],[DESPESA VARIÁVEL]])</f>
        <v>0</v>
      </c>
      <c r="O71" s="119" t="n">
        <f aca="false">SUMIFS(tabela_registros[VALOR],tabela_registros[MÊS],$AE$1,tabela_registros[DIA],settotal3059718395107119131[[#Headers],[11]],tabela_registros[REGISTRO],DADOS!$N$4,tabela_registros[TIPO],DADOS!$P$4,tabela_registros[CATEGORIA],despesavariávelconsolidadoset[[#This Row],[DESPESA VARIÁVEL]])</f>
        <v>0</v>
      </c>
      <c r="P71" s="119" t="n">
        <f aca="false">SUMIFS(tabela_registros[VALOR],tabela_registros[MÊS],$AE$1,tabela_registros[DIA],settotal3059718395107119131[[#Headers],[12]],tabela_registros[REGISTRO],DADOS!$N$4,tabela_registros[TIPO],DADOS!$P$4,tabela_registros[CATEGORIA],despesavariávelconsolidadoset[[#This Row],[DESPESA VARIÁVEL]])</f>
        <v>0</v>
      </c>
      <c r="Q71" s="119" t="n">
        <f aca="false">SUMIFS(tabela_registros[VALOR],tabela_registros[MÊS],$AE$1,tabela_registros[DIA],settotal3059718395107119131[[#Headers],[13]],tabela_registros[REGISTRO],DADOS!$N$4,tabela_registros[TIPO],DADOS!$P$4,tabela_registros[CATEGORIA],despesavariávelconsolidadoset[[#This Row],[DESPESA VARIÁVEL]])</f>
        <v>0</v>
      </c>
      <c r="R71" s="119" t="n">
        <f aca="false">SUMIFS(tabela_registros[VALOR],tabela_registros[MÊS],$AE$1,tabela_registros[DIA],settotal3059718395107119131[[#Headers],[14]],tabela_registros[REGISTRO],DADOS!$N$4,tabela_registros[TIPO],DADOS!$P$4,tabela_registros[CATEGORIA],despesavariávelconsolidadoset[[#This Row],[DESPESA VARIÁVEL]])</f>
        <v>0</v>
      </c>
      <c r="S71" s="119" t="n">
        <f aca="false">SUMIFS(tabela_registros[VALOR],tabela_registros[MÊS],$AE$1,tabela_registros[DIA],settotal3059718395107119131[[#Headers],[15]],tabela_registros[REGISTRO],DADOS!$N$4,tabela_registros[TIPO],DADOS!$P$4,tabela_registros[CATEGORIA],despesavariávelconsolidadoset[[#This Row],[DESPESA VARIÁVEL]])</f>
        <v>0</v>
      </c>
      <c r="T71" s="119" t="n">
        <f aca="false">SUMIFS(tabela_registros[VALOR],tabela_registros[MÊS],$AE$1,tabela_registros[DIA],settotal3059718395107119131[[#Headers],[16]],tabela_registros[REGISTRO],DADOS!$N$4,tabela_registros[TIPO],DADOS!$P$4,tabela_registros[CATEGORIA],despesavariávelconsolidadoset[[#This Row],[DESPESA VARIÁVEL]])</f>
        <v>0</v>
      </c>
      <c r="U71" s="119" t="n">
        <f aca="false">SUMIFS(tabela_registros[VALOR],tabela_registros[MÊS],$AE$1,tabela_registros[DIA],settotal3059718395107119131[[#Headers],[17]],tabela_registros[REGISTRO],DADOS!$N$4,tabela_registros[TIPO],DADOS!$P$4,tabela_registros[CATEGORIA],despesavariávelconsolidadoset[[#This Row],[DESPESA VARIÁVEL]])</f>
        <v>0</v>
      </c>
      <c r="V71" s="119" t="n">
        <f aca="false">SUMIFS(tabela_registros[VALOR],tabela_registros[MÊS],$AE$1,tabela_registros[DIA],settotal3059718395107119131[[#Headers],[18]],tabela_registros[REGISTRO],DADOS!$N$4,tabela_registros[TIPO],DADOS!$P$4,tabela_registros[CATEGORIA],despesavariávelconsolidadoset[[#This Row],[DESPESA VARIÁVEL]])</f>
        <v>0</v>
      </c>
      <c r="W71" s="119" t="n">
        <f aca="false">SUMIFS(tabela_registros[VALOR],tabela_registros[MÊS],$AE$1,tabela_registros[DIA],settotal3059718395107119131[[#Headers],[19]],tabela_registros[REGISTRO],DADOS!$N$4,tabela_registros[TIPO],DADOS!$P$4,tabela_registros[CATEGORIA],despesavariávelconsolidadoset[[#This Row],[DESPESA VARIÁVEL]])</f>
        <v>0</v>
      </c>
      <c r="X71" s="119" t="n">
        <f aca="false">SUMIFS(tabela_registros[VALOR],tabela_registros[MÊS],$AE$1,tabela_registros[DIA],settotal3059718395107119131[[#Headers],[20]],tabela_registros[REGISTRO],DADOS!$N$4,tabela_registros[TIPO],DADOS!$P$4,tabela_registros[CATEGORIA],despesavariávelconsolidadoset[[#This Row],[DESPESA VARIÁVEL]])</f>
        <v>0</v>
      </c>
      <c r="Y71" s="119" t="n">
        <f aca="false">SUMIFS(tabela_registros[VALOR],tabela_registros[MÊS],$AE$1,tabela_registros[DIA],settotal3059718395107119131[[#Headers],[21]],tabela_registros[REGISTRO],DADOS!$N$4,tabela_registros[TIPO],DADOS!$P$4,tabela_registros[CATEGORIA],despesavariávelconsolidadoset[[#This Row],[DESPESA VARIÁVEL]])</f>
        <v>0</v>
      </c>
      <c r="Z71" s="119" t="n">
        <f aca="false">SUMIFS(tabela_registros[VALOR],tabela_registros[MÊS],$AE$1,tabela_registros[DIA],settotal3059718395107119131[[#Headers],[22]],tabela_registros[REGISTRO],DADOS!$N$4,tabela_registros[TIPO],DADOS!$P$4,tabela_registros[CATEGORIA],despesavariávelconsolidadoset[[#This Row],[DESPESA VARIÁVEL]])</f>
        <v>0</v>
      </c>
      <c r="AA71" s="119" t="n">
        <f aca="false">SUMIFS(tabela_registros[VALOR],tabela_registros[MÊS],$AE$1,tabela_registros[DIA],settotal3059718395107119131[[#Headers],[23]],tabela_registros[REGISTRO],DADOS!$N$4,tabela_registros[TIPO],DADOS!$P$4,tabela_registros[CATEGORIA],despesavariávelconsolidadoset[[#This Row],[DESPESA VARIÁVEL]])</f>
        <v>0</v>
      </c>
      <c r="AB71" s="119" t="n">
        <f aca="false">SUMIFS(tabela_registros[VALOR],tabela_registros[MÊS],$AE$1,tabela_registros[DIA],settotal3059718395107119131[[#Headers],[24]],tabela_registros[REGISTRO],DADOS!$N$4,tabela_registros[TIPO],DADOS!$P$4,tabela_registros[CATEGORIA],despesavariávelconsolidadoset[[#This Row],[DESPESA VARIÁVEL]])</f>
        <v>0</v>
      </c>
      <c r="AC71" s="119" t="n">
        <f aca="false">SUMIFS(tabela_registros[VALOR],tabela_registros[MÊS],$AE$1,tabela_registros[DIA],settotal3059718395107119131[[#Headers],[25]],tabela_registros[REGISTRO],DADOS!$N$4,tabela_registros[TIPO],DADOS!$P$4,tabela_registros[CATEGORIA],despesavariávelconsolidadoset[[#This Row],[DESPESA VARIÁVEL]])</f>
        <v>0</v>
      </c>
      <c r="AD71" s="119" t="n">
        <f aca="false">SUMIFS(tabela_registros[VALOR],tabela_registros[MÊS],$AE$1,tabela_registros[DIA],settotal3059718395107119131[[#Headers],[26]],tabela_registros[REGISTRO],DADOS!$N$4,tabela_registros[TIPO],DADOS!$P$4,tabela_registros[CATEGORIA],despesavariávelconsolidadoset[[#This Row],[DESPESA VARIÁVEL]])</f>
        <v>0</v>
      </c>
      <c r="AE71" s="119" t="n">
        <f aca="false">SUMIFS(tabela_registros[VALOR],tabela_registros[MÊS],$AE$1,tabela_registros[DIA],settotal3059718395107119131[[#Headers],[27]],tabela_registros[REGISTRO],DADOS!$N$4,tabela_registros[TIPO],DADOS!$P$4,tabela_registros[CATEGORIA],despesavariávelconsolidadoset[[#This Row],[DESPESA VARIÁVEL]])</f>
        <v>0</v>
      </c>
      <c r="AF71" s="119" t="n">
        <f aca="false">SUMIFS(tabela_registros[VALOR],tabela_registros[MÊS],$AE$1,tabela_registros[DIA],settotal3059718395107119131[[#Headers],[28]],tabela_registros[REGISTRO],DADOS!$N$4,tabela_registros[TIPO],DADOS!$P$4,tabela_registros[CATEGORIA],despesavariávelconsolidadoset[[#This Row],[DESPESA VARIÁVEL]])</f>
        <v>0</v>
      </c>
      <c r="AG71" s="119" t="n">
        <f aca="false">SUMIFS(tabela_registros[VALOR],tabela_registros[MÊS],$AE$1,tabela_registros[DIA],settotal3059718395107119131[[#Headers],[29]],tabela_registros[REGISTRO],DADOS!$N$4,tabela_registros[TIPO],DADOS!$P$4,tabela_registros[CATEGORIA],despesavariávelconsolidadoset[[#This Row],[DESPESA VARIÁVEL]])</f>
        <v>0</v>
      </c>
      <c r="AH71" s="119" t="n">
        <f aca="false">SUMIFS(tabela_registros[VALOR],tabela_registros[MÊS],$AE$1,tabela_registros[DIA],settotal3059718395107119131[[#Headers],[30]],tabela_registros[REGISTRO],DADOS!$N$4,tabela_registros[TIPO],DADOS!$P$4,tabela_registros[CATEGORIA],despesavariávelconsolidadoset[[#This Row],[DESPESA VARIÁVEL]])</f>
        <v>0</v>
      </c>
      <c r="AI71" s="217" t="n">
        <f aca="false">SUMIFS(tabela_registros[VALOR],tabela_registros[MÊS],$AE$1,tabela_registros[DIA],settotal3059718395107119131[[#Headers],[31]],tabela_registros[REGISTRO],DADOS!$N$4,tabela_registros[TIPO],DADOS!$P$4,tabela_registros[CATEGORIA],despesavariávelconsolidadoset[[#This Row],[DESPESA VARIÁVEL]])</f>
        <v>0</v>
      </c>
      <c r="AJ71" s="149" t="n">
        <f aca="false">SUM(despesavariávelconsolidadoset[[#This Row],[1]:[31]])</f>
        <v>0</v>
      </c>
      <c r="AK71" s="143"/>
    </row>
    <row r="72" customFormat="false" ht="18" hidden="false" customHeight="true" outlineLevel="0" collapsed="false">
      <c r="B72" s="143"/>
      <c r="C72" s="144" t="str">
        <f aca="false">DADOS!$T$15</f>
        <v>📎 OUTROS</v>
      </c>
      <c r="D72" s="145" t="str">
        <f aca="false">IF(despesavariávelconsolidadoset[[#This Row],[TOTAL]]=0,"",IF(OR(despesavariávelconsolidadoset[[#This Row],[TOTAL]]=LARGE($AJ$60:$AJ$72,1),despesavariávelconsolidadoset[[#This Row],[TOTAL]]=LARGE($AJ$60:$AJ$72,2),despesavariávelconsolidadoset[[#This Row],[TOTAL]]=LARGE($AJ$60:$AJ$72,3),despesavariávelconsolidadoset[[#This Row],[TOTAL]]=LARGE($AJ$60:$AJ$72,4),despesavariávelconsolidadoset[[#This Row],[TOTAL]]=LARGE($AJ$60:$AJ$72,5)),DADOS!$I$8,""))</f>
        <v/>
      </c>
      <c r="E72" s="148" t="n">
        <f aca="false">SUMIFS(tabela_registros[VALOR],tabela_registros[MÊS],$AE$1,tabela_registros[DIA],settotal3059718395107119131[[#Headers],[1]],tabela_registros[REGISTRO],DADOS!$N$4,tabela_registros[TIPO],DADOS!$P$4,tabela_registros[CATEGORIA],despesavariávelconsolidadoset[[#This Row],[DESPESA VARIÁVEL]])</f>
        <v>0</v>
      </c>
      <c r="F72" s="119" t="n">
        <f aca="false">SUMIFS(tabela_registros[VALOR],tabela_registros[MÊS],$AE$1,tabela_registros[DIA],settotal3059718395107119131[[#Headers],[2]],tabela_registros[REGISTRO],DADOS!$N$4,tabela_registros[TIPO],DADOS!$P$4,tabela_registros[CATEGORIA],despesavariávelconsolidadoset[[#This Row],[DESPESA VARIÁVEL]])</f>
        <v>0</v>
      </c>
      <c r="G72" s="119" t="n">
        <f aca="false">SUMIFS(tabela_registros[VALOR],tabela_registros[MÊS],$AE$1,tabela_registros[DIA],settotal3059718395107119131[[#Headers],[3]],tabela_registros[REGISTRO],DADOS!$N$4,tabela_registros[TIPO],DADOS!$P$4,tabela_registros[CATEGORIA],despesavariávelconsolidadoset[[#This Row],[DESPESA VARIÁVEL]])</f>
        <v>0</v>
      </c>
      <c r="H72" s="119" t="n">
        <f aca="false">SUMIFS(tabela_registros[VALOR],tabela_registros[MÊS],$AE$1,tabela_registros[DIA],settotal3059718395107119131[[#Headers],[4]],tabela_registros[REGISTRO],DADOS!$N$4,tabela_registros[TIPO],DADOS!$P$4,tabela_registros[CATEGORIA],despesavariávelconsolidadoset[[#This Row],[DESPESA VARIÁVEL]])</f>
        <v>0</v>
      </c>
      <c r="I72" s="119" t="n">
        <f aca="false">SUMIFS(tabela_registros[VALOR],tabela_registros[MÊS],$AE$1,tabela_registros[DIA],settotal3059718395107119131[[#Headers],[5]],tabela_registros[REGISTRO],DADOS!$N$4,tabela_registros[TIPO],DADOS!$P$4,tabela_registros[CATEGORIA],despesavariávelconsolidadoset[[#This Row],[DESPESA VARIÁVEL]])</f>
        <v>0</v>
      </c>
      <c r="J72" s="119" t="n">
        <f aca="false">SUMIFS(tabela_registros[VALOR],tabela_registros[MÊS],$AE$1,tabela_registros[DIA],settotal3059718395107119131[[#Headers],[6]],tabela_registros[REGISTRO],DADOS!$N$4,tabela_registros[TIPO],DADOS!$P$4,tabela_registros[CATEGORIA],despesavariávelconsolidadoset[[#This Row],[DESPESA VARIÁVEL]])</f>
        <v>0</v>
      </c>
      <c r="K72" s="119" t="n">
        <f aca="false">SUMIFS(tabela_registros[VALOR],tabela_registros[MÊS],$AE$1,tabela_registros[DIA],settotal3059718395107119131[[#Headers],[7]],tabela_registros[REGISTRO],DADOS!$N$4,tabela_registros[TIPO],DADOS!$P$4,tabela_registros[CATEGORIA],despesavariávelconsolidadoset[[#This Row],[DESPESA VARIÁVEL]])</f>
        <v>0</v>
      </c>
      <c r="L72" s="119" t="n">
        <f aca="false">SUMIFS(tabela_registros[VALOR],tabela_registros[MÊS],$AE$1,tabela_registros[DIA],settotal3059718395107119131[[#Headers],[8]],tabela_registros[REGISTRO],DADOS!$N$4,tabela_registros[TIPO],DADOS!$P$4,tabela_registros[CATEGORIA],despesavariávelconsolidadoset[[#This Row],[DESPESA VARIÁVEL]])</f>
        <v>0</v>
      </c>
      <c r="M72" s="119" t="n">
        <f aca="false">SUMIFS(tabela_registros[VALOR],tabela_registros[MÊS],$AE$1,tabela_registros[DIA],settotal3059718395107119131[[#Headers],[9]],tabela_registros[REGISTRO],DADOS!$N$4,tabela_registros[TIPO],DADOS!$P$4,tabela_registros[CATEGORIA],despesavariávelconsolidadoset[[#This Row],[DESPESA VARIÁVEL]])</f>
        <v>0</v>
      </c>
      <c r="N72" s="119" t="n">
        <f aca="false">SUMIFS(tabela_registros[VALOR],tabela_registros[MÊS],$AE$1,tabela_registros[DIA],settotal3059718395107119131[[#Headers],[10]],tabela_registros[REGISTRO],DADOS!$N$4,tabela_registros[TIPO],DADOS!$P$4,tabela_registros[CATEGORIA],despesavariávelconsolidadoset[[#This Row],[DESPESA VARIÁVEL]])</f>
        <v>0</v>
      </c>
      <c r="O72" s="119" t="n">
        <f aca="false">SUMIFS(tabela_registros[VALOR],tabela_registros[MÊS],$AE$1,tabela_registros[DIA],settotal3059718395107119131[[#Headers],[11]],tabela_registros[REGISTRO],DADOS!$N$4,tabela_registros[TIPO],DADOS!$P$4,tabela_registros[CATEGORIA],despesavariávelconsolidadoset[[#This Row],[DESPESA VARIÁVEL]])</f>
        <v>0</v>
      </c>
      <c r="P72" s="119" t="n">
        <f aca="false">SUMIFS(tabela_registros[VALOR],tabela_registros[MÊS],$AE$1,tabela_registros[DIA],settotal3059718395107119131[[#Headers],[12]],tabela_registros[REGISTRO],DADOS!$N$4,tabela_registros[TIPO],DADOS!$P$4,tabela_registros[CATEGORIA],despesavariávelconsolidadoset[[#This Row],[DESPESA VARIÁVEL]])</f>
        <v>0</v>
      </c>
      <c r="Q72" s="119" t="n">
        <f aca="false">SUMIFS(tabela_registros[VALOR],tabela_registros[MÊS],$AE$1,tabela_registros[DIA],settotal3059718395107119131[[#Headers],[13]],tabela_registros[REGISTRO],DADOS!$N$4,tabela_registros[TIPO],DADOS!$P$4,tabela_registros[CATEGORIA],despesavariávelconsolidadoset[[#This Row],[DESPESA VARIÁVEL]])</f>
        <v>0</v>
      </c>
      <c r="R72" s="119" t="n">
        <f aca="false">SUMIFS(tabela_registros[VALOR],tabela_registros[MÊS],$AE$1,tabela_registros[DIA],settotal3059718395107119131[[#Headers],[14]],tabela_registros[REGISTRO],DADOS!$N$4,tabela_registros[TIPO],DADOS!$P$4,tabela_registros[CATEGORIA],despesavariávelconsolidadoset[[#This Row],[DESPESA VARIÁVEL]])</f>
        <v>0</v>
      </c>
      <c r="S72" s="119" t="n">
        <f aca="false">SUMIFS(tabela_registros[VALOR],tabela_registros[MÊS],$AE$1,tabela_registros[DIA],settotal3059718395107119131[[#Headers],[15]],tabela_registros[REGISTRO],DADOS!$N$4,tabela_registros[TIPO],DADOS!$P$4,tabela_registros[CATEGORIA],despesavariávelconsolidadoset[[#This Row],[DESPESA VARIÁVEL]])</f>
        <v>0</v>
      </c>
      <c r="T72" s="119" t="n">
        <f aca="false">SUMIFS(tabela_registros[VALOR],tabela_registros[MÊS],$AE$1,tabela_registros[DIA],settotal3059718395107119131[[#Headers],[16]],tabela_registros[REGISTRO],DADOS!$N$4,tabela_registros[TIPO],DADOS!$P$4,tabela_registros[CATEGORIA],despesavariávelconsolidadoset[[#This Row],[DESPESA VARIÁVEL]])</f>
        <v>0</v>
      </c>
      <c r="U72" s="119" t="n">
        <f aca="false">SUMIFS(tabela_registros[VALOR],tabela_registros[MÊS],$AE$1,tabela_registros[DIA],settotal3059718395107119131[[#Headers],[17]],tabela_registros[REGISTRO],DADOS!$N$4,tabela_registros[TIPO],DADOS!$P$4,tabela_registros[CATEGORIA],despesavariávelconsolidadoset[[#This Row],[DESPESA VARIÁVEL]])</f>
        <v>0</v>
      </c>
      <c r="V72" s="119" t="n">
        <f aca="false">SUMIFS(tabela_registros[VALOR],tabela_registros[MÊS],$AE$1,tabela_registros[DIA],settotal3059718395107119131[[#Headers],[18]],tabela_registros[REGISTRO],DADOS!$N$4,tabela_registros[TIPO],DADOS!$P$4,tabela_registros[CATEGORIA],despesavariávelconsolidadoset[[#This Row],[DESPESA VARIÁVEL]])</f>
        <v>0</v>
      </c>
      <c r="W72" s="119" t="n">
        <f aca="false">SUMIFS(tabela_registros[VALOR],tabela_registros[MÊS],$AE$1,tabela_registros[DIA],settotal3059718395107119131[[#Headers],[19]],tabela_registros[REGISTRO],DADOS!$N$4,tabela_registros[TIPO],DADOS!$P$4,tabela_registros[CATEGORIA],despesavariávelconsolidadoset[[#This Row],[DESPESA VARIÁVEL]])</f>
        <v>0</v>
      </c>
      <c r="X72" s="119" t="n">
        <f aca="false">SUMIFS(tabela_registros[VALOR],tabela_registros[MÊS],$AE$1,tabela_registros[DIA],settotal3059718395107119131[[#Headers],[20]],tabela_registros[REGISTRO],DADOS!$N$4,tabela_registros[TIPO],DADOS!$P$4,tabela_registros[CATEGORIA],despesavariávelconsolidadoset[[#This Row],[DESPESA VARIÁVEL]])</f>
        <v>0</v>
      </c>
      <c r="Y72" s="119" t="n">
        <f aca="false">SUMIFS(tabela_registros[VALOR],tabela_registros[MÊS],$AE$1,tabela_registros[DIA],settotal3059718395107119131[[#Headers],[21]],tabela_registros[REGISTRO],DADOS!$N$4,tabela_registros[TIPO],DADOS!$P$4,tabela_registros[CATEGORIA],despesavariávelconsolidadoset[[#This Row],[DESPESA VARIÁVEL]])</f>
        <v>0</v>
      </c>
      <c r="Z72" s="119" t="n">
        <f aca="false">SUMIFS(tabela_registros[VALOR],tabela_registros[MÊS],$AE$1,tabela_registros[DIA],settotal3059718395107119131[[#Headers],[22]],tabela_registros[REGISTRO],DADOS!$N$4,tabela_registros[TIPO],DADOS!$P$4,tabela_registros[CATEGORIA],despesavariávelconsolidadoset[[#This Row],[DESPESA VARIÁVEL]])</f>
        <v>0</v>
      </c>
      <c r="AA72" s="119" t="n">
        <f aca="false">SUMIFS(tabela_registros[VALOR],tabela_registros[MÊS],$AE$1,tabela_registros[DIA],settotal3059718395107119131[[#Headers],[23]],tabela_registros[REGISTRO],DADOS!$N$4,tabela_registros[TIPO],DADOS!$P$4,tabela_registros[CATEGORIA],despesavariávelconsolidadoset[[#This Row],[DESPESA VARIÁVEL]])</f>
        <v>0</v>
      </c>
      <c r="AB72" s="119" t="n">
        <f aca="false">SUMIFS(tabela_registros[VALOR],tabela_registros[MÊS],$AE$1,tabela_registros[DIA],settotal3059718395107119131[[#Headers],[24]],tabela_registros[REGISTRO],DADOS!$N$4,tabela_registros[TIPO],DADOS!$P$4,tabela_registros[CATEGORIA],despesavariávelconsolidadoset[[#This Row],[DESPESA VARIÁVEL]])</f>
        <v>0</v>
      </c>
      <c r="AC72" s="119" t="n">
        <f aca="false">SUMIFS(tabela_registros[VALOR],tabela_registros[MÊS],$AE$1,tabela_registros[DIA],settotal3059718395107119131[[#Headers],[25]],tabela_registros[REGISTRO],DADOS!$N$4,tabela_registros[TIPO],DADOS!$P$4,tabela_registros[CATEGORIA],despesavariávelconsolidadoset[[#This Row],[DESPESA VARIÁVEL]])</f>
        <v>0</v>
      </c>
      <c r="AD72" s="119" t="n">
        <f aca="false">SUMIFS(tabela_registros[VALOR],tabela_registros[MÊS],$AE$1,tabela_registros[DIA],settotal3059718395107119131[[#Headers],[26]],tabela_registros[REGISTRO],DADOS!$N$4,tabela_registros[TIPO],DADOS!$P$4,tabela_registros[CATEGORIA],despesavariávelconsolidadoset[[#This Row],[DESPESA VARIÁVEL]])</f>
        <v>0</v>
      </c>
      <c r="AE72" s="119" t="n">
        <f aca="false">SUMIFS(tabela_registros[VALOR],tabela_registros[MÊS],$AE$1,tabela_registros[DIA],settotal3059718395107119131[[#Headers],[27]],tabela_registros[REGISTRO],DADOS!$N$4,tabela_registros[TIPO],DADOS!$P$4,tabela_registros[CATEGORIA],despesavariávelconsolidadoset[[#This Row],[DESPESA VARIÁVEL]])</f>
        <v>0</v>
      </c>
      <c r="AF72" s="119" t="n">
        <f aca="false">SUMIFS(tabela_registros[VALOR],tabela_registros[MÊS],$AE$1,tabela_registros[DIA],settotal3059718395107119131[[#Headers],[28]],tabela_registros[REGISTRO],DADOS!$N$4,tabela_registros[TIPO],DADOS!$P$4,tabela_registros[CATEGORIA],despesavariávelconsolidadoset[[#This Row],[DESPESA VARIÁVEL]])</f>
        <v>0</v>
      </c>
      <c r="AG72" s="119" t="n">
        <f aca="false">SUMIFS(tabela_registros[VALOR],tabela_registros[MÊS],$AE$1,tabela_registros[DIA],settotal3059718395107119131[[#Headers],[29]],tabela_registros[REGISTRO],DADOS!$N$4,tabela_registros[TIPO],DADOS!$P$4,tabela_registros[CATEGORIA],despesavariávelconsolidadoset[[#This Row],[DESPESA VARIÁVEL]])</f>
        <v>0</v>
      </c>
      <c r="AH72" s="119" t="n">
        <f aca="false">SUMIFS(tabela_registros[VALOR],tabela_registros[MÊS],$AE$1,tabela_registros[DIA],settotal3059718395107119131[[#Headers],[30]],tabela_registros[REGISTRO],DADOS!$N$4,tabela_registros[TIPO],DADOS!$P$4,tabela_registros[CATEGORIA],despesavariávelconsolidadoset[[#This Row],[DESPESA VARIÁVEL]])</f>
        <v>0</v>
      </c>
      <c r="AI72" s="218" t="n">
        <f aca="false">SUMIFS(tabela_registros[VALOR],tabela_registros[MÊS],$AE$1,tabela_registros[DIA],settotal3059718395107119131[[#Headers],[31]],tabela_registros[REGISTRO],DADOS!$N$4,tabela_registros[TIPO],DADOS!$P$4,tabela_registros[CATEGORIA],despesavariávelconsolidadoset[[#This Row],[DESPESA VARIÁVEL]])</f>
        <v>0</v>
      </c>
      <c r="AJ72" s="149" t="n">
        <f aca="false">SUM(despesavariávelconsolidadoset[[#This Row],[1]:[31]])</f>
        <v>0</v>
      </c>
      <c r="AK72" s="143"/>
    </row>
    <row r="73" s="122" customFormat="true" ht="21" hidden="false" customHeight="true" outlineLevel="0" collapsed="false">
      <c r="B73" s="152"/>
      <c r="C73" s="153" t="s">
        <v>2</v>
      </c>
      <c r="D73" s="154" t="str">
        <f aca="false">IF(despesavariávelconsolidadoset[[#This Row],[TOTAL]]=0,"",IF(OR(despesavariávelconsolidadoset[[#This Row],[TOTAL]]=SMALL(despesavariávelconsolidadoset[TOTAL],1),despesavariávelconsolidadoset[[#This Row],[TOTAL]]=SMALL(despesavariávelconsolidadoset[TOTAL],2),despesavariávelconsolidadoset[[#This Row],[TOTAL]]=SMALL(despesavariávelconsolidadoset[TOTAL],3),despesavariávelconsolidadoset[[#This Row],[TOTAL]]=SMALL(despesavariávelconsolidadoset[TOTAL],4),despesavariávelconsolidadoset[[#This Row],[TOTAL]]=SMALL(despesavariávelconsolidadoset[TOTAL],5)),DADOS!$I$8,""))</f>
        <v/>
      </c>
      <c r="E73" s="155" t="n">
        <f aca="false">SUM(E60:E72)</f>
        <v>0</v>
      </c>
      <c r="F73" s="156" t="n">
        <f aca="false">SUM(F60:F72)+despesavariávelconsolidadoset[[#This Row],[1]]</f>
        <v>0</v>
      </c>
      <c r="G73" s="156" t="n">
        <f aca="false">SUM(G60:G72)+despesavariávelconsolidadoset[[#This Row],[2]]</f>
        <v>0</v>
      </c>
      <c r="H73" s="156" t="n">
        <f aca="false">SUM(H60:H72)+despesavariávelconsolidadoset[[#This Row],[3]]</f>
        <v>0</v>
      </c>
      <c r="I73" s="156" t="n">
        <f aca="false">SUM(I60:I72)+despesavariávelconsolidadoset[[#This Row],[4]]</f>
        <v>0</v>
      </c>
      <c r="J73" s="156" t="n">
        <f aca="false">SUM(J60:J72)+despesavariávelconsolidadoset[[#This Row],[5]]</f>
        <v>0</v>
      </c>
      <c r="K73" s="156" t="n">
        <f aca="false">SUM(K60:K72)+despesavariávelconsolidadoset[[#This Row],[6]]</f>
        <v>0</v>
      </c>
      <c r="L73" s="156" t="n">
        <f aca="false">SUM(L60:L72)+despesavariávelconsolidadoset[[#This Row],[7]]</f>
        <v>0</v>
      </c>
      <c r="M73" s="156" t="n">
        <f aca="false">SUM(M60:M72)+despesavariávelconsolidadoset[[#This Row],[8]]</f>
        <v>0</v>
      </c>
      <c r="N73" s="156" t="n">
        <f aca="false">SUM(N60:N72)+despesavariávelconsolidadoset[[#This Row],[9]]</f>
        <v>0</v>
      </c>
      <c r="O73" s="156" t="n">
        <f aca="false">SUM(O60:O72)+despesavariávelconsolidadoset[[#This Row],[10]]</f>
        <v>0</v>
      </c>
      <c r="P73" s="156" t="n">
        <f aca="false">SUM(P60:P72)+despesavariávelconsolidadoset[[#This Row],[11]]</f>
        <v>0</v>
      </c>
      <c r="Q73" s="156" t="n">
        <f aca="false">SUM(Q60:Q72)+despesavariávelconsolidadoset[[#This Row],[12]]</f>
        <v>0</v>
      </c>
      <c r="R73" s="156" t="n">
        <f aca="false">SUM(R60:R72)+despesavariávelconsolidadoset[[#This Row],[13]]</f>
        <v>0</v>
      </c>
      <c r="S73" s="156" t="n">
        <f aca="false">SUM(S60:S72)+despesavariávelconsolidadoset[[#This Row],[14]]</f>
        <v>0</v>
      </c>
      <c r="T73" s="156" t="n">
        <f aca="false">SUM(T60:T72)+despesavariávelconsolidadoset[[#This Row],[15]]</f>
        <v>0</v>
      </c>
      <c r="U73" s="156" t="n">
        <f aca="false">SUM(U60:U72)+despesavariávelconsolidadoset[[#This Row],[16]]</f>
        <v>0</v>
      </c>
      <c r="V73" s="156" t="n">
        <f aca="false">SUM(V60:V72)+despesavariávelconsolidadoset[[#This Row],[17]]</f>
        <v>0</v>
      </c>
      <c r="W73" s="156" t="n">
        <f aca="false">SUM(W60:W72)+despesavariávelconsolidadoset[[#This Row],[18]]</f>
        <v>0</v>
      </c>
      <c r="X73" s="156" t="n">
        <f aca="false">SUM(X60:X72)+despesavariávelconsolidadoset[[#This Row],[19]]</f>
        <v>0</v>
      </c>
      <c r="Y73" s="156" t="n">
        <f aca="false">SUM(Y60:Y72)+despesavariávelconsolidadoset[[#This Row],[20]]</f>
        <v>0</v>
      </c>
      <c r="Z73" s="156" t="n">
        <f aca="false">SUM(Z60:Z72)+despesavariávelconsolidadoset[[#This Row],[21]]</f>
        <v>0</v>
      </c>
      <c r="AA73" s="156" t="n">
        <f aca="false">SUM(AA60:AA72)+despesavariávelconsolidadoset[[#This Row],[22]]</f>
        <v>0</v>
      </c>
      <c r="AB73" s="156" t="n">
        <f aca="false">SUM(AB60:AB72)+despesavariávelconsolidadoset[[#This Row],[23]]</f>
        <v>0</v>
      </c>
      <c r="AC73" s="156" t="n">
        <f aca="false">SUM(AC60:AC72)+despesavariávelconsolidadoset[[#This Row],[24]]</f>
        <v>0</v>
      </c>
      <c r="AD73" s="156" t="n">
        <f aca="false">SUM(AD60:AD72)+despesavariávelconsolidadoset[[#This Row],[25]]</f>
        <v>0</v>
      </c>
      <c r="AE73" s="156" t="n">
        <f aca="false">SUM(AE60:AE72)+despesavariávelconsolidadoset[[#This Row],[26]]</f>
        <v>0</v>
      </c>
      <c r="AF73" s="156" t="n">
        <f aca="false">SUM(AF60:AF72)+despesavariávelconsolidadoset[[#This Row],[27]]</f>
        <v>0</v>
      </c>
      <c r="AG73" s="156" t="n">
        <f aca="false">SUM(AG60:AG72)+despesavariávelconsolidadoset[[#This Row],[28]]</f>
        <v>0</v>
      </c>
      <c r="AH73" s="156" t="n">
        <f aca="false">SUM(AH60:AH72)+despesavariávelconsolidadoset[[#This Row],[29]]</f>
        <v>0</v>
      </c>
      <c r="AI73" s="223" t="n">
        <f aca="false">SUM(AI60:AI72)+despesavariávelconsolidadoset[[#This Row],[30]]</f>
        <v>0</v>
      </c>
      <c r="AJ73" s="157" t="n">
        <f aca="false">despesavariávelconsolidadoset[[#This Row],[31]]</f>
        <v>0</v>
      </c>
      <c r="AK73" s="158"/>
    </row>
    <row r="74" customFormat="false" ht="6.75" hidden="false" customHeight="true" outlineLevel="0" collapsed="false">
      <c r="B74" s="97"/>
      <c r="C74" s="159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229"/>
      <c r="AJ74" s="97"/>
      <c r="AK74" s="244"/>
    </row>
    <row r="75" s="78" customFormat="true" ht="12.75" hidden="false" customHeight="false" outlineLevel="0" collapsed="false">
      <c r="E75" s="100"/>
    </row>
    <row r="76" s="78" customFormat="true" ht="12" hidden="false" customHeight="false" outlineLevel="0" collapsed="false"/>
    <row r="77" s="78" customFormat="true" ht="12" hidden="false" customHeight="false" outlineLevel="0" collapsed="false"/>
    <row r="78" customFormat="false" ht="39.75" hidden="false" customHeight="true" outlineLevel="0" collapsed="false">
      <c r="C78" s="101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3" t="s">
        <v>2</v>
      </c>
    </row>
    <row r="79" s="78" customFormat="true" ht="12.75" hidden="false" customHeight="false" outlineLevel="0" collapsed="false">
      <c r="B79" s="161"/>
      <c r="AJ79" s="106" t="s">
        <v>64</v>
      </c>
    </row>
    <row r="80" customFormat="false" ht="6.75" hidden="false" customHeight="true" outlineLevel="0" collapsed="false">
      <c r="B80" s="86"/>
      <c r="C80" s="162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233"/>
      <c r="AK80" s="139"/>
    </row>
    <row r="81" customFormat="false" ht="13.5" hidden="true" customHeight="false" outlineLevel="0" collapsed="false">
      <c r="B81" s="86"/>
      <c r="C81" s="109" t="s">
        <v>68</v>
      </c>
      <c r="D81" s="110" t="s">
        <v>69</v>
      </c>
      <c r="E81" s="110" t="s">
        <v>30</v>
      </c>
      <c r="F81" s="110" t="s">
        <v>31</v>
      </c>
      <c r="G81" s="110" t="s">
        <v>32</v>
      </c>
      <c r="H81" s="110" t="s">
        <v>33</v>
      </c>
      <c r="I81" s="110" t="s">
        <v>34</v>
      </c>
      <c r="J81" s="110" t="s">
        <v>35</v>
      </c>
      <c r="K81" s="110" t="s">
        <v>36</v>
      </c>
      <c r="L81" s="110" t="s">
        <v>37</v>
      </c>
      <c r="M81" s="110" t="s">
        <v>38</v>
      </c>
      <c r="N81" s="110" t="s">
        <v>39</v>
      </c>
      <c r="O81" s="110" t="s">
        <v>40</v>
      </c>
      <c r="P81" s="110" t="s">
        <v>41</v>
      </c>
      <c r="Q81" s="110" t="s">
        <v>81</v>
      </c>
      <c r="R81" s="110" t="s">
        <v>82</v>
      </c>
      <c r="S81" s="110" t="s">
        <v>83</v>
      </c>
      <c r="T81" s="110" t="s">
        <v>84</v>
      </c>
      <c r="U81" s="110" t="s">
        <v>85</v>
      </c>
      <c r="V81" s="110" t="s">
        <v>86</v>
      </c>
      <c r="W81" s="110" t="s">
        <v>87</v>
      </c>
      <c r="X81" s="110" t="s">
        <v>88</v>
      </c>
      <c r="Y81" s="110" t="s">
        <v>89</v>
      </c>
      <c r="Z81" s="110" t="s">
        <v>90</v>
      </c>
      <c r="AA81" s="110" t="s">
        <v>91</v>
      </c>
      <c r="AB81" s="110" t="s">
        <v>92</v>
      </c>
      <c r="AC81" s="110" t="s">
        <v>93</v>
      </c>
      <c r="AD81" s="110" t="s">
        <v>94</v>
      </c>
      <c r="AE81" s="110" t="s">
        <v>95</v>
      </c>
      <c r="AF81" s="110" t="s">
        <v>96</v>
      </c>
      <c r="AG81" s="110" t="s">
        <v>97</v>
      </c>
      <c r="AH81" s="110" t="s">
        <v>98</v>
      </c>
      <c r="AI81" s="110" t="s">
        <v>99</v>
      </c>
      <c r="AJ81" s="111" t="s">
        <v>70</v>
      </c>
      <c r="AK81" s="86"/>
    </row>
    <row r="82" customFormat="false" ht="19.5" hidden="false" customHeight="true" outlineLevel="0" collapsed="false">
      <c r="B82" s="143"/>
      <c r="C82" s="144" t="str">
        <f aca="false">DADOS!$X$3</f>
        <v>💵 ALUGUEL</v>
      </c>
      <c r="D82" s="145" t="str">
        <f aca="false">IF(receitasfixasconsolidadoset[[#This Row],[TOTAL (R$)]]=0,"",IF(OR(receitasfixasconsolidadoset[[#This Row],[TOTAL (R$)]]=LARGE($AJ$82:$AJ$86,1),receitasfixasconsolidadoset[[#This Row],[TOTAL (R$)]]=LARGE($AJ$82:$AJ$86,2)),DADOS!$I$9,""))</f>
        <v/>
      </c>
      <c r="E82" s="146" t="n">
        <f aca="false">SUMIFS(tabela_registros[VALOR],tabela_registros[MÊS],$AE$1,tabela_registros[DIA],receitasfixasconsolidadoset[[#Headers],[1]],tabela_registros[REGISTRO],DADOS!$N$3,tabela_registros[TIPO],DADOS!$V$3,tabela_registros[CATEGORIA],receitasfixasconsolidadoset[[#This Row],[ATUAL]])</f>
        <v>0</v>
      </c>
      <c r="F82" s="114" t="n">
        <f aca="false">SUMIFS(tabela_registros[VALOR],tabela_registros[MÊS],$AE$1,tabela_registros[DIA],receitasfixasconsolidadoset[[#Headers],[2]],tabela_registros[REGISTRO],DADOS!$N$3,tabela_registros[TIPO],DADOS!$V$3,tabela_registros[CATEGORIA],receitasfixasconsolidadoset[[#This Row],[ATUAL]])</f>
        <v>0</v>
      </c>
      <c r="G82" s="114" t="n">
        <f aca="false">SUMIFS(tabela_registros[VALOR],tabela_registros[MÊS],$AE$1,tabela_registros[DIA],receitasfixasconsolidadoset[[#Headers],[3]],tabela_registros[REGISTRO],DADOS!$N$3,tabela_registros[TIPO],DADOS!$V$3,tabela_registros[CATEGORIA],receitasfixasconsolidadoset[[#This Row],[ATUAL]])</f>
        <v>0</v>
      </c>
      <c r="H82" s="114" t="n">
        <f aca="false">SUMIFS(tabela_registros[VALOR],tabela_registros[MÊS],$AE$1,tabela_registros[DIA],receitasfixasconsolidadoset[[#Headers],[4]],tabela_registros[REGISTRO],DADOS!$N$3,tabela_registros[TIPO],DADOS!$V$3,tabela_registros[CATEGORIA],receitasfixasconsolidadoset[[#This Row],[ATUAL]])</f>
        <v>0</v>
      </c>
      <c r="I82" s="114" t="n">
        <f aca="false">SUMIFS(tabela_registros[VALOR],tabela_registros[MÊS],$AE$1,tabela_registros[DIA],receitasfixasconsolidadoset[[#Headers],[5]],tabela_registros[REGISTRO],DADOS!$N$3,tabela_registros[TIPO],DADOS!$V$3,tabela_registros[CATEGORIA],receitasfixasconsolidadoset[[#This Row],[ATUAL]])</f>
        <v>0</v>
      </c>
      <c r="J82" s="114" t="n">
        <f aca="false">SUMIFS(tabela_registros[VALOR],tabela_registros[MÊS],$AE$1,tabela_registros[DIA],receitasfixasconsolidadoset[[#Headers],[6]],tabela_registros[REGISTRO],DADOS!$N$3,tabela_registros[TIPO],DADOS!$V$3,tabela_registros[CATEGORIA],receitasfixasconsolidadoset[[#This Row],[ATUAL]])</f>
        <v>0</v>
      </c>
      <c r="K82" s="114" t="n">
        <f aca="false">SUMIFS(tabela_registros[VALOR],tabela_registros[MÊS],$AE$1,tabela_registros[DIA],receitasfixasconsolidadoset[[#Headers],[7]],tabela_registros[REGISTRO],DADOS!$N$3,tabela_registros[TIPO],DADOS!$V$3,tabela_registros[CATEGORIA],receitasfixasconsolidadoset[[#This Row],[ATUAL]])</f>
        <v>0</v>
      </c>
      <c r="L82" s="114" t="n">
        <f aca="false">SUMIFS(tabela_registros[VALOR],tabela_registros[MÊS],$AE$1,tabela_registros[DIA],receitasfixasconsolidadoset[[#Headers],[8]],tabela_registros[REGISTRO],DADOS!$N$3,tabela_registros[TIPO],DADOS!$V$3,tabela_registros[CATEGORIA],receitasfixasconsolidadoset[[#This Row],[ATUAL]])</f>
        <v>0</v>
      </c>
      <c r="M82" s="114" t="n">
        <f aca="false">SUMIFS(tabela_registros[VALOR],tabela_registros[MÊS],$AE$1,tabela_registros[DIA],receitasfixasconsolidadoset[[#Headers],[9]],tabela_registros[REGISTRO],DADOS!$N$3,tabela_registros[TIPO],DADOS!$V$3,tabela_registros[CATEGORIA],receitasfixasconsolidadoset[[#This Row],[ATUAL]])</f>
        <v>0</v>
      </c>
      <c r="N82" s="114" t="n">
        <f aca="false">SUMIFS(tabela_registros[VALOR],tabela_registros[MÊS],$AE$1,tabela_registros[DIA],receitasfixasconsolidadoset[[#Headers],[10]],tabela_registros[REGISTRO],DADOS!$N$3,tabela_registros[TIPO],DADOS!$V$3,tabela_registros[CATEGORIA],receitasfixasconsolidadoset[[#This Row],[ATUAL]])</f>
        <v>0</v>
      </c>
      <c r="O82" s="114" t="n">
        <f aca="false">SUMIFS(tabela_registros[VALOR],tabela_registros[MÊS],$AE$1,tabela_registros[DIA],receitasfixasconsolidadoset[[#Headers],[11]],tabela_registros[REGISTRO],DADOS!$N$3,tabela_registros[TIPO],DADOS!$V$3,tabela_registros[CATEGORIA],receitasfixasconsolidadoset[[#This Row],[ATUAL]])</f>
        <v>0</v>
      </c>
      <c r="P82" s="114" t="n">
        <f aca="false">SUMIFS(tabela_registros[VALOR],tabela_registros[MÊS],$AE$1,tabela_registros[DIA],receitasfixasconsolidadoset[[#Headers],[12]],tabela_registros[REGISTRO],DADOS!$N$3,tabela_registros[TIPO],DADOS!$V$3,tabela_registros[CATEGORIA],receitasfixasconsolidadoset[[#This Row],[ATUAL]])</f>
        <v>0</v>
      </c>
      <c r="Q82" s="114" t="n">
        <f aca="false">SUMIFS(tabela_registros[VALOR],tabela_registros[MÊS],$AE$1,tabela_registros[DIA],receitasfixasconsolidadoset[[#Headers],[13]],tabela_registros[REGISTRO],DADOS!$N$3,tabela_registros[TIPO],DADOS!$V$3,tabela_registros[CATEGORIA],receitasfixasconsolidadoset[[#This Row],[ATUAL]])</f>
        <v>0</v>
      </c>
      <c r="R82" s="114" t="n">
        <f aca="false">SUMIFS(tabela_registros[VALOR],tabela_registros[MÊS],$AE$1,tabela_registros[DIA],receitasfixasconsolidadoset[[#Headers],[14]],tabela_registros[REGISTRO],DADOS!$N$3,tabela_registros[TIPO],DADOS!$V$3,tabela_registros[CATEGORIA],receitasfixasconsolidadoset[[#This Row],[ATUAL]])</f>
        <v>0</v>
      </c>
      <c r="S82" s="114" t="n">
        <f aca="false">SUMIFS(tabela_registros[VALOR],tabela_registros[MÊS],$AE$1,tabela_registros[DIA],receitasfixasconsolidadoset[[#Headers],[15]],tabela_registros[REGISTRO],DADOS!$N$3,tabela_registros[TIPO],DADOS!$V$3,tabela_registros[CATEGORIA],receitasfixasconsolidadoset[[#This Row],[ATUAL]])</f>
        <v>0</v>
      </c>
      <c r="T82" s="114" t="n">
        <f aca="false">SUMIFS(tabela_registros[VALOR],tabela_registros[MÊS],$AE$1,tabela_registros[DIA],receitasfixasconsolidadoset[[#Headers],[16]],tabela_registros[REGISTRO],DADOS!$N$3,tabela_registros[TIPO],DADOS!$V$3,tabela_registros[CATEGORIA],receitasfixasconsolidadoset[[#This Row],[ATUAL]])</f>
        <v>0</v>
      </c>
      <c r="U82" s="114" t="n">
        <f aca="false">SUMIFS(tabela_registros[VALOR],tabela_registros[MÊS],$AE$1,tabela_registros[DIA],receitasfixasconsolidadoset[[#Headers],[17]],tabela_registros[REGISTRO],DADOS!$N$3,tabela_registros[TIPO],DADOS!$V$3,tabela_registros[CATEGORIA],receitasfixasconsolidadoset[[#This Row],[ATUAL]])</f>
        <v>0</v>
      </c>
      <c r="V82" s="114" t="n">
        <f aca="false">SUMIFS(tabela_registros[VALOR],tabela_registros[MÊS],$AE$1,tabela_registros[DIA],receitasfixasconsolidadoset[[#Headers],[18]],tabela_registros[REGISTRO],DADOS!$N$3,tabela_registros[TIPO],DADOS!$V$3,tabela_registros[CATEGORIA],receitasfixasconsolidadoset[[#This Row],[ATUAL]])</f>
        <v>0</v>
      </c>
      <c r="W82" s="114" t="n">
        <f aca="false">SUMIFS(tabela_registros[VALOR],tabela_registros[MÊS],$AE$1,tabela_registros[DIA],receitasfixasconsolidadoset[[#Headers],[19]],tabela_registros[REGISTRO],DADOS!$N$3,tabela_registros[TIPO],DADOS!$V$3,tabela_registros[CATEGORIA],receitasfixasconsolidadoset[[#This Row],[ATUAL]])</f>
        <v>0</v>
      </c>
      <c r="X82" s="114" t="n">
        <f aca="false">SUMIFS(tabela_registros[VALOR],tabela_registros[MÊS],$AE$1,tabela_registros[DIA],receitasfixasconsolidadoset[[#Headers],[20]],tabela_registros[REGISTRO],DADOS!$N$3,tabela_registros[TIPO],DADOS!$V$3,tabela_registros[CATEGORIA],receitasfixasconsolidadoset[[#This Row],[ATUAL]])</f>
        <v>0</v>
      </c>
      <c r="Y82" s="114" t="n">
        <f aca="false">SUMIFS(tabela_registros[VALOR],tabela_registros[MÊS],$AE$1,tabela_registros[DIA],receitasfixasconsolidadoset[[#Headers],[21]],tabela_registros[REGISTRO],DADOS!$N$3,tabela_registros[TIPO],DADOS!$V$3,tabela_registros[CATEGORIA],receitasfixasconsolidadoset[[#This Row],[ATUAL]])</f>
        <v>0</v>
      </c>
      <c r="Z82" s="114" t="n">
        <f aca="false">SUMIFS(tabela_registros[VALOR],tabela_registros[MÊS],$AE$1,tabela_registros[DIA],receitasfixasconsolidadoset[[#Headers],[22]],tabela_registros[REGISTRO],DADOS!$N$3,tabela_registros[TIPO],DADOS!$V$3,tabela_registros[CATEGORIA],receitasfixasconsolidadoset[[#This Row],[ATUAL]])</f>
        <v>0</v>
      </c>
      <c r="AA82" s="114" t="n">
        <f aca="false">SUMIFS(tabela_registros[VALOR],tabela_registros[MÊS],$AE$1,tabela_registros[DIA],receitasfixasconsolidadoset[[#Headers],[23]],tabela_registros[REGISTRO],DADOS!$N$3,tabela_registros[TIPO],DADOS!$V$3,tabela_registros[CATEGORIA],receitasfixasconsolidadoset[[#This Row],[ATUAL]])</f>
        <v>0</v>
      </c>
      <c r="AB82" s="114" t="n">
        <f aca="false">SUMIFS(tabela_registros[VALOR],tabela_registros[MÊS],$AE$1,tabela_registros[DIA],receitasfixasconsolidadoset[[#Headers],[24]],tabela_registros[REGISTRO],DADOS!$N$3,tabela_registros[TIPO],DADOS!$V$3,tabela_registros[CATEGORIA],receitasfixasconsolidadoset[[#This Row],[ATUAL]])</f>
        <v>0</v>
      </c>
      <c r="AC82" s="114" t="n">
        <f aca="false">SUMIFS(tabela_registros[VALOR],tabela_registros[MÊS],$AE$1,tabela_registros[DIA],receitasfixasconsolidadoset[[#Headers],[25]],tabela_registros[REGISTRO],DADOS!$N$3,tabela_registros[TIPO],DADOS!$V$3,tabela_registros[CATEGORIA],receitasfixasconsolidadoset[[#This Row],[ATUAL]])</f>
        <v>0</v>
      </c>
      <c r="AD82" s="114" t="n">
        <f aca="false">SUMIFS(tabela_registros[VALOR],tabela_registros[MÊS],$AE$1,tabela_registros[DIA],receitasfixasconsolidadoset[[#Headers],[26]],tabela_registros[REGISTRO],DADOS!$N$3,tabela_registros[TIPO],DADOS!$V$3,tabela_registros[CATEGORIA],receitasfixasconsolidadoset[[#This Row],[ATUAL]])</f>
        <v>0</v>
      </c>
      <c r="AE82" s="114" t="n">
        <f aca="false">SUMIFS(tabela_registros[VALOR],tabela_registros[MÊS],$AE$1,tabela_registros[DIA],receitasfixasconsolidadoset[[#Headers],[27]],tabela_registros[REGISTRO],DADOS!$N$3,tabela_registros[TIPO],DADOS!$V$3,tabela_registros[CATEGORIA],receitasfixasconsolidadoset[[#This Row],[ATUAL]])</f>
        <v>0</v>
      </c>
      <c r="AF82" s="114" t="n">
        <f aca="false">SUMIFS(tabela_registros[VALOR],tabela_registros[MÊS],$AE$1,tabela_registros[DIA],receitasfixasconsolidadoset[[#Headers],[28]],tabela_registros[REGISTRO],DADOS!$N$3,tabela_registros[TIPO],DADOS!$V$3,tabela_registros[CATEGORIA],receitasfixasconsolidadoset[[#This Row],[ATUAL]])</f>
        <v>0</v>
      </c>
      <c r="AG82" s="114" t="n">
        <f aca="false">SUMIFS(tabela_registros[VALOR],tabela_registros[MÊS],$AE$1,tabela_registros[DIA],receitasfixasconsolidadoset[[#Headers],[29]],tabela_registros[REGISTRO],DADOS!$N$3,tabela_registros[TIPO],DADOS!$V$3,tabela_registros[CATEGORIA],receitasfixasconsolidadoset[[#This Row],[ATUAL]])</f>
        <v>0</v>
      </c>
      <c r="AH82" s="114" t="n">
        <f aca="false">SUMIFS(tabela_registros[VALOR],tabela_registros[MÊS],$AE$1,tabela_registros[DIA],receitasfixasconsolidadoset[[#Headers],[30]],tabela_registros[REGISTRO],DADOS!$N$3,tabela_registros[TIPO],DADOS!$V$3,tabela_registros[CATEGORIA],receitasfixasconsolidadoset[[#This Row],[ATUAL]])</f>
        <v>0</v>
      </c>
      <c r="AI82" s="216" t="n">
        <f aca="false">SUMIFS(tabela_registros[VALOR],tabela_registros[MÊS],$AE$1,tabela_registros[DIA],receitasfixasconsolidadoset[[#Headers],[31]],tabela_registros[REGISTRO],DADOS!$N$3,tabela_registros[TIPO],DADOS!$V$3,tabela_registros[CATEGORIA],receitasfixasconsolidadoset[[#This Row],[ATUAL]])</f>
        <v>0</v>
      </c>
      <c r="AJ82" s="149" t="n">
        <f aca="false">SUM(receitasfixasconsolidadoset[[#This Row],[1]:[31]])</f>
        <v>0</v>
      </c>
      <c r="AK82" s="165"/>
    </row>
    <row r="83" customFormat="false" ht="19.5" hidden="false" customHeight="true" outlineLevel="0" collapsed="false">
      <c r="B83" s="143"/>
      <c r="C83" s="144" t="str">
        <f aca="false">DADOS!$X$4</f>
        <v>💸APOSENTADORIA</v>
      </c>
      <c r="D83" s="145" t="str">
        <f aca="false">IF(receitasfixasconsolidadoset[[#This Row],[TOTAL (R$)]]=0,"",IF(OR(receitasfixasconsolidadoset[[#This Row],[TOTAL (R$)]]=LARGE($AJ$82:$AJ$86,1),receitasfixasconsolidadoset[[#This Row],[TOTAL (R$)]]=LARGE($AJ$82:$AJ$86,2)),DADOS!$I$9,""))</f>
        <v/>
      </c>
      <c r="E83" s="148" t="n">
        <f aca="false">SUMIFS(tabela_registros[VALOR],tabela_registros[MÊS],$AE$1,tabela_registros[DIA],receitasfixasconsolidadoset[[#Headers],[1]],tabela_registros[REGISTRO],DADOS!$N$3,tabela_registros[TIPO],DADOS!$V$3,tabela_registros[CATEGORIA],receitasfixasconsolidadoset[[#This Row],[ATUAL]])</f>
        <v>0</v>
      </c>
      <c r="F83" s="119" t="n">
        <f aca="false">SUMIFS(tabela_registros[VALOR],tabela_registros[MÊS],$AE$1,tabela_registros[DIA],receitasfixasconsolidadoset[[#Headers],[2]],tabela_registros[REGISTRO],DADOS!$N$3,tabela_registros[TIPO],DADOS!$V$3,tabela_registros[CATEGORIA],receitasfixasconsolidadoset[[#This Row],[ATUAL]])</f>
        <v>0</v>
      </c>
      <c r="G83" s="119" t="n">
        <f aca="false">SUMIFS(tabela_registros[VALOR],tabela_registros[MÊS],$AE$1,tabela_registros[DIA],receitasfixasconsolidadoset[[#Headers],[3]],tabela_registros[REGISTRO],DADOS!$N$3,tabela_registros[TIPO],DADOS!$V$3,tabela_registros[CATEGORIA],receitasfixasconsolidadoset[[#This Row],[ATUAL]])</f>
        <v>0</v>
      </c>
      <c r="H83" s="119" t="n">
        <f aca="false">SUMIFS(tabela_registros[VALOR],tabela_registros[MÊS],$AE$1,tabela_registros[DIA],receitasfixasconsolidadoset[[#Headers],[4]],tabela_registros[REGISTRO],DADOS!$N$3,tabela_registros[TIPO],DADOS!$V$3,tabela_registros[CATEGORIA],receitasfixasconsolidadoset[[#This Row],[ATUAL]])</f>
        <v>0</v>
      </c>
      <c r="I83" s="119" t="n">
        <f aca="false">SUMIFS(tabela_registros[VALOR],tabela_registros[MÊS],$AE$1,tabela_registros[DIA],receitasfixasconsolidadoset[[#Headers],[5]],tabela_registros[REGISTRO],DADOS!$N$3,tabela_registros[TIPO],DADOS!$V$3,tabela_registros[CATEGORIA],receitasfixasconsolidadoset[[#This Row],[ATUAL]])</f>
        <v>0</v>
      </c>
      <c r="J83" s="119" t="n">
        <f aca="false">SUMIFS(tabela_registros[VALOR],tabela_registros[MÊS],$AE$1,tabela_registros[DIA],receitasfixasconsolidadoset[[#Headers],[6]],tabela_registros[REGISTRO],DADOS!$N$3,tabela_registros[TIPO],DADOS!$V$3,tabela_registros[CATEGORIA],receitasfixasconsolidadoset[[#This Row],[ATUAL]])</f>
        <v>0</v>
      </c>
      <c r="K83" s="119" t="n">
        <f aca="false">SUMIFS(tabela_registros[VALOR],tabela_registros[MÊS],$AE$1,tabela_registros[DIA],receitasfixasconsolidadoset[[#Headers],[7]],tabela_registros[REGISTRO],DADOS!$N$3,tabela_registros[TIPO],DADOS!$V$3,tabela_registros[CATEGORIA],receitasfixasconsolidadoset[[#This Row],[ATUAL]])</f>
        <v>0</v>
      </c>
      <c r="L83" s="119" t="n">
        <f aca="false">SUMIFS(tabela_registros[VALOR],tabela_registros[MÊS],$AE$1,tabela_registros[DIA],receitasfixasconsolidadoset[[#Headers],[8]],tabela_registros[REGISTRO],DADOS!$N$3,tabela_registros[TIPO],DADOS!$V$3,tabela_registros[CATEGORIA],receitasfixasconsolidadoset[[#This Row],[ATUAL]])</f>
        <v>0</v>
      </c>
      <c r="M83" s="119" t="n">
        <f aca="false">SUMIFS(tabela_registros[VALOR],tabela_registros[MÊS],$AE$1,tabela_registros[DIA],receitasfixasconsolidadoset[[#Headers],[9]],tabela_registros[REGISTRO],DADOS!$N$3,tabela_registros[TIPO],DADOS!$V$3,tabela_registros[CATEGORIA],receitasfixasconsolidadoset[[#This Row],[ATUAL]])</f>
        <v>0</v>
      </c>
      <c r="N83" s="119" t="n">
        <f aca="false">SUMIFS(tabela_registros[VALOR],tabela_registros[MÊS],$AE$1,tabela_registros[DIA],receitasfixasconsolidadoset[[#Headers],[10]],tabela_registros[REGISTRO],DADOS!$N$3,tabela_registros[TIPO],DADOS!$V$3,tabela_registros[CATEGORIA],receitasfixasconsolidadoset[[#This Row],[ATUAL]])</f>
        <v>0</v>
      </c>
      <c r="O83" s="119" t="n">
        <f aca="false">SUMIFS(tabela_registros[VALOR],tabela_registros[MÊS],$AE$1,tabela_registros[DIA],receitasfixasconsolidadoset[[#Headers],[11]],tabela_registros[REGISTRO],DADOS!$N$3,tabela_registros[TIPO],DADOS!$V$3,tabela_registros[CATEGORIA],receitasfixasconsolidadoset[[#This Row],[ATUAL]])</f>
        <v>0</v>
      </c>
      <c r="P83" s="119" t="n">
        <f aca="false">SUMIFS(tabela_registros[VALOR],tabela_registros[MÊS],$AE$1,tabela_registros[DIA],receitasfixasconsolidadoset[[#Headers],[12]],tabela_registros[REGISTRO],DADOS!$N$3,tabela_registros[TIPO],DADOS!$V$3,tabela_registros[CATEGORIA],receitasfixasconsolidadoset[[#This Row],[ATUAL]])</f>
        <v>0</v>
      </c>
      <c r="Q83" s="119" t="n">
        <f aca="false">SUMIFS(tabela_registros[VALOR],tabela_registros[MÊS],$AE$1,tabela_registros[DIA],receitasfixasconsolidadoset[[#Headers],[13]],tabela_registros[REGISTRO],DADOS!$N$3,tabela_registros[TIPO],DADOS!$V$3,tabela_registros[CATEGORIA],receitasfixasconsolidadoset[[#This Row],[ATUAL]])</f>
        <v>0</v>
      </c>
      <c r="R83" s="119" t="n">
        <f aca="false">SUMIFS(tabela_registros[VALOR],tabela_registros[MÊS],$AE$1,tabela_registros[DIA],receitasfixasconsolidadoset[[#Headers],[14]],tabela_registros[REGISTRO],DADOS!$N$3,tabela_registros[TIPO],DADOS!$V$3,tabela_registros[CATEGORIA],receitasfixasconsolidadoset[[#This Row],[ATUAL]])</f>
        <v>0</v>
      </c>
      <c r="S83" s="119" t="n">
        <f aca="false">SUMIFS(tabela_registros[VALOR],tabela_registros[MÊS],$AE$1,tabela_registros[DIA],receitasfixasconsolidadoset[[#Headers],[15]],tabela_registros[REGISTRO],DADOS!$N$3,tabela_registros[TIPO],DADOS!$V$3,tabela_registros[CATEGORIA],receitasfixasconsolidadoset[[#This Row],[ATUAL]])</f>
        <v>0</v>
      </c>
      <c r="T83" s="119" t="n">
        <f aca="false">SUMIFS(tabela_registros[VALOR],tabela_registros[MÊS],$AE$1,tabela_registros[DIA],receitasfixasconsolidadoset[[#Headers],[16]],tabela_registros[REGISTRO],DADOS!$N$3,tabela_registros[TIPO],DADOS!$V$3,tabela_registros[CATEGORIA],receitasfixasconsolidadoset[[#This Row],[ATUAL]])</f>
        <v>0</v>
      </c>
      <c r="U83" s="119" t="n">
        <f aca="false">SUMIFS(tabela_registros[VALOR],tabela_registros[MÊS],$AE$1,tabela_registros[DIA],receitasfixasconsolidadoset[[#Headers],[17]],tabela_registros[REGISTRO],DADOS!$N$3,tabela_registros[TIPO],DADOS!$V$3,tabela_registros[CATEGORIA],receitasfixasconsolidadoset[[#This Row],[ATUAL]])</f>
        <v>0</v>
      </c>
      <c r="V83" s="119" t="n">
        <f aca="false">SUMIFS(tabela_registros[VALOR],tabela_registros[MÊS],$AE$1,tabela_registros[DIA],receitasfixasconsolidadoset[[#Headers],[18]],tabela_registros[REGISTRO],DADOS!$N$3,tabela_registros[TIPO],DADOS!$V$3,tabela_registros[CATEGORIA],receitasfixasconsolidadoset[[#This Row],[ATUAL]])</f>
        <v>0</v>
      </c>
      <c r="W83" s="119" t="n">
        <f aca="false">SUMIFS(tabela_registros[VALOR],tabela_registros[MÊS],$AE$1,tabela_registros[DIA],receitasfixasconsolidadoset[[#Headers],[19]],tabela_registros[REGISTRO],DADOS!$N$3,tabela_registros[TIPO],DADOS!$V$3,tabela_registros[CATEGORIA],receitasfixasconsolidadoset[[#This Row],[ATUAL]])</f>
        <v>0</v>
      </c>
      <c r="X83" s="119" t="n">
        <f aca="false">SUMIFS(tabela_registros[VALOR],tabela_registros[MÊS],$AE$1,tabela_registros[DIA],receitasfixasconsolidadoset[[#Headers],[20]],tabela_registros[REGISTRO],DADOS!$N$3,tabela_registros[TIPO],DADOS!$V$3,tabela_registros[CATEGORIA],receitasfixasconsolidadoset[[#This Row],[ATUAL]])</f>
        <v>0</v>
      </c>
      <c r="Y83" s="119" t="n">
        <f aca="false">SUMIFS(tabela_registros[VALOR],tabela_registros[MÊS],$AE$1,tabela_registros[DIA],receitasfixasconsolidadoset[[#Headers],[21]],tabela_registros[REGISTRO],DADOS!$N$3,tabela_registros[TIPO],DADOS!$V$3,tabela_registros[CATEGORIA],receitasfixasconsolidadoset[[#This Row],[ATUAL]])</f>
        <v>0</v>
      </c>
      <c r="Z83" s="119" t="n">
        <f aca="false">SUMIFS(tabela_registros[VALOR],tabela_registros[MÊS],$AE$1,tabela_registros[DIA],receitasfixasconsolidadoset[[#Headers],[22]],tabela_registros[REGISTRO],DADOS!$N$3,tabela_registros[TIPO],DADOS!$V$3,tabela_registros[CATEGORIA],receitasfixasconsolidadoset[[#This Row],[ATUAL]])</f>
        <v>0</v>
      </c>
      <c r="AA83" s="119" t="n">
        <f aca="false">SUMIFS(tabela_registros[VALOR],tabela_registros[MÊS],$AE$1,tabela_registros[DIA],receitasfixasconsolidadoset[[#Headers],[23]],tabela_registros[REGISTRO],DADOS!$N$3,tabela_registros[TIPO],DADOS!$V$3,tabela_registros[CATEGORIA],receitasfixasconsolidadoset[[#This Row],[ATUAL]])</f>
        <v>0</v>
      </c>
      <c r="AB83" s="119" t="n">
        <f aca="false">SUMIFS(tabela_registros[VALOR],tabela_registros[MÊS],$AE$1,tabela_registros[DIA],receitasfixasconsolidadoset[[#Headers],[24]],tabela_registros[REGISTRO],DADOS!$N$3,tabela_registros[TIPO],DADOS!$V$3,tabela_registros[CATEGORIA],receitasfixasconsolidadoset[[#This Row],[ATUAL]])</f>
        <v>0</v>
      </c>
      <c r="AC83" s="119" t="n">
        <f aca="false">SUMIFS(tabela_registros[VALOR],tabela_registros[MÊS],$AE$1,tabela_registros[DIA],receitasfixasconsolidadoset[[#Headers],[25]],tabela_registros[REGISTRO],DADOS!$N$3,tabela_registros[TIPO],DADOS!$V$3,tabela_registros[CATEGORIA],receitasfixasconsolidadoset[[#This Row],[ATUAL]])</f>
        <v>0</v>
      </c>
      <c r="AD83" s="119" t="n">
        <f aca="false">SUMIFS(tabela_registros[VALOR],tabela_registros[MÊS],$AE$1,tabela_registros[DIA],receitasfixasconsolidadoset[[#Headers],[26]],tabela_registros[REGISTRO],DADOS!$N$3,tabela_registros[TIPO],DADOS!$V$3,tabela_registros[CATEGORIA],receitasfixasconsolidadoset[[#This Row],[ATUAL]])</f>
        <v>0</v>
      </c>
      <c r="AE83" s="119" t="n">
        <f aca="false">SUMIFS(tabela_registros[VALOR],tabela_registros[MÊS],$AE$1,tabela_registros[DIA],receitasfixasconsolidadoset[[#Headers],[27]],tabela_registros[REGISTRO],DADOS!$N$3,tabela_registros[TIPO],DADOS!$V$3,tabela_registros[CATEGORIA],receitasfixasconsolidadoset[[#This Row],[ATUAL]])</f>
        <v>0</v>
      </c>
      <c r="AF83" s="119" t="n">
        <f aca="false">SUMIFS(tabela_registros[VALOR],tabela_registros[MÊS],$AE$1,tabela_registros[DIA],receitasfixasconsolidadoset[[#Headers],[28]],tabela_registros[REGISTRO],DADOS!$N$3,tabela_registros[TIPO],DADOS!$V$3,tabela_registros[CATEGORIA],receitasfixasconsolidadoset[[#This Row],[ATUAL]])</f>
        <v>0</v>
      </c>
      <c r="AG83" s="119" t="n">
        <f aca="false">SUMIFS(tabela_registros[VALOR],tabela_registros[MÊS],$AE$1,tabela_registros[DIA],receitasfixasconsolidadoset[[#Headers],[29]],tabela_registros[REGISTRO],DADOS!$N$3,tabela_registros[TIPO],DADOS!$V$3,tabela_registros[CATEGORIA],receitasfixasconsolidadoset[[#This Row],[ATUAL]])</f>
        <v>0</v>
      </c>
      <c r="AH83" s="119" t="n">
        <f aca="false">SUMIFS(tabela_registros[VALOR],tabela_registros[MÊS],$AE$1,tabela_registros[DIA],receitasfixasconsolidadoset[[#Headers],[30]],tabela_registros[REGISTRO],DADOS!$N$3,tabela_registros[TIPO],DADOS!$V$3,tabela_registros[CATEGORIA],receitasfixasconsolidadoset[[#This Row],[ATUAL]])</f>
        <v>0</v>
      </c>
      <c r="AI83" s="217" t="n">
        <f aca="false">SUMIFS(tabela_registros[VALOR],tabela_registros[MÊS],$AE$1,tabela_registros[DIA],receitasfixasconsolidadoset[[#Headers],[31]],tabela_registros[REGISTRO],DADOS!$N$3,tabela_registros[TIPO],DADOS!$V$3,tabela_registros[CATEGORIA],receitasfixasconsolidadoset[[#This Row],[ATUAL]])</f>
        <v>0</v>
      </c>
      <c r="AJ83" s="149" t="n">
        <f aca="false">SUM(receitasfixasconsolidadoset[[#This Row],[1]:[31]])</f>
        <v>0</v>
      </c>
      <c r="AK83" s="165"/>
    </row>
    <row r="84" customFormat="false" ht="19.5" hidden="false" customHeight="true" outlineLevel="0" collapsed="false">
      <c r="B84" s="143"/>
      <c r="C84" s="144" t="str">
        <f aca="false">DADOS!$X$5</f>
        <v>🎀 MESADA</v>
      </c>
      <c r="D84" s="145" t="str">
        <f aca="false">IF(receitasfixasconsolidadoset[[#This Row],[TOTAL (R$)]]=0,"",IF(OR(receitasfixasconsolidadoset[[#This Row],[TOTAL (R$)]]=LARGE($AJ$82:$AJ$86,1),receitasfixasconsolidadoset[[#This Row],[TOTAL (R$)]]=LARGE($AJ$82:$AJ$86,2)),DADOS!$I$9,""))</f>
        <v/>
      </c>
      <c r="E84" s="148" t="n">
        <f aca="false">SUMIFS(tabela_registros[VALOR],tabela_registros[MÊS],$AE$1,tabela_registros[DIA],receitasfixasconsolidadoset[[#Headers],[1]],tabela_registros[REGISTRO],DADOS!$N$3,tabela_registros[TIPO],DADOS!$V$3,tabela_registros[CATEGORIA],receitasfixasconsolidadoset[[#This Row],[ATUAL]])</f>
        <v>0</v>
      </c>
      <c r="F84" s="119" t="n">
        <f aca="false">SUMIFS(tabela_registros[VALOR],tabela_registros[MÊS],$AE$1,tabela_registros[DIA],receitasfixasconsolidadoset[[#Headers],[2]],tabela_registros[REGISTRO],DADOS!$N$3,tabela_registros[TIPO],DADOS!$V$3,tabela_registros[CATEGORIA],receitasfixasconsolidadoset[[#This Row],[ATUAL]])</f>
        <v>0</v>
      </c>
      <c r="G84" s="119" t="n">
        <f aca="false">SUMIFS(tabela_registros[VALOR],tabela_registros[MÊS],$AE$1,tabela_registros[DIA],receitasfixasconsolidadoset[[#Headers],[3]],tabela_registros[REGISTRO],DADOS!$N$3,tabela_registros[TIPO],DADOS!$V$3,tabela_registros[CATEGORIA],receitasfixasconsolidadoset[[#This Row],[ATUAL]])</f>
        <v>0</v>
      </c>
      <c r="H84" s="119" t="n">
        <f aca="false">SUMIFS(tabela_registros[VALOR],tabela_registros[MÊS],$AE$1,tabela_registros[DIA],receitasfixasconsolidadoset[[#Headers],[4]],tabela_registros[REGISTRO],DADOS!$N$3,tabela_registros[TIPO],DADOS!$V$3,tabela_registros[CATEGORIA],receitasfixasconsolidadoset[[#This Row],[ATUAL]])</f>
        <v>0</v>
      </c>
      <c r="I84" s="119" t="n">
        <f aca="false">SUMIFS(tabela_registros[VALOR],tabela_registros[MÊS],$AE$1,tabela_registros[DIA],receitasfixasconsolidadoset[[#Headers],[5]],tabela_registros[REGISTRO],DADOS!$N$3,tabela_registros[TIPO],DADOS!$V$3,tabela_registros[CATEGORIA],receitasfixasconsolidadoset[[#This Row],[ATUAL]])</f>
        <v>0</v>
      </c>
      <c r="J84" s="119" t="n">
        <f aca="false">SUMIFS(tabela_registros[VALOR],tabela_registros[MÊS],$AE$1,tabela_registros[DIA],receitasfixasconsolidadoset[[#Headers],[6]],tabela_registros[REGISTRO],DADOS!$N$3,tabela_registros[TIPO],DADOS!$V$3,tabela_registros[CATEGORIA],receitasfixasconsolidadoset[[#This Row],[ATUAL]])</f>
        <v>0</v>
      </c>
      <c r="K84" s="119" t="n">
        <f aca="false">SUMIFS(tabela_registros[VALOR],tabela_registros[MÊS],$AE$1,tabela_registros[DIA],receitasfixasconsolidadoset[[#Headers],[7]],tabela_registros[REGISTRO],DADOS!$N$3,tabela_registros[TIPO],DADOS!$V$3,tabela_registros[CATEGORIA],receitasfixasconsolidadoset[[#This Row],[ATUAL]])</f>
        <v>0</v>
      </c>
      <c r="L84" s="119" t="n">
        <f aca="false">SUMIFS(tabela_registros[VALOR],tabela_registros[MÊS],$AE$1,tabela_registros[DIA],receitasfixasconsolidadoset[[#Headers],[8]],tabela_registros[REGISTRO],DADOS!$N$3,tabela_registros[TIPO],DADOS!$V$3,tabela_registros[CATEGORIA],receitasfixasconsolidadoset[[#This Row],[ATUAL]])</f>
        <v>0</v>
      </c>
      <c r="M84" s="119" t="n">
        <f aca="false">SUMIFS(tabela_registros[VALOR],tabela_registros[MÊS],$AE$1,tabela_registros[DIA],receitasfixasconsolidadoset[[#Headers],[9]],tabela_registros[REGISTRO],DADOS!$N$3,tabela_registros[TIPO],DADOS!$V$3,tabela_registros[CATEGORIA],receitasfixasconsolidadoset[[#This Row],[ATUAL]])</f>
        <v>0</v>
      </c>
      <c r="N84" s="119" t="n">
        <f aca="false">SUMIFS(tabela_registros[VALOR],tabela_registros[MÊS],$AE$1,tabela_registros[DIA],receitasfixasconsolidadoset[[#Headers],[10]],tabela_registros[REGISTRO],DADOS!$N$3,tabela_registros[TIPO],DADOS!$V$3,tabela_registros[CATEGORIA],receitasfixasconsolidadoset[[#This Row],[ATUAL]])</f>
        <v>0</v>
      </c>
      <c r="O84" s="119" t="n">
        <f aca="false">SUMIFS(tabela_registros[VALOR],tabela_registros[MÊS],$AE$1,tabela_registros[DIA],receitasfixasconsolidadoset[[#Headers],[11]],tabela_registros[REGISTRO],DADOS!$N$3,tabela_registros[TIPO],DADOS!$V$3,tabela_registros[CATEGORIA],receitasfixasconsolidadoset[[#This Row],[ATUAL]])</f>
        <v>0</v>
      </c>
      <c r="P84" s="119" t="n">
        <f aca="false">SUMIFS(tabela_registros[VALOR],tabela_registros[MÊS],$AE$1,tabela_registros[DIA],receitasfixasconsolidadoset[[#Headers],[12]],tabela_registros[REGISTRO],DADOS!$N$3,tabela_registros[TIPO],DADOS!$V$3,tabela_registros[CATEGORIA],receitasfixasconsolidadoset[[#This Row],[ATUAL]])</f>
        <v>0</v>
      </c>
      <c r="Q84" s="119" t="n">
        <f aca="false">SUMIFS(tabela_registros[VALOR],tabela_registros[MÊS],$AE$1,tabela_registros[DIA],receitasfixasconsolidadoset[[#Headers],[13]],tabela_registros[REGISTRO],DADOS!$N$3,tabela_registros[TIPO],DADOS!$V$3,tabela_registros[CATEGORIA],receitasfixasconsolidadoset[[#This Row],[ATUAL]])</f>
        <v>0</v>
      </c>
      <c r="R84" s="119" t="n">
        <f aca="false">SUMIFS(tabela_registros[VALOR],tabela_registros[MÊS],$AE$1,tabela_registros[DIA],receitasfixasconsolidadoset[[#Headers],[14]],tabela_registros[REGISTRO],DADOS!$N$3,tabela_registros[TIPO],DADOS!$V$3,tabela_registros[CATEGORIA],receitasfixasconsolidadoset[[#This Row],[ATUAL]])</f>
        <v>0</v>
      </c>
      <c r="S84" s="119" t="n">
        <f aca="false">SUMIFS(tabela_registros[VALOR],tabela_registros[MÊS],$AE$1,tabela_registros[DIA],receitasfixasconsolidadoset[[#Headers],[15]],tabela_registros[REGISTRO],DADOS!$N$3,tabela_registros[TIPO],DADOS!$V$3,tabela_registros[CATEGORIA],receitasfixasconsolidadoset[[#This Row],[ATUAL]])</f>
        <v>0</v>
      </c>
      <c r="T84" s="119" t="n">
        <f aca="false">SUMIFS(tabela_registros[VALOR],tabela_registros[MÊS],$AE$1,tabela_registros[DIA],receitasfixasconsolidadoset[[#Headers],[16]],tabela_registros[REGISTRO],DADOS!$N$3,tabela_registros[TIPO],DADOS!$V$3,tabela_registros[CATEGORIA],receitasfixasconsolidadoset[[#This Row],[ATUAL]])</f>
        <v>0</v>
      </c>
      <c r="U84" s="119" t="n">
        <f aca="false">SUMIFS(tabela_registros[VALOR],tabela_registros[MÊS],$AE$1,tabela_registros[DIA],receitasfixasconsolidadoset[[#Headers],[17]],tabela_registros[REGISTRO],DADOS!$N$3,tabela_registros[TIPO],DADOS!$V$3,tabela_registros[CATEGORIA],receitasfixasconsolidadoset[[#This Row],[ATUAL]])</f>
        <v>0</v>
      </c>
      <c r="V84" s="119" t="n">
        <f aca="false">SUMIFS(tabela_registros[VALOR],tabela_registros[MÊS],$AE$1,tabela_registros[DIA],receitasfixasconsolidadoset[[#Headers],[18]],tabela_registros[REGISTRO],DADOS!$N$3,tabela_registros[TIPO],DADOS!$V$3,tabela_registros[CATEGORIA],receitasfixasconsolidadoset[[#This Row],[ATUAL]])</f>
        <v>0</v>
      </c>
      <c r="W84" s="119" t="n">
        <f aca="false">SUMIFS(tabela_registros[VALOR],tabela_registros[MÊS],$AE$1,tabela_registros[DIA],receitasfixasconsolidadoset[[#Headers],[19]],tabela_registros[REGISTRO],DADOS!$N$3,tabela_registros[TIPO],DADOS!$V$3,tabela_registros[CATEGORIA],receitasfixasconsolidadoset[[#This Row],[ATUAL]])</f>
        <v>0</v>
      </c>
      <c r="X84" s="119" t="n">
        <f aca="false">SUMIFS(tabela_registros[VALOR],tabela_registros[MÊS],$AE$1,tabela_registros[DIA],receitasfixasconsolidadoset[[#Headers],[20]],tabela_registros[REGISTRO],DADOS!$N$3,tabela_registros[TIPO],DADOS!$V$3,tabela_registros[CATEGORIA],receitasfixasconsolidadoset[[#This Row],[ATUAL]])</f>
        <v>0</v>
      </c>
      <c r="Y84" s="119" t="n">
        <f aca="false">SUMIFS(tabela_registros[VALOR],tabela_registros[MÊS],$AE$1,tabela_registros[DIA],receitasfixasconsolidadoset[[#Headers],[21]],tabela_registros[REGISTRO],DADOS!$N$3,tabela_registros[TIPO],DADOS!$V$3,tabela_registros[CATEGORIA],receitasfixasconsolidadoset[[#This Row],[ATUAL]])</f>
        <v>0</v>
      </c>
      <c r="Z84" s="119" t="n">
        <f aca="false">SUMIFS(tabela_registros[VALOR],tabela_registros[MÊS],$AE$1,tabela_registros[DIA],receitasfixasconsolidadoset[[#Headers],[22]],tabela_registros[REGISTRO],DADOS!$N$3,tabela_registros[TIPO],DADOS!$V$3,tabela_registros[CATEGORIA],receitasfixasconsolidadoset[[#This Row],[ATUAL]])</f>
        <v>0</v>
      </c>
      <c r="AA84" s="119" t="n">
        <f aca="false">SUMIFS(tabela_registros[VALOR],tabela_registros[MÊS],$AE$1,tabela_registros[DIA],receitasfixasconsolidadoset[[#Headers],[23]],tabela_registros[REGISTRO],DADOS!$N$3,tabela_registros[TIPO],DADOS!$V$3,tabela_registros[CATEGORIA],receitasfixasconsolidadoset[[#This Row],[ATUAL]])</f>
        <v>0</v>
      </c>
      <c r="AB84" s="119" t="n">
        <f aca="false">SUMIFS(tabela_registros[VALOR],tabela_registros[MÊS],$AE$1,tabela_registros[DIA],receitasfixasconsolidadoset[[#Headers],[24]],tabela_registros[REGISTRO],DADOS!$N$3,tabela_registros[TIPO],DADOS!$V$3,tabela_registros[CATEGORIA],receitasfixasconsolidadoset[[#This Row],[ATUAL]])</f>
        <v>0</v>
      </c>
      <c r="AC84" s="119" t="n">
        <f aca="false">SUMIFS(tabela_registros[VALOR],tabela_registros[MÊS],$AE$1,tabela_registros[DIA],receitasfixasconsolidadoset[[#Headers],[25]],tabela_registros[REGISTRO],DADOS!$N$3,tabela_registros[TIPO],DADOS!$V$3,tabela_registros[CATEGORIA],receitasfixasconsolidadoset[[#This Row],[ATUAL]])</f>
        <v>0</v>
      </c>
      <c r="AD84" s="119" t="n">
        <f aca="false">SUMIFS(tabela_registros[VALOR],tabela_registros[MÊS],$AE$1,tabela_registros[DIA],receitasfixasconsolidadoset[[#Headers],[26]],tabela_registros[REGISTRO],DADOS!$N$3,tabela_registros[TIPO],DADOS!$V$3,tabela_registros[CATEGORIA],receitasfixasconsolidadoset[[#This Row],[ATUAL]])</f>
        <v>0</v>
      </c>
      <c r="AE84" s="119" t="n">
        <f aca="false">SUMIFS(tabela_registros[VALOR],tabela_registros[MÊS],$AE$1,tabela_registros[DIA],receitasfixasconsolidadoset[[#Headers],[27]],tabela_registros[REGISTRO],DADOS!$N$3,tabela_registros[TIPO],DADOS!$V$3,tabela_registros[CATEGORIA],receitasfixasconsolidadoset[[#This Row],[ATUAL]])</f>
        <v>0</v>
      </c>
      <c r="AF84" s="119" t="n">
        <f aca="false">SUMIFS(tabela_registros[VALOR],tabela_registros[MÊS],$AE$1,tabela_registros[DIA],receitasfixasconsolidadoset[[#Headers],[28]],tabela_registros[REGISTRO],DADOS!$N$3,tabela_registros[TIPO],DADOS!$V$3,tabela_registros[CATEGORIA],receitasfixasconsolidadoset[[#This Row],[ATUAL]])</f>
        <v>0</v>
      </c>
      <c r="AG84" s="119" t="n">
        <f aca="false">SUMIFS(tabela_registros[VALOR],tabela_registros[MÊS],$AE$1,tabela_registros[DIA],receitasfixasconsolidadoset[[#Headers],[29]],tabela_registros[REGISTRO],DADOS!$N$3,tabela_registros[TIPO],DADOS!$V$3,tabela_registros[CATEGORIA],receitasfixasconsolidadoset[[#This Row],[ATUAL]])</f>
        <v>0</v>
      </c>
      <c r="AH84" s="119" t="n">
        <f aca="false">SUMIFS(tabela_registros[VALOR],tabela_registros[MÊS],$AE$1,tabela_registros[DIA],receitasfixasconsolidadoset[[#Headers],[30]],tabela_registros[REGISTRO],DADOS!$N$3,tabela_registros[TIPO],DADOS!$V$3,tabela_registros[CATEGORIA],receitasfixasconsolidadoset[[#This Row],[ATUAL]])</f>
        <v>0</v>
      </c>
      <c r="AI84" s="217" t="n">
        <f aca="false">SUMIFS(tabela_registros[VALOR],tabela_registros[MÊS],$AE$1,tabela_registros[DIA],receitasfixasconsolidadoset[[#Headers],[31]],tabela_registros[REGISTRO],DADOS!$N$3,tabela_registros[TIPO],DADOS!$V$3,tabela_registros[CATEGORIA],receitasfixasconsolidadoset[[#This Row],[ATUAL]])</f>
        <v>0</v>
      </c>
      <c r="AJ84" s="149" t="n">
        <f aca="false">SUM(receitasfixasconsolidadoset[[#This Row],[1]:[31]])</f>
        <v>0</v>
      </c>
      <c r="AK84" s="165"/>
    </row>
    <row r="85" customFormat="false" ht="19.5" hidden="false" customHeight="true" outlineLevel="0" collapsed="false">
      <c r="B85" s="143"/>
      <c r="C85" s="144" t="str">
        <f aca="false">DADOS!$X$6</f>
        <v>💰 SALÁRIO</v>
      </c>
      <c r="D85" s="145" t="str">
        <f aca="false">IF(receitasfixasconsolidadoset[[#This Row],[TOTAL (R$)]]=0,"",IF(OR(receitasfixasconsolidadoset[[#This Row],[TOTAL (R$)]]=LARGE($AJ$82:$AJ$86,1),receitasfixasconsolidadoset[[#This Row],[TOTAL (R$)]]=LARGE($AJ$82:$AJ$86,2)),DADOS!$I$9,""))</f>
        <v/>
      </c>
      <c r="E85" s="148" t="n">
        <f aca="false">SUMIFS(tabela_registros[VALOR],tabela_registros[MÊS],$AE$1,tabela_registros[DIA],receitasfixasconsolidadoset[[#Headers],[1]],tabela_registros[REGISTRO],DADOS!$N$3,tabela_registros[TIPO],DADOS!$V$3,tabela_registros[CATEGORIA],receitasfixasconsolidadoset[[#This Row],[ATUAL]])</f>
        <v>0</v>
      </c>
      <c r="F85" s="119" t="n">
        <f aca="false">SUMIFS(tabela_registros[VALOR],tabela_registros[MÊS],$AE$1,tabela_registros[DIA],receitasfixasconsolidadoset[[#Headers],[2]],tabela_registros[REGISTRO],DADOS!$N$3,tabela_registros[TIPO],DADOS!$V$3,tabela_registros[CATEGORIA],receitasfixasconsolidadoset[[#This Row],[ATUAL]])</f>
        <v>0</v>
      </c>
      <c r="G85" s="119" t="n">
        <f aca="false">SUMIFS(tabela_registros[VALOR],tabela_registros[MÊS],$AE$1,tabela_registros[DIA],receitasfixasconsolidadoset[[#Headers],[3]],tabela_registros[REGISTRO],DADOS!$N$3,tabela_registros[TIPO],DADOS!$V$3,tabela_registros[CATEGORIA],receitasfixasconsolidadoset[[#This Row],[ATUAL]])</f>
        <v>0</v>
      </c>
      <c r="H85" s="119" t="n">
        <f aca="false">SUMIFS(tabela_registros[VALOR],tabela_registros[MÊS],$AE$1,tabela_registros[DIA],receitasfixasconsolidadoset[[#Headers],[4]],tabela_registros[REGISTRO],DADOS!$N$3,tabela_registros[TIPO],DADOS!$V$3,tabela_registros[CATEGORIA],receitasfixasconsolidadoset[[#This Row],[ATUAL]])</f>
        <v>0</v>
      </c>
      <c r="I85" s="119" t="n">
        <f aca="false">SUMIFS(tabela_registros[VALOR],tabela_registros[MÊS],$AE$1,tabela_registros[DIA],receitasfixasconsolidadoset[[#Headers],[5]],tabela_registros[REGISTRO],DADOS!$N$3,tabela_registros[TIPO],DADOS!$V$3,tabela_registros[CATEGORIA],receitasfixasconsolidadoset[[#This Row],[ATUAL]])</f>
        <v>0</v>
      </c>
      <c r="J85" s="119" t="n">
        <f aca="false">SUMIFS(tabela_registros[VALOR],tabela_registros[MÊS],$AE$1,tabela_registros[DIA],receitasfixasconsolidadoset[[#Headers],[6]],tabela_registros[REGISTRO],DADOS!$N$3,tabela_registros[TIPO],DADOS!$V$3,tabela_registros[CATEGORIA],receitasfixasconsolidadoset[[#This Row],[ATUAL]])</f>
        <v>0</v>
      </c>
      <c r="K85" s="119" t="n">
        <f aca="false">SUMIFS(tabela_registros[VALOR],tabela_registros[MÊS],$AE$1,tabela_registros[DIA],receitasfixasconsolidadoset[[#Headers],[7]],tabela_registros[REGISTRO],DADOS!$N$3,tabela_registros[TIPO],DADOS!$V$3,tabela_registros[CATEGORIA],receitasfixasconsolidadoset[[#This Row],[ATUAL]])</f>
        <v>0</v>
      </c>
      <c r="L85" s="119" t="n">
        <f aca="false">SUMIFS(tabela_registros[VALOR],tabela_registros[MÊS],$AE$1,tabela_registros[DIA],receitasfixasconsolidadoset[[#Headers],[8]],tabela_registros[REGISTRO],DADOS!$N$3,tabela_registros[TIPO],DADOS!$V$3,tabela_registros[CATEGORIA],receitasfixasconsolidadoset[[#This Row],[ATUAL]])</f>
        <v>0</v>
      </c>
      <c r="M85" s="119" t="n">
        <f aca="false">SUMIFS(tabela_registros[VALOR],tabela_registros[MÊS],$AE$1,tabela_registros[DIA],receitasfixasconsolidadoset[[#Headers],[9]],tabela_registros[REGISTRO],DADOS!$N$3,tabela_registros[TIPO],DADOS!$V$3,tabela_registros[CATEGORIA],receitasfixasconsolidadoset[[#This Row],[ATUAL]])</f>
        <v>0</v>
      </c>
      <c r="N85" s="119" t="n">
        <f aca="false">SUMIFS(tabela_registros[VALOR],tabela_registros[MÊS],$AE$1,tabela_registros[DIA],receitasfixasconsolidadoset[[#Headers],[10]],tabela_registros[REGISTRO],DADOS!$N$3,tabela_registros[TIPO],DADOS!$V$3,tabela_registros[CATEGORIA],receitasfixasconsolidadoset[[#This Row],[ATUAL]])</f>
        <v>0</v>
      </c>
      <c r="O85" s="119" t="n">
        <f aca="false">SUMIFS(tabela_registros[VALOR],tabela_registros[MÊS],$AE$1,tabela_registros[DIA],receitasfixasconsolidadoset[[#Headers],[11]],tabela_registros[REGISTRO],DADOS!$N$3,tabela_registros[TIPO],DADOS!$V$3,tabela_registros[CATEGORIA],receitasfixasconsolidadoset[[#This Row],[ATUAL]])</f>
        <v>0</v>
      </c>
      <c r="P85" s="119" t="n">
        <f aca="false">SUMIFS(tabela_registros[VALOR],tabela_registros[MÊS],$AE$1,tabela_registros[DIA],receitasfixasconsolidadoset[[#Headers],[12]],tabela_registros[REGISTRO],DADOS!$N$3,tabela_registros[TIPO],DADOS!$V$3,tabela_registros[CATEGORIA],receitasfixasconsolidadoset[[#This Row],[ATUAL]])</f>
        <v>0</v>
      </c>
      <c r="Q85" s="119" t="n">
        <f aca="false">SUMIFS(tabela_registros[VALOR],tabela_registros[MÊS],$AE$1,tabela_registros[DIA],receitasfixasconsolidadoset[[#Headers],[13]],tabela_registros[REGISTRO],DADOS!$N$3,tabela_registros[TIPO],DADOS!$V$3,tabela_registros[CATEGORIA],receitasfixasconsolidadoset[[#This Row],[ATUAL]])</f>
        <v>0</v>
      </c>
      <c r="R85" s="119" t="n">
        <f aca="false">SUMIFS(tabela_registros[VALOR],tabela_registros[MÊS],$AE$1,tabela_registros[DIA],receitasfixasconsolidadoset[[#Headers],[14]],tabela_registros[REGISTRO],DADOS!$N$3,tabela_registros[TIPO],DADOS!$V$3,tabela_registros[CATEGORIA],receitasfixasconsolidadoset[[#This Row],[ATUAL]])</f>
        <v>0</v>
      </c>
      <c r="S85" s="119" t="n">
        <f aca="false">SUMIFS(tabela_registros[VALOR],tabela_registros[MÊS],$AE$1,tabela_registros[DIA],receitasfixasconsolidadoset[[#Headers],[15]],tabela_registros[REGISTRO],DADOS!$N$3,tabela_registros[TIPO],DADOS!$V$3,tabela_registros[CATEGORIA],receitasfixasconsolidadoset[[#This Row],[ATUAL]])</f>
        <v>0</v>
      </c>
      <c r="T85" s="119" t="n">
        <f aca="false">SUMIFS(tabela_registros[VALOR],tabela_registros[MÊS],$AE$1,tabela_registros[DIA],receitasfixasconsolidadoset[[#Headers],[16]],tabela_registros[REGISTRO],DADOS!$N$3,tabela_registros[TIPO],DADOS!$V$3,tabela_registros[CATEGORIA],receitasfixasconsolidadoset[[#This Row],[ATUAL]])</f>
        <v>0</v>
      </c>
      <c r="U85" s="119" t="n">
        <f aca="false">SUMIFS(tabela_registros[VALOR],tabela_registros[MÊS],$AE$1,tabela_registros[DIA],receitasfixasconsolidadoset[[#Headers],[17]],tabela_registros[REGISTRO],DADOS!$N$3,tabela_registros[TIPO],DADOS!$V$3,tabela_registros[CATEGORIA],receitasfixasconsolidadoset[[#This Row],[ATUAL]])</f>
        <v>0</v>
      </c>
      <c r="V85" s="119" t="n">
        <f aca="false">SUMIFS(tabela_registros[VALOR],tabela_registros[MÊS],$AE$1,tabela_registros[DIA],receitasfixasconsolidadoset[[#Headers],[18]],tabela_registros[REGISTRO],DADOS!$N$3,tabela_registros[TIPO],DADOS!$V$3,tabela_registros[CATEGORIA],receitasfixasconsolidadoset[[#This Row],[ATUAL]])</f>
        <v>0</v>
      </c>
      <c r="W85" s="119" t="n">
        <f aca="false">SUMIFS(tabela_registros[VALOR],tabela_registros[MÊS],$AE$1,tabela_registros[DIA],receitasfixasconsolidadoset[[#Headers],[19]],tabela_registros[REGISTRO],DADOS!$N$3,tabela_registros[TIPO],DADOS!$V$3,tabela_registros[CATEGORIA],receitasfixasconsolidadoset[[#This Row],[ATUAL]])</f>
        <v>0</v>
      </c>
      <c r="X85" s="119" t="n">
        <f aca="false">SUMIFS(tabela_registros[VALOR],tabela_registros[MÊS],$AE$1,tabela_registros[DIA],receitasfixasconsolidadoset[[#Headers],[20]],tabela_registros[REGISTRO],DADOS!$N$3,tabela_registros[TIPO],DADOS!$V$3,tabela_registros[CATEGORIA],receitasfixasconsolidadoset[[#This Row],[ATUAL]])</f>
        <v>0</v>
      </c>
      <c r="Y85" s="119" t="n">
        <f aca="false">SUMIFS(tabela_registros[VALOR],tabela_registros[MÊS],$AE$1,tabela_registros[DIA],receitasfixasconsolidadoset[[#Headers],[21]],tabela_registros[REGISTRO],DADOS!$N$3,tabela_registros[TIPO],DADOS!$V$3,tabela_registros[CATEGORIA],receitasfixasconsolidadoset[[#This Row],[ATUAL]])</f>
        <v>0</v>
      </c>
      <c r="Z85" s="119" t="n">
        <f aca="false">SUMIFS(tabela_registros[VALOR],tabela_registros[MÊS],$AE$1,tabela_registros[DIA],receitasfixasconsolidadoset[[#Headers],[22]],tabela_registros[REGISTRO],DADOS!$N$3,tabela_registros[TIPO],DADOS!$V$3,tabela_registros[CATEGORIA],receitasfixasconsolidadoset[[#This Row],[ATUAL]])</f>
        <v>0</v>
      </c>
      <c r="AA85" s="119" t="n">
        <f aca="false">SUMIFS(tabela_registros[VALOR],tabela_registros[MÊS],$AE$1,tabela_registros[DIA],receitasfixasconsolidadoset[[#Headers],[23]],tabela_registros[REGISTRO],DADOS!$N$3,tabela_registros[TIPO],DADOS!$V$3,tabela_registros[CATEGORIA],receitasfixasconsolidadoset[[#This Row],[ATUAL]])</f>
        <v>0</v>
      </c>
      <c r="AB85" s="119" t="n">
        <f aca="false">SUMIFS(tabela_registros[VALOR],tabela_registros[MÊS],$AE$1,tabela_registros[DIA],receitasfixasconsolidadoset[[#Headers],[24]],tabela_registros[REGISTRO],DADOS!$N$3,tabela_registros[TIPO],DADOS!$V$3,tabela_registros[CATEGORIA],receitasfixasconsolidadoset[[#This Row],[ATUAL]])</f>
        <v>0</v>
      </c>
      <c r="AC85" s="119" t="n">
        <f aca="false">SUMIFS(tabela_registros[VALOR],tabela_registros[MÊS],$AE$1,tabela_registros[DIA],receitasfixasconsolidadoset[[#Headers],[25]],tabela_registros[REGISTRO],DADOS!$N$3,tabela_registros[TIPO],DADOS!$V$3,tabela_registros[CATEGORIA],receitasfixasconsolidadoset[[#This Row],[ATUAL]])</f>
        <v>0</v>
      </c>
      <c r="AD85" s="119" t="n">
        <f aca="false">SUMIFS(tabela_registros[VALOR],tabela_registros[MÊS],$AE$1,tabela_registros[DIA],receitasfixasconsolidadoset[[#Headers],[26]],tabela_registros[REGISTRO],DADOS!$N$3,tabela_registros[TIPO],DADOS!$V$3,tabela_registros[CATEGORIA],receitasfixasconsolidadoset[[#This Row],[ATUAL]])</f>
        <v>0</v>
      </c>
      <c r="AE85" s="119" t="n">
        <f aca="false">SUMIFS(tabela_registros[VALOR],tabela_registros[MÊS],$AE$1,tabela_registros[DIA],receitasfixasconsolidadoset[[#Headers],[27]],tabela_registros[REGISTRO],DADOS!$N$3,tabela_registros[TIPO],DADOS!$V$3,tabela_registros[CATEGORIA],receitasfixasconsolidadoset[[#This Row],[ATUAL]])</f>
        <v>0</v>
      </c>
      <c r="AF85" s="119" t="n">
        <f aca="false">SUMIFS(tabela_registros[VALOR],tabela_registros[MÊS],$AE$1,tabela_registros[DIA],receitasfixasconsolidadoset[[#Headers],[28]],tabela_registros[REGISTRO],DADOS!$N$3,tabela_registros[TIPO],DADOS!$V$3,tabela_registros[CATEGORIA],receitasfixasconsolidadoset[[#This Row],[ATUAL]])</f>
        <v>0</v>
      </c>
      <c r="AG85" s="119" t="n">
        <f aca="false">SUMIFS(tabela_registros[VALOR],tabela_registros[MÊS],$AE$1,tabela_registros[DIA],receitasfixasconsolidadoset[[#Headers],[29]],tabela_registros[REGISTRO],DADOS!$N$3,tabela_registros[TIPO],DADOS!$V$3,tabela_registros[CATEGORIA],receitasfixasconsolidadoset[[#This Row],[ATUAL]])</f>
        <v>0</v>
      </c>
      <c r="AH85" s="119" t="n">
        <f aca="false">SUMIFS(tabela_registros[VALOR],tabela_registros[MÊS],$AE$1,tabela_registros[DIA],receitasfixasconsolidadoset[[#Headers],[30]],tabela_registros[REGISTRO],DADOS!$N$3,tabela_registros[TIPO],DADOS!$V$3,tabela_registros[CATEGORIA],receitasfixasconsolidadoset[[#This Row],[ATUAL]])</f>
        <v>0</v>
      </c>
      <c r="AI85" s="217" t="n">
        <f aca="false">SUMIFS(tabela_registros[VALOR],tabela_registros[MÊS],$AE$1,tabela_registros[DIA],receitasfixasconsolidadoset[[#Headers],[31]],tabela_registros[REGISTRO],DADOS!$N$3,tabela_registros[TIPO],DADOS!$V$3,tabela_registros[CATEGORIA],receitasfixasconsolidadoset[[#This Row],[ATUAL]])</f>
        <v>0</v>
      </c>
      <c r="AJ85" s="149" t="n">
        <f aca="false">SUM(receitasfixasconsolidadoset[[#This Row],[1]:[31]])</f>
        <v>0</v>
      </c>
      <c r="AK85" s="165"/>
    </row>
    <row r="86" customFormat="false" ht="18" hidden="false" customHeight="true" outlineLevel="0" collapsed="false">
      <c r="B86" s="143"/>
      <c r="C86" s="144" t="str">
        <f aca="false">DADOS!$X$7</f>
        <v>📎 OUTROS</v>
      </c>
      <c r="D86" s="145" t="str">
        <f aca="false">IF(receitasfixasconsolidadoset[[#This Row],[TOTAL (R$)]]=0,"",IF(OR(receitasfixasconsolidadoset[[#This Row],[TOTAL (R$)]]=LARGE($AJ$82:$AJ$86,1),receitasfixasconsolidadoset[[#This Row],[TOTAL (R$)]]=LARGE($AJ$82:$AJ$86,2)),DADOS!$I$9,""))</f>
        <v/>
      </c>
      <c r="E86" s="148" t="n">
        <f aca="false">SUMIFS(tabela_registros[VALOR],tabela_registros[MÊS],$AE$1,tabela_registros[DIA],receitasfixasconsolidadoset[[#Headers],[1]],tabela_registros[REGISTRO],DADOS!$N$3,tabela_registros[TIPO],DADOS!$V$3,tabela_registros[CATEGORIA],receitasfixasconsolidadoset[[#This Row],[ATUAL]])</f>
        <v>0</v>
      </c>
      <c r="F86" s="119" t="n">
        <f aca="false">SUMIFS(tabela_registros[VALOR],tabela_registros[MÊS],$AE$1,tabela_registros[DIA],receitasfixasconsolidadoset[[#Headers],[2]],tabela_registros[REGISTRO],DADOS!$N$3,tabela_registros[TIPO],DADOS!$V$3,tabela_registros[CATEGORIA],receitasfixasconsolidadoset[[#This Row],[ATUAL]])</f>
        <v>0</v>
      </c>
      <c r="G86" s="119" t="n">
        <f aca="false">SUMIFS(tabela_registros[VALOR],tabela_registros[MÊS],$AE$1,tabela_registros[DIA],receitasfixasconsolidadoset[[#Headers],[3]],tabela_registros[REGISTRO],DADOS!$N$3,tabela_registros[TIPO],DADOS!$V$3,tabela_registros[CATEGORIA],receitasfixasconsolidadoset[[#This Row],[ATUAL]])</f>
        <v>0</v>
      </c>
      <c r="H86" s="119" t="n">
        <f aca="false">SUMIFS(tabela_registros[VALOR],tabela_registros[MÊS],$AE$1,tabela_registros[DIA],receitasfixasconsolidadoset[[#Headers],[4]],tabela_registros[REGISTRO],DADOS!$N$3,tabela_registros[TIPO],DADOS!$V$3,tabela_registros[CATEGORIA],receitasfixasconsolidadoset[[#This Row],[ATUAL]])</f>
        <v>0</v>
      </c>
      <c r="I86" s="119" t="n">
        <f aca="false">SUMIFS(tabela_registros[VALOR],tabela_registros[MÊS],$AE$1,tabela_registros[DIA],receitasfixasconsolidadoset[[#Headers],[5]],tabela_registros[REGISTRO],DADOS!$N$3,tabela_registros[TIPO],DADOS!$V$3,tabela_registros[CATEGORIA],receitasfixasconsolidadoset[[#This Row],[ATUAL]])</f>
        <v>0</v>
      </c>
      <c r="J86" s="119" t="n">
        <f aca="false">SUMIFS(tabela_registros[VALOR],tabela_registros[MÊS],$AE$1,tabela_registros[DIA],receitasfixasconsolidadoset[[#Headers],[6]],tabela_registros[REGISTRO],DADOS!$N$3,tabela_registros[TIPO],DADOS!$V$3,tabela_registros[CATEGORIA],receitasfixasconsolidadoset[[#This Row],[ATUAL]])</f>
        <v>0</v>
      </c>
      <c r="K86" s="119" t="n">
        <f aca="false">SUMIFS(tabela_registros[VALOR],tabela_registros[MÊS],$AE$1,tabela_registros[DIA],receitasfixasconsolidadoset[[#Headers],[7]],tabela_registros[REGISTRO],DADOS!$N$3,tabela_registros[TIPO],DADOS!$V$3,tabela_registros[CATEGORIA],receitasfixasconsolidadoset[[#This Row],[ATUAL]])</f>
        <v>0</v>
      </c>
      <c r="L86" s="119" t="n">
        <f aca="false">SUMIFS(tabela_registros[VALOR],tabela_registros[MÊS],$AE$1,tabela_registros[DIA],receitasfixasconsolidadoset[[#Headers],[8]],tabela_registros[REGISTRO],DADOS!$N$3,tabela_registros[TIPO],DADOS!$V$3,tabela_registros[CATEGORIA],receitasfixasconsolidadoset[[#This Row],[ATUAL]])</f>
        <v>0</v>
      </c>
      <c r="M86" s="119" t="n">
        <f aca="false">SUMIFS(tabela_registros[VALOR],tabela_registros[MÊS],$AE$1,tabela_registros[DIA],receitasfixasconsolidadoset[[#Headers],[9]],tabela_registros[REGISTRO],DADOS!$N$3,tabela_registros[TIPO],DADOS!$V$3,tabela_registros[CATEGORIA],receitasfixasconsolidadoset[[#This Row],[ATUAL]])</f>
        <v>0</v>
      </c>
      <c r="N86" s="119" t="n">
        <f aca="false">SUMIFS(tabela_registros[VALOR],tabela_registros[MÊS],$AE$1,tabela_registros[DIA],receitasfixasconsolidadoset[[#Headers],[10]],tabela_registros[REGISTRO],DADOS!$N$3,tabela_registros[TIPO],DADOS!$V$3,tabela_registros[CATEGORIA],receitasfixasconsolidadoset[[#This Row],[ATUAL]])</f>
        <v>0</v>
      </c>
      <c r="O86" s="119" t="n">
        <f aca="false">SUMIFS(tabela_registros[VALOR],tabela_registros[MÊS],$AE$1,tabela_registros[DIA],receitasfixasconsolidadoset[[#Headers],[11]],tabela_registros[REGISTRO],DADOS!$N$3,tabela_registros[TIPO],DADOS!$V$3,tabela_registros[CATEGORIA],receitasfixasconsolidadoset[[#This Row],[ATUAL]])</f>
        <v>0</v>
      </c>
      <c r="P86" s="119" t="n">
        <f aca="false">SUMIFS(tabela_registros[VALOR],tabela_registros[MÊS],$AE$1,tabela_registros[DIA],receitasfixasconsolidadoset[[#Headers],[12]],tabela_registros[REGISTRO],DADOS!$N$3,tabela_registros[TIPO],DADOS!$V$3,tabela_registros[CATEGORIA],receitasfixasconsolidadoset[[#This Row],[ATUAL]])</f>
        <v>0</v>
      </c>
      <c r="Q86" s="119" t="n">
        <f aca="false">SUMIFS(tabela_registros[VALOR],tabela_registros[MÊS],$AE$1,tabela_registros[DIA],receitasfixasconsolidadoset[[#Headers],[13]],tabela_registros[REGISTRO],DADOS!$N$3,tabela_registros[TIPO],DADOS!$V$3,tabela_registros[CATEGORIA],receitasfixasconsolidadoset[[#This Row],[ATUAL]])</f>
        <v>0</v>
      </c>
      <c r="R86" s="119" t="n">
        <f aca="false">SUMIFS(tabela_registros[VALOR],tabela_registros[MÊS],$AE$1,tabela_registros[DIA],receitasfixasconsolidadoset[[#Headers],[14]],tabela_registros[REGISTRO],DADOS!$N$3,tabela_registros[TIPO],DADOS!$V$3,tabela_registros[CATEGORIA],receitasfixasconsolidadoset[[#This Row],[ATUAL]])</f>
        <v>0</v>
      </c>
      <c r="S86" s="119" t="n">
        <f aca="false">SUMIFS(tabela_registros[VALOR],tabela_registros[MÊS],$AE$1,tabela_registros[DIA],receitasfixasconsolidadoset[[#Headers],[15]],tabela_registros[REGISTRO],DADOS!$N$3,tabela_registros[TIPO],DADOS!$V$3,tabela_registros[CATEGORIA],receitasfixasconsolidadoset[[#This Row],[ATUAL]])</f>
        <v>0</v>
      </c>
      <c r="T86" s="119" t="n">
        <f aca="false">SUMIFS(tabela_registros[VALOR],tabela_registros[MÊS],$AE$1,tabela_registros[DIA],receitasfixasconsolidadoset[[#Headers],[16]],tabela_registros[REGISTRO],DADOS!$N$3,tabela_registros[TIPO],DADOS!$V$3,tabela_registros[CATEGORIA],receitasfixasconsolidadoset[[#This Row],[ATUAL]])</f>
        <v>0</v>
      </c>
      <c r="U86" s="119" t="n">
        <f aca="false">SUMIFS(tabela_registros[VALOR],tabela_registros[MÊS],$AE$1,tabela_registros[DIA],receitasfixasconsolidadoset[[#Headers],[17]],tabela_registros[REGISTRO],DADOS!$N$3,tabela_registros[TIPO],DADOS!$V$3,tabela_registros[CATEGORIA],receitasfixasconsolidadoset[[#This Row],[ATUAL]])</f>
        <v>0</v>
      </c>
      <c r="V86" s="119" t="n">
        <f aca="false">SUMIFS(tabela_registros[VALOR],tabela_registros[MÊS],$AE$1,tabela_registros[DIA],receitasfixasconsolidadoset[[#Headers],[18]],tabela_registros[REGISTRO],DADOS!$N$3,tabela_registros[TIPO],DADOS!$V$3,tabela_registros[CATEGORIA],receitasfixasconsolidadoset[[#This Row],[ATUAL]])</f>
        <v>0</v>
      </c>
      <c r="W86" s="119" t="n">
        <f aca="false">SUMIFS(tabela_registros[VALOR],tabela_registros[MÊS],$AE$1,tabela_registros[DIA],receitasfixasconsolidadoset[[#Headers],[19]],tabela_registros[REGISTRO],DADOS!$N$3,tabela_registros[TIPO],DADOS!$V$3,tabela_registros[CATEGORIA],receitasfixasconsolidadoset[[#This Row],[ATUAL]])</f>
        <v>0</v>
      </c>
      <c r="X86" s="119" t="n">
        <f aca="false">SUMIFS(tabela_registros[VALOR],tabela_registros[MÊS],$AE$1,tabela_registros[DIA],receitasfixasconsolidadoset[[#Headers],[20]],tabela_registros[REGISTRO],DADOS!$N$3,tabela_registros[TIPO],DADOS!$V$3,tabela_registros[CATEGORIA],receitasfixasconsolidadoset[[#This Row],[ATUAL]])</f>
        <v>0</v>
      </c>
      <c r="Y86" s="119" t="n">
        <f aca="false">SUMIFS(tabela_registros[VALOR],tabela_registros[MÊS],$AE$1,tabela_registros[DIA],receitasfixasconsolidadoset[[#Headers],[21]],tabela_registros[REGISTRO],DADOS!$N$3,tabela_registros[TIPO],DADOS!$V$3,tabela_registros[CATEGORIA],receitasfixasconsolidadoset[[#This Row],[ATUAL]])</f>
        <v>0</v>
      </c>
      <c r="Z86" s="119" t="n">
        <f aca="false">SUMIFS(tabela_registros[VALOR],tabela_registros[MÊS],$AE$1,tabela_registros[DIA],receitasfixasconsolidadoset[[#Headers],[22]],tabela_registros[REGISTRO],DADOS!$N$3,tabela_registros[TIPO],DADOS!$V$3,tabela_registros[CATEGORIA],receitasfixasconsolidadoset[[#This Row],[ATUAL]])</f>
        <v>0</v>
      </c>
      <c r="AA86" s="119" t="n">
        <f aca="false">SUMIFS(tabela_registros[VALOR],tabela_registros[MÊS],$AE$1,tabela_registros[DIA],receitasfixasconsolidadoset[[#Headers],[23]],tabela_registros[REGISTRO],DADOS!$N$3,tabela_registros[TIPO],DADOS!$V$3,tabela_registros[CATEGORIA],receitasfixasconsolidadoset[[#This Row],[ATUAL]])</f>
        <v>0</v>
      </c>
      <c r="AB86" s="119" t="n">
        <f aca="false">SUMIFS(tabela_registros[VALOR],tabela_registros[MÊS],$AE$1,tabela_registros[DIA],receitasfixasconsolidadoset[[#Headers],[24]],tabela_registros[REGISTRO],DADOS!$N$3,tabela_registros[TIPO],DADOS!$V$3,tabela_registros[CATEGORIA],receitasfixasconsolidadoset[[#This Row],[ATUAL]])</f>
        <v>0</v>
      </c>
      <c r="AC86" s="119" t="n">
        <f aca="false">SUMIFS(tabela_registros[VALOR],tabela_registros[MÊS],$AE$1,tabela_registros[DIA],receitasfixasconsolidadoset[[#Headers],[25]],tabela_registros[REGISTRO],DADOS!$N$3,tabela_registros[TIPO],DADOS!$V$3,tabela_registros[CATEGORIA],receitasfixasconsolidadoset[[#This Row],[ATUAL]])</f>
        <v>0</v>
      </c>
      <c r="AD86" s="119" t="n">
        <f aca="false">SUMIFS(tabela_registros[VALOR],tabela_registros[MÊS],$AE$1,tabela_registros[DIA],receitasfixasconsolidadoset[[#Headers],[26]],tabela_registros[REGISTRO],DADOS!$N$3,tabela_registros[TIPO],DADOS!$V$3,tabela_registros[CATEGORIA],receitasfixasconsolidadoset[[#This Row],[ATUAL]])</f>
        <v>0</v>
      </c>
      <c r="AE86" s="119" t="n">
        <f aca="false">SUMIFS(tabela_registros[VALOR],tabela_registros[MÊS],$AE$1,tabela_registros[DIA],receitasfixasconsolidadoset[[#Headers],[27]],tabela_registros[REGISTRO],DADOS!$N$3,tabela_registros[TIPO],DADOS!$V$3,tabela_registros[CATEGORIA],receitasfixasconsolidadoset[[#This Row],[ATUAL]])</f>
        <v>0</v>
      </c>
      <c r="AF86" s="119" t="n">
        <f aca="false">SUMIFS(tabela_registros[VALOR],tabela_registros[MÊS],$AE$1,tabela_registros[DIA],receitasfixasconsolidadoset[[#Headers],[28]],tabela_registros[REGISTRO],DADOS!$N$3,tabela_registros[TIPO],DADOS!$V$3,tabela_registros[CATEGORIA],receitasfixasconsolidadoset[[#This Row],[ATUAL]])</f>
        <v>0</v>
      </c>
      <c r="AG86" s="119" t="n">
        <f aca="false">SUMIFS(tabela_registros[VALOR],tabela_registros[MÊS],$AE$1,tabela_registros[DIA],receitasfixasconsolidadoset[[#Headers],[29]],tabela_registros[REGISTRO],DADOS!$N$3,tabela_registros[TIPO],DADOS!$V$3,tabela_registros[CATEGORIA],receitasfixasconsolidadoset[[#This Row],[ATUAL]])</f>
        <v>0</v>
      </c>
      <c r="AH86" s="119" t="n">
        <f aca="false">SUMIFS(tabela_registros[VALOR],tabela_registros[MÊS],$AE$1,tabela_registros[DIA],receitasfixasconsolidadoset[[#Headers],[30]],tabela_registros[REGISTRO],DADOS!$N$3,tabela_registros[TIPO],DADOS!$V$3,tabela_registros[CATEGORIA],receitasfixasconsolidadoset[[#This Row],[ATUAL]])</f>
        <v>0</v>
      </c>
      <c r="AI86" s="218" t="n">
        <f aca="false">SUMIFS(tabela_registros[VALOR],tabela_registros[MÊS],$AE$1,tabela_registros[DIA],receitasfixasconsolidadoset[[#Headers],[31]],tabela_registros[REGISTRO],DADOS!$N$3,tabela_registros[TIPO],DADOS!$V$3,tabela_registros[CATEGORIA],receitasfixasconsolidadoset[[#This Row],[ATUAL]])</f>
        <v>0</v>
      </c>
      <c r="AJ86" s="149" t="n">
        <f aca="false">SUM(receitasfixasconsolidadoset[[#This Row],[1]:[31]])</f>
        <v>0</v>
      </c>
      <c r="AK86" s="165"/>
    </row>
    <row r="87" s="122" customFormat="true" ht="21" hidden="false" customHeight="true" outlineLevel="0" collapsed="false">
      <c r="B87" s="152"/>
      <c r="C87" s="153" t="s">
        <v>2</v>
      </c>
      <c r="D87" s="166"/>
      <c r="E87" s="155" t="n">
        <f aca="false">SUM(E82:E86)</f>
        <v>0</v>
      </c>
      <c r="F87" s="156" t="n">
        <f aca="false">SUM(F82:F86)+receitasfixasconsolidadoset[[#This Row],[1]]</f>
        <v>0</v>
      </c>
      <c r="G87" s="156" t="n">
        <f aca="false">SUM(G82:G86)+receitasfixasconsolidadoset[[#This Row],[2]]</f>
        <v>0</v>
      </c>
      <c r="H87" s="156" t="n">
        <f aca="false">SUM(H82:H86)+receitasfixasconsolidadoset[[#This Row],[3]]</f>
        <v>0</v>
      </c>
      <c r="I87" s="156" t="n">
        <f aca="false">SUM(I82:I86)+receitasfixasconsolidadoset[[#This Row],[4]]</f>
        <v>0</v>
      </c>
      <c r="J87" s="156" t="n">
        <f aca="false">SUM(J82:J86)+receitasfixasconsolidadoset[[#This Row],[5]]</f>
        <v>0</v>
      </c>
      <c r="K87" s="156" t="n">
        <f aca="false">SUM(K82:K86)+receitasfixasconsolidadoset[[#This Row],[6]]</f>
        <v>0</v>
      </c>
      <c r="L87" s="156" t="n">
        <f aca="false">SUM(L82:L86)+receitasfixasconsolidadoset[[#This Row],[7]]</f>
        <v>0</v>
      </c>
      <c r="M87" s="156" t="n">
        <f aca="false">SUM(M82:M86)+receitasfixasconsolidadoset[[#This Row],[8]]</f>
        <v>0</v>
      </c>
      <c r="N87" s="156" t="n">
        <f aca="false">SUM(N82:N86)+receitasfixasconsolidadoset[[#This Row],[9]]</f>
        <v>0</v>
      </c>
      <c r="O87" s="156" t="n">
        <f aca="false">SUM(O82:O86)+receitasfixasconsolidadoset[[#This Row],[10]]</f>
        <v>0</v>
      </c>
      <c r="P87" s="156" t="n">
        <f aca="false">SUM(P82:P86)+receitasfixasconsolidadoset[[#This Row],[11]]</f>
        <v>0</v>
      </c>
      <c r="Q87" s="156" t="n">
        <f aca="false">SUM(Q82:Q86)+receitasfixasconsolidadoset[[#This Row],[12]]</f>
        <v>0</v>
      </c>
      <c r="R87" s="156" t="n">
        <f aca="false">SUM(R82:R86)+receitasfixasconsolidadoset[[#This Row],[13]]</f>
        <v>0</v>
      </c>
      <c r="S87" s="156" t="n">
        <f aca="false">SUM(S82:S86)+receitasfixasconsolidadoset[[#This Row],[14]]</f>
        <v>0</v>
      </c>
      <c r="T87" s="156" t="n">
        <f aca="false">SUM(T82:T86)+receitasfixasconsolidadoset[[#This Row],[15]]</f>
        <v>0</v>
      </c>
      <c r="U87" s="156" t="n">
        <f aca="false">SUM(U82:U86)+receitasfixasconsolidadoset[[#This Row],[16]]</f>
        <v>0</v>
      </c>
      <c r="V87" s="156" t="n">
        <f aca="false">SUM(V82:V86)+receitasfixasconsolidadoset[[#This Row],[17]]</f>
        <v>0</v>
      </c>
      <c r="W87" s="156" t="n">
        <f aca="false">SUM(W82:W86)+receitasfixasconsolidadoset[[#This Row],[18]]</f>
        <v>0</v>
      </c>
      <c r="X87" s="156" t="n">
        <f aca="false">SUM(X82:X86)+receitasfixasconsolidadoset[[#This Row],[19]]</f>
        <v>0</v>
      </c>
      <c r="Y87" s="156" t="n">
        <f aca="false">SUM(Y82:Y86)+receitasfixasconsolidadoset[[#This Row],[20]]</f>
        <v>0</v>
      </c>
      <c r="Z87" s="156" t="n">
        <f aca="false">SUM(Z82:Z86)+receitasfixasconsolidadoset[[#This Row],[21]]</f>
        <v>0</v>
      </c>
      <c r="AA87" s="156" t="n">
        <f aca="false">SUM(AA82:AA86)+receitasfixasconsolidadoset[[#This Row],[22]]</f>
        <v>0</v>
      </c>
      <c r="AB87" s="156" t="n">
        <f aca="false">SUM(AB82:AB86)+receitasfixasconsolidadoset[[#This Row],[23]]</f>
        <v>0</v>
      </c>
      <c r="AC87" s="156" t="n">
        <f aca="false">SUM(AC82:AC86)+receitasfixasconsolidadoset[[#This Row],[24]]</f>
        <v>0</v>
      </c>
      <c r="AD87" s="156" t="n">
        <f aca="false">SUM(AD82:AD86)+receitasfixasconsolidadoset[[#This Row],[25]]</f>
        <v>0</v>
      </c>
      <c r="AE87" s="156" t="n">
        <f aca="false">SUM(AE82:AE86)+receitasfixasconsolidadoset[[#This Row],[26]]</f>
        <v>0</v>
      </c>
      <c r="AF87" s="156" t="n">
        <f aca="false">SUM(AF82:AF86)+receitasfixasconsolidadoset[[#This Row],[27]]</f>
        <v>0</v>
      </c>
      <c r="AG87" s="156" t="n">
        <f aca="false">SUM(AG82:AG86)+receitasfixasconsolidadoset[[#This Row],[28]]</f>
        <v>0</v>
      </c>
      <c r="AH87" s="156" t="n">
        <f aca="false">SUM(AH82:AH86)+receitasfixasconsolidadoset[[#This Row],[29]]</f>
        <v>0</v>
      </c>
      <c r="AI87" s="223" t="n">
        <f aca="false">SUM(AI82:AI86)+receitasfixasconsolidadoset[[#This Row],[30]]</f>
        <v>0</v>
      </c>
      <c r="AJ87" s="157" t="n">
        <f aca="false">receitasfixasconsolidadoset[[#This Row],[31]]</f>
        <v>0</v>
      </c>
      <c r="AK87" s="158"/>
    </row>
    <row r="88" customFormat="false" ht="6.75" hidden="false" customHeight="true" outlineLevel="0" collapsed="false">
      <c r="B88" s="97"/>
      <c r="C88" s="162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233"/>
      <c r="AJ88" s="164"/>
      <c r="AK88" s="244"/>
    </row>
    <row r="89" s="78" customFormat="true" ht="12.75" hidden="false" customHeight="false" outlineLevel="0" collapsed="false">
      <c r="E89" s="100"/>
    </row>
    <row r="90" s="78" customFormat="true" ht="12" hidden="false" customHeight="false" outlineLevel="0" collapsed="false"/>
    <row r="91" s="78" customFormat="true" ht="12" hidden="false" customHeight="false" outlineLevel="0" collapsed="false"/>
    <row r="92" customFormat="false" ht="39.75" hidden="false" customHeight="true" outlineLevel="0" collapsed="false">
      <c r="C92" s="101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3" t="s">
        <v>2</v>
      </c>
    </row>
    <row r="93" s="78" customFormat="true" ht="12.75" hidden="false" customHeight="false" outlineLevel="0" collapsed="false">
      <c r="B93" s="161"/>
      <c r="AJ93" s="106" t="s">
        <v>64</v>
      </c>
    </row>
    <row r="94" customFormat="false" ht="6.75" hidden="false" customHeight="true" outlineLevel="0" collapsed="false">
      <c r="B94" s="86"/>
      <c r="C94" s="162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233"/>
      <c r="AK94" s="139"/>
    </row>
    <row r="95" customFormat="false" ht="13.5" hidden="true" customHeight="false" outlineLevel="0" collapsed="false">
      <c r="B95" s="86"/>
      <c r="C95" s="109" t="s">
        <v>68</v>
      </c>
      <c r="D95" s="110" t="s">
        <v>69</v>
      </c>
      <c r="E95" s="110" t="s">
        <v>30</v>
      </c>
      <c r="F95" s="110" t="s">
        <v>31</v>
      </c>
      <c r="G95" s="110" t="s">
        <v>32</v>
      </c>
      <c r="H95" s="110" t="s">
        <v>33</v>
      </c>
      <c r="I95" s="110" t="s">
        <v>34</v>
      </c>
      <c r="J95" s="110" t="s">
        <v>35</v>
      </c>
      <c r="K95" s="110" t="s">
        <v>36</v>
      </c>
      <c r="L95" s="110" t="s">
        <v>37</v>
      </c>
      <c r="M95" s="110" t="s">
        <v>38</v>
      </c>
      <c r="N95" s="110" t="s">
        <v>39</v>
      </c>
      <c r="O95" s="110" t="s">
        <v>40</v>
      </c>
      <c r="P95" s="110" t="s">
        <v>41</v>
      </c>
      <c r="Q95" s="110" t="s">
        <v>81</v>
      </c>
      <c r="R95" s="110" t="s">
        <v>82</v>
      </c>
      <c r="S95" s="110" t="s">
        <v>83</v>
      </c>
      <c r="T95" s="110" t="s">
        <v>84</v>
      </c>
      <c r="U95" s="110" t="s">
        <v>85</v>
      </c>
      <c r="V95" s="110" t="s">
        <v>86</v>
      </c>
      <c r="W95" s="110" t="s">
        <v>87</v>
      </c>
      <c r="X95" s="110" t="s">
        <v>88</v>
      </c>
      <c r="Y95" s="110" t="s">
        <v>89</v>
      </c>
      <c r="Z95" s="110" t="s">
        <v>90</v>
      </c>
      <c r="AA95" s="110" t="s">
        <v>91</v>
      </c>
      <c r="AB95" s="110" t="s">
        <v>92</v>
      </c>
      <c r="AC95" s="110" t="s">
        <v>93</v>
      </c>
      <c r="AD95" s="110" t="s">
        <v>94</v>
      </c>
      <c r="AE95" s="110" t="s">
        <v>95</v>
      </c>
      <c r="AF95" s="110" t="s">
        <v>96</v>
      </c>
      <c r="AG95" s="110" t="s">
        <v>97</v>
      </c>
      <c r="AH95" s="110" t="s">
        <v>98</v>
      </c>
      <c r="AI95" s="110" t="s">
        <v>99</v>
      </c>
      <c r="AJ95" s="111" t="s">
        <v>70</v>
      </c>
      <c r="AK95" s="86"/>
    </row>
    <row r="96" customFormat="false" ht="19.5" hidden="false" customHeight="true" outlineLevel="0" collapsed="false">
      <c r="B96" s="143"/>
      <c r="C96" s="144" t="str">
        <f aca="false">DADOS!$Z$3</f>
        <v>🏅 BÔNUS</v>
      </c>
      <c r="D96" s="145" t="str">
        <f aca="false">IF(receitasvariáveisconsolidadoset[[#This Row],[TOTAL (R$)]]=0,"",IF(OR(receitasvariáveisconsolidadoset[[#This Row],[TOTAL (R$)]]=LARGE($AJ$96:$AJ$103,1),receitasvariáveisconsolidadoset[[#This Row],[TOTAL (R$)]]=LARGE($AJ$96:$AJ$103,2)),DADOS!$I$9,""))</f>
        <v/>
      </c>
      <c r="E96" s="148" t="n">
        <f aca="false">SUMIFS(tabela_registros[VALOR],tabela_registros[MÊS],$AE$1,tabela_registros[DIA],receitasvariáveisconsolidadoset[[#Headers],[1]],tabela_registros[REGISTRO],DADOS!$N$3,tabela_registros[TIPO],DADOS!$V$4,tabela_registros[CATEGORIA],receitasvariáveisconsolidadoset[[#This Row],[ATUAL]])</f>
        <v>0</v>
      </c>
      <c r="F96" s="119" t="n">
        <f aca="false">SUMIFS(tabela_registros[VALOR],tabela_registros[MÊS],$AE$1,tabela_registros[DIA],receitasvariáveisconsolidadoset[[#Headers],[2]],tabela_registros[REGISTRO],DADOS!$N$3,tabela_registros[TIPO],DADOS!$V$4,tabela_registros[CATEGORIA],receitasvariáveisconsolidadoset[[#This Row],[ATUAL]])</f>
        <v>0</v>
      </c>
      <c r="G96" s="119" t="n">
        <f aca="false">SUMIFS(tabela_registros[VALOR],tabela_registros[MÊS],$AE$1,tabela_registros[DIA],receitasvariáveisconsolidadoset[[#Headers],[3]],tabela_registros[REGISTRO],DADOS!$N$3,tabela_registros[TIPO],DADOS!$V$4,tabela_registros[CATEGORIA],receitasvariáveisconsolidadoset[[#This Row],[ATUAL]])</f>
        <v>0</v>
      </c>
      <c r="H96" s="119" t="n">
        <f aca="false">SUMIFS(tabela_registros[VALOR],tabela_registros[MÊS],$AE$1,tabela_registros[DIA],receitasvariáveisconsolidadoset[[#Headers],[4]],tabela_registros[REGISTRO],DADOS!$N$3,tabela_registros[TIPO],DADOS!$V$4,tabela_registros[CATEGORIA],receitasvariáveisconsolidadoset[[#This Row],[ATUAL]])</f>
        <v>0</v>
      </c>
      <c r="I96" s="119" t="n">
        <f aca="false">SUMIFS(tabela_registros[VALOR],tabela_registros[MÊS],$AE$1,tabela_registros[DIA],receitasvariáveisconsolidadoset[[#Headers],[5]],tabela_registros[REGISTRO],DADOS!$N$3,tabela_registros[TIPO],DADOS!$V$4,tabela_registros[CATEGORIA],receitasvariáveisconsolidadoset[[#This Row],[ATUAL]])</f>
        <v>0</v>
      </c>
      <c r="J96" s="119" t="n">
        <f aca="false">SUMIFS(tabela_registros[VALOR],tabela_registros[MÊS],$AE$1,tabela_registros[DIA],receitasvariáveisconsolidadoset[[#Headers],[6]],tabela_registros[REGISTRO],DADOS!$N$3,tabela_registros[TIPO],DADOS!$V$4,tabela_registros[CATEGORIA],receitasvariáveisconsolidadoset[[#This Row],[ATUAL]])</f>
        <v>0</v>
      </c>
      <c r="K96" s="119" t="n">
        <f aca="false">SUMIFS(tabela_registros[VALOR],tabela_registros[MÊS],$AE$1,tabela_registros[DIA],receitasvariáveisconsolidadoset[[#Headers],[7]],tabela_registros[REGISTRO],DADOS!$N$3,tabela_registros[TIPO],DADOS!$V$4,tabela_registros[CATEGORIA],receitasvariáveisconsolidadoset[[#This Row],[ATUAL]])</f>
        <v>0</v>
      </c>
      <c r="L96" s="119" t="n">
        <f aca="false">SUMIFS(tabela_registros[VALOR],tabela_registros[MÊS],$AE$1,tabela_registros[DIA],receitasvariáveisconsolidadoset[[#Headers],[8]],tabela_registros[REGISTRO],DADOS!$N$3,tabela_registros[TIPO],DADOS!$V$4,tabela_registros[CATEGORIA],receitasvariáveisconsolidadoset[[#This Row],[ATUAL]])</f>
        <v>0</v>
      </c>
      <c r="M96" s="119" t="n">
        <f aca="false">SUMIFS(tabela_registros[VALOR],tabela_registros[MÊS],$AE$1,tabela_registros[DIA],receitasvariáveisconsolidadoset[[#Headers],[9]],tabela_registros[REGISTRO],DADOS!$N$3,tabela_registros[TIPO],DADOS!$V$4,tabela_registros[CATEGORIA],receitasvariáveisconsolidadoset[[#This Row],[ATUAL]])</f>
        <v>0</v>
      </c>
      <c r="N96" s="119" t="n">
        <f aca="false">SUMIFS(tabela_registros[VALOR],tabela_registros[MÊS],$AE$1,tabela_registros[DIA],receitasvariáveisconsolidadoset[[#Headers],[10]],tabela_registros[REGISTRO],DADOS!$N$3,tabela_registros[TIPO],DADOS!$V$4,tabela_registros[CATEGORIA],receitasvariáveisconsolidadoset[[#This Row],[ATUAL]])</f>
        <v>0</v>
      </c>
      <c r="O96" s="119" t="n">
        <f aca="false">SUMIFS(tabela_registros[VALOR],tabela_registros[MÊS],$AE$1,tabela_registros[DIA],receitasvariáveisconsolidadoset[[#Headers],[11]],tabela_registros[REGISTRO],DADOS!$N$3,tabela_registros[TIPO],DADOS!$V$4,tabela_registros[CATEGORIA],receitasvariáveisconsolidadoset[[#This Row],[ATUAL]])</f>
        <v>0</v>
      </c>
      <c r="P96" s="119" t="n">
        <f aca="false">SUMIFS(tabela_registros[VALOR],tabela_registros[MÊS],$AE$1,tabela_registros[DIA],receitasvariáveisconsolidadoset[[#Headers],[12]],tabela_registros[REGISTRO],DADOS!$N$3,tabela_registros[TIPO],DADOS!$V$4,tabela_registros[CATEGORIA],receitasvariáveisconsolidadoset[[#This Row],[ATUAL]])</f>
        <v>0</v>
      </c>
      <c r="Q96" s="119" t="n">
        <f aca="false">SUMIFS(tabela_registros[VALOR],tabela_registros[MÊS],$AE$1,tabela_registros[DIA],receitasvariáveisconsolidadoset[[#Headers],[13]],tabela_registros[REGISTRO],DADOS!$N$3,tabela_registros[TIPO],DADOS!$V$4,tabela_registros[CATEGORIA],receitasvariáveisconsolidadoset[[#This Row],[ATUAL]])</f>
        <v>0</v>
      </c>
      <c r="R96" s="119" t="n">
        <f aca="false">SUMIFS(tabela_registros[VALOR],tabela_registros[MÊS],$AE$1,tabela_registros[DIA],receitasvariáveisconsolidadoset[[#Headers],[14]],tabela_registros[REGISTRO],DADOS!$N$3,tabela_registros[TIPO],DADOS!$V$4,tabela_registros[CATEGORIA],receitasvariáveisconsolidadoset[[#This Row],[ATUAL]])</f>
        <v>0</v>
      </c>
      <c r="S96" s="119" t="n">
        <f aca="false">SUMIFS(tabela_registros[VALOR],tabela_registros[MÊS],$AE$1,tabela_registros[DIA],receitasvariáveisconsolidadoset[[#Headers],[15]],tabela_registros[REGISTRO],DADOS!$N$3,tabela_registros[TIPO],DADOS!$V$4,tabela_registros[CATEGORIA],receitasvariáveisconsolidadoset[[#This Row],[ATUAL]])</f>
        <v>0</v>
      </c>
      <c r="T96" s="119" t="n">
        <f aca="false">SUMIFS(tabela_registros[VALOR],tabela_registros[MÊS],$AE$1,tabela_registros[DIA],receitasvariáveisconsolidadoset[[#Headers],[16]],tabela_registros[REGISTRO],DADOS!$N$3,tabela_registros[TIPO],DADOS!$V$4,tabela_registros[CATEGORIA],receitasvariáveisconsolidadoset[[#This Row],[ATUAL]])</f>
        <v>0</v>
      </c>
      <c r="U96" s="119" t="n">
        <f aca="false">SUMIFS(tabela_registros[VALOR],tabela_registros[MÊS],$AE$1,tabela_registros[DIA],receitasvariáveisconsolidadoset[[#Headers],[17]],tabela_registros[REGISTRO],DADOS!$N$3,tabela_registros[TIPO],DADOS!$V$4,tabela_registros[CATEGORIA],receitasvariáveisconsolidadoset[[#This Row],[ATUAL]])</f>
        <v>0</v>
      </c>
      <c r="V96" s="119" t="n">
        <f aca="false">SUMIFS(tabela_registros[VALOR],tabela_registros[MÊS],$AE$1,tabela_registros[DIA],receitasvariáveisconsolidadoset[[#Headers],[18]],tabela_registros[REGISTRO],DADOS!$N$3,tabela_registros[TIPO],DADOS!$V$4,tabela_registros[CATEGORIA],receitasvariáveisconsolidadoset[[#This Row],[ATUAL]])</f>
        <v>0</v>
      </c>
      <c r="W96" s="119" t="n">
        <f aca="false">SUMIFS(tabela_registros[VALOR],tabela_registros[MÊS],$AE$1,tabela_registros[DIA],receitasvariáveisconsolidadoset[[#Headers],[19]],tabela_registros[REGISTRO],DADOS!$N$3,tabela_registros[TIPO],DADOS!$V$4,tabela_registros[CATEGORIA],receitasvariáveisconsolidadoset[[#This Row],[ATUAL]])</f>
        <v>0</v>
      </c>
      <c r="X96" s="119" t="n">
        <f aca="false">SUMIFS(tabela_registros[VALOR],tabela_registros[MÊS],$AE$1,tabela_registros[DIA],receitasvariáveisconsolidadoset[[#Headers],[20]],tabela_registros[REGISTRO],DADOS!$N$3,tabela_registros[TIPO],DADOS!$V$4,tabela_registros[CATEGORIA],receitasvariáveisconsolidadoset[[#This Row],[ATUAL]])</f>
        <v>0</v>
      </c>
      <c r="Y96" s="119" t="n">
        <f aca="false">SUMIFS(tabela_registros[VALOR],tabela_registros[MÊS],$AE$1,tabela_registros[DIA],receitasvariáveisconsolidadoset[[#Headers],[21]],tabela_registros[REGISTRO],DADOS!$N$3,tabela_registros[TIPO],DADOS!$V$4,tabela_registros[CATEGORIA],receitasvariáveisconsolidadoset[[#This Row],[ATUAL]])</f>
        <v>0</v>
      </c>
      <c r="Z96" s="119" t="n">
        <f aca="false">SUMIFS(tabela_registros[VALOR],tabela_registros[MÊS],$AE$1,tabela_registros[DIA],receitasvariáveisconsolidadoset[[#Headers],[22]],tabela_registros[REGISTRO],DADOS!$N$3,tabela_registros[TIPO],DADOS!$V$4,tabela_registros[CATEGORIA],receitasvariáveisconsolidadoset[[#This Row],[ATUAL]])</f>
        <v>0</v>
      </c>
      <c r="AA96" s="119" t="n">
        <f aca="false">SUMIFS(tabela_registros[VALOR],tabela_registros[MÊS],$AE$1,tabela_registros[DIA],receitasvariáveisconsolidadoset[[#Headers],[23]],tabela_registros[REGISTRO],DADOS!$N$3,tabela_registros[TIPO],DADOS!$V$4,tabela_registros[CATEGORIA],receitasvariáveisconsolidadoset[[#This Row],[ATUAL]])</f>
        <v>0</v>
      </c>
      <c r="AB96" s="119" t="n">
        <f aca="false">SUMIFS(tabela_registros[VALOR],tabela_registros[MÊS],$AE$1,tabela_registros[DIA],receitasvariáveisconsolidadoset[[#Headers],[24]],tabela_registros[REGISTRO],DADOS!$N$3,tabela_registros[TIPO],DADOS!$V$4,tabela_registros[CATEGORIA],receitasvariáveisconsolidadoset[[#This Row],[ATUAL]])</f>
        <v>0</v>
      </c>
      <c r="AC96" s="119" t="n">
        <f aca="false">SUMIFS(tabela_registros[VALOR],tabela_registros[MÊS],$AE$1,tabela_registros[DIA],receitasvariáveisconsolidadoset[[#Headers],[25]],tabela_registros[REGISTRO],DADOS!$N$3,tabela_registros[TIPO],DADOS!$V$4,tabela_registros[CATEGORIA],receitasvariáveisconsolidadoset[[#This Row],[ATUAL]])</f>
        <v>0</v>
      </c>
      <c r="AD96" s="119" t="n">
        <f aca="false">SUMIFS(tabela_registros[VALOR],tabela_registros[MÊS],$AE$1,tabela_registros[DIA],receitasvariáveisconsolidadoset[[#Headers],[26]],tabela_registros[REGISTRO],DADOS!$N$3,tabela_registros[TIPO],DADOS!$V$4,tabela_registros[CATEGORIA],receitasvariáveisconsolidadoset[[#This Row],[ATUAL]])</f>
        <v>0</v>
      </c>
      <c r="AE96" s="119" t="n">
        <f aca="false">SUMIFS(tabela_registros[VALOR],tabela_registros[MÊS],$AE$1,tabela_registros[DIA],receitasvariáveisconsolidadoset[[#Headers],[27]],tabela_registros[REGISTRO],DADOS!$N$3,tabela_registros[TIPO],DADOS!$V$4,tabela_registros[CATEGORIA],receitasvariáveisconsolidadoset[[#This Row],[ATUAL]])</f>
        <v>0</v>
      </c>
      <c r="AF96" s="119" t="n">
        <f aca="false">SUMIFS(tabela_registros[VALOR],tabela_registros[MÊS],$AE$1,tabela_registros[DIA],receitasvariáveisconsolidadoset[[#Headers],[28]],tabela_registros[REGISTRO],DADOS!$N$3,tabela_registros[TIPO],DADOS!$V$4,tabela_registros[CATEGORIA],receitasvariáveisconsolidadoset[[#This Row],[ATUAL]])</f>
        <v>0</v>
      </c>
      <c r="AG96" s="119" t="n">
        <f aca="false">SUMIFS(tabela_registros[VALOR],tabela_registros[MÊS],$AE$1,tabela_registros[DIA],receitasvariáveisconsolidadoset[[#Headers],[29]],tabela_registros[REGISTRO],DADOS!$N$3,tabela_registros[TIPO],DADOS!$V$4,tabela_registros[CATEGORIA],receitasvariáveisconsolidadoset[[#This Row],[ATUAL]])</f>
        <v>0</v>
      </c>
      <c r="AH96" s="119" t="n">
        <f aca="false">SUMIFS(tabela_registros[VALOR],tabela_registros[MÊS],$AE$1,tabela_registros[DIA],receitasvariáveisconsolidadoset[[#Headers],[30]],tabela_registros[REGISTRO],DADOS!$N$3,tabela_registros[TIPO],DADOS!$V$4,tabela_registros[CATEGORIA],receitasvariáveisconsolidadoset[[#This Row],[ATUAL]])</f>
        <v>0</v>
      </c>
      <c r="AI96" s="217" t="n">
        <f aca="false">SUMIFS(tabela_registros[VALOR],tabela_registros[MÊS],$AE$1,tabela_registros[DIA],receitasvariáveisconsolidadoset[[#Headers],[31]],tabela_registros[REGISTRO],DADOS!$N$3,tabela_registros[TIPO],DADOS!$V$4,tabela_registros[CATEGORIA],receitasvariáveisconsolidadoset[[#This Row],[ATUAL]])</f>
        <v>0</v>
      </c>
      <c r="AJ96" s="149" t="n">
        <f aca="false">SUM(receitasvariáveisconsolidadoset[[#This Row],[1]:[31]])</f>
        <v>0</v>
      </c>
      <c r="AK96" s="165"/>
    </row>
    <row r="97" customFormat="false" ht="19.5" hidden="false" customHeight="true" outlineLevel="0" collapsed="false">
      <c r="B97" s="143"/>
      <c r="C97" s="144" t="str">
        <f aca="false">DADOS!$Z$4</f>
        <v>🤑 COMISSÃO</v>
      </c>
      <c r="D97" s="145" t="str">
        <f aca="false">IF(receitasvariáveisconsolidadoset[[#This Row],[TOTAL (R$)]]=0,"",IF(OR(receitasvariáveisconsolidadoset[[#This Row],[TOTAL (R$)]]=LARGE($AJ$96:$AJ$103,1),receitasvariáveisconsolidadoset[[#This Row],[TOTAL (R$)]]=LARGE($AJ$96:$AJ$103,2)),DADOS!$I$9,""))</f>
        <v/>
      </c>
      <c r="E97" s="148" t="n">
        <f aca="false">SUMIFS(tabela_registros[VALOR],tabela_registros[MÊS],$AE$1,tabela_registros[DIA],receitasvariáveisconsolidadoset[[#Headers],[1]],tabela_registros[REGISTRO],DADOS!$N$3,tabela_registros[TIPO],DADOS!$V$4,tabela_registros[CATEGORIA],receitasvariáveisconsolidadoset[[#This Row],[ATUAL]])</f>
        <v>0</v>
      </c>
      <c r="F97" s="119" t="n">
        <f aca="false">SUMIFS(tabela_registros[VALOR],tabela_registros[MÊS],$AE$1,tabela_registros[DIA],receitasvariáveisconsolidadoset[[#Headers],[2]],tabela_registros[REGISTRO],DADOS!$N$3,tabela_registros[TIPO],DADOS!$V$4,tabela_registros[CATEGORIA],receitasvariáveisconsolidadoset[[#This Row],[ATUAL]])</f>
        <v>0</v>
      </c>
      <c r="G97" s="119" t="n">
        <f aca="false">SUMIFS(tabela_registros[VALOR],tabela_registros[MÊS],$AE$1,tabela_registros[DIA],receitasvariáveisconsolidadoset[[#Headers],[3]],tabela_registros[REGISTRO],DADOS!$N$3,tabela_registros[TIPO],DADOS!$V$4,tabela_registros[CATEGORIA],receitasvariáveisconsolidadoset[[#This Row],[ATUAL]])</f>
        <v>0</v>
      </c>
      <c r="H97" s="119" t="n">
        <f aca="false">SUMIFS(tabela_registros[VALOR],tabela_registros[MÊS],$AE$1,tabela_registros[DIA],receitasvariáveisconsolidadoset[[#Headers],[4]],tabela_registros[REGISTRO],DADOS!$N$3,tabela_registros[TIPO],DADOS!$V$4,tabela_registros[CATEGORIA],receitasvariáveisconsolidadoset[[#This Row],[ATUAL]])</f>
        <v>0</v>
      </c>
      <c r="I97" s="119" t="n">
        <f aca="false">SUMIFS(tabela_registros[VALOR],tabela_registros[MÊS],$AE$1,tabela_registros[DIA],receitasvariáveisconsolidadoset[[#Headers],[5]],tabela_registros[REGISTRO],DADOS!$N$3,tabela_registros[TIPO],DADOS!$V$4,tabela_registros[CATEGORIA],receitasvariáveisconsolidadoset[[#This Row],[ATUAL]])</f>
        <v>0</v>
      </c>
      <c r="J97" s="119" t="n">
        <f aca="false">SUMIFS(tabela_registros[VALOR],tabela_registros[MÊS],$AE$1,tabela_registros[DIA],receitasvariáveisconsolidadoset[[#Headers],[6]],tabela_registros[REGISTRO],DADOS!$N$3,tabela_registros[TIPO],DADOS!$V$4,tabela_registros[CATEGORIA],receitasvariáveisconsolidadoset[[#This Row],[ATUAL]])</f>
        <v>0</v>
      </c>
      <c r="K97" s="119" t="n">
        <f aca="false">SUMIFS(tabela_registros[VALOR],tabela_registros[MÊS],$AE$1,tabela_registros[DIA],receitasvariáveisconsolidadoset[[#Headers],[7]],tabela_registros[REGISTRO],DADOS!$N$3,tabela_registros[TIPO],DADOS!$V$4,tabela_registros[CATEGORIA],receitasvariáveisconsolidadoset[[#This Row],[ATUAL]])</f>
        <v>0</v>
      </c>
      <c r="L97" s="119" t="n">
        <f aca="false">SUMIFS(tabela_registros[VALOR],tabela_registros[MÊS],$AE$1,tabela_registros[DIA],receitasvariáveisconsolidadoset[[#Headers],[8]],tabela_registros[REGISTRO],DADOS!$N$3,tabela_registros[TIPO],DADOS!$V$4,tabela_registros[CATEGORIA],receitasvariáveisconsolidadoset[[#This Row],[ATUAL]])</f>
        <v>0</v>
      </c>
      <c r="M97" s="119" t="n">
        <f aca="false">SUMIFS(tabela_registros[VALOR],tabela_registros[MÊS],$AE$1,tabela_registros[DIA],receitasvariáveisconsolidadoset[[#Headers],[9]],tabela_registros[REGISTRO],DADOS!$N$3,tabela_registros[TIPO],DADOS!$V$4,tabela_registros[CATEGORIA],receitasvariáveisconsolidadoset[[#This Row],[ATUAL]])</f>
        <v>0</v>
      </c>
      <c r="N97" s="119" t="n">
        <f aca="false">SUMIFS(tabela_registros[VALOR],tabela_registros[MÊS],$AE$1,tabela_registros[DIA],receitasvariáveisconsolidadoset[[#Headers],[10]],tabela_registros[REGISTRO],DADOS!$N$3,tabela_registros[TIPO],DADOS!$V$4,tabela_registros[CATEGORIA],receitasvariáveisconsolidadoset[[#This Row],[ATUAL]])</f>
        <v>0</v>
      </c>
      <c r="O97" s="119" t="n">
        <f aca="false">SUMIFS(tabela_registros[VALOR],tabela_registros[MÊS],$AE$1,tabela_registros[DIA],receitasvariáveisconsolidadoset[[#Headers],[11]],tabela_registros[REGISTRO],DADOS!$N$3,tabela_registros[TIPO],DADOS!$V$4,tabela_registros[CATEGORIA],receitasvariáveisconsolidadoset[[#This Row],[ATUAL]])</f>
        <v>0</v>
      </c>
      <c r="P97" s="119" t="n">
        <f aca="false">SUMIFS(tabela_registros[VALOR],tabela_registros[MÊS],$AE$1,tabela_registros[DIA],receitasvariáveisconsolidadoset[[#Headers],[12]],tabela_registros[REGISTRO],DADOS!$N$3,tabela_registros[TIPO],DADOS!$V$4,tabela_registros[CATEGORIA],receitasvariáveisconsolidadoset[[#This Row],[ATUAL]])</f>
        <v>0</v>
      </c>
      <c r="Q97" s="119" t="n">
        <f aca="false">SUMIFS(tabela_registros[VALOR],tabela_registros[MÊS],$AE$1,tabela_registros[DIA],receitasvariáveisconsolidadoset[[#Headers],[13]],tabela_registros[REGISTRO],DADOS!$N$3,tabela_registros[TIPO],DADOS!$V$4,tabela_registros[CATEGORIA],receitasvariáveisconsolidadoset[[#This Row],[ATUAL]])</f>
        <v>0</v>
      </c>
      <c r="R97" s="119" t="n">
        <f aca="false">SUMIFS(tabela_registros[VALOR],tabela_registros[MÊS],$AE$1,tabela_registros[DIA],receitasvariáveisconsolidadoset[[#Headers],[14]],tabela_registros[REGISTRO],DADOS!$N$3,tabela_registros[TIPO],DADOS!$V$4,tabela_registros[CATEGORIA],receitasvariáveisconsolidadoset[[#This Row],[ATUAL]])</f>
        <v>0</v>
      </c>
      <c r="S97" s="119" t="n">
        <f aca="false">SUMIFS(tabela_registros[VALOR],tabela_registros[MÊS],$AE$1,tabela_registros[DIA],receitasvariáveisconsolidadoset[[#Headers],[15]],tabela_registros[REGISTRO],DADOS!$N$3,tabela_registros[TIPO],DADOS!$V$4,tabela_registros[CATEGORIA],receitasvariáveisconsolidadoset[[#This Row],[ATUAL]])</f>
        <v>0</v>
      </c>
      <c r="T97" s="119" t="n">
        <f aca="false">SUMIFS(tabela_registros[VALOR],tabela_registros[MÊS],$AE$1,tabela_registros[DIA],receitasvariáveisconsolidadoset[[#Headers],[16]],tabela_registros[REGISTRO],DADOS!$N$3,tabela_registros[TIPO],DADOS!$V$4,tabela_registros[CATEGORIA],receitasvariáveisconsolidadoset[[#This Row],[ATUAL]])</f>
        <v>0</v>
      </c>
      <c r="U97" s="119" t="n">
        <f aca="false">SUMIFS(tabela_registros[VALOR],tabela_registros[MÊS],$AE$1,tabela_registros[DIA],receitasvariáveisconsolidadoset[[#Headers],[17]],tabela_registros[REGISTRO],DADOS!$N$3,tabela_registros[TIPO],DADOS!$V$4,tabela_registros[CATEGORIA],receitasvariáveisconsolidadoset[[#This Row],[ATUAL]])</f>
        <v>0</v>
      </c>
      <c r="V97" s="119" t="n">
        <f aca="false">SUMIFS(tabela_registros[VALOR],tabela_registros[MÊS],$AE$1,tabela_registros[DIA],receitasvariáveisconsolidadoset[[#Headers],[18]],tabela_registros[REGISTRO],DADOS!$N$3,tabela_registros[TIPO],DADOS!$V$4,tabela_registros[CATEGORIA],receitasvariáveisconsolidadoset[[#This Row],[ATUAL]])</f>
        <v>0</v>
      </c>
      <c r="W97" s="119" t="n">
        <f aca="false">SUMIFS(tabela_registros[VALOR],tabela_registros[MÊS],$AE$1,tabela_registros[DIA],receitasvariáveisconsolidadoset[[#Headers],[19]],tabela_registros[REGISTRO],DADOS!$N$3,tabela_registros[TIPO],DADOS!$V$4,tabela_registros[CATEGORIA],receitasvariáveisconsolidadoset[[#This Row],[ATUAL]])</f>
        <v>0</v>
      </c>
      <c r="X97" s="119" t="n">
        <f aca="false">SUMIFS(tabela_registros[VALOR],tabela_registros[MÊS],$AE$1,tabela_registros[DIA],receitasvariáveisconsolidadoset[[#Headers],[20]],tabela_registros[REGISTRO],DADOS!$N$3,tabela_registros[TIPO],DADOS!$V$4,tabela_registros[CATEGORIA],receitasvariáveisconsolidadoset[[#This Row],[ATUAL]])</f>
        <v>0</v>
      </c>
      <c r="Y97" s="119" t="n">
        <f aca="false">SUMIFS(tabela_registros[VALOR],tabela_registros[MÊS],$AE$1,tabela_registros[DIA],receitasvariáveisconsolidadoset[[#Headers],[21]],tabela_registros[REGISTRO],DADOS!$N$3,tabela_registros[TIPO],DADOS!$V$4,tabela_registros[CATEGORIA],receitasvariáveisconsolidadoset[[#This Row],[ATUAL]])</f>
        <v>0</v>
      </c>
      <c r="Z97" s="119" t="n">
        <f aca="false">SUMIFS(tabela_registros[VALOR],tabela_registros[MÊS],$AE$1,tabela_registros[DIA],receitasvariáveisconsolidadoset[[#Headers],[22]],tabela_registros[REGISTRO],DADOS!$N$3,tabela_registros[TIPO],DADOS!$V$4,tabela_registros[CATEGORIA],receitasvariáveisconsolidadoset[[#This Row],[ATUAL]])</f>
        <v>0</v>
      </c>
      <c r="AA97" s="119" t="n">
        <f aca="false">SUMIFS(tabela_registros[VALOR],tabela_registros[MÊS],$AE$1,tabela_registros[DIA],receitasvariáveisconsolidadoset[[#Headers],[23]],tabela_registros[REGISTRO],DADOS!$N$3,tabela_registros[TIPO],DADOS!$V$4,tabela_registros[CATEGORIA],receitasvariáveisconsolidadoset[[#This Row],[ATUAL]])</f>
        <v>0</v>
      </c>
      <c r="AB97" s="119" t="n">
        <f aca="false">SUMIFS(tabela_registros[VALOR],tabela_registros[MÊS],$AE$1,tabela_registros[DIA],receitasvariáveisconsolidadoset[[#Headers],[24]],tabela_registros[REGISTRO],DADOS!$N$3,tabela_registros[TIPO],DADOS!$V$4,tabela_registros[CATEGORIA],receitasvariáveisconsolidadoset[[#This Row],[ATUAL]])</f>
        <v>0</v>
      </c>
      <c r="AC97" s="119" t="n">
        <f aca="false">SUMIFS(tabela_registros[VALOR],tabela_registros[MÊS],$AE$1,tabela_registros[DIA],receitasvariáveisconsolidadoset[[#Headers],[25]],tabela_registros[REGISTRO],DADOS!$N$3,tabela_registros[TIPO],DADOS!$V$4,tabela_registros[CATEGORIA],receitasvariáveisconsolidadoset[[#This Row],[ATUAL]])</f>
        <v>0</v>
      </c>
      <c r="AD97" s="119" t="n">
        <f aca="false">SUMIFS(tabela_registros[VALOR],tabela_registros[MÊS],$AE$1,tabela_registros[DIA],receitasvariáveisconsolidadoset[[#Headers],[26]],tabela_registros[REGISTRO],DADOS!$N$3,tabela_registros[TIPO],DADOS!$V$4,tabela_registros[CATEGORIA],receitasvariáveisconsolidadoset[[#This Row],[ATUAL]])</f>
        <v>0</v>
      </c>
      <c r="AE97" s="119" t="n">
        <f aca="false">SUMIFS(tabela_registros[VALOR],tabela_registros[MÊS],$AE$1,tabela_registros[DIA],receitasvariáveisconsolidadoset[[#Headers],[27]],tabela_registros[REGISTRO],DADOS!$N$3,tabela_registros[TIPO],DADOS!$V$4,tabela_registros[CATEGORIA],receitasvariáveisconsolidadoset[[#This Row],[ATUAL]])</f>
        <v>0</v>
      </c>
      <c r="AF97" s="119" t="n">
        <f aca="false">SUMIFS(tabela_registros[VALOR],tabela_registros[MÊS],$AE$1,tabela_registros[DIA],receitasvariáveisconsolidadoset[[#Headers],[28]],tabela_registros[REGISTRO],DADOS!$N$3,tabela_registros[TIPO],DADOS!$V$4,tabela_registros[CATEGORIA],receitasvariáveisconsolidadoset[[#This Row],[ATUAL]])</f>
        <v>0</v>
      </c>
      <c r="AG97" s="119" t="n">
        <f aca="false">SUMIFS(tabela_registros[VALOR],tabela_registros[MÊS],$AE$1,tabela_registros[DIA],receitasvariáveisconsolidadoset[[#Headers],[29]],tabela_registros[REGISTRO],DADOS!$N$3,tabela_registros[TIPO],DADOS!$V$4,tabela_registros[CATEGORIA],receitasvariáveisconsolidadoset[[#This Row],[ATUAL]])</f>
        <v>0</v>
      </c>
      <c r="AH97" s="119" t="n">
        <f aca="false">SUMIFS(tabela_registros[VALOR],tabela_registros[MÊS],$AE$1,tabela_registros[DIA],receitasvariáveisconsolidadoset[[#Headers],[30]],tabela_registros[REGISTRO],DADOS!$N$3,tabela_registros[TIPO],DADOS!$V$4,tabela_registros[CATEGORIA],receitasvariáveisconsolidadoset[[#This Row],[ATUAL]])</f>
        <v>0</v>
      </c>
      <c r="AI97" s="217" t="n">
        <f aca="false">SUMIFS(tabela_registros[VALOR],tabela_registros[MÊS],$AE$1,tabela_registros[DIA],receitasvariáveisconsolidadoset[[#Headers],[31]],tabela_registros[REGISTRO],DADOS!$N$3,tabela_registros[TIPO],DADOS!$V$4,tabela_registros[CATEGORIA],receitasvariáveisconsolidadoset[[#This Row],[ATUAL]])</f>
        <v>0</v>
      </c>
      <c r="AJ97" s="149" t="n">
        <f aca="false">SUM(receitasvariáveisconsolidadoset[[#This Row],[1]:[31]])</f>
        <v>0</v>
      </c>
      <c r="AK97" s="165"/>
    </row>
    <row r="98" customFormat="false" ht="19.5" hidden="false" customHeight="true" outlineLevel="0" collapsed="false">
      <c r="B98" s="143"/>
      <c r="C98" s="144" t="str">
        <f aca="false">DADOS!$Z$5</f>
        <v>🎗️ HERANÇA</v>
      </c>
      <c r="D98" s="145" t="str">
        <f aca="false">IF(receitasvariáveisconsolidadoset[[#This Row],[TOTAL (R$)]]=0,"",IF(OR(receitasvariáveisconsolidadoset[[#This Row],[TOTAL (R$)]]=LARGE($AJ$96:$AJ$103,1),receitasvariáveisconsolidadoset[[#This Row],[TOTAL (R$)]]=LARGE($AJ$96:$AJ$103,2)),DADOS!$I$9,""))</f>
        <v/>
      </c>
      <c r="E98" s="148" t="n">
        <f aca="false">SUMIFS(tabela_registros[VALOR],tabela_registros[MÊS],$AE$1,tabela_registros[DIA],receitasvariáveisconsolidadoset[[#Headers],[1]],tabela_registros[REGISTRO],DADOS!$N$3,tabela_registros[TIPO],DADOS!$V$4,tabela_registros[CATEGORIA],receitasvariáveisconsolidadoset[[#This Row],[ATUAL]])</f>
        <v>0</v>
      </c>
      <c r="F98" s="119" t="n">
        <f aca="false">SUMIFS(tabela_registros[VALOR],tabela_registros[MÊS],$AE$1,tabela_registros[DIA],receitasvariáveisconsolidadoset[[#Headers],[2]],tabela_registros[REGISTRO],DADOS!$N$3,tabela_registros[TIPO],DADOS!$V$4,tabela_registros[CATEGORIA],receitasvariáveisconsolidadoset[[#This Row],[ATUAL]])</f>
        <v>0</v>
      </c>
      <c r="G98" s="119" t="n">
        <f aca="false">SUMIFS(tabela_registros[VALOR],tabela_registros[MÊS],$AE$1,tabela_registros[DIA],receitasvariáveisconsolidadoset[[#Headers],[3]],tabela_registros[REGISTRO],DADOS!$N$3,tabela_registros[TIPO],DADOS!$V$4,tabela_registros[CATEGORIA],receitasvariáveisconsolidadoset[[#This Row],[ATUAL]])</f>
        <v>0</v>
      </c>
      <c r="H98" s="119" t="n">
        <f aca="false">SUMIFS(tabela_registros[VALOR],tabela_registros[MÊS],$AE$1,tabela_registros[DIA],receitasvariáveisconsolidadoset[[#Headers],[4]],tabela_registros[REGISTRO],DADOS!$N$3,tabela_registros[TIPO],DADOS!$V$4,tabela_registros[CATEGORIA],receitasvariáveisconsolidadoset[[#This Row],[ATUAL]])</f>
        <v>0</v>
      </c>
      <c r="I98" s="119" t="n">
        <f aca="false">SUMIFS(tabela_registros[VALOR],tabela_registros[MÊS],$AE$1,tabela_registros[DIA],receitasvariáveisconsolidadoset[[#Headers],[5]],tabela_registros[REGISTRO],DADOS!$N$3,tabela_registros[TIPO],DADOS!$V$4,tabela_registros[CATEGORIA],receitasvariáveisconsolidadoset[[#This Row],[ATUAL]])</f>
        <v>0</v>
      </c>
      <c r="J98" s="119" t="n">
        <f aca="false">SUMIFS(tabela_registros[VALOR],tabela_registros[MÊS],$AE$1,tabela_registros[DIA],receitasvariáveisconsolidadoset[[#Headers],[6]],tabela_registros[REGISTRO],DADOS!$N$3,tabela_registros[TIPO],DADOS!$V$4,tabela_registros[CATEGORIA],receitasvariáveisconsolidadoset[[#This Row],[ATUAL]])</f>
        <v>0</v>
      </c>
      <c r="K98" s="119" t="n">
        <f aca="false">SUMIFS(tabela_registros[VALOR],tabela_registros[MÊS],$AE$1,tabela_registros[DIA],receitasvariáveisconsolidadoset[[#Headers],[7]],tabela_registros[REGISTRO],DADOS!$N$3,tabela_registros[TIPO],DADOS!$V$4,tabela_registros[CATEGORIA],receitasvariáveisconsolidadoset[[#This Row],[ATUAL]])</f>
        <v>0</v>
      </c>
      <c r="L98" s="119" t="n">
        <f aca="false">SUMIFS(tabela_registros[VALOR],tabela_registros[MÊS],$AE$1,tabela_registros[DIA],receitasvariáveisconsolidadoset[[#Headers],[8]],tabela_registros[REGISTRO],DADOS!$N$3,tabela_registros[TIPO],DADOS!$V$4,tabela_registros[CATEGORIA],receitasvariáveisconsolidadoset[[#This Row],[ATUAL]])</f>
        <v>0</v>
      </c>
      <c r="M98" s="119" t="n">
        <f aca="false">SUMIFS(tabela_registros[VALOR],tabela_registros[MÊS],$AE$1,tabela_registros[DIA],receitasvariáveisconsolidadoset[[#Headers],[9]],tabela_registros[REGISTRO],DADOS!$N$3,tabela_registros[TIPO],DADOS!$V$4,tabela_registros[CATEGORIA],receitasvariáveisconsolidadoset[[#This Row],[ATUAL]])</f>
        <v>0</v>
      </c>
      <c r="N98" s="119" t="n">
        <f aca="false">SUMIFS(tabela_registros[VALOR],tabela_registros[MÊS],$AE$1,tabela_registros[DIA],receitasvariáveisconsolidadoset[[#Headers],[10]],tabela_registros[REGISTRO],DADOS!$N$3,tabela_registros[TIPO],DADOS!$V$4,tabela_registros[CATEGORIA],receitasvariáveisconsolidadoset[[#This Row],[ATUAL]])</f>
        <v>0</v>
      </c>
      <c r="O98" s="119" t="n">
        <f aca="false">SUMIFS(tabela_registros[VALOR],tabela_registros[MÊS],$AE$1,tabela_registros[DIA],receitasvariáveisconsolidadoset[[#Headers],[11]],tabela_registros[REGISTRO],DADOS!$N$3,tabela_registros[TIPO],DADOS!$V$4,tabela_registros[CATEGORIA],receitasvariáveisconsolidadoset[[#This Row],[ATUAL]])</f>
        <v>0</v>
      </c>
      <c r="P98" s="119" t="n">
        <f aca="false">SUMIFS(tabela_registros[VALOR],tabela_registros[MÊS],$AE$1,tabela_registros[DIA],receitasvariáveisconsolidadoset[[#Headers],[12]],tabela_registros[REGISTRO],DADOS!$N$3,tabela_registros[TIPO],DADOS!$V$4,tabela_registros[CATEGORIA],receitasvariáveisconsolidadoset[[#This Row],[ATUAL]])</f>
        <v>0</v>
      </c>
      <c r="Q98" s="119" t="n">
        <f aca="false">SUMIFS(tabela_registros[VALOR],tabela_registros[MÊS],$AE$1,tabela_registros[DIA],receitasvariáveisconsolidadoset[[#Headers],[13]],tabela_registros[REGISTRO],DADOS!$N$3,tabela_registros[TIPO],DADOS!$V$4,tabela_registros[CATEGORIA],receitasvariáveisconsolidadoset[[#This Row],[ATUAL]])</f>
        <v>0</v>
      </c>
      <c r="R98" s="119" t="n">
        <f aca="false">SUMIFS(tabela_registros[VALOR],tabela_registros[MÊS],$AE$1,tabela_registros[DIA],receitasvariáveisconsolidadoset[[#Headers],[14]],tabela_registros[REGISTRO],DADOS!$N$3,tabela_registros[TIPO],DADOS!$V$4,tabela_registros[CATEGORIA],receitasvariáveisconsolidadoset[[#This Row],[ATUAL]])</f>
        <v>0</v>
      </c>
      <c r="S98" s="119" t="n">
        <f aca="false">SUMIFS(tabela_registros[VALOR],tabela_registros[MÊS],$AE$1,tabela_registros[DIA],receitasvariáveisconsolidadoset[[#Headers],[15]],tabela_registros[REGISTRO],DADOS!$N$3,tabela_registros[TIPO],DADOS!$V$4,tabela_registros[CATEGORIA],receitasvariáveisconsolidadoset[[#This Row],[ATUAL]])</f>
        <v>0</v>
      </c>
      <c r="T98" s="119" t="n">
        <f aca="false">SUMIFS(tabela_registros[VALOR],tabela_registros[MÊS],$AE$1,tabela_registros[DIA],receitasvariáveisconsolidadoset[[#Headers],[16]],tabela_registros[REGISTRO],DADOS!$N$3,tabela_registros[TIPO],DADOS!$V$4,tabela_registros[CATEGORIA],receitasvariáveisconsolidadoset[[#This Row],[ATUAL]])</f>
        <v>0</v>
      </c>
      <c r="U98" s="119" t="n">
        <f aca="false">SUMIFS(tabela_registros[VALOR],tabela_registros[MÊS],$AE$1,tabela_registros[DIA],receitasvariáveisconsolidadoset[[#Headers],[17]],tabela_registros[REGISTRO],DADOS!$N$3,tabela_registros[TIPO],DADOS!$V$4,tabela_registros[CATEGORIA],receitasvariáveisconsolidadoset[[#This Row],[ATUAL]])</f>
        <v>0</v>
      </c>
      <c r="V98" s="119" t="n">
        <f aca="false">SUMIFS(tabela_registros[VALOR],tabela_registros[MÊS],$AE$1,tabela_registros[DIA],receitasvariáveisconsolidadoset[[#Headers],[18]],tabela_registros[REGISTRO],DADOS!$N$3,tabela_registros[TIPO],DADOS!$V$4,tabela_registros[CATEGORIA],receitasvariáveisconsolidadoset[[#This Row],[ATUAL]])</f>
        <v>0</v>
      </c>
      <c r="W98" s="119" t="n">
        <f aca="false">SUMIFS(tabela_registros[VALOR],tabela_registros[MÊS],$AE$1,tabela_registros[DIA],receitasvariáveisconsolidadoset[[#Headers],[19]],tabela_registros[REGISTRO],DADOS!$N$3,tabela_registros[TIPO],DADOS!$V$4,tabela_registros[CATEGORIA],receitasvariáveisconsolidadoset[[#This Row],[ATUAL]])</f>
        <v>0</v>
      </c>
      <c r="X98" s="119" t="n">
        <f aca="false">SUMIFS(tabela_registros[VALOR],tabela_registros[MÊS],$AE$1,tabela_registros[DIA],receitasvariáveisconsolidadoset[[#Headers],[20]],tabela_registros[REGISTRO],DADOS!$N$3,tabela_registros[TIPO],DADOS!$V$4,tabela_registros[CATEGORIA],receitasvariáveisconsolidadoset[[#This Row],[ATUAL]])</f>
        <v>0</v>
      </c>
      <c r="Y98" s="119" t="n">
        <f aca="false">SUMIFS(tabela_registros[VALOR],tabela_registros[MÊS],$AE$1,tabela_registros[DIA],receitasvariáveisconsolidadoset[[#Headers],[21]],tabela_registros[REGISTRO],DADOS!$N$3,tabela_registros[TIPO],DADOS!$V$4,tabela_registros[CATEGORIA],receitasvariáveisconsolidadoset[[#This Row],[ATUAL]])</f>
        <v>0</v>
      </c>
      <c r="Z98" s="119" t="n">
        <f aca="false">SUMIFS(tabela_registros[VALOR],tabela_registros[MÊS],$AE$1,tabela_registros[DIA],receitasvariáveisconsolidadoset[[#Headers],[22]],tabela_registros[REGISTRO],DADOS!$N$3,tabela_registros[TIPO],DADOS!$V$4,tabela_registros[CATEGORIA],receitasvariáveisconsolidadoset[[#This Row],[ATUAL]])</f>
        <v>0</v>
      </c>
      <c r="AA98" s="119" t="n">
        <f aca="false">SUMIFS(tabela_registros[VALOR],tabela_registros[MÊS],$AE$1,tabela_registros[DIA],receitasvariáveisconsolidadoset[[#Headers],[23]],tabela_registros[REGISTRO],DADOS!$N$3,tabela_registros[TIPO],DADOS!$V$4,tabela_registros[CATEGORIA],receitasvariáveisconsolidadoset[[#This Row],[ATUAL]])</f>
        <v>0</v>
      </c>
      <c r="AB98" s="119" t="n">
        <f aca="false">SUMIFS(tabela_registros[VALOR],tabela_registros[MÊS],$AE$1,tabela_registros[DIA],receitasvariáveisconsolidadoset[[#Headers],[24]],tabela_registros[REGISTRO],DADOS!$N$3,tabela_registros[TIPO],DADOS!$V$4,tabela_registros[CATEGORIA],receitasvariáveisconsolidadoset[[#This Row],[ATUAL]])</f>
        <v>0</v>
      </c>
      <c r="AC98" s="119" t="n">
        <f aca="false">SUMIFS(tabela_registros[VALOR],tabela_registros[MÊS],$AE$1,tabela_registros[DIA],receitasvariáveisconsolidadoset[[#Headers],[25]],tabela_registros[REGISTRO],DADOS!$N$3,tabela_registros[TIPO],DADOS!$V$4,tabela_registros[CATEGORIA],receitasvariáveisconsolidadoset[[#This Row],[ATUAL]])</f>
        <v>0</v>
      </c>
      <c r="AD98" s="119" t="n">
        <f aca="false">SUMIFS(tabela_registros[VALOR],tabela_registros[MÊS],$AE$1,tabela_registros[DIA],receitasvariáveisconsolidadoset[[#Headers],[26]],tabela_registros[REGISTRO],DADOS!$N$3,tabela_registros[TIPO],DADOS!$V$4,tabela_registros[CATEGORIA],receitasvariáveisconsolidadoset[[#This Row],[ATUAL]])</f>
        <v>0</v>
      </c>
      <c r="AE98" s="119" t="n">
        <f aca="false">SUMIFS(tabela_registros[VALOR],tabela_registros[MÊS],$AE$1,tabela_registros[DIA],receitasvariáveisconsolidadoset[[#Headers],[27]],tabela_registros[REGISTRO],DADOS!$N$3,tabela_registros[TIPO],DADOS!$V$4,tabela_registros[CATEGORIA],receitasvariáveisconsolidadoset[[#This Row],[ATUAL]])</f>
        <v>0</v>
      </c>
      <c r="AF98" s="119" t="n">
        <f aca="false">SUMIFS(tabela_registros[VALOR],tabela_registros[MÊS],$AE$1,tabela_registros[DIA],receitasvariáveisconsolidadoset[[#Headers],[28]],tabela_registros[REGISTRO],DADOS!$N$3,tabela_registros[TIPO],DADOS!$V$4,tabela_registros[CATEGORIA],receitasvariáveisconsolidadoset[[#This Row],[ATUAL]])</f>
        <v>0</v>
      </c>
      <c r="AG98" s="119" t="n">
        <f aca="false">SUMIFS(tabela_registros[VALOR],tabela_registros[MÊS],$AE$1,tabela_registros[DIA],receitasvariáveisconsolidadoset[[#Headers],[29]],tabela_registros[REGISTRO],DADOS!$N$3,tabela_registros[TIPO],DADOS!$V$4,tabela_registros[CATEGORIA],receitasvariáveisconsolidadoset[[#This Row],[ATUAL]])</f>
        <v>0</v>
      </c>
      <c r="AH98" s="119" t="n">
        <f aca="false">SUMIFS(tabela_registros[VALOR],tabela_registros[MÊS],$AE$1,tabela_registros[DIA],receitasvariáveisconsolidadoset[[#Headers],[30]],tabela_registros[REGISTRO],DADOS!$N$3,tabela_registros[TIPO],DADOS!$V$4,tabela_registros[CATEGORIA],receitasvariáveisconsolidadoset[[#This Row],[ATUAL]])</f>
        <v>0</v>
      </c>
      <c r="AI98" s="217" t="n">
        <f aca="false">SUMIFS(tabela_registros[VALOR],tabela_registros[MÊS],$AE$1,tabela_registros[DIA],receitasvariáveisconsolidadoset[[#Headers],[31]],tabela_registros[REGISTRO],DADOS!$N$3,tabela_registros[TIPO],DADOS!$V$4,tabela_registros[CATEGORIA],receitasvariáveisconsolidadoset[[#This Row],[ATUAL]])</f>
        <v>0</v>
      </c>
      <c r="AJ98" s="149" t="n">
        <f aca="false">SUM(receitasvariáveisconsolidadoset[[#This Row],[1]:[31]])</f>
        <v>0</v>
      </c>
      <c r="AK98" s="165"/>
    </row>
    <row r="99" customFormat="false" ht="19.5" hidden="false" customHeight="true" outlineLevel="0" collapsed="false">
      <c r="B99" s="143"/>
      <c r="C99" s="144" t="str">
        <f aca="false">DADOS!$Z$6</f>
        <v>💲 INVESTIMENTOS</v>
      </c>
      <c r="D99" s="145" t="str">
        <f aca="false">IF(receitasvariáveisconsolidadoset[[#This Row],[TOTAL (R$)]]=0,"",IF(OR(receitasvariáveisconsolidadoset[[#This Row],[TOTAL (R$)]]=LARGE($AJ$96:$AJ$103,1),receitasvariáveisconsolidadoset[[#This Row],[TOTAL (R$)]]=LARGE($AJ$96:$AJ$103,2)),DADOS!$I$9,""))</f>
        <v/>
      </c>
      <c r="E99" s="148" t="n">
        <f aca="false">SUMIFS(tabela_registros[VALOR],tabela_registros[MÊS],$AE$1,tabela_registros[DIA],receitasvariáveisconsolidadoset[[#Headers],[1]],tabela_registros[REGISTRO],DADOS!$N$3,tabela_registros[TIPO],DADOS!$V$4,tabela_registros[CATEGORIA],receitasvariáveisconsolidadoset[[#This Row],[ATUAL]])</f>
        <v>0</v>
      </c>
      <c r="F99" s="119" t="n">
        <f aca="false">SUMIFS(tabela_registros[VALOR],tabela_registros[MÊS],$AE$1,tabela_registros[DIA],receitasvariáveisconsolidadoset[[#Headers],[2]],tabela_registros[REGISTRO],DADOS!$N$3,tabela_registros[TIPO],DADOS!$V$4,tabela_registros[CATEGORIA],receitasvariáveisconsolidadoset[[#This Row],[ATUAL]])</f>
        <v>0</v>
      </c>
      <c r="G99" s="119" t="n">
        <f aca="false">SUMIFS(tabela_registros[VALOR],tabela_registros[MÊS],$AE$1,tabela_registros[DIA],receitasvariáveisconsolidadoset[[#Headers],[3]],tabela_registros[REGISTRO],DADOS!$N$3,tabela_registros[TIPO],DADOS!$V$4,tabela_registros[CATEGORIA],receitasvariáveisconsolidadoset[[#This Row],[ATUAL]])</f>
        <v>0</v>
      </c>
      <c r="H99" s="119" t="n">
        <f aca="false">SUMIFS(tabela_registros[VALOR],tabela_registros[MÊS],$AE$1,tabela_registros[DIA],receitasvariáveisconsolidadoset[[#Headers],[4]],tabela_registros[REGISTRO],DADOS!$N$3,tabela_registros[TIPO],DADOS!$V$4,tabela_registros[CATEGORIA],receitasvariáveisconsolidadoset[[#This Row],[ATUAL]])</f>
        <v>0</v>
      </c>
      <c r="I99" s="119" t="n">
        <f aca="false">SUMIFS(tabela_registros[VALOR],tabela_registros[MÊS],$AE$1,tabela_registros[DIA],receitasvariáveisconsolidadoset[[#Headers],[5]],tabela_registros[REGISTRO],DADOS!$N$3,tabela_registros[TIPO],DADOS!$V$4,tabela_registros[CATEGORIA],receitasvariáveisconsolidadoset[[#This Row],[ATUAL]])</f>
        <v>0</v>
      </c>
      <c r="J99" s="119" t="n">
        <f aca="false">SUMIFS(tabela_registros[VALOR],tabela_registros[MÊS],$AE$1,tabela_registros[DIA],receitasvariáveisconsolidadoset[[#Headers],[6]],tabela_registros[REGISTRO],DADOS!$N$3,tabela_registros[TIPO],DADOS!$V$4,tabela_registros[CATEGORIA],receitasvariáveisconsolidadoset[[#This Row],[ATUAL]])</f>
        <v>0</v>
      </c>
      <c r="K99" s="119" t="n">
        <f aca="false">SUMIFS(tabela_registros[VALOR],tabela_registros[MÊS],$AE$1,tabela_registros[DIA],receitasvariáveisconsolidadoset[[#Headers],[7]],tabela_registros[REGISTRO],DADOS!$N$3,tabela_registros[TIPO],DADOS!$V$4,tabela_registros[CATEGORIA],receitasvariáveisconsolidadoset[[#This Row],[ATUAL]])</f>
        <v>0</v>
      </c>
      <c r="L99" s="119" t="n">
        <f aca="false">SUMIFS(tabela_registros[VALOR],tabela_registros[MÊS],$AE$1,tabela_registros[DIA],receitasvariáveisconsolidadoset[[#Headers],[8]],tabela_registros[REGISTRO],DADOS!$N$3,tabela_registros[TIPO],DADOS!$V$4,tabela_registros[CATEGORIA],receitasvariáveisconsolidadoset[[#This Row],[ATUAL]])</f>
        <v>0</v>
      </c>
      <c r="M99" s="119" t="n">
        <f aca="false">SUMIFS(tabela_registros[VALOR],tabela_registros[MÊS],$AE$1,tabela_registros[DIA],receitasvariáveisconsolidadoset[[#Headers],[9]],tabela_registros[REGISTRO],DADOS!$N$3,tabela_registros[TIPO],DADOS!$V$4,tabela_registros[CATEGORIA],receitasvariáveisconsolidadoset[[#This Row],[ATUAL]])</f>
        <v>0</v>
      </c>
      <c r="N99" s="119" t="n">
        <f aca="false">SUMIFS(tabela_registros[VALOR],tabela_registros[MÊS],$AE$1,tabela_registros[DIA],receitasvariáveisconsolidadoset[[#Headers],[10]],tabela_registros[REGISTRO],DADOS!$N$3,tabela_registros[TIPO],DADOS!$V$4,tabela_registros[CATEGORIA],receitasvariáveisconsolidadoset[[#This Row],[ATUAL]])</f>
        <v>0</v>
      </c>
      <c r="O99" s="119" t="n">
        <f aca="false">SUMIFS(tabela_registros[VALOR],tabela_registros[MÊS],$AE$1,tabela_registros[DIA],receitasvariáveisconsolidadoset[[#Headers],[11]],tabela_registros[REGISTRO],DADOS!$N$3,tabela_registros[TIPO],DADOS!$V$4,tabela_registros[CATEGORIA],receitasvariáveisconsolidadoset[[#This Row],[ATUAL]])</f>
        <v>0</v>
      </c>
      <c r="P99" s="119" t="n">
        <f aca="false">SUMIFS(tabela_registros[VALOR],tabela_registros[MÊS],$AE$1,tabela_registros[DIA],receitasvariáveisconsolidadoset[[#Headers],[12]],tabela_registros[REGISTRO],DADOS!$N$3,tabela_registros[TIPO],DADOS!$V$4,tabela_registros[CATEGORIA],receitasvariáveisconsolidadoset[[#This Row],[ATUAL]])</f>
        <v>0</v>
      </c>
      <c r="Q99" s="119" t="n">
        <f aca="false">SUMIFS(tabela_registros[VALOR],tabela_registros[MÊS],$AE$1,tabela_registros[DIA],receitasvariáveisconsolidadoset[[#Headers],[13]],tabela_registros[REGISTRO],DADOS!$N$3,tabela_registros[TIPO],DADOS!$V$4,tabela_registros[CATEGORIA],receitasvariáveisconsolidadoset[[#This Row],[ATUAL]])</f>
        <v>0</v>
      </c>
      <c r="R99" s="119" t="n">
        <f aca="false">SUMIFS(tabela_registros[VALOR],tabela_registros[MÊS],$AE$1,tabela_registros[DIA],receitasvariáveisconsolidadoset[[#Headers],[14]],tabela_registros[REGISTRO],DADOS!$N$3,tabela_registros[TIPO],DADOS!$V$4,tabela_registros[CATEGORIA],receitasvariáveisconsolidadoset[[#This Row],[ATUAL]])</f>
        <v>0</v>
      </c>
      <c r="S99" s="119" t="n">
        <f aca="false">SUMIFS(tabela_registros[VALOR],tabela_registros[MÊS],$AE$1,tabela_registros[DIA],receitasvariáveisconsolidadoset[[#Headers],[15]],tabela_registros[REGISTRO],DADOS!$N$3,tabela_registros[TIPO],DADOS!$V$4,tabela_registros[CATEGORIA],receitasvariáveisconsolidadoset[[#This Row],[ATUAL]])</f>
        <v>0</v>
      </c>
      <c r="T99" s="119" t="n">
        <f aca="false">SUMIFS(tabela_registros[VALOR],tabela_registros[MÊS],$AE$1,tabela_registros[DIA],receitasvariáveisconsolidadoset[[#Headers],[16]],tabela_registros[REGISTRO],DADOS!$N$3,tabela_registros[TIPO],DADOS!$V$4,tabela_registros[CATEGORIA],receitasvariáveisconsolidadoset[[#This Row],[ATUAL]])</f>
        <v>0</v>
      </c>
      <c r="U99" s="119" t="n">
        <f aca="false">SUMIFS(tabela_registros[VALOR],tabela_registros[MÊS],$AE$1,tabela_registros[DIA],receitasvariáveisconsolidadoset[[#Headers],[17]],tabela_registros[REGISTRO],DADOS!$N$3,tabela_registros[TIPO],DADOS!$V$4,tabela_registros[CATEGORIA],receitasvariáveisconsolidadoset[[#This Row],[ATUAL]])</f>
        <v>0</v>
      </c>
      <c r="V99" s="119" t="n">
        <f aca="false">SUMIFS(tabela_registros[VALOR],tabela_registros[MÊS],$AE$1,tabela_registros[DIA],receitasvariáveisconsolidadoset[[#Headers],[18]],tabela_registros[REGISTRO],DADOS!$N$3,tabela_registros[TIPO],DADOS!$V$4,tabela_registros[CATEGORIA],receitasvariáveisconsolidadoset[[#This Row],[ATUAL]])</f>
        <v>0</v>
      </c>
      <c r="W99" s="119" t="n">
        <f aca="false">SUMIFS(tabela_registros[VALOR],tabela_registros[MÊS],$AE$1,tabela_registros[DIA],receitasvariáveisconsolidadoset[[#Headers],[19]],tabela_registros[REGISTRO],DADOS!$N$3,tabela_registros[TIPO],DADOS!$V$4,tabela_registros[CATEGORIA],receitasvariáveisconsolidadoset[[#This Row],[ATUAL]])</f>
        <v>0</v>
      </c>
      <c r="X99" s="119" t="n">
        <f aca="false">SUMIFS(tabela_registros[VALOR],tabela_registros[MÊS],$AE$1,tabela_registros[DIA],receitasvariáveisconsolidadoset[[#Headers],[20]],tabela_registros[REGISTRO],DADOS!$N$3,tabela_registros[TIPO],DADOS!$V$4,tabela_registros[CATEGORIA],receitasvariáveisconsolidadoset[[#This Row],[ATUAL]])</f>
        <v>0</v>
      </c>
      <c r="Y99" s="119" t="n">
        <f aca="false">SUMIFS(tabela_registros[VALOR],tabela_registros[MÊS],$AE$1,tabela_registros[DIA],receitasvariáveisconsolidadoset[[#Headers],[21]],tabela_registros[REGISTRO],DADOS!$N$3,tabela_registros[TIPO],DADOS!$V$4,tabela_registros[CATEGORIA],receitasvariáveisconsolidadoset[[#This Row],[ATUAL]])</f>
        <v>0</v>
      </c>
      <c r="Z99" s="119" t="n">
        <f aca="false">SUMIFS(tabela_registros[VALOR],tabela_registros[MÊS],$AE$1,tabela_registros[DIA],receitasvariáveisconsolidadoset[[#Headers],[22]],tabela_registros[REGISTRO],DADOS!$N$3,tabela_registros[TIPO],DADOS!$V$4,tabela_registros[CATEGORIA],receitasvariáveisconsolidadoset[[#This Row],[ATUAL]])</f>
        <v>0</v>
      </c>
      <c r="AA99" s="119" t="n">
        <f aca="false">SUMIFS(tabela_registros[VALOR],tabela_registros[MÊS],$AE$1,tabela_registros[DIA],receitasvariáveisconsolidadoset[[#Headers],[23]],tabela_registros[REGISTRO],DADOS!$N$3,tabela_registros[TIPO],DADOS!$V$4,tabela_registros[CATEGORIA],receitasvariáveisconsolidadoset[[#This Row],[ATUAL]])</f>
        <v>0</v>
      </c>
      <c r="AB99" s="119" t="n">
        <f aca="false">SUMIFS(tabela_registros[VALOR],tabela_registros[MÊS],$AE$1,tabela_registros[DIA],receitasvariáveisconsolidadoset[[#Headers],[24]],tabela_registros[REGISTRO],DADOS!$N$3,tabela_registros[TIPO],DADOS!$V$4,tabela_registros[CATEGORIA],receitasvariáveisconsolidadoset[[#This Row],[ATUAL]])</f>
        <v>0</v>
      </c>
      <c r="AC99" s="119" t="n">
        <f aca="false">SUMIFS(tabela_registros[VALOR],tabela_registros[MÊS],$AE$1,tabela_registros[DIA],receitasvariáveisconsolidadoset[[#Headers],[25]],tabela_registros[REGISTRO],DADOS!$N$3,tabela_registros[TIPO],DADOS!$V$4,tabela_registros[CATEGORIA],receitasvariáveisconsolidadoset[[#This Row],[ATUAL]])</f>
        <v>0</v>
      </c>
      <c r="AD99" s="119" t="n">
        <f aca="false">SUMIFS(tabela_registros[VALOR],tabela_registros[MÊS],$AE$1,tabela_registros[DIA],receitasvariáveisconsolidadoset[[#Headers],[26]],tabela_registros[REGISTRO],DADOS!$N$3,tabela_registros[TIPO],DADOS!$V$4,tabela_registros[CATEGORIA],receitasvariáveisconsolidadoset[[#This Row],[ATUAL]])</f>
        <v>0</v>
      </c>
      <c r="AE99" s="119" t="n">
        <f aca="false">SUMIFS(tabela_registros[VALOR],tabela_registros[MÊS],$AE$1,tabela_registros[DIA],receitasvariáveisconsolidadoset[[#Headers],[27]],tabela_registros[REGISTRO],DADOS!$N$3,tabela_registros[TIPO],DADOS!$V$4,tabela_registros[CATEGORIA],receitasvariáveisconsolidadoset[[#This Row],[ATUAL]])</f>
        <v>0</v>
      </c>
      <c r="AF99" s="119" t="n">
        <f aca="false">SUMIFS(tabela_registros[VALOR],tabela_registros[MÊS],$AE$1,tabela_registros[DIA],receitasvariáveisconsolidadoset[[#Headers],[28]],tabela_registros[REGISTRO],DADOS!$N$3,tabela_registros[TIPO],DADOS!$V$4,tabela_registros[CATEGORIA],receitasvariáveisconsolidadoset[[#This Row],[ATUAL]])</f>
        <v>0</v>
      </c>
      <c r="AG99" s="119" t="n">
        <f aca="false">SUMIFS(tabela_registros[VALOR],tabela_registros[MÊS],$AE$1,tabela_registros[DIA],receitasvariáveisconsolidadoset[[#Headers],[29]],tabela_registros[REGISTRO],DADOS!$N$3,tabela_registros[TIPO],DADOS!$V$4,tabela_registros[CATEGORIA],receitasvariáveisconsolidadoset[[#This Row],[ATUAL]])</f>
        <v>0</v>
      </c>
      <c r="AH99" s="119" t="n">
        <f aca="false">SUMIFS(tabela_registros[VALOR],tabela_registros[MÊS],$AE$1,tabela_registros[DIA],receitasvariáveisconsolidadoset[[#Headers],[30]],tabela_registros[REGISTRO],DADOS!$N$3,tabela_registros[TIPO],DADOS!$V$4,tabela_registros[CATEGORIA],receitasvariáveisconsolidadoset[[#This Row],[ATUAL]])</f>
        <v>0</v>
      </c>
      <c r="AI99" s="217" t="n">
        <f aca="false">SUMIFS(tabela_registros[VALOR],tabela_registros[MÊS],$AE$1,tabela_registros[DIA],receitasvariáveisconsolidadoset[[#Headers],[31]],tabela_registros[REGISTRO],DADOS!$N$3,tabela_registros[TIPO],DADOS!$V$4,tabela_registros[CATEGORIA],receitasvariáveisconsolidadoset[[#This Row],[ATUAL]])</f>
        <v>0</v>
      </c>
      <c r="AJ99" s="149" t="n">
        <f aca="false">SUM(receitasvariáveisconsolidadoset[[#This Row],[1]:[31]])</f>
        <v>0</v>
      </c>
      <c r="AK99" s="165"/>
    </row>
    <row r="100" customFormat="false" ht="19.5" hidden="false" customHeight="true" outlineLevel="0" collapsed="false">
      <c r="B100" s="143"/>
      <c r="C100" s="144" t="str">
        <f aca="false">DADOS!$Z$7</f>
        <v>🧾 NOTA DE SERVIÇO</v>
      </c>
      <c r="D100" s="145" t="str">
        <f aca="false">IF(receitasvariáveisconsolidadoset[[#This Row],[TOTAL (R$)]]=0,"",IF(OR(receitasvariáveisconsolidadoset[[#This Row],[TOTAL (R$)]]=LARGE($AJ$96:$AJ$103,1),receitasvariáveisconsolidadoset[[#This Row],[TOTAL (R$)]]=LARGE($AJ$96:$AJ$103,2)),DADOS!$I$9,""))</f>
        <v/>
      </c>
      <c r="E100" s="148" t="n">
        <f aca="false">SUMIFS(tabela_registros[VALOR],tabela_registros[MÊS],$AE$1,tabela_registros[DIA],receitasvariáveisconsolidadoset[[#Headers],[1]],tabela_registros[REGISTRO],DADOS!$N$3,tabela_registros[TIPO],DADOS!$V$4,tabela_registros[CATEGORIA],receitasvariáveisconsolidadoset[[#This Row],[ATUAL]])</f>
        <v>0</v>
      </c>
      <c r="F100" s="119" t="n">
        <f aca="false">SUMIFS(tabela_registros[VALOR],tabela_registros[MÊS],$AE$1,tabela_registros[DIA],receitasvariáveisconsolidadoset[[#Headers],[2]],tabela_registros[REGISTRO],DADOS!$N$3,tabela_registros[TIPO],DADOS!$V$4,tabela_registros[CATEGORIA],receitasvariáveisconsolidadoset[[#This Row],[ATUAL]])</f>
        <v>0</v>
      </c>
      <c r="G100" s="119" t="n">
        <f aca="false">SUMIFS(tabela_registros[VALOR],tabela_registros[MÊS],$AE$1,tabela_registros[DIA],receitasvariáveisconsolidadoset[[#Headers],[3]],tabela_registros[REGISTRO],DADOS!$N$3,tabela_registros[TIPO],DADOS!$V$4,tabela_registros[CATEGORIA],receitasvariáveisconsolidadoset[[#This Row],[ATUAL]])</f>
        <v>0</v>
      </c>
      <c r="H100" s="119" t="n">
        <f aca="false">SUMIFS(tabela_registros[VALOR],tabela_registros[MÊS],$AE$1,tabela_registros[DIA],receitasvariáveisconsolidadoset[[#Headers],[4]],tabela_registros[REGISTRO],DADOS!$N$3,tabela_registros[TIPO],DADOS!$V$4,tabela_registros[CATEGORIA],receitasvariáveisconsolidadoset[[#This Row],[ATUAL]])</f>
        <v>0</v>
      </c>
      <c r="I100" s="119" t="n">
        <f aca="false">SUMIFS(tabela_registros[VALOR],tabela_registros[MÊS],$AE$1,tabela_registros[DIA],receitasvariáveisconsolidadoset[[#Headers],[5]],tabela_registros[REGISTRO],DADOS!$N$3,tabela_registros[TIPO],DADOS!$V$4,tabela_registros[CATEGORIA],receitasvariáveisconsolidadoset[[#This Row],[ATUAL]])</f>
        <v>0</v>
      </c>
      <c r="J100" s="119" t="n">
        <f aca="false">SUMIFS(tabela_registros[VALOR],tabela_registros[MÊS],$AE$1,tabela_registros[DIA],receitasvariáveisconsolidadoset[[#Headers],[6]],tabela_registros[REGISTRO],DADOS!$N$3,tabela_registros[TIPO],DADOS!$V$4,tabela_registros[CATEGORIA],receitasvariáveisconsolidadoset[[#This Row],[ATUAL]])</f>
        <v>0</v>
      </c>
      <c r="K100" s="119" t="n">
        <f aca="false">SUMIFS(tabela_registros[VALOR],tabela_registros[MÊS],$AE$1,tabela_registros[DIA],receitasvariáveisconsolidadoset[[#Headers],[7]],tabela_registros[REGISTRO],DADOS!$N$3,tabela_registros[TIPO],DADOS!$V$4,tabela_registros[CATEGORIA],receitasvariáveisconsolidadoset[[#This Row],[ATUAL]])</f>
        <v>0</v>
      </c>
      <c r="L100" s="119" t="n">
        <f aca="false">SUMIFS(tabela_registros[VALOR],tabela_registros[MÊS],$AE$1,tabela_registros[DIA],receitasvariáveisconsolidadoset[[#Headers],[8]],tabela_registros[REGISTRO],DADOS!$N$3,tabela_registros[TIPO],DADOS!$V$4,tabela_registros[CATEGORIA],receitasvariáveisconsolidadoset[[#This Row],[ATUAL]])</f>
        <v>0</v>
      </c>
      <c r="M100" s="119" t="n">
        <f aca="false">SUMIFS(tabela_registros[VALOR],tabela_registros[MÊS],$AE$1,tabela_registros[DIA],receitasvariáveisconsolidadoset[[#Headers],[9]],tabela_registros[REGISTRO],DADOS!$N$3,tabela_registros[TIPO],DADOS!$V$4,tabela_registros[CATEGORIA],receitasvariáveisconsolidadoset[[#This Row],[ATUAL]])</f>
        <v>0</v>
      </c>
      <c r="N100" s="119" t="n">
        <f aca="false">SUMIFS(tabela_registros[VALOR],tabela_registros[MÊS],$AE$1,tabela_registros[DIA],receitasvariáveisconsolidadoset[[#Headers],[10]],tabela_registros[REGISTRO],DADOS!$N$3,tabela_registros[TIPO],DADOS!$V$4,tabela_registros[CATEGORIA],receitasvariáveisconsolidadoset[[#This Row],[ATUAL]])</f>
        <v>0</v>
      </c>
      <c r="O100" s="119" t="n">
        <f aca="false">SUMIFS(tabela_registros[VALOR],tabela_registros[MÊS],$AE$1,tabela_registros[DIA],receitasvariáveisconsolidadoset[[#Headers],[11]],tabela_registros[REGISTRO],DADOS!$N$3,tabela_registros[TIPO],DADOS!$V$4,tabela_registros[CATEGORIA],receitasvariáveisconsolidadoset[[#This Row],[ATUAL]])</f>
        <v>0</v>
      </c>
      <c r="P100" s="119" t="n">
        <f aca="false">SUMIFS(tabela_registros[VALOR],tabela_registros[MÊS],$AE$1,tabela_registros[DIA],receitasvariáveisconsolidadoset[[#Headers],[12]],tabela_registros[REGISTRO],DADOS!$N$3,tabela_registros[TIPO],DADOS!$V$4,tabela_registros[CATEGORIA],receitasvariáveisconsolidadoset[[#This Row],[ATUAL]])</f>
        <v>0</v>
      </c>
      <c r="Q100" s="119" t="n">
        <f aca="false">SUMIFS(tabela_registros[VALOR],tabela_registros[MÊS],$AE$1,tabela_registros[DIA],receitasvariáveisconsolidadoset[[#Headers],[13]],tabela_registros[REGISTRO],DADOS!$N$3,tabela_registros[TIPO],DADOS!$V$4,tabela_registros[CATEGORIA],receitasvariáveisconsolidadoset[[#This Row],[ATUAL]])</f>
        <v>0</v>
      </c>
      <c r="R100" s="119" t="n">
        <f aca="false">SUMIFS(tabela_registros[VALOR],tabela_registros[MÊS],$AE$1,tabela_registros[DIA],receitasvariáveisconsolidadoset[[#Headers],[14]],tabela_registros[REGISTRO],DADOS!$N$3,tabela_registros[TIPO],DADOS!$V$4,tabela_registros[CATEGORIA],receitasvariáveisconsolidadoset[[#This Row],[ATUAL]])</f>
        <v>0</v>
      </c>
      <c r="S100" s="119" t="n">
        <f aca="false">SUMIFS(tabela_registros[VALOR],tabela_registros[MÊS],$AE$1,tabela_registros[DIA],receitasvariáveisconsolidadoset[[#Headers],[15]],tabela_registros[REGISTRO],DADOS!$N$3,tabela_registros[TIPO],DADOS!$V$4,tabela_registros[CATEGORIA],receitasvariáveisconsolidadoset[[#This Row],[ATUAL]])</f>
        <v>0</v>
      </c>
      <c r="T100" s="119" t="n">
        <f aca="false">SUMIFS(tabela_registros[VALOR],tabela_registros[MÊS],$AE$1,tabela_registros[DIA],receitasvariáveisconsolidadoset[[#Headers],[16]],tabela_registros[REGISTRO],DADOS!$N$3,tabela_registros[TIPO],DADOS!$V$4,tabela_registros[CATEGORIA],receitasvariáveisconsolidadoset[[#This Row],[ATUAL]])</f>
        <v>0</v>
      </c>
      <c r="U100" s="119" t="n">
        <f aca="false">SUMIFS(tabela_registros[VALOR],tabela_registros[MÊS],$AE$1,tabela_registros[DIA],receitasvariáveisconsolidadoset[[#Headers],[17]],tabela_registros[REGISTRO],DADOS!$N$3,tabela_registros[TIPO],DADOS!$V$4,tabela_registros[CATEGORIA],receitasvariáveisconsolidadoset[[#This Row],[ATUAL]])</f>
        <v>0</v>
      </c>
      <c r="V100" s="119" t="n">
        <f aca="false">SUMIFS(tabela_registros[VALOR],tabela_registros[MÊS],$AE$1,tabela_registros[DIA],receitasvariáveisconsolidadoset[[#Headers],[18]],tabela_registros[REGISTRO],DADOS!$N$3,tabela_registros[TIPO],DADOS!$V$4,tabela_registros[CATEGORIA],receitasvariáveisconsolidadoset[[#This Row],[ATUAL]])</f>
        <v>0</v>
      </c>
      <c r="W100" s="119" t="n">
        <f aca="false">SUMIFS(tabela_registros[VALOR],tabela_registros[MÊS],$AE$1,tabela_registros[DIA],receitasvariáveisconsolidadoset[[#Headers],[19]],tabela_registros[REGISTRO],DADOS!$N$3,tabela_registros[TIPO],DADOS!$V$4,tabela_registros[CATEGORIA],receitasvariáveisconsolidadoset[[#This Row],[ATUAL]])</f>
        <v>0</v>
      </c>
      <c r="X100" s="119" t="n">
        <f aca="false">SUMIFS(tabela_registros[VALOR],tabela_registros[MÊS],$AE$1,tabela_registros[DIA],receitasvariáveisconsolidadoset[[#Headers],[20]],tabela_registros[REGISTRO],DADOS!$N$3,tabela_registros[TIPO],DADOS!$V$4,tabela_registros[CATEGORIA],receitasvariáveisconsolidadoset[[#This Row],[ATUAL]])</f>
        <v>0</v>
      </c>
      <c r="Y100" s="119" t="n">
        <f aca="false">SUMIFS(tabela_registros[VALOR],tabela_registros[MÊS],$AE$1,tabela_registros[DIA],receitasvariáveisconsolidadoset[[#Headers],[21]],tabela_registros[REGISTRO],DADOS!$N$3,tabela_registros[TIPO],DADOS!$V$4,tabela_registros[CATEGORIA],receitasvariáveisconsolidadoset[[#This Row],[ATUAL]])</f>
        <v>0</v>
      </c>
      <c r="Z100" s="119" t="n">
        <f aca="false">SUMIFS(tabela_registros[VALOR],tabela_registros[MÊS],$AE$1,tabela_registros[DIA],receitasvariáveisconsolidadoset[[#Headers],[22]],tabela_registros[REGISTRO],DADOS!$N$3,tabela_registros[TIPO],DADOS!$V$4,tabela_registros[CATEGORIA],receitasvariáveisconsolidadoset[[#This Row],[ATUAL]])</f>
        <v>0</v>
      </c>
      <c r="AA100" s="119" t="n">
        <f aca="false">SUMIFS(tabela_registros[VALOR],tabela_registros[MÊS],$AE$1,tabela_registros[DIA],receitasvariáveisconsolidadoset[[#Headers],[23]],tabela_registros[REGISTRO],DADOS!$N$3,tabela_registros[TIPO],DADOS!$V$4,tabela_registros[CATEGORIA],receitasvariáveisconsolidadoset[[#This Row],[ATUAL]])</f>
        <v>0</v>
      </c>
      <c r="AB100" s="119" t="n">
        <f aca="false">SUMIFS(tabela_registros[VALOR],tabela_registros[MÊS],$AE$1,tabela_registros[DIA],receitasvariáveisconsolidadoset[[#Headers],[24]],tabela_registros[REGISTRO],DADOS!$N$3,tabela_registros[TIPO],DADOS!$V$4,tabela_registros[CATEGORIA],receitasvariáveisconsolidadoset[[#This Row],[ATUAL]])</f>
        <v>0</v>
      </c>
      <c r="AC100" s="119" t="n">
        <f aca="false">SUMIFS(tabela_registros[VALOR],tabela_registros[MÊS],$AE$1,tabela_registros[DIA],receitasvariáveisconsolidadoset[[#Headers],[25]],tabela_registros[REGISTRO],DADOS!$N$3,tabela_registros[TIPO],DADOS!$V$4,tabela_registros[CATEGORIA],receitasvariáveisconsolidadoset[[#This Row],[ATUAL]])</f>
        <v>0</v>
      </c>
      <c r="AD100" s="119" t="n">
        <f aca="false">SUMIFS(tabela_registros[VALOR],tabela_registros[MÊS],$AE$1,tabela_registros[DIA],receitasvariáveisconsolidadoset[[#Headers],[26]],tabela_registros[REGISTRO],DADOS!$N$3,tabela_registros[TIPO],DADOS!$V$4,tabela_registros[CATEGORIA],receitasvariáveisconsolidadoset[[#This Row],[ATUAL]])</f>
        <v>0</v>
      </c>
      <c r="AE100" s="119" t="n">
        <f aca="false">SUMIFS(tabela_registros[VALOR],tabela_registros[MÊS],$AE$1,tabela_registros[DIA],receitasvariáveisconsolidadoset[[#Headers],[27]],tabela_registros[REGISTRO],DADOS!$N$3,tabela_registros[TIPO],DADOS!$V$4,tabela_registros[CATEGORIA],receitasvariáveisconsolidadoset[[#This Row],[ATUAL]])</f>
        <v>0</v>
      </c>
      <c r="AF100" s="119" t="n">
        <f aca="false">SUMIFS(tabela_registros[VALOR],tabela_registros[MÊS],$AE$1,tabela_registros[DIA],receitasvariáveisconsolidadoset[[#Headers],[28]],tabela_registros[REGISTRO],DADOS!$N$3,tabela_registros[TIPO],DADOS!$V$4,tabela_registros[CATEGORIA],receitasvariáveisconsolidadoset[[#This Row],[ATUAL]])</f>
        <v>0</v>
      </c>
      <c r="AG100" s="119" t="n">
        <f aca="false">SUMIFS(tabela_registros[VALOR],tabela_registros[MÊS],$AE$1,tabela_registros[DIA],receitasvariáveisconsolidadoset[[#Headers],[29]],tabela_registros[REGISTRO],DADOS!$N$3,tabela_registros[TIPO],DADOS!$V$4,tabela_registros[CATEGORIA],receitasvariáveisconsolidadoset[[#This Row],[ATUAL]])</f>
        <v>0</v>
      </c>
      <c r="AH100" s="119" t="n">
        <f aca="false">SUMIFS(tabela_registros[VALOR],tabela_registros[MÊS],$AE$1,tabela_registros[DIA],receitasvariáveisconsolidadoset[[#Headers],[30]],tabela_registros[REGISTRO],DADOS!$N$3,tabela_registros[TIPO],DADOS!$V$4,tabela_registros[CATEGORIA],receitasvariáveisconsolidadoset[[#This Row],[ATUAL]])</f>
        <v>0</v>
      </c>
      <c r="AI100" s="217" t="n">
        <f aca="false">SUMIFS(tabela_registros[VALOR],tabela_registros[MÊS],$AE$1,tabela_registros[DIA],receitasvariáveisconsolidadoset[[#Headers],[31]],tabela_registros[REGISTRO],DADOS!$N$3,tabela_registros[TIPO],DADOS!$V$4,tabela_registros[CATEGORIA],receitasvariáveisconsolidadoset[[#This Row],[ATUAL]])</f>
        <v>0</v>
      </c>
      <c r="AJ100" s="149" t="n">
        <f aca="false">SUM(receitasvariáveisconsolidadoset[[#This Row],[1]:[31]])</f>
        <v>0</v>
      </c>
      <c r="AK100" s="165"/>
    </row>
    <row r="101" customFormat="false" ht="19.5" hidden="false" customHeight="true" outlineLevel="0" collapsed="false">
      <c r="B101" s="143"/>
      <c r="C101" s="144" t="str">
        <f aca="false">DADOS!$Z$8</f>
        <v>🎁 PRESENTE</v>
      </c>
      <c r="D101" s="145" t="str">
        <f aca="false">IF(receitasvariáveisconsolidadoset[[#This Row],[TOTAL (R$)]]=0,"",IF(OR(receitasvariáveisconsolidadoset[[#This Row],[TOTAL (R$)]]=LARGE($AJ$96:$AJ$103,1),receitasvariáveisconsolidadoset[[#This Row],[TOTAL (R$)]]=LARGE($AJ$96:$AJ$103,2)),DADOS!$I$9,""))</f>
        <v/>
      </c>
      <c r="E101" s="148" t="n">
        <f aca="false">SUMIFS(tabela_registros[VALOR],tabela_registros[MÊS],$AE$1,tabela_registros[DIA],receitasvariáveisconsolidadoset[[#Headers],[1]],tabela_registros[REGISTRO],DADOS!$N$3,tabela_registros[TIPO],DADOS!$V$4,tabela_registros[CATEGORIA],receitasvariáveisconsolidadoset[[#This Row],[ATUAL]])</f>
        <v>0</v>
      </c>
      <c r="F101" s="119" t="n">
        <f aca="false">SUMIFS(tabela_registros[VALOR],tabela_registros[MÊS],$AE$1,tabela_registros[DIA],receitasvariáveisconsolidadoset[[#Headers],[2]],tabela_registros[REGISTRO],DADOS!$N$3,tabela_registros[TIPO],DADOS!$V$4,tabela_registros[CATEGORIA],receitasvariáveisconsolidadoset[[#This Row],[ATUAL]])</f>
        <v>0</v>
      </c>
      <c r="G101" s="119" t="n">
        <f aca="false">SUMIFS(tabela_registros[VALOR],tabela_registros[MÊS],$AE$1,tabela_registros[DIA],receitasvariáveisconsolidadoset[[#Headers],[3]],tabela_registros[REGISTRO],DADOS!$N$3,tabela_registros[TIPO],DADOS!$V$4,tabela_registros[CATEGORIA],receitasvariáveisconsolidadoset[[#This Row],[ATUAL]])</f>
        <v>0</v>
      </c>
      <c r="H101" s="119" t="n">
        <f aca="false">SUMIFS(tabela_registros[VALOR],tabela_registros[MÊS],$AE$1,tabela_registros[DIA],receitasvariáveisconsolidadoset[[#Headers],[4]],tabela_registros[REGISTRO],DADOS!$N$3,tabela_registros[TIPO],DADOS!$V$4,tabela_registros[CATEGORIA],receitasvariáveisconsolidadoset[[#This Row],[ATUAL]])</f>
        <v>0</v>
      </c>
      <c r="I101" s="119" t="n">
        <f aca="false">SUMIFS(tabela_registros[VALOR],tabela_registros[MÊS],$AE$1,tabela_registros[DIA],receitasvariáveisconsolidadoset[[#Headers],[5]],tabela_registros[REGISTRO],DADOS!$N$3,tabela_registros[TIPO],DADOS!$V$4,tabela_registros[CATEGORIA],receitasvariáveisconsolidadoset[[#This Row],[ATUAL]])</f>
        <v>0</v>
      </c>
      <c r="J101" s="119" t="n">
        <f aca="false">SUMIFS(tabela_registros[VALOR],tabela_registros[MÊS],$AE$1,tabela_registros[DIA],receitasvariáveisconsolidadoset[[#Headers],[6]],tabela_registros[REGISTRO],DADOS!$N$3,tabela_registros[TIPO],DADOS!$V$4,tabela_registros[CATEGORIA],receitasvariáveisconsolidadoset[[#This Row],[ATUAL]])</f>
        <v>0</v>
      </c>
      <c r="K101" s="119" t="n">
        <f aca="false">SUMIFS(tabela_registros[VALOR],tabela_registros[MÊS],$AE$1,tabela_registros[DIA],receitasvariáveisconsolidadoset[[#Headers],[7]],tabela_registros[REGISTRO],DADOS!$N$3,tabela_registros[TIPO],DADOS!$V$4,tabela_registros[CATEGORIA],receitasvariáveisconsolidadoset[[#This Row],[ATUAL]])</f>
        <v>0</v>
      </c>
      <c r="L101" s="119" t="n">
        <f aca="false">SUMIFS(tabela_registros[VALOR],tabela_registros[MÊS],$AE$1,tabela_registros[DIA],receitasvariáveisconsolidadoset[[#Headers],[8]],tabela_registros[REGISTRO],DADOS!$N$3,tabela_registros[TIPO],DADOS!$V$4,tabela_registros[CATEGORIA],receitasvariáveisconsolidadoset[[#This Row],[ATUAL]])</f>
        <v>0</v>
      </c>
      <c r="M101" s="119" t="n">
        <f aca="false">SUMIFS(tabela_registros[VALOR],tabela_registros[MÊS],$AE$1,tabela_registros[DIA],receitasvariáveisconsolidadoset[[#Headers],[9]],tabela_registros[REGISTRO],DADOS!$N$3,tabela_registros[TIPO],DADOS!$V$4,tabela_registros[CATEGORIA],receitasvariáveisconsolidadoset[[#This Row],[ATUAL]])</f>
        <v>0</v>
      </c>
      <c r="N101" s="119" t="n">
        <f aca="false">SUMIFS(tabela_registros[VALOR],tabela_registros[MÊS],$AE$1,tabela_registros[DIA],receitasvariáveisconsolidadoset[[#Headers],[10]],tabela_registros[REGISTRO],DADOS!$N$3,tabela_registros[TIPO],DADOS!$V$4,tabela_registros[CATEGORIA],receitasvariáveisconsolidadoset[[#This Row],[ATUAL]])</f>
        <v>0</v>
      </c>
      <c r="O101" s="119" t="n">
        <f aca="false">SUMIFS(tabela_registros[VALOR],tabela_registros[MÊS],$AE$1,tabela_registros[DIA],receitasvariáveisconsolidadoset[[#Headers],[11]],tabela_registros[REGISTRO],DADOS!$N$3,tabela_registros[TIPO],DADOS!$V$4,tabela_registros[CATEGORIA],receitasvariáveisconsolidadoset[[#This Row],[ATUAL]])</f>
        <v>0</v>
      </c>
      <c r="P101" s="119" t="n">
        <f aca="false">SUMIFS(tabela_registros[VALOR],tabela_registros[MÊS],$AE$1,tabela_registros[DIA],receitasvariáveisconsolidadoset[[#Headers],[12]],tabela_registros[REGISTRO],DADOS!$N$3,tabela_registros[TIPO],DADOS!$V$4,tabela_registros[CATEGORIA],receitasvariáveisconsolidadoset[[#This Row],[ATUAL]])</f>
        <v>0</v>
      </c>
      <c r="Q101" s="119" t="n">
        <f aca="false">SUMIFS(tabela_registros[VALOR],tabela_registros[MÊS],$AE$1,tabela_registros[DIA],receitasvariáveisconsolidadoset[[#Headers],[13]],tabela_registros[REGISTRO],DADOS!$N$3,tabela_registros[TIPO],DADOS!$V$4,tabela_registros[CATEGORIA],receitasvariáveisconsolidadoset[[#This Row],[ATUAL]])</f>
        <v>0</v>
      </c>
      <c r="R101" s="119" t="n">
        <f aca="false">SUMIFS(tabela_registros[VALOR],tabela_registros[MÊS],$AE$1,tabela_registros[DIA],receitasvariáveisconsolidadoset[[#Headers],[14]],tabela_registros[REGISTRO],DADOS!$N$3,tabela_registros[TIPO],DADOS!$V$4,tabela_registros[CATEGORIA],receitasvariáveisconsolidadoset[[#This Row],[ATUAL]])</f>
        <v>0</v>
      </c>
      <c r="S101" s="119" t="n">
        <f aca="false">SUMIFS(tabela_registros[VALOR],tabela_registros[MÊS],$AE$1,tabela_registros[DIA],receitasvariáveisconsolidadoset[[#Headers],[15]],tabela_registros[REGISTRO],DADOS!$N$3,tabela_registros[TIPO],DADOS!$V$4,tabela_registros[CATEGORIA],receitasvariáveisconsolidadoset[[#This Row],[ATUAL]])</f>
        <v>0</v>
      </c>
      <c r="T101" s="119" t="n">
        <f aca="false">SUMIFS(tabela_registros[VALOR],tabela_registros[MÊS],$AE$1,tabela_registros[DIA],receitasvariáveisconsolidadoset[[#Headers],[16]],tabela_registros[REGISTRO],DADOS!$N$3,tabela_registros[TIPO],DADOS!$V$4,tabela_registros[CATEGORIA],receitasvariáveisconsolidadoset[[#This Row],[ATUAL]])</f>
        <v>0</v>
      </c>
      <c r="U101" s="119" t="n">
        <f aca="false">SUMIFS(tabela_registros[VALOR],tabela_registros[MÊS],$AE$1,tabela_registros[DIA],receitasvariáveisconsolidadoset[[#Headers],[17]],tabela_registros[REGISTRO],DADOS!$N$3,tabela_registros[TIPO],DADOS!$V$4,tabela_registros[CATEGORIA],receitasvariáveisconsolidadoset[[#This Row],[ATUAL]])</f>
        <v>0</v>
      </c>
      <c r="V101" s="119" t="n">
        <f aca="false">SUMIFS(tabela_registros[VALOR],tabela_registros[MÊS],$AE$1,tabela_registros[DIA],receitasvariáveisconsolidadoset[[#Headers],[18]],tabela_registros[REGISTRO],DADOS!$N$3,tabela_registros[TIPO],DADOS!$V$4,tabela_registros[CATEGORIA],receitasvariáveisconsolidadoset[[#This Row],[ATUAL]])</f>
        <v>0</v>
      </c>
      <c r="W101" s="119" t="n">
        <f aca="false">SUMIFS(tabela_registros[VALOR],tabela_registros[MÊS],$AE$1,tabela_registros[DIA],receitasvariáveisconsolidadoset[[#Headers],[19]],tabela_registros[REGISTRO],DADOS!$N$3,tabela_registros[TIPO],DADOS!$V$4,tabela_registros[CATEGORIA],receitasvariáveisconsolidadoset[[#This Row],[ATUAL]])</f>
        <v>0</v>
      </c>
      <c r="X101" s="119" t="n">
        <f aca="false">SUMIFS(tabela_registros[VALOR],tabela_registros[MÊS],$AE$1,tabela_registros[DIA],receitasvariáveisconsolidadoset[[#Headers],[20]],tabela_registros[REGISTRO],DADOS!$N$3,tabela_registros[TIPO],DADOS!$V$4,tabela_registros[CATEGORIA],receitasvariáveisconsolidadoset[[#This Row],[ATUAL]])</f>
        <v>0</v>
      </c>
      <c r="Y101" s="119" t="n">
        <f aca="false">SUMIFS(tabela_registros[VALOR],tabela_registros[MÊS],$AE$1,tabela_registros[DIA],receitasvariáveisconsolidadoset[[#Headers],[21]],tabela_registros[REGISTRO],DADOS!$N$3,tabela_registros[TIPO],DADOS!$V$4,tabela_registros[CATEGORIA],receitasvariáveisconsolidadoset[[#This Row],[ATUAL]])</f>
        <v>0</v>
      </c>
      <c r="Z101" s="119" t="n">
        <f aca="false">SUMIFS(tabela_registros[VALOR],tabela_registros[MÊS],$AE$1,tabela_registros[DIA],receitasvariáveisconsolidadoset[[#Headers],[22]],tabela_registros[REGISTRO],DADOS!$N$3,tabela_registros[TIPO],DADOS!$V$4,tabela_registros[CATEGORIA],receitasvariáveisconsolidadoset[[#This Row],[ATUAL]])</f>
        <v>0</v>
      </c>
      <c r="AA101" s="119" t="n">
        <f aca="false">SUMIFS(tabela_registros[VALOR],tabela_registros[MÊS],$AE$1,tabela_registros[DIA],receitasvariáveisconsolidadoset[[#Headers],[23]],tabela_registros[REGISTRO],DADOS!$N$3,tabela_registros[TIPO],DADOS!$V$4,tabela_registros[CATEGORIA],receitasvariáveisconsolidadoset[[#This Row],[ATUAL]])</f>
        <v>0</v>
      </c>
      <c r="AB101" s="119" t="n">
        <f aca="false">SUMIFS(tabela_registros[VALOR],tabela_registros[MÊS],$AE$1,tabela_registros[DIA],receitasvariáveisconsolidadoset[[#Headers],[24]],tabela_registros[REGISTRO],DADOS!$N$3,tabela_registros[TIPO],DADOS!$V$4,tabela_registros[CATEGORIA],receitasvariáveisconsolidadoset[[#This Row],[ATUAL]])</f>
        <v>0</v>
      </c>
      <c r="AC101" s="119" t="n">
        <f aca="false">SUMIFS(tabela_registros[VALOR],tabela_registros[MÊS],$AE$1,tabela_registros[DIA],receitasvariáveisconsolidadoset[[#Headers],[25]],tabela_registros[REGISTRO],DADOS!$N$3,tabela_registros[TIPO],DADOS!$V$4,tabela_registros[CATEGORIA],receitasvariáveisconsolidadoset[[#This Row],[ATUAL]])</f>
        <v>0</v>
      </c>
      <c r="AD101" s="119" t="n">
        <f aca="false">SUMIFS(tabela_registros[VALOR],tabela_registros[MÊS],$AE$1,tabela_registros[DIA],receitasvariáveisconsolidadoset[[#Headers],[26]],tabela_registros[REGISTRO],DADOS!$N$3,tabela_registros[TIPO],DADOS!$V$4,tabela_registros[CATEGORIA],receitasvariáveisconsolidadoset[[#This Row],[ATUAL]])</f>
        <v>0</v>
      </c>
      <c r="AE101" s="119" t="n">
        <f aca="false">SUMIFS(tabela_registros[VALOR],tabela_registros[MÊS],$AE$1,tabela_registros[DIA],receitasvariáveisconsolidadoset[[#Headers],[27]],tabela_registros[REGISTRO],DADOS!$N$3,tabela_registros[TIPO],DADOS!$V$4,tabela_registros[CATEGORIA],receitasvariáveisconsolidadoset[[#This Row],[ATUAL]])</f>
        <v>0</v>
      </c>
      <c r="AF101" s="119" t="n">
        <f aca="false">SUMIFS(tabela_registros[VALOR],tabela_registros[MÊS],$AE$1,tabela_registros[DIA],receitasvariáveisconsolidadoset[[#Headers],[28]],tabela_registros[REGISTRO],DADOS!$N$3,tabela_registros[TIPO],DADOS!$V$4,tabela_registros[CATEGORIA],receitasvariáveisconsolidadoset[[#This Row],[ATUAL]])</f>
        <v>0</v>
      </c>
      <c r="AG101" s="119" t="n">
        <f aca="false">SUMIFS(tabela_registros[VALOR],tabela_registros[MÊS],$AE$1,tabela_registros[DIA],receitasvariáveisconsolidadoset[[#Headers],[29]],tabela_registros[REGISTRO],DADOS!$N$3,tabela_registros[TIPO],DADOS!$V$4,tabela_registros[CATEGORIA],receitasvariáveisconsolidadoset[[#This Row],[ATUAL]])</f>
        <v>0</v>
      </c>
      <c r="AH101" s="119" t="n">
        <f aca="false">SUMIFS(tabela_registros[VALOR],tabela_registros[MÊS],$AE$1,tabela_registros[DIA],receitasvariáveisconsolidadoset[[#Headers],[30]],tabela_registros[REGISTRO],DADOS!$N$3,tabela_registros[TIPO],DADOS!$V$4,tabela_registros[CATEGORIA],receitasvariáveisconsolidadoset[[#This Row],[ATUAL]])</f>
        <v>0</v>
      </c>
      <c r="AI101" s="217" t="n">
        <f aca="false">SUMIFS(tabela_registros[VALOR],tabela_registros[MÊS],$AE$1,tabela_registros[DIA],receitasvariáveisconsolidadoset[[#Headers],[31]],tabela_registros[REGISTRO],DADOS!$N$3,tabela_registros[TIPO],DADOS!$V$4,tabela_registros[CATEGORIA],receitasvariáveisconsolidadoset[[#This Row],[ATUAL]])</f>
        <v>0</v>
      </c>
      <c r="AJ101" s="149" t="n">
        <f aca="false">SUM(receitasvariáveisconsolidadoset[[#This Row],[1]:[31]])</f>
        <v>0</v>
      </c>
      <c r="AK101" s="165"/>
    </row>
    <row r="102" customFormat="false" ht="19.5" hidden="false" customHeight="true" outlineLevel="0" collapsed="false">
      <c r="B102" s="143"/>
      <c r="C102" s="144" t="str">
        <f aca="false">DADOS!$Z$9</f>
        <v>👷‍♀️ TRABALHO TEMPORÁRIO</v>
      </c>
      <c r="D102" s="145" t="str">
        <f aca="false">IF(receitasvariáveisconsolidadoset[[#This Row],[TOTAL (R$)]]=0,"",IF(OR(receitasvariáveisconsolidadoset[[#This Row],[TOTAL (R$)]]=LARGE($AJ$96:$AJ$103,1),receitasvariáveisconsolidadoset[[#This Row],[TOTAL (R$)]]=LARGE($AJ$96:$AJ$103,2)),DADOS!$I$9,""))</f>
        <v/>
      </c>
      <c r="E102" s="148" t="n">
        <f aca="false">SUMIFS(tabela_registros[VALOR],tabela_registros[MÊS],$AE$1,tabela_registros[DIA],receitasvariáveisconsolidadoset[[#Headers],[1]],tabela_registros[REGISTRO],DADOS!$N$3,tabela_registros[TIPO],DADOS!$V$4,tabela_registros[CATEGORIA],receitasvariáveisconsolidadoset[[#This Row],[ATUAL]])</f>
        <v>0</v>
      </c>
      <c r="F102" s="119" t="n">
        <f aca="false">SUMIFS(tabela_registros[VALOR],tabela_registros[MÊS],$AE$1,tabela_registros[DIA],receitasvariáveisconsolidadoset[[#Headers],[2]],tabela_registros[REGISTRO],DADOS!$N$3,tabela_registros[TIPO],DADOS!$V$4,tabela_registros[CATEGORIA],receitasvariáveisconsolidadoset[[#This Row],[ATUAL]])</f>
        <v>0</v>
      </c>
      <c r="G102" s="119" t="n">
        <f aca="false">SUMIFS(tabela_registros[VALOR],tabela_registros[MÊS],$AE$1,tabela_registros[DIA],receitasvariáveisconsolidadoset[[#Headers],[3]],tabela_registros[REGISTRO],DADOS!$N$3,tabela_registros[TIPO],DADOS!$V$4,tabela_registros[CATEGORIA],receitasvariáveisconsolidadoset[[#This Row],[ATUAL]])</f>
        <v>0</v>
      </c>
      <c r="H102" s="119" t="n">
        <f aca="false">SUMIFS(tabela_registros[VALOR],tabela_registros[MÊS],$AE$1,tabela_registros[DIA],receitasvariáveisconsolidadoset[[#Headers],[4]],tabela_registros[REGISTRO],DADOS!$N$3,tabela_registros[TIPO],DADOS!$V$4,tabela_registros[CATEGORIA],receitasvariáveisconsolidadoset[[#This Row],[ATUAL]])</f>
        <v>0</v>
      </c>
      <c r="I102" s="119" t="n">
        <f aca="false">SUMIFS(tabela_registros[VALOR],tabela_registros[MÊS],$AE$1,tabela_registros[DIA],receitasvariáveisconsolidadoset[[#Headers],[5]],tabela_registros[REGISTRO],DADOS!$N$3,tabela_registros[TIPO],DADOS!$V$4,tabela_registros[CATEGORIA],receitasvariáveisconsolidadoset[[#This Row],[ATUAL]])</f>
        <v>0</v>
      </c>
      <c r="J102" s="119" t="n">
        <f aca="false">SUMIFS(tabela_registros[VALOR],tabela_registros[MÊS],$AE$1,tabela_registros[DIA],receitasvariáveisconsolidadoset[[#Headers],[6]],tabela_registros[REGISTRO],DADOS!$N$3,tabela_registros[TIPO],DADOS!$V$4,tabela_registros[CATEGORIA],receitasvariáveisconsolidadoset[[#This Row],[ATUAL]])</f>
        <v>0</v>
      </c>
      <c r="K102" s="119" t="n">
        <f aca="false">SUMIFS(tabela_registros[VALOR],tabela_registros[MÊS],$AE$1,tabela_registros[DIA],receitasvariáveisconsolidadoset[[#Headers],[7]],tabela_registros[REGISTRO],DADOS!$N$3,tabela_registros[TIPO],DADOS!$V$4,tabela_registros[CATEGORIA],receitasvariáveisconsolidadoset[[#This Row],[ATUAL]])</f>
        <v>0</v>
      </c>
      <c r="L102" s="119" t="n">
        <f aca="false">SUMIFS(tabela_registros[VALOR],tabela_registros[MÊS],$AE$1,tabela_registros[DIA],receitasvariáveisconsolidadoset[[#Headers],[8]],tabela_registros[REGISTRO],DADOS!$N$3,tabela_registros[TIPO],DADOS!$V$4,tabela_registros[CATEGORIA],receitasvariáveisconsolidadoset[[#This Row],[ATUAL]])</f>
        <v>0</v>
      </c>
      <c r="M102" s="119" t="n">
        <f aca="false">SUMIFS(tabela_registros[VALOR],tabela_registros[MÊS],$AE$1,tabela_registros[DIA],receitasvariáveisconsolidadoset[[#Headers],[9]],tabela_registros[REGISTRO],DADOS!$N$3,tabela_registros[TIPO],DADOS!$V$4,tabela_registros[CATEGORIA],receitasvariáveisconsolidadoset[[#This Row],[ATUAL]])</f>
        <v>0</v>
      </c>
      <c r="N102" s="119" t="n">
        <f aca="false">SUMIFS(tabela_registros[VALOR],tabela_registros[MÊS],$AE$1,tabela_registros[DIA],receitasvariáveisconsolidadoset[[#Headers],[10]],tabela_registros[REGISTRO],DADOS!$N$3,tabela_registros[TIPO],DADOS!$V$4,tabela_registros[CATEGORIA],receitasvariáveisconsolidadoset[[#This Row],[ATUAL]])</f>
        <v>0</v>
      </c>
      <c r="O102" s="119" t="n">
        <f aca="false">SUMIFS(tabela_registros[VALOR],tabela_registros[MÊS],$AE$1,tabela_registros[DIA],receitasvariáveisconsolidadoset[[#Headers],[11]],tabela_registros[REGISTRO],DADOS!$N$3,tabela_registros[TIPO],DADOS!$V$4,tabela_registros[CATEGORIA],receitasvariáveisconsolidadoset[[#This Row],[ATUAL]])</f>
        <v>0</v>
      </c>
      <c r="P102" s="119" t="n">
        <f aca="false">SUMIFS(tabela_registros[VALOR],tabela_registros[MÊS],$AE$1,tabela_registros[DIA],receitasvariáveisconsolidadoset[[#Headers],[12]],tabela_registros[REGISTRO],DADOS!$N$3,tabela_registros[TIPO],DADOS!$V$4,tabela_registros[CATEGORIA],receitasvariáveisconsolidadoset[[#This Row],[ATUAL]])</f>
        <v>0</v>
      </c>
      <c r="Q102" s="119" t="n">
        <f aca="false">SUMIFS(tabela_registros[VALOR],tabela_registros[MÊS],$AE$1,tabela_registros[DIA],receitasvariáveisconsolidadoset[[#Headers],[13]],tabela_registros[REGISTRO],DADOS!$N$3,tabela_registros[TIPO],DADOS!$V$4,tabela_registros[CATEGORIA],receitasvariáveisconsolidadoset[[#This Row],[ATUAL]])</f>
        <v>0</v>
      </c>
      <c r="R102" s="119" t="n">
        <f aca="false">SUMIFS(tabela_registros[VALOR],tabela_registros[MÊS],$AE$1,tabela_registros[DIA],receitasvariáveisconsolidadoset[[#Headers],[14]],tabela_registros[REGISTRO],DADOS!$N$3,tabela_registros[TIPO],DADOS!$V$4,tabela_registros[CATEGORIA],receitasvariáveisconsolidadoset[[#This Row],[ATUAL]])</f>
        <v>0</v>
      </c>
      <c r="S102" s="119" t="n">
        <f aca="false">SUMIFS(tabela_registros[VALOR],tabela_registros[MÊS],$AE$1,tabela_registros[DIA],receitasvariáveisconsolidadoset[[#Headers],[15]],tabela_registros[REGISTRO],DADOS!$N$3,tabela_registros[TIPO],DADOS!$V$4,tabela_registros[CATEGORIA],receitasvariáveisconsolidadoset[[#This Row],[ATUAL]])</f>
        <v>0</v>
      </c>
      <c r="T102" s="119" t="n">
        <f aca="false">SUMIFS(tabela_registros[VALOR],tabela_registros[MÊS],$AE$1,tabela_registros[DIA],receitasvariáveisconsolidadoset[[#Headers],[16]],tabela_registros[REGISTRO],DADOS!$N$3,tabela_registros[TIPO],DADOS!$V$4,tabela_registros[CATEGORIA],receitasvariáveisconsolidadoset[[#This Row],[ATUAL]])</f>
        <v>0</v>
      </c>
      <c r="U102" s="119" t="n">
        <f aca="false">SUMIFS(tabela_registros[VALOR],tabela_registros[MÊS],$AE$1,tabela_registros[DIA],receitasvariáveisconsolidadoset[[#Headers],[17]],tabela_registros[REGISTRO],DADOS!$N$3,tabela_registros[TIPO],DADOS!$V$4,tabela_registros[CATEGORIA],receitasvariáveisconsolidadoset[[#This Row],[ATUAL]])</f>
        <v>0</v>
      </c>
      <c r="V102" s="119" t="n">
        <f aca="false">SUMIFS(tabela_registros[VALOR],tabela_registros[MÊS],$AE$1,tabela_registros[DIA],receitasvariáveisconsolidadoset[[#Headers],[18]],tabela_registros[REGISTRO],DADOS!$N$3,tabela_registros[TIPO],DADOS!$V$4,tabela_registros[CATEGORIA],receitasvariáveisconsolidadoset[[#This Row],[ATUAL]])</f>
        <v>0</v>
      </c>
      <c r="W102" s="119" t="n">
        <f aca="false">SUMIFS(tabela_registros[VALOR],tabela_registros[MÊS],$AE$1,tabela_registros[DIA],receitasvariáveisconsolidadoset[[#Headers],[19]],tabela_registros[REGISTRO],DADOS!$N$3,tabela_registros[TIPO],DADOS!$V$4,tabela_registros[CATEGORIA],receitasvariáveisconsolidadoset[[#This Row],[ATUAL]])</f>
        <v>0</v>
      </c>
      <c r="X102" s="119" t="n">
        <f aca="false">SUMIFS(tabela_registros[VALOR],tabela_registros[MÊS],$AE$1,tabela_registros[DIA],receitasvariáveisconsolidadoset[[#Headers],[20]],tabela_registros[REGISTRO],DADOS!$N$3,tabela_registros[TIPO],DADOS!$V$4,tabela_registros[CATEGORIA],receitasvariáveisconsolidadoset[[#This Row],[ATUAL]])</f>
        <v>0</v>
      </c>
      <c r="Y102" s="119" t="n">
        <f aca="false">SUMIFS(tabela_registros[VALOR],tabela_registros[MÊS],$AE$1,tabela_registros[DIA],receitasvariáveisconsolidadoset[[#Headers],[21]],tabela_registros[REGISTRO],DADOS!$N$3,tabela_registros[TIPO],DADOS!$V$4,tabela_registros[CATEGORIA],receitasvariáveisconsolidadoset[[#This Row],[ATUAL]])</f>
        <v>0</v>
      </c>
      <c r="Z102" s="119" t="n">
        <f aca="false">SUMIFS(tabela_registros[VALOR],tabela_registros[MÊS],$AE$1,tabela_registros[DIA],receitasvariáveisconsolidadoset[[#Headers],[22]],tabela_registros[REGISTRO],DADOS!$N$3,tabela_registros[TIPO],DADOS!$V$4,tabela_registros[CATEGORIA],receitasvariáveisconsolidadoset[[#This Row],[ATUAL]])</f>
        <v>0</v>
      </c>
      <c r="AA102" s="119" t="n">
        <f aca="false">SUMIFS(tabela_registros[VALOR],tabela_registros[MÊS],$AE$1,tabela_registros[DIA],receitasvariáveisconsolidadoset[[#Headers],[23]],tabela_registros[REGISTRO],DADOS!$N$3,tabela_registros[TIPO],DADOS!$V$4,tabela_registros[CATEGORIA],receitasvariáveisconsolidadoset[[#This Row],[ATUAL]])</f>
        <v>0</v>
      </c>
      <c r="AB102" s="119" t="n">
        <f aca="false">SUMIFS(tabela_registros[VALOR],tabela_registros[MÊS],$AE$1,tabela_registros[DIA],receitasvariáveisconsolidadoset[[#Headers],[24]],tabela_registros[REGISTRO],DADOS!$N$3,tabela_registros[TIPO],DADOS!$V$4,tabela_registros[CATEGORIA],receitasvariáveisconsolidadoset[[#This Row],[ATUAL]])</f>
        <v>0</v>
      </c>
      <c r="AC102" s="119" t="n">
        <f aca="false">SUMIFS(tabela_registros[VALOR],tabela_registros[MÊS],$AE$1,tabela_registros[DIA],receitasvariáveisconsolidadoset[[#Headers],[25]],tabela_registros[REGISTRO],DADOS!$N$3,tabela_registros[TIPO],DADOS!$V$4,tabela_registros[CATEGORIA],receitasvariáveisconsolidadoset[[#This Row],[ATUAL]])</f>
        <v>0</v>
      </c>
      <c r="AD102" s="119" t="n">
        <f aca="false">SUMIFS(tabela_registros[VALOR],tabela_registros[MÊS],$AE$1,tabela_registros[DIA],receitasvariáveisconsolidadoset[[#Headers],[26]],tabela_registros[REGISTRO],DADOS!$N$3,tabela_registros[TIPO],DADOS!$V$4,tabela_registros[CATEGORIA],receitasvariáveisconsolidadoset[[#This Row],[ATUAL]])</f>
        <v>0</v>
      </c>
      <c r="AE102" s="119" t="n">
        <f aca="false">SUMIFS(tabela_registros[VALOR],tabela_registros[MÊS],$AE$1,tabela_registros[DIA],receitasvariáveisconsolidadoset[[#Headers],[27]],tabela_registros[REGISTRO],DADOS!$N$3,tabela_registros[TIPO],DADOS!$V$4,tabela_registros[CATEGORIA],receitasvariáveisconsolidadoset[[#This Row],[ATUAL]])</f>
        <v>0</v>
      </c>
      <c r="AF102" s="119" t="n">
        <f aca="false">SUMIFS(tabela_registros[VALOR],tabela_registros[MÊS],$AE$1,tabela_registros[DIA],receitasvariáveisconsolidadoset[[#Headers],[28]],tabela_registros[REGISTRO],DADOS!$N$3,tabela_registros[TIPO],DADOS!$V$4,tabela_registros[CATEGORIA],receitasvariáveisconsolidadoset[[#This Row],[ATUAL]])</f>
        <v>0</v>
      </c>
      <c r="AG102" s="119" t="n">
        <f aca="false">SUMIFS(tabela_registros[VALOR],tabela_registros[MÊS],$AE$1,tabela_registros[DIA],receitasvariáveisconsolidadoset[[#Headers],[29]],tabela_registros[REGISTRO],DADOS!$N$3,tabela_registros[TIPO],DADOS!$V$4,tabela_registros[CATEGORIA],receitasvariáveisconsolidadoset[[#This Row],[ATUAL]])</f>
        <v>0</v>
      </c>
      <c r="AH102" s="119" t="n">
        <f aca="false">SUMIFS(tabela_registros[VALOR],tabela_registros[MÊS],$AE$1,tabela_registros[DIA],receitasvariáveisconsolidadoset[[#Headers],[30]],tabela_registros[REGISTRO],DADOS!$N$3,tabela_registros[TIPO],DADOS!$V$4,tabela_registros[CATEGORIA],receitasvariáveisconsolidadoset[[#This Row],[ATUAL]])</f>
        <v>0</v>
      </c>
      <c r="AI102" s="217" t="n">
        <f aca="false">SUMIFS(tabela_registros[VALOR],tabela_registros[MÊS],$AE$1,tabela_registros[DIA],receitasvariáveisconsolidadoset[[#Headers],[31]],tabela_registros[REGISTRO],DADOS!$N$3,tabela_registros[TIPO],DADOS!$V$4,tabela_registros[CATEGORIA],receitasvariáveisconsolidadoset[[#This Row],[ATUAL]])</f>
        <v>0</v>
      </c>
      <c r="AJ102" s="149" t="n">
        <f aca="false">SUM(receitasvariáveisconsolidadoset[[#This Row],[1]:[31]])</f>
        <v>0</v>
      </c>
      <c r="AK102" s="165"/>
    </row>
    <row r="103" customFormat="false" ht="18" hidden="false" customHeight="true" outlineLevel="0" collapsed="false">
      <c r="B103" s="143"/>
      <c r="C103" s="144" t="str">
        <f aca="false">DADOS!$Z$10</f>
        <v>📎 OUTROS</v>
      </c>
      <c r="D103" s="145" t="str">
        <f aca="false">IF(receitasvariáveisconsolidadoset[[#This Row],[TOTAL (R$)]]=0,"",IF(OR(receitasvariáveisconsolidadoset[[#This Row],[TOTAL (R$)]]=LARGE($AJ$96:$AJ$103,1),receitasvariáveisconsolidadoset[[#This Row],[TOTAL (R$)]]=LARGE($AJ$96:$AJ$103,2)),DADOS!$I$9,""))</f>
        <v/>
      </c>
      <c r="E103" s="148" t="n">
        <f aca="false">SUMIFS(tabela_registros[VALOR],tabela_registros[MÊS],$AE$1,tabela_registros[DIA],receitasvariáveisconsolidadoset[[#Headers],[1]],tabela_registros[REGISTRO],DADOS!$N$3,tabela_registros[TIPO],DADOS!$V$4,tabela_registros[CATEGORIA],receitasvariáveisconsolidadoset[[#This Row],[ATUAL]])</f>
        <v>0</v>
      </c>
      <c r="F103" s="119" t="n">
        <f aca="false">SUMIFS(tabela_registros[VALOR],tabela_registros[MÊS],$AE$1,tabela_registros[DIA],receitasvariáveisconsolidadoset[[#Headers],[2]],tabela_registros[REGISTRO],DADOS!$N$3,tabela_registros[TIPO],DADOS!$V$4,tabela_registros[CATEGORIA],receitasvariáveisconsolidadoset[[#This Row],[ATUAL]])</f>
        <v>0</v>
      </c>
      <c r="G103" s="119" t="n">
        <f aca="false">SUMIFS(tabela_registros[VALOR],tabela_registros[MÊS],$AE$1,tabela_registros[DIA],receitasvariáveisconsolidadoset[[#Headers],[3]],tabela_registros[REGISTRO],DADOS!$N$3,tabela_registros[TIPO],DADOS!$V$4,tabela_registros[CATEGORIA],receitasvariáveisconsolidadoset[[#This Row],[ATUAL]])</f>
        <v>0</v>
      </c>
      <c r="H103" s="119" t="n">
        <f aca="false">SUMIFS(tabela_registros[VALOR],tabela_registros[MÊS],$AE$1,tabela_registros[DIA],receitasvariáveisconsolidadoset[[#Headers],[4]],tabela_registros[REGISTRO],DADOS!$N$3,tabela_registros[TIPO],DADOS!$V$4,tabela_registros[CATEGORIA],receitasvariáveisconsolidadoset[[#This Row],[ATUAL]])</f>
        <v>0</v>
      </c>
      <c r="I103" s="119" t="n">
        <f aca="false">SUMIFS(tabela_registros[VALOR],tabela_registros[MÊS],$AE$1,tabela_registros[DIA],receitasvariáveisconsolidadoset[[#Headers],[5]],tabela_registros[REGISTRO],DADOS!$N$3,tabela_registros[TIPO],DADOS!$V$4,tabela_registros[CATEGORIA],receitasvariáveisconsolidadoset[[#This Row],[ATUAL]])</f>
        <v>0</v>
      </c>
      <c r="J103" s="119" t="n">
        <f aca="false">SUMIFS(tabela_registros[VALOR],tabela_registros[MÊS],$AE$1,tabela_registros[DIA],receitasvariáveisconsolidadoset[[#Headers],[6]],tabela_registros[REGISTRO],DADOS!$N$3,tabela_registros[TIPO],DADOS!$V$4,tabela_registros[CATEGORIA],receitasvariáveisconsolidadoset[[#This Row],[ATUAL]])</f>
        <v>0</v>
      </c>
      <c r="K103" s="119" t="n">
        <f aca="false">SUMIFS(tabela_registros[VALOR],tabela_registros[MÊS],$AE$1,tabela_registros[DIA],receitasvariáveisconsolidadoset[[#Headers],[7]],tabela_registros[REGISTRO],DADOS!$N$3,tabela_registros[TIPO],DADOS!$V$4,tabela_registros[CATEGORIA],receitasvariáveisconsolidadoset[[#This Row],[ATUAL]])</f>
        <v>0</v>
      </c>
      <c r="L103" s="119" t="n">
        <f aca="false">SUMIFS(tabela_registros[VALOR],tabela_registros[MÊS],$AE$1,tabela_registros[DIA],receitasvariáveisconsolidadoset[[#Headers],[8]],tabela_registros[REGISTRO],DADOS!$N$3,tabela_registros[TIPO],DADOS!$V$4,tabela_registros[CATEGORIA],receitasvariáveisconsolidadoset[[#This Row],[ATUAL]])</f>
        <v>0</v>
      </c>
      <c r="M103" s="119" t="n">
        <f aca="false">SUMIFS(tabela_registros[VALOR],tabela_registros[MÊS],$AE$1,tabela_registros[DIA],receitasvariáveisconsolidadoset[[#Headers],[9]],tabela_registros[REGISTRO],DADOS!$N$3,tabela_registros[TIPO],DADOS!$V$4,tabela_registros[CATEGORIA],receitasvariáveisconsolidadoset[[#This Row],[ATUAL]])</f>
        <v>0</v>
      </c>
      <c r="N103" s="119" t="n">
        <f aca="false">SUMIFS(tabela_registros[VALOR],tabela_registros[MÊS],$AE$1,tabela_registros[DIA],receitasvariáveisconsolidadoset[[#Headers],[10]],tabela_registros[REGISTRO],DADOS!$N$3,tabela_registros[TIPO],DADOS!$V$4,tabela_registros[CATEGORIA],receitasvariáveisconsolidadoset[[#This Row],[ATUAL]])</f>
        <v>0</v>
      </c>
      <c r="O103" s="119" t="n">
        <f aca="false">SUMIFS(tabela_registros[VALOR],tabela_registros[MÊS],$AE$1,tabela_registros[DIA],receitasvariáveisconsolidadoset[[#Headers],[11]],tabela_registros[REGISTRO],DADOS!$N$3,tabela_registros[TIPO],DADOS!$V$4,tabela_registros[CATEGORIA],receitasvariáveisconsolidadoset[[#This Row],[ATUAL]])</f>
        <v>0</v>
      </c>
      <c r="P103" s="119" t="n">
        <f aca="false">SUMIFS(tabela_registros[VALOR],tabela_registros[MÊS],$AE$1,tabela_registros[DIA],receitasvariáveisconsolidadoset[[#Headers],[12]],tabela_registros[REGISTRO],DADOS!$N$3,tabela_registros[TIPO],DADOS!$V$4,tabela_registros[CATEGORIA],receitasvariáveisconsolidadoset[[#This Row],[ATUAL]])</f>
        <v>0</v>
      </c>
      <c r="Q103" s="119" t="n">
        <f aca="false">SUMIFS(tabela_registros[VALOR],tabela_registros[MÊS],$AE$1,tabela_registros[DIA],receitasvariáveisconsolidadoset[[#Headers],[13]],tabela_registros[REGISTRO],DADOS!$N$3,tabela_registros[TIPO],DADOS!$V$4,tabela_registros[CATEGORIA],receitasvariáveisconsolidadoset[[#This Row],[ATUAL]])</f>
        <v>0</v>
      </c>
      <c r="R103" s="119" t="n">
        <f aca="false">SUMIFS(tabela_registros[VALOR],tabela_registros[MÊS],$AE$1,tabela_registros[DIA],receitasvariáveisconsolidadoset[[#Headers],[14]],tabela_registros[REGISTRO],DADOS!$N$3,tabela_registros[TIPO],DADOS!$V$4,tabela_registros[CATEGORIA],receitasvariáveisconsolidadoset[[#This Row],[ATUAL]])</f>
        <v>0</v>
      </c>
      <c r="S103" s="119" t="n">
        <f aca="false">SUMIFS(tabela_registros[VALOR],tabela_registros[MÊS],$AE$1,tabela_registros[DIA],receitasvariáveisconsolidadoset[[#Headers],[15]],tabela_registros[REGISTRO],DADOS!$N$3,tabela_registros[TIPO],DADOS!$V$4,tabela_registros[CATEGORIA],receitasvariáveisconsolidadoset[[#This Row],[ATUAL]])</f>
        <v>0</v>
      </c>
      <c r="T103" s="119" t="n">
        <f aca="false">SUMIFS(tabela_registros[VALOR],tabela_registros[MÊS],$AE$1,tabela_registros[DIA],receitasvariáveisconsolidadoset[[#Headers],[16]],tabela_registros[REGISTRO],DADOS!$N$3,tabela_registros[TIPO],DADOS!$V$4,tabela_registros[CATEGORIA],receitasvariáveisconsolidadoset[[#This Row],[ATUAL]])</f>
        <v>0</v>
      </c>
      <c r="U103" s="119" t="n">
        <f aca="false">SUMIFS(tabela_registros[VALOR],tabela_registros[MÊS],$AE$1,tabela_registros[DIA],receitasvariáveisconsolidadoset[[#Headers],[17]],tabela_registros[REGISTRO],DADOS!$N$3,tabela_registros[TIPO],DADOS!$V$4,tabela_registros[CATEGORIA],receitasvariáveisconsolidadoset[[#This Row],[ATUAL]])</f>
        <v>0</v>
      </c>
      <c r="V103" s="119" t="n">
        <f aca="false">SUMIFS(tabela_registros[VALOR],tabela_registros[MÊS],$AE$1,tabela_registros[DIA],receitasvariáveisconsolidadoset[[#Headers],[18]],tabela_registros[REGISTRO],DADOS!$N$3,tabela_registros[TIPO],DADOS!$V$4,tabela_registros[CATEGORIA],receitasvariáveisconsolidadoset[[#This Row],[ATUAL]])</f>
        <v>0</v>
      </c>
      <c r="W103" s="119" t="n">
        <f aca="false">SUMIFS(tabela_registros[VALOR],tabela_registros[MÊS],$AE$1,tabela_registros[DIA],receitasvariáveisconsolidadoset[[#Headers],[19]],tabela_registros[REGISTRO],DADOS!$N$3,tabela_registros[TIPO],DADOS!$V$4,tabela_registros[CATEGORIA],receitasvariáveisconsolidadoset[[#This Row],[ATUAL]])</f>
        <v>0</v>
      </c>
      <c r="X103" s="119" t="n">
        <f aca="false">SUMIFS(tabela_registros[VALOR],tabela_registros[MÊS],$AE$1,tabela_registros[DIA],receitasvariáveisconsolidadoset[[#Headers],[20]],tabela_registros[REGISTRO],DADOS!$N$3,tabela_registros[TIPO],DADOS!$V$4,tabela_registros[CATEGORIA],receitasvariáveisconsolidadoset[[#This Row],[ATUAL]])</f>
        <v>0</v>
      </c>
      <c r="Y103" s="119" t="n">
        <f aca="false">SUMIFS(tabela_registros[VALOR],tabela_registros[MÊS],$AE$1,tabela_registros[DIA],receitasvariáveisconsolidadoset[[#Headers],[21]],tabela_registros[REGISTRO],DADOS!$N$3,tabela_registros[TIPO],DADOS!$V$4,tabela_registros[CATEGORIA],receitasvariáveisconsolidadoset[[#This Row],[ATUAL]])</f>
        <v>0</v>
      </c>
      <c r="Z103" s="119" t="n">
        <f aca="false">SUMIFS(tabela_registros[VALOR],tabela_registros[MÊS],$AE$1,tabela_registros[DIA],receitasvariáveisconsolidadoset[[#Headers],[22]],tabela_registros[REGISTRO],DADOS!$N$3,tabela_registros[TIPO],DADOS!$V$4,tabela_registros[CATEGORIA],receitasvariáveisconsolidadoset[[#This Row],[ATUAL]])</f>
        <v>0</v>
      </c>
      <c r="AA103" s="119" t="n">
        <f aca="false">SUMIFS(tabela_registros[VALOR],tabela_registros[MÊS],$AE$1,tabela_registros[DIA],receitasvariáveisconsolidadoset[[#Headers],[23]],tabela_registros[REGISTRO],DADOS!$N$3,tabela_registros[TIPO],DADOS!$V$4,tabela_registros[CATEGORIA],receitasvariáveisconsolidadoset[[#This Row],[ATUAL]])</f>
        <v>0</v>
      </c>
      <c r="AB103" s="119" t="n">
        <f aca="false">SUMIFS(tabela_registros[VALOR],tabela_registros[MÊS],$AE$1,tabela_registros[DIA],receitasvariáveisconsolidadoset[[#Headers],[24]],tabela_registros[REGISTRO],DADOS!$N$3,tabela_registros[TIPO],DADOS!$V$4,tabela_registros[CATEGORIA],receitasvariáveisconsolidadoset[[#This Row],[ATUAL]])</f>
        <v>0</v>
      </c>
      <c r="AC103" s="119" t="n">
        <f aca="false">SUMIFS(tabela_registros[VALOR],tabela_registros[MÊS],$AE$1,tabela_registros[DIA],receitasvariáveisconsolidadoset[[#Headers],[25]],tabela_registros[REGISTRO],DADOS!$N$3,tabela_registros[TIPO],DADOS!$V$4,tabela_registros[CATEGORIA],receitasvariáveisconsolidadoset[[#This Row],[ATUAL]])</f>
        <v>0</v>
      </c>
      <c r="AD103" s="119" t="n">
        <f aca="false">SUMIFS(tabela_registros[VALOR],tabela_registros[MÊS],$AE$1,tabela_registros[DIA],receitasvariáveisconsolidadoset[[#Headers],[26]],tabela_registros[REGISTRO],DADOS!$N$3,tabela_registros[TIPO],DADOS!$V$4,tabela_registros[CATEGORIA],receitasvariáveisconsolidadoset[[#This Row],[ATUAL]])</f>
        <v>0</v>
      </c>
      <c r="AE103" s="119" t="n">
        <f aca="false">SUMIFS(tabela_registros[VALOR],tabela_registros[MÊS],$AE$1,tabela_registros[DIA],receitasvariáveisconsolidadoset[[#Headers],[27]],tabela_registros[REGISTRO],DADOS!$N$3,tabela_registros[TIPO],DADOS!$V$4,tabela_registros[CATEGORIA],receitasvariáveisconsolidadoset[[#This Row],[ATUAL]])</f>
        <v>0</v>
      </c>
      <c r="AF103" s="119" t="n">
        <f aca="false">SUMIFS(tabela_registros[VALOR],tabela_registros[MÊS],$AE$1,tabela_registros[DIA],receitasvariáveisconsolidadoset[[#Headers],[28]],tabela_registros[REGISTRO],DADOS!$N$3,tabela_registros[TIPO],DADOS!$V$4,tabela_registros[CATEGORIA],receitasvariáveisconsolidadoset[[#This Row],[ATUAL]])</f>
        <v>0</v>
      </c>
      <c r="AG103" s="119" t="n">
        <f aca="false">SUMIFS(tabela_registros[VALOR],tabela_registros[MÊS],$AE$1,tabela_registros[DIA],receitasvariáveisconsolidadoset[[#Headers],[29]],tabela_registros[REGISTRO],DADOS!$N$3,tabela_registros[TIPO],DADOS!$V$4,tabela_registros[CATEGORIA],receitasvariáveisconsolidadoset[[#This Row],[ATUAL]])</f>
        <v>0</v>
      </c>
      <c r="AH103" s="119" t="n">
        <f aca="false">SUMIFS(tabela_registros[VALOR],tabela_registros[MÊS],$AE$1,tabela_registros[DIA],receitasvariáveisconsolidadoset[[#Headers],[30]],tabela_registros[REGISTRO],DADOS!$N$3,tabela_registros[TIPO],DADOS!$V$4,tabela_registros[CATEGORIA],receitasvariáveisconsolidadoset[[#This Row],[ATUAL]])</f>
        <v>0</v>
      </c>
      <c r="AI103" s="218" t="n">
        <f aca="false">SUMIFS(tabela_registros[VALOR],tabela_registros[MÊS],$AE$1,tabela_registros[DIA],receitasvariáveisconsolidadoset[[#Headers],[31]],tabela_registros[REGISTRO],DADOS!$N$3,tabela_registros[TIPO],DADOS!$V$4,tabela_registros[CATEGORIA],receitasvariáveisconsolidadoset[[#This Row],[ATUAL]])</f>
        <v>0</v>
      </c>
      <c r="AJ103" s="149" t="n">
        <f aca="false">SUM(receitasvariáveisconsolidadoset[[#This Row],[1]:[31]])</f>
        <v>0</v>
      </c>
      <c r="AK103" s="165"/>
    </row>
    <row r="104" s="122" customFormat="true" ht="21" hidden="false" customHeight="true" outlineLevel="0" collapsed="false">
      <c r="B104" s="152"/>
      <c r="C104" s="153" t="s">
        <v>2</v>
      </c>
      <c r="D104" s="166"/>
      <c r="E104" s="155" t="n">
        <f aca="false">SUM(E96:E103)</f>
        <v>0</v>
      </c>
      <c r="F104" s="156" t="n">
        <f aca="false">SUM(F96:F103)+receitasvariáveisconsolidadoset[[#This Row],[1]]</f>
        <v>0</v>
      </c>
      <c r="G104" s="156" t="n">
        <f aca="false">SUM(G96:G103)+receitasvariáveisconsolidadoset[[#This Row],[2]]</f>
        <v>0</v>
      </c>
      <c r="H104" s="156" t="n">
        <f aca="false">SUM(H96:H103)+receitasvariáveisconsolidadoset[[#This Row],[3]]</f>
        <v>0</v>
      </c>
      <c r="I104" s="156" t="n">
        <f aca="false">SUM(I96:I103)+receitasvariáveisconsolidadoset[[#This Row],[4]]</f>
        <v>0</v>
      </c>
      <c r="J104" s="156" t="n">
        <f aca="false">SUM(J96:J103)+receitasvariáveisconsolidadoset[[#This Row],[5]]</f>
        <v>0</v>
      </c>
      <c r="K104" s="156" t="n">
        <f aca="false">SUM(K96:K103)+receitasvariáveisconsolidadoset[[#This Row],[6]]</f>
        <v>0</v>
      </c>
      <c r="L104" s="156" t="n">
        <f aca="false">SUM(L96:L103)+receitasvariáveisconsolidadoset[[#This Row],[7]]</f>
        <v>0</v>
      </c>
      <c r="M104" s="156" t="n">
        <f aca="false">SUM(M96:M103)+receitasvariáveisconsolidadoset[[#This Row],[8]]</f>
        <v>0</v>
      </c>
      <c r="N104" s="156" t="n">
        <f aca="false">SUM(N96:N103)+receitasvariáveisconsolidadoset[[#This Row],[9]]</f>
        <v>0</v>
      </c>
      <c r="O104" s="156" t="n">
        <f aca="false">SUM(O96:O103)+receitasvariáveisconsolidadoset[[#This Row],[10]]</f>
        <v>0</v>
      </c>
      <c r="P104" s="156" t="n">
        <f aca="false">SUM(P96:P103)+receitasvariáveisconsolidadoset[[#This Row],[11]]</f>
        <v>0</v>
      </c>
      <c r="Q104" s="156" t="n">
        <f aca="false">SUM(Q96:Q103)+receitasvariáveisconsolidadoset[[#This Row],[12]]</f>
        <v>0</v>
      </c>
      <c r="R104" s="156" t="n">
        <f aca="false">SUM(R96:R103)+receitasvariáveisconsolidadoset[[#This Row],[13]]</f>
        <v>0</v>
      </c>
      <c r="S104" s="156" t="n">
        <f aca="false">SUM(S96:S103)+receitasvariáveisconsolidadoset[[#This Row],[14]]</f>
        <v>0</v>
      </c>
      <c r="T104" s="156" t="n">
        <f aca="false">SUM(T96:T103)+receitasvariáveisconsolidadoset[[#This Row],[15]]</f>
        <v>0</v>
      </c>
      <c r="U104" s="156" t="n">
        <f aca="false">SUM(U96:U103)+receitasvariáveisconsolidadoset[[#This Row],[16]]</f>
        <v>0</v>
      </c>
      <c r="V104" s="156" t="n">
        <f aca="false">SUM(V96:V103)+receitasvariáveisconsolidadoset[[#This Row],[17]]</f>
        <v>0</v>
      </c>
      <c r="W104" s="156" t="n">
        <f aca="false">SUM(W96:W103)+receitasvariáveisconsolidadoset[[#This Row],[18]]</f>
        <v>0</v>
      </c>
      <c r="X104" s="156" t="n">
        <f aca="false">SUM(X96:X103)+receitasvariáveisconsolidadoset[[#This Row],[19]]</f>
        <v>0</v>
      </c>
      <c r="Y104" s="156" t="n">
        <f aca="false">SUM(Y96:Y103)+receitasvariáveisconsolidadoset[[#This Row],[20]]</f>
        <v>0</v>
      </c>
      <c r="Z104" s="156" t="n">
        <f aca="false">SUM(Z96:Z103)+receitasvariáveisconsolidadoset[[#This Row],[21]]</f>
        <v>0</v>
      </c>
      <c r="AA104" s="156" t="n">
        <f aca="false">SUM(AA96:AA103)+receitasvariáveisconsolidadoset[[#This Row],[22]]</f>
        <v>0</v>
      </c>
      <c r="AB104" s="156" t="n">
        <f aca="false">SUM(AB96:AB103)+receitasvariáveisconsolidadoset[[#This Row],[23]]</f>
        <v>0</v>
      </c>
      <c r="AC104" s="156" t="n">
        <f aca="false">SUM(AC96:AC103)+receitasvariáveisconsolidadoset[[#This Row],[24]]</f>
        <v>0</v>
      </c>
      <c r="AD104" s="156" t="n">
        <f aca="false">SUM(AD96:AD103)+receitasvariáveisconsolidadoset[[#This Row],[25]]</f>
        <v>0</v>
      </c>
      <c r="AE104" s="156" t="n">
        <f aca="false">SUM(AE96:AE103)+receitasvariáveisconsolidadoset[[#This Row],[26]]</f>
        <v>0</v>
      </c>
      <c r="AF104" s="156" t="n">
        <f aca="false">SUM(AF96:AF103)+receitasvariáveisconsolidadoset[[#This Row],[27]]</f>
        <v>0</v>
      </c>
      <c r="AG104" s="156" t="n">
        <f aca="false">SUM(AG96:AG103)+receitasvariáveisconsolidadoset[[#This Row],[28]]</f>
        <v>0</v>
      </c>
      <c r="AH104" s="156" t="n">
        <f aca="false">SUM(AH96:AH103)+receitasvariáveisconsolidadoset[[#This Row],[29]]</f>
        <v>0</v>
      </c>
      <c r="AI104" s="223" t="n">
        <f aca="false">SUM(AI96:AI103)+receitasvariáveisconsolidadoset[[#This Row],[30]]</f>
        <v>0</v>
      </c>
      <c r="AJ104" s="157" t="n">
        <f aca="false">receitasvariáveisconsolidadoset[[#This Row],[31]]</f>
        <v>0</v>
      </c>
      <c r="AK104" s="158"/>
    </row>
    <row r="105" customFormat="false" ht="6.75" hidden="false" customHeight="true" outlineLevel="0" collapsed="false">
      <c r="B105" s="97"/>
      <c r="C105" s="162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233"/>
      <c r="AJ105" s="164"/>
      <c r="AK105" s="244"/>
    </row>
    <row r="106" s="78" customFormat="true" ht="12.75" hidden="false" customHeight="false" outlineLevel="0" collapsed="false">
      <c r="E106" s="100"/>
    </row>
    <row r="107" s="78" customFormat="true" ht="12" hidden="false" customHeight="false" outlineLevel="0" collapsed="false"/>
    <row r="108" s="78" customFormat="true" ht="12" hidden="false" customHeight="false" outlineLevel="0" collapsed="false"/>
    <row r="109" customFormat="false" ht="39.75" hidden="false" customHeight="true" outlineLevel="0" collapsed="false">
      <c r="C109" s="101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3" t="s">
        <v>2</v>
      </c>
    </row>
    <row r="110" s="78" customFormat="true" ht="12.75" hidden="false" customHeight="false" outlineLevel="0" collapsed="false">
      <c r="B110" s="161"/>
      <c r="AJ110" s="106" t="s">
        <v>64</v>
      </c>
    </row>
    <row r="111" customFormat="false" ht="6.75" hidden="false" customHeight="true" outlineLevel="0" collapsed="false">
      <c r="B111" s="86"/>
      <c r="C111" s="162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233"/>
      <c r="AK111" s="139"/>
    </row>
    <row r="112" customFormat="false" ht="13.5" hidden="true" customHeight="false" outlineLevel="0" collapsed="false">
      <c r="B112" s="86"/>
      <c r="C112" s="109" t="s">
        <v>68</v>
      </c>
      <c r="D112" s="110" t="s">
        <v>69</v>
      </c>
      <c r="E112" s="110" t="s">
        <v>30</v>
      </c>
      <c r="F112" s="110" t="s">
        <v>31</v>
      </c>
      <c r="G112" s="110" t="s">
        <v>32</v>
      </c>
      <c r="H112" s="110" t="s">
        <v>33</v>
      </c>
      <c r="I112" s="110" t="s">
        <v>34</v>
      </c>
      <c r="J112" s="110" t="s">
        <v>35</v>
      </c>
      <c r="K112" s="110" t="s">
        <v>36</v>
      </c>
      <c r="L112" s="110" t="s">
        <v>37</v>
      </c>
      <c r="M112" s="110" t="s">
        <v>38</v>
      </c>
      <c r="N112" s="110" t="s">
        <v>39</v>
      </c>
      <c r="O112" s="110" t="s">
        <v>40</v>
      </c>
      <c r="P112" s="110" t="s">
        <v>41</v>
      </c>
      <c r="Q112" s="110" t="s">
        <v>81</v>
      </c>
      <c r="R112" s="110" t="s">
        <v>82</v>
      </c>
      <c r="S112" s="110" t="s">
        <v>83</v>
      </c>
      <c r="T112" s="110" t="s">
        <v>84</v>
      </c>
      <c r="U112" s="110" t="s">
        <v>85</v>
      </c>
      <c r="V112" s="110" t="s">
        <v>86</v>
      </c>
      <c r="W112" s="110" t="s">
        <v>87</v>
      </c>
      <c r="X112" s="110" t="s">
        <v>88</v>
      </c>
      <c r="Y112" s="110" t="s">
        <v>89</v>
      </c>
      <c r="Z112" s="110" t="s">
        <v>90</v>
      </c>
      <c r="AA112" s="110" t="s">
        <v>91</v>
      </c>
      <c r="AB112" s="110" t="s">
        <v>92</v>
      </c>
      <c r="AC112" s="110" t="s">
        <v>93</v>
      </c>
      <c r="AD112" s="110" t="s">
        <v>94</v>
      </c>
      <c r="AE112" s="110" t="s">
        <v>95</v>
      </c>
      <c r="AF112" s="110" t="s">
        <v>96</v>
      </c>
      <c r="AG112" s="110" t="s">
        <v>97</v>
      </c>
      <c r="AH112" s="110" t="s">
        <v>98</v>
      </c>
      <c r="AI112" s="110" t="s">
        <v>99</v>
      </c>
      <c r="AJ112" s="111" t="s">
        <v>70</v>
      </c>
      <c r="AK112" s="86"/>
    </row>
    <row r="113" customFormat="false" ht="19.5" hidden="false" customHeight="true" outlineLevel="0" collapsed="false">
      <c r="B113" s="143"/>
      <c r="C113" s="144" t="str">
        <f aca="false">DADOS!$AD$3</f>
        <v>📝 CDB</v>
      </c>
      <c r="D113" s="145" t="str">
        <f aca="false">IF(investirrendafixaconsolidadoset[[#This Row],[TOTAL (R$)]]=0,"",IF(OR(investirrendafixaconsolidadoset[[#This Row],[TOTAL (R$)]]=LARGE($AJ$113:$AJ$122,1),investirrendafixaconsolidadoset[[#This Row],[TOTAL (R$)]]=LARGE($AJ$113:$AJ$122,2)),DADOS!$I$10,""))</f>
        <v/>
      </c>
      <c r="E113" s="148" t="n">
        <f aca="false">SUMIFS(tabela_registros[VALOR],tabela_registros[MÊS],$AE$1,tabela_registros[DIA],investirrendafixaconsolidadoset[[#Headers],[1]],tabela_registros[REGISTRO],DADOS!$N$5,tabela_registros[TIPO],DADOS!$AB$3,tabela_registros[CATEGORIA],investirrendafixaconsolidadoset[[#This Row],[ATUAL]])</f>
        <v>0</v>
      </c>
      <c r="F113" s="119" t="n">
        <f aca="false">SUMIFS(tabela_registros[VALOR],tabela_registros[MÊS],$AE$1,tabela_registros[DIA],investirrendafixaconsolidadoset[[#Headers],[2]],tabela_registros[REGISTRO],DADOS!$N$5,tabela_registros[TIPO],DADOS!$AB$3,tabela_registros[CATEGORIA],investirrendafixaconsolidadoset[[#This Row],[ATUAL]])</f>
        <v>0</v>
      </c>
      <c r="G113" s="119" t="n">
        <f aca="false">SUMIFS(tabela_registros[VALOR],tabela_registros[MÊS],$AE$1,tabela_registros[DIA],investirrendafixaconsolidadoset[[#Headers],[3]],tabela_registros[REGISTRO],DADOS!$N$5,tabela_registros[TIPO],DADOS!$AB$3,tabela_registros[CATEGORIA],investirrendafixaconsolidadoset[[#This Row],[ATUAL]])</f>
        <v>0</v>
      </c>
      <c r="H113" s="119" t="n">
        <f aca="false">SUMIFS(tabela_registros[VALOR],tabela_registros[MÊS],$AE$1,tabela_registros[DIA],investirrendafixaconsolidadoset[[#Headers],[4]],tabela_registros[REGISTRO],DADOS!$N$5,tabela_registros[TIPO],DADOS!$AB$3,tabela_registros[CATEGORIA],investirrendafixaconsolidadoset[[#This Row],[ATUAL]])</f>
        <v>0</v>
      </c>
      <c r="I113" s="119" t="n">
        <f aca="false">SUMIFS(tabela_registros[VALOR],tabela_registros[MÊS],$AE$1,tabela_registros[DIA],investirrendafixaconsolidadoset[[#Headers],[5]],tabela_registros[REGISTRO],DADOS!$N$5,tabela_registros[TIPO],DADOS!$AB$3,tabela_registros[CATEGORIA],investirrendafixaconsolidadoset[[#This Row],[ATUAL]])</f>
        <v>0</v>
      </c>
      <c r="J113" s="119" t="n">
        <f aca="false">SUMIFS(tabela_registros[VALOR],tabela_registros[MÊS],$AE$1,tabela_registros[DIA],investirrendafixaconsolidadoset[[#Headers],[6]],tabela_registros[REGISTRO],DADOS!$N$5,tabela_registros[TIPO],DADOS!$AB$3,tabela_registros[CATEGORIA],investirrendafixaconsolidadoset[[#This Row],[ATUAL]])</f>
        <v>0</v>
      </c>
      <c r="K113" s="119" t="n">
        <f aca="false">SUMIFS(tabela_registros[VALOR],tabela_registros[MÊS],$AE$1,tabela_registros[DIA],investirrendafixaconsolidadoset[[#Headers],[7]],tabela_registros[REGISTRO],DADOS!$N$5,tabela_registros[TIPO],DADOS!$AB$3,tabela_registros[CATEGORIA],investirrendafixaconsolidadoset[[#This Row],[ATUAL]])</f>
        <v>0</v>
      </c>
      <c r="L113" s="119" t="n">
        <f aca="false">SUMIFS(tabela_registros[VALOR],tabela_registros[MÊS],$AE$1,tabela_registros[DIA],investirrendafixaconsolidadoset[[#Headers],[8]],tabela_registros[REGISTRO],DADOS!$N$5,tabela_registros[TIPO],DADOS!$AB$3,tabela_registros[CATEGORIA],investirrendafixaconsolidadoset[[#This Row],[ATUAL]])</f>
        <v>0</v>
      </c>
      <c r="M113" s="119" t="n">
        <f aca="false">SUMIFS(tabela_registros[VALOR],tabela_registros[MÊS],$AE$1,tabela_registros[DIA],investirrendafixaconsolidadoset[[#Headers],[9]],tabela_registros[REGISTRO],DADOS!$N$5,tabela_registros[TIPO],DADOS!$AB$3,tabela_registros[CATEGORIA],investirrendafixaconsolidadoset[[#This Row],[ATUAL]])</f>
        <v>0</v>
      </c>
      <c r="N113" s="119" t="n">
        <f aca="false">SUMIFS(tabela_registros[VALOR],tabela_registros[MÊS],$AE$1,tabela_registros[DIA],investirrendafixaconsolidadoset[[#Headers],[10]],tabela_registros[REGISTRO],DADOS!$N$5,tabela_registros[TIPO],DADOS!$AB$3,tabela_registros[CATEGORIA],investirrendafixaconsolidadoset[[#This Row],[ATUAL]])</f>
        <v>0</v>
      </c>
      <c r="O113" s="119" t="n">
        <f aca="false">SUMIFS(tabela_registros[VALOR],tabela_registros[MÊS],$AE$1,tabela_registros[DIA],investirrendafixaconsolidadoset[[#Headers],[11]],tabela_registros[REGISTRO],DADOS!$N$5,tabela_registros[TIPO],DADOS!$AB$3,tabela_registros[CATEGORIA],investirrendafixaconsolidadoset[[#This Row],[ATUAL]])</f>
        <v>0</v>
      </c>
      <c r="P113" s="119" t="n">
        <f aca="false">SUMIFS(tabela_registros[VALOR],tabela_registros[MÊS],$AE$1,tabela_registros[DIA],investirrendafixaconsolidadoset[[#Headers],[12]],tabela_registros[REGISTRO],DADOS!$N$5,tabela_registros[TIPO],DADOS!$AB$3,tabela_registros[CATEGORIA],investirrendafixaconsolidadoset[[#This Row],[ATUAL]])</f>
        <v>0</v>
      </c>
      <c r="Q113" s="119" t="n">
        <f aca="false">SUMIFS(tabela_registros[VALOR],tabela_registros[MÊS],$AE$1,tabela_registros[DIA],investirrendafixaconsolidadoset[[#Headers],[13]],tabela_registros[REGISTRO],DADOS!$N$5,tabela_registros[TIPO],DADOS!$AB$3,tabela_registros[CATEGORIA],investirrendafixaconsolidadoset[[#This Row],[ATUAL]])</f>
        <v>0</v>
      </c>
      <c r="R113" s="119" t="n">
        <f aca="false">SUMIFS(tabela_registros[VALOR],tabela_registros[MÊS],$AE$1,tabela_registros[DIA],investirrendafixaconsolidadoset[[#Headers],[14]],tabela_registros[REGISTRO],DADOS!$N$5,tabela_registros[TIPO],DADOS!$AB$3,tabela_registros[CATEGORIA],investirrendafixaconsolidadoset[[#This Row],[ATUAL]])</f>
        <v>0</v>
      </c>
      <c r="S113" s="119" t="n">
        <f aca="false">SUMIFS(tabela_registros[VALOR],tabela_registros[MÊS],$AE$1,tabela_registros[DIA],investirrendafixaconsolidadoset[[#Headers],[15]],tabela_registros[REGISTRO],DADOS!$N$5,tabela_registros[TIPO],DADOS!$AB$3,tabela_registros[CATEGORIA],investirrendafixaconsolidadoset[[#This Row],[ATUAL]])</f>
        <v>0</v>
      </c>
      <c r="T113" s="119" t="n">
        <f aca="false">SUMIFS(tabela_registros[VALOR],tabela_registros[MÊS],$AE$1,tabela_registros[DIA],investirrendafixaconsolidadoset[[#Headers],[16]],tabela_registros[REGISTRO],DADOS!$N$5,tabela_registros[TIPO],DADOS!$AB$3,tabela_registros[CATEGORIA],investirrendafixaconsolidadoset[[#This Row],[ATUAL]])</f>
        <v>0</v>
      </c>
      <c r="U113" s="119" t="n">
        <f aca="false">SUMIFS(tabela_registros[VALOR],tabela_registros[MÊS],$AE$1,tabela_registros[DIA],investirrendafixaconsolidadoset[[#Headers],[17]],tabela_registros[REGISTRO],DADOS!$N$5,tabela_registros[TIPO],DADOS!$AB$3,tabela_registros[CATEGORIA],investirrendafixaconsolidadoset[[#This Row],[ATUAL]])</f>
        <v>0</v>
      </c>
      <c r="V113" s="119" t="n">
        <f aca="false">SUMIFS(tabela_registros[VALOR],tabela_registros[MÊS],$AE$1,tabela_registros[DIA],investirrendafixaconsolidadoset[[#Headers],[18]],tabela_registros[REGISTRO],DADOS!$N$5,tabela_registros[TIPO],DADOS!$AB$3,tabela_registros[CATEGORIA],investirrendafixaconsolidadoset[[#This Row],[ATUAL]])</f>
        <v>0</v>
      </c>
      <c r="W113" s="119" t="n">
        <f aca="false">SUMIFS(tabela_registros[VALOR],tabela_registros[MÊS],$AE$1,tabela_registros[DIA],investirrendafixaconsolidadoset[[#Headers],[19]],tabela_registros[REGISTRO],DADOS!$N$5,tabela_registros[TIPO],DADOS!$AB$3,tabela_registros[CATEGORIA],investirrendafixaconsolidadoset[[#This Row],[ATUAL]])</f>
        <v>0</v>
      </c>
      <c r="X113" s="119" t="n">
        <f aca="false">SUMIFS(tabela_registros[VALOR],tabela_registros[MÊS],$AE$1,tabela_registros[DIA],investirrendafixaconsolidadoset[[#Headers],[20]],tabela_registros[REGISTRO],DADOS!$N$5,tabela_registros[TIPO],DADOS!$AB$3,tabela_registros[CATEGORIA],investirrendafixaconsolidadoset[[#This Row],[ATUAL]])</f>
        <v>0</v>
      </c>
      <c r="Y113" s="119" t="n">
        <f aca="false">SUMIFS(tabela_registros[VALOR],tabela_registros[MÊS],$AE$1,tabela_registros[DIA],investirrendafixaconsolidadoset[[#Headers],[21]],tabela_registros[REGISTRO],DADOS!$N$5,tabela_registros[TIPO],DADOS!$AB$3,tabela_registros[CATEGORIA],investirrendafixaconsolidadoset[[#This Row],[ATUAL]])</f>
        <v>0</v>
      </c>
      <c r="Z113" s="119" t="n">
        <f aca="false">SUMIFS(tabela_registros[VALOR],tabela_registros[MÊS],$AE$1,tabela_registros[DIA],investirrendafixaconsolidadoset[[#Headers],[22]],tabela_registros[REGISTRO],DADOS!$N$5,tabela_registros[TIPO],DADOS!$AB$3,tabela_registros[CATEGORIA],investirrendafixaconsolidadoset[[#This Row],[ATUAL]])</f>
        <v>0</v>
      </c>
      <c r="AA113" s="119" t="n">
        <f aca="false">SUMIFS(tabela_registros[VALOR],tabela_registros[MÊS],$AE$1,tabela_registros[DIA],investirrendafixaconsolidadoset[[#Headers],[23]],tabela_registros[REGISTRO],DADOS!$N$5,tabela_registros[TIPO],DADOS!$AB$3,tabela_registros[CATEGORIA],investirrendafixaconsolidadoset[[#This Row],[ATUAL]])</f>
        <v>0</v>
      </c>
      <c r="AB113" s="119" t="n">
        <f aca="false">SUMIFS(tabela_registros[VALOR],tabela_registros[MÊS],$AE$1,tabela_registros[DIA],investirrendafixaconsolidadoset[[#Headers],[24]],tabela_registros[REGISTRO],DADOS!$N$5,tabela_registros[TIPO],DADOS!$AB$3,tabela_registros[CATEGORIA],investirrendafixaconsolidadoset[[#This Row],[ATUAL]])</f>
        <v>0</v>
      </c>
      <c r="AC113" s="119" t="n">
        <f aca="false">SUMIFS(tabela_registros[VALOR],tabela_registros[MÊS],$AE$1,tabela_registros[DIA],investirrendafixaconsolidadoset[[#Headers],[25]],tabela_registros[REGISTRO],DADOS!$N$5,tabela_registros[TIPO],DADOS!$AB$3,tabela_registros[CATEGORIA],investirrendafixaconsolidadoset[[#This Row],[ATUAL]])</f>
        <v>0</v>
      </c>
      <c r="AD113" s="119" t="n">
        <f aca="false">SUMIFS(tabela_registros[VALOR],tabela_registros[MÊS],$AE$1,tabela_registros[DIA],investirrendafixaconsolidadoset[[#Headers],[26]],tabela_registros[REGISTRO],DADOS!$N$5,tabela_registros[TIPO],DADOS!$AB$3,tabela_registros[CATEGORIA],investirrendafixaconsolidadoset[[#This Row],[ATUAL]])</f>
        <v>0</v>
      </c>
      <c r="AE113" s="119" t="n">
        <f aca="false">SUMIFS(tabela_registros[VALOR],tabela_registros[MÊS],$AE$1,tabela_registros[DIA],investirrendafixaconsolidadoset[[#Headers],[27]],tabela_registros[REGISTRO],DADOS!$N$5,tabela_registros[TIPO],DADOS!$AB$3,tabela_registros[CATEGORIA],investirrendafixaconsolidadoset[[#This Row],[ATUAL]])</f>
        <v>0</v>
      </c>
      <c r="AF113" s="119" t="n">
        <f aca="false">SUMIFS(tabela_registros[VALOR],tabela_registros[MÊS],$AE$1,tabela_registros[DIA],investirrendafixaconsolidadoset[[#Headers],[28]],tabela_registros[REGISTRO],DADOS!$N$5,tabela_registros[TIPO],DADOS!$AB$3,tabela_registros[CATEGORIA],investirrendafixaconsolidadoset[[#This Row],[ATUAL]])</f>
        <v>0</v>
      </c>
      <c r="AG113" s="119" t="n">
        <f aca="false">SUMIFS(tabela_registros[VALOR],tabela_registros[MÊS],$AE$1,tabela_registros[DIA],investirrendafixaconsolidadoset[[#Headers],[29]],tabela_registros[REGISTRO],DADOS!$N$5,tabela_registros[TIPO],DADOS!$AB$3,tabela_registros[CATEGORIA],investirrendafixaconsolidadoset[[#This Row],[ATUAL]])</f>
        <v>0</v>
      </c>
      <c r="AH113" s="119" t="n">
        <f aca="false">SUMIFS(tabela_registros[VALOR],tabela_registros[MÊS],$AE$1,tabela_registros[DIA],investirrendafixaconsolidadoset[[#Headers],[30]],tabela_registros[REGISTRO],DADOS!$N$5,tabela_registros[TIPO],DADOS!$AB$3,tabela_registros[CATEGORIA],investirrendafixaconsolidadoset[[#This Row],[ATUAL]])</f>
        <v>0</v>
      </c>
      <c r="AI113" s="217" t="n">
        <f aca="false">SUMIFS(tabela_registros[VALOR],tabela_registros[MÊS],$AE$1,tabela_registros[DIA],investirrendafixaconsolidadoset[[#Headers],[31]],tabela_registros[REGISTRO],DADOS!$N$5,tabela_registros[TIPO],DADOS!$AB$3,tabela_registros[CATEGORIA],investirrendafixaconsolidadoset[[#This Row],[ATUAL]])</f>
        <v>0</v>
      </c>
      <c r="AJ113" s="149" t="n">
        <f aca="false">SUM(investirrendafixaconsolidadoset[[#This Row],[1]:[31]])</f>
        <v>0</v>
      </c>
      <c r="AK113" s="165"/>
    </row>
    <row r="114" customFormat="false" ht="19.5" hidden="false" customHeight="true" outlineLevel="0" collapsed="false">
      <c r="B114" s="143"/>
      <c r="C114" s="144" t="str">
        <f aca="false">DADOS!$AD$4</f>
        <v>📝 CRA</v>
      </c>
      <c r="D114" s="145" t="str">
        <f aca="false">IF(investirrendafixaconsolidadoset[[#This Row],[TOTAL (R$)]]=0,"",IF(OR(investirrendafixaconsolidadoset[[#This Row],[TOTAL (R$)]]=LARGE($AJ$113:$AJ$122,1),investirrendafixaconsolidadoset[[#This Row],[TOTAL (R$)]]=LARGE($AJ$113:$AJ$122,2)),DADOS!$I$10,""))</f>
        <v/>
      </c>
      <c r="E114" s="148" t="n">
        <f aca="false">SUMIFS(tabela_registros[VALOR],tabela_registros[MÊS],$AE$1,tabela_registros[DIA],investirrendafixaconsolidadoset[[#Headers],[1]],tabela_registros[REGISTRO],DADOS!$N$5,tabela_registros[TIPO],DADOS!$AB$3,tabela_registros[CATEGORIA],investirrendafixaconsolidadoset[[#This Row],[ATUAL]])</f>
        <v>0</v>
      </c>
      <c r="F114" s="119" t="n">
        <f aca="false">SUMIFS(tabela_registros[VALOR],tabela_registros[MÊS],$AE$1,tabela_registros[DIA],investirrendafixaconsolidadoset[[#Headers],[2]],tabela_registros[REGISTRO],DADOS!$N$5,tabela_registros[TIPO],DADOS!$AB$3,tabela_registros[CATEGORIA],investirrendafixaconsolidadoset[[#This Row],[ATUAL]])</f>
        <v>0</v>
      </c>
      <c r="G114" s="119" t="n">
        <f aca="false">SUMIFS(tabela_registros[VALOR],tabela_registros[MÊS],$AE$1,tabela_registros[DIA],investirrendafixaconsolidadoset[[#Headers],[3]],tabela_registros[REGISTRO],DADOS!$N$5,tabela_registros[TIPO],DADOS!$AB$3,tabela_registros[CATEGORIA],investirrendafixaconsolidadoset[[#This Row],[ATUAL]])</f>
        <v>0</v>
      </c>
      <c r="H114" s="119" t="n">
        <f aca="false">SUMIFS(tabela_registros[VALOR],tabela_registros[MÊS],$AE$1,tabela_registros[DIA],investirrendafixaconsolidadoset[[#Headers],[4]],tabela_registros[REGISTRO],DADOS!$N$5,tabela_registros[TIPO],DADOS!$AB$3,tabela_registros[CATEGORIA],investirrendafixaconsolidadoset[[#This Row],[ATUAL]])</f>
        <v>0</v>
      </c>
      <c r="I114" s="119" t="n">
        <f aca="false">SUMIFS(tabela_registros[VALOR],tabela_registros[MÊS],$AE$1,tabela_registros[DIA],investirrendafixaconsolidadoset[[#Headers],[5]],tabela_registros[REGISTRO],DADOS!$N$5,tabela_registros[TIPO],DADOS!$AB$3,tabela_registros[CATEGORIA],investirrendafixaconsolidadoset[[#This Row],[ATUAL]])</f>
        <v>0</v>
      </c>
      <c r="J114" s="119" t="n">
        <f aca="false">SUMIFS(tabela_registros[VALOR],tabela_registros[MÊS],$AE$1,tabela_registros[DIA],investirrendafixaconsolidadoset[[#Headers],[6]],tabela_registros[REGISTRO],DADOS!$N$5,tabela_registros[TIPO],DADOS!$AB$3,tabela_registros[CATEGORIA],investirrendafixaconsolidadoset[[#This Row],[ATUAL]])</f>
        <v>0</v>
      </c>
      <c r="K114" s="119" t="n">
        <f aca="false">SUMIFS(tabela_registros[VALOR],tabela_registros[MÊS],$AE$1,tabela_registros[DIA],investirrendafixaconsolidadoset[[#Headers],[7]],tabela_registros[REGISTRO],DADOS!$N$5,tabela_registros[TIPO],DADOS!$AB$3,tabela_registros[CATEGORIA],investirrendafixaconsolidadoset[[#This Row],[ATUAL]])</f>
        <v>0</v>
      </c>
      <c r="L114" s="119" t="n">
        <f aca="false">SUMIFS(tabela_registros[VALOR],tabela_registros[MÊS],$AE$1,tabela_registros[DIA],investirrendafixaconsolidadoset[[#Headers],[8]],tabela_registros[REGISTRO],DADOS!$N$5,tabela_registros[TIPO],DADOS!$AB$3,tabela_registros[CATEGORIA],investirrendafixaconsolidadoset[[#This Row],[ATUAL]])</f>
        <v>0</v>
      </c>
      <c r="M114" s="119" t="n">
        <f aca="false">SUMIFS(tabela_registros[VALOR],tabela_registros[MÊS],$AE$1,tabela_registros[DIA],investirrendafixaconsolidadoset[[#Headers],[9]],tabela_registros[REGISTRO],DADOS!$N$5,tabela_registros[TIPO],DADOS!$AB$3,tabela_registros[CATEGORIA],investirrendafixaconsolidadoset[[#This Row],[ATUAL]])</f>
        <v>0</v>
      </c>
      <c r="N114" s="119" t="n">
        <f aca="false">SUMIFS(tabela_registros[VALOR],tabela_registros[MÊS],$AE$1,tabela_registros[DIA],investirrendafixaconsolidadoset[[#Headers],[10]],tabela_registros[REGISTRO],DADOS!$N$5,tabela_registros[TIPO],DADOS!$AB$3,tabela_registros[CATEGORIA],investirrendafixaconsolidadoset[[#This Row],[ATUAL]])</f>
        <v>0</v>
      </c>
      <c r="O114" s="119" t="n">
        <f aca="false">SUMIFS(tabela_registros[VALOR],tabela_registros[MÊS],$AE$1,tabela_registros[DIA],investirrendafixaconsolidadoset[[#Headers],[11]],tabela_registros[REGISTRO],DADOS!$N$5,tabela_registros[TIPO],DADOS!$AB$3,tabela_registros[CATEGORIA],investirrendafixaconsolidadoset[[#This Row],[ATUAL]])</f>
        <v>0</v>
      </c>
      <c r="P114" s="119" t="n">
        <f aca="false">SUMIFS(tabela_registros[VALOR],tabela_registros[MÊS],$AE$1,tabela_registros[DIA],investirrendafixaconsolidadoset[[#Headers],[12]],tabela_registros[REGISTRO],DADOS!$N$5,tabela_registros[TIPO],DADOS!$AB$3,tabela_registros[CATEGORIA],investirrendafixaconsolidadoset[[#This Row],[ATUAL]])</f>
        <v>0</v>
      </c>
      <c r="Q114" s="119" t="n">
        <f aca="false">SUMIFS(tabela_registros[VALOR],tabela_registros[MÊS],$AE$1,tabela_registros[DIA],investirrendafixaconsolidadoset[[#Headers],[13]],tabela_registros[REGISTRO],DADOS!$N$5,tabela_registros[TIPO],DADOS!$AB$3,tabela_registros[CATEGORIA],investirrendafixaconsolidadoset[[#This Row],[ATUAL]])</f>
        <v>0</v>
      </c>
      <c r="R114" s="119" t="n">
        <f aca="false">SUMIFS(tabela_registros[VALOR],tabela_registros[MÊS],$AE$1,tabela_registros[DIA],investirrendafixaconsolidadoset[[#Headers],[14]],tabela_registros[REGISTRO],DADOS!$N$5,tabela_registros[TIPO],DADOS!$AB$3,tabela_registros[CATEGORIA],investirrendafixaconsolidadoset[[#This Row],[ATUAL]])</f>
        <v>0</v>
      </c>
      <c r="S114" s="119" t="n">
        <f aca="false">SUMIFS(tabela_registros[VALOR],tabela_registros[MÊS],$AE$1,tabela_registros[DIA],investirrendafixaconsolidadoset[[#Headers],[15]],tabela_registros[REGISTRO],DADOS!$N$5,tabela_registros[TIPO],DADOS!$AB$3,tabela_registros[CATEGORIA],investirrendafixaconsolidadoset[[#This Row],[ATUAL]])</f>
        <v>0</v>
      </c>
      <c r="T114" s="119" t="n">
        <f aca="false">SUMIFS(tabela_registros[VALOR],tabela_registros[MÊS],$AE$1,tabela_registros[DIA],investirrendafixaconsolidadoset[[#Headers],[16]],tabela_registros[REGISTRO],DADOS!$N$5,tabela_registros[TIPO],DADOS!$AB$3,tabela_registros[CATEGORIA],investirrendafixaconsolidadoset[[#This Row],[ATUAL]])</f>
        <v>0</v>
      </c>
      <c r="U114" s="119" t="n">
        <f aca="false">SUMIFS(tabela_registros[VALOR],tabela_registros[MÊS],$AE$1,tabela_registros[DIA],investirrendafixaconsolidadoset[[#Headers],[17]],tabela_registros[REGISTRO],DADOS!$N$5,tabela_registros[TIPO],DADOS!$AB$3,tabela_registros[CATEGORIA],investirrendafixaconsolidadoset[[#This Row],[ATUAL]])</f>
        <v>0</v>
      </c>
      <c r="V114" s="119" t="n">
        <f aca="false">SUMIFS(tabela_registros[VALOR],tabela_registros[MÊS],$AE$1,tabela_registros[DIA],investirrendafixaconsolidadoset[[#Headers],[18]],tabela_registros[REGISTRO],DADOS!$N$5,tabela_registros[TIPO],DADOS!$AB$3,tabela_registros[CATEGORIA],investirrendafixaconsolidadoset[[#This Row],[ATUAL]])</f>
        <v>0</v>
      </c>
      <c r="W114" s="119" t="n">
        <f aca="false">SUMIFS(tabela_registros[VALOR],tabela_registros[MÊS],$AE$1,tabela_registros[DIA],investirrendafixaconsolidadoset[[#Headers],[19]],tabela_registros[REGISTRO],DADOS!$N$5,tabela_registros[TIPO],DADOS!$AB$3,tabela_registros[CATEGORIA],investirrendafixaconsolidadoset[[#This Row],[ATUAL]])</f>
        <v>0</v>
      </c>
      <c r="X114" s="119" t="n">
        <f aca="false">SUMIFS(tabela_registros[VALOR],tabela_registros[MÊS],$AE$1,tabela_registros[DIA],investirrendafixaconsolidadoset[[#Headers],[20]],tabela_registros[REGISTRO],DADOS!$N$5,tabela_registros[TIPO],DADOS!$AB$3,tabela_registros[CATEGORIA],investirrendafixaconsolidadoset[[#This Row],[ATUAL]])</f>
        <v>0</v>
      </c>
      <c r="Y114" s="119" t="n">
        <f aca="false">SUMIFS(tabela_registros[VALOR],tabela_registros[MÊS],$AE$1,tabela_registros[DIA],investirrendafixaconsolidadoset[[#Headers],[21]],tabela_registros[REGISTRO],DADOS!$N$5,tabela_registros[TIPO],DADOS!$AB$3,tabela_registros[CATEGORIA],investirrendafixaconsolidadoset[[#This Row],[ATUAL]])</f>
        <v>0</v>
      </c>
      <c r="Z114" s="119" t="n">
        <f aca="false">SUMIFS(tabela_registros[VALOR],tabela_registros[MÊS],$AE$1,tabela_registros[DIA],investirrendafixaconsolidadoset[[#Headers],[22]],tabela_registros[REGISTRO],DADOS!$N$5,tabela_registros[TIPO],DADOS!$AB$3,tabela_registros[CATEGORIA],investirrendafixaconsolidadoset[[#This Row],[ATUAL]])</f>
        <v>0</v>
      </c>
      <c r="AA114" s="119" t="n">
        <f aca="false">SUMIFS(tabela_registros[VALOR],tabela_registros[MÊS],$AE$1,tabela_registros[DIA],investirrendafixaconsolidadoset[[#Headers],[23]],tabela_registros[REGISTRO],DADOS!$N$5,tabela_registros[TIPO],DADOS!$AB$3,tabela_registros[CATEGORIA],investirrendafixaconsolidadoset[[#This Row],[ATUAL]])</f>
        <v>0</v>
      </c>
      <c r="AB114" s="119" t="n">
        <f aca="false">SUMIFS(tabela_registros[VALOR],tabela_registros[MÊS],$AE$1,tabela_registros[DIA],investirrendafixaconsolidadoset[[#Headers],[24]],tabela_registros[REGISTRO],DADOS!$N$5,tabela_registros[TIPO],DADOS!$AB$3,tabela_registros[CATEGORIA],investirrendafixaconsolidadoset[[#This Row],[ATUAL]])</f>
        <v>0</v>
      </c>
      <c r="AC114" s="119" t="n">
        <f aca="false">SUMIFS(tabela_registros[VALOR],tabela_registros[MÊS],$AE$1,tabela_registros[DIA],investirrendafixaconsolidadoset[[#Headers],[25]],tabela_registros[REGISTRO],DADOS!$N$5,tabela_registros[TIPO],DADOS!$AB$3,tabela_registros[CATEGORIA],investirrendafixaconsolidadoset[[#This Row],[ATUAL]])</f>
        <v>0</v>
      </c>
      <c r="AD114" s="119" t="n">
        <f aca="false">SUMIFS(tabela_registros[VALOR],tabela_registros[MÊS],$AE$1,tabela_registros[DIA],investirrendafixaconsolidadoset[[#Headers],[26]],tabela_registros[REGISTRO],DADOS!$N$5,tabela_registros[TIPO],DADOS!$AB$3,tabela_registros[CATEGORIA],investirrendafixaconsolidadoset[[#This Row],[ATUAL]])</f>
        <v>0</v>
      </c>
      <c r="AE114" s="119" t="n">
        <f aca="false">SUMIFS(tabela_registros[VALOR],tabela_registros[MÊS],$AE$1,tabela_registros[DIA],investirrendafixaconsolidadoset[[#Headers],[27]],tabela_registros[REGISTRO],DADOS!$N$5,tabela_registros[TIPO],DADOS!$AB$3,tabela_registros[CATEGORIA],investirrendafixaconsolidadoset[[#This Row],[ATUAL]])</f>
        <v>0</v>
      </c>
      <c r="AF114" s="119" t="n">
        <f aca="false">SUMIFS(tabela_registros[VALOR],tabela_registros[MÊS],$AE$1,tabela_registros[DIA],investirrendafixaconsolidadoset[[#Headers],[28]],tabela_registros[REGISTRO],DADOS!$N$5,tabela_registros[TIPO],DADOS!$AB$3,tabela_registros[CATEGORIA],investirrendafixaconsolidadoset[[#This Row],[ATUAL]])</f>
        <v>0</v>
      </c>
      <c r="AG114" s="119" t="n">
        <f aca="false">SUMIFS(tabela_registros[VALOR],tabela_registros[MÊS],$AE$1,tabela_registros[DIA],investirrendafixaconsolidadoset[[#Headers],[29]],tabela_registros[REGISTRO],DADOS!$N$5,tabela_registros[TIPO],DADOS!$AB$3,tabela_registros[CATEGORIA],investirrendafixaconsolidadoset[[#This Row],[ATUAL]])</f>
        <v>0</v>
      </c>
      <c r="AH114" s="119" t="n">
        <f aca="false">SUMIFS(tabela_registros[VALOR],tabela_registros[MÊS],$AE$1,tabela_registros[DIA],investirrendafixaconsolidadoset[[#Headers],[30]],tabela_registros[REGISTRO],DADOS!$N$5,tabela_registros[TIPO],DADOS!$AB$3,tabela_registros[CATEGORIA],investirrendafixaconsolidadoset[[#This Row],[ATUAL]])</f>
        <v>0</v>
      </c>
      <c r="AI114" s="217" t="n">
        <f aca="false">SUMIFS(tabela_registros[VALOR],tabela_registros[MÊS],$AE$1,tabela_registros[DIA],investirrendafixaconsolidadoset[[#Headers],[31]],tabela_registros[REGISTRO],DADOS!$N$5,tabela_registros[TIPO],DADOS!$AB$3,tabela_registros[CATEGORIA],investirrendafixaconsolidadoset[[#This Row],[ATUAL]])</f>
        <v>0</v>
      </c>
      <c r="AJ114" s="149" t="n">
        <f aca="false">SUM(investirrendafixaconsolidadoset[[#This Row],[1]:[31]])</f>
        <v>0</v>
      </c>
      <c r="AK114" s="165"/>
    </row>
    <row r="115" customFormat="false" ht="19.5" hidden="false" customHeight="true" outlineLevel="0" collapsed="false">
      <c r="B115" s="143"/>
      <c r="C115" s="144" t="str">
        <f aca="false">DADOS!$AD$5</f>
        <v>📝 CRI</v>
      </c>
      <c r="D115" s="145" t="str">
        <f aca="false">IF(investirrendafixaconsolidadoset[[#This Row],[TOTAL (R$)]]=0,"",IF(OR(investirrendafixaconsolidadoset[[#This Row],[TOTAL (R$)]]=LARGE($AJ$113:$AJ$122,1),investirrendafixaconsolidadoset[[#This Row],[TOTAL (R$)]]=LARGE($AJ$113:$AJ$122,2)),DADOS!$I$10,""))</f>
        <v/>
      </c>
      <c r="E115" s="148" t="n">
        <f aca="false">SUMIFS(tabela_registros[VALOR],tabela_registros[MÊS],$AE$1,tabela_registros[DIA],investirrendafixaconsolidadoset[[#Headers],[1]],tabela_registros[REGISTRO],DADOS!$N$5,tabela_registros[TIPO],DADOS!$AB$3,tabela_registros[CATEGORIA],investirrendafixaconsolidadoset[[#This Row],[ATUAL]])</f>
        <v>0</v>
      </c>
      <c r="F115" s="119" t="n">
        <f aca="false">SUMIFS(tabela_registros[VALOR],tabela_registros[MÊS],$AE$1,tabela_registros[DIA],investirrendafixaconsolidadoset[[#Headers],[2]],tabela_registros[REGISTRO],DADOS!$N$5,tabela_registros[TIPO],DADOS!$AB$3,tabela_registros[CATEGORIA],investirrendafixaconsolidadoset[[#This Row],[ATUAL]])</f>
        <v>0</v>
      </c>
      <c r="G115" s="119" t="n">
        <f aca="false">SUMIFS(tabela_registros[VALOR],tabela_registros[MÊS],$AE$1,tabela_registros[DIA],investirrendafixaconsolidadoset[[#Headers],[3]],tabela_registros[REGISTRO],DADOS!$N$5,tabela_registros[TIPO],DADOS!$AB$3,tabela_registros[CATEGORIA],investirrendafixaconsolidadoset[[#This Row],[ATUAL]])</f>
        <v>0</v>
      </c>
      <c r="H115" s="119" t="n">
        <f aca="false">SUMIFS(tabela_registros[VALOR],tabela_registros[MÊS],$AE$1,tabela_registros[DIA],investirrendafixaconsolidadoset[[#Headers],[4]],tabela_registros[REGISTRO],DADOS!$N$5,tabela_registros[TIPO],DADOS!$AB$3,tabela_registros[CATEGORIA],investirrendafixaconsolidadoset[[#This Row],[ATUAL]])</f>
        <v>0</v>
      </c>
      <c r="I115" s="119" t="n">
        <f aca="false">SUMIFS(tabela_registros[VALOR],tabela_registros[MÊS],$AE$1,tabela_registros[DIA],investirrendafixaconsolidadoset[[#Headers],[5]],tabela_registros[REGISTRO],DADOS!$N$5,tabela_registros[TIPO],DADOS!$AB$3,tabela_registros[CATEGORIA],investirrendafixaconsolidadoset[[#This Row],[ATUAL]])</f>
        <v>0</v>
      </c>
      <c r="J115" s="119" t="n">
        <f aca="false">SUMIFS(tabela_registros[VALOR],tabela_registros[MÊS],$AE$1,tabela_registros[DIA],investirrendafixaconsolidadoset[[#Headers],[6]],tabela_registros[REGISTRO],DADOS!$N$5,tabela_registros[TIPO],DADOS!$AB$3,tabela_registros[CATEGORIA],investirrendafixaconsolidadoset[[#This Row],[ATUAL]])</f>
        <v>0</v>
      </c>
      <c r="K115" s="119" t="n">
        <f aca="false">SUMIFS(tabela_registros[VALOR],tabela_registros[MÊS],$AE$1,tabela_registros[DIA],investirrendafixaconsolidadoset[[#Headers],[7]],tabela_registros[REGISTRO],DADOS!$N$5,tabela_registros[TIPO],DADOS!$AB$3,tabela_registros[CATEGORIA],investirrendafixaconsolidadoset[[#This Row],[ATUAL]])</f>
        <v>0</v>
      </c>
      <c r="L115" s="119" t="n">
        <f aca="false">SUMIFS(tabela_registros[VALOR],tabela_registros[MÊS],$AE$1,tabela_registros[DIA],investirrendafixaconsolidadoset[[#Headers],[8]],tabela_registros[REGISTRO],DADOS!$N$5,tabela_registros[TIPO],DADOS!$AB$3,tabela_registros[CATEGORIA],investirrendafixaconsolidadoset[[#This Row],[ATUAL]])</f>
        <v>0</v>
      </c>
      <c r="M115" s="119" t="n">
        <f aca="false">SUMIFS(tabela_registros[VALOR],tabela_registros[MÊS],$AE$1,tabela_registros[DIA],investirrendafixaconsolidadoset[[#Headers],[9]],tabela_registros[REGISTRO],DADOS!$N$5,tabela_registros[TIPO],DADOS!$AB$3,tabela_registros[CATEGORIA],investirrendafixaconsolidadoset[[#This Row],[ATUAL]])</f>
        <v>0</v>
      </c>
      <c r="N115" s="119" t="n">
        <f aca="false">SUMIFS(tabela_registros[VALOR],tabela_registros[MÊS],$AE$1,tabela_registros[DIA],investirrendafixaconsolidadoset[[#Headers],[10]],tabela_registros[REGISTRO],DADOS!$N$5,tabela_registros[TIPO],DADOS!$AB$3,tabela_registros[CATEGORIA],investirrendafixaconsolidadoset[[#This Row],[ATUAL]])</f>
        <v>0</v>
      </c>
      <c r="O115" s="119" t="n">
        <f aca="false">SUMIFS(tabela_registros[VALOR],tabela_registros[MÊS],$AE$1,tabela_registros[DIA],investirrendafixaconsolidadoset[[#Headers],[11]],tabela_registros[REGISTRO],DADOS!$N$5,tabela_registros[TIPO],DADOS!$AB$3,tabela_registros[CATEGORIA],investirrendafixaconsolidadoset[[#This Row],[ATUAL]])</f>
        <v>0</v>
      </c>
      <c r="P115" s="119" t="n">
        <f aca="false">SUMIFS(tabela_registros[VALOR],tabela_registros[MÊS],$AE$1,tabela_registros[DIA],investirrendafixaconsolidadoset[[#Headers],[12]],tabela_registros[REGISTRO],DADOS!$N$5,tabela_registros[TIPO],DADOS!$AB$3,tabela_registros[CATEGORIA],investirrendafixaconsolidadoset[[#This Row],[ATUAL]])</f>
        <v>0</v>
      </c>
      <c r="Q115" s="119" t="n">
        <f aca="false">SUMIFS(tabela_registros[VALOR],tabela_registros[MÊS],$AE$1,tabela_registros[DIA],investirrendafixaconsolidadoset[[#Headers],[13]],tabela_registros[REGISTRO],DADOS!$N$5,tabela_registros[TIPO],DADOS!$AB$3,tabela_registros[CATEGORIA],investirrendafixaconsolidadoset[[#This Row],[ATUAL]])</f>
        <v>0</v>
      </c>
      <c r="R115" s="119" t="n">
        <f aca="false">SUMIFS(tabela_registros[VALOR],tabela_registros[MÊS],$AE$1,tabela_registros[DIA],investirrendafixaconsolidadoset[[#Headers],[14]],tabela_registros[REGISTRO],DADOS!$N$5,tabela_registros[TIPO],DADOS!$AB$3,tabela_registros[CATEGORIA],investirrendafixaconsolidadoset[[#This Row],[ATUAL]])</f>
        <v>0</v>
      </c>
      <c r="S115" s="119" t="n">
        <f aca="false">SUMIFS(tabela_registros[VALOR],tabela_registros[MÊS],$AE$1,tabela_registros[DIA],investirrendafixaconsolidadoset[[#Headers],[15]],tabela_registros[REGISTRO],DADOS!$N$5,tabela_registros[TIPO],DADOS!$AB$3,tabela_registros[CATEGORIA],investirrendafixaconsolidadoset[[#This Row],[ATUAL]])</f>
        <v>0</v>
      </c>
      <c r="T115" s="119" t="n">
        <f aca="false">SUMIFS(tabela_registros[VALOR],tabela_registros[MÊS],$AE$1,tabela_registros[DIA],investirrendafixaconsolidadoset[[#Headers],[16]],tabela_registros[REGISTRO],DADOS!$N$5,tabela_registros[TIPO],DADOS!$AB$3,tabela_registros[CATEGORIA],investirrendafixaconsolidadoset[[#This Row],[ATUAL]])</f>
        <v>0</v>
      </c>
      <c r="U115" s="119" t="n">
        <f aca="false">SUMIFS(tabela_registros[VALOR],tabela_registros[MÊS],$AE$1,tabela_registros[DIA],investirrendafixaconsolidadoset[[#Headers],[17]],tabela_registros[REGISTRO],DADOS!$N$5,tabela_registros[TIPO],DADOS!$AB$3,tabela_registros[CATEGORIA],investirrendafixaconsolidadoset[[#This Row],[ATUAL]])</f>
        <v>0</v>
      </c>
      <c r="V115" s="119" t="n">
        <f aca="false">SUMIFS(tabela_registros[VALOR],tabela_registros[MÊS],$AE$1,tabela_registros[DIA],investirrendafixaconsolidadoset[[#Headers],[18]],tabela_registros[REGISTRO],DADOS!$N$5,tabela_registros[TIPO],DADOS!$AB$3,tabela_registros[CATEGORIA],investirrendafixaconsolidadoset[[#This Row],[ATUAL]])</f>
        <v>0</v>
      </c>
      <c r="W115" s="119" t="n">
        <f aca="false">SUMIFS(tabela_registros[VALOR],tabela_registros[MÊS],$AE$1,tabela_registros[DIA],investirrendafixaconsolidadoset[[#Headers],[19]],tabela_registros[REGISTRO],DADOS!$N$5,tabela_registros[TIPO],DADOS!$AB$3,tabela_registros[CATEGORIA],investirrendafixaconsolidadoset[[#This Row],[ATUAL]])</f>
        <v>0</v>
      </c>
      <c r="X115" s="119" t="n">
        <f aca="false">SUMIFS(tabela_registros[VALOR],tabela_registros[MÊS],$AE$1,tabela_registros[DIA],investirrendafixaconsolidadoset[[#Headers],[20]],tabela_registros[REGISTRO],DADOS!$N$5,tabela_registros[TIPO],DADOS!$AB$3,tabela_registros[CATEGORIA],investirrendafixaconsolidadoset[[#This Row],[ATUAL]])</f>
        <v>0</v>
      </c>
      <c r="Y115" s="119" t="n">
        <f aca="false">SUMIFS(tabela_registros[VALOR],tabela_registros[MÊS],$AE$1,tabela_registros[DIA],investirrendafixaconsolidadoset[[#Headers],[21]],tabela_registros[REGISTRO],DADOS!$N$5,tabela_registros[TIPO],DADOS!$AB$3,tabela_registros[CATEGORIA],investirrendafixaconsolidadoset[[#This Row],[ATUAL]])</f>
        <v>0</v>
      </c>
      <c r="Z115" s="119" t="n">
        <f aca="false">SUMIFS(tabela_registros[VALOR],tabela_registros[MÊS],$AE$1,tabela_registros[DIA],investirrendafixaconsolidadoset[[#Headers],[22]],tabela_registros[REGISTRO],DADOS!$N$5,tabela_registros[TIPO],DADOS!$AB$3,tabela_registros[CATEGORIA],investirrendafixaconsolidadoset[[#This Row],[ATUAL]])</f>
        <v>0</v>
      </c>
      <c r="AA115" s="119" t="n">
        <f aca="false">SUMIFS(tabela_registros[VALOR],tabela_registros[MÊS],$AE$1,tabela_registros[DIA],investirrendafixaconsolidadoset[[#Headers],[23]],tabela_registros[REGISTRO],DADOS!$N$5,tabela_registros[TIPO],DADOS!$AB$3,tabela_registros[CATEGORIA],investirrendafixaconsolidadoset[[#This Row],[ATUAL]])</f>
        <v>0</v>
      </c>
      <c r="AB115" s="119" t="n">
        <f aca="false">SUMIFS(tabela_registros[VALOR],tabela_registros[MÊS],$AE$1,tabela_registros[DIA],investirrendafixaconsolidadoset[[#Headers],[24]],tabela_registros[REGISTRO],DADOS!$N$5,tabela_registros[TIPO],DADOS!$AB$3,tabela_registros[CATEGORIA],investirrendafixaconsolidadoset[[#This Row],[ATUAL]])</f>
        <v>0</v>
      </c>
      <c r="AC115" s="119" t="n">
        <f aca="false">SUMIFS(tabela_registros[VALOR],tabela_registros[MÊS],$AE$1,tabela_registros[DIA],investirrendafixaconsolidadoset[[#Headers],[25]],tabela_registros[REGISTRO],DADOS!$N$5,tabela_registros[TIPO],DADOS!$AB$3,tabela_registros[CATEGORIA],investirrendafixaconsolidadoset[[#This Row],[ATUAL]])</f>
        <v>0</v>
      </c>
      <c r="AD115" s="119" t="n">
        <f aca="false">SUMIFS(tabela_registros[VALOR],tabela_registros[MÊS],$AE$1,tabela_registros[DIA],investirrendafixaconsolidadoset[[#Headers],[26]],tabela_registros[REGISTRO],DADOS!$N$5,tabela_registros[TIPO],DADOS!$AB$3,tabela_registros[CATEGORIA],investirrendafixaconsolidadoset[[#This Row],[ATUAL]])</f>
        <v>0</v>
      </c>
      <c r="AE115" s="119" t="n">
        <f aca="false">SUMIFS(tabela_registros[VALOR],tabela_registros[MÊS],$AE$1,tabela_registros[DIA],investirrendafixaconsolidadoset[[#Headers],[27]],tabela_registros[REGISTRO],DADOS!$N$5,tabela_registros[TIPO],DADOS!$AB$3,tabela_registros[CATEGORIA],investirrendafixaconsolidadoset[[#This Row],[ATUAL]])</f>
        <v>0</v>
      </c>
      <c r="AF115" s="119" t="n">
        <f aca="false">SUMIFS(tabela_registros[VALOR],tabela_registros[MÊS],$AE$1,tabela_registros[DIA],investirrendafixaconsolidadoset[[#Headers],[28]],tabela_registros[REGISTRO],DADOS!$N$5,tabela_registros[TIPO],DADOS!$AB$3,tabela_registros[CATEGORIA],investirrendafixaconsolidadoset[[#This Row],[ATUAL]])</f>
        <v>0</v>
      </c>
      <c r="AG115" s="119" t="n">
        <f aca="false">SUMIFS(tabela_registros[VALOR],tabela_registros[MÊS],$AE$1,tabela_registros[DIA],investirrendafixaconsolidadoset[[#Headers],[29]],tabela_registros[REGISTRO],DADOS!$N$5,tabela_registros[TIPO],DADOS!$AB$3,tabela_registros[CATEGORIA],investirrendafixaconsolidadoset[[#This Row],[ATUAL]])</f>
        <v>0</v>
      </c>
      <c r="AH115" s="119" t="n">
        <f aca="false">SUMIFS(tabela_registros[VALOR],tabela_registros[MÊS],$AE$1,tabela_registros[DIA],investirrendafixaconsolidadoset[[#Headers],[30]],tabela_registros[REGISTRO],DADOS!$N$5,tabela_registros[TIPO],DADOS!$AB$3,tabela_registros[CATEGORIA],investirrendafixaconsolidadoset[[#This Row],[ATUAL]])</f>
        <v>0</v>
      </c>
      <c r="AI115" s="217" t="n">
        <f aca="false">SUMIFS(tabela_registros[VALOR],tabela_registros[MÊS],$AE$1,tabela_registros[DIA],investirrendafixaconsolidadoset[[#Headers],[31]],tabela_registros[REGISTRO],DADOS!$N$5,tabela_registros[TIPO],DADOS!$AB$3,tabela_registros[CATEGORIA],investirrendafixaconsolidadoset[[#This Row],[ATUAL]])</f>
        <v>0</v>
      </c>
      <c r="AJ115" s="149" t="n">
        <f aca="false">SUM(investirrendafixaconsolidadoset[[#This Row],[1]:[31]])</f>
        <v>0</v>
      </c>
      <c r="AK115" s="165"/>
    </row>
    <row r="116" customFormat="false" ht="19.5" hidden="false" customHeight="true" outlineLevel="0" collapsed="false">
      <c r="B116" s="143"/>
      <c r="C116" s="144" t="str">
        <f aca="false">DADOS!$AD$6</f>
        <v>📝 DEBÊNTURE</v>
      </c>
      <c r="D116" s="145" t="str">
        <f aca="false">IF(investirrendafixaconsolidadoset[[#This Row],[TOTAL (R$)]]=0,"",IF(OR(investirrendafixaconsolidadoset[[#This Row],[TOTAL (R$)]]=LARGE($AJ$113:$AJ$122,1),investirrendafixaconsolidadoset[[#This Row],[TOTAL (R$)]]=LARGE($AJ$113:$AJ$122,2)),DADOS!$I$10,""))</f>
        <v/>
      </c>
      <c r="E116" s="148" t="n">
        <f aca="false">SUMIFS(tabela_registros[VALOR],tabela_registros[MÊS],$AE$1,tabela_registros[DIA],investirrendafixaconsolidadoset[[#Headers],[1]],tabela_registros[REGISTRO],DADOS!$N$5,tabela_registros[TIPO],DADOS!$AB$3,tabela_registros[CATEGORIA],investirrendafixaconsolidadoset[[#This Row],[ATUAL]])</f>
        <v>0</v>
      </c>
      <c r="F116" s="119" t="n">
        <f aca="false">SUMIFS(tabela_registros[VALOR],tabela_registros[MÊS],$AE$1,tabela_registros[DIA],investirrendafixaconsolidadoset[[#Headers],[2]],tabela_registros[REGISTRO],DADOS!$N$5,tabela_registros[TIPO],DADOS!$AB$3,tabela_registros[CATEGORIA],investirrendafixaconsolidadoset[[#This Row],[ATUAL]])</f>
        <v>0</v>
      </c>
      <c r="G116" s="119" t="n">
        <f aca="false">SUMIFS(tabela_registros[VALOR],tabela_registros[MÊS],$AE$1,tabela_registros[DIA],investirrendafixaconsolidadoset[[#Headers],[3]],tabela_registros[REGISTRO],DADOS!$N$5,tabela_registros[TIPO],DADOS!$AB$3,tabela_registros[CATEGORIA],investirrendafixaconsolidadoset[[#This Row],[ATUAL]])</f>
        <v>0</v>
      </c>
      <c r="H116" s="119" t="n">
        <f aca="false">SUMIFS(tabela_registros[VALOR],tabela_registros[MÊS],$AE$1,tabela_registros[DIA],investirrendafixaconsolidadoset[[#Headers],[4]],tabela_registros[REGISTRO],DADOS!$N$5,tabela_registros[TIPO],DADOS!$AB$3,tabela_registros[CATEGORIA],investirrendafixaconsolidadoset[[#This Row],[ATUAL]])</f>
        <v>0</v>
      </c>
      <c r="I116" s="119" t="n">
        <f aca="false">SUMIFS(tabela_registros[VALOR],tabela_registros[MÊS],$AE$1,tabela_registros[DIA],investirrendafixaconsolidadoset[[#Headers],[5]],tabela_registros[REGISTRO],DADOS!$N$5,tabela_registros[TIPO],DADOS!$AB$3,tabela_registros[CATEGORIA],investirrendafixaconsolidadoset[[#This Row],[ATUAL]])</f>
        <v>0</v>
      </c>
      <c r="J116" s="119" t="n">
        <f aca="false">SUMIFS(tabela_registros[VALOR],tabela_registros[MÊS],$AE$1,tabela_registros[DIA],investirrendafixaconsolidadoset[[#Headers],[6]],tabela_registros[REGISTRO],DADOS!$N$5,tabela_registros[TIPO],DADOS!$AB$3,tabela_registros[CATEGORIA],investirrendafixaconsolidadoset[[#This Row],[ATUAL]])</f>
        <v>0</v>
      </c>
      <c r="K116" s="119" t="n">
        <f aca="false">SUMIFS(tabela_registros[VALOR],tabela_registros[MÊS],$AE$1,tabela_registros[DIA],investirrendafixaconsolidadoset[[#Headers],[7]],tabela_registros[REGISTRO],DADOS!$N$5,tabela_registros[TIPO],DADOS!$AB$3,tabela_registros[CATEGORIA],investirrendafixaconsolidadoset[[#This Row],[ATUAL]])</f>
        <v>0</v>
      </c>
      <c r="L116" s="119" t="n">
        <f aca="false">SUMIFS(tabela_registros[VALOR],tabela_registros[MÊS],$AE$1,tabela_registros[DIA],investirrendafixaconsolidadoset[[#Headers],[8]],tabela_registros[REGISTRO],DADOS!$N$5,tabela_registros[TIPO],DADOS!$AB$3,tabela_registros[CATEGORIA],investirrendafixaconsolidadoset[[#This Row],[ATUAL]])</f>
        <v>0</v>
      </c>
      <c r="M116" s="119" t="n">
        <f aca="false">SUMIFS(tabela_registros[VALOR],tabela_registros[MÊS],$AE$1,tabela_registros[DIA],investirrendafixaconsolidadoset[[#Headers],[9]],tabela_registros[REGISTRO],DADOS!$N$5,tabela_registros[TIPO],DADOS!$AB$3,tabela_registros[CATEGORIA],investirrendafixaconsolidadoset[[#This Row],[ATUAL]])</f>
        <v>0</v>
      </c>
      <c r="N116" s="119" t="n">
        <f aca="false">SUMIFS(tabela_registros[VALOR],tabela_registros[MÊS],$AE$1,tabela_registros[DIA],investirrendafixaconsolidadoset[[#Headers],[10]],tabela_registros[REGISTRO],DADOS!$N$5,tabela_registros[TIPO],DADOS!$AB$3,tabela_registros[CATEGORIA],investirrendafixaconsolidadoset[[#This Row],[ATUAL]])</f>
        <v>0</v>
      </c>
      <c r="O116" s="119" t="n">
        <f aca="false">SUMIFS(tabela_registros[VALOR],tabela_registros[MÊS],$AE$1,tabela_registros[DIA],investirrendafixaconsolidadoset[[#Headers],[11]],tabela_registros[REGISTRO],DADOS!$N$5,tabela_registros[TIPO],DADOS!$AB$3,tabela_registros[CATEGORIA],investirrendafixaconsolidadoset[[#This Row],[ATUAL]])</f>
        <v>0</v>
      </c>
      <c r="P116" s="119" t="n">
        <f aca="false">SUMIFS(tabela_registros[VALOR],tabela_registros[MÊS],$AE$1,tabela_registros[DIA],investirrendafixaconsolidadoset[[#Headers],[12]],tabela_registros[REGISTRO],DADOS!$N$5,tabela_registros[TIPO],DADOS!$AB$3,tabela_registros[CATEGORIA],investirrendafixaconsolidadoset[[#This Row],[ATUAL]])</f>
        <v>0</v>
      </c>
      <c r="Q116" s="119" t="n">
        <f aca="false">SUMIFS(tabela_registros[VALOR],tabela_registros[MÊS],$AE$1,tabela_registros[DIA],investirrendafixaconsolidadoset[[#Headers],[13]],tabela_registros[REGISTRO],DADOS!$N$5,tabela_registros[TIPO],DADOS!$AB$3,tabela_registros[CATEGORIA],investirrendafixaconsolidadoset[[#This Row],[ATUAL]])</f>
        <v>0</v>
      </c>
      <c r="R116" s="119" t="n">
        <f aca="false">SUMIFS(tabela_registros[VALOR],tabela_registros[MÊS],$AE$1,tabela_registros[DIA],investirrendafixaconsolidadoset[[#Headers],[14]],tabela_registros[REGISTRO],DADOS!$N$5,tabela_registros[TIPO],DADOS!$AB$3,tabela_registros[CATEGORIA],investirrendafixaconsolidadoset[[#This Row],[ATUAL]])</f>
        <v>0</v>
      </c>
      <c r="S116" s="119" t="n">
        <f aca="false">SUMIFS(tabela_registros[VALOR],tabela_registros[MÊS],$AE$1,tabela_registros[DIA],investirrendafixaconsolidadoset[[#Headers],[15]],tabela_registros[REGISTRO],DADOS!$N$5,tabela_registros[TIPO],DADOS!$AB$3,tabela_registros[CATEGORIA],investirrendafixaconsolidadoset[[#This Row],[ATUAL]])</f>
        <v>0</v>
      </c>
      <c r="T116" s="119" t="n">
        <f aca="false">SUMIFS(tabela_registros[VALOR],tabela_registros[MÊS],$AE$1,tabela_registros[DIA],investirrendafixaconsolidadoset[[#Headers],[16]],tabela_registros[REGISTRO],DADOS!$N$5,tabela_registros[TIPO],DADOS!$AB$3,tabela_registros[CATEGORIA],investirrendafixaconsolidadoset[[#This Row],[ATUAL]])</f>
        <v>0</v>
      </c>
      <c r="U116" s="119" t="n">
        <f aca="false">SUMIFS(tabela_registros[VALOR],tabela_registros[MÊS],$AE$1,tabela_registros[DIA],investirrendafixaconsolidadoset[[#Headers],[17]],tabela_registros[REGISTRO],DADOS!$N$5,tabela_registros[TIPO],DADOS!$AB$3,tabela_registros[CATEGORIA],investirrendafixaconsolidadoset[[#This Row],[ATUAL]])</f>
        <v>0</v>
      </c>
      <c r="V116" s="119" t="n">
        <f aca="false">SUMIFS(tabela_registros[VALOR],tabela_registros[MÊS],$AE$1,tabela_registros[DIA],investirrendafixaconsolidadoset[[#Headers],[18]],tabela_registros[REGISTRO],DADOS!$N$5,tabela_registros[TIPO],DADOS!$AB$3,tabela_registros[CATEGORIA],investirrendafixaconsolidadoset[[#This Row],[ATUAL]])</f>
        <v>0</v>
      </c>
      <c r="W116" s="119" t="n">
        <f aca="false">SUMIFS(tabela_registros[VALOR],tabela_registros[MÊS],$AE$1,tabela_registros[DIA],investirrendafixaconsolidadoset[[#Headers],[19]],tabela_registros[REGISTRO],DADOS!$N$5,tabela_registros[TIPO],DADOS!$AB$3,tabela_registros[CATEGORIA],investirrendafixaconsolidadoset[[#This Row],[ATUAL]])</f>
        <v>0</v>
      </c>
      <c r="X116" s="119" t="n">
        <f aca="false">SUMIFS(tabela_registros[VALOR],tabela_registros[MÊS],$AE$1,tabela_registros[DIA],investirrendafixaconsolidadoset[[#Headers],[20]],tabela_registros[REGISTRO],DADOS!$N$5,tabela_registros[TIPO],DADOS!$AB$3,tabela_registros[CATEGORIA],investirrendafixaconsolidadoset[[#This Row],[ATUAL]])</f>
        <v>0</v>
      </c>
      <c r="Y116" s="119" t="n">
        <f aca="false">SUMIFS(tabela_registros[VALOR],tabela_registros[MÊS],$AE$1,tabela_registros[DIA],investirrendafixaconsolidadoset[[#Headers],[21]],tabela_registros[REGISTRO],DADOS!$N$5,tabela_registros[TIPO],DADOS!$AB$3,tabela_registros[CATEGORIA],investirrendafixaconsolidadoset[[#This Row],[ATUAL]])</f>
        <v>0</v>
      </c>
      <c r="Z116" s="119" t="n">
        <f aca="false">SUMIFS(tabela_registros[VALOR],tabela_registros[MÊS],$AE$1,tabela_registros[DIA],investirrendafixaconsolidadoset[[#Headers],[22]],tabela_registros[REGISTRO],DADOS!$N$5,tabela_registros[TIPO],DADOS!$AB$3,tabela_registros[CATEGORIA],investirrendafixaconsolidadoset[[#This Row],[ATUAL]])</f>
        <v>0</v>
      </c>
      <c r="AA116" s="119" t="n">
        <f aca="false">SUMIFS(tabela_registros[VALOR],tabela_registros[MÊS],$AE$1,tabela_registros[DIA],investirrendafixaconsolidadoset[[#Headers],[23]],tabela_registros[REGISTRO],DADOS!$N$5,tabela_registros[TIPO],DADOS!$AB$3,tabela_registros[CATEGORIA],investirrendafixaconsolidadoset[[#This Row],[ATUAL]])</f>
        <v>0</v>
      </c>
      <c r="AB116" s="119" t="n">
        <f aca="false">SUMIFS(tabela_registros[VALOR],tabela_registros[MÊS],$AE$1,tabela_registros[DIA],investirrendafixaconsolidadoset[[#Headers],[24]],tabela_registros[REGISTRO],DADOS!$N$5,tabela_registros[TIPO],DADOS!$AB$3,tabela_registros[CATEGORIA],investirrendafixaconsolidadoset[[#This Row],[ATUAL]])</f>
        <v>0</v>
      </c>
      <c r="AC116" s="119" t="n">
        <f aca="false">SUMIFS(tabela_registros[VALOR],tabela_registros[MÊS],$AE$1,tabela_registros[DIA],investirrendafixaconsolidadoset[[#Headers],[25]],tabela_registros[REGISTRO],DADOS!$N$5,tabela_registros[TIPO],DADOS!$AB$3,tabela_registros[CATEGORIA],investirrendafixaconsolidadoset[[#This Row],[ATUAL]])</f>
        <v>0</v>
      </c>
      <c r="AD116" s="119" t="n">
        <f aca="false">SUMIFS(tabela_registros[VALOR],tabela_registros[MÊS],$AE$1,tabela_registros[DIA],investirrendafixaconsolidadoset[[#Headers],[26]],tabela_registros[REGISTRO],DADOS!$N$5,tabela_registros[TIPO],DADOS!$AB$3,tabela_registros[CATEGORIA],investirrendafixaconsolidadoset[[#This Row],[ATUAL]])</f>
        <v>0</v>
      </c>
      <c r="AE116" s="119" t="n">
        <f aca="false">SUMIFS(tabela_registros[VALOR],tabela_registros[MÊS],$AE$1,tabela_registros[DIA],investirrendafixaconsolidadoset[[#Headers],[27]],tabela_registros[REGISTRO],DADOS!$N$5,tabela_registros[TIPO],DADOS!$AB$3,tabela_registros[CATEGORIA],investirrendafixaconsolidadoset[[#This Row],[ATUAL]])</f>
        <v>0</v>
      </c>
      <c r="AF116" s="119" t="n">
        <f aca="false">SUMIFS(tabela_registros[VALOR],tabela_registros[MÊS],$AE$1,tabela_registros[DIA],investirrendafixaconsolidadoset[[#Headers],[28]],tabela_registros[REGISTRO],DADOS!$N$5,tabela_registros[TIPO],DADOS!$AB$3,tabela_registros[CATEGORIA],investirrendafixaconsolidadoset[[#This Row],[ATUAL]])</f>
        <v>0</v>
      </c>
      <c r="AG116" s="119" t="n">
        <f aca="false">SUMIFS(tabela_registros[VALOR],tabela_registros[MÊS],$AE$1,tabela_registros[DIA],investirrendafixaconsolidadoset[[#Headers],[29]],tabela_registros[REGISTRO],DADOS!$N$5,tabela_registros[TIPO],DADOS!$AB$3,tabela_registros[CATEGORIA],investirrendafixaconsolidadoset[[#This Row],[ATUAL]])</f>
        <v>0</v>
      </c>
      <c r="AH116" s="119" t="n">
        <f aca="false">SUMIFS(tabela_registros[VALOR],tabela_registros[MÊS],$AE$1,tabela_registros[DIA],investirrendafixaconsolidadoset[[#Headers],[30]],tabela_registros[REGISTRO],DADOS!$N$5,tabela_registros[TIPO],DADOS!$AB$3,tabela_registros[CATEGORIA],investirrendafixaconsolidadoset[[#This Row],[ATUAL]])</f>
        <v>0</v>
      </c>
      <c r="AI116" s="217" t="n">
        <f aca="false">SUMIFS(tabela_registros[VALOR],tabela_registros[MÊS],$AE$1,tabela_registros[DIA],investirrendafixaconsolidadoset[[#Headers],[31]],tabela_registros[REGISTRO],DADOS!$N$5,tabela_registros[TIPO],DADOS!$AB$3,tabela_registros[CATEGORIA],investirrendafixaconsolidadoset[[#This Row],[ATUAL]])</f>
        <v>0</v>
      </c>
      <c r="AJ116" s="149" t="n">
        <f aca="false">SUM(investirrendafixaconsolidadoset[[#This Row],[1]:[31]])</f>
        <v>0</v>
      </c>
      <c r="AK116" s="165"/>
    </row>
    <row r="117" customFormat="false" ht="19.5" hidden="false" customHeight="true" outlineLevel="0" collapsed="false">
      <c r="B117" s="143"/>
      <c r="C117" s="144" t="str">
        <f aca="false">DADOS!$AD$7</f>
        <v>📝 EXTERIOR</v>
      </c>
      <c r="D117" s="145" t="str">
        <f aca="false">IF(investirrendafixaconsolidadoset[[#This Row],[TOTAL (R$)]]=0,"",IF(OR(investirrendafixaconsolidadoset[[#This Row],[TOTAL (R$)]]=LARGE($AJ$113:$AJ$122,1),investirrendafixaconsolidadoset[[#This Row],[TOTAL (R$)]]=LARGE($AJ$113:$AJ$122,2)),DADOS!$I$10,""))</f>
        <v/>
      </c>
      <c r="E117" s="148" t="n">
        <f aca="false">SUMIFS(tabela_registros[VALOR],tabela_registros[MÊS],$AE$1,tabela_registros[DIA],investirrendafixaconsolidadoset[[#Headers],[1]],tabela_registros[REGISTRO],DADOS!$N$5,tabela_registros[TIPO],DADOS!$AB$3,tabela_registros[CATEGORIA],investirrendafixaconsolidadoset[[#This Row],[ATUAL]])</f>
        <v>0</v>
      </c>
      <c r="F117" s="119" t="n">
        <f aca="false">SUMIFS(tabela_registros[VALOR],tabela_registros[MÊS],$AE$1,tabela_registros[DIA],investirrendafixaconsolidadoset[[#Headers],[2]],tabela_registros[REGISTRO],DADOS!$N$5,tabela_registros[TIPO],DADOS!$AB$3,tabela_registros[CATEGORIA],investirrendafixaconsolidadoset[[#This Row],[ATUAL]])</f>
        <v>0</v>
      </c>
      <c r="G117" s="119" t="n">
        <f aca="false">SUMIFS(tabela_registros[VALOR],tabela_registros[MÊS],$AE$1,tabela_registros[DIA],investirrendafixaconsolidadoset[[#Headers],[3]],tabela_registros[REGISTRO],DADOS!$N$5,tabela_registros[TIPO],DADOS!$AB$3,tabela_registros[CATEGORIA],investirrendafixaconsolidadoset[[#This Row],[ATUAL]])</f>
        <v>0</v>
      </c>
      <c r="H117" s="119" t="n">
        <f aca="false">SUMIFS(tabela_registros[VALOR],tabela_registros[MÊS],$AE$1,tabela_registros[DIA],investirrendafixaconsolidadoset[[#Headers],[4]],tabela_registros[REGISTRO],DADOS!$N$5,tabela_registros[TIPO],DADOS!$AB$3,tabela_registros[CATEGORIA],investirrendafixaconsolidadoset[[#This Row],[ATUAL]])</f>
        <v>0</v>
      </c>
      <c r="I117" s="119" t="n">
        <f aca="false">SUMIFS(tabela_registros[VALOR],tabela_registros[MÊS],$AE$1,tabela_registros[DIA],investirrendafixaconsolidadoset[[#Headers],[5]],tabela_registros[REGISTRO],DADOS!$N$5,tabela_registros[TIPO],DADOS!$AB$3,tabela_registros[CATEGORIA],investirrendafixaconsolidadoset[[#This Row],[ATUAL]])</f>
        <v>0</v>
      </c>
      <c r="J117" s="119" t="n">
        <f aca="false">SUMIFS(tabela_registros[VALOR],tabela_registros[MÊS],$AE$1,tabela_registros[DIA],investirrendafixaconsolidadoset[[#Headers],[6]],tabela_registros[REGISTRO],DADOS!$N$5,tabela_registros[TIPO],DADOS!$AB$3,tabela_registros[CATEGORIA],investirrendafixaconsolidadoset[[#This Row],[ATUAL]])</f>
        <v>0</v>
      </c>
      <c r="K117" s="119" t="n">
        <f aca="false">SUMIFS(tabela_registros[VALOR],tabela_registros[MÊS],$AE$1,tabela_registros[DIA],investirrendafixaconsolidadoset[[#Headers],[7]],tabela_registros[REGISTRO],DADOS!$N$5,tabela_registros[TIPO],DADOS!$AB$3,tabela_registros[CATEGORIA],investirrendafixaconsolidadoset[[#This Row],[ATUAL]])</f>
        <v>0</v>
      </c>
      <c r="L117" s="119" t="n">
        <f aca="false">SUMIFS(tabela_registros[VALOR],tabela_registros[MÊS],$AE$1,tabela_registros[DIA],investirrendafixaconsolidadoset[[#Headers],[8]],tabela_registros[REGISTRO],DADOS!$N$5,tabela_registros[TIPO],DADOS!$AB$3,tabela_registros[CATEGORIA],investirrendafixaconsolidadoset[[#This Row],[ATUAL]])</f>
        <v>0</v>
      </c>
      <c r="M117" s="119" t="n">
        <f aca="false">SUMIFS(tabela_registros[VALOR],tabela_registros[MÊS],$AE$1,tabela_registros[DIA],investirrendafixaconsolidadoset[[#Headers],[9]],tabela_registros[REGISTRO],DADOS!$N$5,tabela_registros[TIPO],DADOS!$AB$3,tabela_registros[CATEGORIA],investirrendafixaconsolidadoset[[#This Row],[ATUAL]])</f>
        <v>0</v>
      </c>
      <c r="N117" s="119" t="n">
        <f aca="false">SUMIFS(tabela_registros[VALOR],tabela_registros[MÊS],$AE$1,tabela_registros[DIA],investirrendafixaconsolidadoset[[#Headers],[10]],tabela_registros[REGISTRO],DADOS!$N$5,tabela_registros[TIPO],DADOS!$AB$3,tabela_registros[CATEGORIA],investirrendafixaconsolidadoset[[#This Row],[ATUAL]])</f>
        <v>0</v>
      </c>
      <c r="O117" s="119" t="n">
        <f aca="false">SUMIFS(tabela_registros[VALOR],tabela_registros[MÊS],$AE$1,tabela_registros[DIA],investirrendafixaconsolidadoset[[#Headers],[11]],tabela_registros[REGISTRO],DADOS!$N$5,tabela_registros[TIPO],DADOS!$AB$3,tabela_registros[CATEGORIA],investirrendafixaconsolidadoset[[#This Row],[ATUAL]])</f>
        <v>0</v>
      </c>
      <c r="P117" s="119" t="n">
        <f aca="false">SUMIFS(tabela_registros[VALOR],tabela_registros[MÊS],$AE$1,tabela_registros[DIA],investirrendafixaconsolidadoset[[#Headers],[12]],tabela_registros[REGISTRO],DADOS!$N$5,tabela_registros[TIPO],DADOS!$AB$3,tabela_registros[CATEGORIA],investirrendafixaconsolidadoset[[#This Row],[ATUAL]])</f>
        <v>0</v>
      </c>
      <c r="Q117" s="119" t="n">
        <f aca="false">SUMIFS(tabela_registros[VALOR],tabela_registros[MÊS],$AE$1,tabela_registros[DIA],investirrendafixaconsolidadoset[[#Headers],[13]],tabela_registros[REGISTRO],DADOS!$N$5,tabela_registros[TIPO],DADOS!$AB$3,tabela_registros[CATEGORIA],investirrendafixaconsolidadoset[[#This Row],[ATUAL]])</f>
        <v>0</v>
      </c>
      <c r="R117" s="119" t="n">
        <f aca="false">SUMIFS(tabela_registros[VALOR],tabela_registros[MÊS],$AE$1,tabela_registros[DIA],investirrendafixaconsolidadoset[[#Headers],[14]],tabela_registros[REGISTRO],DADOS!$N$5,tabela_registros[TIPO],DADOS!$AB$3,tabela_registros[CATEGORIA],investirrendafixaconsolidadoset[[#This Row],[ATUAL]])</f>
        <v>0</v>
      </c>
      <c r="S117" s="119" t="n">
        <f aca="false">SUMIFS(tabela_registros[VALOR],tabela_registros[MÊS],$AE$1,tabela_registros[DIA],investirrendafixaconsolidadoset[[#Headers],[15]],tabela_registros[REGISTRO],DADOS!$N$5,tabela_registros[TIPO],DADOS!$AB$3,tabela_registros[CATEGORIA],investirrendafixaconsolidadoset[[#This Row],[ATUAL]])</f>
        <v>0</v>
      </c>
      <c r="T117" s="119" t="n">
        <f aca="false">SUMIFS(tabela_registros[VALOR],tabela_registros[MÊS],$AE$1,tabela_registros[DIA],investirrendafixaconsolidadoset[[#Headers],[16]],tabela_registros[REGISTRO],DADOS!$N$5,tabela_registros[TIPO],DADOS!$AB$3,tabela_registros[CATEGORIA],investirrendafixaconsolidadoset[[#This Row],[ATUAL]])</f>
        <v>0</v>
      </c>
      <c r="U117" s="119" t="n">
        <f aca="false">SUMIFS(tabela_registros[VALOR],tabela_registros[MÊS],$AE$1,tabela_registros[DIA],investirrendafixaconsolidadoset[[#Headers],[17]],tabela_registros[REGISTRO],DADOS!$N$5,tabela_registros[TIPO],DADOS!$AB$3,tabela_registros[CATEGORIA],investirrendafixaconsolidadoset[[#This Row],[ATUAL]])</f>
        <v>0</v>
      </c>
      <c r="V117" s="119" t="n">
        <f aca="false">SUMIFS(tabela_registros[VALOR],tabela_registros[MÊS],$AE$1,tabela_registros[DIA],investirrendafixaconsolidadoset[[#Headers],[18]],tabela_registros[REGISTRO],DADOS!$N$5,tabela_registros[TIPO],DADOS!$AB$3,tabela_registros[CATEGORIA],investirrendafixaconsolidadoset[[#This Row],[ATUAL]])</f>
        <v>0</v>
      </c>
      <c r="W117" s="119" t="n">
        <f aca="false">SUMIFS(tabela_registros[VALOR],tabela_registros[MÊS],$AE$1,tabela_registros[DIA],investirrendafixaconsolidadoset[[#Headers],[19]],tabela_registros[REGISTRO],DADOS!$N$5,tabela_registros[TIPO],DADOS!$AB$3,tabela_registros[CATEGORIA],investirrendafixaconsolidadoset[[#This Row],[ATUAL]])</f>
        <v>0</v>
      </c>
      <c r="X117" s="119" t="n">
        <f aca="false">SUMIFS(tabela_registros[VALOR],tabela_registros[MÊS],$AE$1,tabela_registros[DIA],investirrendafixaconsolidadoset[[#Headers],[20]],tabela_registros[REGISTRO],DADOS!$N$5,tabela_registros[TIPO],DADOS!$AB$3,tabela_registros[CATEGORIA],investirrendafixaconsolidadoset[[#This Row],[ATUAL]])</f>
        <v>0</v>
      </c>
      <c r="Y117" s="119" t="n">
        <f aca="false">SUMIFS(tabela_registros[VALOR],tabela_registros[MÊS],$AE$1,tabela_registros[DIA],investirrendafixaconsolidadoset[[#Headers],[21]],tabela_registros[REGISTRO],DADOS!$N$5,tabela_registros[TIPO],DADOS!$AB$3,tabela_registros[CATEGORIA],investirrendafixaconsolidadoset[[#This Row],[ATUAL]])</f>
        <v>0</v>
      </c>
      <c r="Z117" s="119" t="n">
        <f aca="false">SUMIFS(tabela_registros[VALOR],tabela_registros[MÊS],$AE$1,tabela_registros[DIA],investirrendafixaconsolidadoset[[#Headers],[22]],tabela_registros[REGISTRO],DADOS!$N$5,tabela_registros[TIPO],DADOS!$AB$3,tabela_registros[CATEGORIA],investirrendafixaconsolidadoset[[#This Row],[ATUAL]])</f>
        <v>0</v>
      </c>
      <c r="AA117" s="119" t="n">
        <f aca="false">SUMIFS(tabela_registros[VALOR],tabela_registros[MÊS],$AE$1,tabela_registros[DIA],investirrendafixaconsolidadoset[[#Headers],[23]],tabela_registros[REGISTRO],DADOS!$N$5,tabela_registros[TIPO],DADOS!$AB$3,tabela_registros[CATEGORIA],investirrendafixaconsolidadoset[[#This Row],[ATUAL]])</f>
        <v>0</v>
      </c>
      <c r="AB117" s="119" t="n">
        <f aca="false">SUMIFS(tabela_registros[VALOR],tabela_registros[MÊS],$AE$1,tabela_registros[DIA],investirrendafixaconsolidadoset[[#Headers],[24]],tabela_registros[REGISTRO],DADOS!$N$5,tabela_registros[TIPO],DADOS!$AB$3,tabela_registros[CATEGORIA],investirrendafixaconsolidadoset[[#This Row],[ATUAL]])</f>
        <v>0</v>
      </c>
      <c r="AC117" s="119" t="n">
        <f aca="false">SUMIFS(tabela_registros[VALOR],tabela_registros[MÊS],$AE$1,tabela_registros[DIA],investirrendafixaconsolidadoset[[#Headers],[25]],tabela_registros[REGISTRO],DADOS!$N$5,tabela_registros[TIPO],DADOS!$AB$3,tabela_registros[CATEGORIA],investirrendafixaconsolidadoset[[#This Row],[ATUAL]])</f>
        <v>0</v>
      </c>
      <c r="AD117" s="119" t="n">
        <f aca="false">SUMIFS(tabela_registros[VALOR],tabela_registros[MÊS],$AE$1,tabela_registros[DIA],investirrendafixaconsolidadoset[[#Headers],[26]],tabela_registros[REGISTRO],DADOS!$N$5,tabela_registros[TIPO],DADOS!$AB$3,tabela_registros[CATEGORIA],investirrendafixaconsolidadoset[[#This Row],[ATUAL]])</f>
        <v>0</v>
      </c>
      <c r="AE117" s="119" t="n">
        <f aca="false">SUMIFS(tabela_registros[VALOR],tabela_registros[MÊS],$AE$1,tabela_registros[DIA],investirrendafixaconsolidadoset[[#Headers],[27]],tabela_registros[REGISTRO],DADOS!$N$5,tabela_registros[TIPO],DADOS!$AB$3,tabela_registros[CATEGORIA],investirrendafixaconsolidadoset[[#This Row],[ATUAL]])</f>
        <v>0</v>
      </c>
      <c r="AF117" s="119" t="n">
        <f aca="false">SUMIFS(tabela_registros[VALOR],tabela_registros[MÊS],$AE$1,tabela_registros[DIA],investirrendafixaconsolidadoset[[#Headers],[28]],tabela_registros[REGISTRO],DADOS!$N$5,tabela_registros[TIPO],DADOS!$AB$3,tabela_registros[CATEGORIA],investirrendafixaconsolidadoset[[#This Row],[ATUAL]])</f>
        <v>0</v>
      </c>
      <c r="AG117" s="119" t="n">
        <f aca="false">SUMIFS(tabela_registros[VALOR],tabela_registros[MÊS],$AE$1,tabela_registros[DIA],investirrendafixaconsolidadoset[[#Headers],[29]],tabela_registros[REGISTRO],DADOS!$N$5,tabela_registros[TIPO],DADOS!$AB$3,tabela_registros[CATEGORIA],investirrendafixaconsolidadoset[[#This Row],[ATUAL]])</f>
        <v>0</v>
      </c>
      <c r="AH117" s="119" t="n">
        <f aca="false">SUMIFS(tabela_registros[VALOR],tabela_registros[MÊS],$AE$1,tabela_registros[DIA],investirrendafixaconsolidadoset[[#Headers],[30]],tabela_registros[REGISTRO],DADOS!$N$5,tabela_registros[TIPO],DADOS!$AB$3,tabela_registros[CATEGORIA],investirrendafixaconsolidadoset[[#This Row],[ATUAL]])</f>
        <v>0</v>
      </c>
      <c r="AI117" s="217" t="n">
        <f aca="false">SUMIFS(tabela_registros[VALOR],tabela_registros[MÊS],$AE$1,tabela_registros[DIA],investirrendafixaconsolidadoset[[#Headers],[31]],tabela_registros[REGISTRO],DADOS!$N$5,tabela_registros[TIPO],DADOS!$AB$3,tabela_registros[CATEGORIA],investirrendafixaconsolidadoset[[#This Row],[ATUAL]])</f>
        <v>0</v>
      </c>
      <c r="AJ117" s="149" t="n">
        <f aca="false">SUM(investirrendafixaconsolidadoset[[#This Row],[1]:[31]])</f>
        <v>0</v>
      </c>
      <c r="AK117" s="165"/>
    </row>
    <row r="118" customFormat="false" ht="19.5" hidden="false" customHeight="true" outlineLevel="0" collapsed="false">
      <c r="B118" s="143"/>
      <c r="C118" s="144" t="str">
        <f aca="false">DADOS!$AD$8</f>
        <v>📝 LC</v>
      </c>
      <c r="D118" s="145" t="str">
        <f aca="false">IF(investirrendafixaconsolidadoset[[#This Row],[TOTAL (R$)]]=0,"",IF(OR(investirrendafixaconsolidadoset[[#This Row],[TOTAL (R$)]]=LARGE($AJ$113:$AJ$122,1),investirrendafixaconsolidadoset[[#This Row],[TOTAL (R$)]]=LARGE($AJ$113:$AJ$122,2)),DADOS!$I$10,""))</f>
        <v/>
      </c>
      <c r="E118" s="148" t="n">
        <f aca="false">SUMIFS(tabela_registros[VALOR],tabela_registros[MÊS],$AE$1,tabela_registros[DIA],investirrendafixaconsolidadoset[[#Headers],[1]],tabela_registros[REGISTRO],DADOS!$N$5,tabela_registros[TIPO],DADOS!$AB$3,tabela_registros[CATEGORIA],investirrendafixaconsolidadoset[[#This Row],[ATUAL]])</f>
        <v>0</v>
      </c>
      <c r="F118" s="119" t="n">
        <f aca="false">SUMIFS(tabela_registros[VALOR],tabela_registros[MÊS],$AE$1,tabela_registros[DIA],investirrendafixaconsolidadoset[[#Headers],[2]],tabela_registros[REGISTRO],DADOS!$N$5,tabela_registros[TIPO],DADOS!$AB$3,tabela_registros[CATEGORIA],investirrendafixaconsolidadoset[[#This Row],[ATUAL]])</f>
        <v>0</v>
      </c>
      <c r="G118" s="119" t="n">
        <f aca="false">SUMIFS(tabela_registros[VALOR],tabela_registros[MÊS],$AE$1,tabela_registros[DIA],investirrendafixaconsolidadoset[[#Headers],[3]],tabela_registros[REGISTRO],DADOS!$N$5,tabela_registros[TIPO],DADOS!$AB$3,tabela_registros[CATEGORIA],investirrendafixaconsolidadoset[[#This Row],[ATUAL]])</f>
        <v>0</v>
      </c>
      <c r="H118" s="119" t="n">
        <f aca="false">SUMIFS(tabela_registros[VALOR],tabela_registros[MÊS],$AE$1,tabela_registros[DIA],investirrendafixaconsolidadoset[[#Headers],[4]],tabela_registros[REGISTRO],DADOS!$N$5,tabela_registros[TIPO],DADOS!$AB$3,tabela_registros[CATEGORIA],investirrendafixaconsolidadoset[[#This Row],[ATUAL]])</f>
        <v>0</v>
      </c>
      <c r="I118" s="119" t="n">
        <f aca="false">SUMIFS(tabela_registros[VALOR],tabela_registros[MÊS],$AE$1,tabela_registros[DIA],investirrendafixaconsolidadoset[[#Headers],[5]],tabela_registros[REGISTRO],DADOS!$N$5,tabela_registros[TIPO],DADOS!$AB$3,tabela_registros[CATEGORIA],investirrendafixaconsolidadoset[[#This Row],[ATUAL]])</f>
        <v>0</v>
      </c>
      <c r="J118" s="119" t="n">
        <f aca="false">SUMIFS(tabela_registros[VALOR],tabela_registros[MÊS],$AE$1,tabela_registros[DIA],investirrendafixaconsolidadoset[[#Headers],[6]],tabela_registros[REGISTRO],DADOS!$N$5,tabela_registros[TIPO],DADOS!$AB$3,tabela_registros[CATEGORIA],investirrendafixaconsolidadoset[[#This Row],[ATUAL]])</f>
        <v>0</v>
      </c>
      <c r="K118" s="119" t="n">
        <f aca="false">SUMIFS(tabela_registros[VALOR],tabela_registros[MÊS],$AE$1,tabela_registros[DIA],investirrendafixaconsolidadoset[[#Headers],[7]],tabela_registros[REGISTRO],DADOS!$N$5,tabela_registros[TIPO],DADOS!$AB$3,tabela_registros[CATEGORIA],investirrendafixaconsolidadoset[[#This Row],[ATUAL]])</f>
        <v>0</v>
      </c>
      <c r="L118" s="119" t="n">
        <f aca="false">SUMIFS(tabela_registros[VALOR],tabela_registros[MÊS],$AE$1,tabela_registros[DIA],investirrendafixaconsolidadoset[[#Headers],[8]],tabela_registros[REGISTRO],DADOS!$N$5,tabela_registros[TIPO],DADOS!$AB$3,tabela_registros[CATEGORIA],investirrendafixaconsolidadoset[[#This Row],[ATUAL]])</f>
        <v>0</v>
      </c>
      <c r="M118" s="119" t="n">
        <f aca="false">SUMIFS(tabela_registros[VALOR],tabela_registros[MÊS],$AE$1,tabela_registros[DIA],investirrendafixaconsolidadoset[[#Headers],[9]],tabela_registros[REGISTRO],DADOS!$N$5,tabela_registros[TIPO],DADOS!$AB$3,tabela_registros[CATEGORIA],investirrendafixaconsolidadoset[[#This Row],[ATUAL]])</f>
        <v>0</v>
      </c>
      <c r="N118" s="119" t="n">
        <f aca="false">SUMIFS(tabela_registros[VALOR],tabela_registros[MÊS],$AE$1,tabela_registros[DIA],investirrendafixaconsolidadoset[[#Headers],[10]],tabela_registros[REGISTRO],DADOS!$N$5,tabela_registros[TIPO],DADOS!$AB$3,tabela_registros[CATEGORIA],investirrendafixaconsolidadoset[[#This Row],[ATUAL]])</f>
        <v>0</v>
      </c>
      <c r="O118" s="119" t="n">
        <f aca="false">SUMIFS(tabela_registros[VALOR],tabela_registros[MÊS],$AE$1,tabela_registros[DIA],investirrendafixaconsolidadoset[[#Headers],[11]],tabela_registros[REGISTRO],DADOS!$N$5,tabela_registros[TIPO],DADOS!$AB$3,tabela_registros[CATEGORIA],investirrendafixaconsolidadoset[[#This Row],[ATUAL]])</f>
        <v>0</v>
      </c>
      <c r="P118" s="119" t="n">
        <f aca="false">SUMIFS(tabela_registros[VALOR],tabela_registros[MÊS],$AE$1,tabela_registros[DIA],investirrendafixaconsolidadoset[[#Headers],[12]],tabela_registros[REGISTRO],DADOS!$N$5,tabela_registros[TIPO],DADOS!$AB$3,tabela_registros[CATEGORIA],investirrendafixaconsolidadoset[[#This Row],[ATUAL]])</f>
        <v>0</v>
      </c>
      <c r="Q118" s="119" t="n">
        <f aca="false">SUMIFS(tabela_registros[VALOR],tabela_registros[MÊS],$AE$1,tabela_registros[DIA],investirrendafixaconsolidadoset[[#Headers],[13]],tabela_registros[REGISTRO],DADOS!$N$5,tabela_registros[TIPO],DADOS!$AB$3,tabela_registros[CATEGORIA],investirrendafixaconsolidadoset[[#This Row],[ATUAL]])</f>
        <v>0</v>
      </c>
      <c r="R118" s="119" t="n">
        <f aca="false">SUMIFS(tabela_registros[VALOR],tabela_registros[MÊS],$AE$1,tabela_registros[DIA],investirrendafixaconsolidadoset[[#Headers],[14]],tabela_registros[REGISTRO],DADOS!$N$5,tabela_registros[TIPO],DADOS!$AB$3,tabela_registros[CATEGORIA],investirrendafixaconsolidadoset[[#This Row],[ATUAL]])</f>
        <v>0</v>
      </c>
      <c r="S118" s="119" t="n">
        <f aca="false">SUMIFS(tabela_registros[VALOR],tabela_registros[MÊS],$AE$1,tabela_registros[DIA],investirrendafixaconsolidadoset[[#Headers],[15]],tabela_registros[REGISTRO],DADOS!$N$5,tabela_registros[TIPO],DADOS!$AB$3,tabela_registros[CATEGORIA],investirrendafixaconsolidadoset[[#This Row],[ATUAL]])</f>
        <v>0</v>
      </c>
      <c r="T118" s="119" t="n">
        <f aca="false">SUMIFS(tabela_registros[VALOR],tabela_registros[MÊS],$AE$1,tabela_registros[DIA],investirrendafixaconsolidadoset[[#Headers],[16]],tabela_registros[REGISTRO],DADOS!$N$5,tabela_registros[TIPO],DADOS!$AB$3,tabela_registros[CATEGORIA],investirrendafixaconsolidadoset[[#This Row],[ATUAL]])</f>
        <v>0</v>
      </c>
      <c r="U118" s="119" t="n">
        <f aca="false">SUMIFS(tabela_registros[VALOR],tabela_registros[MÊS],$AE$1,tabela_registros[DIA],investirrendafixaconsolidadoset[[#Headers],[17]],tabela_registros[REGISTRO],DADOS!$N$5,tabela_registros[TIPO],DADOS!$AB$3,tabela_registros[CATEGORIA],investirrendafixaconsolidadoset[[#This Row],[ATUAL]])</f>
        <v>0</v>
      </c>
      <c r="V118" s="119" t="n">
        <f aca="false">SUMIFS(tabela_registros[VALOR],tabela_registros[MÊS],$AE$1,tabela_registros[DIA],investirrendafixaconsolidadoset[[#Headers],[18]],tabela_registros[REGISTRO],DADOS!$N$5,tabela_registros[TIPO],DADOS!$AB$3,tabela_registros[CATEGORIA],investirrendafixaconsolidadoset[[#This Row],[ATUAL]])</f>
        <v>0</v>
      </c>
      <c r="W118" s="119" t="n">
        <f aca="false">SUMIFS(tabela_registros[VALOR],tabela_registros[MÊS],$AE$1,tabela_registros[DIA],investirrendafixaconsolidadoset[[#Headers],[19]],tabela_registros[REGISTRO],DADOS!$N$5,tabela_registros[TIPO],DADOS!$AB$3,tabela_registros[CATEGORIA],investirrendafixaconsolidadoset[[#This Row],[ATUAL]])</f>
        <v>0</v>
      </c>
      <c r="X118" s="119" t="n">
        <f aca="false">SUMIFS(tabela_registros[VALOR],tabela_registros[MÊS],$AE$1,tabela_registros[DIA],investirrendafixaconsolidadoset[[#Headers],[20]],tabela_registros[REGISTRO],DADOS!$N$5,tabela_registros[TIPO],DADOS!$AB$3,tabela_registros[CATEGORIA],investirrendafixaconsolidadoset[[#This Row],[ATUAL]])</f>
        <v>0</v>
      </c>
      <c r="Y118" s="119" t="n">
        <f aca="false">SUMIFS(tabela_registros[VALOR],tabela_registros[MÊS],$AE$1,tabela_registros[DIA],investirrendafixaconsolidadoset[[#Headers],[21]],tabela_registros[REGISTRO],DADOS!$N$5,tabela_registros[TIPO],DADOS!$AB$3,tabela_registros[CATEGORIA],investirrendafixaconsolidadoset[[#This Row],[ATUAL]])</f>
        <v>0</v>
      </c>
      <c r="Z118" s="119" t="n">
        <f aca="false">SUMIFS(tabela_registros[VALOR],tabela_registros[MÊS],$AE$1,tabela_registros[DIA],investirrendafixaconsolidadoset[[#Headers],[22]],tabela_registros[REGISTRO],DADOS!$N$5,tabela_registros[TIPO],DADOS!$AB$3,tabela_registros[CATEGORIA],investirrendafixaconsolidadoset[[#This Row],[ATUAL]])</f>
        <v>0</v>
      </c>
      <c r="AA118" s="119" t="n">
        <f aca="false">SUMIFS(tabela_registros[VALOR],tabela_registros[MÊS],$AE$1,tabela_registros[DIA],investirrendafixaconsolidadoset[[#Headers],[23]],tabela_registros[REGISTRO],DADOS!$N$5,tabela_registros[TIPO],DADOS!$AB$3,tabela_registros[CATEGORIA],investirrendafixaconsolidadoset[[#This Row],[ATUAL]])</f>
        <v>0</v>
      </c>
      <c r="AB118" s="119" t="n">
        <f aca="false">SUMIFS(tabela_registros[VALOR],tabela_registros[MÊS],$AE$1,tabela_registros[DIA],investirrendafixaconsolidadoset[[#Headers],[24]],tabela_registros[REGISTRO],DADOS!$N$5,tabela_registros[TIPO],DADOS!$AB$3,tabela_registros[CATEGORIA],investirrendafixaconsolidadoset[[#This Row],[ATUAL]])</f>
        <v>0</v>
      </c>
      <c r="AC118" s="119" t="n">
        <f aca="false">SUMIFS(tabela_registros[VALOR],tabela_registros[MÊS],$AE$1,tabela_registros[DIA],investirrendafixaconsolidadoset[[#Headers],[25]],tabela_registros[REGISTRO],DADOS!$N$5,tabela_registros[TIPO],DADOS!$AB$3,tabela_registros[CATEGORIA],investirrendafixaconsolidadoset[[#This Row],[ATUAL]])</f>
        <v>0</v>
      </c>
      <c r="AD118" s="119" t="n">
        <f aca="false">SUMIFS(tabela_registros[VALOR],tabela_registros[MÊS],$AE$1,tabela_registros[DIA],investirrendafixaconsolidadoset[[#Headers],[26]],tabela_registros[REGISTRO],DADOS!$N$5,tabela_registros[TIPO],DADOS!$AB$3,tabela_registros[CATEGORIA],investirrendafixaconsolidadoset[[#This Row],[ATUAL]])</f>
        <v>0</v>
      </c>
      <c r="AE118" s="119" t="n">
        <f aca="false">SUMIFS(tabela_registros[VALOR],tabela_registros[MÊS],$AE$1,tabela_registros[DIA],investirrendafixaconsolidadoset[[#Headers],[27]],tabela_registros[REGISTRO],DADOS!$N$5,tabela_registros[TIPO],DADOS!$AB$3,tabela_registros[CATEGORIA],investirrendafixaconsolidadoset[[#This Row],[ATUAL]])</f>
        <v>0</v>
      </c>
      <c r="AF118" s="119" t="n">
        <f aca="false">SUMIFS(tabela_registros[VALOR],tabela_registros[MÊS],$AE$1,tabela_registros[DIA],investirrendafixaconsolidadoset[[#Headers],[28]],tabela_registros[REGISTRO],DADOS!$N$5,tabela_registros[TIPO],DADOS!$AB$3,tabela_registros[CATEGORIA],investirrendafixaconsolidadoset[[#This Row],[ATUAL]])</f>
        <v>0</v>
      </c>
      <c r="AG118" s="119" t="n">
        <f aca="false">SUMIFS(tabela_registros[VALOR],tabela_registros[MÊS],$AE$1,tabela_registros[DIA],investirrendafixaconsolidadoset[[#Headers],[29]],tabela_registros[REGISTRO],DADOS!$N$5,tabela_registros[TIPO],DADOS!$AB$3,tabela_registros[CATEGORIA],investirrendafixaconsolidadoset[[#This Row],[ATUAL]])</f>
        <v>0</v>
      </c>
      <c r="AH118" s="119" t="n">
        <f aca="false">SUMIFS(tabela_registros[VALOR],tabela_registros[MÊS],$AE$1,tabela_registros[DIA],investirrendafixaconsolidadoset[[#Headers],[30]],tabela_registros[REGISTRO],DADOS!$N$5,tabela_registros[TIPO],DADOS!$AB$3,tabela_registros[CATEGORIA],investirrendafixaconsolidadoset[[#This Row],[ATUAL]])</f>
        <v>0</v>
      </c>
      <c r="AI118" s="217" t="n">
        <f aca="false">SUMIFS(tabela_registros[VALOR],tabela_registros[MÊS],$AE$1,tabela_registros[DIA],investirrendafixaconsolidadoset[[#Headers],[31]],tabela_registros[REGISTRO],DADOS!$N$5,tabela_registros[TIPO],DADOS!$AB$3,tabela_registros[CATEGORIA],investirrendafixaconsolidadoset[[#This Row],[ATUAL]])</f>
        <v>0</v>
      </c>
      <c r="AJ118" s="149" t="n">
        <f aca="false">SUM(investirrendafixaconsolidadoset[[#This Row],[1]:[31]])</f>
        <v>0</v>
      </c>
      <c r="AK118" s="165"/>
    </row>
    <row r="119" customFormat="false" ht="19.5" hidden="false" customHeight="true" outlineLevel="0" collapsed="false">
      <c r="B119" s="143"/>
      <c r="C119" s="144" t="str">
        <f aca="false">DADOS!$AD$9</f>
        <v>📝 LCA</v>
      </c>
      <c r="D119" s="145" t="str">
        <f aca="false">IF(investirrendafixaconsolidadoset[[#This Row],[TOTAL (R$)]]=0,"",IF(OR(investirrendafixaconsolidadoset[[#This Row],[TOTAL (R$)]]=LARGE($AJ$113:$AJ$122,1),investirrendafixaconsolidadoset[[#This Row],[TOTAL (R$)]]=LARGE($AJ$113:$AJ$122,2)),DADOS!$I$10,""))</f>
        <v/>
      </c>
      <c r="E119" s="148" t="n">
        <f aca="false">SUMIFS(tabela_registros[VALOR],tabela_registros[MÊS],$AE$1,tabela_registros[DIA],investirrendafixaconsolidadoset[[#Headers],[1]],tabela_registros[REGISTRO],DADOS!$N$5,tabela_registros[TIPO],DADOS!$AB$3,tabela_registros[CATEGORIA],investirrendafixaconsolidadoset[[#This Row],[ATUAL]])</f>
        <v>0</v>
      </c>
      <c r="F119" s="119" t="n">
        <f aca="false">SUMIFS(tabela_registros[VALOR],tabela_registros[MÊS],$AE$1,tabela_registros[DIA],investirrendafixaconsolidadoset[[#Headers],[2]],tabela_registros[REGISTRO],DADOS!$N$5,tabela_registros[TIPO],DADOS!$AB$3,tabela_registros[CATEGORIA],investirrendafixaconsolidadoset[[#This Row],[ATUAL]])</f>
        <v>0</v>
      </c>
      <c r="G119" s="119" t="n">
        <f aca="false">SUMIFS(tabela_registros[VALOR],tabela_registros[MÊS],$AE$1,tabela_registros[DIA],investirrendafixaconsolidadoset[[#Headers],[3]],tabela_registros[REGISTRO],DADOS!$N$5,tabela_registros[TIPO],DADOS!$AB$3,tabela_registros[CATEGORIA],investirrendafixaconsolidadoset[[#This Row],[ATUAL]])</f>
        <v>0</v>
      </c>
      <c r="H119" s="119" t="n">
        <f aca="false">SUMIFS(tabela_registros[VALOR],tabela_registros[MÊS],$AE$1,tabela_registros[DIA],investirrendafixaconsolidadoset[[#Headers],[4]],tabela_registros[REGISTRO],DADOS!$N$5,tabela_registros[TIPO],DADOS!$AB$3,tabela_registros[CATEGORIA],investirrendafixaconsolidadoset[[#This Row],[ATUAL]])</f>
        <v>0</v>
      </c>
      <c r="I119" s="119" t="n">
        <f aca="false">SUMIFS(tabela_registros[VALOR],tabela_registros[MÊS],$AE$1,tabela_registros[DIA],investirrendafixaconsolidadoset[[#Headers],[5]],tabela_registros[REGISTRO],DADOS!$N$5,tabela_registros[TIPO],DADOS!$AB$3,tabela_registros[CATEGORIA],investirrendafixaconsolidadoset[[#This Row],[ATUAL]])</f>
        <v>0</v>
      </c>
      <c r="J119" s="119" t="n">
        <f aca="false">SUMIFS(tabela_registros[VALOR],tabela_registros[MÊS],$AE$1,tabela_registros[DIA],investirrendafixaconsolidadoset[[#Headers],[6]],tabela_registros[REGISTRO],DADOS!$N$5,tabela_registros[TIPO],DADOS!$AB$3,tabela_registros[CATEGORIA],investirrendafixaconsolidadoset[[#This Row],[ATUAL]])</f>
        <v>0</v>
      </c>
      <c r="K119" s="119" t="n">
        <f aca="false">SUMIFS(tabela_registros[VALOR],tabela_registros[MÊS],$AE$1,tabela_registros[DIA],investirrendafixaconsolidadoset[[#Headers],[7]],tabela_registros[REGISTRO],DADOS!$N$5,tabela_registros[TIPO],DADOS!$AB$3,tabela_registros[CATEGORIA],investirrendafixaconsolidadoset[[#This Row],[ATUAL]])</f>
        <v>0</v>
      </c>
      <c r="L119" s="119" t="n">
        <f aca="false">SUMIFS(tabela_registros[VALOR],tabela_registros[MÊS],$AE$1,tabela_registros[DIA],investirrendafixaconsolidadoset[[#Headers],[8]],tabela_registros[REGISTRO],DADOS!$N$5,tabela_registros[TIPO],DADOS!$AB$3,tabela_registros[CATEGORIA],investirrendafixaconsolidadoset[[#This Row],[ATUAL]])</f>
        <v>0</v>
      </c>
      <c r="M119" s="119" t="n">
        <f aca="false">SUMIFS(tabela_registros[VALOR],tabela_registros[MÊS],$AE$1,tabela_registros[DIA],investirrendafixaconsolidadoset[[#Headers],[9]],tabela_registros[REGISTRO],DADOS!$N$5,tabela_registros[TIPO],DADOS!$AB$3,tabela_registros[CATEGORIA],investirrendafixaconsolidadoset[[#This Row],[ATUAL]])</f>
        <v>0</v>
      </c>
      <c r="N119" s="119" t="n">
        <f aca="false">SUMIFS(tabela_registros[VALOR],tabela_registros[MÊS],$AE$1,tabela_registros[DIA],investirrendafixaconsolidadoset[[#Headers],[10]],tabela_registros[REGISTRO],DADOS!$N$5,tabela_registros[TIPO],DADOS!$AB$3,tabela_registros[CATEGORIA],investirrendafixaconsolidadoset[[#This Row],[ATUAL]])</f>
        <v>0</v>
      </c>
      <c r="O119" s="119" t="n">
        <f aca="false">SUMIFS(tabela_registros[VALOR],tabela_registros[MÊS],$AE$1,tabela_registros[DIA],investirrendafixaconsolidadoset[[#Headers],[11]],tabela_registros[REGISTRO],DADOS!$N$5,tabela_registros[TIPO],DADOS!$AB$3,tabela_registros[CATEGORIA],investirrendafixaconsolidadoset[[#This Row],[ATUAL]])</f>
        <v>0</v>
      </c>
      <c r="P119" s="119" t="n">
        <f aca="false">SUMIFS(tabela_registros[VALOR],tabela_registros[MÊS],$AE$1,tabela_registros[DIA],investirrendafixaconsolidadoset[[#Headers],[12]],tabela_registros[REGISTRO],DADOS!$N$5,tabela_registros[TIPO],DADOS!$AB$3,tabela_registros[CATEGORIA],investirrendafixaconsolidadoset[[#This Row],[ATUAL]])</f>
        <v>0</v>
      </c>
      <c r="Q119" s="119" t="n">
        <f aca="false">SUMIFS(tabela_registros[VALOR],tabela_registros[MÊS],$AE$1,tabela_registros[DIA],investirrendafixaconsolidadoset[[#Headers],[13]],tabela_registros[REGISTRO],DADOS!$N$5,tabela_registros[TIPO],DADOS!$AB$3,tabela_registros[CATEGORIA],investirrendafixaconsolidadoset[[#This Row],[ATUAL]])</f>
        <v>0</v>
      </c>
      <c r="R119" s="119" t="n">
        <f aca="false">SUMIFS(tabela_registros[VALOR],tabela_registros[MÊS],$AE$1,tabela_registros[DIA],investirrendafixaconsolidadoset[[#Headers],[14]],tabela_registros[REGISTRO],DADOS!$N$5,tabela_registros[TIPO],DADOS!$AB$3,tabela_registros[CATEGORIA],investirrendafixaconsolidadoset[[#This Row],[ATUAL]])</f>
        <v>0</v>
      </c>
      <c r="S119" s="119" t="n">
        <f aca="false">SUMIFS(tabela_registros[VALOR],tabela_registros[MÊS],$AE$1,tabela_registros[DIA],investirrendafixaconsolidadoset[[#Headers],[15]],tabela_registros[REGISTRO],DADOS!$N$5,tabela_registros[TIPO],DADOS!$AB$3,tabela_registros[CATEGORIA],investirrendafixaconsolidadoset[[#This Row],[ATUAL]])</f>
        <v>0</v>
      </c>
      <c r="T119" s="119" t="n">
        <f aca="false">SUMIFS(tabela_registros[VALOR],tabela_registros[MÊS],$AE$1,tabela_registros[DIA],investirrendafixaconsolidadoset[[#Headers],[16]],tabela_registros[REGISTRO],DADOS!$N$5,tabela_registros[TIPO],DADOS!$AB$3,tabela_registros[CATEGORIA],investirrendafixaconsolidadoset[[#This Row],[ATUAL]])</f>
        <v>0</v>
      </c>
      <c r="U119" s="119" t="n">
        <f aca="false">SUMIFS(tabela_registros[VALOR],tabela_registros[MÊS],$AE$1,tabela_registros[DIA],investirrendafixaconsolidadoset[[#Headers],[17]],tabela_registros[REGISTRO],DADOS!$N$5,tabela_registros[TIPO],DADOS!$AB$3,tabela_registros[CATEGORIA],investirrendafixaconsolidadoset[[#This Row],[ATUAL]])</f>
        <v>0</v>
      </c>
      <c r="V119" s="119" t="n">
        <f aca="false">SUMIFS(tabela_registros[VALOR],tabela_registros[MÊS],$AE$1,tabela_registros[DIA],investirrendafixaconsolidadoset[[#Headers],[18]],tabela_registros[REGISTRO],DADOS!$N$5,tabela_registros[TIPO],DADOS!$AB$3,tabela_registros[CATEGORIA],investirrendafixaconsolidadoset[[#This Row],[ATUAL]])</f>
        <v>0</v>
      </c>
      <c r="W119" s="119" t="n">
        <f aca="false">SUMIFS(tabela_registros[VALOR],tabela_registros[MÊS],$AE$1,tabela_registros[DIA],investirrendafixaconsolidadoset[[#Headers],[19]],tabela_registros[REGISTRO],DADOS!$N$5,tabela_registros[TIPO],DADOS!$AB$3,tabela_registros[CATEGORIA],investirrendafixaconsolidadoset[[#This Row],[ATUAL]])</f>
        <v>0</v>
      </c>
      <c r="X119" s="119" t="n">
        <f aca="false">SUMIFS(tabela_registros[VALOR],tabela_registros[MÊS],$AE$1,tabela_registros[DIA],investirrendafixaconsolidadoset[[#Headers],[20]],tabela_registros[REGISTRO],DADOS!$N$5,tabela_registros[TIPO],DADOS!$AB$3,tabela_registros[CATEGORIA],investirrendafixaconsolidadoset[[#This Row],[ATUAL]])</f>
        <v>0</v>
      </c>
      <c r="Y119" s="119" t="n">
        <f aca="false">SUMIFS(tabela_registros[VALOR],tabela_registros[MÊS],$AE$1,tabela_registros[DIA],investirrendafixaconsolidadoset[[#Headers],[21]],tabela_registros[REGISTRO],DADOS!$N$5,tabela_registros[TIPO],DADOS!$AB$3,tabela_registros[CATEGORIA],investirrendafixaconsolidadoset[[#This Row],[ATUAL]])</f>
        <v>0</v>
      </c>
      <c r="Z119" s="119" t="n">
        <f aca="false">SUMIFS(tabela_registros[VALOR],tabela_registros[MÊS],$AE$1,tabela_registros[DIA],investirrendafixaconsolidadoset[[#Headers],[22]],tabela_registros[REGISTRO],DADOS!$N$5,tabela_registros[TIPO],DADOS!$AB$3,tabela_registros[CATEGORIA],investirrendafixaconsolidadoset[[#This Row],[ATUAL]])</f>
        <v>0</v>
      </c>
      <c r="AA119" s="119" t="n">
        <f aca="false">SUMIFS(tabela_registros[VALOR],tabela_registros[MÊS],$AE$1,tabela_registros[DIA],investirrendafixaconsolidadoset[[#Headers],[23]],tabela_registros[REGISTRO],DADOS!$N$5,tabela_registros[TIPO],DADOS!$AB$3,tabela_registros[CATEGORIA],investirrendafixaconsolidadoset[[#This Row],[ATUAL]])</f>
        <v>0</v>
      </c>
      <c r="AB119" s="119" t="n">
        <f aca="false">SUMIFS(tabela_registros[VALOR],tabela_registros[MÊS],$AE$1,tabela_registros[DIA],investirrendafixaconsolidadoset[[#Headers],[24]],tabela_registros[REGISTRO],DADOS!$N$5,tabela_registros[TIPO],DADOS!$AB$3,tabela_registros[CATEGORIA],investirrendafixaconsolidadoset[[#This Row],[ATUAL]])</f>
        <v>0</v>
      </c>
      <c r="AC119" s="119" t="n">
        <f aca="false">SUMIFS(tabela_registros[VALOR],tabela_registros[MÊS],$AE$1,tabela_registros[DIA],investirrendafixaconsolidadoset[[#Headers],[25]],tabela_registros[REGISTRO],DADOS!$N$5,tabela_registros[TIPO],DADOS!$AB$3,tabela_registros[CATEGORIA],investirrendafixaconsolidadoset[[#This Row],[ATUAL]])</f>
        <v>0</v>
      </c>
      <c r="AD119" s="119" t="n">
        <f aca="false">SUMIFS(tabela_registros[VALOR],tabela_registros[MÊS],$AE$1,tabela_registros[DIA],investirrendafixaconsolidadoset[[#Headers],[26]],tabela_registros[REGISTRO],DADOS!$N$5,tabela_registros[TIPO],DADOS!$AB$3,tabela_registros[CATEGORIA],investirrendafixaconsolidadoset[[#This Row],[ATUAL]])</f>
        <v>0</v>
      </c>
      <c r="AE119" s="119" t="n">
        <f aca="false">SUMIFS(tabela_registros[VALOR],tabela_registros[MÊS],$AE$1,tabela_registros[DIA],investirrendafixaconsolidadoset[[#Headers],[27]],tabela_registros[REGISTRO],DADOS!$N$5,tabela_registros[TIPO],DADOS!$AB$3,tabela_registros[CATEGORIA],investirrendafixaconsolidadoset[[#This Row],[ATUAL]])</f>
        <v>0</v>
      </c>
      <c r="AF119" s="119" t="n">
        <f aca="false">SUMIFS(tabela_registros[VALOR],tabela_registros[MÊS],$AE$1,tabela_registros[DIA],investirrendafixaconsolidadoset[[#Headers],[28]],tabela_registros[REGISTRO],DADOS!$N$5,tabela_registros[TIPO],DADOS!$AB$3,tabela_registros[CATEGORIA],investirrendafixaconsolidadoset[[#This Row],[ATUAL]])</f>
        <v>0</v>
      </c>
      <c r="AG119" s="119" t="n">
        <f aca="false">SUMIFS(tabela_registros[VALOR],tabela_registros[MÊS],$AE$1,tabela_registros[DIA],investirrendafixaconsolidadoset[[#Headers],[29]],tabela_registros[REGISTRO],DADOS!$N$5,tabela_registros[TIPO],DADOS!$AB$3,tabela_registros[CATEGORIA],investirrendafixaconsolidadoset[[#This Row],[ATUAL]])</f>
        <v>0</v>
      </c>
      <c r="AH119" s="119" t="n">
        <f aca="false">SUMIFS(tabela_registros[VALOR],tabela_registros[MÊS],$AE$1,tabela_registros[DIA],investirrendafixaconsolidadoset[[#Headers],[30]],tabela_registros[REGISTRO],DADOS!$N$5,tabela_registros[TIPO],DADOS!$AB$3,tabela_registros[CATEGORIA],investirrendafixaconsolidadoset[[#This Row],[ATUAL]])</f>
        <v>0</v>
      </c>
      <c r="AI119" s="217" t="n">
        <f aca="false">SUMIFS(tabela_registros[VALOR],tabela_registros[MÊS],$AE$1,tabela_registros[DIA],investirrendafixaconsolidadoset[[#Headers],[31]],tabela_registros[REGISTRO],DADOS!$N$5,tabela_registros[TIPO],DADOS!$AB$3,tabela_registros[CATEGORIA],investirrendafixaconsolidadoset[[#This Row],[ATUAL]])</f>
        <v>0</v>
      </c>
      <c r="AJ119" s="149" t="n">
        <f aca="false">SUM(investirrendafixaconsolidadoset[[#This Row],[1]:[31]])</f>
        <v>0</v>
      </c>
      <c r="AK119" s="165"/>
    </row>
    <row r="120" customFormat="false" ht="19.5" hidden="false" customHeight="true" outlineLevel="0" collapsed="false">
      <c r="B120" s="143"/>
      <c r="C120" s="144" t="str">
        <f aca="false">DADOS!$AD$10</f>
        <v>📝 LCI</v>
      </c>
      <c r="D120" s="145" t="str">
        <f aca="false">IF(investirrendafixaconsolidadoset[[#This Row],[TOTAL (R$)]]=0,"",IF(OR(investirrendafixaconsolidadoset[[#This Row],[TOTAL (R$)]]=LARGE($AJ$113:$AJ$122,1),investirrendafixaconsolidadoset[[#This Row],[TOTAL (R$)]]=LARGE($AJ$113:$AJ$122,2)),DADOS!$I$10,""))</f>
        <v/>
      </c>
      <c r="E120" s="148" t="n">
        <f aca="false">SUMIFS(tabela_registros[VALOR],tabela_registros[MÊS],$AE$1,tabela_registros[DIA],investirrendafixaconsolidadoset[[#Headers],[1]],tabela_registros[REGISTRO],DADOS!$N$5,tabela_registros[TIPO],DADOS!$AB$3,tabela_registros[CATEGORIA],investirrendafixaconsolidadoset[[#This Row],[ATUAL]])</f>
        <v>0</v>
      </c>
      <c r="F120" s="119" t="n">
        <f aca="false">SUMIFS(tabela_registros[VALOR],tabela_registros[MÊS],$AE$1,tabela_registros[DIA],investirrendafixaconsolidadoset[[#Headers],[2]],tabela_registros[REGISTRO],DADOS!$N$5,tabela_registros[TIPO],DADOS!$AB$3,tabela_registros[CATEGORIA],investirrendafixaconsolidadoset[[#This Row],[ATUAL]])</f>
        <v>0</v>
      </c>
      <c r="G120" s="119" t="n">
        <f aca="false">SUMIFS(tabela_registros[VALOR],tabela_registros[MÊS],$AE$1,tabela_registros[DIA],investirrendafixaconsolidadoset[[#Headers],[3]],tabela_registros[REGISTRO],DADOS!$N$5,tabela_registros[TIPO],DADOS!$AB$3,tabela_registros[CATEGORIA],investirrendafixaconsolidadoset[[#This Row],[ATUAL]])</f>
        <v>0</v>
      </c>
      <c r="H120" s="119" t="n">
        <f aca="false">SUMIFS(tabela_registros[VALOR],tabela_registros[MÊS],$AE$1,tabela_registros[DIA],investirrendafixaconsolidadoset[[#Headers],[4]],tabela_registros[REGISTRO],DADOS!$N$5,tabela_registros[TIPO],DADOS!$AB$3,tabela_registros[CATEGORIA],investirrendafixaconsolidadoset[[#This Row],[ATUAL]])</f>
        <v>0</v>
      </c>
      <c r="I120" s="119" t="n">
        <f aca="false">SUMIFS(tabela_registros[VALOR],tabela_registros[MÊS],$AE$1,tabela_registros[DIA],investirrendafixaconsolidadoset[[#Headers],[5]],tabela_registros[REGISTRO],DADOS!$N$5,tabela_registros[TIPO],DADOS!$AB$3,tabela_registros[CATEGORIA],investirrendafixaconsolidadoset[[#This Row],[ATUAL]])</f>
        <v>0</v>
      </c>
      <c r="J120" s="119" t="n">
        <f aca="false">SUMIFS(tabela_registros[VALOR],tabela_registros[MÊS],$AE$1,tabela_registros[DIA],investirrendafixaconsolidadoset[[#Headers],[6]],tabela_registros[REGISTRO],DADOS!$N$5,tabela_registros[TIPO],DADOS!$AB$3,tabela_registros[CATEGORIA],investirrendafixaconsolidadoset[[#This Row],[ATUAL]])</f>
        <v>0</v>
      </c>
      <c r="K120" s="119" t="n">
        <f aca="false">SUMIFS(tabela_registros[VALOR],tabela_registros[MÊS],$AE$1,tabela_registros[DIA],investirrendafixaconsolidadoset[[#Headers],[7]],tabela_registros[REGISTRO],DADOS!$N$5,tabela_registros[TIPO],DADOS!$AB$3,tabela_registros[CATEGORIA],investirrendafixaconsolidadoset[[#This Row],[ATUAL]])</f>
        <v>0</v>
      </c>
      <c r="L120" s="119" t="n">
        <f aca="false">SUMIFS(tabela_registros[VALOR],tabela_registros[MÊS],$AE$1,tabela_registros[DIA],investirrendafixaconsolidadoset[[#Headers],[8]],tabela_registros[REGISTRO],DADOS!$N$5,tabela_registros[TIPO],DADOS!$AB$3,tabela_registros[CATEGORIA],investirrendafixaconsolidadoset[[#This Row],[ATUAL]])</f>
        <v>0</v>
      </c>
      <c r="M120" s="119" t="n">
        <f aca="false">SUMIFS(tabela_registros[VALOR],tabela_registros[MÊS],$AE$1,tabela_registros[DIA],investirrendafixaconsolidadoset[[#Headers],[9]],tabela_registros[REGISTRO],DADOS!$N$5,tabela_registros[TIPO],DADOS!$AB$3,tabela_registros[CATEGORIA],investirrendafixaconsolidadoset[[#This Row],[ATUAL]])</f>
        <v>0</v>
      </c>
      <c r="N120" s="119" t="n">
        <f aca="false">SUMIFS(tabela_registros[VALOR],tabela_registros[MÊS],$AE$1,tabela_registros[DIA],investirrendafixaconsolidadoset[[#Headers],[10]],tabela_registros[REGISTRO],DADOS!$N$5,tabela_registros[TIPO],DADOS!$AB$3,tabela_registros[CATEGORIA],investirrendafixaconsolidadoset[[#This Row],[ATUAL]])</f>
        <v>0</v>
      </c>
      <c r="O120" s="119" t="n">
        <f aca="false">SUMIFS(tabela_registros[VALOR],tabela_registros[MÊS],$AE$1,tabela_registros[DIA],investirrendafixaconsolidadoset[[#Headers],[11]],tabela_registros[REGISTRO],DADOS!$N$5,tabela_registros[TIPO],DADOS!$AB$3,tabela_registros[CATEGORIA],investirrendafixaconsolidadoset[[#This Row],[ATUAL]])</f>
        <v>0</v>
      </c>
      <c r="P120" s="119" t="n">
        <f aca="false">SUMIFS(tabela_registros[VALOR],tabela_registros[MÊS],$AE$1,tabela_registros[DIA],investirrendafixaconsolidadoset[[#Headers],[12]],tabela_registros[REGISTRO],DADOS!$N$5,tabela_registros[TIPO],DADOS!$AB$3,tabela_registros[CATEGORIA],investirrendafixaconsolidadoset[[#This Row],[ATUAL]])</f>
        <v>0</v>
      </c>
      <c r="Q120" s="119" t="n">
        <f aca="false">SUMIFS(tabela_registros[VALOR],tabela_registros[MÊS],$AE$1,tabela_registros[DIA],investirrendafixaconsolidadoset[[#Headers],[13]],tabela_registros[REGISTRO],DADOS!$N$5,tabela_registros[TIPO],DADOS!$AB$3,tabela_registros[CATEGORIA],investirrendafixaconsolidadoset[[#This Row],[ATUAL]])</f>
        <v>0</v>
      </c>
      <c r="R120" s="119" t="n">
        <f aca="false">SUMIFS(tabela_registros[VALOR],tabela_registros[MÊS],$AE$1,tabela_registros[DIA],investirrendafixaconsolidadoset[[#Headers],[14]],tabela_registros[REGISTRO],DADOS!$N$5,tabela_registros[TIPO],DADOS!$AB$3,tabela_registros[CATEGORIA],investirrendafixaconsolidadoset[[#This Row],[ATUAL]])</f>
        <v>0</v>
      </c>
      <c r="S120" s="119" t="n">
        <f aca="false">SUMIFS(tabela_registros[VALOR],tabela_registros[MÊS],$AE$1,tabela_registros[DIA],investirrendafixaconsolidadoset[[#Headers],[15]],tabela_registros[REGISTRO],DADOS!$N$5,tabela_registros[TIPO],DADOS!$AB$3,tabela_registros[CATEGORIA],investirrendafixaconsolidadoset[[#This Row],[ATUAL]])</f>
        <v>0</v>
      </c>
      <c r="T120" s="119" t="n">
        <f aca="false">SUMIFS(tabela_registros[VALOR],tabela_registros[MÊS],$AE$1,tabela_registros[DIA],investirrendafixaconsolidadoset[[#Headers],[16]],tabela_registros[REGISTRO],DADOS!$N$5,tabela_registros[TIPO],DADOS!$AB$3,tabela_registros[CATEGORIA],investirrendafixaconsolidadoset[[#This Row],[ATUAL]])</f>
        <v>0</v>
      </c>
      <c r="U120" s="119" t="n">
        <f aca="false">SUMIFS(tabela_registros[VALOR],tabela_registros[MÊS],$AE$1,tabela_registros[DIA],investirrendafixaconsolidadoset[[#Headers],[17]],tabela_registros[REGISTRO],DADOS!$N$5,tabela_registros[TIPO],DADOS!$AB$3,tabela_registros[CATEGORIA],investirrendafixaconsolidadoset[[#This Row],[ATUAL]])</f>
        <v>0</v>
      </c>
      <c r="V120" s="119" t="n">
        <f aca="false">SUMIFS(tabela_registros[VALOR],tabela_registros[MÊS],$AE$1,tabela_registros[DIA],investirrendafixaconsolidadoset[[#Headers],[18]],tabela_registros[REGISTRO],DADOS!$N$5,tabela_registros[TIPO],DADOS!$AB$3,tabela_registros[CATEGORIA],investirrendafixaconsolidadoset[[#This Row],[ATUAL]])</f>
        <v>0</v>
      </c>
      <c r="W120" s="119" t="n">
        <f aca="false">SUMIFS(tabela_registros[VALOR],tabela_registros[MÊS],$AE$1,tabela_registros[DIA],investirrendafixaconsolidadoset[[#Headers],[19]],tabela_registros[REGISTRO],DADOS!$N$5,tabela_registros[TIPO],DADOS!$AB$3,tabela_registros[CATEGORIA],investirrendafixaconsolidadoset[[#This Row],[ATUAL]])</f>
        <v>0</v>
      </c>
      <c r="X120" s="119" t="n">
        <f aca="false">SUMIFS(tabela_registros[VALOR],tabela_registros[MÊS],$AE$1,tabela_registros[DIA],investirrendafixaconsolidadoset[[#Headers],[20]],tabela_registros[REGISTRO],DADOS!$N$5,tabela_registros[TIPO],DADOS!$AB$3,tabela_registros[CATEGORIA],investirrendafixaconsolidadoset[[#This Row],[ATUAL]])</f>
        <v>0</v>
      </c>
      <c r="Y120" s="119" t="n">
        <f aca="false">SUMIFS(tabela_registros[VALOR],tabela_registros[MÊS],$AE$1,tabela_registros[DIA],investirrendafixaconsolidadoset[[#Headers],[21]],tabela_registros[REGISTRO],DADOS!$N$5,tabela_registros[TIPO],DADOS!$AB$3,tabela_registros[CATEGORIA],investirrendafixaconsolidadoset[[#This Row],[ATUAL]])</f>
        <v>0</v>
      </c>
      <c r="Z120" s="119" t="n">
        <f aca="false">SUMIFS(tabela_registros[VALOR],tabela_registros[MÊS],$AE$1,tabela_registros[DIA],investirrendafixaconsolidadoset[[#Headers],[22]],tabela_registros[REGISTRO],DADOS!$N$5,tabela_registros[TIPO],DADOS!$AB$3,tabela_registros[CATEGORIA],investirrendafixaconsolidadoset[[#This Row],[ATUAL]])</f>
        <v>0</v>
      </c>
      <c r="AA120" s="119" t="n">
        <f aca="false">SUMIFS(tabela_registros[VALOR],tabela_registros[MÊS],$AE$1,tabela_registros[DIA],investirrendafixaconsolidadoset[[#Headers],[23]],tabela_registros[REGISTRO],DADOS!$N$5,tabela_registros[TIPO],DADOS!$AB$3,tabela_registros[CATEGORIA],investirrendafixaconsolidadoset[[#This Row],[ATUAL]])</f>
        <v>0</v>
      </c>
      <c r="AB120" s="119" t="n">
        <f aca="false">SUMIFS(tabela_registros[VALOR],tabela_registros[MÊS],$AE$1,tabela_registros[DIA],investirrendafixaconsolidadoset[[#Headers],[24]],tabela_registros[REGISTRO],DADOS!$N$5,tabela_registros[TIPO],DADOS!$AB$3,tabela_registros[CATEGORIA],investirrendafixaconsolidadoset[[#This Row],[ATUAL]])</f>
        <v>0</v>
      </c>
      <c r="AC120" s="119" t="n">
        <f aca="false">SUMIFS(tabela_registros[VALOR],tabela_registros[MÊS],$AE$1,tabela_registros[DIA],investirrendafixaconsolidadoset[[#Headers],[25]],tabela_registros[REGISTRO],DADOS!$N$5,tabela_registros[TIPO],DADOS!$AB$3,tabela_registros[CATEGORIA],investirrendafixaconsolidadoset[[#This Row],[ATUAL]])</f>
        <v>0</v>
      </c>
      <c r="AD120" s="119" t="n">
        <f aca="false">SUMIFS(tabela_registros[VALOR],tabela_registros[MÊS],$AE$1,tabela_registros[DIA],investirrendafixaconsolidadoset[[#Headers],[26]],tabela_registros[REGISTRO],DADOS!$N$5,tabela_registros[TIPO],DADOS!$AB$3,tabela_registros[CATEGORIA],investirrendafixaconsolidadoset[[#This Row],[ATUAL]])</f>
        <v>0</v>
      </c>
      <c r="AE120" s="119" t="n">
        <f aca="false">SUMIFS(tabela_registros[VALOR],tabela_registros[MÊS],$AE$1,tabela_registros[DIA],investirrendafixaconsolidadoset[[#Headers],[27]],tabela_registros[REGISTRO],DADOS!$N$5,tabela_registros[TIPO],DADOS!$AB$3,tabela_registros[CATEGORIA],investirrendafixaconsolidadoset[[#This Row],[ATUAL]])</f>
        <v>0</v>
      </c>
      <c r="AF120" s="119" t="n">
        <f aca="false">SUMIFS(tabela_registros[VALOR],tabela_registros[MÊS],$AE$1,tabela_registros[DIA],investirrendafixaconsolidadoset[[#Headers],[28]],tabela_registros[REGISTRO],DADOS!$N$5,tabela_registros[TIPO],DADOS!$AB$3,tabela_registros[CATEGORIA],investirrendafixaconsolidadoset[[#This Row],[ATUAL]])</f>
        <v>0</v>
      </c>
      <c r="AG120" s="119" t="n">
        <f aca="false">SUMIFS(tabela_registros[VALOR],tabela_registros[MÊS],$AE$1,tabela_registros[DIA],investirrendafixaconsolidadoset[[#Headers],[29]],tabela_registros[REGISTRO],DADOS!$N$5,tabela_registros[TIPO],DADOS!$AB$3,tabela_registros[CATEGORIA],investirrendafixaconsolidadoset[[#This Row],[ATUAL]])</f>
        <v>0</v>
      </c>
      <c r="AH120" s="119" t="n">
        <f aca="false">SUMIFS(tabela_registros[VALOR],tabela_registros[MÊS],$AE$1,tabela_registros[DIA],investirrendafixaconsolidadoset[[#Headers],[30]],tabela_registros[REGISTRO],DADOS!$N$5,tabela_registros[TIPO],DADOS!$AB$3,tabela_registros[CATEGORIA],investirrendafixaconsolidadoset[[#This Row],[ATUAL]])</f>
        <v>0</v>
      </c>
      <c r="AI120" s="217" t="n">
        <f aca="false">SUMIFS(tabela_registros[VALOR],tabela_registros[MÊS],$AE$1,tabela_registros[DIA],investirrendafixaconsolidadoset[[#Headers],[31]],tabela_registros[REGISTRO],DADOS!$N$5,tabela_registros[TIPO],DADOS!$AB$3,tabela_registros[CATEGORIA],investirrendafixaconsolidadoset[[#This Row],[ATUAL]])</f>
        <v>0</v>
      </c>
      <c r="AJ120" s="149" t="n">
        <f aca="false">SUM(investirrendafixaconsolidadoset[[#This Row],[1]:[31]])</f>
        <v>0</v>
      </c>
      <c r="AK120" s="165"/>
    </row>
    <row r="121" customFormat="false" ht="19.5" hidden="false" customHeight="true" outlineLevel="0" collapsed="false">
      <c r="B121" s="143"/>
      <c r="C121" s="144" t="str">
        <f aca="false">DADOS!$AD$11</f>
        <v>📝 TESOURO DIRETO</v>
      </c>
      <c r="D121" s="145" t="str">
        <f aca="false">IF(investirrendafixaconsolidadoset[[#This Row],[TOTAL (R$)]]=0,"",IF(OR(investirrendafixaconsolidadoset[[#This Row],[TOTAL (R$)]]=LARGE($AJ$113:$AJ$122,1),investirrendafixaconsolidadoset[[#This Row],[TOTAL (R$)]]=LARGE($AJ$113:$AJ$122,2)),DADOS!$I$10,""))</f>
        <v/>
      </c>
      <c r="E121" s="148" t="n">
        <f aca="false">SUMIFS(tabela_registros[VALOR],tabela_registros[MÊS],$AE$1,tabela_registros[DIA],investirrendafixaconsolidadoset[[#Headers],[1]],tabela_registros[REGISTRO],DADOS!$N$5,tabela_registros[TIPO],DADOS!$AB$3,tabela_registros[CATEGORIA],investirrendafixaconsolidadoset[[#This Row],[ATUAL]])</f>
        <v>0</v>
      </c>
      <c r="F121" s="119" t="n">
        <f aca="false">SUMIFS(tabela_registros[VALOR],tabela_registros[MÊS],$AE$1,tabela_registros[DIA],investirrendafixaconsolidadoset[[#Headers],[2]],tabela_registros[REGISTRO],DADOS!$N$5,tabela_registros[TIPO],DADOS!$AB$3,tabela_registros[CATEGORIA],investirrendafixaconsolidadoset[[#This Row],[ATUAL]])</f>
        <v>0</v>
      </c>
      <c r="G121" s="119" t="n">
        <f aca="false">SUMIFS(tabela_registros[VALOR],tabela_registros[MÊS],$AE$1,tabela_registros[DIA],investirrendafixaconsolidadoset[[#Headers],[3]],tabela_registros[REGISTRO],DADOS!$N$5,tabela_registros[TIPO],DADOS!$AB$3,tabela_registros[CATEGORIA],investirrendafixaconsolidadoset[[#This Row],[ATUAL]])</f>
        <v>0</v>
      </c>
      <c r="H121" s="119" t="n">
        <f aca="false">SUMIFS(tabela_registros[VALOR],tabela_registros[MÊS],$AE$1,tabela_registros[DIA],investirrendafixaconsolidadoset[[#Headers],[4]],tabela_registros[REGISTRO],DADOS!$N$5,tabela_registros[TIPO],DADOS!$AB$3,tabela_registros[CATEGORIA],investirrendafixaconsolidadoset[[#This Row],[ATUAL]])</f>
        <v>0</v>
      </c>
      <c r="I121" s="119" t="n">
        <f aca="false">SUMIFS(tabela_registros[VALOR],tabela_registros[MÊS],$AE$1,tabela_registros[DIA],investirrendafixaconsolidadoset[[#Headers],[5]],tabela_registros[REGISTRO],DADOS!$N$5,tabela_registros[TIPO],DADOS!$AB$3,tabela_registros[CATEGORIA],investirrendafixaconsolidadoset[[#This Row],[ATUAL]])</f>
        <v>0</v>
      </c>
      <c r="J121" s="119" t="n">
        <f aca="false">SUMIFS(tabela_registros[VALOR],tabela_registros[MÊS],$AE$1,tabela_registros[DIA],investirrendafixaconsolidadoset[[#Headers],[6]],tabela_registros[REGISTRO],DADOS!$N$5,tabela_registros[TIPO],DADOS!$AB$3,tabela_registros[CATEGORIA],investirrendafixaconsolidadoset[[#This Row],[ATUAL]])</f>
        <v>0</v>
      </c>
      <c r="K121" s="119" t="n">
        <f aca="false">SUMIFS(tabela_registros[VALOR],tabela_registros[MÊS],$AE$1,tabela_registros[DIA],investirrendafixaconsolidadoset[[#Headers],[7]],tabela_registros[REGISTRO],DADOS!$N$5,tabela_registros[TIPO],DADOS!$AB$3,tabela_registros[CATEGORIA],investirrendafixaconsolidadoset[[#This Row],[ATUAL]])</f>
        <v>0</v>
      </c>
      <c r="L121" s="119" t="n">
        <f aca="false">SUMIFS(tabela_registros[VALOR],tabela_registros[MÊS],$AE$1,tabela_registros[DIA],investirrendafixaconsolidadoset[[#Headers],[8]],tabela_registros[REGISTRO],DADOS!$N$5,tabela_registros[TIPO],DADOS!$AB$3,tabela_registros[CATEGORIA],investirrendafixaconsolidadoset[[#This Row],[ATUAL]])</f>
        <v>0</v>
      </c>
      <c r="M121" s="119" t="n">
        <f aca="false">SUMIFS(tabela_registros[VALOR],tabela_registros[MÊS],$AE$1,tabela_registros[DIA],investirrendafixaconsolidadoset[[#Headers],[9]],tabela_registros[REGISTRO],DADOS!$N$5,tabela_registros[TIPO],DADOS!$AB$3,tabela_registros[CATEGORIA],investirrendafixaconsolidadoset[[#This Row],[ATUAL]])</f>
        <v>0</v>
      </c>
      <c r="N121" s="119" t="n">
        <f aca="false">SUMIFS(tabela_registros[VALOR],tabela_registros[MÊS],$AE$1,tabela_registros[DIA],investirrendafixaconsolidadoset[[#Headers],[10]],tabela_registros[REGISTRO],DADOS!$N$5,tabela_registros[TIPO],DADOS!$AB$3,tabela_registros[CATEGORIA],investirrendafixaconsolidadoset[[#This Row],[ATUAL]])</f>
        <v>0</v>
      </c>
      <c r="O121" s="119" t="n">
        <f aca="false">SUMIFS(tabela_registros[VALOR],tabela_registros[MÊS],$AE$1,tabela_registros[DIA],investirrendafixaconsolidadoset[[#Headers],[11]],tabela_registros[REGISTRO],DADOS!$N$5,tabela_registros[TIPO],DADOS!$AB$3,tabela_registros[CATEGORIA],investirrendafixaconsolidadoset[[#This Row],[ATUAL]])</f>
        <v>0</v>
      </c>
      <c r="P121" s="119" t="n">
        <f aca="false">SUMIFS(tabela_registros[VALOR],tabela_registros[MÊS],$AE$1,tabela_registros[DIA],investirrendafixaconsolidadoset[[#Headers],[12]],tabela_registros[REGISTRO],DADOS!$N$5,tabela_registros[TIPO],DADOS!$AB$3,tabela_registros[CATEGORIA],investirrendafixaconsolidadoset[[#This Row],[ATUAL]])</f>
        <v>0</v>
      </c>
      <c r="Q121" s="119" t="n">
        <f aca="false">SUMIFS(tabela_registros[VALOR],tabela_registros[MÊS],$AE$1,tabela_registros[DIA],investirrendafixaconsolidadoset[[#Headers],[13]],tabela_registros[REGISTRO],DADOS!$N$5,tabela_registros[TIPO],DADOS!$AB$3,tabela_registros[CATEGORIA],investirrendafixaconsolidadoset[[#This Row],[ATUAL]])</f>
        <v>0</v>
      </c>
      <c r="R121" s="119" t="n">
        <f aca="false">SUMIFS(tabela_registros[VALOR],tabela_registros[MÊS],$AE$1,tabela_registros[DIA],investirrendafixaconsolidadoset[[#Headers],[14]],tabela_registros[REGISTRO],DADOS!$N$5,tabela_registros[TIPO],DADOS!$AB$3,tabela_registros[CATEGORIA],investirrendafixaconsolidadoset[[#This Row],[ATUAL]])</f>
        <v>0</v>
      </c>
      <c r="S121" s="119" t="n">
        <f aca="false">SUMIFS(tabela_registros[VALOR],tabela_registros[MÊS],$AE$1,tabela_registros[DIA],investirrendafixaconsolidadoset[[#Headers],[15]],tabela_registros[REGISTRO],DADOS!$N$5,tabela_registros[TIPO],DADOS!$AB$3,tabela_registros[CATEGORIA],investirrendafixaconsolidadoset[[#This Row],[ATUAL]])</f>
        <v>0</v>
      </c>
      <c r="T121" s="119" t="n">
        <f aca="false">SUMIFS(tabela_registros[VALOR],tabela_registros[MÊS],$AE$1,tabela_registros[DIA],investirrendafixaconsolidadoset[[#Headers],[16]],tabela_registros[REGISTRO],DADOS!$N$5,tabela_registros[TIPO],DADOS!$AB$3,tabela_registros[CATEGORIA],investirrendafixaconsolidadoset[[#This Row],[ATUAL]])</f>
        <v>0</v>
      </c>
      <c r="U121" s="119" t="n">
        <f aca="false">SUMIFS(tabela_registros[VALOR],tabela_registros[MÊS],$AE$1,tabela_registros[DIA],investirrendafixaconsolidadoset[[#Headers],[17]],tabela_registros[REGISTRO],DADOS!$N$5,tabela_registros[TIPO],DADOS!$AB$3,tabela_registros[CATEGORIA],investirrendafixaconsolidadoset[[#This Row],[ATUAL]])</f>
        <v>0</v>
      </c>
      <c r="V121" s="119" t="n">
        <f aca="false">SUMIFS(tabela_registros[VALOR],tabela_registros[MÊS],$AE$1,tabela_registros[DIA],investirrendafixaconsolidadoset[[#Headers],[18]],tabela_registros[REGISTRO],DADOS!$N$5,tabela_registros[TIPO],DADOS!$AB$3,tabela_registros[CATEGORIA],investirrendafixaconsolidadoset[[#This Row],[ATUAL]])</f>
        <v>0</v>
      </c>
      <c r="W121" s="119" t="n">
        <f aca="false">SUMIFS(tabela_registros[VALOR],tabela_registros[MÊS],$AE$1,tabela_registros[DIA],investirrendafixaconsolidadoset[[#Headers],[19]],tabela_registros[REGISTRO],DADOS!$N$5,tabela_registros[TIPO],DADOS!$AB$3,tabela_registros[CATEGORIA],investirrendafixaconsolidadoset[[#This Row],[ATUAL]])</f>
        <v>0</v>
      </c>
      <c r="X121" s="119" t="n">
        <f aca="false">SUMIFS(tabela_registros[VALOR],tabela_registros[MÊS],$AE$1,tabela_registros[DIA],investirrendafixaconsolidadoset[[#Headers],[20]],tabela_registros[REGISTRO],DADOS!$N$5,tabela_registros[TIPO],DADOS!$AB$3,tabela_registros[CATEGORIA],investirrendafixaconsolidadoset[[#This Row],[ATUAL]])</f>
        <v>0</v>
      </c>
      <c r="Y121" s="119" t="n">
        <f aca="false">SUMIFS(tabela_registros[VALOR],tabela_registros[MÊS],$AE$1,tabela_registros[DIA],investirrendafixaconsolidadoset[[#Headers],[21]],tabela_registros[REGISTRO],DADOS!$N$5,tabela_registros[TIPO],DADOS!$AB$3,tabela_registros[CATEGORIA],investirrendafixaconsolidadoset[[#This Row],[ATUAL]])</f>
        <v>0</v>
      </c>
      <c r="Z121" s="119" t="n">
        <f aca="false">SUMIFS(tabela_registros[VALOR],tabela_registros[MÊS],$AE$1,tabela_registros[DIA],investirrendafixaconsolidadoset[[#Headers],[22]],tabela_registros[REGISTRO],DADOS!$N$5,tabela_registros[TIPO],DADOS!$AB$3,tabela_registros[CATEGORIA],investirrendafixaconsolidadoset[[#This Row],[ATUAL]])</f>
        <v>0</v>
      </c>
      <c r="AA121" s="119" t="n">
        <f aca="false">SUMIFS(tabela_registros[VALOR],tabela_registros[MÊS],$AE$1,tabela_registros[DIA],investirrendafixaconsolidadoset[[#Headers],[23]],tabela_registros[REGISTRO],DADOS!$N$5,tabela_registros[TIPO],DADOS!$AB$3,tabela_registros[CATEGORIA],investirrendafixaconsolidadoset[[#This Row],[ATUAL]])</f>
        <v>0</v>
      </c>
      <c r="AB121" s="119" t="n">
        <f aca="false">SUMIFS(tabela_registros[VALOR],tabela_registros[MÊS],$AE$1,tabela_registros[DIA],investirrendafixaconsolidadoset[[#Headers],[24]],tabela_registros[REGISTRO],DADOS!$N$5,tabela_registros[TIPO],DADOS!$AB$3,tabela_registros[CATEGORIA],investirrendafixaconsolidadoset[[#This Row],[ATUAL]])</f>
        <v>0</v>
      </c>
      <c r="AC121" s="119" t="n">
        <f aca="false">SUMIFS(tabela_registros[VALOR],tabela_registros[MÊS],$AE$1,tabela_registros[DIA],investirrendafixaconsolidadoset[[#Headers],[25]],tabela_registros[REGISTRO],DADOS!$N$5,tabela_registros[TIPO],DADOS!$AB$3,tabela_registros[CATEGORIA],investirrendafixaconsolidadoset[[#This Row],[ATUAL]])</f>
        <v>0</v>
      </c>
      <c r="AD121" s="119" t="n">
        <f aca="false">SUMIFS(tabela_registros[VALOR],tabela_registros[MÊS],$AE$1,tabela_registros[DIA],investirrendafixaconsolidadoset[[#Headers],[26]],tabela_registros[REGISTRO],DADOS!$N$5,tabela_registros[TIPO],DADOS!$AB$3,tabela_registros[CATEGORIA],investirrendafixaconsolidadoset[[#This Row],[ATUAL]])</f>
        <v>0</v>
      </c>
      <c r="AE121" s="119" t="n">
        <f aca="false">SUMIFS(tabela_registros[VALOR],tabela_registros[MÊS],$AE$1,tabela_registros[DIA],investirrendafixaconsolidadoset[[#Headers],[27]],tabela_registros[REGISTRO],DADOS!$N$5,tabela_registros[TIPO],DADOS!$AB$3,tabela_registros[CATEGORIA],investirrendafixaconsolidadoset[[#This Row],[ATUAL]])</f>
        <v>0</v>
      </c>
      <c r="AF121" s="119" t="n">
        <f aca="false">SUMIFS(tabela_registros[VALOR],tabela_registros[MÊS],$AE$1,tabela_registros[DIA],investirrendafixaconsolidadoset[[#Headers],[28]],tabela_registros[REGISTRO],DADOS!$N$5,tabela_registros[TIPO],DADOS!$AB$3,tabela_registros[CATEGORIA],investirrendafixaconsolidadoset[[#This Row],[ATUAL]])</f>
        <v>0</v>
      </c>
      <c r="AG121" s="119" t="n">
        <f aca="false">SUMIFS(tabela_registros[VALOR],tabela_registros[MÊS],$AE$1,tabela_registros[DIA],investirrendafixaconsolidadoset[[#Headers],[29]],tabela_registros[REGISTRO],DADOS!$N$5,tabela_registros[TIPO],DADOS!$AB$3,tabela_registros[CATEGORIA],investirrendafixaconsolidadoset[[#This Row],[ATUAL]])</f>
        <v>0</v>
      </c>
      <c r="AH121" s="119" t="n">
        <f aca="false">SUMIFS(tabela_registros[VALOR],tabela_registros[MÊS],$AE$1,tabela_registros[DIA],investirrendafixaconsolidadoset[[#Headers],[30]],tabela_registros[REGISTRO],DADOS!$N$5,tabela_registros[TIPO],DADOS!$AB$3,tabela_registros[CATEGORIA],investirrendafixaconsolidadoset[[#This Row],[ATUAL]])</f>
        <v>0</v>
      </c>
      <c r="AI121" s="217" t="n">
        <f aca="false">SUMIFS(tabela_registros[VALOR],tabela_registros[MÊS],$AE$1,tabela_registros[DIA],investirrendafixaconsolidadoset[[#Headers],[31]],tabela_registros[REGISTRO],DADOS!$N$5,tabela_registros[TIPO],DADOS!$AB$3,tabela_registros[CATEGORIA],investirrendafixaconsolidadoset[[#This Row],[ATUAL]])</f>
        <v>0</v>
      </c>
      <c r="AJ121" s="149" t="n">
        <f aca="false">SUM(investirrendafixaconsolidadoset[[#This Row],[1]:[31]])</f>
        <v>0</v>
      </c>
      <c r="AK121" s="165"/>
    </row>
    <row r="122" customFormat="false" ht="19.5" hidden="false" customHeight="true" outlineLevel="0" collapsed="false">
      <c r="B122" s="143"/>
      <c r="C122" s="144" t="str">
        <f aca="false">DADOS!$AD$12</f>
        <v>📎 OUTROS</v>
      </c>
      <c r="D122" s="145" t="str">
        <f aca="false">IF(investirrendafixaconsolidadoset[[#This Row],[TOTAL (R$)]]=0,"",IF(OR(investirrendafixaconsolidadoset[[#This Row],[TOTAL (R$)]]=LARGE($AJ$113:$AJ$122,1),investirrendafixaconsolidadoset[[#This Row],[TOTAL (R$)]]=LARGE($AJ$113:$AJ$122,2)),DADOS!$I$10,""))</f>
        <v/>
      </c>
      <c r="E122" s="148" t="n">
        <f aca="false">SUMIFS(tabela_registros[VALOR],tabela_registros[MÊS],$AE$1,tabela_registros[DIA],investirrendafixaconsolidadoset[[#Headers],[1]],tabela_registros[REGISTRO],DADOS!$N$5,tabela_registros[TIPO],DADOS!$AB$3,tabela_registros[CATEGORIA],investirrendafixaconsolidadoset[[#This Row],[ATUAL]])</f>
        <v>0</v>
      </c>
      <c r="F122" s="119" t="n">
        <f aca="false">SUMIFS(tabela_registros[VALOR],tabela_registros[MÊS],$AE$1,tabela_registros[DIA],investirrendafixaconsolidadoset[[#Headers],[2]],tabela_registros[REGISTRO],DADOS!$N$5,tabela_registros[TIPO],DADOS!$AB$3,tabela_registros[CATEGORIA],investirrendafixaconsolidadoset[[#This Row],[ATUAL]])</f>
        <v>0</v>
      </c>
      <c r="G122" s="119" t="n">
        <f aca="false">SUMIFS(tabela_registros[VALOR],tabela_registros[MÊS],$AE$1,tabela_registros[DIA],investirrendafixaconsolidadoset[[#Headers],[3]],tabela_registros[REGISTRO],DADOS!$N$5,tabela_registros[TIPO],DADOS!$AB$3,tabela_registros[CATEGORIA],investirrendafixaconsolidadoset[[#This Row],[ATUAL]])</f>
        <v>0</v>
      </c>
      <c r="H122" s="119" t="n">
        <f aca="false">SUMIFS(tabela_registros[VALOR],tabela_registros[MÊS],$AE$1,tabela_registros[DIA],investirrendafixaconsolidadoset[[#Headers],[4]],tabela_registros[REGISTRO],DADOS!$N$5,tabela_registros[TIPO],DADOS!$AB$3,tabela_registros[CATEGORIA],investirrendafixaconsolidadoset[[#This Row],[ATUAL]])</f>
        <v>0</v>
      </c>
      <c r="I122" s="119" t="n">
        <f aca="false">SUMIFS(tabela_registros[VALOR],tabela_registros[MÊS],$AE$1,tabela_registros[DIA],investirrendafixaconsolidadoset[[#Headers],[5]],tabela_registros[REGISTRO],DADOS!$N$5,tabela_registros[TIPO],DADOS!$AB$3,tabela_registros[CATEGORIA],investirrendafixaconsolidadoset[[#This Row],[ATUAL]])</f>
        <v>0</v>
      </c>
      <c r="J122" s="119" t="n">
        <f aca="false">SUMIFS(tabela_registros[VALOR],tabela_registros[MÊS],$AE$1,tabela_registros[DIA],investirrendafixaconsolidadoset[[#Headers],[6]],tabela_registros[REGISTRO],DADOS!$N$5,tabela_registros[TIPO],DADOS!$AB$3,tabela_registros[CATEGORIA],investirrendafixaconsolidadoset[[#This Row],[ATUAL]])</f>
        <v>0</v>
      </c>
      <c r="K122" s="119" t="n">
        <f aca="false">SUMIFS(tabela_registros[VALOR],tabela_registros[MÊS],$AE$1,tabela_registros[DIA],investirrendafixaconsolidadoset[[#Headers],[7]],tabela_registros[REGISTRO],DADOS!$N$5,tabela_registros[TIPO],DADOS!$AB$3,tabela_registros[CATEGORIA],investirrendafixaconsolidadoset[[#This Row],[ATUAL]])</f>
        <v>0</v>
      </c>
      <c r="L122" s="119" t="n">
        <f aca="false">SUMIFS(tabela_registros[VALOR],tabela_registros[MÊS],$AE$1,tabela_registros[DIA],investirrendafixaconsolidadoset[[#Headers],[8]],tabela_registros[REGISTRO],DADOS!$N$5,tabela_registros[TIPO],DADOS!$AB$3,tabela_registros[CATEGORIA],investirrendafixaconsolidadoset[[#This Row],[ATUAL]])</f>
        <v>0</v>
      </c>
      <c r="M122" s="119" t="n">
        <f aca="false">SUMIFS(tabela_registros[VALOR],tabela_registros[MÊS],$AE$1,tabela_registros[DIA],investirrendafixaconsolidadoset[[#Headers],[9]],tabela_registros[REGISTRO],DADOS!$N$5,tabela_registros[TIPO],DADOS!$AB$3,tabela_registros[CATEGORIA],investirrendafixaconsolidadoset[[#This Row],[ATUAL]])</f>
        <v>0</v>
      </c>
      <c r="N122" s="119" t="n">
        <f aca="false">SUMIFS(tabela_registros[VALOR],tabela_registros[MÊS],$AE$1,tabela_registros[DIA],investirrendafixaconsolidadoset[[#Headers],[10]],tabela_registros[REGISTRO],DADOS!$N$5,tabela_registros[TIPO],DADOS!$AB$3,tabela_registros[CATEGORIA],investirrendafixaconsolidadoset[[#This Row],[ATUAL]])</f>
        <v>0</v>
      </c>
      <c r="O122" s="119" t="n">
        <f aca="false">SUMIFS(tabela_registros[VALOR],tabela_registros[MÊS],$AE$1,tabela_registros[DIA],investirrendafixaconsolidadoset[[#Headers],[11]],tabela_registros[REGISTRO],DADOS!$N$5,tabela_registros[TIPO],DADOS!$AB$3,tabela_registros[CATEGORIA],investirrendafixaconsolidadoset[[#This Row],[ATUAL]])</f>
        <v>0</v>
      </c>
      <c r="P122" s="119" t="n">
        <f aca="false">SUMIFS(tabela_registros[VALOR],tabela_registros[MÊS],$AE$1,tabela_registros[DIA],investirrendafixaconsolidadoset[[#Headers],[12]],tabela_registros[REGISTRO],DADOS!$N$5,tabela_registros[TIPO],DADOS!$AB$3,tabela_registros[CATEGORIA],investirrendafixaconsolidadoset[[#This Row],[ATUAL]])</f>
        <v>0</v>
      </c>
      <c r="Q122" s="119" t="n">
        <f aca="false">SUMIFS(tabela_registros[VALOR],tabela_registros[MÊS],$AE$1,tabela_registros[DIA],investirrendafixaconsolidadoset[[#Headers],[13]],tabela_registros[REGISTRO],DADOS!$N$5,tabela_registros[TIPO],DADOS!$AB$3,tabela_registros[CATEGORIA],investirrendafixaconsolidadoset[[#This Row],[ATUAL]])</f>
        <v>0</v>
      </c>
      <c r="R122" s="119" t="n">
        <f aca="false">SUMIFS(tabela_registros[VALOR],tabela_registros[MÊS],$AE$1,tabela_registros[DIA],investirrendafixaconsolidadoset[[#Headers],[14]],tabela_registros[REGISTRO],DADOS!$N$5,tabela_registros[TIPO],DADOS!$AB$3,tabela_registros[CATEGORIA],investirrendafixaconsolidadoset[[#This Row],[ATUAL]])</f>
        <v>0</v>
      </c>
      <c r="S122" s="119" t="n">
        <f aca="false">SUMIFS(tabela_registros[VALOR],tabela_registros[MÊS],$AE$1,tabela_registros[DIA],investirrendafixaconsolidadoset[[#Headers],[15]],tabela_registros[REGISTRO],DADOS!$N$5,tabela_registros[TIPO],DADOS!$AB$3,tabela_registros[CATEGORIA],investirrendafixaconsolidadoset[[#This Row],[ATUAL]])</f>
        <v>0</v>
      </c>
      <c r="T122" s="119" t="n">
        <f aca="false">SUMIFS(tabela_registros[VALOR],tabela_registros[MÊS],$AE$1,tabela_registros[DIA],investirrendafixaconsolidadoset[[#Headers],[16]],tabela_registros[REGISTRO],DADOS!$N$5,tabela_registros[TIPO],DADOS!$AB$3,tabela_registros[CATEGORIA],investirrendafixaconsolidadoset[[#This Row],[ATUAL]])</f>
        <v>0</v>
      </c>
      <c r="U122" s="119" t="n">
        <f aca="false">SUMIFS(tabela_registros[VALOR],tabela_registros[MÊS],$AE$1,tabela_registros[DIA],investirrendafixaconsolidadoset[[#Headers],[17]],tabela_registros[REGISTRO],DADOS!$N$5,tabela_registros[TIPO],DADOS!$AB$3,tabela_registros[CATEGORIA],investirrendafixaconsolidadoset[[#This Row],[ATUAL]])</f>
        <v>0</v>
      </c>
      <c r="V122" s="119" t="n">
        <f aca="false">SUMIFS(tabela_registros[VALOR],tabela_registros[MÊS],$AE$1,tabela_registros[DIA],investirrendafixaconsolidadoset[[#Headers],[18]],tabela_registros[REGISTRO],DADOS!$N$5,tabela_registros[TIPO],DADOS!$AB$3,tabela_registros[CATEGORIA],investirrendafixaconsolidadoset[[#This Row],[ATUAL]])</f>
        <v>0</v>
      </c>
      <c r="W122" s="119" t="n">
        <f aca="false">SUMIFS(tabela_registros[VALOR],tabela_registros[MÊS],$AE$1,tabela_registros[DIA],investirrendafixaconsolidadoset[[#Headers],[19]],tabela_registros[REGISTRO],DADOS!$N$5,tabela_registros[TIPO],DADOS!$AB$3,tabela_registros[CATEGORIA],investirrendafixaconsolidadoset[[#This Row],[ATUAL]])</f>
        <v>0</v>
      </c>
      <c r="X122" s="119" t="n">
        <f aca="false">SUMIFS(tabela_registros[VALOR],tabela_registros[MÊS],$AE$1,tabela_registros[DIA],investirrendafixaconsolidadoset[[#Headers],[20]],tabela_registros[REGISTRO],DADOS!$N$5,tabela_registros[TIPO],DADOS!$AB$3,tabela_registros[CATEGORIA],investirrendafixaconsolidadoset[[#This Row],[ATUAL]])</f>
        <v>0</v>
      </c>
      <c r="Y122" s="119" t="n">
        <f aca="false">SUMIFS(tabela_registros[VALOR],tabela_registros[MÊS],$AE$1,tabela_registros[DIA],investirrendafixaconsolidadoset[[#Headers],[21]],tabela_registros[REGISTRO],DADOS!$N$5,tabela_registros[TIPO],DADOS!$AB$3,tabela_registros[CATEGORIA],investirrendafixaconsolidadoset[[#This Row],[ATUAL]])</f>
        <v>0</v>
      </c>
      <c r="Z122" s="119" t="n">
        <f aca="false">SUMIFS(tabela_registros[VALOR],tabela_registros[MÊS],$AE$1,tabela_registros[DIA],investirrendafixaconsolidadoset[[#Headers],[22]],tabela_registros[REGISTRO],DADOS!$N$5,tabela_registros[TIPO],DADOS!$AB$3,tabela_registros[CATEGORIA],investirrendafixaconsolidadoset[[#This Row],[ATUAL]])</f>
        <v>0</v>
      </c>
      <c r="AA122" s="119" t="n">
        <f aca="false">SUMIFS(tabela_registros[VALOR],tabela_registros[MÊS],$AE$1,tabela_registros[DIA],investirrendafixaconsolidadoset[[#Headers],[23]],tabela_registros[REGISTRO],DADOS!$N$5,tabela_registros[TIPO],DADOS!$AB$3,tabela_registros[CATEGORIA],investirrendafixaconsolidadoset[[#This Row],[ATUAL]])</f>
        <v>0</v>
      </c>
      <c r="AB122" s="119" t="n">
        <f aca="false">SUMIFS(tabela_registros[VALOR],tabela_registros[MÊS],$AE$1,tabela_registros[DIA],investirrendafixaconsolidadoset[[#Headers],[24]],tabela_registros[REGISTRO],DADOS!$N$5,tabela_registros[TIPO],DADOS!$AB$3,tabela_registros[CATEGORIA],investirrendafixaconsolidadoset[[#This Row],[ATUAL]])</f>
        <v>0</v>
      </c>
      <c r="AC122" s="119" t="n">
        <f aca="false">SUMIFS(tabela_registros[VALOR],tabela_registros[MÊS],$AE$1,tabela_registros[DIA],investirrendafixaconsolidadoset[[#Headers],[25]],tabela_registros[REGISTRO],DADOS!$N$5,tabela_registros[TIPO],DADOS!$AB$3,tabela_registros[CATEGORIA],investirrendafixaconsolidadoset[[#This Row],[ATUAL]])</f>
        <v>0</v>
      </c>
      <c r="AD122" s="119" t="n">
        <f aca="false">SUMIFS(tabela_registros[VALOR],tabela_registros[MÊS],$AE$1,tabela_registros[DIA],investirrendafixaconsolidadoset[[#Headers],[26]],tabela_registros[REGISTRO],DADOS!$N$5,tabela_registros[TIPO],DADOS!$AB$3,tabela_registros[CATEGORIA],investirrendafixaconsolidadoset[[#This Row],[ATUAL]])</f>
        <v>0</v>
      </c>
      <c r="AE122" s="119" t="n">
        <f aca="false">SUMIFS(tabela_registros[VALOR],tabela_registros[MÊS],$AE$1,tabela_registros[DIA],investirrendafixaconsolidadoset[[#Headers],[27]],tabela_registros[REGISTRO],DADOS!$N$5,tabela_registros[TIPO],DADOS!$AB$3,tabela_registros[CATEGORIA],investirrendafixaconsolidadoset[[#This Row],[ATUAL]])</f>
        <v>0</v>
      </c>
      <c r="AF122" s="119" t="n">
        <f aca="false">SUMIFS(tabela_registros[VALOR],tabela_registros[MÊS],$AE$1,tabela_registros[DIA],investirrendafixaconsolidadoset[[#Headers],[28]],tabela_registros[REGISTRO],DADOS!$N$5,tabela_registros[TIPO],DADOS!$AB$3,tabela_registros[CATEGORIA],investirrendafixaconsolidadoset[[#This Row],[ATUAL]])</f>
        <v>0</v>
      </c>
      <c r="AG122" s="119" t="n">
        <f aca="false">SUMIFS(tabela_registros[VALOR],tabela_registros[MÊS],$AE$1,tabela_registros[DIA],investirrendafixaconsolidadoset[[#Headers],[29]],tabela_registros[REGISTRO],DADOS!$N$5,tabela_registros[TIPO],DADOS!$AB$3,tabela_registros[CATEGORIA],investirrendafixaconsolidadoset[[#This Row],[ATUAL]])</f>
        <v>0</v>
      </c>
      <c r="AH122" s="119" t="n">
        <f aca="false">SUMIFS(tabela_registros[VALOR],tabela_registros[MÊS],$AE$1,tabela_registros[DIA],investirrendafixaconsolidadoset[[#Headers],[30]],tabela_registros[REGISTRO],DADOS!$N$5,tabela_registros[TIPO],DADOS!$AB$3,tabela_registros[CATEGORIA],investirrendafixaconsolidadoset[[#This Row],[ATUAL]])</f>
        <v>0</v>
      </c>
      <c r="AI122" s="218" t="n">
        <f aca="false">SUMIFS(tabela_registros[VALOR],tabela_registros[MÊS],$AE$1,tabela_registros[DIA],investirrendafixaconsolidadoset[[#Headers],[31]],tabela_registros[REGISTRO],DADOS!$N$5,tabela_registros[TIPO],DADOS!$AB$3,tabela_registros[CATEGORIA],investirrendafixaconsolidadoset[[#This Row],[ATUAL]])</f>
        <v>0</v>
      </c>
      <c r="AJ122" s="149" t="n">
        <f aca="false">SUM(investirrendafixaconsolidadoset[[#This Row],[1]:[31]])</f>
        <v>0</v>
      </c>
      <c r="AK122" s="165"/>
    </row>
    <row r="123" s="122" customFormat="true" ht="21" hidden="false" customHeight="true" outlineLevel="0" collapsed="false">
      <c r="B123" s="152"/>
      <c r="C123" s="153" t="s">
        <v>2</v>
      </c>
      <c r="D123" s="166"/>
      <c r="E123" s="155" t="n">
        <f aca="false">SUM(E113:E122)</f>
        <v>0</v>
      </c>
      <c r="F123" s="156" t="n">
        <f aca="false">SUM(F113:F122)+investirrendafixaconsolidadoset[[#This Row],[1]]</f>
        <v>0</v>
      </c>
      <c r="G123" s="156" t="n">
        <f aca="false">SUM(G113:G122)+investirrendafixaconsolidadoset[[#This Row],[2]]</f>
        <v>0</v>
      </c>
      <c r="H123" s="156" t="n">
        <f aca="false">SUM(H113:H122)+investirrendafixaconsolidadoset[[#This Row],[3]]</f>
        <v>0</v>
      </c>
      <c r="I123" s="156" t="n">
        <f aca="false">SUM(I113:I122)+investirrendafixaconsolidadoset[[#This Row],[4]]</f>
        <v>0</v>
      </c>
      <c r="J123" s="156" t="n">
        <f aca="false">SUM(J113:J122)+investirrendafixaconsolidadoset[[#This Row],[5]]</f>
        <v>0</v>
      </c>
      <c r="K123" s="156" t="n">
        <f aca="false">SUM(K113:K122)+investirrendafixaconsolidadoset[[#This Row],[6]]</f>
        <v>0</v>
      </c>
      <c r="L123" s="156" t="n">
        <f aca="false">SUM(L113:L122)+investirrendafixaconsolidadoset[[#This Row],[7]]</f>
        <v>0</v>
      </c>
      <c r="M123" s="156" t="n">
        <f aca="false">SUM(M113:M122)+investirrendafixaconsolidadoset[[#This Row],[8]]</f>
        <v>0</v>
      </c>
      <c r="N123" s="156" t="n">
        <f aca="false">SUM(N113:N122)+investirrendafixaconsolidadoset[[#This Row],[9]]</f>
        <v>0</v>
      </c>
      <c r="O123" s="156" t="n">
        <f aca="false">SUM(O113:O122)+investirrendafixaconsolidadoset[[#This Row],[10]]</f>
        <v>0</v>
      </c>
      <c r="P123" s="156" t="n">
        <f aca="false">SUM(P113:P122)+investirrendafixaconsolidadoset[[#This Row],[11]]</f>
        <v>0</v>
      </c>
      <c r="Q123" s="156" t="n">
        <f aca="false">SUM(Q113:Q122)+investirrendafixaconsolidadoset[[#This Row],[12]]</f>
        <v>0</v>
      </c>
      <c r="R123" s="156" t="n">
        <f aca="false">SUM(R113:R122)+investirrendafixaconsolidadoset[[#This Row],[13]]</f>
        <v>0</v>
      </c>
      <c r="S123" s="156" t="n">
        <f aca="false">SUM(S113:S122)+investirrendafixaconsolidadoset[[#This Row],[14]]</f>
        <v>0</v>
      </c>
      <c r="T123" s="156" t="n">
        <f aca="false">SUM(T113:T122)+investirrendafixaconsolidadoset[[#This Row],[15]]</f>
        <v>0</v>
      </c>
      <c r="U123" s="156" t="n">
        <f aca="false">SUM(U113:U122)+investirrendafixaconsolidadoset[[#This Row],[16]]</f>
        <v>0</v>
      </c>
      <c r="V123" s="156" t="n">
        <f aca="false">SUM(V113:V122)+investirrendafixaconsolidadoset[[#This Row],[17]]</f>
        <v>0</v>
      </c>
      <c r="W123" s="156" t="n">
        <f aca="false">SUM(W113:W122)+investirrendafixaconsolidadoset[[#This Row],[18]]</f>
        <v>0</v>
      </c>
      <c r="X123" s="156" t="n">
        <f aca="false">SUM(X113:X122)+investirrendafixaconsolidadoset[[#This Row],[19]]</f>
        <v>0</v>
      </c>
      <c r="Y123" s="156" t="n">
        <f aca="false">SUM(Y113:Y122)+investirrendafixaconsolidadoset[[#This Row],[20]]</f>
        <v>0</v>
      </c>
      <c r="Z123" s="156" t="n">
        <f aca="false">SUM(Z113:Z122)+investirrendafixaconsolidadoset[[#This Row],[21]]</f>
        <v>0</v>
      </c>
      <c r="AA123" s="156" t="n">
        <f aca="false">SUM(AA113:AA122)+investirrendafixaconsolidadoset[[#This Row],[22]]</f>
        <v>0</v>
      </c>
      <c r="AB123" s="156" t="n">
        <f aca="false">SUM(AB113:AB122)+investirrendafixaconsolidadoset[[#This Row],[23]]</f>
        <v>0</v>
      </c>
      <c r="AC123" s="156" t="n">
        <f aca="false">SUM(AC113:AC122)+investirrendafixaconsolidadoset[[#This Row],[24]]</f>
        <v>0</v>
      </c>
      <c r="AD123" s="156" t="n">
        <f aca="false">SUM(AD113:AD122)+investirrendafixaconsolidadoset[[#This Row],[25]]</f>
        <v>0</v>
      </c>
      <c r="AE123" s="156" t="n">
        <f aca="false">SUM(AE113:AE122)+investirrendafixaconsolidadoset[[#This Row],[26]]</f>
        <v>0</v>
      </c>
      <c r="AF123" s="156" t="n">
        <f aca="false">SUM(AF113:AF122)+investirrendafixaconsolidadoset[[#This Row],[27]]</f>
        <v>0</v>
      </c>
      <c r="AG123" s="156" t="n">
        <f aca="false">SUM(AG113:AG122)+investirrendafixaconsolidadoset[[#This Row],[28]]</f>
        <v>0</v>
      </c>
      <c r="AH123" s="156" t="n">
        <f aca="false">SUM(AH113:AH122)+investirrendafixaconsolidadoset[[#This Row],[29]]</f>
        <v>0</v>
      </c>
      <c r="AI123" s="223" t="n">
        <f aca="false">SUM(AI113:AI122)+investirrendafixaconsolidadoset[[#This Row],[30]]</f>
        <v>0</v>
      </c>
      <c r="AJ123" s="157" t="n">
        <f aca="false">investirrendafixaconsolidadoset[[#This Row],[31]]</f>
        <v>0</v>
      </c>
      <c r="AK123" s="158"/>
    </row>
    <row r="124" customFormat="false" ht="6.75" hidden="false" customHeight="true" outlineLevel="0" collapsed="false">
      <c r="B124" s="97"/>
      <c r="C124" s="162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233"/>
      <c r="AJ124" s="164"/>
      <c r="AK124" s="244"/>
    </row>
    <row r="125" s="78" customFormat="true" ht="12.75" hidden="false" customHeight="false" outlineLevel="0" collapsed="false">
      <c r="E125" s="100"/>
    </row>
    <row r="126" s="78" customFormat="true" ht="12" hidden="false" customHeight="false" outlineLevel="0" collapsed="false"/>
    <row r="127" s="78" customFormat="true" ht="12" hidden="false" customHeight="false" outlineLevel="0" collapsed="false"/>
    <row r="128" customFormat="false" ht="39.75" hidden="false" customHeight="true" outlineLevel="0" collapsed="false">
      <c r="C128" s="101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3" t="s">
        <v>2</v>
      </c>
    </row>
    <row r="129" s="78" customFormat="true" ht="12.75" hidden="false" customHeight="false" outlineLevel="0" collapsed="false">
      <c r="B129" s="161"/>
      <c r="AJ129" s="106" t="s">
        <v>64</v>
      </c>
    </row>
    <row r="130" customFormat="false" ht="6.75" hidden="false" customHeight="true" outlineLevel="0" collapsed="false">
      <c r="B130" s="86"/>
      <c r="C130" s="162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233"/>
      <c r="AK130" s="139"/>
    </row>
    <row r="131" customFormat="false" ht="13.5" hidden="true" customHeight="false" outlineLevel="0" collapsed="false">
      <c r="B131" s="86"/>
      <c r="C131" s="109" t="s">
        <v>68</v>
      </c>
      <c r="D131" s="110" t="s">
        <v>69</v>
      </c>
      <c r="E131" s="110" t="s">
        <v>30</v>
      </c>
      <c r="F131" s="110" t="s">
        <v>31</v>
      </c>
      <c r="G131" s="110" t="s">
        <v>32</v>
      </c>
      <c r="H131" s="110" t="s">
        <v>33</v>
      </c>
      <c r="I131" s="110" t="s">
        <v>34</v>
      </c>
      <c r="J131" s="110" t="s">
        <v>35</v>
      </c>
      <c r="K131" s="110" t="s">
        <v>36</v>
      </c>
      <c r="L131" s="110" t="s">
        <v>37</v>
      </c>
      <c r="M131" s="110" t="s">
        <v>38</v>
      </c>
      <c r="N131" s="110" t="s">
        <v>39</v>
      </c>
      <c r="O131" s="110" t="s">
        <v>40</v>
      </c>
      <c r="P131" s="110" t="s">
        <v>41</v>
      </c>
      <c r="Q131" s="110" t="s">
        <v>81</v>
      </c>
      <c r="R131" s="110" t="s">
        <v>82</v>
      </c>
      <c r="S131" s="110" t="s">
        <v>83</v>
      </c>
      <c r="T131" s="110" t="s">
        <v>84</v>
      </c>
      <c r="U131" s="110" t="s">
        <v>85</v>
      </c>
      <c r="V131" s="110" t="s">
        <v>86</v>
      </c>
      <c r="W131" s="110" t="s">
        <v>87</v>
      </c>
      <c r="X131" s="110" t="s">
        <v>88</v>
      </c>
      <c r="Y131" s="110" t="s">
        <v>89</v>
      </c>
      <c r="Z131" s="110" t="s">
        <v>90</v>
      </c>
      <c r="AA131" s="110" t="s">
        <v>91</v>
      </c>
      <c r="AB131" s="110" t="s">
        <v>92</v>
      </c>
      <c r="AC131" s="110" t="s">
        <v>93</v>
      </c>
      <c r="AD131" s="110" t="s">
        <v>94</v>
      </c>
      <c r="AE131" s="110" t="s">
        <v>95</v>
      </c>
      <c r="AF131" s="110" t="s">
        <v>96</v>
      </c>
      <c r="AG131" s="110" t="s">
        <v>97</v>
      </c>
      <c r="AH131" s="110" t="s">
        <v>98</v>
      </c>
      <c r="AI131" s="110" t="s">
        <v>99</v>
      </c>
      <c r="AJ131" s="111" t="s">
        <v>70</v>
      </c>
      <c r="AK131" s="86"/>
    </row>
    <row r="132" customFormat="false" ht="19.5" hidden="false" customHeight="true" outlineLevel="0" collapsed="false">
      <c r="B132" s="143"/>
      <c r="C132" s="144" t="str">
        <f aca="false">DADOS!$AF$3</f>
        <v>📝 AÇÃO</v>
      </c>
      <c r="D132" s="145" t="str">
        <f aca="false">IF(investirrendavariávelconsolidadoset[[#This Row],[TOTAL (R$)]]=0,"",IF(OR(investirrendavariávelconsolidadoset[[#This Row],[TOTAL (R$)]]=LARGE($AJ$132:$AJ$141,1),investirrendavariávelconsolidadoset[[#This Row],[TOTAL (R$)]]=LARGE($AJ$132:$AJ$141,2)),DADOS!$I$10,""))</f>
        <v/>
      </c>
      <c r="E132" s="148" t="n">
        <f aca="false">SUMIFS(tabela_registros[VALOR],tabela_registros[MÊS],$AE$1,tabela_registros[DIA],investirrendavariávelconsolidadoset[[#Headers],[1]],tabela_registros[REGISTRO],DADOS!$N$5,tabela_registros[TIPO],DADOS!$AB$4,tabela_registros[CATEGORIA],investirrendavariávelconsolidadoset[[#This Row],[ATUAL]])</f>
        <v>0</v>
      </c>
      <c r="F132" s="119" t="n">
        <f aca="false">SUMIFS(tabela_registros[VALOR],tabela_registros[MÊS],$AE$1,tabela_registros[DIA],investirrendavariávelconsolidadoset[[#Headers],[2]],tabela_registros[REGISTRO],DADOS!$N$5,tabela_registros[TIPO],DADOS!$AB$4,tabela_registros[CATEGORIA],investirrendavariávelconsolidadoset[[#This Row],[ATUAL]])</f>
        <v>0</v>
      </c>
      <c r="G132" s="119" t="n">
        <f aca="false">SUMIFS(tabela_registros[VALOR],tabela_registros[MÊS],$AE$1,tabela_registros[DIA],investirrendavariávelconsolidadoset[[#Headers],[3]],tabela_registros[REGISTRO],DADOS!$N$5,tabela_registros[TIPO],DADOS!$AB$4,tabela_registros[CATEGORIA],investirrendavariávelconsolidadoset[[#This Row],[ATUAL]])</f>
        <v>0</v>
      </c>
      <c r="H132" s="119" t="n">
        <f aca="false">SUMIFS(tabela_registros[VALOR],tabela_registros[MÊS],$AE$1,tabela_registros[DIA],investirrendavariávelconsolidadoset[[#Headers],[4]],tabela_registros[REGISTRO],DADOS!$N$5,tabela_registros[TIPO],DADOS!$AB$4,tabela_registros[CATEGORIA],investirrendavariávelconsolidadoset[[#This Row],[ATUAL]])</f>
        <v>0</v>
      </c>
      <c r="I132" s="119" t="n">
        <f aca="false">SUMIFS(tabela_registros[VALOR],tabela_registros[MÊS],$AE$1,tabela_registros[DIA],investirrendavariávelconsolidadoset[[#Headers],[5]],tabela_registros[REGISTRO],DADOS!$N$5,tabela_registros[TIPO],DADOS!$AB$4,tabela_registros[CATEGORIA],investirrendavariávelconsolidadoset[[#This Row],[ATUAL]])</f>
        <v>0</v>
      </c>
      <c r="J132" s="119" t="n">
        <f aca="false">SUMIFS(tabela_registros[VALOR],tabela_registros[MÊS],$AE$1,tabela_registros[DIA],investirrendavariávelconsolidadoset[[#Headers],[6]],tabela_registros[REGISTRO],DADOS!$N$5,tabela_registros[TIPO],DADOS!$AB$4,tabela_registros[CATEGORIA],investirrendavariávelconsolidadoset[[#This Row],[ATUAL]])</f>
        <v>0</v>
      </c>
      <c r="K132" s="119" t="n">
        <f aca="false">SUMIFS(tabela_registros[VALOR],tabela_registros[MÊS],$AE$1,tabela_registros[DIA],investirrendavariávelconsolidadoset[[#Headers],[7]],tabela_registros[REGISTRO],DADOS!$N$5,tabela_registros[TIPO],DADOS!$AB$4,tabela_registros[CATEGORIA],investirrendavariávelconsolidadoset[[#This Row],[ATUAL]])</f>
        <v>0</v>
      </c>
      <c r="L132" s="119" t="n">
        <f aca="false">SUMIFS(tabela_registros[VALOR],tabela_registros[MÊS],$AE$1,tabela_registros[DIA],investirrendavariávelconsolidadoset[[#Headers],[8]],tabela_registros[REGISTRO],DADOS!$N$5,tabela_registros[TIPO],DADOS!$AB$4,tabela_registros[CATEGORIA],investirrendavariávelconsolidadoset[[#This Row],[ATUAL]])</f>
        <v>0</v>
      </c>
      <c r="M132" s="119" t="n">
        <f aca="false">SUMIFS(tabela_registros[VALOR],tabela_registros[MÊS],$AE$1,tabela_registros[DIA],investirrendavariávelconsolidadoset[[#Headers],[9]],tabela_registros[REGISTRO],DADOS!$N$5,tabela_registros[TIPO],DADOS!$AB$4,tabela_registros[CATEGORIA],investirrendavariávelconsolidadoset[[#This Row],[ATUAL]])</f>
        <v>0</v>
      </c>
      <c r="N132" s="119" t="n">
        <f aca="false">SUMIFS(tabela_registros[VALOR],tabela_registros[MÊS],$AE$1,tabela_registros[DIA],investirrendavariávelconsolidadoset[[#Headers],[10]],tabela_registros[REGISTRO],DADOS!$N$5,tabela_registros[TIPO],DADOS!$AB$4,tabela_registros[CATEGORIA],investirrendavariávelconsolidadoset[[#This Row],[ATUAL]])</f>
        <v>0</v>
      </c>
      <c r="O132" s="119" t="n">
        <f aca="false">SUMIFS(tabela_registros[VALOR],tabela_registros[MÊS],$AE$1,tabela_registros[DIA],investirrendavariávelconsolidadoset[[#Headers],[11]],tabela_registros[REGISTRO],DADOS!$N$5,tabela_registros[TIPO],DADOS!$AB$4,tabela_registros[CATEGORIA],investirrendavariávelconsolidadoset[[#This Row],[ATUAL]])</f>
        <v>0</v>
      </c>
      <c r="P132" s="119" t="n">
        <f aca="false">SUMIFS(tabela_registros[VALOR],tabela_registros[MÊS],$AE$1,tabela_registros[DIA],investirrendavariávelconsolidadoset[[#Headers],[12]],tabela_registros[REGISTRO],DADOS!$N$5,tabela_registros[TIPO],DADOS!$AB$4,tabela_registros[CATEGORIA],investirrendavariávelconsolidadoset[[#This Row],[ATUAL]])</f>
        <v>0</v>
      </c>
      <c r="Q132" s="119" t="n">
        <f aca="false">SUMIFS(tabela_registros[VALOR],tabela_registros[MÊS],$AE$1,tabela_registros[DIA],investirrendavariávelconsolidadoset[[#Headers],[13]],tabela_registros[REGISTRO],DADOS!$N$5,tabela_registros[TIPO],DADOS!$AB$4,tabela_registros[CATEGORIA],investirrendavariávelconsolidadoset[[#This Row],[ATUAL]])</f>
        <v>0</v>
      </c>
      <c r="R132" s="119" t="n">
        <f aca="false">SUMIFS(tabela_registros[VALOR],tabela_registros[MÊS],$AE$1,tabela_registros[DIA],investirrendavariávelconsolidadoset[[#Headers],[14]],tabela_registros[REGISTRO],DADOS!$N$5,tabela_registros[TIPO],DADOS!$AB$4,tabela_registros[CATEGORIA],investirrendavariávelconsolidadoset[[#This Row],[ATUAL]])</f>
        <v>0</v>
      </c>
      <c r="S132" s="119" t="n">
        <f aca="false">SUMIFS(tabela_registros[VALOR],tabela_registros[MÊS],$AE$1,tabela_registros[DIA],investirrendavariávelconsolidadoset[[#Headers],[15]],tabela_registros[REGISTRO],DADOS!$N$5,tabela_registros[TIPO],DADOS!$AB$4,tabela_registros[CATEGORIA],investirrendavariávelconsolidadoset[[#This Row],[ATUAL]])</f>
        <v>0</v>
      </c>
      <c r="T132" s="119" t="n">
        <f aca="false">SUMIFS(tabela_registros[VALOR],tabela_registros[MÊS],$AE$1,tabela_registros[DIA],investirrendavariávelconsolidadoset[[#Headers],[16]],tabela_registros[REGISTRO],DADOS!$N$5,tabela_registros[TIPO],DADOS!$AB$4,tabela_registros[CATEGORIA],investirrendavariávelconsolidadoset[[#This Row],[ATUAL]])</f>
        <v>0</v>
      </c>
      <c r="U132" s="119" t="n">
        <f aca="false">SUMIFS(tabela_registros[VALOR],tabela_registros[MÊS],$AE$1,tabela_registros[DIA],investirrendavariávelconsolidadoset[[#Headers],[17]],tabela_registros[REGISTRO],DADOS!$N$5,tabela_registros[TIPO],DADOS!$AB$4,tabela_registros[CATEGORIA],investirrendavariávelconsolidadoset[[#This Row],[ATUAL]])</f>
        <v>0</v>
      </c>
      <c r="V132" s="119" t="n">
        <f aca="false">SUMIFS(tabela_registros[VALOR],tabela_registros[MÊS],$AE$1,tabela_registros[DIA],investirrendavariávelconsolidadoset[[#Headers],[18]],tabela_registros[REGISTRO],DADOS!$N$5,tabela_registros[TIPO],DADOS!$AB$4,tabela_registros[CATEGORIA],investirrendavariávelconsolidadoset[[#This Row],[ATUAL]])</f>
        <v>0</v>
      </c>
      <c r="W132" s="119" t="n">
        <f aca="false">SUMIFS(tabela_registros[VALOR],tabela_registros[MÊS],$AE$1,tabela_registros[DIA],investirrendavariávelconsolidadoset[[#Headers],[19]],tabela_registros[REGISTRO],DADOS!$N$5,tabela_registros[TIPO],DADOS!$AB$4,tabela_registros[CATEGORIA],investirrendavariávelconsolidadoset[[#This Row],[ATUAL]])</f>
        <v>0</v>
      </c>
      <c r="X132" s="119" t="n">
        <f aca="false">SUMIFS(tabela_registros[VALOR],tabela_registros[MÊS],$AE$1,tabela_registros[DIA],investirrendavariávelconsolidadoset[[#Headers],[20]],tabela_registros[REGISTRO],DADOS!$N$5,tabela_registros[TIPO],DADOS!$AB$4,tabela_registros[CATEGORIA],investirrendavariávelconsolidadoset[[#This Row],[ATUAL]])</f>
        <v>0</v>
      </c>
      <c r="Y132" s="119" t="n">
        <f aca="false">SUMIFS(tabela_registros[VALOR],tabela_registros[MÊS],$AE$1,tabela_registros[DIA],investirrendavariávelconsolidadoset[[#Headers],[21]],tabela_registros[REGISTRO],DADOS!$N$5,tabela_registros[TIPO],DADOS!$AB$4,tabela_registros[CATEGORIA],investirrendavariávelconsolidadoset[[#This Row],[ATUAL]])</f>
        <v>0</v>
      </c>
      <c r="Z132" s="119" t="n">
        <f aca="false">SUMIFS(tabela_registros[VALOR],tabela_registros[MÊS],$AE$1,tabela_registros[DIA],investirrendavariávelconsolidadoset[[#Headers],[22]],tabela_registros[REGISTRO],DADOS!$N$5,tabela_registros[TIPO],DADOS!$AB$4,tabela_registros[CATEGORIA],investirrendavariávelconsolidadoset[[#This Row],[ATUAL]])</f>
        <v>0</v>
      </c>
      <c r="AA132" s="119" t="n">
        <f aca="false">SUMIFS(tabela_registros[VALOR],tabela_registros[MÊS],$AE$1,tabela_registros[DIA],investirrendavariávelconsolidadoset[[#Headers],[23]],tabela_registros[REGISTRO],DADOS!$N$5,tabela_registros[TIPO],DADOS!$AB$4,tabela_registros[CATEGORIA],investirrendavariávelconsolidadoset[[#This Row],[ATUAL]])</f>
        <v>0</v>
      </c>
      <c r="AB132" s="119" t="n">
        <f aca="false">SUMIFS(tabela_registros[VALOR],tabela_registros[MÊS],$AE$1,tabela_registros[DIA],investirrendavariávelconsolidadoset[[#Headers],[24]],tabela_registros[REGISTRO],DADOS!$N$5,tabela_registros[TIPO],DADOS!$AB$4,tabela_registros[CATEGORIA],investirrendavariávelconsolidadoset[[#This Row],[ATUAL]])</f>
        <v>0</v>
      </c>
      <c r="AC132" s="119" t="n">
        <f aca="false">SUMIFS(tabela_registros[VALOR],tabela_registros[MÊS],$AE$1,tabela_registros[DIA],investirrendavariávelconsolidadoset[[#Headers],[25]],tabela_registros[REGISTRO],DADOS!$N$5,tabela_registros[TIPO],DADOS!$AB$4,tabela_registros[CATEGORIA],investirrendavariávelconsolidadoset[[#This Row],[ATUAL]])</f>
        <v>0</v>
      </c>
      <c r="AD132" s="119" t="n">
        <f aca="false">SUMIFS(tabela_registros[VALOR],tabela_registros[MÊS],$AE$1,tabela_registros[DIA],investirrendavariávelconsolidadoset[[#Headers],[26]],tabela_registros[REGISTRO],DADOS!$N$5,tabela_registros[TIPO],DADOS!$AB$4,tabela_registros[CATEGORIA],investirrendavariávelconsolidadoset[[#This Row],[ATUAL]])</f>
        <v>0</v>
      </c>
      <c r="AE132" s="119" t="n">
        <f aca="false">SUMIFS(tabela_registros[VALOR],tabela_registros[MÊS],$AE$1,tabela_registros[DIA],investirrendavariávelconsolidadoset[[#Headers],[27]],tabela_registros[REGISTRO],DADOS!$N$5,tabela_registros[TIPO],DADOS!$AB$4,tabela_registros[CATEGORIA],investirrendavariávelconsolidadoset[[#This Row],[ATUAL]])</f>
        <v>0</v>
      </c>
      <c r="AF132" s="119" t="n">
        <f aca="false">SUMIFS(tabela_registros[VALOR],tabela_registros[MÊS],$AE$1,tabela_registros[DIA],investirrendavariávelconsolidadoset[[#Headers],[28]],tabela_registros[REGISTRO],DADOS!$N$5,tabela_registros[TIPO],DADOS!$AB$4,tabela_registros[CATEGORIA],investirrendavariávelconsolidadoset[[#This Row],[ATUAL]])</f>
        <v>0</v>
      </c>
      <c r="AG132" s="119" t="n">
        <f aca="false">SUMIFS(tabela_registros[VALOR],tabela_registros[MÊS],$AE$1,tabela_registros[DIA],investirrendavariávelconsolidadoset[[#Headers],[29]],tabela_registros[REGISTRO],DADOS!$N$5,tabela_registros[TIPO],DADOS!$AB$4,tabela_registros[CATEGORIA],investirrendavariávelconsolidadoset[[#This Row],[ATUAL]])</f>
        <v>0</v>
      </c>
      <c r="AH132" s="119" t="n">
        <f aca="false">SUMIFS(tabela_registros[VALOR],tabela_registros[MÊS],$AE$1,tabela_registros[DIA],investirrendavariávelconsolidadoset[[#Headers],[30]],tabela_registros[REGISTRO],DADOS!$N$5,tabela_registros[TIPO],DADOS!$AB$4,tabela_registros[CATEGORIA],investirrendavariávelconsolidadoset[[#This Row],[ATUAL]])</f>
        <v>0</v>
      </c>
      <c r="AI132" s="217" t="n">
        <f aca="false">SUMIFS(tabela_registros[VALOR],tabela_registros[MÊS],$AE$1,tabela_registros[DIA],investirrendavariávelconsolidadoset[[#Headers],[31]],tabela_registros[REGISTRO],DADOS!$N$5,tabela_registros[TIPO],DADOS!$AB$4,tabela_registros[CATEGORIA],investirrendavariávelconsolidadoset[[#This Row],[ATUAL]])</f>
        <v>0</v>
      </c>
      <c r="AJ132" s="149" t="n">
        <f aca="false">SUM(investirrendavariávelconsolidadoset[[#This Row],[1]:[31]])</f>
        <v>0</v>
      </c>
      <c r="AK132" s="165"/>
    </row>
    <row r="133" customFormat="false" ht="19.5" hidden="false" customHeight="true" outlineLevel="0" collapsed="false">
      <c r="B133" s="143"/>
      <c r="C133" s="144" t="str">
        <f aca="false">DADOS!$AF$4</f>
        <v>📝 COMÓDITE</v>
      </c>
      <c r="D133" s="145" t="str">
        <f aca="false">IF(investirrendavariávelconsolidadoset[[#This Row],[TOTAL (R$)]]=0,"",IF(OR(investirrendavariávelconsolidadoset[[#This Row],[TOTAL (R$)]]=LARGE($AJ$132:$AJ$141,1),investirrendavariávelconsolidadoset[[#This Row],[TOTAL (R$)]]=LARGE($AJ$132:$AJ$141,2)),DADOS!$I$10,""))</f>
        <v/>
      </c>
      <c r="E133" s="148" t="n">
        <f aca="false">SUMIFS(tabela_registros[VALOR],tabela_registros[MÊS],$AE$1,tabela_registros[DIA],investirrendavariávelconsolidadoset[[#Headers],[1]],tabela_registros[REGISTRO],DADOS!$N$5,tabela_registros[TIPO],DADOS!$AB$4,tabela_registros[CATEGORIA],investirrendavariávelconsolidadoset[[#This Row],[ATUAL]])</f>
        <v>0</v>
      </c>
      <c r="F133" s="119" t="n">
        <f aca="false">SUMIFS(tabela_registros[VALOR],tabela_registros[MÊS],$AE$1,tabela_registros[DIA],investirrendavariávelconsolidadoset[[#Headers],[2]],tabela_registros[REGISTRO],DADOS!$N$5,tabela_registros[TIPO],DADOS!$AB$4,tabela_registros[CATEGORIA],investirrendavariávelconsolidadoset[[#This Row],[ATUAL]])</f>
        <v>0</v>
      </c>
      <c r="G133" s="119" t="n">
        <f aca="false">SUMIFS(tabela_registros[VALOR],tabela_registros[MÊS],$AE$1,tabela_registros[DIA],investirrendavariávelconsolidadoset[[#Headers],[3]],tabela_registros[REGISTRO],DADOS!$N$5,tabela_registros[TIPO],DADOS!$AB$4,tabela_registros[CATEGORIA],investirrendavariávelconsolidadoset[[#This Row],[ATUAL]])</f>
        <v>0</v>
      </c>
      <c r="H133" s="119" t="n">
        <f aca="false">SUMIFS(tabela_registros[VALOR],tabela_registros[MÊS],$AE$1,tabela_registros[DIA],investirrendavariávelconsolidadoset[[#Headers],[4]],tabela_registros[REGISTRO],DADOS!$N$5,tabela_registros[TIPO],DADOS!$AB$4,tabela_registros[CATEGORIA],investirrendavariávelconsolidadoset[[#This Row],[ATUAL]])</f>
        <v>0</v>
      </c>
      <c r="I133" s="119" t="n">
        <f aca="false">SUMIFS(tabela_registros[VALOR],tabela_registros[MÊS],$AE$1,tabela_registros[DIA],investirrendavariávelconsolidadoset[[#Headers],[5]],tabela_registros[REGISTRO],DADOS!$N$5,tabela_registros[TIPO],DADOS!$AB$4,tabela_registros[CATEGORIA],investirrendavariávelconsolidadoset[[#This Row],[ATUAL]])</f>
        <v>0</v>
      </c>
      <c r="J133" s="119" t="n">
        <f aca="false">SUMIFS(tabela_registros[VALOR],tabela_registros[MÊS],$AE$1,tabela_registros[DIA],investirrendavariávelconsolidadoset[[#Headers],[6]],tabela_registros[REGISTRO],DADOS!$N$5,tabela_registros[TIPO],DADOS!$AB$4,tabela_registros[CATEGORIA],investirrendavariávelconsolidadoset[[#This Row],[ATUAL]])</f>
        <v>0</v>
      </c>
      <c r="K133" s="119" t="n">
        <f aca="false">SUMIFS(tabela_registros[VALOR],tabela_registros[MÊS],$AE$1,tabela_registros[DIA],investirrendavariávelconsolidadoset[[#Headers],[7]],tabela_registros[REGISTRO],DADOS!$N$5,tabela_registros[TIPO],DADOS!$AB$4,tabela_registros[CATEGORIA],investirrendavariávelconsolidadoset[[#This Row],[ATUAL]])</f>
        <v>0</v>
      </c>
      <c r="L133" s="119" t="n">
        <f aca="false">SUMIFS(tabela_registros[VALOR],tabela_registros[MÊS],$AE$1,tabela_registros[DIA],investirrendavariávelconsolidadoset[[#Headers],[8]],tabela_registros[REGISTRO],DADOS!$N$5,tabela_registros[TIPO],DADOS!$AB$4,tabela_registros[CATEGORIA],investirrendavariávelconsolidadoset[[#This Row],[ATUAL]])</f>
        <v>0</v>
      </c>
      <c r="M133" s="119" t="n">
        <f aca="false">SUMIFS(tabela_registros[VALOR],tabela_registros[MÊS],$AE$1,tabela_registros[DIA],investirrendavariávelconsolidadoset[[#Headers],[9]],tabela_registros[REGISTRO],DADOS!$N$5,tabela_registros[TIPO],DADOS!$AB$4,tabela_registros[CATEGORIA],investirrendavariávelconsolidadoset[[#This Row],[ATUAL]])</f>
        <v>0</v>
      </c>
      <c r="N133" s="119" t="n">
        <f aca="false">SUMIFS(tabela_registros[VALOR],tabela_registros[MÊS],$AE$1,tabela_registros[DIA],investirrendavariávelconsolidadoset[[#Headers],[10]],tabela_registros[REGISTRO],DADOS!$N$5,tabela_registros[TIPO],DADOS!$AB$4,tabela_registros[CATEGORIA],investirrendavariávelconsolidadoset[[#This Row],[ATUAL]])</f>
        <v>0</v>
      </c>
      <c r="O133" s="119" t="n">
        <f aca="false">SUMIFS(tabela_registros[VALOR],tabela_registros[MÊS],$AE$1,tabela_registros[DIA],investirrendavariávelconsolidadoset[[#Headers],[11]],tabela_registros[REGISTRO],DADOS!$N$5,tabela_registros[TIPO],DADOS!$AB$4,tabela_registros[CATEGORIA],investirrendavariávelconsolidadoset[[#This Row],[ATUAL]])</f>
        <v>0</v>
      </c>
      <c r="P133" s="119" t="n">
        <f aca="false">SUMIFS(tabela_registros[VALOR],tabela_registros[MÊS],$AE$1,tabela_registros[DIA],investirrendavariávelconsolidadoset[[#Headers],[12]],tabela_registros[REGISTRO],DADOS!$N$5,tabela_registros[TIPO],DADOS!$AB$4,tabela_registros[CATEGORIA],investirrendavariávelconsolidadoset[[#This Row],[ATUAL]])</f>
        <v>0</v>
      </c>
      <c r="Q133" s="119" t="n">
        <f aca="false">SUMIFS(tabela_registros[VALOR],tabela_registros[MÊS],$AE$1,tabela_registros[DIA],investirrendavariávelconsolidadoset[[#Headers],[13]],tabela_registros[REGISTRO],DADOS!$N$5,tabela_registros[TIPO],DADOS!$AB$4,tabela_registros[CATEGORIA],investirrendavariávelconsolidadoset[[#This Row],[ATUAL]])</f>
        <v>0</v>
      </c>
      <c r="R133" s="119" t="n">
        <f aca="false">SUMIFS(tabela_registros[VALOR],tabela_registros[MÊS],$AE$1,tabela_registros[DIA],investirrendavariávelconsolidadoset[[#Headers],[14]],tabela_registros[REGISTRO],DADOS!$N$5,tabela_registros[TIPO],DADOS!$AB$4,tabela_registros[CATEGORIA],investirrendavariávelconsolidadoset[[#This Row],[ATUAL]])</f>
        <v>0</v>
      </c>
      <c r="S133" s="119" t="n">
        <f aca="false">SUMIFS(tabela_registros[VALOR],tabela_registros[MÊS],$AE$1,tabela_registros[DIA],investirrendavariávelconsolidadoset[[#Headers],[15]],tabela_registros[REGISTRO],DADOS!$N$5,tabela_registros[TIPO],DADOS!$AB$4,tabela_registros[CATEGORIA],investirrendavariávelconsolidadoset[[#This Row],[ATUAL]])</f>
        <v>0</v>
      </c>
      <c r="T133" s="119" t="n">
        <f aca="false">SUMIFS(tabela_registros[VALOR],tabela_registros[MÊS],$AE$1,tabela_registros[DIA],investirrendavariávelconsolidadoset[[#Headers],[16]],tabela_registros[REGISTRO],DADOS!$N$5,tabela_registros[TIPO],DADOS!$AB$4,tabela_registros[CATEGORIA],investirrendavariávelconsolidadoset[[#This Row],[ATUAL]])</f>
        <v>0</v>
      </c>
      <c r="U133" s="119" t="n">
        <f aca="false">SUMIFS(tabela_registros[VALOR],tabela_registros[MÊS],$AE$1,tabela_registros[DIA],investirrendavariávelconsolidadoset[[#Headers],[17]],tabela_registros[REGISTRO],DADOS!$N$5,tabela_registros[TIPO],DADOS!$AB$4,tabela_registros[CATEGORIA],investirrendavariávelconsolidadoset[[#This Row],[ATUAL]])</f>
        <v>0</v>
      </c>
      <c r="V133" s="119" t="n">
        <f aca="false">SUMIFS(tabela_registros[VALOR],tabela_registros[MÊS],$AE$1,tabela_registros[DIA],investirrendavariávelconsolidadoset[[#Headers],[18]],tabela_registros[REGISTRO],DADOS!$N$5,tabela_registros[TIPO],DADOS!$AB$4,tabela_registros[CATEGORIA],investirrendavariávelconsolidadoset[[#This Row],[ATUAL]])</f>
        <v>0</v>
      </c>
      <c r="W133" s="119" t="n">
        <f aca="false">SUMIFS(tabela_registros[VALOR],tabela_registros[MÊS],$AE$1,tabela_registros[DIA],investirrendavariávelconsolidadoset[[#Headers],[19]],tabela_registros[REGISTRO],DADOS!$N$5,tabela_registros[TIPO],DADOS!$AB$4,tabela_registros[CATEGORIA],investirrendavariávelconsolidadoset[[#This Row],[ATUAL]])</f>
        <v>0</v>
      </c>
      <c r="X133" s="119" t="n">
        <f aca="false">SUMIFS(tabela_registros[VALOR],tabela_registros[MÊS],$AE$1,tabela_registros[DIA],investirrendavariávelconsolidadoset[[#Headers],[20]],tabela_registros[REGISTRO],DADOS!$N$5,tabela_registros[TIPO],DADOS!$AB$4,tabela_registros[CATEGORIA],investirrendavariávelconsolidadoset[[#This Row],[ATUAL]])</f>
        <v>0</v>
      </c>
      <c r="Y133" s="119" t="n">
        <f aca="false">SUMIFS(tabela_registros[VALOR],tabela_registros[MÊS],$AE$1,tabela_registros[DIA],investirrendavariávelconsolidadoset[[#Headers],[21]],tabela_registros[REGISTRO],DADOS!$N$5,tabela_registros[TIPO],DADOS!$AB$4,tabela_registros[CATEGORIA],investirrendavariávelconsolidadoset[[#This Row],[ATUAL]])</f>
        <v>0</v>
      </c>
      <c r="Z133" s="119" t="n">
        <f aca="false">SUMIFS(tabela_registros[VALOR],tabela_registros[MÊS],$AE$1,tabela_registros[DIA],investirrendavariávelconsolidadoset[[#Headers],[22]],tabela_registros[REGISTRO],DADOS!$N$5,tabela_registros[TIPO],DADOS!$AB$4,tabela_registros[CATEGORIA],investirrendavariávelconsolidadoset[[#This Row],[ATUAL]])</f>
        <v>0</v>
      </c>
      <c r="AA133" s="119" t="n">
        <f aca="false">SUMIFS(tabela_registros[VALOR],tabela_registros[MÊS],$AE$1,tabela_registros[DIA],investirrendavariávelconsolidadoset[[#Headers],[23]],tabela_registros[REGISTRO],DADOS!$N$5,tabela_registros[TIPO],DADOS!$AB$4,tabela_registros[CATEGORIA],investirrendavariávelconsolidadoset[[#This Row],[ATUAL]])</f>
        <v>0</v>
      </c>
      <c r="AB133" s="119" t="n">
        <f aca="false">SUMIFS(tabela_registros[VALOR],tabela_registros[MÊS],$AE$1,tabela_registros[DIA],investirrendavariávelconsolidadoset[[#Headers],[24]],tabela_registros[REGISTRO],DADOS!$N$5,tabela_registros[TIPO],DADOS!$AB$4,tabela_registros[CATEGORIA],investirrendavariávelconsolidadoset[[#This Row],[ATUAL]])</f>
        <v>0</v>
      </c>
      <c r="AC133" s="119" t="n">
        <f aca="false">SUMIFS(tabela_registros[VALOR],tabela_registros[MÊS],$AE$1,tabela_registros[DIA],investirrendavariávelconsolidadoset[[#Headers],[25]],tabela_registros[REGISTRO],DADOS!$N$5,tabela_registros[TIPO],DADOS!$AB$4,tabela_registros[CATEGORIA],investirrendavariávelconsolidadoset[[#This Row],[ATUAL]])</f>
        <v>0</v>
      </c>
      <c r="AD133" s="119" t="n">
        <f aca="false">SUMIFS(tabela_registros[VALOR],tabela_registros[MÊS],$AE$1,tabela_registros[DIA],investirrendavariávelconsolidadoset[[#Headers],[26]],tabela_registros[REGISTRO],DADOS!$N$5,tabela_registros[TIPO],DADOS!$AB$4,tabela_registros[CATEGORIA],investirrendavariávelconsolidadoset[[#This Row],[ATUAL]])</f>
        <v>0</v>
      </c>
      <c r="AE133" s="119" t="n">
        <f aca="false">SUMIFS(tabela_registros[VALOR],tabela_registros[MÊS],$AE$1,tabela_registros[DIA],investirrendavariávelconsolidadoset[[#Headers],[27]],tabela_registros[REGISTRO],DADOS!$N$5,tabela_registros[TIPO],DADOS!$AB$4,tabela_registros[CATEGORIA],investirrendavariávelconsolidadoset[[#This Row],[ATUAL]])</f>
        <v>0</v>
      </c>
      <c r="AF133" s="119" t="n">
        <f aca="false">SUMIFS(tabela_registros[VALOR],tabela_registros[MÊS],$AE$1,tabela_registros[DIA],investirrendavariávelconsolidadoset[[#Headers],[28]],tabela_registros[REGISTRO],DADOS!$N$5,tabela_registros[TIPO],DADOS!$AB$4,tabela_registros[CATEGORIA],investirrendavariávelconsolidadoset[[#This Row],[ATUAL]])</f>
        <v>0</v>
      </c>
      <c r="AG133" s="119" t="n">
        <f aca="false">SUMIFS(tabela_registros[VALOR],tabela_registros[MÊS],$AE$1,tabela_registros[DIA],investirrendavariávelconsolidadoset[[#Headers],[29]],tabela_registros[REGISTRO],DADOS!$N$5,tabela_registros[TIPO],DADOS!$AB$4,tabela_registros[CATEGORIA],investirrendavariávelconsolidadoset[[#This Row],[ATUAL]])</f>
        <v>0</v>
      </c>
      <c r="AH133" s="119" t="n">
        <f aca="false">SUMIFS(tabela_registros[VALOR],tabela_registros[MÊS],$AE$1,tabela_registros[DIA],investirrendavariávelconsolidadoset[[#Headers],[30]],tabela_registros[REGISTRO],DADOS!$N$5,tabela_registros[TIPO],DADOS!$AB$4,tabela_registros[CATEGORIA],investirrendavariávelconsolidadoset[[#This Row],[ATUAL]])</f>
        <v>0</v>
      </c>
      <c r="AI133" s="217" t="n">
        <f aca="false">SUMIFS(tabela_registros[VALOR],tabela_registros[MÊS],$AE$1,tabela_registros[DIA],investirrendavariávelconsolidadoset[[#Headers],[31]],tabela_registros[REGISTRO],DADOS!$N$5,tabela_registros[TIPO],DADOS!$AB$4,tabela_registros[CATEGORIA],investirrendavariávelconsolidadoset[[#This Row],[ATUAL]])</f>
        <v>0</v>
      </c>
      <c r="AJ133" s="149" t="n">
        <f aca="false">SUM(investirrendavariávelconsolidadoset[[#This Row],[1]:[31]])</f>
        <v>0</v>
      </c>
      <c r="AK133" s="165"/>
    </row>
    <row r="134" customFormat="false" ht="19.5" hidden="false" customHeight="true" outlineLevel="0" collapsed="false">
      <c r="B134" s="143"/>
      <c r="C134" s="144" t="str">
        <f aca="false">DADOS!$AF$5</f>
        <v>📝 CONTRATO DE FUTUROS</v>
      </c>
      <c r="D134" s="145" t="str">
        <f aca="false">IF(investirrendavariávelconsolidadoset[[#This Row],[TOTAL (R$)]]=0,"",IF(OR(investirrendavariávelconsolidadoset[[#This Row],[TOTAL (R$)]]=LARGE($AJ$132:$AJ$141,1),investirrendavariávelconsolidadoset[[#This Row],[TOTAL (R$)]]=LARGE($AJ$132:$AJ$141,2)),DADOS!$I$10,""))</f>
        <v/>
      </c>
      <c r="E134" s="148" t="n">
        <f aca="false">SUMIFS(tabela_registros[VALOR],tabela_registros[MÊS],$AE$1,tabela_registros[DIA],investirrendavariávelconsolidadoset[[#Headers],[1]],tabela_registros[REGISTRO],DADOS!$N$5,tabela_registros[TIPO],DADOS!$AB$4,tabela_registros[CATEGORIA],investirrendavariávelconsolidadoset[[#This Row],[ATUAL]])</f>
        <v>0</v>
      </c>
      <c r="F134" s="119" t="n">
        <f aca="false">SUMIFS(tabela_registros[VALOR],tabela_registros[MÊS],$AE$1,tabela_registros[DIA],investirrendavariávelconsolidadoset[[#Headers],[2]],tabela_registros[REGISTRO],DADOS!$N$5,tabela_registros[TIPO],DADOS!$AB$4,tabela_registros[CATEGORIA],investirrendavariávelconsolidadoset[[#This Row],[ATUAL]])</f>
        <v>0</v>
      </c>
      <c r="G134" s="119" t="n">
        <f aca="false">SUMIFS(tabela_registros[VALOR],tabela_registros[MÊS],$AE$1,tabela_registros[DIA],investirrendavariávelconsolidadoset[[#Headers],[3]],tabela_registros[REGISTRO],DADOS!$N$5,tabela_registros[TIPO],DADOS!$AB$4,tabela_registros[CATEGORIA],investirrendavariávelconsolidadoset[[#This Row],[ATUAL]])</f>
        <v>0</v>
      </c>
      <c r="H134" s="119" t="n">
        <f aca="false">SUMIFS(tabela_registros[VALOR],tabela_registros[MÊS],$AE$1,tabela_registros[DIA],investirrendavariávelconsolidadoset[[#Headers],[4]],tabela_registros[REGISTRO],DADOS!$N$5,tabela_registros[TIPO],DADOS!$AB$4,tabela_registros[CATEGORIA],investirrendavariávelconsolidadoset[[#This Row],[ATUAL]])</f>
        <v>0</v>
      </c>
      <c r="I134" s="119" t="n">
        <f aca="false">SUMIFS(tabela_registros[VALOR],tabela_registros[MÊS],$AE$1,tabela_registros[DIA],investirrendavariávelconsolidadoset[[#Headers],[5]],tabela_registros[REGISTRO],DADOS!$N$5,tabela_registros[TIPO],DADOS!$AB$4,tabela_registros[CATEGORIA],investirrendavariávelconsolidadoset[[#This Row],[ATUAL]])</f>
        <v>0</v>
      </c>
      <c r="J134" s="119" t="n">
        <f aca="false">SUMIFS(tabela_registros[VALOR],tabela_registros[MÊS],$AE$1,tabela_registros[DIA],investirrendavariávelconsolidadoset[[#Headers],[6]],tabela_registros[REGISTRO],DADOS!$N$5,tabela_registros[TIPO],DADOS!$AB$4,tabela_registros[CATEGORIA],investirrendavariávelconsolidadoset[[#This Row],[ATUAL]])</f>
        <v>0</v>
      </c>
      <c r="K134" s="119" t="n">
        <f aca="false">SUMIFS(tabela_registros[VALOR],tabela_registros[MÊS],$AE$1,tabela_registros[DIA],investirrendavariávelconsolidadoset[[#Headers],[7]],tabela_registros[REGISTRO],DADOS!$N$5,tabela_registros[TIPO],DADOS!$AB$4,tabela_registros[CATEGORIA],investirrendavariávelconsolidadoset[[#This Row],[ATUAL]])</f>
        <v>0</v>
      </c>
      <c r="L134" s="119" t="n">
        <f aca="false">SUMIFS(tabela_registros[VALOR],tabela_registros[MÊS],$AE$1,tabela_registros[DIA],investirrendavariávelconsolidadoset[[#Headers],[8]],tabela_registros[REGISTRO],DADOS!$N$5,tabela_registros[TIPO],DADOS!$AB$4,tabela_registros[CATEGORIA],investirrendavariávelconsolidadoset[[#This Row],[ATUAL]])</f>
        <v>0</v>
      </c>
      <c r="M134" s="119" t="n">
        <f aca="false">SUMIFS(tabela_registros[VALOR],tabela_registros[MÊS],$AE$1,tabela_registros[DIA],investirrendavariávelconsolidadoset[[#Headers],[9]],tabela_registros[REGISTRO],DADOS!$N$5,tabela_registros[TIPO],DADOS!$AB$4,tabela_registros[CATEGORIA],investirrendavariávelconsolidadoset[[#This Row],[ATUAL]])</f>
        <v>0</v>
      </c>
      <c r="N134" s="119" t="n">
        <f aca="false">SUMIFS(tabela_registros[VALOR],tabela_registros[MÊS],$AE$1,tabela_registros[DIA],investirrendavariávelconsolidadoset[[#Headers],[10]],tabela_registros[REGISTRO],DADOS!$N$5,tabela_registros[TIPO],DADOS!$AB$4,tabela_registros[CATEGORIA],investirrendavariávelconsolidadoset[[#This Row],[ATUAL]])</f>
        <v>0</v>
      </c>
      <c r="O134" s="119" t="n">
        <f aca="false">SUMIFS(tabela_registros[VALOR],tabela_registros[MÊS],$AE$1,tabela_registros[DIA],investirrendavariávelconsolidadoset[[#Headers],[11]],tabela_registros[REGISTRO],DADOS!$N$5,tabela_registros[TIPO],DADOS!$AB$4,tabela_registros[CATEGORIA],investirrendavariávelconsolidadoset[[#This Row],[ATUAL]])</f>
        <v>0</v>
      </c>
      <c r="P134" s="119" t="n">
        <f aca="false">SUMIFS(tabela_registros[VALOR],tabela_registros[MÊS],$AE$1,tabela_registros[DIA],investirrendavariávelconsolidadoset[[#Headers],[12]],tabela_registros[REGISTRO],DADOS!$N$5,tabela_registros[TIPO],DADOS!$AB$4,tabela_registros[CATEGORIA],investirrendavariávelconsolidadoset[[#This Row],[ATUAL]])</f>
        <v>0</v>
      </c>
      <c r="Q134" s="119" t="n">
        <f aca="false">SUMIFS(tabela_registros[VALOR],tabela_registros[MÊS],$AE$1,tabela_registros[DIA],investirrendavariávelconsolidadoset[[#Headers],[13]],tabela_registros[REGISTRO],DADOS!$N$5,tabela_registros[TIPO],DADOS!$AB$4,tabela_registros[CATEGORIA],investirrendavariávelconsolidadoset[[#This Row],[ATUAL]])</f>
        <v>0</v>
      </c>
      <c r="R134" s="119" t="n">
        <f aca="false">SUMIFS(tabela_registros[VALOR],tabela_registros[MÊS],$AE$1,tabela_registros[DIA],investirrendavariávelconsolidadoset[[#Headers],[14]],tabela_registros[REGISTRO],DADOS!$N$5,tabela_registros[TIPO],DADOS!$AB$4,tabela_registros[CATEGORIA],investirrendavariávelconsolidadoset[[#This Row],[ATUAL]])</f>
        <v>0</v>
      </c>
      <c r="S134" s="119" t="n">
        <f aca="false">SUMIFS(tabela_registros[VALOR],tabela_registros[MÊS],$AE$1,tabela_registros[DIA],investirrendavariávelconsolidadoset[[#Headers],[15]],tabela_registros[REGISTRO],DADOS!$N$5,tabela_registros[TIPO],DADOS!$AB$4,tabela_registros[CATEGORIA],investirrendavariávelconsolidadoset[[#This Row],[ATUAL]])</f>
        <v>0</v>
      </c>
      <c r="T134" s="119" t="n">
        <f aca="false">SUMIFS(tabela_registros[VALOR],tabela_registros[MÊS],$AE$1,tabela_registros[DIA],investirrendavariávelconsolidadoset[[#Headers],[16]],tabela_registros[REGISTRO],DADOS!$N$5,tabela_registros[TIPO],DADOS!$AB$4,tabela_registros[CATEGORIA],investirrendavariávelconsolidadoset[[#This Row],[ATUAL]])</f>
        <v>0</v>
      </c>
      <c r="U134" s="119" t="n">
        <f aca="false">SUMIFS(tabela_registros[VALOR],tabela_registros[MÊS],$AE$1,tabela_registros[DIA],investirrendavariávelconsolidadoset[[#Headers],[17]],tabela_registros[REGISTRO],DADOS!$N$5,tabela_registros[TIPO],DADOS!$AB$4,tabela_registros[CATEGORIA],investirrendavariávelconsolidadoset[[#This Row],[ATUAL]])</f>
        <v>0</v>
      </c>
      <c r="V134" s="119" t="n">
        <f aca="false">SUMIFS(tabela_registros[VALOR],tabela_registros[MÊS],$AE$1,tabela_registros[DIA],investirrendavariávelconsolidadoset[[#Headers],[18]],tabela_registros[REGISTRO],DADOS!$N$5,tabela_registros[TIPO],DADOS!$AB$4,tabela_registros[CATEGORIA],investirrendavariávelconsolidadoset[[#This Row],[ATUAL]])</f>
        <v>0</v>
      </c>
      <c r="W134" s="119" t="n">
        <f aca="false">SUMIFS(tabela_registros[VALOR],tabela_registros[MÊS],$AE$1,tabela_registros[DIA],investirrendavariávelconsolidadoset[[#Headers],[19]],tabela_registros[REGISTRO],DADOS!$N$5,tabela_registros[TIPO],DADOS!$AB$4,tabela_registros[CATEGORIA],investirrendavariávelconsolidadoset[[#This Row],[ATUAL]])</f>
        <v>0</v>
      </c>
      <c r="X134" s="119" t="n">
        <f aca="false">SUMIFS(tabela_registros[VALOR],tabela_registros[MÊS],$AE$1,tabela_registros[DIA],investirrendavariávelconsolidadoset[[#Headers],[20]],tabela_registros[REGISTRO],DADOS!$N$5,tabela_registros[TIPO],DADOS!$AB$4,tabela_registros[CATEGORIA],investirrendavariávelconsolidadoset[[#This Row],[ATUAL]])</f>
        <v>0</v>
      </c>
      <c r="Y134" s="119" t="n">
        <f aca="false">SUMIFS(tabela_registros[VALOR],tabela_registros[MÊS],$AE$1,tabela_registros[DIA],investirrendavariávelconsolidadoset[[#Headers],[21]],tabela_registros[REGISTRO],DADOS!$N$5,tabela_registros[TIPO],DADOS!$AB$4,tabela_registros[CATEGORIA],investirrendavariávelconsolidadoset[[#This Row],[ATUAL]])</f>
        <v>0</v>
      </c>
      <c r="Z134" s="119" t="n">
        <f aca="false">SUMIFS(tabela_registros[VALOR],tabela_registros[MÊS],$AE$1,tabela_registros[DIA],investirrendavariávelconsolidadoset[[#Headers],[22]],tabela_registros[REGISTRO],DADOS!$N$5,tabela_registros[TIPO],DADOS!$AB$4,tabela_registros[CATEGORIA],investirrendavariávelconsolidadoset[[#This Row],[ATUAL]])</f>
        <v>0</v>
      </c>
      <c r="AA134" s="119" t="n">
        <f aca="false">SUMIFS(tabela_registros[VALOR],tabela_registros[MÊS],$AE$1,tabela_registros[DIA],investirrendavariávelconsolidadoset[[#Headers],[23]],tabela_registros[REGISTRO],DADOS!$N$5,tabela_registros[TIPO],DADOS!$AB$4,tabela_registros[CATEGORIA],investirrendavariávelconsolidadoset[[#This Row],[ATUAL]])</f>
        <v>0</v>
      </c>
      <c r="AB134" s="119" t="n">
        <f aca="false">SUMIFS(tabela_registros[VALOR],tabela_registros[MÊS],$AE$1,tabela_registros[DIA],investirrendavariávelconsolidadoset[[#Headers],[24]],tabela_registros[REGISTRO],DADOS!$N$5,tabela_registros[TIPO],DADOS!$AB$4,tabela_registros[CATEGORIA],investirrendavariávelconsolidadoset[[#This Row],[ATUAL]])</f>
        <v>0</v>
      </c>
      <c r="AC134" s="119" t="n">
        <f aca="false">SUMIFS(tabela_registros[VALOR],tabela_registros[MÊS],$AE$1,tabela_registros[DIA],investirrendavariávelconsolidadoset[[#Headers],[25]],tabela_registros[REGISTRO],DADOS!$N$5,tabela_registros[TIPO],DADOS!$AB$4,tabela_registros[CATEGORIA],investirrendavariávelconsolidadoset[[#This Row],[ATUAL]])</f>
        <v>0</v>
      </c>
      <c r="AD134" s="119" t="n">
        <f aca="false">SUMIFS(tabela_registros[VALOR],tabela_registros[MÊS],$AE$1,tabela_registros[DIA],investirrendavariávelconsolidadoset[[#Headers],[26]],tabela_registros[REGISTRO],DADOS!$N$5,tabela_registros[TIPO],DADOS!$AB$4,tabela_registros[CATEGORIA],investirrendavariávelconsolidadoset[[#This Row],[ATUAL]])</f>
        <v>0</v>
      </c>
      <c r="AE134" s="119" t="n">
        <f aca="false">SUMIFS(tabela_registros[VALOR],tabela_registros[MÊS],$AE$1,tabela_registros[DIA],investirrendavariávelconsolidadoset[[#Headers],[27]],tabela_registros[REGISTRO],DADOS!$N$5,tabela_registros[TIPO],DADOS!$AB$4,tabela_registros[CATEGORIA],investirrendavariávelconsolidadoset[[#This Row],[ATUAL]])</f>
        <v>0</v>
      </c>
      <c r="AF134" s="119" t="n">
        <f aca="false">SUMIFS(tabela_registros[VALOR],tabela_registros[MÊS],$AE$1,tabela_registros[DIA],investirrendavariávelconsolidadoset[[#Headers],[28]],tabela_registros[REGISTRO],DADOS!$N$5,tabela_registros[TIPO],DADOS!$AB$4,tabela_registros[CATEGORIA],investirrendavariávelconsolidadoset[[#This Row],[ATUAL]])</f>
        <v>0</v>
      </c>
      <c r="AG134" s="119" t="n">
        <f aca="false">SUMIFS(tabela_registros[VALOR],tabela_registros[MÊS],$AE$1,tabela_registros[DIA],investirrendavariávelconsolidadoset[[#Headers],[29]],tabela_registros[REGISTRO],DADOS!$N$5,tabela_registros[TIPO],DADOS!$AB$4,tabela_registros[CATEGORIA],investirrendavariávelconsolidadoset[[#This Row],[ATUAL]])</f>
        <v>0</v>
      </c>
      <c r="AH134" s="119" t="n">
        <f aca="false">SUMIFS(tabela_registros[VALOR],tabela_registros[MÊS],$AE$1,tabela_registros[DIA],investirrendavariávelconsolidadoset[[#Headers],[30]],tabela_registros[REGISTRO],DADOS!$N$5,tabela_registros[TIPO],DADOS!$AB$4,tabela_registros[CATEGORIA],investirrendavariávelconsolidadoset[[#This Row],[ATUAL]])</f>
        <v>0</v>
      </c>
      <c r="AI134" s="217" t="n">
        <f aca="false">SUMIFS(tabela_registros[VALOR],tabela_registros[MÊS],$AE$1,tabela_registros[DIA],investirrendavariávelconsolidadoset[[#Headers],[31]],tabela_registros[REGISTRO],DADOS!$N$5,tabela_registros[TIPO],DADOS!$AB$4,tabela_registros[CATEGORIA],investirrendavariávelconsolidadoset[[#This Row],[ATUAL]])</f>
        <v>0</v>
      </c>
      <c r="AJ134" s="149" t="n">
        <f aca="false">SUM(investirrendavariávelconsolidadoset[[#This Row],[1]:[31]])</f>
        <v>0</v>
      </c>
      <c r="AK134" s="165"/>
    </row>
    <row r="135" customFormat="false" ht="19.5" hidden="false" customHeight="true" outlineLevel="0" collapsed="false">
      <c r="B135" s="143"/>
      <c r="C135" s="144" t="str">
        <f aca="false">DADOS!$AF$6</f>
        <v>📝 CONTRATO DE OPÇÕES</v>
      </c>
      <c r="D135" s="145" t="str">
        <f aca="false">IF(investirrendavariávelconsolidadoset[[#This Row],[TOTAL (R$)]]=0,"",IF(OR(investirrendavariávelconsolidadoset[[#This Row],[TOTAL (R$)]]=LARGE($AJ$132:$AJ$141,1),investirrendavariávelconsolidadoset[[#This Row],[TOTAL (R$)]]=LARGE($AJ$132:$AJ$141,2)),DADOS!$I$10,""))</f>
        <v/>
      </c>
      <c r="E135" s="148" t="n">
        <f aca="false">SUMIFS(tabela_registros[VALOR],tabela_registros[MÊS],$AE$1,tabela_registros[DIA],investirrendavariávelconsolidadoset[[#Headers],[1]],tabela_registros[REGISTRO],DADOS!$N$5,tabela_registros[TIPO],DADOS!$AB$4,tabela_registros[CATEGORIA],investirrendavariávelconsolidadoset[[#This Row],[ATUAL]])</f>
        <v>0</v>
      </c>
      <c r="F135" s="119" t="n">
        <f aca="false">SUMIFS(tabela_registros[VALOR],tabela_registros[MÊS],$AE$1,tabela_registros[DIA],investirrendavariávelconsolidadoset[[#Headers],[2]],tabela_registros[REGISTRO],DADOS!$N$5,tabela_registros[TIPO],DADOS!$AB$4,tabela_registros[CATEGORIA],investirrendavariávelconsolidadoset[[#This Row],[ATUAL]])</f>
        <v>0</v>
      </c>
      <c r="G135" s="119" t="n">
        <f aca="false">SUMIFS(tabela_registros[VALOR],tabela_registros[MÊS],$AE$1,tabela_registros[DIA],investirrendavariávelconsolidadoset[[#Headers],[3]],tabela_registros[REGISTRO],DADOS!$N$5,tabela_registros[TIPO],DADOS!$AB$4,tabela_registros[CATEGORIA],investirrendavariávelconsolidadoset[[#This Row],[ATUAL]])</f>
        <v>0</v>
      </c>
      <c r="H135" s="119" t="n">
        <f aca="false">SUMIFS(tabela_registros[VALOR],tabela_registros[MÊS],$AE$1,tabela_registros[DIA],investirrendavariávelconsolidadoset[[#Headers],[4]],tabela_registros[REGISTRO],DADOS!$N$5,tabela_registros[TIPO],DADOS!$AB$4,tabela_registros[CATEGORIA],investirrendavariávelconsolidadoset[[#This Row],[ATUAL]])</f>
        <v>0</v>
      </c>
      <c r="I135" s="119" t="n">
        <f aca="false">SUMIFS(tabela_registros[VALOR],tabela_registros[MÊS],$AE$1,tabela_registros[DIA],investirrendavariávelconsolidadoset[[#Headers],[5]],tabela_registros[REGISTRO],DADOS!$N$5,tabela_registros[TIPO],DADOS!$AB$4,tabela_registros[CATEGORIA],investirrendavariávelconsolidadoset[[#This Row],[ATUAL]])</f>
        <v>0</v>
      </c>
      <c r="J135" s="119" t="n">
        <f aca="false">SUMIFS(tabela_registros[VALOR],tabela_registros[MÊS],$AE$1,tabela_registros[DIA],investirrendavariávelconsolidadoset[[#Headers],[6]],tabela_registros[REGISTRO],DADOS!$N$5,tabela_registros[TIPO],DADOS!$AB$4,tabela_registros[CATEGORIA],investirrendavariávelconsolidadoset[[#This Row],[ATUAL]])</f>
        <v>0</v>
      </c>
      <c r="K135" s="119" t="n">
        <f aca="false">SUMIFS(tabela_registros[VALOR],tabela_registros[MÊS],$AE$1,tabela_registros[DIA],investirrendavariávelconsolidadoset[[#Headers],[7]],tabela_registros[REGISTRO],DADOS!$N$5,tabela_registros[TIPO],DADOS!$AB$4,tabela_registros[CATEGORIA],investirrendavariávelconsolidadoset[[#This Row],[ATUAL]])</f>
        <v>0</v>
      </c>
      <c r="L135" s="119" t="n">
        <f aca="false">SUMIFS(tabela_registros[VALOR],tabela_registros[MÊS],$AE$1,tabela_registros[DIA],investirrendavariávelconsolidadoset[[#Headers],[8]],tabela_registros[REGISTRO],DADOS!$N$5,tabela_registros[TIPO],DADOS!$AB$4,tabela_registros[CATEGORIA],investirrendavariávelconsolidadoset[[#This Row],[ATUAL]])</f>
        <v>0</v>
      </c>
      <c r="M135" s="119" t="n">
        <f aca="false">SUMIFS(tabela_registros[VALOR],tabela_registros[MÊS],$AE$1,tabela_registros[DIA],investirrendavariávelconsolidadoset[[#Headers],[9]],tabela_registros[REGISTRO],DADOS!$N$5,tabela_registros[TIPO],DADOS!$AB$4,tabela_registros[CATEGORIA],investirrendavariávelconsolidadoset[[#This Row],[ATUAL]])</f>
        <v>0</v>
      </c>
      <c r="N135" s="119" t="n">
        <f aca="false">SUMIFS(tabela_registros[VALOR],tabela_registros[MÊS],$AE$1,tabela_registros[DIA],investirrendavariávelconsolidadoset[[#Headers],[10]],tabela_registros[REGISTRO],DADOS!$N$5,tabela_registros[TIPO],DADOS!$AB$4,tabela_registros[CATEGORIA],investirrendavariávelconsolidadoset[[#This Row],[ATUAL]])</f>
        <v>0</v>
      </c>
      <c r="O135" s="119" t="n">
        <f aca="false">SUMIFS(tabela_registros[VALOR],tabela_registros[MÊS],$AE$1,tabela_registros[DIA],investirrendavariávelconsolidadoset[[#Headers],[11]],tabela_registros[REGISTRO],DADOS!$N$5,tabela_registros[TIPO],DADOS!$AB$4,tabela_registros[CATEGORIA],investirrendavariávelconsolidadoset[[#This Row],[ATUAL]])</f>
        <v>0</v>
      </c>
      <c r="P135" s="119" t="n">
        <f aca="false">SUMIFS(tabela_registros[VALOR],tabela_registros[MÊS],$AE$1,tabela_registros[DIA],investirrendavariávelconsolidadoset[[#Headers],[12]],tabela_registros[REGISTRO],DADOS!$N$5,tabela_registros[TIPO],DADOS!$AB$4,tabela_registros[CATEGORIA],investirrendavariávelconsolidadoset[[#This Row],[ATUAL]])</f>
        <v>0</v>
      </c>
      <c r="Q135" s="119" t="n">
        <f aca="false">SUMIFS(tabela_registros[VALOR],tabela_registros[MÊS],$AE$1,tabela_registros[DIA],investirrendavariávelconsolidadoset[[#Headers],[13]],tabela_registros[REGISTRO],DADOS!$N$5,tabela_registros[TIPO],DADOS!$AB$4,tabela_registros[CATEGORIA],investirrendavariávelconsolidadoset[[#This Row],[ATUAL]])</f>
        <v>0</v>
      </c>
      <c r="R135" s="119" t="n">
        <f aca="false">SUMIFS(tabela_registros[VALOR],tabela_registros[MÊS],$AE$1,tabela_registros[DIA],investirrendavariávelconsolidadoset[[#Headers],[14]],tabela_registros[REGISTRO],DADOS!$N$5,tabela_registros[TIPO],DADOS!$AB$4,tabela_registros[CATEGORIA],investirrendavariávelconsolidadoset[[#This Row],[ATUAL]])</f>
        <v>0</v>
      </c>
      <c r="S135" s="119" t="n">
        <f aca="false">SUMIFS(tabela_registros[VALOR],tabela_registros[MÊS],$AE$1,tabela_registros[DIA],investirrendavariávelconsolidadoset[[#Headers],[15]],tabela_registros[REGISTRO],DADOS!$N$5,tabela_registros[TIPO],DADOS!$AB$4,tabela_registros[CATEGORIA],investirrendavariávelconsolidadoset[[#This Row],[ATUAL]])</f>
        <v>0</v>
      </c>
      <c r="T135" s="119" t="n">
        <f aca="false">SUMIFS(tabela_registros[VALOR],tabela_registros[MÊS],$AE$1,tabela_registros[DIA],investirrendavariávelconsolidadoset[[#Headers],[16]],tabela_registros[REGISTRO],DADOS!$N$5,tabela_registros[TIPO],DADOS!$AB$4,tabela_registros[CATEGORIA],investirrendavariávelconsolidadoset[[#This Row],[ATUAL]])</f>
        <v>0</v>
      </c>
      <c r="U135" s="119" t="n">
        <f aca="false">SUMIFS(tabela_registros[VALOR],tabela_registros[MÊS],$AE$1,tabela_registros[DIA],investirrendavariávelconsolidadoset[[#Headers],[17]],tabela_registros[REGISTRO],DADOS!$N$5,tabela_registros[TIPO],DADOS!$AB$4,tabela_registros[CATEGORIA],investirrendavariávelconsolidadoset[[#This Row],[ATUAL]])</f>
        <v>0</v>
      </c>
      <c r="V135" s="119" t="n">
        <f aca="false">SUMIFS(tabela_registros[VALOR],tabela_registros[MÊS],$AE$1,tabela_registros[DIA],investirrendavariávelconsolidadoset[[#Headers],[18]],tabela_registros[REGISTRO],DADOS!$N$5,tabela_registros[TIPO],DADOS!$AB$4,tabela_registros[CATEGORIA],investirrendavariávelconsolidadoset[[#This Row],[ATUAL]])</f>
        <v>0</v>
      </c>
      <c r="W135" s="119" t="n">
        <f aca="false">SUMIFS(tabela_registros[VALOR],tabela_registros[MÊS],$AE$1,tabela_registros[DIA],investirrendavariávelconsolidadoset[[#Headers],[19]],tabela_registros[REGISTRO],DADOS!$N$5,tabela_registros[TIPO],DADOS!$AB$4,tabela_registros[CATEGORIA],investirrendavariávelconsolidadoset[[#This Row],[ATUAL]])</f>
        <v>0</v>
      </c>
      <c r="X135" s="119" t="n">
        <f aca="false">SUMIFS(tabela_registros[VALOR],tabela_registros[MÊS],$AE$1,tabela_registros[DIA],investirrendavariávelconsolidadoset[[#Headers],[20]],tabela_registros[REGISTRO],DADOS!$N$5,tabela_registros[TIPO],DADOS!$AB$4,tabela_registros[CATEGORIA],investirrendavariávelconsolidadoset[[#This Row],[ATUAL]])</f>
        <v>0</v>
      </c>
      <c r="Y135" s="119" t="n">
        <f aca="false">SUMIFS(tabela_registros[VALOR],tabela_registros[MÊS],$AE$1,tabela_registros[DIA],investirrendavariávelconsolidadoset[[#Headers],[21]],tabela_registros[REGISTRO],DADOS!$N$5,tabela_registros[TIPO],DADOS!$AB$4,tabela_registros[CATEGORIA],investirrendavariávelconsolidadoset[[#This Row],[ATUAL]])</f>
        <v>0</v>
      </c>
      <c r="Z135" s="119" t="n">
        <f aca="false">SUMIFS(tabela_registros[VALOR],tabela_registros[MÊS],$AE$1,tabela_registros[DIA],investirrendavariávelconsolidadoset[[#Headers],[22]],tabela_registros[REGISTRO],DADOS!$N$5,tabela_registros[TIPO],DADOS!$AB$4,tabela_registros[CATEGORIA],investirrendavariávelconsolidadoset[[#This Row],[ATUAL]])</f>
        <v>0</v>
      </c>
      <c r="AA135" s="119" t="n">
        <f aca="false">SUMIFS(tabela_registros[VALOR],tabela_registros[MÊS],$AE$1,tabela_registros[DIA],investirrendavariávelconsolidadoset[[#Headers],[23]],tabela_registros[REGISTRO],DADOS!$N$5,tabela_registros[TIPO],DADOS!$AB$4,tabela_registros[CATEGORIA],investirrendavariávelconsolidadoset[[#This Row],[ATUAL]])</f>
        <v>0</v>
      </c>
      <c r="AB135" s="119" t="n">
        <f aca="false">SUMIFS(tabela_registros[VALOR],tabela_registros[MÊS],$AE$1,tabela_registros[DIA],investirrendavariávelconsolidadoset[[#Headers],[24]],tabela_registros[REGISTRO],DADOS!$N$5,tabela_registros[TIPO],DADOS!$AB$4,tabela_registros[CATEGORIA],investirrendavariávelconsolidadoset[[#This Row],[ATUAL]])</f>
        <v>0</v>
      </c>
      <c r="AC135" s="119" t="n">
        <f aca="false">SUMIFS(tabela_registros[VALOR],tabela_registros[MÊS],$AE$1,tabela_registros[DIA],investirrendavariávelconsolidadoset[[#Headers],[25]],tabela_registros[REGISTRO],DADOS!$N$5,tabela_registros[TIPO],DADOS!$AB$4,tabela_registros[CATEGORIA],investirrendavariávelconsolidadoset[[#This Row],[ATUAL]])</f>
        <v>0</v>
      </c>
      <c r="AD135" s="119" t="n">
        <f aca="false">SUMIFS(tabela_registros[VALOR],tabela_registros[MÊS],$AE$1,tabela_registros[DIA],investirrendavariávelconsolidadoset[[#Headers],[26]],tabela_registros[REGISTRO],DADOS!$N$5,tabela_registros[TIPO],DADOS!$AB$4,tabela_registros[CATEGORIA],investirrendavariávelconsolidadoset[[#This Row],[ATUAL]])</f>
        <v>0</v>
      </c>
      <c r="AE135" s="119" t="n">
        <f aca="false">SUMIFS(tabela_registros[VALOR],tabela_registros[MÊS],$AE$1,tabela_registros[DIA],investirrendavariávelconsolidadoset[[#Headers],[27]],tabela_registros[REGISTRO],DADOS!$N$5,tabela_registros[TIPO],DADOS!$AB$4,tabela_registros[CATEGORIA],investirrendavariávelconsolidadoset[[#This Row],[ATUAL]])</f>
        <v>0</v>
      </c>
      <c r="AF135" s="119" t="n">
        <f aca="false">SUMIFS(tabela_registros[VALOR],tabela_registros[MÊS],$AE$1,tabela_registros[DIA],investirrendavariávelconsolidadoset[[#Headers],[28]],tabela_registros[REGISTRO],DADOS!$N$5,tabela_registros[TIPO],DADOS!$AB$4,tabela_registros[CATEGORIA],investirrendavariávelconsolidadoset[[#This Row],[ATUAL]])</f>
        <v>0</v>
      </c>
      <c r="AG135" s="119" t="n">
        <f aca="false">SUMIFS(tabela_registros[VALOR],tabela_registros[MÊS],$AE$1,tabela_registros[DIA],investirrendavariávelconsolidadoset[[#Headers],[29]],tabela_registros[REGISTRO],DADOS!$N$5,tabela_registros[TIPO],DADOS!$AB$4,tabela_registros[CATEGORIA],investirrendavariávelconsolidadoset[[#This Row],[ATUAL]])</f>
        <v>0</v>
      </c>
      <c r="AH135" s="119" t="n">
        <f aca="false">SUMIFS(tabela_registros[VALOR],tabela_registros[MÊS],$AE$1,tabela_registros[DIA],investirrendavariávelconsolidadoset[[#Headers],[30]],tabela_registros[REGISTRO],DADOS!$N$5,tabela_registros[TIPO],DADOS!$AB$4,tabela_registros[CATEGORIA],investirrendavariávelconsolidadoset[[#This Row],[ATUAL]])</f>
        <v>0</v>
      </c>
      <c r="AI135" s="217" t="n">
        <f aca="false">SUMIFS(tabela_registros[VALOR],tabela_registros[MÊS],$AE$1,tabela_registros[DIA],investirrendavariávelconsolidadoset[[#Headers],[31]],tabela_registros[REGISTRO],DADOS!$N$5,tabela_registros[TIPO],DADOS!$AB$4,tabela_registros[CATEGORIA],investirrendavariávelconsolidadoset[[#This Row],[ATUAL]])</f>
        <v>0</v>
      </c>
      <c r="AJ135" s="149" t="n">
        <f aca="false">SUM(investirrendavariávelconsolidadoset[[#This Row],[1]:[31]])</f>
        <v>0</v>
      </c>
      <c r="AK135" s="165"/>
    </row>
    <row r="136" customFormat="false" ht="19.5" hidden="false" customHeight="true" outlineLevel="0" collapsed="false">
      <c r="B136" s="143"/>
      <c r="C136" s="144" t="str">
        <f aca="false">DADOS!$AF$7</f>
        <v>📝 CRIPTOMOEDA</v>
      </c>
      <c r="D136" s="145" t="str">
        <f aca="false">IF(investirrendavariávelconsolidadoset[[#This Row],[TOTAL (R$)]]=0,"",IF(OR(investirrendavariávelconsolidadoset[[#This Row],[TOTAL (R$)]]=LARGE($AJ$132:$AJ$141,1),investirrendavariávelconsolidadoset[[#This Row],[TOTAL (R$)]]=LARGE($AJ$132:$AJ$141,2)),DADOS!$I$10,""))</f>
        <v/>
      </c>
      <c r="E136" s="148" t="n">
        <f aca="false">SUMIFS(tabela_registros[VALOR],tabela_registros[MÊS],$AE$1,tabela_registros[DIA],investirrendavariávelconsolidadoset[[#Headers],[1]],tabela_registros[REGISTRO],DADOS!$N$5,tabela_registros[TIPO],DADOS!$AB$4,tabela_registros[CATEGORIA],investirrendavariávelconsolidadoset[[#This Row],[ATUAL]])</f>
        <v>0</v>
      </c>
      <c r="F136" s="119" t="n">
        <f aca="false">SUMIFS(tabela_registros[VALOR],tabela_registros[MÊS],$AE$1,tabela_registros[DIA],investirrendavariávelconsolidadoset[[#Headers],[2]],tabela_registros[REGISTRO],DADOS!$N$5,tabela_registros[TIPO],DADOS!$AB$4,tabela_registros[CATEGORIA],investirrendavariávelconsolidadoset[[#This Row],[ATUAL]])</f>
        <v>0</v>
      </c>
      <c r="G136" s="119" t="n">
        <f aca="false">SUMIFS(tabela_registros[VALOR],tabela_registros[MÊS],$AE$1,tabela_registros[DIA],investirrendavariávelconsolidadoset[[#Headers],[3]],tabela_registros[REGISTRO],DADOS!$N$5,tabela_registros[TIPO],DADOS!$AB$4,tabela_registros[CATEGORIA],investirrendavariávelconsolidadoset[[#This Row],[ATUAL]])</f>
        <v>0</v>
      </c>
      <c r="H136" s="119" t="n">
        <f aca="false">SUMIFS(tabela_registros[VALOR],tabela_registros[MÊS],$AE$1,tabela_registros[DIA],investirrendavariávelconsolidadoset[[#Headers],[4]],tabela_registros[REGISTRO],DADOS!$N$5,tabela_registros[TIPO],DADOS!$AB$4,tabela_registros[CATEGORIA],investirrendavariávelconsolidadoset[[#This Row],[ATUAL]])</f>
        <v>0</v>
      </c>
      <c r="I136" s="119" t="n">
        <f aca="false">SUMIFS(tabela_registros[VALOR],tabela_registros[MÊS],$AE$1,tabela_registros[DIA],investirrendavariávelconsolidadoset[[#Headers],[5]],tabela_registros[REGISTRO],DADOS!$N$5,tabela_registros[TIPO],DADOS!$AB$4,tabela_registros[CATEGORIA],investirrendavariávelconsolidadoset[[#This Row],[ATUAL]])</f>
        <v>0</v>
      </c>
      <c r="J136" s="119" t="n">
        <f aca="false">SUMIFS(tabela_registros[VALOR],tabela_registros[MÊS],$AE$1,tabela_registros[DIA],investirrendavariávelconsolidadoset[[#Headers],[6]],tabela_registros[REGISTRO],DADOS!$N$5,tabela_registros[TIPO],DADOS!$AB$4,tabela_registros[CATEGORIA],investirrendavariávelconsolidadoset[[#This Row],[ATUAL]])</f>
        <v>0</v>
      </c>
      <c r="K136" s="119" t="n">
        <f aca="false">SUMIFS(tabela_registros[VALOR],tabela_registros[MÊS],$AE$1,tabela_registros[DIA],investirrendavariávelconsolidadoset[[#Headers],[7]],tabela_registros[REGISTRO],DADOS!$N$5,tabela_registros[TIPO],DADOS!$AB$4,tabela_registros[CATEGORIA],investirrendavariávelconsolidadoset[[#This Row],[ATUAL]])</f>
        <v>0</v>
      </c>
      <c r="L136" s="119" t="n">
        <f aca="false">SUMIFS(tabela_registros[VALOR],tabela_registros[MÊS],$AE$1,tabela_registros[DIA],investirrendavariávelconsolidadoset[[#Headers],[8]],tabela_registros[REGISTRO],DADOS!$N$5,tabela_registros[TIPO],DADOS!$AB$4,tabela_registros[CATEGORIA],investirrendavariávelconsolidadoset[[#This Row],[ATUAL]])</f>
        <v>0</v>
      </c>
      <c r="M136" s="119" t="n">
        <f aca="false">SUMIFS(tabela_registros[VALOR],tabela_registros[MÊS],$AE$1,tabela_registros[DIA],investirrendavariávelconsolidadoset[[#Headers],[9]],tabela_registros[REGISTRO],DADOS!$N$5,tabela_registros[TIPO],DADOS!$AB$4,tabela_registros[CATEGORIA],investirrendavariávelconsolidadoset[[#This Row],[ATUAL]])</f>
        <v>0</v>
      </c>
      <c r="N136" s="119" t="n">
        <f aca="false">SUMIFS(tabela_registros[VALOR],tabela_registros[MÊS],$AE$1,tabela_registros[DIA],investirrendavariávelconsolidadoset[[#Headers],[10]],tabela_registros[REGISTRO],DADOS!$N$5,tabela_registros[TIPO],DADOS!$AB$4,tabela_registros[CATEGORIA],investirrendavariávelconsolidadoset[[#This Row],[ATUAL]])</f>
        <v>0</v>
      </c>
      <c r="O136" s="119" t="n">
        <f aca="false">SUMIFS(tabela_registros[VALOR],tabela_registros[MÊS],$AE$1,tabela_registros[DIA],investirrendavariávelconsolidadoset[[#Headers],[11]],tabela_registros[REGISTRO],DADOS!$N$5,tabela_registros[TIPO],DADOS!$AB$4,tabela_registros[CATEGORIA],investirrendavariávelconsolidadoset[[#This Row],[ATUAL]])</f>
        <v>0</v>
      </c>
      <c r="P136" s="119" t="n">
        <f aca="false">SUMIFS(tabela_registros[VALOR],tabela_registros[MÊS],$AE$1,tabela_registros[DIA],investirrendavariávelconsolidadoset[[#Headers],[12]],tabela_registros[REGISTRO],DADOS!$N$5,tabela_registros[TIPO],DADOS!$AB$4,tabela_registros[CATEGORIA],investirrendavariávelconsolidadoset[[#This Row],[ATUAL]])</f>
        <v>0</v>
      </c>
      <c r="Q136" s="119" t="n">
        <f aca="false">SUMIFS(tabela_registros[VALOR],tabela_registros[MÊS],$AE$1,tabela_registros[DIA],investirrendavariávelconsolidadoset[[#Headers],[13]],tabela_registros[REGISTRO],DADOS!$N$5,tabela_registros[TIPO],DADOS!$AB$4,tabela_registros[CATEGORIA],investirrendavariávelconsolidadoset[[#This Row],[ATUAL]])</f>
        <v>0</v>
      </c>
      <c r="R136" s="119" t="n">
        <f aca="false">SUMIFS(tabela_registros[VALOR],tabela_registros[MÊS],$AE$1,tabela_registros[DIA],investirrendavariávelconsolidadoset[[#Headers],[14]],tabela_registros[REGISTRO],DADOS!$N$5,tabela_registros[TIPO],DADOS!$AB$4,tabela_registros[CATEGORIA],investirrendavariávelconsolidadoset[[#This Row],[ATUAL]])</f>
        <v>0</v>
      </c>
      <c r="S136" s="119" t="n">
        <f aca="false">SUMIFS(tabela_registros[VALOR],tabela_registros[MÊS],$AE$1,tabela_registros[DIA],investirrendavariávelconsolidadoset[[#Headers],[15]],tabela_registros[REGISTRO],DADOS!$N$5,tabela_registros[TIPO],DADOS!$AB$4,tabela_registros[CATEGORIA],investirrendavariávelconsolidadoset[[#This Row],[ATUAL]])</f>
        <v>0</v>
      </c>
      <c r="T136" s="119" t="n">
        <f aca="false">SUMIFS(tabela_registros[VALOR],tabela_registros[MÊS],$AE$1,tabela_registros[DIA],investirrendavariávelconsolidadoset[[#Headers],[16]],tabela_registros[REGISTRO],DADOS!$N$5,tabela_registros[TIPO],DADOS!$AB$4,tabela_registros[CATEGORIA],investirrendavariávelconsolidadoset[[#This Row],[ATUAL]])</f>
        <v>0</v>
      </c>
      <c r="U136" s="119" t="n">
        <f aca="false">SUMIFS(tabela_registros[VALOR],tabela_registros[MÊS],$AE$1,tabela_registros[DIA],investirrendavariávelconsolidadoset[[#Headers],[17]],tabela_registros[REGISTRO],DADOS!$N$5,tabela_registros[TIPO],DADOS!$AB$4,tabela_registros[CATEGORIA],investirrendavariávelconsolidadoset[[#This Row],[ATUAL]])</f>
        <v>0</v>
      </c>
      <c r="V136" s="119" t="n">
        <f aca="false">SUMIFS(tabela_registros[VALOR],tabela_registros[MÊS],$AE$1,tabela_registros[DIA],investirrendavariávelconsolidadoset[[#Headers],[18]],tabela_registros[REGISTRO],DADOS!$N$5,tabela_registros[TIPO],DADOS!$AB$4,tabela_registros[CATEGORIA],investirrendavariávelconsolidadoset[[#This Row],[ATUAL]])</f>
        <v>0</v>
      </c>
      <c r="W136" s="119" t="n">
        <f aca="false">SUMIFS(tabela_registros[VALOR],tabela_registros[MÊS],$AE$1,tabela_registros[DIA],investirrendavariávelconsolidadoset[[#Headers],[19]],tabela_registros[REGISTRO],DADOS!$N$5,tabela_registros[TIPO],DADOS!$AB$4,tabela_registros[CATEGORIA],investirrendavariávelconsolidadoset[[#This Row],[ATUAL]])</f>
        <v>0</v>
      </c>
      <c r="X136" s="119" t="n">
        <f aca="false">SUMIFS(tabela_registros[VALOR],tabela_registros[MÊS],$AE$1,tabela_registros[DIA],investirrendavariávelconsolidadoset[[#Headers],[20]],tabela_registros[REGISTRO],DADOS!$N$5,tabela_registros[TIPO],DADOS!$AB$4,tabela_registros[CATEGORIA],investirrendavariávelconsolidadoset[[#This Row],[ATUAL]])</f>
        <v>0</v>
      </c>
      <c r="Y136" s="119" t="n">
        <f aca="false">SUMIFS(tabela_registros[VALOR],tabela_registros[MÊS],$AE$1,tabela_registros[DIA],investirrendavariávelconsolidadoset[[#Headers],[21]],tabela_registros[REGISTRO],DADOS!$N$5,tabela_registros[TIPO],DADOS!$AB$4,tabela_registros[CATEGORIA],investirrendavariávelconsolidadoset[[#This Row],[ATUAL]])</f>
        <v>0</v>
      </c>
      <c r="Z136" s="119" t="n">
        <f aca="false">SUMIFS(tabela_registros[VALOR],tabela_registros[MÊS],$AE$1,tabela_registros[DIA],investirrendavariávelconsolidadoset[[#Headers],[22]],tabela_registros[REGISTRO],DADOS!$N$5,tabela_registros[TIPO],DADOS!$AB$4,tabela_registros[CATEGORIA],investirrendavariávelconsolidadoset[[#This Row],[ATUAL]])</f>
        <v>0</v>
      </c>
      <c r="AA136" s="119" t="n">
        <f aca="false">SUMIFS(tabela_registros[VALOR],tabela_registros[MÊS],$AE$1,tabela_registros[DIA],investirrendavariávelconsolidadoset[[#Headers],[23]],tabela_registros[REGISTRO],DADOS!$N$5,tabela_registros[TIPO],DADOS!$AB$4,tabela_registros[CATEGORIA],investirrendavariávelconsolidadoset[[#This Row],[ATUAL]])</f>
        <v>0</v>
      </c>
      <c r="AB136" s="119" t="n">
        <f aca="false">SUMIFS(tabela_registros[VALOR],tabela_registros[MÊS],$AE$1,tabela_registros[DIA],investirrendavariávelconsolidadoset[[#Headers],[24]],tabela_registros[REGISTRO],DADOS!$N$5,tabela_registros[TIPO],DADOS!$AB$4,tabela_registros[CATEGORIA],investirrendavariávelconsolidadoset[[#This Row],[ATUAL]])</f>
        <v>0</v>
      </c>
      <c r="AC136" s="119" t="n">
        <f aca="false">SUMIFS(tabela_registros[VALOR],tabela_registros[MÊS],$AE$1,tabela_registros[DIA],investirrendavariávelconsolidadoset[[#Headers],[25]],tabela_registros[REGISTRO],DADOS!$N$5,tabela_registros[TIPO],DADOS!$AB$4,tabela_registros[CATEGORIA],investirrendavariávelconsolidadoset[[#This Row],[ATUAL]])</f>
        <v>0</v>
      </c>
      <c r="AD136" s="119" t="n">
        <f aca="false">SUMIFS(tabela_registros[VALOR],tabela_registros[MÊS],$AE$1,tabela_registros[DIA],investirrendavariávelconsolidadoset[[#Headers],[26]],tabela_registros[REGISTRO],DADOS!$N$5,tabela_registros[TIPO],DADOS!$AB$4,tabela_registros[CATEGORIA],investirrendavariávelconsolidadoset[[#This Row],[ATUAL]])</f>
        <v>0</v>
      </c>
      <c r="AE136" s="119" t="n">
        <f aca="false">SUMIFS(tabela_registros[VALOR],tabela_registros[MÊS],$AE$1,tabela_registros[DIA],investirrendavariávelconsolidadoset[[#Headers],[27]],tabela_registros[REGISTRO],DADOS!$N$5,tabela_registros[TIPO],DADOS!$AB$4,tabela_registros[CATEGORIA],investirrendavariávelconsolidadoset[[#This Row],[ATUAL]])</f>
        <v>0</v>
      </c>
      <c r="AF136" s="119" t="n">
        <f aca="false">SUMIFS(tabela_registros[VALOR],tabela_registros[MÊS],$AE$1,tabela_registros[DIA],investirrendavariávelconsolidadoset[[#Headers],[28]],tabela_registros[REGISTRO],DADOS!$N$5,tabela_registros[TIPO],DADOS!$AB$4,tabela_registros[CATEGORIA],investirrendavariávelconsolidadoset[[#This Row],[ATUAL]])</f>
        <v>0</v>
      </c>
      <c r="AG136" s="119" t="n">
        <f aca="false">SUMIFS(tabela_registros[VALOR],tabela_registros[MÊS],$AE$1,tabela_registros[DIA],investirrendavariávelconsolidadoset[[#Headers],[29]],tabela_registros[REGISTRO],DADOS!$N$5,tabela_registros[TIPO],DADOS!$AB$4,tabela_registros[CATEGORIA],investirrendavariávelconsolidadoset[[#This Row],[ATUAL]])</f>
        <v>0</v>
      </c>
      <c r="AH136" s="119" t="n">
        <f aca="false">SUMIFS(tabela_registros[VALOR],tabela_registros[MÊS],$AE$1,tabela_registros[DIA],investirrendavariávelconsolidadoset[[#Headers],[30]],tabela_registros[REGISTRO],DADOS!$N$5,tabela_registros[TIPO],DADOS!$AB$4,tabela_registros[CATEGORIA],investirrendavariávelconsolidadoset[[#This Row],[ATUAL]])</f>
        <v>0</v>
      </c>
      <c r="AI136" s="217" t="n">
        <f aca="false">SUMIFS(tabela_registros[VALOR],tabela_registros[MÊS],$AE$1,tabela_registros[DIA],investirrendavariávelconsolidadoset[[#Headers],[31]],tabela_registros[REGISTRO],DADOS!$N$5,tabela_registros[TIPO],DADOS!$AB$4,tabela_registros[CATEGORIA],investirrendavariávelconsolidadoset[[#This Row],[ATUAL]])</f>
        <v>0</v>
      </c>
      <c r="AJ136" s="149" t="n">
        <f aca="false">SUM(investirrendavariávelconsolidadoset[[#This Row],[1]:[31]])</f>
        <v>0</v>
      </c>
      <c r="AK136" s="165"/>
    </row>
    <row r="137" customFormat="false" ht="19.5" hidden="false" customHeight="true" outlineLevel="0" collapsed="false">
      <c r="B137" s="143"/>
      <c r="C137" s="144" t="str">
        <f aca="false">DADOS!$AF$8</f>
        <v>📝 ETF</v>
      </c>
      <c r="D137" s="145" t="str">
        <f aca="false">IF(investirrendavariávelconsolidadoset[[#This Row],[TOTAL (R$)]]=0,"",IF(OR(investirrendavariávelconsolidadoset[[#This Row],[TOTAL (R$)]]=LARGE($AJ$132:$AJ$141,1),investirrendavariávelconsolidadoset[[#This Row],[TOTAL (R$)]]=LARGE($AJ$132:$AJ$141,2)),DADOS!$I$10,""))</f>
        <v/>
      </c>
      <c r="E137" s="148" t="n">
        <f aca="false">SUMIFS(tabela_registros[VALOR],tabela_registros[MÊS],$AE$1,tabela_registros[DIA],investirrendavariávelconsolidadoset[[#Headers],[1]],tabela_registros[REGISTRO],DADOS!$N$5,tabela_registros[TIPO],DADOS!$AB$4,tabela_registros[CATEGORIA],investirrendavariávelconsolidadoset[[#This Row],[ATUAL]])</f>
        <v>0</v>
      </c>
      <c r="F137" s="119" t="n">
        <f aca="false">SUMIFS(tabela_registros[VALOR],tabela_registros[MÊS],$AE$1,tabela_registros[DIA],investirrendavariávelconsolidadoset[[#Headers],[2]],tabela_registros[REGISTRO],DADOS!$N$5,tabela_registros[TIPO],DADOS!$AB$4,tabela_registros[CATEGORIA],investirrendavariávelconsolidadoset[[#This Row],[ATUAL]])</f>
        <v>0</v>
      </c>
      <c r="G137" s="119" t="n">
        <f aca="false">SUMIFS(tabela_registros[VALOR],tabela_registros[MÊS],$AE$1,tabela_registros[DIA],investirrendavariávelconsolidadoset[[#Headers],[3]],tabela_registros[REGISTRO],DADOS!$N$5,tabela_registros[TIPO],DADOS!$AB$4,tabela_registros[CATEGORIA],investirrendavariávelconsolidadoset[[#This Row],[ATUAL]])</f>
        <v>0</v>
      </c>
      <c r="H137" s="119" t="n">
        <f aca="false">SUMIFS(tabela_registros[VALOR],tabela_registros[MÊS],$AE$1,tabela_registros[DIA],investirrendavariávelconsolidadoset[[#Headers],[4]],tabela_registros[REGISTRO],DADOS!$N$5,tabela_registros[TIPO],DADOS!$AB$4,tabela_registros[CATEGORIA],investirrendavariávelconsolidadoset[[#This Row],[ATUAL]])</f>
        <v>0</v>
      </c>
      <c r="I137" s="119" t="n">
        <f aca="false">SUMIFS(tabela_registros[VALOR],tabela_registros[MÊS],$AE$1,tabela_registros[DIA],investirrendavariávelconsolidadoset[[#Headers],[5]],tabela_registros[REGISTRO],DADOS!$N$5,tabela_registros[TIPO],DADOS!$AB$4,tabela_registros[CATEGORIA],investirrendavariávelconsolidadoset[[#This Row],[ATUAL]])</f>
        <v>0</v>
      </c>
      <c r="J137" s="119" t="n">
        <f aca="false">SUMIFS(tabela_registros[VALOR],tabela_registros[MÊS],$AE$1,tabela_registros[DIA],investirrendavariávelconsolidadoset[[#Headers],[6]],tabela_registros[REGISTRO],DADOS!$N$5,tabela_registros[TIPO],DADOS!$AB$4,tabela_registros[CATEGORIA],investirrendavariávelconsolidadoset[[#This Row],[ATUAL]])</f>
        <v>0</v>
      </c>
      <c r="K137" s="119" t="n">
        <f aca="false">SUMIFS(tabela_registros[VALOR],tabela_registros[MÊS],$AE$1,tabela_registros[DIA],investirrendavariávelconsolidadoset[[#Headers],[7]],tabela_registros[REGISTRO],DADOS!$N$5,tabela_registros[TIPO],DADOS!$AB$4,tabela_registros[CATEGORIA],investirrendavariávelconsolidadoset[[#This Row],[ATUAL]])</f>
        <v>0</v>
      </c>
      <c r="L137" s="119" t="n">
        <f aca="false">SUMIFS(tabela_registros[VALOR],tabela_registros[MÊS],$AE$1,tabela_registros[DIA],investirrendavariávelconsolidadoset[[#Headers],[8]],tabela_registros[REGISTRO],DADOS!$N$5,tabela_registros[TIPO],DADOS!$AB$4,tabela_registros[CATEGORIA],investirrendavariávelconsolidadoset[[#This Row],[ATUAL]])</f>
        <v>0</v>
      </c>
      <c r="M137" s="119" t="n">
        <f aca="false">SUMIFS(tabela_registros[VALOR],tabela_registros[MÊS],$AE$1,tabela_registros[DIA],investirrendavariávelconsolidadoset[[#Headers],[9]],tabela_registros[REGISTRO],DADOS!$N$5,tabela_registros[TIPO],DADOS!$AB$4,tabela_registros[CATEGORIA],investirrendavariávelconsolidadoset[[#This Row],[ATUAL]])</f>
        <v>0</v>
      </c>
      <c r="N137" s="119" t="n">
        <f aca="false">SUMIFS(tabela_registros[VALOR],tabela_registros[MÊS],$AE$1,tabela_registros[DIA],investirrendavariávelconsolidadoset[[#Headers],[10]],tabela_registros[REGISTRO],DADOS!$N$5,tabela_registros[TIPO],DADOS!$AB$4,tabela_registros[CATEGORIA],investirrendavariávelconsolidadoset[[#This Row],[ATUAL]])</f>
        <v>0</v>
      </c>
      <c r="O137" s="119" t="n">
        <f aca="false">SUMIFS(tabela_registros[VALOR],tabela_registros[MÊS],$AE$1,tabela_registros[DIA],investirrendavariávelconsolidadoset[[#Headers],[11]],tabela_registros[REGISTRO],DADOS!$N$5,tabela_registros[TIPO],DADOS!$AB$4,tabela_registros[CATEGORIA],investirrendavariávelconsolidadoset[[#This Row],[ATUAL]])</f>
        <v>0</v>
      </c>
      <c r="P137" s="119" t="n">
        <f aca="false">SUMIFS(tabela_registros[VALOR],tabela_registros[MÊS],$AE$1,tabela_registros[DIA],investirrendavariávelconsolidadoset[[#Headers],[12]],tabela_registros[REGISTRO],DADOS!$N$5,tabela_registros[TIPO],DADOS!$AB$4,tabela_registros[CATEGORIA],investirrendavariávelconsolidadoset[[#This Row],[ATUAL]])</f>
        <v>0</v>
      </c>
      <c r="Q137" s="119" t="n">
        <f aca="false">SUMIFS(tabela_registros[VALOR],tabela_registros[MÊS],$AE$1,tabela_registros[DIA],investirrendavariávelconsolidadoset[[#Headers],[13]],tabela_registros[REGISTRO],DADOS!$N$5,tabela_registros[TIPO],DADOS!$AB$4,tabela_registros[CATEGORIA],investirrendavariávelconsolidadoset[[#This Row],[ATUAL]])</f>
        <v>0</v>
      </c>
      <c r="R137" s="119" t="n">
        <f aca="false">SUMIFS(tabela_registros[VALOR],tabela_registros[MÊS],$AE$1,tabela_registros[DIA],investirrendavariávelconsolidadoset[[#Headers],[14]],tabela_registros[REGISTRO],DADOS!$N$5,tabela_registros[TIPO],DADOS!$AB$4,tabela_registros[CATEGORIA],investirrendavariávelconsolidadoset[[#This Row],[ATUAL]])</f>
        <v>0</v>
      </c>
      <c r="S137" s="119" t="n">
        <f aca="false">SUMIFS(tabela_registros[VALOR],tabela_registros[MÊS],$AE$1,tabela_registros[DIA],investirrendavariávelconsolidadoset[[#Headers],[15]],tabela_registros[REGISTRO],DADOS!$N$5,tabela_registros[TIPO],DADOS!$AB$4,tabela_registros[CATEGORIA],investirrendavariávelconsolidadoset[[#This Row],[ATUAL]])</f>
        <v>0</v>
      </c>
      <c r="T137" s="119" t="n">
        <f aca="false">SUMIFS(tabela_registros[VALOR],tabela_registros[MÊS],$AE$1,tabela_registros[DIA],investirrendavariávelconsolidadoset[[#Headers],[16]],tabela_registros[REGISTRO],DADOS!$N$5,tabela_registros[TIPO],DADOS!$AB$4,tabela_registros[CATEGORIA],investirrendavariávelconsolidadoset[[#This Row],[ATUAL]])</f>
        <v>0</v>
      </c>
      <c r="U137" s="119" t="n">
        <f aca="false">SUMIFS(tabela_registros[VALOR],tabela_registros[MÊS],$AE$1,tabela_registros[DIA],investirrendavariávelconsolidadoset[[#Headers],[17]],tabela_registros[REGISTRO],DADOS!$N$5,tabela_registros[TIPO],DADOS!$AB$4,tabela_registros[CATEGORIA],investirrendavariávelconsolidadoset[[#This Row],[ATUAL]])</f>
        <v>0</v>
      </c>
      <c r="V137" s="119" t="n">
        <f aca="false">SUMIFS(tabela_registros[VALOR],tabela_registros[MÊS],$AE$1,tabela_registros[DIA],investirrendavariávelconsolidadoset[[#Headers],[18]],tabela_registros[REGISTRO],DADOS!$N$5,tabela_registros[TIPO],DADOS!$AB$4,tabela_registros[CATEGORIA],investirrendavariávelconsolidadoset[[#This Row],[ATUAL]])</f>
        <v>0</v>
      </c>
      <c r="W137" s="119" t="n">
        <f aca="false">SUMIFS(tabela_registros[VALOR],tabela_registros[MÊS],$AE$1,tabela_registros[DIA],investirrendavariávelconsolidadoset[[#Headers],[19]],tabela_registros[REGISTRO],DADOS!$N$5,tabela_registros[TIPO],DADOS!$AB$4,tabela_registros[CATEGORIA],investirrendavariávelconsolidadoset[[#This Row],[ATUAL]])</f>
        <v>0</v>
      </c>
      <c r="X137" s="119" t="n">
        <f aca="false">SUMIFS(tabela_registros[VALOR],tabela_registros[MÊS],$AE$1,tabela_registros[DIA],investirrendavariávelconsolidadoset[[#Headers],[20]],tabela_registros[REGISTRO],DADOS!$N$5,tabela_registros[TIPO],DADOS!$AB$4,tabela_registros[CATEGORIA],investirrendavariávelconsolidadoset[[#This Row],[ATUAL]])</f>
        <v>0</v>
      </c>
      <c r="Y137" s="119" t="n">
        <f aca="false">SUMIFS(tabela_registros[VALOR],tabela_registros[MÊS],$AE$1,tabela_registros[DIA],investirrendavariávelconsolidadoset[[#Headers],[21]],tabela_registros[REGISTRO],DADOS!$N$5,tabela_registros[TIPO],DADOS!$AB$4,tabela_registros[CATEGORIA],investirrendavariávelconsolidadoset[[#This Row],[ATUAL]])</f>
        <v>0</v>
      </c>
      <c r="Z137" s="119" t="n">
        <f aca="false">SUMIFS(tabela_registros[VALOR],tabela_registros[MÊS],$AE$1,tabela_registros[DIA],investirrendavariávelconsolidadoset[[#Headers],[22]],tabela_registros[REGISTRO],DADOS!$N$5,tabela_registros[TIPO],DADOS!$AB$4,tabela_registros[CATEGORIA],investirrendavariávelconsolidadoset[[#This Row],[ATUAL]])</f>
        <v>0</v>
      </c>
      <c r="AA137" s="119" t="n">
        <f aca="false">SUMIFS(tabela_registros[VALOR],tabela_registros[MÊS],$AE$1,tabela_registros[DIA],investirrendavariávelconsolidadoset[[#Headers],[23]],tabela_registros[REGISTRO],DADOS!$N$5,tabela_registros[TIPO],DADOS!$AB$4,tabela_registros[CATEGORIA],investirrendavariávelconsolidadoset[[#This Row],[ATUAL]])</f>
        <v>0</v>
      </c>
      <c r="AB137" s="119" t="n">
        <f aca="false">SUMIFS(tabela_registros[VALOR],tabela_registros[MÊS],$AE$1,tabela_registros[DIA],investirrendavariávelconsolidadoset[[#Headers],[24]],tabela_registros[REGISTRO],DADOS!$N$5,tabela_registros[TIPO],DADOS!$AB$4,tabela_registros[CATEGORIA],investirrendavariávelconsolidadoset[[#This Row],[ATUAL]])</f>
        <v>0</v>
      </c>
      <c r="AC137" s="119" t="n">
        <f aca="false">SUMIFS(tabela_registros[VALOR],tabela_registros[MÊS],$AE$1,tabela_registros[DIA],investirrendavariávelconsolidadoset[[#Headers],[25]],tabela_registros[REGISTRO],DADOS!$N$5,tabela_registros[TIPO],DADOS!$AB$4,tabela_registros[CATEGORIA],investirrendavariávelconsolidadoset[[#This Row],[ATUAL]])</f>
        <v>0</v>
      </c>
      <c r="AD137" s="119" t="n">
        <f aca="false">SUMIFS(tabela_registros[VALOR],tabela_registros[MÊS],$AE$1,tabela_registros[DIA],investirrendavariávelconsolidadoset[[#Headers],[26]],tabela_registros[REGISTRO],DADOS!$N$5,tabela_registros[TIPO],DADOS!$AB$4,tabela_registros[CATEGORIA],investirrendavariávelconsolidadoset[[#This Row],[ATUAL]])</f>
        <v>0</v>
      </c>
      <c r="AE137" s="119" t="n">
        <f aca="false">SUMIFS(tabela_registros[VALOR],tabela_registros[MÊS],$AE$1,tabela_registros[DIA],investirrendavariávelconsolidadoset[[#Headers],[27]],tabela_registros[REGISTRO],DADOS!$N$5,tabela_registros[TIPO],DADOS!$AB$4,tabela_registros[CATEGORIA],investirrendavariávelconsolidadoset[[#This Row],[ATUAL]])</f>
        <v>0</v>
      </c>
      <c r="AF137" s="119" t="n">
        <f aca="false">SUMIFS(tabela_registros[VALOR],tabela_registros[MÊS],$AE$1,tabela_registros[DIA],investirrendavariávelconsolidadoset[[#Headers],[28]],tabela_registros[REGISTRO],DADOS!$N$5,tabela_registros[TIPO],DADOS!$AB$4,tabela_registros[CATEGORIA],investirrendavariávelconsolidadoset[[#This Row],[ATUAL]])</f>
        <v>0</v>
      </c>
      <c r="AG137" s="119" t="n">
        <f aca="false">SUMIFS(tabela_registros[VALOR],tabela_registros[MÊS],$AE$1,tabela_registros[DIA],investirrendavariávelconsolidadoset[[#Headers],[29]],tabela_registros[REGISTRO],DADOS!$N$5,tabela_registros[TIPO],DADOS!$AB$4,tabela_registros[CATEGORIA],investirrendavariávelconsolidadoset[[#This Row],[ATUAL]])</f>
        <v>0</v>
      </c>
      <c r="AH137" s="119" t="n">
        <f aca="false">SUMIFS(tabela_registros[VALOR],tabela_registros[MÊS],$AE$1,tabela_registros[DIA],investirrendavariávelconsolidadoset[[#Headers],[30]],tabela_registros[REGISTRO],DADOS!$N$5,tabela_registros[TIPO],DADOS!$AB$4,tabela_registros[CATEGORIA],investirrendavariávelconsolidadoset[[#This Row],[ATUAL]])</f>
        <v>0</v>
      </c>
      <c r="AI137" s="217" t="n">
        <f aca="false">SUMIFS(tabela_registros[VALOR],tabela_registros[MÊS],$AE$1,tabela_registros[DIA],investirrendavariávelconsolidadoset[[#Headers],[31]],tabela_registros[REGISTRO],DADOS!$N$5,tabela_registros[TIPO],DADOS!$AB$4,tabela_registros[CATEGORIA],investirrendavariávelconsolidadoset[[#This Row],[ATUAL]])</f>
        <v>0</v>
      </c>
      <c r="AJ137" s="149" t="n">
        <f aca="false">SUM(investirrendavariávelconsolidadoset[[#This Row],[1]:[31]])</f>
        <v>0</v>
      </c>
      <c r="AK137" s="165"/>
    </row>
    <row r="138" customFormat="false" ht="19.5" hidden="false" customHeight="true" outlineLevel="0" collapsed="false">
      <c r="B138" s="143"/>
      <c r="C138" s="144" t="str">
        <f aca="false">DADOS!$AF$9</f>
        <v>📝 EXTERIOR</v>
      </c>
      <c r="D138" s="145" t="str">
        <f aca="false">IF(investirrendavariávelconsolidadoset[[#This Row],[TOTAL (R$)]]=0,"",IF(OR(investirrendavariávelconsolidadoset[[#This Row],[TOTAL (R$)]]=LARGE($AJ$132:$AJ$141,1),investirrendavariávelconsolidadoset[[#This Row],[TOTAL (R$)]]=LARGE($AJ$132:$AJ$141,2)),DADOS!$I$10,""))</f>
        <v/>
      </c>
      <c r="E138" s="148" t="n">
        <f aca="false">SUMIFS(tabela_registros[VALOR],tabela_registros[MÊS],$AE$1,tabela_registros[DIA],investirrendavariávelconsolidadoset[[#Headers],[1]],tabela_registros[REGISTRO],DADOS!$N$5,tabela_registros[TIPO],DADOS!$AB$4,tabela_registros[CATEGORIA],investirrendavariávelconsolidadoset[[#This Row],[ATUAL]])</f>
        <v>0</v>
      </c>
      <c r="F138" s="119" t="n">
        <f aca="false">SUMIFS(tabela_registros[VALOR],tabela_registros[MÊS],$AE$1,tabela_registros[DIA],investirrendavariávelconsolidadoset[[#Headers],[2]],tabela_registros[REGISTRO],DADOS!$N$5,tabela_registros[TIPO],DADOS!$AB$4,tabela_registros[CATEGORIA],investirrendavariávelconsolidadoset[[#This Row],[ATUAL]])</f>
        <v>0</v>
      </c>
      <c r="G138" s="119" t="n">
        <f aca="false">SUMIFS(tabela_registros[VALOR],tabela_registros[MÊS],$AE$1,tabela_registros[DIA],investirrendavariávelconsolidadoset[[#Headers],[3]],tabela_registros[REGISTRO],DADOS!$N$5,tabela_registros[TIPO],DADOS!$AB$4,tabela_registros[CATEGORIA],investirrendavariávelconsolidadoset[[#This Row],[ATUAL]])</f>
        <v>0</v>
      </c>
      <c r="H138" s="119" t="n">
        <f aca="false">SUMIFS(tabela_registros[VALOR],tabela_registros[MÊS],$AE$1,tabela_registros[DIA],investirrendavariávelconsolidadoset[[#Headers],[4]],tabela_registros[REGISTRO],DADOS!$N$5,tabela_registros[TIPO],DADOS!$AB$4,tabela_registros[CATEGORIA],investirrendavariávelconsolidadoset[[#This Row],[ATUAL]])</f>
        <v>0</v>
      </c>
      <c r="I138" s="119" t="n">
        <f aca="false">SUMIFS(tabela_registros[VALOR],tabela_registros[MÊS],$AE$1,tabela_registros[DIA],investirrendavariávelconsolidadoset[[#Headers],[5]],tabela_registros[REGISTRO],DADOS!$N$5,tabela_registros[TIPO],DADOS!$AB$4,tabela_registros[CATEGORIA],investirrendavariávelconsolidadoset[[#This Row],[ATUAL]])</f>
        <v>0</v>
      </c>
      <c r="J138" s="119" t="n">
        <f aca="false">SUMIFS(tabela_registros[VALOR],tabela_registros[MÊS],$AE$1,tabela_registros[DIA],investirrendavariávelconsolidadoset[[#Headers],[6]],tabela_registros[REGISTRO],DADOS!$N$5,tabela_registros[TIPO],DADOS!$AB$4,tabela_registros[CATEGORIA],investirrendavariávelconsolidadoset[[#This Row],[ATUAL]])</f>
        <v>0</v>
      </c>
      <c r="K138" s="119" t="n">
        <f aca="false">SUMIFS(tabela_registros[VALOR],tabela_registros[MÊS],$AE$1,tabela_registros[DIA],investirrendavariávelconsolidadoset[[#Headers],[7]],tabela_registros[REGISTRO],DADOS!$N$5,tabela_registros[TIPO],DADOS!$AB$4,tabela_registros[CATEGORIA],investirrendavariávelconsolidadoset[[#This Row],[ATUAL]])</f>
        <v>0</v>
      </c>
      <c r="L138" s="119" t="n">
        <f aca="false">SUMIFS(tabela_registros[VALOR],tabela_registros[MÊS],$AE$1,tabela_registros[DIA],investirrendavariávelconsolidadoset[[#Headers],[8]],tabela_registros[REGISTRO],DADOS!$N$5,tabela_registros[TIPO],DADOS!$AB$4,tabela_registros[CATEGORIA],investirrendavariávelconsolidadoset[[#This Row],[ATUAL]])</f>
        <v>0</v>
      </c>
      <c r="M138" s="119" t="n">
        <f aca="false">SUMIFS(tabela_registros[VALOR],tabela_registros[MÊS],$AE$1,tabela_registros[DIA],investirrendavariávelconsolidadoset[[#Headers],[9]],tabela_registros[REGISTRO],DADOS!$N$5,tabela_registros[TIPO],DADOS!$AB$4,tabela_registros[CATEGORIA],investirrendavariávelconsolidadoset[[#This Row],[ATUAL]])</f>
        <v>0</v>
      </c>
      <c r="N138" s="119" t="n">
        <f aca="false">SUMIFS(tabela_registros[VALOR],tabela_registros[MÊS],$AE$1,tabela_registros[DIA],investirrendavariávelconsolidadoset[[#Headers],[10]],tabela_registros[REGISTRO],DADOS!$N$5,tabela_registros[TIPO],DADOS!$AB$4,tabela_registros[CATEGORIA],investirrendavariávelconsolidadoset[[#This Row],[ATUAL]])</f>
        <v>0</v>
      </c>
      <c r="O138" s="119" t="n">
        <f aca="false">SUMIFS(tabela_registros[VALOR],tabela_registros[MÊS],$AE$1,tabela_registros[DIA],investirrendavariávelconsolidadoset[[#Headers],[11]],tabela_registros[REGISTRO],DADOS!$N$5,tabela_registros[TIPO],DADOS!$AB$4,tabela_registros[CATEGORIA],investirrendavariávelconsolidadoset[[#This Row],[ATUAL]])</f>
        <v>0</v>
      </c>
      <c r="P138" s="119" t="n">
        <f aca="false">SUMIFS(tabela_registros[VALOR],tabela_registros[MÊS],$AE$1,tabela_registros[DIA],investirrendavariávelconsolidadoset[[#Headers],[12]],tabela_registros[REGISTRO],DADOS!$N$5,tabela_registros[TIPO],DADOS!$AB$4,tabela_registros[CATEGORIA],investirrendavariávelconsolidadoset[[#This Row],[ATUAL]])</f>
        <v>0</v>
      </c>
      <c r="Q138" s="119" t="n">
        <f aca="false">SUMIFS(tabela_registros[VALOR],tabela_registros[MÊS],$AE$1,tabela_registros[DIA],investirrendavariávelconsolidadoset[[#Headers],[13]],tabela_registros[REGISTRO],DADOS!$N$5,tabela_registros[TIPO],DADOS!$AB$4,tabela_registros[CATEGORIA],investirrendavariávelconsolidadoset[[#This Row],[ATUAL]])</f>
        <v>0</v>
      </c>
      <c r="R138" s="119" t="n">
        <f aca="false">SUMIFS(tabela_registros[VALOR],tabela_registros[MÊS],$AE$1,tabela_registros[DIA],investirrendavariávelconsolidadoset[[#Headers],[14]],tabela_registros[REGISTRO],DADOS!$N$5,tabela_registros[TIPO],DADOS!$AB$4,tabela_registros[CATEGORIA],investirrendavariávelconsolidadoset[[#This Row],[ATUAL]])</f>
        <v>0</v>
      </c>
      <c r="S138" s="119" t="n">
        <f aca="false">SUMIFS(tabela_registros[VALOR],tabela_registros[MÊS],$AE$1,tabela_registros[DIA],investirrendavariávelconsolidadoset[[#Headers],[15]],tabela_registros[REGISTRO],DADOS!$N$5,tabela_registros[TIPO],DADOS!$AB$4,tabela_registros[CATEGORIA],investirrendavariávelconsolidadoset[[#This Row],[ATUAL]])</f>
        <v>0</v>
      </c>
      <c r="T138" s="119" t="n">
        <f aca="false">SUMIFS(tabela_registros[VALOR],tabela_registros[MÊS],$AE$1,tabela_registros[DIA],investirrendavariávelconsolidadoset[[#Headers],[16]],tabela_registros[REGISTRO],DADOS!$N$5,tabela_registros[TIPO],DADOS!$AB$4,tabela_registros[CATEGORIA],investirrendavariávelconsolidadoset[[#This Row],[ATUAL]])</f>
        <v>0</v>
      </c>
      <c r="U138" s="119" t="n">
        <f aca="false">SUMIFS(tabela_registros[VALOR],tabela_registros[MÊS],$AE$1,tabela_registros[DIA],investirrendavariávelconsolidadoset[[#Headers],[17]],tabela_registros[REGISTRO],DADOS!$N$5,tabela_registros[TIPO],DADOS!$AB$4,tabela_registros[CATEGORIA],investirrendavariávelconsolidadoset[[#This Row],[ATUAL]])</f>
        <v>0</v>
      </c>
      <c r="V138" s="119" t="n">
        <f aca="false">SUMIFS(tabela_registros[VALOR],tabela_registros[MÊS],$AE$1,tabela_registros[DIA],investirrendavariávelconsolidadoset[[#Headers],[18]],tabela_registros[REGISTRO],DADOS!$N$5,tabela_registros[TIPO],DADOS!$AB$4,tabela_registros[CATEGORIA],investirrendavariávelconsolidadoset[[#This Row],[ATUAL]])</f>
        <v>0</v>
      </c>
      <c r="W138" s="119" t="n">
        <f aca="false">SUMIFS(tabela_registros[VALOR],tabela_registros[MÊS],$AE$1,tabela_registros[DIA],investirrendavariávelconsolidadoset[[#Headers],[19]],tabela_registros[REGISTRO],DADOS!$N$5,tabela_registros[TIPO],DADOS!$AB$4,tabela_registros[CATEGORIA],investirrendavariávelconsolidadoset[[#This Row],[ATUAL]])</f>
        <v>0</v>
      </c>
      <c r="X138" s="119" t="n">
        <f aca="false">SUMIFS(tabela_registros[VALOR],tabela_registros[MÊS],$AE$1,tabela_registros[DIA],investirrendavariávelconsolidadoset[[#Headers],[20]],tabela_registros[REGISTRO],DADOS!$N$5,tabela_registros[TIPO],DADOS!$AB$4,tabela_registros[CATEGORIA],investirrendavariávelconsolidadoset[[#This Row],[ATUAL]])</f>
        <v>0</v>
      </c>
      <c r="Y138" s="119" t="n">
        <f aca="false">SUMIFS(tabela_registros[VALOR],tabela_registros[MÊS],$AE$1,tabela_registros[DIA],investirrendavariávelconsolidadoset[[#Headers],[21]],tabela_registros[REGISTRO],DADOS!$N$5,tabela_registros[TIPO],DADOS!$AB$4,tabela_registros[CATEGORIA],investirrendavariávelconsolidadoset[[#This Row],[ATUAL]])</f>
        <v>0</v>
      </c>
      <c r="Z138" s="119" t="n">
        <f aca="false">SUMIFS(tabela_registros[VALOR],tabela_registros[MÊS],$AE$1,tabela_registros[DIA],investirrendavariávelconsolidadoset[[#Headers],[22]],tabela_registros[REGISTRO],DADOS!$N$5,tabela_registros[TIPO],DADOS!$AB$4,tabela_registros[CATEGORIA],investirrendavariávelconsolidadoset[[#This Row],[ATUAL]])</f>
        <v>0</v>
      </c>
      <c r="AA138" s="119" t="n">
        <f aca="false">SUMIFS(tabela_registros[VALOR],tabela_registros[MÊS],$AE$1,tabela_registros[DIA],investirrendavariávelconsolidadoset[[#Headers],[23]],tabela_registros[REGISTRO],DADOS!$N$5,tabela_registros[TIPO],DADOS!$AB$4,tabela_registros[CATEGORIA],investirrendavariávelconsolidadoset[[#This Row],[ATUAL]])</f>
        <v>0</v>
      </c>
      <c r="AB138" s="119" t="n">
        <f aca="false">SUMIFS(tabela_registros[VALOR],tabela_registros[MÊS],$AE$1,tabela_registros[DIA],investirrendavariávelconsolidadoset[[#Headers],[24]],tabela_registros[REGISTRO],DADOS!$N$5,tabela_registros[TIPO],DADOS!$AB$4,tabela_registros[CATEGORIA],investirrendavariávelconsolidadoset[[#This Row],[ATUAL]])</f>
        <v>0</v>
      </c>
      <c r="AC138" s="119" t="n">
        <f aca="false">SUMIFS(tabela_registros[VALOR],tabela_registros[MÊS],$AE$1,tabela_registros[DIA],investirrendavariávelconsolidadoset[[#Headers],[25]],tabela_registros[REGISTRO],DADOS!$N$5,tabela_registros[TIPO],DADOS!$AB$4,tabela_registros[CATEGORIA],investirrendavariávelconsolidadoset[[#This Row],[ATUAL]])</f>
        <v>0</v>
      </c>
      <c r="AD138" s="119" t="n">
        <f aca="false">SUMIFS(tabela_registros[VALOR],tabela_registros[MÊS],$AE$1,tabela_registros[DIA],investirrendavariávelconsolidadoset[[#Headers],[26]],tabela_registros[REGISTRO],DADOS!$N$5,tabela_registros[TIPO],DADOS!$AB$4,tabela_registros[CATEGORIA],investirrendavariávelconsolidadoset[[#This Row],[ATUAL]])</f>
        <v>0</v>
      </c>
      <c r="AE138" s="119" t="n">
        <f aca="false">SUMIFS(tabela_registros[VALOR],tabela_registros[MÊS],$AE$1,tabela_registros[DIA],investirrendavariávelconsolidadoset[[#Headers],[27]],tabela_registros[REGISTRO],DADOS!$N$5,tabela_registros[TIPO],DADOS!$AB$4,tabela_registros[CATEGORIA],investirrendavariávelconsolidadoset[[#This Row],[ATUAL]])</f>
        <v>0</v>
      </c>
      <c r="AF138" s="119" t="n">
        <f aca="false">SUMIFS(tabela_registros[VALOR],tabela_registros[MÊS],$AE$1,tabela_registros[DIA],investirrendavariávelconsolidadoset[[#Headers],[28]],tabela_registros[REGISTRO],DADOS!$N$5,tabela_registros[TIPO],DADOS!$AB$4,tabela_registros[CATEGORIA],investirrendavariávelconsolidadoset[[#This Row],[ATUAL]])</f>
        <v>0</v>
      </c>
      <c r="AG138" s="119" t="n">
        <f aca="false">SUMIFS(tabela_registros[VALOR],tabela_registros[MÊS],$AE$1,tabela_registros[DIA],investirrendavariávelconsolidadoset[[#Headers],[29]],tabela_registros[REGISTRO],DADOS!$N$5,tabela_registros[TIPO],DADOS!$AB$4,tabela_registros[CATEGORIA],investirrendavariávelconsolidadoset[[#This Row],[ATUAL]])</f>
        <v>0</v>
      </c>
      <c r="AH138" s="119" t="n">
        <f aca="false">SUMIFS(tabela_registros[VALOR],tabela_registros[MÊS],$AE$1,tabela_registros[DIA],investirrendavariávelconsolidadoset[[#Headers],[30]],tabela_registros[REGISTRO],DADOS!$N$5,tabela_registros[TIPO],DADOS!$AB$4,tabela_registros[CATEGORIA],investirrendavariávelconsolidadoset[[#This Row],[ATUAL]])</f>
        <v>0</v>
      </c>
      <c r="AI138" s="217" t="n">
        <f aca="false">SUMIFS(tabela_registros[VALOR],tabela_registros[MÊS],$AE$1,tabela_registros[DIA],investirrendavariávelconsolidadoset[[#Headers],[31]],tabela_registros[REGISTRO],DADOS!$N$5,tabela_registros[TIPO],DADOS!$AB$4,tabela_registros[CATEGORIA],investirrendavariávelconsolidadoset[[#This Row],[ATUAL]])</f>
        <v>0</v>
      </c>
      <c r="AJ138" s="149" t="n">
        <f aca="false">SUM(investirrendavariávelconsolidadoset[[#This Row],[1]:[31]])</f>
        <v>0</v>
      </c>
      <c r="AK138" s="165"/>
    </row>
    <row r="139" customFormat="false" ht="19.5" hidden="false" customHeight="true" outlineLevel="0" collapsed="false">
      <c r="B139" s="143"/>
      <c r="C139" s="144" t="str">
        <f aca="false">DADOS!$AF$10</f>
        <v>📝 FII</v>
      </c>
      <c r="D139" s="145" t="str">
        <f aca="false">IF(investirrendavariávelconsolidadoset[[#This Row],[TOTAL (R$)]]=0,"",IF(OR(investirrendavariávelconsolidadoset[[#This Row],[TOTAL (R$)]]=LARGE($AJ$132:$AJ$141,1),investirrendavariávelconsolidadoset[[#This Row],[TOTAL (R$)]]=LARGE($AJ$132:$AJ$141,2)),DADOS!$I$10,""))</f>
        <v/>
      </c>
      <c r="E139" s="148" t="n">
        <f aca="false">SUMIFS(tabela_registros[VALOR],tabela_registros[MÊS],$AE$1,tabela_registros[DIA],investirrendavariávelconsolidadoset[[#Headers],[1]],tabela_registros[REGISTRO],DADOS!$N$5,tabela_registros[TIPO],DADOS!$AB$4,tabela_registros[CATEGORIA],investirrendavariávelconsolidadoset[[#This Row],[ATUAL]])</f>
        <v>0</v>
      </c>
      <c r="F139" s="119" t="n">
        <f aca="false">SUMIFS(tabela_registros[VALOR],tabela_registros[MÊS],$AE$1,tabela_registros[DIA],investirrendavariávelconsolidadoset[[#Headers],[2]],tabela_registros[REGISTRO],DADOS!$N$5,tabela_registros[TIPO],DADOS!$AB$4,tabela_registros[CATEGORIA],investirrendavariávelconsolidadoset[[#This Row],[ATUAL]])</f>
        <v>0</v>
      </c>
      <c r="G139" s="119" t="n">
        <f aca="false">SUMIFS(tabela_registros[VALOR],tabela_registros[MÊS],$AE$1,tabela_registros[DIA],investirrendavariávelconsolidadoset[[#Headers],[3]],tabela_registros[REGISTRO],DADOS!$N$5,tabela_registros[TIPO],DADOS!$AB$4,tabela_registros[CATEGORIA],investirrendavariávelconsolidadoset[[#This Row],[ATUAL]])</f>
        <v>0</v>
      </c>
      <c r="H139" s="119" t="n">
        <f aca="false">SUMIFS(tabela_registros[VALOR],tabela_registros[MÊS],$AE$1,tabela_registros[DIA],investirrendavariávelconsolidadoset[[#Headers],[4]],tabela_registros[REGISTRO],DADOS!$N$5,tabela_registros[TIPO],DADOS!$AB$4,tabela_registros[CATEGORIA],investirrendavariávelconsolidadoset[[#This Row],[ATUAL]])</f>
        <v>0</v>
      </c>
      <c r="I139" s="119" t="n">
        <f aca="false">SUMIFS(tabela_registros[VALOR],tabela_registros[MÊS],$AE$1,tabela_registros[DIA],investirrendavariávelconsolidadoset[[#Headers],[5]],tabela_registros[REGISTRO],DADOS!$N$5,tabela_registros[TIPO],DADOS!$AB$4,tabela_registros[CATEGORIA],investirrendavariávelconsolidadoset[[#This Row],[ATUAL]])</f>
        <v>0</v>
      </c>
      <c r="J139" s="119" t="n">
        <f aca="false">SUMIFS(tabela_registros[VALOR],tabela_registros[MÊS],$AE$1,tabela_registros[DIA],investirrendavariávelconsolidadoset[[#Headers],[6]],tabela_registros[REGISTRO],DADOS!$N$5,tabela_registros[TIPO],DADOS!$AB$4,tabela_registros[CATEGORIA],investirrendavariávelconsolidadoset[[#This Row],[ATUAL]])</f>
        <v>0</v>
      </c>
      <c r="K139" s="119" t="n">
        <f aca="false">SUMIFS(tabela_registros[VALOR],tabela_registros[MÊS],$AE$1,tabela_registros[DIA],investirrendavariávelconsolidadoset[[#Headers],[7]],tabela_registros[REGISTRO],DADOS!$N$5,tabela_registros[TIPO],DADOS!$AB$4,tabela_registros[CATEGORIA],investirrendavariávelconsolidadoset[[#This Row],[ATUAL]])</f>
        <v>0</v>
      </c>
      <c r="L139" s="119" t="n">
        <f aca="false">SUMIFS(tabela_registros[VALOR],tabela_registros[MÊS],$AE$1,tabela_registros[DIA],investirrendavariávelconsolidadoset[[#Headers],[8]],tabela_registros[REGISTRO],DADOS!$N$5,tabela_registros[TIPO],DADOS!$AB$4,tabela_registros[CATEGORIA],investirrendavariávelconsolidadoset[[#This Row],[ATUAL]])</f>
        <v>0</v>
      </c>
      <c r="M139" s="119" t="n">
        <f aca="false">SUMIFS(tabela_registros[VALOR],tabela_registros[MÊS],$AE$1,tabela_registros[DIA],investirrendavariávelconsolidadoset[[#Headers],[9]],tabela_registros[REGISTRO],DADOS!$N$5,tabela_registros[TIPO],DADOS!$AB$4,tabela_registros[CATEGORIA],investirrendavariávelconsolidadoset[[#This Row],[ATUAL]])</f>
        <v>0</v>
      </c>
      <c r="N139" s="119" t="n">
        <f aca="false">SUMIFS(tabela_registros[VALOR],tabela_registros[MÊS],$AE$1,tabela_registros[DIA],investirrendavariávelconsolidadoset[[#Headers],[10]],tabela_registros[REGISTRO],DADOS!$N$5,tabela_registros[TIPO],DADOS!$AB$4,tabela_registros[CATEGORIA],investirrendavariávelconsolidadoset[[#This Row],[ATUAL]])</f>
        <v>0</v>
      </c>
      <c r="O139" s="119" t="n">
        <f aca="false">SUMIFS(tabela_registros[VALOR],tabela_registros[MÊS],$AE$1,tabela_registros[DIA],investirrendavariávelconsolidadoset[[#Headers],[11]],tabela_registros[REGISTRO],DADOS!$N$5,tabela_registros[TIPO],DADOS!$AB$4,tabela_registros[CATEGORIA],investirrendavariávelconsolidadoset[[#This Row],[ATUAL]])</f>
        <v>0</v>
      </c>
      <c r="P139" s="119" t="n">
        <f aca="false">SUMIFS(tabela_registros[VALOR],tabela_registros[MÊS],$AE$1,tabela_registros[DIA],investirrendavariávelconsolidadoset[[#Headers],[12]],tabela_registros[REGISTRO],DADOS!$N$5,tabela_registros[TIPO],DADOS!$AB$4,tabela_registros[CATEGORIA],investirrendavariávelconsolidadoset[[#This Row],[ATUAL]])</f>
        <v>0</v>
      </c>
      <c r="Q139" s="119" t="n">
        <f aca="false">SUMIFS(tabela_registros[VALOR],tabela_registros[MÊS],$AE$1,tabela_registros[DIA],investirrendavariávelconsolidadoset[[#Headers],[13]],tabela_registros[REGISTRO],DADOS!$N$5,tabela_registros[TIPO],DADOS!$AB$4,tabela_registros[CATEGORIA],investirrendavariávelconsolidadoset[[#This Row],[ATUAL]])</f>
        <v>0</v>
      </c>
      <c r="R139" s="119" t="n">
        <f aca="false">SUMIFS(tabela_registros[VALOR],tabela_registros[MÊS],$AE$1,tabela_registros[DIA],investirrendavariávelconsolidadoset[[#Headers],[14]],tabela_registros[REGISTRO],DADOS!$N$5,tabela_registros[TIPO],DADOS!$AB$4,tabela_registros[CATEGORIA],investirrendavariávelconsolidadoset[[#This Row],[ATUAL]])</f>
        <v>0</v>
      </c>
      <c r="S139" s="119" t="n">
        <f aca="false">SUMIFS(tabela_registros[VALOR],tabela_registros[MÊS],$AE$1,tabela_registros[DIA],investirrendavariávelconsolidadoset[[#Headers],[15]],tabela_registros[REGISTRO],DADOS!$N$5,tabela_registros[TIPO],DADOS!$AB$4,tabela_registros[CATEGORIA],investirrendavariávelconsolidadoset[[#This Row],[ATUAL]])</f>
        <v>0</v>
      </c>
      <c r="T139" s="119" t="n">
        <f aca="false">SUMIFS(tabela_registros[VALOR],tabela_registros[MÊS],$AE$1,tabela_registros[DIA],investirrendavariávelconsolidadoset[[#Headers],[16]],tabela_registros[REGISTRO],DADOS!$N$5,tabela_registros[TIPO],DADOS!$AB$4,tabela_registros[CATEGORIA],investirrendavariávelconsolidadoset[[#This Row],[ATUAL]])</f>
        <v>0</v>
      </c>
      <c r="U139" s="119" t="n">
        <f aca="false">SUMIFS(tabela_registros[VALOR],tabela_registros[MÊS],$AE$1,tabela_registros[DIA],investirrendavariávelconsolidadoset[[#Headers],[17]],tabela_registros[REGISTRO],DADOS!$N$5,tabela_registros[TIPO],DADOS!$AB$4,tabela_registros[CATEGORIA],investirrendavariávelconsolidadoset[[#This Row],[ATUAL]])</f>
        <v>0</v>
      </c>
      <c r="V139" s="119" t="n">
        <f aca="false">SUMIFS(tabela_registros[VALOR],tabela_registros[MÊS],$AE$1,tabela_registros[DIA],investirrendavariávelconsolidadoset[[#Headers],[18]],tabela_registros[REGISTRO],DADOS!$N$5,tabela_registros[TIPO],DADOS!$AB$4,tabela_registros[CATEGORIA],investirrendavariávelconsolidadoset[[#This Row],[ATUAL]])</f>
        <v>0</v>
      </c>
      <c r="W139" s="119" t="n">
        <f aca="false">SUMIFS(tabela_registros[VALOR],tabela_registros[MÊS],$AE$1,tabela_registros[DIA],investirrendavariávelconsolidadoset[[#Headers],[19]],tabela_registros[REGISTRO],DADOS!$N$5,tabela_registros[TIPO],DADOS!$AB$4,tabela_registros[CATEGORIA],investirrendavariávelconsolidadoset[[#This Row],[ATUAL]])</f>
        <v>0</v>
      </c>
      <c r="X139" s="119" t="n">
        <f aca="false">SUMIFS(tabela_registros[VALOR],tabela_registros[MÊS],$AE$1,tabela_registros[DIA],investirrendavariávelconsolidadoset[[#Headers],[20]],tabela_registros[REGISTRO],DADOS!$N$5,tabela_registros[TIPO],DADOS!$AB$4,tabela_registros[CATEGORIA],investirrendavariávelconsolidadoset[[#This Row],[ATUAL]])</f>
        <v>0</v>
      </c>
      <c r="Y139" s="119" t="n">
        <f aca="false">SUMIFS(tabela_registros[VALOR],tabela_registros[MÊS],$AE$1,tabela_registros[DIA],investirrendavariávelconsolidadoset[[#Headers],[21]],tabela_registros[REGISTRO],DADOS!$N$5,tabela_registros[TIPO],DADOS!$AB$4,tabela_registros[CATEGORIA],investirrendavariávelconsolidadoset[[#This Row],[ATUAL]])</f>
        <v>0</v>
      </c>
      <c r="Z139" s="119" t="n">
        <f aca="false">SUMIFS(tabela_registros[VALOR],tabela_registros[MÊS],$AE$1,tabela_registros[DIA],investirrendavariávelconsolidadoset[[#Headers],[22]],tabela_registros[REGISTRO],DADOS!$N$5,tabela_registros[TIPO],DADOS!$AB$4,tabela_registros[CATEGORIA],investirrendavariávelconsolidadoset[[#This Row],[ATUAL]])</f>
        <v>0</v>
      </c>
      <c r="AA139" s="119" t="n">
        <f aca="false">SUMIFS(tabela_registros[VALOR],tabela_registros[MÊS],$AE$1,tabela_registros[DIA],investirrendavariávelconsolidadoset[[#Headers],[23]],tabela_registros[REGISTRO],DADOS!$N$5,tabela_registros[TIPO],DADOS!$AB$4,tabela_registros[CATEGORIA],investirrendavariávelconsolidadoset[[#This Row],[ATUAL]])</f>
        <v>0</v>
      </c>
      <c r="AB139" s="119" t="n">
        <f aca="false">SUMIFS(tabela_registros[VALOR],tabela_registros[MÊS],$AE$1,tabela_registros[DIA],investirrendavariávelconsolidadoset[[#Headers],[24]],tabela_registros[REGISTRO],DADOS!$N$5,tabela_registros[TIPO],DADOS!$AB$4,tabela_registros[CATEGORIA],investirrendavariávelconsolidadoset[[#This Row],[ATUAL]])</f>
        <v>0</v>
      </c>
      <c r="AC139" s="119" t="n">
        <f aca="false">SUMIFS(tabela_registros[VALOR],tabela_registros[MÊS],$AE$1,tabela_registros[DIA],investirrendavariávelconsolidadoset[[#Headers],[25]],tabela_registros[REGISTRO],DADOS!$N$5,tabela_registros[TIPO],DADOS!$AB$4,tabela_registros[CATEGORIA],investirrendavariávelconsolidadoset[[#This Row],[ATUAL]])</f>
        <v>0</v>
      </c>
      <c r="AD139" s="119" t="n">
        <f aca="false">SUMIFS(tabela_registros[VALOR],tabela_registros[MÊS],$AE$1,tabela_registros[DIA],investirrendavariávelconsolidadoset[[#Headers],[26]],tabela_registros[REGISTRO],DADOS!$N$5,tabela_registros[TIPO],DADOS!$AB$4,tabela_registros[CATEGORIA],investirrendavariávelconsolidadoset[[#This Row],[ATUAL]])</f>
        <v>0</v>
      </c>
      <c r="AE139" s="119" t="n">
        <f aca="false">SUMIFS(tabela_registros[VALOR],tabela_registros[MÊS],$AE$1,tabela_registros[DIA],investirrendavariávelconsolidadoset[[#Headers],[27]],tabela_registros[REGISTRO],DADOS!$N$5,tabela_registros[TIPO],DADOS!$AB$4,tabela_registros[CATEGORIA],investirrendavariávelconsolidadoset[[#This Row],[ATUAL]])</f>
        <v>0</v>
      </c>
      <c r="AF139" s="119" t="n">
        <f aca="false">SUMIFS(tabela_registros[VALOR],tabela_registros[MÊS],$AE$1,tabela_registros[DIA],investirrendavariávelconsolidadoset[[#Headers],[28]],tabela_registros[REGISTRO],DADOS!$N$5,tabela_registros[TIPO],DADOS!$AB$4,tabela_registros[CATEGORIA],investirrendavariávelconsolidadoset[[#This Row],[ATUAL]])</f>
        <v>0</v>
      </c>
      <c r="AG139" s="119" t="n">
        <f aca="false">SUMIFS(tabela_registros[VALOR],tabela_registros[MÊS],$AE$1,tabela_registros[DIA],investirrendavariávelconsolidadoset[[#Headers],[29]],tabela_registros[REGISTRO],DADOS!$N$5,tabela_registros[TIPO],DADOS!$AB$4,tabela_registros[CATEGORIA],investirrendavariávelconsolidadoset[[#This Row],[ATUAL]])</f>
        <v>0</v>
      </c>
      <c r="AH139" s="119" t="n">
        <f aca="false">SUMIFS(tabela_registros[VALOR],tabela_registros[MÊS],$AE$1,tabela_registros[DIA],investirrendavariávelconsolidadoset[[#Headers],[30]],tabela_registros[REGISTRO],DADOS!$N$5,tabela_registros[TIPO],DADOS!$AB$4,tabela_registros[CATEGORIA],investirrendavariávelconsolidadoset[[#This Row],[ATUAL]])</f>
        <v>0</v>
      </c>
      <c r="AI139" s="217" t="n">
        <f aca="false">SUMIFS(tabela_registros[VALOR],tabela_registros[MÊS],$AE$1,tabela_registros[DIA],investirrendavariávelconsolidadoset[[#Headers],[31]],tabela_registros[REGISTRO],DADOS!$N$5,tabela_registros[TIPO],DADOS!$AB$4,tabela_registros[CATEGORIA],investirrendavariávelconsolidadoset[[#This Row],[ATUAL]])</f>
        <v>0</v>
      </c>
      <c r="AJ139" s="149" t="n">
        <f aca="false">SUM(investirrendavariávelconsolidadoset[[#This Row],[1]:[31]])</f>
        <v>0</v>
      </c>
      <c r="AK139" s="165"/>
    </row>
    <row r="140" customFormat="false" ht="19.5" hidden="false" customHeight="true" outlineLevel="0" collapsed="false">
      <c r="B140" s="143"/>
      <c r="C140" s="144" t="str">
        <f aca="false">DADOS!$AF$11</f>
        <v>📝 MOEDA</v>
      </c>
      <c r="D140" s="145" t="str">
        <f aca="false">IF(investirrendavariávelconsolidadoset[[#This Row],[TOTAL (R$)]]=0,"",IF(OR(investirrendavariávelconsolidadoset[[#This Row],[TOTAL (R$)]]=LARGE($AJ$132:$AJ$141,1),investirrendavariávelconsolidadoset[[#This Row],[TOTAL (R$)]]=LARGE($AJ$132:$AJ$141,2)),DADOS!$I$10,""))</f>
        <v/>
      </c>
      <c r="E140" s="148" t="n">
        <f aca="false">SUMIFS(tabela_registros[VALOR],tabela_registros[MÊS],$AE$1,tabela_registros[DIA],investirrendavariávelconsolidadoset[[#Headers],[1]],tabela_registros[REGISTRO],DADOS!$N$5,tabela_registros[TIPO],DADOS!$AB$4,tabela_registros[CATEGORIA],investirrendavariávelconsolidadoset[[#This Row],[ATUAL]])</f>
        <v>0</v>
      </c>
      <c r="F140" s="119" t="n">
        <f aca="false">SUMIFS(tabela_registros[VALOR],tabela_registros[MÊS],$AE$1,tabela_registros[DIA],investirrendavariávelconsolidadoset[[#Headers],[2]],tabela_registros[REGISTRO],DADOS!$N$5,tabela_registros[TIPO],DADOS!$AB$4,tabela_registros[CATEGORIA],investirrendavariávelconsolidadoset[[#This Row],[ATUAL]])</f>
        <v>0</v>
      </c>
      <c r="G140" s="119" t="n">
        <f aca="false">SUMIFS(tabela_registros[VALOR],tabela_registros[MÊS],$AE$1,tabela_registros[DIA],investirrendavariávelconsolidadoset[[#Headers],[3]],tabela_registros[REGISTRO],DADOS!$N$5,tabela_registros[TIPO],DADOS!$AB$4,tabela_registros[CATEGORIA],investirrendavariávelconsolidadoset[[#This Row],[ATUAL]])</f>
        <v>0</v>
      </c>
      <c r="H140" s="119" t="n">
        <f aca="false">SUMIFS(tabela_registros[VALOR],tabela_registros[MÊS],$AE$1,tabela_registros[DIA],investirrendavariávelconsolidadoset[[#Headers],[4]],tabela_registros[REGISTRO],DADOS!$N$5,tabela_registros[TIPO],DADOS!$AB$4,tabela_registros[CATEGORIA],investirrendavariávelconsolidadoset[[#This Row],[ATUAL]])</f>
        <v>0</v>
      </c>
      <c r="I140" s="119" t="n">
        <f aca="false">SUMIFS(tabela_registros[VALOR],tabela_registros[MÊS],$AE$1,tabela_registros[DIA],investirrendavariávelconsolidadoset[[#Headers],[5]],tabela_registros[REGISTRO],DADOS!$N$5,tabela_registros[TIPO],DADOS!$AB$4,tabela_registros[CATEGORIA],investirrendavariávelconsolidadoset[[#This Row],[ATUAL]])</f>
        <v>0</v>
      </c>
      <c r="J140" s="119" t="n">
        <f aca="false">SUMIFS(tabela_registros[VALOR],tabela_registros[MÊS],$AE$1,tabela_registros[DIA],investirrendavariávelconsolidadoset[[#Headers],[6]],tabela_registros[REGISTRO],DADOS!$N$5,tabela_registros[TIPO],DADOS!$AB$4,tabela_registros[CATEGORIA],investirrendavariávelconsolidadoset[[#This Row],[ATUAL]])</f>
        <v>0</v>
      </c>
      <c r="K140" s="119" t="n">
        <f aca="false">SUMIFS(tabela_registros[VALOR],tabela_registros[MÊS],$AE$1,tabela_registros[DIA],investirrendavariávelconsolidadoset[[#Headers],[7]],tabela_registros[REGISTRO],DADOS!$N$5,tabela_registros[TIPO],DADOS!$AB$4,tabela_registros[CATEGORIA],investirrendavariávelconsolidadoset[[#This Row],[ATUAL]])</f>
        <v>0</v>
      </c>
      <c r="L140" s="119" t="n">
        <f aca="false">SUMIFS(tabela_registros[VALOR],tabela_registros[MÊS],$AE$1,tabela_registros[DIA],investirrendavariávelconsolidadoset[[#Headers],[8]],tabela_registros[REGISTRO],DADOS!$N$5,tabela_registros[TIPO],DADOS!$AB$4,tabela_registros[CATEGORIA],investirrendavariávelconsolidadoset[[#This Row],[ATUAL]])</f>
        <v>0</v>
      </c>
      <c r="M140" s="119" t="n">
        <f aca="false">SUMIFS(tabela_registros[VALOR],tabela_registros[MÊS],$AE$1,tabela_registros[DIA],investirrendavariávelconsolidadoset[[#Headers],[9]],tabela_registros[REGISTRO],DADOS!$N$5,tabela_registros[TIPO],DADOS!$AB$4,tabela_registros[CATEGORIA],investirrendavariávelconsolidadoset[[#This Row],[ATUAL]])</f>
        <v>0</v>
      </c>
      <c r="N140" s="119" t="n">
        <f aca="false">SUMIFS(tabela_registros[VALOR],tabela_registros[MÊS],$AE$1,tabela_registros[DIA],investirrendavariávelconsolidadoset[[#Headers],[10]],tabela_registros[REGISTRO],DADOS!$N$5,tabela_registros[TIPO],DADOS!$AB$4,tabela_registros[CATEGORIA],investirrendavariávelconsolidadoset[[#This Row],[ATUAL]])</f>
        <v>0</v>
      </c>
      <c r="O140" s="119" t="n">
        <f aca="false">SUMIFS(tabela_registros[VALOR],tabela_registros[MÊS],$AE$1,tabela_registros[DIA],investirrendavariávelconsolidadoset[[#Headers],[11]],tabela_registros[REGISTRO],DADOS!$N$5,tabela_registros[TIPO],DADOS!$AB$4,tabela_registros[CATEGORIA],investirrendavariávelconsolidadoset[[#This Row],[ATUAL]])</f>
        <v>0</v>
      </c>
      <c r="P140" s="119" t="n">
        <f aca="false">SUMIFS(tabela_registros[VALOR],tabela_registros[MÊS],$AE$1,tabela_registros[DIA],investirrendavariávelconsolidadoset[[#Headers],[12]],tabela_registros[REGISTRO],DADOS!$N$5,tabela_registros[TIPO],DADOS!$AB$4,tabela_registros[CATEGORIA],investirrendavariávelconsolidadoset[[#This Row],[ATUAL]])</f>
        <v>0</v>
      </c>
      <c r="Q140" s="119" t="n">
        <f aca="false">SUMIFS(tabela_registros[VALOR],tabela_registros[MÊS],$AE$1,tabela_registros[DIA],investirrendavariávelconsolidadoset[[#Headers],[13]],tabela_registros[REGISTRO],DADOS!$N$5,tabela_registros[TIPO],DADOS!$AB$4,tabela_registros[CATEGORIA],investirrendavariávelconsolidadoset[[#This Row],[ATUAL]])</f>
        <v>0</v>
      </c>
      <c r="R140" s="119" t="n">
        <f aca="false">SUMIFS(tabela_registros[VALOR],tabela_registros[MÊS],$AE$1,tabela_registros[DIA],investirrendavariávelconsolidadoset[[#Headers],[14]],tabela_registros[REGISTRO],DADOS!$N$5,tabela_registros[TIPO],DADOS!$AB$4,tabela_registros[CATEGORIA],investirrendavariávelconsolidadoset[[#This Row],[ATUAL]])</f>
        <v>0</v>
      </c>
      <c r="S140" s="119" t="n">
        <f aca="false">SUMIFS(tabela_registros[VALOR],tabela_registros[MÊS],$AE$1,tabela_registros[DIA],investirrendavariávelconsolidadoset[[#Headers],[15]],tabela_registros[REGISTRO],DADOS!$N$5,tabela_registros[TIPO],DADOS!$AB$4,tabela_registros[CATEGORIA],investirrendavariávelconsolidadoset[[#This Row],[ATUAL]])</f>
        <v>0</v>
      </c>
      <c r="T140" s="119" t="n">
        <f aca="false">SUMIFS(tabela_registros[VALOR],tabela_registros[MÊS],$AE$1,tabela_registros[DIA],investirrendavariávelconsolidadoset[[#Headers],[16]],tabela_registros[REGISTRO],DADOS!$N$5,tabela_registros[TIPO],DADOS!$AB$4,tabela_registros[CATEGORIA],investirrendavariávelconsolidadoset[[#This Row],[ATUAL]])</f>
        <v>0</v>
      </c>
      <c r="U140" s="119" t="n">
        <f aca="false">SUMIFS(tabela_registros[VALOR],tabela_registros[MÊS],$AE$1,tabela_registros[DIA],investirrendavariávelconsolidadoset[[#Headers],[17]],tabela_registros[REGISTRO],DADOS!$N$5,tabela_registros[TIPO],DADOS!$AB$4,tabela_registros[CATEGORIA],investirrendavariávelconsolidadoset[[#This Row],[ATUAL]])</f>
        <v>0</v>
      </c>
      <c r="V140" s="119" t="n">
        <f aca="false">SUMIFS(tabela_registros[VALOR],tabela_registros[MÊS],$AE$1,tabela_registros[DIA],investirrendavariávelconsolidadoset[[#Headers],[18]],tabela_registros[REGISTRO],DADOS!$N$5,tabela_registros[TIPO],DADOS!$AB$4,tabela_registros[CATEGORIA],investirrendavariávelconsolidadoset[[#This Row],[ATUAL]])</f>
        <v>0</v>
      </c>
      <c r="W140" s="119" t="n">
        <f aca="false">SUMIFS(tabela_registros[VALOR],tabela_registros[MÊS],$AE$1,tabela_registros[DIA],investirrendavariávelconsolidadoset[[#Headers],[19]],tabela_registros[REGISTRO],DADOS!$N$5,tabela_registros[TIPO],DADOS!$AB$4,tabela_registros[CATEGORIA],investirrendavariávelconsolidadoset[[#This Row],[ATUAL]])</f>
        <v>0</v>
      </c>
      <c r="X140" s="119" t="n">
        <f aca="false">SUMIFS(tabela_registros[VALOR],tabela_registros[MÊS],$AE$1,tabela_registros[DIA],investirrendavariávelconsolidadoset[[#Headers],[20]],tabela_registros[REGISTRO],DADOS!$N$5,tabela_registros[TIPO],DADOS!$AB$4,tabela_registros[CATEGORIA],investirrendavariávelconsolidadoset[[#This Row],[ATUAL]])</f>
        <v>0</v>
      </c>
      <c r="Y140" s="119" t="n">
        <f aca="false">SUMIFS(tabela_registros[VALOR],tabela_registros[MÊS],$AE$1,tabela_registros[DIA],investirrendavariávelconsolidadoset[[#Headers],[21]],tabela_registros[REGISTRO],DADOS!$N$5,tabela_registros[TIPO],DADOS!$AB$4,tabela_registros[CATEGORIA],investirrendavariávelconsolidadoset[[#This Row],[ATUAL]])</f>
        <v>0</v>
      </c>
      <c r="Z140" s="119" t="n">
        <f aca="false">SUMIFS(tabela_registros[VALOR],tabela_registros[MÊS],$AE$1,tabela_registros[DIA],investirrendavariávelconsolidadoset[[#Headers],[22]],tabela_registros[REGISTRO],DADOS!$N$5,tabela_registros[TIPO],DADOS!$AB$4,tabela_registros[CATEGORIA],investirrendavariávelconsolidadoset[[#This Row],[ATUAL]])</f>
        <v>0</v>
      </c>
      <c r="AA140" s="119" t="n">
        <f aca="false">SUMIFS(tabela_registros[VALOR],tabela_registros[MÊS],$AE$1,tabela_registros[DIA],investirrendavariávelconsolidadoset[[#Headers],[23]],tabela_registros[REGISTRO],DADOS!$N$5,tabela_registros[TIPO],DADOS!$AB$4,tabela_registros[CATEGORIA],investirrendavariávelconsolidadoset[[#This Row],[ATUAL]])</f>
        <v>0</v>
      </c>
      <c r="AB140" s="119" t="n">
        <f aca="false">SUMIFS(tabela_registros[VALOR],tabela_registros[MÊS],$AE$1,tabela_registros[DIA],investirrendavariávelconsolidadoset[[#Headers],[24]],tabela_registros[REGISTRO],DADOS!$N$5,tabela_registros[TIPO],DADOS!$AB$4,tabela_registros[CATEGORIA],investirrendavariávelconsolidadoset[[#This Row],[ATUAL]])</f>
        <v>0</v>
      </c>
      <c r="AC140" s="119" t="n">
        <f aca="false">SUMIFS(tabela_registros[VALOR],tabela_registros[MÊS],$AE$1,tabela_registros[DIA],investirrendavariávelconsolidadoset[[#Headers],[25]],tabela_registros[REGISTRO],DADOS!$N$5,tabela_registros[TIPO],DADOS!$AB$4,tabela_registros[CATEGORIA],investirrendavariávelconsolidadoset[[#This Row],[ATUAL]])</f>
        <v>0</v>
      </c>
      <c r="AD140" s="119" t="n">
        <f aca="false">SUMIFS(tabela_registros[VALOR],tabela_registros[MÊS],$AE$1,tabela_registros[DIA],investirrendavariávelconsolidadoset[[#Headers],[26]],tabela_registros[REGISTRO],DADOS!$N$5,tabela_registros[TIPO],DADOS!$AB$4,tabela_registros[CATEGORIA],investirrendavariávelconsolidadoset[[#This Row],[ATUAL]])</f>
        <v>0</v>
      </c>
      <c r="AE140" s="119" t="n">
        <f aca="false">SUMIFS(tabela_registros[VALOR],tabela_registros[MÊS],$AE$1,tabela_registros[DIA],investirrendavariávelconsolidadoset[[#Headers],[27]],tabela_registros[REGISTRO],DADOS!$N$5,tabela_registros[TIPO],DADOS!$AB$4,tabela_registros[CATEGORIA],investirrendavariávelconsolidadoset[[#This Row],[ATUAL]])</f>
        <v>0</v>
      </c>
      <c r="AF140" s="119" t="n">
        <f aca="false">SUMIFS(tabela_registros[VALOR],tabela_registros[MÊS],$AE$1,tabela_registros[DIA],investirrendavariávelconsolidadoset[[#Headers],[28]],tabela_registros[REGISTRO],DADOS!$N$5,tabela_registros[TIPO],DADOS!$AB$4,tabela_registros[CATEGORIA],investirrendavariávelconsolidadoset[[#This Row],[ATUAL]])</f>
        <v>0</v>
      </c>
      <c r="AG140" s="119" t="n">
        <f aca="false">SUMIFS(tabela_registros[VALOR],tabela_registros[MÊS],$AE$1,tabela_registros[DIA],investirrendavariávelconsolidadoset[[#Headers],[29]],tabela_registros[REGISTRO],DADOS!$N$5,tabela_registros[TIPO],DADOS!$AB$4,tabela_registros[CATEGORIA],investirrendavariávelconsolidadoset[[#This Row],[ATUAL]])</f>
        <v>0</v>
      </c>
      <c r="AH140" s="119" t="n">
        <f aca="false">SUMIFS(tabela_registros[VALOR],tabela_registros[MÊS],$AE$1,tabela_registros[DIA],investirrendavariávelconsolidadoset[[#Headers],[30]],tabela_registros[REGISTRO],DADOS!$N$5,tabela_registros[TIPO],DADOS!$AB$4,tabela_registros[CATEGORIA],investirrendavariávelconsolidadoset[[#This Row],[ATUAL]])</f>
        <v>0</v>
      </c>
      <c r="AI140" s="217" t="n">
        <f aca="false">SUMIFS(tabela_registros[VALOR],tabela_registros[MÊS],$AE$1,tabela_registros[DIA],investirrendavariávelconsolidadoset[[#Headers],[31]],tabela_registros[REGISTRO],DADOS!$N$5,tabela_registros[TIPO],DADOS!$AB$4,tabela_registros[CATEGORIA],investirrendavariávelconsolidadoset[[#This Row],[ATUAL]])</f>
        <v>0</v>
      </c>
      <c r="AJ140" s="149" t="n">
        <f aca="false">SUM(investirrendavariávelconsolidadoset[[#This Row],[1]:[31]])</f>
        <v>0</v>
      </c>
      <c r="AK140" s="165"/>
    </row>
    <row r="141" customFormat="false" ht="19.5" hidden="false" customHeight="true" outlineLevel="0" collapsed="false">
      <c r="B141" s="143"/>
      <c r="C141" s="144" t="str">
        <f aca="false">DADOS!$AF$12</f>
        <v>📎 OUTROS</v>
      </c>
      <c r="D141" s="145" t="str">
        <f aca="false">IF(investirrendavariávelconsolidadoset[[#This Row],[TOTAL (R$)]]=0,"",IF(OR(investirrendavariávelconsolidadoset[[#This Row],[TOTAL (R$)]]=LARGE($AJ$132:$AJ$141,1),investirrendavariávelconsolidadoset[[#This Row],[TOTAL (R$)]]=LARGE($AJ$132:$AJ$141,2)),DADOS!$I$10,""))</f>
        <v/>
      </c>
      <c r="E141" s="148" t="n">
        <f aca="false">SUMIFS(tabela_registros[VALOR],tabela_registros[MÊS],$AE$1,tabela_registros[DIA],investirrendavariávelconsolidadoset[[#Headers],[1]],tabela_registros[REGISTRO],DADOS!$N$5,tabela_registros[TIPO],DADOS!$AB$4,tabela_registros[CATEGORIA],investirrendavariávelconsolidadoset[[#This Row],[ATUAL]])</f>
        <v>0</v>
      </c>
      <c r="F141" s="119" t="n">
        <f aca="false">SUMIFS(tabela_registros[VALOR],tabela_registros[MÊS],$AE$1,tabela_registros[DIA],investirrendavariávelconsolidadoset[[#Headers],[2]],tabela_registros[REGISTRO],DADOS!$N$5,tabela_registros[TIPO],DADOS!$AB$4,tabela_registros[CATEGORIA],investirrendavariávelconsolidadoset[[#This Row],[ATUAL]])</f>
        <v>0</v>
      </c>
      <c r="G141" s="119" t="n">
        <f aca="false">SUMIFS(tabela_registros[VALOR],tabela_registros[MÊS],$AE$1,tabela_registros[DIA],investirrendavariávelconsolidadoset[[#Headers],[3]],tabela_registros[REGISTRO],DADOS!$N$5,tabela_registros[TIPO],DADOS!$AB$4,tabela_registros[CATEGORIA],investirrendavariávelconsolidadoset[[#This Row],[ATUAL]])</f>
        <v>0</v>
      </c>
      <c r="H141" s="119" t="n">
        <f aca="false">SUMIFS(tabela_registros[VALOR],tabela_registros[MÊS],$AE$1,tabela_registros[DIA],investirrendavariávelconsolidadoset[[#Headers],[4]],tabela_registros[REGISTRO],DADOS!$N$5,tabela_registros[TIPO],DADOS!$AB$4,tabela_registros[CATEGORIA],investirrendavariávelconsolidadoset[[#This Row],[ATUAL]])</f>
        <v>0</v>
      </c>
      <c r="I141" s="119" t="n">
        <f aca="false">SUMIFS(tabela_registros[VALOR],tabela_registros[MÊS],$AE$1,tabela_registros[DIA],investirrendavariávelconsolidadoset[[#Headers],[5]],tabela_registros[REGISTRO],DADOS!$N$5,tabela_registros[TIPO],DADOS!$AB$4,tabela_registros[CATEGORIA],investirrendavariávelconsolidadoset[[#This Row],[ATUAL]])</f>
        <v>0</v>
      </c>
      <c r="J141" s="119" t="n">
        <f aca="false">SUMIFS(tabela_registros[VALOR],tabela_registros[MÊS],$AE$1,tabela_registros[DIA],investirrendavariávelconsolidadoset[[#Headers],[6]],tabela_registros[REGISTRO],DADOS!$N$5,tabela_registros[TIPO],DADOS!$AB$4,tabela_registros[CATEGORIA],investirrendavariávelconsolidadoset[[#This Row],[ATUAL]])</f>
        <v>0</v>
      </c>
      <c r="K141" s="119" t="n">
        <f aca="false">SUMIFS(tabela_registros[VALOR],tabela_registros[MÊS],$AE$1,tabela_registros[DIA],investirrendavariávelconsolidadoset[[#Headers],[7]],tabela_registros[REGISTRO],DADOS!$N$5,tabela_registros[TIPO],DADOS!$AB$4,tabela_registros[CATEGORIA],investirrendavariávelconsolidadoset[[#This Row],[ATUAL]])</f>
        <v>0</v>
      </c>
      <c r="L141" s="119" t="n">
        <f aca="false">SUMIFS(tabela_registros[VALOR],tabela_registros[MÊS],$AE$1,tabela_registros[DIA],investirrendavariávelconsolidadoset[[#Headers],[8]],tabela_registros[REGISTRO],DADOS!$N$5,tabela_registros[TIPO],DADOS!$AB$4,tabela_registros[CATEGORIA],investirrendavariávelconsolidadoset[[#This Row],[ATUAL]])</f>
        <v>0</v>
      </c>
      <c r="M141" s="119" t="n">
        <f aca="false">SUMIFS(tabela_registros[VALOR],tabela_registros[MÊS],$AE$1,tabela_registros[DIA],investirrendavariávelconsolidadoset[[#Headers],[9]],tabela_registros[REGISTRO],DADOS!$N$5,tabela_registros[TIPO],DADOS!$AB$4,tabela_registros[CATEGORIA],investirrendavariávelconsolidadoset[[#This Row],[ATUAL]])</f>
        <v>0</v>
      </c>
      <c r="N141" s="119" t="n">
        <f aca="false">SUMIFS(tabela_registros[VALOR],tabela_registros[MÊS],$AE$1,tabela_registros[DIA],investirrendavariávelconsolidadoset[[#Headers],[10]],tabela_registros[REGISTRO],DADOS!$N$5,tabela_registros[TIPO],DADOS!$AB$4,tabela_registros[CATEGORIA],investirrendavariávelconsolidadoset[[#This Row],[ATUAL]])</f>
        <v>0</v>
      </c>
      <c r="O141" s="119" t="n">
        <f aca="false">SUMIFS(tabela_registros[VALOR],tabela_registros[MÊS],$AE$1,tabela_registros[DIA],investirrendavariávelconsolidadoset[[#Headers],[11]],tabela_registros[REGISTRO],DADOS!$N$5,tabela_registros[TIPO],DADOS!$AB$4,tabela_registros[CATEGORIA],investirrendavariávelconsolidadoset[[#This Row],[ATUAL]])</f>
        <v>0</v>
      </c>
      <c r="P141" s="119" t="n">
        <f aca="false">SUMIFS(tabela_registros[VALOR],tabela_registros[MÊS],$AE$1,tabela_registros[DIA],investirrendavariávelconsolidadoset[[#Headers],[12]],tabela_registros[REGISTRO],DADOS!$N$5,tabela_registros[TIPO],DADOS!$AB$4,tabela_registros[CATEGORIA],investirrendavariávelconsolidadoset[[#This Row],[ATUAL]])</f>
        <v>0</v>
      </c>
      <c r="Q141" s="119" t="n">
        <f aca="false">SUMIFS(tabela_registros[VALOR],tabela_registros[MÊS],$AE$1,tabela_registros[DIA],investirrendavariávelconsolidadoset[[#Headers],[13]],tabela_registros[REGISTRO],DADOS!$N$5,tabela_registros[TIPO],DADOS!$AB$4,tabela_registros[CATEGORIA],investirrendavariávelconsolidadoset[[#This Row],[ATUAL]])</f>
        <v>0</v>
      </c>
      <c r="R141" s="119" t="n">
        <f aca="false">SUMIFS(tabela_registros[VALOR],tabela_registros[MÊS],$AE$1,tabela_registros[DIA],investirrendavariávelconsolidadoset[[#Headers],[14]],tabela_registros[REGISTRO],DADOS!$N$5,tabela_registros[TIPO],DADOS!$AB$4,tabela_registros[CATEGORIA],investirrendavariávelconsolidadoset[[#This Row],[ATUAL]])</f>
        <v>0</v>
      </c>
      <c r="S141" s="119" t="n">
        <f aca="false">SUMIFS(tabela_registros[VALOR],tabela_registros[MÊS],$AE$1,tabela_registros[DIA],investirrendavariávelconsolidadoset[[#Headers],[15]],tabela_registros[REGISTRO],DADOS!$N$5,tabela_registros[TIPO],DADOS!$AB$4,tabela_registros[CATEGORIA],investirrendavariávelconsolidadoset[[#This Row],[ATUAL]])</f>
        <v>0</v>
      </c>
      <c r="T141" s="119" t="n">
        <f aca="false">SUMIFS(tabela_registros[VALOR],tabela_registros[MÊS],$AE$1,tabela_registros[DIA],investirrendavariávelconsolidadoset[[#Headers],[16]],tabela_registros[REGISTRO],DADOS!$N$5,tabela_registros[TIPO],DADOS!$AB$4,tabela_registros[CATEGORIA],investirrendavariávelconsolidadoset[[#This Row],[ATUAL]])</f>
        <v>0</v>
      </c>
      <c r="U141" s="119" t="n">
        <f aca="false">SUMIFS(tabela_registros[VALOR],tabela_registros[MÊS],$AE$1,tabela_registros[DIA],investirrendavariávelconsolidadoset[[#Headers],[17]],tabela_registros[REGISTRO],DADOS!$N$5,tabela_registros[TIPO],DADOS!$AB$4,tabela_registros[CATEGORIA],investirrendavariávelconsolidadoset[[#This Row],[ATUAL]])</f>
        <v>0</v>
      </c>
      <c r="V141" s="119" t="n">
        <f aca="false">SUMIFS(tabela_registros[VALOR],tabela_registros[MÊS],$AE$1,tabela_registros[DIA],investirrendavariávelconsolidadoset[[#Headers],[18]],tabela_registros[REGISTRO],DADOS!$N$5,tabela_registros[TIPO],DADOS!$AB$4,tabela_registros[CATEGORIA],investirrendavariávelconsolidadoset[[#This Row],[ATUAL]])</f>
        <v>0</v>
      </c>
      <c r="W141" s="119" t="n">
        <f aca="false">SUMIFS(tabela_registros[VALOR],tabela_registros[MÊS],$AE$1,tabela_registros[DIA],investirrendavariávelconsolidadoset[[#Headers],[19]],tabela_registros[REGISTRO],DADOS!$N$5,tabela_registros[TIPO],DADOS!$AB$4,tabela_registros[CATEGORIA],investirrendavariávelconsolidadoset[[#This Row],[ATUAL]])</f>
        <v>0</v>
      </c>
      <c r="X141" s="119" t="n">
        <f aca="false">SUMIFS(tabela_registros[VALOR],tabela_registros[MÊS],$AE$1,tabela_registros[DIA],investirrendavariávelconsolidadoset[[#Headers],[20]],tabela_registros[REGISTRO],DADOS!$N$5,tabela_registros[TIPO],DADOS!$AB$4,tabela_registros[CATEGORIA],investirrendavariávelconsolidadoset[[#This Row],[ATUAL]])</f>
        <v>0</v>
      </c>
      <c r="Y141" s="119" t="n">
        <f aca="false">SUMIFS(tabela_registros[VALOR],tabela_registros[MÊS],$AE$1,tabela_registros[DIA],investirrendavariávelconsolidadoset[[#Headers],[21]],tabela_registros[REGISTRO],DADOS!$N$5,tabela_registros[TIPO],DADOS!$AB$4,tabela_registros[CATEGORIA],investirrendavariávelconsolidadoset[[#This Row],[ATUAL]])</f>
        <v>0</v>
      </c>
      <c r="Z141" s="119" t="n">
        <f aca="false">SUMIFS(tabela_registros[VALOR],tabela_registros[MÊS],$AE$1,tabela_registros[DIA],investirrendavariávelconsolidadoset[[#Headers],[22]],tabela_registros[REGISTRO],DADOS!$N$5,tabela_registros[TIPO],DADOS!$AB$4,tabela_registros[CATEGORIA],investirrendavariávelconsolidadoset[[#This Row],[ATUAL]])</f>
        <v>0</v>
      </c>
      <c r="AA141" s="119" t="n">
        <f aca="false">SUMIFS(tabela_registros[VALOR],tabela_registros[MÊS],$AE$1,tabela_registros[DIA],investirrendavariávelconsolidadoset[[#Headers],[23]],tabela_registros[REGISTRO],DADOS!$N$5,tabela_registros[TIPO],DADOS!$AB$4,tabela_registros[CATEGORIA],investirrendavariávelconsolidadoset[[#This Row],[ATUAL]])</f>
        <v>0</v>
      </c>
      <c r="AB141" s="119" t="n">
        <f aca="false">SUMIFS(tabela_registros[VALOR],tabela_registros[MÊS],$AE$1,tabela_registros[DIA],investirrendavariávelconsolidadoset[[#Headers],[24]],tabela_registros[REGISTRO],DADOS!$N$5,tabela_registros[TIPO],DADOS!$AB$4,tabela_registros[CATEGORIA],investirrendavariávelconsolidadoset[[#This Row],[ATUAL]])</f>
        <v>0</v>
      </c>
      <c r="AC141" s="119" t="n">
        <f aca="false">SUMIFS(tabela_registros[VALOR],tabela_registros[MÊS],$AE$1,tabela_registros[DIA],investirrendavariávelconsolidadoset[[#Headers],[25]],tabela_registros[REGISTRO],DADOS!$N$5,tabela_registros[TIPO],DADOS!$AB$4,tabela_registros[CATEGORIA],investirrendavariávelconsolidadoset[[#This Row],[ATUAL]])</f>
        <v>0</v>
      </c>
      <c r="AD141" s="119" t="n">
        <f aca="false">SUMIFS(tabela_registros[VALOR],tabela_registros[MÊS],$AE$1,tabela_registros[DIA],investirrendavariávelconsolidadoset[[#Headers],[26]],tabela_registros[REGISTRO],DADOS!$N$5,tabela_registros[TIPO],DADOS!$AB$4,tabela_registros[CATEGORIA],investirrendavariávelconsolidadoset[[#This Row],[ATUAL]])</f>
        <v>0</v>
      </c>
      <c r="AE141" s="119" t="n">
        <f aca="false">SUMIFS(tabela_registros[VALOR],tabela_registros[MÊS],$AE$1,tabela_registros[DIA],investirrendavariávelconsolidadoset[[#Headers],[27]],tabela_registros[REGISTRO],DADOS!$N$5,tabela_registros[TIPO],DADOS!$AB$4,tabela_registros[CATEGORIA],investirrendavariávelconsolidadoset[[#This Row],[ATUAL]])</f>
        <v>0</v>
      </c>
      <c r="AF141" s="119" t="n">
        <f aca="false">SUMIFS(tabela_registros[VALOR],tabela_registros[MÊS],$AE$1,tabela_registros[DIA],investirrendavariávelconsolidadoset[[#Headers],[28]],tabela_registros[REGISTRO],DADOS!$N$5,tabela_registros[TIPO],DADOS!$AB$4,tabela_registros[CATEGORIA],investirrendavariávelconsolidadoset[[#This Row],[ATUAL]])</f>
        <v>0</v>
      </c>
      <c r="AG141" s="119" t="n">
        <f aca="false">SUMIFS(tabela_registros[VALOR],tabela_registros[MÊS],$AE$1,tabela_registros[DIA],investirrendavariávelconsolidadoset[[#Headers],[29]],tabela_registros[REGISTRO],DADOS!$N$5,tabela_registros[TIPO],DADOS!$AB$4,tabela_registros[CATEGORIA],investirrendavariávelconsolidadoset[[#This Row],[ATUAL]])</f>
        <v>0</v>
      </c>
      <c r="AH141" s="119" t="n">
        <f aca="false">SUMIFS(tabela_registros[VALOR],tabela_registros[MÊS],$AE$1,tabela_registros[DIA],investirrendavariávelconsolidadoset[[#Headers],[30]],tabela_registros[REGISTRO],DADOS!$N$5,tabela_registros[TIPO],DADOS!$AB$4,tabela_registros[CATEGORIA],investirrendavariávelconsolidadoset[[#This Row],[ATUAL]])</f>
        <v>0</v>
      </c>
      <c r="AI141" s="218" t="n">
        <f aca="false">SUMIFS(tabela_registros[VALOR],tabela_registros[MÊS],$AE$1,tabela_registros[DIA],investirrendavariávelconsolidadoset[[#Headers],[31]],tabela_registros[REGISTRO],DADOS!$N$5,tabela_registros[TIPO],DADOS!$AB$4,tabela_registros[CATEGORIA],investirrendavariávelconsolidadoset[[#This Row],[ATUAL]])</f>
        <v>0</v>
      </c>
      <c r="AJ141" s="149" t="n">
        <f aca="false">SUM(investirrendavariávelconsolidadoset[[#This Row],[1]:[31]])</f>
        <v>0</v>
      </c>
      <c r="AK141" s="165"/>
    </row>
    <row r="142" s="122" customFormat="true" ht="21" hidden="false" customHeight="true" outlineLevel="0" collapsed="false">
      <c r="B142" s="152"/>
      <c r="C142" s="153" t="s">
        <v>2</v>
      </c>
      <c r="D142" s="166"/>
      <c r="E142" s="155" t="n">
        <f aca="false">SUM(E132:E141)</f>
        <v>0</v>
      </c>
      <c r="F142" s="156" t="n">
        <f aca="false">SUM(F132:F141)+investirrendavariávelconsolidadoset[[#This Row],[1]]</f>
        <v>0</v>
      </c>
      <c r="G142" s="156" t="n">
        <f aca="false">SUM(G132:G141)+investirrendavariávelconsolidadoset[[#This Row],[2]]</f>
        <v>0</v>
      </c>
      <c r="H142" s="156" t="n">
        <f aca="false">SUM(H132:H141)+investirrendavariávelconsolidadoset[[#This Row],[3]]</f>
        <v>0</v>
      </c>
      <c r="I142" s="156" t="n">
        <f aca="false">SUM(I132:I141)+investirrendavariávelconsolidadoset[[#This Row],[4]]</f>
        <v>0</v>
      </c>
      <c r="J142" s="156" t="n">
        <f aca="false">SUM(J132:J141)+investirrendavariávelconsolidadoset[[#This Row],[5]]</f>
        <v>0</v>
      </c>
      <c r="K142" s="156" t="n">
        <f aca="false">SUM(K132:K141)+investirrendavariávelconsolidadoset[[#This Row],[6]]</f>
        <v>0</v>
      </c>
      <c r="L142" s="156" t="n">
        <f aca="false">SUM(L132:L141)+investirrendavariávelconsolidadoset[[#This Row],[7]]</f>
        <v>0</v>
      </c>
      <c r="M142" s="156" t="n">
        <f aca="false">SUM(M132:M141)+investirrendavariávelconsolidadoset[[#This Row],[8]]</f>
        <v>0</v>
      </c>
      <c r="N142" s="156" t="n">
        <f aca="false">SUM(N132:N141)+investirrendavariávelconsolidadoset[[#This Row],[9]]</f>
        <v>0</v>
      </c>
      <c r="O142" s="156" t="n">
        <f aca="false">SUM(O132:O141)+investirrendavariávelconsolidadoset[[#This Row],[10]]</f>
        <v>0</v>
      </c>
      <c r="P142" s="156" t="n">
        <f aca="false">SUM(P132:P141)+investirrendavariávelconsolidadoset[[#This Row],[11]]</f>
        <v>0</v>
      </c>
      <c r="Q142" s="156" t="n">
        <f aca="false">SUM(Q132:Q141)+investirrendavariávelconsolidadoset[[#This Row],[12]]</f>
        <v>0</v>
      </c>
      <c r="R142" s="156" t="n">
        <f aca="false">SUM(R132:R141)+investirrendavariávelconsolidadoset[[#This Row],[13]]</f>
        <v>0</v>
      </c>
      <c r="S142" s="156" t="n">
        <f aca="false">SUM(S132:S141)+investirrendavariávelconsolidadoset[[#This Row],[14]]</f>
        <v>0</v>
      </c>
      <c r="T142" s="156" t="n">
        <f aca="false">SUM(T132:T141)+investirrendavariávelconsolidadoset[[#This Row],[15]]</f>
        <v>0</v>
      </c>
      <c r="U142" s="156" t="n">
        <f aca="false">SUM(U132:U141)+investirrendavariávelconsolidadoset[[#This Row],[16]]</f>
        <v>0</v>
      </c>
      <c r="V142" s="156" t="n">
        <f aca="false">SUM(V132:V141)+investirrendavariávelconsolidadoset[[#This Row],[17]]</f>
        <v>0</v>
      </c>
      <c r="W142" s="156" t="n">
        <f aca="false">SUM(W132:W141)+investirrendavariávelconsolidadoset[[#This Row],[18]]</f>
        <v>0</v>
      </c>
      <c r="X142" s="156" t="n">
        <f aca="false">SUM(X132:X141)+investirrendavariávelconsolidadoset[[#This Row],[19]]</f>
        <v>0</v>
      </c>
      <c r="Y142" s="156" t="n">
        <f aca="false">SUM(Y132:Y141)+investirrendavariávelconsolidadoset[[#This Row],[20]]</f>
        <v>0</v>
      </c>
      <c r="Z142" s="156" t="n">
        <f aca="false">SUM(Z132:Z141)+investirrendavariávelconsolidadoset[[#This Row],[21]]</f>
        <v>0</v>
      </c>
      <c r="AA142" s="156" t="n">
        <f aca="false">SUM(AA132:AA141)+investirrendavariávelconsolidadoset[[#This Row],[22]]</f>
        <v>0</v>
      </c>
      <c r="AB142" s="156" t="n">
        <f aca="false">SUM(AB132:AB141)+investirrendavariávelconsolidadoset[[#This Row],[23]]</f>
        <v>0</v>
      </c>
      <c r="AC142" s="156" t="n">
        <f aca="false">SUM(AC132:AC141)+investirrendavariávelconsolidadoset[[#This Row],[24]]</f>
        <v>0</v>
      </c>
      <c r="AD142" s="156" t="n">
        <f aca="false">SUM(AD132:AD141)+investirrendavariávelconsolidadoset[[#This Row],[25]]</f>
        <v>0</v>
      </c>
      <c r="AE142" s="156" t="n">
        <f aca="false">SUM(AE132:AE141)+investirrendavariávelconsolidadoset[[#This Row],[26]]</f>
        <v>0</v>
      </c>
      <c r="AF142" s="156" t="n">
        <f aca="false">SUM(AF132:AF141)+investirrendavariávelconsolidadoset[[#This Row],[27]]</f>
        <v>0</v>
      </c>
      <c r="AG142" s="156" t="n">
        <f aca="false">SUM(AG132:AG141)+investirrendavariávelconsolidadoset[[#This Row],[28]]</f>
        <v>0</v>
      </c>
      <c r="AH142" s="156" t="n">
        <f aca="false">SUM(AH132:AH141)+investirrendavariávelconsolidadoset[[#This Row],[29]]</f>
        <v>0</v>
      </c>
      <c r="AI142" s="223" t="n">
        <f aca="false">SUM(AI132:AI141)+investirrendavariávelconsolidadoset[[#This Row],[30]]</f>
        <v>0</v>
      </c>
      <c r="AJ142" s="157" t="n">
        <f aca="false">investirrendavariávelconsolidadoset[[#This Row],[31]]</f>
        <v>0</v>
      </c>
      <c r="AK142" s="158"/>
    </row>
    <row r="143" customFormat="false" ht="6.75" hidden="false" customHeight="true" outlineLevel="0" collapsed="false">
      <c r="B143" s="97"/>
      <c r="C143" s="162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233"/>
      <c r="AJ143" s="164"/>
      <c r="AK143" s="244"/>
    </row>
    <row r="144" s="78" customFormat="true" ht="12.75" hidden="false" customHeight="false" outlineLevel="0" collapsed="false">
      <c r="E144" s="100"/>
    </row>
    <row r="145" s="78" customFormat="true" ht="12" hidden="false" customHeight="false" outlineLevel="0" collapsed="false"/>
    <row r="146" s="78" customFormat="true" ht="12" hidden="false" customHeight="false" outlineLevel="0" collapsed="false"/>
    <row r="147" customFormat="false" ht="39.75" hidden="false" customHeight="true" outlineLevel="0" collapsed="false">
      <c r="C147" s="101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3" t="s">
        <v>2</v>
      </c>
    </row>
    <row r="148" s="78" customFormat="true" ht="12.75" hidden="false" customHeight="false" outlineLevel="0" collapsed="false">
      <c r="B148" s="161"/>
      <c r="AJ148" s="106" t="s">
        <v>64</v>
      </c>
    </row>
    <row r="149" customFormat="false" ht="6.75" hidden="false" customHeight="true" outlineLevel="0" collapsed="false">
      <c r="B149" s="86"/>
      <c r="C149" s="162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233"/>
      <c r="AK149" s="139"/>
    </row>
    <row r="150" customFormat="false" ht="13.5" hidden="true" customHeight="false" outlineLevel="0" collapsed="false">
      <c r="B150" s="86"/>
      <c r="C150" s="109" t="s">
        <v>68</v>
      </c>
      <c r="D150" s="110" t="s">
        <v>69</v>
      </c>
      <c r="E150" s="110" t="s">
        <v>30</v>
      </c>
      <c r="F150" s="110" t="s">
        <v>31</v>
      </c>
      <c r="G150" s="110" t="s">
        <v>32</v>
      </c>
      <c r="H150" s="110" t="s">
        <v>33</v>
      </c>
      <c r="I150" s="110" t="s">
        <v>34</v>
      </c>
      <c r="J150" s="110" t="s">
        <v>35</v>
      </c>
      <c r="K150" s="110" t="s">
        <v>36</v>
      </c>
      <c r="L150" s="110" t="s">
        <v>37</v>
      </c>
      <c r="M150" s="110" t="s">
        <v>38</v>
      </c>
      <c r="N150" s="110" t="s">
        <v>39</v>
      </c>
      <c r="O150" s="110" t="s">
        <v>40</v>
      </c>
      <c r="P150" s="110" t="s">
        <v>41</v>
      </c>
      <c r="Q150" s="110" t="s">
        <v>81</v>
      </c>
      <c r="R150" s="110" t="s">
        <v>82</v>
      </c>
      <c r="S150" s="110" t="s">
        <v>83</v>
      </c>
      <c r="T150" s="110" t="s">
        <v>84</v>
      </c>
      <c r="U150" s="110" t="s">
        <v>85</v>
      </c>
      <c r="V150" s="110" t="s">
        <v>86</v>
      </c>
      <c r="W150" s="110" t="s">
        <v>87</v>
      </c>
      <c r="X150" s="110" t="s">
        <v>88</v>
      </c>
      <c r="Y150" s="110" t="s">
        <v>89</v>
      </c>
      <c r="Z150" s="110" t="s">
        <v>90</v>
      </c>
      <c r="AA150" s="110" t="s">
        <v>91</v>
      </c>
      <c r="AB150" s="110" t="s">
        <v>92</v>
      </c>
      <c r="AC150" s="110" t="s">
        <v>93</v>
      </c>
      <c r="AD150" s="110" t="s">
        <v>94</v>
      </c>
      <c r="AE150" s="110" t="s">
        <v>95</v>
      </c>
      <c r="AF150" s="110" t="s">
        <v>96</v>
      </c>
      <c r="AG150" s="110" t="s">
        <v>97</v>
      </c>
      <c r="AH150" s="110" t="s">
        <v>98</v>
      </c>
      <c r="AI150" s="110" t="s">
        <v>99</v>
      </c>
      <c r="AJ150" s="111" t="s">
        <v>70</v>
      </c>
      <c r="AK150" s="86"/>
    </row>
    <row r="151" customFormat="false" ht="19.5" hidden="false" customHeight="true" outlineLevel="0" collapsed="false">
      <c r="B151" s="143"/>
      <c r="C151" s="144" t="str">
        <f aca="false">DADOS!$AH$3</f>
        <v>📝 COE</v>
      </c>
      <c r="D151" s="145" t="str">
        <f aca="false">IF(investiroutrosconsolidadoset[[#This Row],[TOTAL (R$)]]=0,"",IF(OR(investiroutrosconsolidadoset[[#This Row],[TOTAL (R$)]]=LARGE($AJ$151:$AJ$158,1),investiroutrosconsolidadoset[[#This Row],[TOTAL (R$)]]=LARGE($AJ$151:$AJ$158,2)),DADOS!$I$10,""))</f>
        <v/>
      </c>
      <c r="E151" s="148" t="n">
        <f aca="false">SUMIFS(tabela_registros[VALOR],tabela_registros[MÊS],$AE$1,tabela_registros[DIA],investiroutrosconsolidadoset[[#Headers],[1]],tabela_registros[REGISTRO],DADOS!$N$5,tabela_registros[TIPO],DADOS!$AB$5,tabela_registros[CATEGORIA],investiroutrosconsolidadoset[[#This Row],[ATUAL]])</f>
        <v>0</v>
      </c>
      <c r="F151" s="119" t="n">
        <f aca="false">SUMIFS(tabela_registros[VALOR],tabela_registros[MÊS],$AE$1,tabela_registros[DIA],investiroutrosconsolidadoset[[#Headers],[2]],tabela_registros[REGISTRO],DADOS!$N$5,tabela_registros[TIPO],DADOS!$AB$5,tabela_registros[CATEGORIA],investiroutrosconsolidadoset[[#This Row],[ATUAL]])</f>
        <v>0</v>
      </c>
      <c r="G151" s="119" t="n">
        <f aca="false">SUMIFS(tabela_registros[VALOR],tabela_registros[MÊS],$AE$1,tabela_registros[DIA],investiroutrosconsolidadoset[[#Headers],[3]],tabela_registros[REGISTRO],DADOS!$N$5,tabela_registros[TIPO],DADOS!$AB$5,tabela_registros[CATEGORIA],investiroutrosconsolidadoset[[#This Row],[ATUAL]])</f>
        <v>0</v>
      </c>
      <c r="H151" s="119" t="n">
        <f aca="false">SUMIFS(tabela_registros[VALOR],tabela_registros[MÊS],$AE$1,tabela_registros[DIA],investiroutrosconsolidadoset[[#Headers],[4]],tabela_registros[REGISTRO],DADOS!$N$5,tabela_registros[TIPO],DADOS!$AB$5,tabela_registros[CATEGORIA],investiroutrosconsolidadoset[[#This Row],[ATUAL]])</f>
        <v>0</v>
      </c>
      <c r="I151" s="119" t="n">
        <f aca="false">SUMIFS(tabela_registros[VALOR],tabela_registros[MÊS],$AE$1,tabela_registros[DIA],investiroutrosconsolidadoset[[#Headers],[5]],tabela_registros[REGISTRO],DADOS!$N$5,tabela_registros[TIPO],DADOS!$AB$5,tabela_registros[CATEGORIA],investiroutrosconsolidadoset[[#This Row],[ATUAL]])</f>
        <v>0</v>
      </c>
      <c r="J151" s="119" t="n">
        <f aca="false">SUMIFS(tabela_registros[VALOR],tabela_registros[MÊS],$AE$1,tabela_registros[DIA],investiroutrosconsolidadoset[[#Headers],[6]],tabela_registros[REGISTRO],DADOS!$N$5,tabela_registros[TIPO],DADOS!$AB$5,tabela_registros[CATEGORIA],investiroutrosconsolidadoset[[#This Row],[ATUAL]])</f>
        <v>0</v>
      </c>
      <c r="K151" s="119" t="n">
        <f aca="false">SUMIFS(tabela_registros[VALOR],tabela_registros[MÊS],$AE$1,tabela_registros[DIA],investiroutrosconsolidadoset[[#Headers],[7]],tabela_registros[REGISTRO],DADOS!$N$5,tabela_registros[TIPO],DADOS!$AB$5,tabela_registros[CATEGORIA],investiroutrosconsolidadoset[[#This Row],[ATUAL]])</f>
        <v>0</v>
      </c>
      <c r="L151" s="119" t="n">
        <f aca="false">SUMIFS(tabela_registros[VALOR],tabela_registros[MÊS],$AE$1,tabela_registros[DIA],investiroutrosconsolidadoset[[#Headers],[8]],tabela_registros[REGISTRO],DADOS!$N$5,tabela_registros[TIPO],DADOS!$AB$5,tabela_registros[CATEGORIA],investiroutrosconsolidadoset[[#This Row],[ATUAL]])</f>
        <v>0</v>
      </c>
      <c r="M151" s="119" t="n">
        <f aca="false">SUMIFS(tabela_registros[VALOR],tabela_registros[MÊS],$AE$1,tabela_registros[DIA],investiroutrosconsolidadoset[[#Headers],[9]],tabela_registros[REGISTRO],DADOS!$N$5,tabela_registros[TIPO],DADOS!$AB$5,tabela_registros[CATEGORIA],investiroutrosconsolidadoset[[#This Row],[ATUAL]])</f>
        <v>0</v>
      </c>
      <c r="N151" s="119" t="n">
        <f aca="false">SUMIFS(tabela_registros[VALOR],tabela_registros[MÊS],$AE$1,tabela_registros[DIA],investiroutrosconsolidadoset[[#Headers],[10]],tabela_registros[REGISTRO],DADOS!$N$5,tabela_registros[TIPO],DADOS!$AB$5,tabela_registros[CATEGORIA],investiroutrosconsolidadoset[[#This Row],[ATUAL]])</f>
        <v>0</v>
      </c>
      <c r="O151" s="119" t="n">
        <f aca="false">SUMIFS(tabela_registros[VALOR],tabela_registros[MÊS],$AE$1,tabela_registros[DIA],investiroutrosconsolidadoset[[#Headers],[11]],tabela_registros[REGISTRO],DADOS!$N$5,tabela_registros[TIPO],DADOS!$AB$5,tabela_registros[CATEGORIA],investiroutrosconsolidadoset[[#This Row],[ATUAL]])</f>
        <v>0</v>
      </c>
      <c r="P151" s="119" t="n">
        <f aca="false">SUMIFS(tabela_registros[VALOR],tabela_registros[MÊS],$AE$1,tabela_registros[DIA],investiroutrosconsolidadoset[[#Headers],[12]],tabela_registros[REGISTRO],DADOS!$N$5,tabela_registros[TIPO],DADOS!$AB$5,tabela_registros[CATEGORIA],investiroutrosconsolidadoset[[#This Row],[ATUAL]])</f>
        <v>0</v>
      </c>
      <c r="Q151" s="119" t="n">
        <f aca="false">SUMIFS(tabela_registros[VALOR],tabela_registros[MÊS],$AE$1,tabela_registros[DIA],investiroutrosconsolidadoset[[#Headers],[13]],tabela_registros[REGISTRO],DADOS!$N$5,tabela_registros[TIPO],DADOS!$AB$5,tabela_registros[CATEGORIA],investiroutrosconsolidadoset[[#This Row],[ATUAL]])</f>
        <v>0</v>
      </c>
      <c r="R151" s="119" t="n">
        <f aca="false">SUMIFS(tabela_registros[VALOR],tabela_registros[MÊS],$AE$1,tabela_registros[DIA],investiroutrosconsolidadoset[[#Headers],[14]],tabela_registros[REGISTRO],DADOS!$N$5,tabela_registros[TIPO],DADOS!$AB$5,tabela_registros[CATEGORIA],investiroutrosconsolidadoset[[#This Row],[ATUAL]])</f>
        <v>0</v>
      </c>
      <c r="S151" s="119" t="n">
        <f aca="false">SUMIFS(tabela_registros[VALOR],tabela_registros[MÊS],$AE$1,tabela_registros[DIA],investiroutrosconsolidadoset[[#Headers],[15]],tabela_registros[REGISTRO],DADOS!$N$5,tabela_registros[TIPO],DADOS!$AB$5,tabela_registros[CATEGORIA],investiroutrosconsolidadoset[[#This Row],[ATUAL]])</f>
        <v>0</v>
      </c>
      <c r="T151" s="119" t="n">
        <f aca="false">SUMIFS(tabela_registros[VALOR],tabela_registros[MÊS],$AE$1,tabela_registros[DIA],investiroutrosconsolidadoset[[#Headers],[16]],tabela_registros[REGISTRO],DADOS!$N$5,tabela_registros[TIPO],DADOS!$AB$5,tabela_registros[CATEGORIA],investiroutrosconsolidadoset[[#This Row],[ATUAL]])</f>
        <v>0</v>
      </c>
      <c r="U151" s="119" t="n">
        <f aca="false">SUMIFS(tabela_registros[VALOR],tabela_registros[MÊS],$AE$1,tabela_registros[DIA],investiroutrosconsolidadoset[[#Headers],[17]],tabela_registros[REGISTRO],DADOS!$N$5,tabela_registros[TIPO],DADOS!$AB$5,tabela_registros[CATEGORIA],investiroutrosconsolidadoset[[#This Row],[ATUAL]])</f>
        <v>0</v>
      </c>
      <c r="V151" s="119" t="n">
        <f aca="false">SUMIFS(tabela_registros[VALOR],tabela_registros[MÊS],$AE$1,tabela_registros[DIA],investiroutrosconsolidadoset[[#Headers],[18]],tabela_registros[REGISTRO],DADOS!$N$5,tabela_registros[TIPO],DADOS!$AB$5,tabela_registros[CATEGORIA],investiroutrosconsolidadoset[[#This Row],[ATUAL]])</f>
        <v>0</v>
      </c>
      <c r="W151" s="119" t="n">
        <f aca="false">SUMIFS(tabela_registros[VALOR],tabela_registros[MÊS],$AE$1,tabela_registros[DIA],investiroutrosconsolidadoset[[#Headers],[19]],tabela_registros[REGISTRO],DADOS!$N$5,tabela_registros[TIPO],DADOS!$AB$5,tabela_registros[CATEGORIA],investiroutrosconsolidadoset[[#This Row],[ATUAL]])</f>
        <v>0</v>
      </c>
      <c r="X151" s="119" t="n">
        <f aca="false">SUMIFS(tabela_registros[VALOR],tabela_registros[MÊS],$AE$1,tabela_registros[DIA],investiroutrosconsolidadoset[[#Headers],[20]],tabela_registros[REGISTRO],DADOS!$N$5,tabela_registros[TIPO],DADOS!$AB$5,tabela_registros[CATEGORIA],investiroutrosconsolidadoset[[#This Row],[ATUAL]])</f>
        <v>0</v>
      </c>
      <c r="Y151" s="119" t="n">
        <f aca="false">SUMIFS(tabela_registros[VALOR],tabela_registros[MÊS],$AE$1,tabela_registros[DIA],investiroutrosconsolidadoset[[#Headers],[21]],tabela_registros[REGISTRO],DADOS!$N$5,tabela_registros[TIPO],DADOS!$AB$5,tabela_registros[CATEGORIA],investiroutrosconsolidadoset[[#This Row],[ATUAL]])</f>
        <v>0</v>
      </c>
      <c r="Z151" s="119" t="n">
        <f aca="false">SUMIFS(tabela_registros[VALOR],tabela_registros[MÊS],$AE$1,tabela_registros[DIA],investiroutrosconsolidadoset[[#Headers],[22]],tabela_registros[REGISTRO],DADOS!$N$5,tabela_registros[TIPO],DADOS!$AB$5,tabela_registros[CATEGORIA],investiroutrosconsolidadoset[[#This Row],[ATUAL]])</f>
        <v>0</v>
      </c>
      <c r="AA151" s="119" t="n">
        <f aca="false">SUMIFS(tabela_registros[VALOR],tabela_registros[MÊS],$AE$1,tabela_registros[DIA],investiroutrosconsolidadoset[[#Headers],[23]],tabela_registros[REGISTRO],DADOS!$N$5,tabela_registros[TIPO],DADOS!$AB$5,tabela_registros[CATEGORIA],investiroutrosconsolidadoset[[#This Row],[ATUAL]])</f>
        <v>0</v>
      </c>
      <c r="AB151" s="119" t="n">
        <f aca="false">SUMIFS(tabela_registros[VALOR],tabela_registros[MÊS],$AE$1,tabela_registros[DIA],investiroutrosconsolidadoset[[#Headers],[24]],tabela_registros[REGISTRO],DADOS!$N$5,tabela_registros[TIPO],DADOS!$AB$5,tabela_registros[CATEGORIA],investiroutrosconsolidadoset[[#This Row],[ATUAL]])</f>
        <v>0</v>
      </c>
      <c r="AC151" s="119" t="n">
        <f aca="false">SUMIFS(tabela_registros[VALOR],tabela_registros[MÊS],$AE$1,tabela_registros[DIA],investiroutrosconsolidadoset[[#Headers],[25]],tabela_registros[REGISTRO],DADOS!$N$5,tabela_registros[TIPO],DADOS!$AB$5,tabela_registros[CATEGORIA],investiroutrosconsolidadoset[[#This Row],[ATUAL]])</f>
        <v>0</v>
      </c>
      <c r="AD151" s="119" t="n">
        <f aca="false">SUMIFS(tabela_registros[VALOR],tabela_registros[MÊS],$AE$1,tabela_registros[DIA],investiroutrosconsolidadoset[[#Headers],[26]],tabela_registros[REGISTRO],DADOS!$N$5,tabela_registros[TIPO],DADOS!$AB$5,tabela_registros[CATEGORIA],investiroutrosconsolidadoset[[#This Row],[ATUAL]])</f>
        <v>0</v>
      </c>
      <c r="AE151" s="119" t="n">
        <f aca="false">SUMIFS(tabela_registros[VALOR],tabela_registros[MÊS],$AE$1,tabela_registros[DIA],investiroutrosconsolidadoset[[#Headers],[27]],tabela_registros[REGISTRO],DADOS!$N$5,tabela_registros[TIPO],DADOS!$AB$5,tabela_registros[CATEGORIA],investiroutrosconsolidadoset[[#This Row],[ATUAL]])</f>
        <v>0</v>
      </c>
      <c r="AF151" s="119" t="n">
        <f aca="false">SUMIFS(tabela_registros[VALOR],tabela_registros[MÊS],$AE$1,tabela_registros[DIA],investiroutrosconsolidadoset[[#Headers],[28]],tabela_registros[REGISTRO],DADOS!$N$5,tabela_registros[TIPO],DADOS!$AB$5,tabela_registros[CATEGORIA],investiroutrosconsolidadoset[[#This Row],[ATUAL]])</f>
        <v>0</v>
      </c>
      <c r="AG151" s="119" t="n">
        <f aca="false">SUMIFS(tabela_registros[VALOR],tabela_registros[MÊS],$AE$1,tabela_registros[DIA],investiroutrosconsolidadoset[[#Headers],[29]],tabela_registros[REGISTRO],DADOS!$N$5,tabela_registros[TIPO],DADOS!$AB$5,tabela_registros[CATEGORIA],investiroutrosconsolidadoset[[#This Row],[ATUAL]])</f>
        <v>0</v>
      </c>
      <c r="AH151" s="119" t="n">
        <f aca="false">SUMIFS(tabela_registros[VALOR],tabela_registros[MÊS],$AE$1,tabela_registros[DIA],investiroutrosconsolidadoset[[#Headers],[30]],tabela_registros[REGISTRO],DADOS!$N$5,tabela_registros[TIPO],DADOS!$AB$5,tabela_registros[CATEGORIA],investiroutrosconsolidadoset[[#This Row],[ATUAL]])</f>
        <v>0</v>
      </c>
      <c r="AI151" s="217" t="n">
        <f aca="false">SUMIFS(tabela_registros[VALOR],tabela_registros[MÊS],$AE$1,tabela_registros[DIA],investiroutrosconsolidadoset[[#Headers],[31]],tabela_registros[REGISTRO],DADOS!$N$5,tabela_registros[TIPO],DADOS!$AB$5,tabela_registros[CATEGORIA],investiroutrosconsolidadoset[[#This Row],[ATUAL]])</f>
        <v>0</v>
      </c>
      <c r="AJ151" s="149" t="n">
        <f aca="false">SUM(investiroutrosconsolidadoset[[#This Row],[1]:[31]])</f>
        <v>0</v>
      </c>
      <c r="AK151" s="165"/>
    </row>
    <row r="152" customFormat="false" ht="19.5" hidden="false" customHeight="true" outlineLevel="0" collapsed="false">
      <c r="B152" s="143"/>
      <c r="C152" s="144" t="str">
        <f aca="false">DADOS!$AH$4</f>
        <v>📝 FOREX</v>
      </c>
      <c r="D152" s="145" t="str">
        <f aca="false">IF(investiroutrosconsolidadoset[[#This Row],[TOTAL (R$)]]=0,"",IF(OR(investiroutrosconsolidadoset[[#This Row],[TOTAL (R$)]]=LARGE($AJ$151:$AJ$158,1),investiroutrosconsolidadoset[[#This Row],[TOTAL (R$)]]=LARGE($AJ$151:$AJ$158,2)),DADOS!$I$10,""))</f>
        <v/>
      </c>
      <c r="E152" s="148" t="n">
        <f aca="false">SUMIFS(tabela_registros[VALOR],tabela_registros[MÊS],$AE$1,tabela_registros[DIA],investiroutrosconsolidadoset[[#Headers],[1]],tabela_registros[REGISTRO],DADOS!$N$5,tabela_registros[TIPO],DADOS!$AB$5,tabela_registros[CATEGORIA],investiroutrosconsolidadoset[[#This Row],[ATUAL]])</f>
        <v>0</v>
      </c>
      <c r="F152" s="119" t="n">
        <f aca="false">SUMIFS(tabela_registros[VALOR],tabela_registros[MÊS],$AE$1,tabela_registros[DIA],investiroutrosconsolidadoset[[#Headers],[2]],tabela_registros[REGISTRO],DADOS!$N$5,tabela_registros[TIPO],DADOS!$AB$5,tabela_registros[CATEGORIA],investiroutrosconsolidadoset[[#This Row],[ATUAL]])</f>
        <v>0</v>
      </c>
      <c r="G152" s="119" t="n">
        <f aca="false">SUMIFS(tabela_registros[VALOR],tabela_registros[MÊS],$AE$1,tabela_registros[DIA],investiroutrosconsolidadoset[[#Headers],[3]],tabela_registros[REGISTRO],DADOS!$N$5,tabela_registros[TIPO],DADOS!$AB$5,tabela_registros[CATEGORIA],investiroutrosconsolidadoset[[#This Row],[ATUAL]])</f>
        <v>0</v>
      </c>
      <c r="H152" s="119" t="n">
        <f aca="false">SUMIFS(tabela_registros[VALOR],tabela_registros[MÊS],$AE$1,tabela_registros[DIA],investiroutrosconsolidadoset[[#Headers],[4]],tabela_registros[REGISTRO],DADOS!$N$5,tabela_registros[TIPO],DADOS!$AB$5,tabela_registros[CATEGORIA],investiroutrosconsolidadoset[[#This Row],[ATUAL]])</f>
        <v>0</v>
      </c>
      <c r="I152" s="119" t="n">
        <f aca="false">SUMIFS(tabela_registros[VALOR],tabela_registros[MÊS],$AE$1,tabela_registros[DIA],investiroutrosconsolidadoset[[#Headers],[5]],tabela_registros[REGISTRO],DADOS!$N$5,tabela_registros[TIPO],DADOS!$AB$5,tabela_registros[CATEGORIA],investiroutrosconsolidadoset[[#This Row],[ATUAL]])</f>
        <v>0</v>
      </c>
      <c r="J152" s="119" t="n">
        <f aca="false">SUMIFS(tabela_registros[VALOR],tabela_registros[MÊS],$AE$1,tabela_registros[DIA],investiroutrosconsolidadoset[[#Headers],[6]],tabela_registros[REGISTRO],DADOS!$N$5,tabela_registros[TIPO],DADOS!$AB$5,tabela_registros[CATEGORIA],investiroutrosconsolidadoset[[#This Row],[ATUAL]])</f>
        <v>0</v>
      </c>
      <c r="K152" s="119" t="n">
        <f aca="false">SUMIFS(tabela_registros[VALOR],tabela_registros[MÊS],$AE$1,tabela_registros[DIA],investiroutrosconsolidadoset[[#Headers],[7]],tabela_registros[REGISTRO],DADOS!$N$5,tabela_registros[TIPO],DADOS!$AB$5,tabela_registros[CATEGORIA],investiroutrosconsolidadoset[[#This Row],[ATUAL]])</f>
        <v>0</v>
      </c>
      <c r="L152" s="119" t="n">
        <f aca="false">SUMIFS(tabela_registros[VALOR],tabela_registros[MÊS],$AE$1,tabela_registros[DIA],investiroutrosconsolidadoset[[#Headers],[8]],tabela_registros[REGISTRO],DADOS!$N$5,tabela_registros[TIPO],DADOS!$AB$5,tabela_registros[CATEGORIA],investiroutrosconsolidadoset[[#This Row],[ATUAL]])</f>
        <v>0</v>
      </c>
      <c r="M152" s="119" t="n">
        <f aca="false">SUMIFS(tabela_registros[VALOR],tabela_registros[MÊS],$AE$1,tabela_registros[DIA],investiroutrosconsolidadoset[[#Headers],[9]],tabela_registros[REGISTRO],DADOS!$N$5,tabela_registros[TIPO],DADOS!$AB$5,tabela_registros[CATEGORIA],investiroutrosconsolidadoset[[#This Row],[ATUAL]])</f>
        <v>0</v>
      </c>
      <c r="N152" s="119" t="n">
        <f aca="false">SUMIFS(tabela_registros[VALOR],tabela_registros[MÊS],$AE$1,tabela_registros[DIA],investiroutrosconsolidadoset[[#Headers],[10]],tabela_registros[REGISTRO],DADOS!$N$5,tabela_registros[TIPO],DADOS!$AB$5,tabela_registros[CATEGORIA],investiroutrosconsolidadoset[[#This Row],[ATUAL]])</f>
        <v>0</v>
      </c>
      <c r="O152" s="119" t="n">
        <f aca="false">SUMIFS(tabela_registros[VALOR],tabela_registros[MÊS],$AE$1,tabela_registros[DIA],investiroutrosconsolidadoset[[#Headers],[11]],tabela_registros[REGISTRO],DADOS!$N$5,tabela_registros[TIPO],DADOS!$AB$5,tabela_registros[CATEGORIA],investiroutrosconsolidadoset[[#This Row],[ATUAL]])</f>
        <v>0</v>
      </c>
      <c r="P152" s="119" t="n">
        <f aca="false">SUMIFS(tabela_registros[VALOR],tabela_registros[MÊS],$AE$1,tabela_registros[DIA],investiroutrosconsolidadoset[[#Headers],[12]],tabela_registros[REGISTRO],DADOS!$N$5,tabela_registros[TIPO],DADOS!$AB$5,tabela_registros[CATEGORIA],investiroutrosconsolidadoset[[#This Row],[ATUAL]])</f>
        <v>0</v>
      </c>
      <c r="Q152" s="119" t="n">
        <f aca="false">SUMIFS(tabela_registros[VALOR],tabela_registros[MÊS],$AE$1,tabela_registros[DIA],investiroutrosconsolidadoset[[#Headers],[13]],tabela_registros[REGISTRO],DADOS!$N$5,tabela_registros[TIPO],DADOS!$AB$5,tabela_registros[CATEGORIA],investiroutrosconsolidadoset[[#This Row],[ATUAL]])</f>
        <v>0</v>
      </c>
      <c r="R152" s="119" t="n">
        <f aca="false">SUMIFS(tabela_registros[VALOR],tabela_registros[MÊS],$AE$1,tabela_registros[DIA],investiroutrosconsolidadoset[[#Headers],[14]],tabela_registros[REGISTRO],DADOS!$N$5,tabela_registros[TIPO],DADOS!$AB$5,tabela_registros[CATEGORIA],investiroutrosconsolidadoset[[#This Row],[ATUAL]])</f>
        <v>0</v>
      </c>
      <c r="S152" s="119" t="n">
        <f aca="false">SUMIFS(tabela_registros[VALOR],tabela_registros[MÊS],$AE$1,tabela_registros[DIA],investiroutrosconsolidadoset[[#Headers],[15]],tabela_registros[REGISTRO],DADOS!$N$5,tabela_registros[TIPO],DADOS!$AB$5,tabela_registros[CATEGORIA],investiroutrosconsolidadoset[[#This Row],[ATUAL]])</f>
        <v>0</v>
      </c>
      <c r="T152" s="119" t="n">
        <f aca="false">SUMIFS(tabela_registros[VALOR],tabela_registros[MÊS],$AE$1,tabela_registros[DIA],investiroutrosconsolidadoset[[#Headers],[16]],tabela_registros[REGISTRO],DADOS!$N$5,tabela_registros[TIPO],DADOS!$AB$5,tabela_registros[CATEGORIA],investiroutrosconsolidadoset[[#This Row],[ATUAL]])</f>
        <v>0</v>
      </c>
      <c r="U152" s="119" t="n">
        <f aca="false">SUMIFS(tabela_registros[VALOR],tabela_registros[MÊS],$AE$1,tabela_registros[DIA],investiroutrosconsolidadoset[[#Headers],[17]],tabela_registros[REGISTRO],DADOS!$N$5,tabela_registros[TIPO],DADOS!$AB$5,tabela_registros[CATEGORIA],investiroutrosconsolidadoset[[#This Row],[ATUAL]])</f>
        <v>0</v>
      </c>
      <c r="V152" s="119" t="n">
        <f aca="false">SUMIFS(tabela_registros[VALOR],tabela_registros[MÊS],$AE$1,tabela_registros[DIA],investiroutrosconsolidadoset[[#Headers],[18]],tabela_registros[REGISTRO],DADOS!$N$5,tabela_registros[TIPO],DADOS!$AB$5,tabela_registros[CATEGORIA],investiroutrosconsolidadoset[[#This Row],[ATUAL]])</f>
        <v>0</v>
      </c>
      <c r="W152" s="119" t="n">
        <f aca="false">SUMIFS(tabela_registros[VALOR],tabela_registros[MÊS],$AE$1,tabela_registros[DIA],investiroutrosconsolidadoset[[#Headers],[19]],tabela_registros[REGISTRO],DADOS!$N$5,tabela_registros[TIPO],DADOS!$AB$5,tabela_registros[CATEGORIA],investiroutrosconsolidadoset[[#This Row],[ATUAL]])</f>
        <v>0</v>
      </c>
      <c r="X152" s="119" t="n">
        <f aca="false">SUMIFS(tabela_registros[VALOR],tabela_registros[MÊS],$AE$1,tabela_registros[DIA],investiroutrosconsolidadoset[[#Headers],[20]],tabela_registros[REGISTRO],DADOS!$N$5,tabela_registros[TIPO],DADOS!$AB$5,tabela_registros[CATEGORIA],investiroutrosconsolidadoset[[#This Row],[ATUAL]])</f>
        <v>0</v>
      </c>
      <c r="Y152" s="119" t="n">
        <f aca="false">SUMIFS(tabela_registros[VALOR],tabela_registros[MÊS],$AE$1,tabela_registros[DIA],investiroutrosconsolidadoset[[#Headers],[21]],tabela_registros[REGISTRO],DADOS!$N$5,tabela_registros[TIPO],DADOS!$AB$5,tabela_registros[CATEGORIA],investiroutrosconsolidadoset[[#This Row],[ATUAL]])</f>
        <v>0</v>
      </c>
      <c r="Z152" s="119" t="n">
        <f aca="false">SUMIFS(tabela_registros[VALOR],tabela_registros[MÊS],$AE$1,tabela_registros[DIA],investiroutrosconsolidadoset[[#Headers],[22]],tabela_registros[REGISTRO],DADOS!$N$5,tabela_registros[TIPO],DADOS!$AB$5,tabela_registros[CATEGORIA],investiroutrosconsolidadoset[[#This Row],[ATUAL]])</f>
        <v>0</v>
      </c>
      <c r="AA152" s="119" t="n">
        <f aca="false">SUMIFS(tabela_registros[VALOR],tabela_registros[MÊS],$AE$1,tabela_registros[DIA],investiroutrosconsolidadoset[[#Headers],[23]],tabela_registros[REGISTRO],DADOS!$N$5,tabela_registros[TIPO],DADOS!$AB$5,tabela_registros[CATEGORIA],investiroutrosconsolidadoset[[#This Row],[ATUAL]])</f>
        <v>0</v>
      </c>
      <c r="AB152" s="119" t="n">
        <f aca="false">SUMIFS(tabela_registros[VALOR],tabela_registros[MÊS],$AE$1,tabela_registros[DIA],investiroutrosconsolidadoset[[#Headers],[24]],tabela_registros[REGISTRO],DADOS!$N$5,tabela_registros[TIPO],DADOS!$AB$5,tabela_registros[CATEGORIA],investiroutrosconsolidadoset[[#This Row],[ATUAL]])</f>
        <v>0</v>
      </c>
      <c r="AC152" s="119" t="n">
        <f aca="false">SUMIFS(tabela_registros[VALOR],tabela_registros[MÊS],$AE$1,tabela_registros[DIA],investiroutrosconsolidadoset[[#Headers],[25]],tabela_registros[REGISTRO],DADOS!$N$5,tabela_registros[TIPO],DADOS!$AB$5,tabela_registros[CATEGORIA],investiroutrosconsolidadoset[[#This Row],[ATUAL]])</f>
        <v>0</v>
      </c>
      <c r="AD152" s="119" t="n">
        <f aca="false">SUMIFS(tabela_registros[VALOR],tabela_registros[MÊS],$AE$1,tabela_registros[DIA],investiroutrosconsolidadoset[[#Headers],[26]],tabela_registros[REGISTRO],DADOS!$N$5,tabela_registros[TIPO],DADOS!$AB$5,tabela_registros[CATEGORIA],investiroutrosconsolidadoset[[#This Row],[ATUAL]])</f>
        <v>0</v>
      </c>
      <c r="AE152" s="119" t="n">
        <f aca="false">SUMIFS(tabela_registros[VALOR],tabela_registros[MÊS],$AE$1,tabela_registros[DIA],investiroutrosconsolidadoset[[#Headers],[27]],tabela_registros[REGISTRO],DADOS!$N$5,tabela_registros[TIPO],DADOS!$AB$5,tabela_registros[CATEGORIA],investiroutrosconsolidadoset[[#This Row],[ATUAL]])</f>
        <v>0</v>
      </c>
      <c r="AF152" s="119" t="n">
        <f aca="false">SUMIFS(tabela_registros[VALOR],tabela_registros[MÊS],$AE$1,tabela_registros[DIA],investiroutrosconsolidadoset[[#Headers],[28]],tabela_registros[REGISTRO],DADOS!$N$5,tabela_registros[TIPO],DADOS!$AB$5,tabela_registros[CATEGORIA],investiroutrosconsolidadoset[[#This Row],[ATUAL]])</f>
        <v>0</v>
      </c>
      <c r="AG152" s="119" t="n">
        <f aca="false">SUMIFS(tabela_registros[VALOR],tabela_registros[MÊS],$AE$1,tabela_registros[DIA],investiroutrosconsolidadoset[[#Headers],[29]],tabela_registros[REGISTRO],DADOS!$N$5,tabela_registros[TIPO],DADOS!$AB$5,tabela_registros[CATEGORIA],investiroutrosconsolidadoset[[#This Row],[ATUAL]])</f>
        <v>0</v>
      </c>
      <c r="AH152" s="119" t="n">
        <f aca="false">SUMIFS(tabela_registros[VALOR],tabela_registros[MÊS],$AE$1,tabela_registros[DIA],investiroutrosconsolidadoset[[#Headers],[30]],tabela_registros[REGISTRO],DADOS!$N$5,tabela_registros[TIPO],DADOS!$AB$5,tabela_registros[CATEGORIA],investiroutrosconsolidadoset[[#This Row],[ATUAL]])</f>
        <v>0</v>
      </c>
      <c r="AI152" s="217" t="n">
        <f aca="false">SUMIFS(tabela_registros[VALOR],tabela_registros[MÊS],$AE$1,tabela_registros[DIA],investiroutrosconsolidadoset[[#Headers],[31]],tabela_registros[REGISTRO],DADOS!$N$5,tabela_registros[TIPO],DADOS!$AB$5,tabela_registros[CATEGORIA],investiroutrosconsolidadoset[[#This Row],[ATUAL]])</f>
        <v>0</v>
      </c>
      <c r="AJ152" s="149" t="n">
        <f aca="false">SUM(investiroutrosconsolidadoset[[#This Row],[1]:[31]])</f>
        <v>0</v>
      </c>
      <c r="AK152" s="165"/>
    </row>
    <row r="153" customFormat="false" ht="19.5" hidden="false" customHeight="true" outlineLevel="0" collapsed="false">
      <c r="B153" s="143"/>
      <c r="C153" s="144" t="str">
        <f aca="false">DADOS!$AH$5</f>
        <v>📝 FUNDO DE INVESTIMENTO</v>
      </c>
      <c r="D153" s="145" t="str">
        <f aca="false">IF(investiroutrosconsolidadoset[[#This Row],[TOTAL (R$)]]=0,"",IF(OR(investiroutrosconsolidadoset[[#This Row],[TOTAL (R$)]]=LARGE($AJ$151:$AJ$158,1),investiroutrosconsolidadoset[[#This Row],[TOTAL (R$)]]=LARGE($AJ$151:$AJ$158,2)),DADOS!$I$10,""))</f>
        <v/>
      </c>
      <c r="E153" s="148" t="n">
        <f aca="false">SUMIFS(tabela_registros[VALOR],tabela_registros[MÊS],$AE$1,tabela_registros[DIA],investiroutrosconsolidadoset[[#Headers],[1]],tabela_registros[REGISTRO],DADOS!$N$5,tabela_registros[TIPO],DADOS!$AB$5,tabela_registros[CATEGORIA],investiroutrosconsolidadoset[[#This Row],[ATUAL]])</f>
        <v>0</v>
      </c>
      <c r="F153" s="119" t="n">
        <f aca="false">SUMIFS(tabela_registros[VALOR],tabela_registros[MÊS],$AE$1,tabela_registros[DIA],investiroutrosconsolidadoset[[#Headers],[2]],tabela_registros[REGISTRO],DADOS!$N$5,tabela_registros[TIPO],DADOS!$AB$5,tabela_registros[CATEGORIA],investiroutrosconsolidadoset[[#This Row],[ATUAL]])</f>
        <v>0</v>
      </c>
      <c r="G153" s="119" t="n">
        <f aca="false">SUMIFS(tabela_registros[VALOR],tabela_registros[MÊS],$AE$1,tabela_registros[DIA],investiroutrosconsolidadoset[[#Headers],[3]],tabela_registros[REGISTRO],DADOS!$N$5,tabela_registros[TIPO],DADOS!$AB$5,tabela_registros[CATEGORIA],investiroutrosconsolidadoset[[#This Row],[ATUAL]])</f>
        <v>0</v>
      </c>
      <c r="H153" s="119" t="n">
        <f aca="false">SUMIFS(tabela_registros[VALOR],tabela_registros[MÊS],$AE$1,tabela_registros[DIA],investiroutrosconsolidadoset[[#Headers],[4]],tabela_registros[REGISTRO],DADOS!$N$5,tabela_registros[TIPO],DADOS!$AB$5,tabela_registros[CATEGORIA],investiroutrosconsolidadoset[[#This Row],[ATUAL]])</f>
        <v>0</v>
      </c>
      <c r="I153" s="119" t="n">
        <f aca="false">SUMIFS(tabela_registros[VALOR],tabela_registros[MÊS],$AE$1,tabela_registros[DIA],investiroutrosconsolidadoset[[#Headers],[5]],tabela_registros[REGISTRO],DADOS!$N$5,tabela_registros[TIPO],DADOS!$AB$5,tabela_registros[CATEGORIA],investiroutrosconsolidadoset[[#This Row],[ATUAL]])</f>
        <v>0</v>
      </c>
      <c r="J153" s="119" t="n">
        <f aca="false">SUMIFS(tabela_registros[VALOR],tabela_registros[MÊS],$AE$1,tabela_registros[DIA],investiroutrosconsolidadoset[[#Headers],[6]],tabela_registros[REGISTRO],DADOS!$N$5,tabela_registros[TIPO],DADOS!$AB$5,tabela_registros[CATEGORIA],investiroutrosconsolidadoset[[#This Row],[ATUAL]])</f>
        <v>0</v>
      </c>
      <c r="K153" s="119" t="n">
        <f aca="false">SUMIFS(tabela_registros[VALOR],tabela_registros[MÊS],$AE$1,tabela_registros[DIA],investiroutrosconsolidadoset[[#Headers],[7]],tabela_registros[REGISTRO],DADOS!$N$5,tabela_registros[TIPO],DADOS!$AB$5,tabela_registros[CATEGORIA],investiroutrosconsolidadoset[[#This Row],[ATUAL]])</f>
        <v>0</v>
      </c>
      <c r="L153" s="119" t="n">
        <f aca="false">SUMIFS(tabela_registros[VALOR],tabela_registros[MÊS],$AE$1,tabela_registros[DIA],investiroutrosconsolidadoset[[#Headers],[8]],tabela_registros[REGISTRO],DADOS!$N$5,tabela_registros[TIPO],DADOS!$AB$5,tabela_registros[CATEGORIA],investiroutrosconsolidadoset[[#This Row],[ATUAL]])</f>
        <v>0</v>
      </c>
      <c r="M153" s="119" t="n">
        <f aca="false">SUMIFS(tabela_registros[VALOR],tabela_registros[MÊS],$AE$1,tabela_registros[DIA],investiroutrosconsolidadoset[[#Headers],[9]],tabela_registros[REGISTRO],DADOS!$N$5,tabela_registros[TIPO],DADOS!$AB$5,tabela_registros[CATEGORIA],investiroutrosconsolidadoset[[#This Row],[ATUAL]])</f>
        <v>0</v>
      </c>
      <c r="N153" s="119" t="n">
        <f aca="false">SUMIFS(tabela_registros[VALOR],tabela_registros[MÊS],$AE$1,tabela_registros[DIA],investiroutrosconsolidadoset[[#Headers],[10]],tabela_registros[REGISTRO],DADOS!$N$5,tabela_registros[TIPO],DADOS!$AB$5,tabela_registros[CATEGORIA],investiroutrosconsolidadoset[[#This Row],[ATUAL]])</f>
        <v>0</v>
      </c>
      <c r="O153" s="119" t="n">
        <f aca="false">SUMIFS(tabela_registros[VALOR],tabela_registros[MÊS],$AE$1,tabela_registros[DIA],investiroutrosconsolidadoset[[#Headers],[11]],tabela_registros[REGISTRO],DADOS!$N$5,tabela_registros[TIPO],DADOS!$AB$5,tabela_registros[CATEGORIA],investiroutrosconsolidadoset[[#This Row],[ATUAL]])</f>
        <v>0</v>
      </c>
      <c r="P153" s="119" t="n">
        <f aca="false">SUMIFS(tabela_registros[VALOR],tabela_registros[MÊS],$AE$1,tabela_registros[DIA],investiroutrosconsolidadoset[[#Headers],[12]],tabela_registros[REGISTRO],DADOS!$N$5,tabela_registros[TIPO],DADOS!$AB$5,tabela_registros[CATEGORIA],investiroutrosconsolidadoset[[#This Row],[ATUAL]])</f>
        <v>0</v>
      </c>
      <c r="Q153" s="119" t="n">
        <f aca="false">SUMIFS(tabela_registros[VALOR],tabela_registros[MÊS],$AE$1,tabela_registros[DIA],investiroutrosconsolidadoset[[#Headers],[13]],tabela_registros[REGISTRO],DADOS!$N$5,tabela_registros[TIPO],DADOS!$AB$5,tabela_registros[CATEGORIA],investiroutrosconsolidadoset[[#This Row],[ATUAL]])</f>
        <v>0</v>
      </c>
      <c r="R153" s="119" t="n">
        <f aca="false">SUMIFS(tabela_registros[VALOR],tabela_registros[MÊS],$AE$1,tabela_registros[DIA],investiroutrosconsolidadoset[[#Headers],[14]],tabela_registros[REGISTRO],DADOS!$N$5,tabela_registros[TIPO],DADOS!$AB$5,tabela_registros[CATEGORIA],investiroutrosconsolidadoset[[#This Row],[ATUAL]])</f>
        <v>0</v>
      </c>
      <c r="S153" s="119" t="n">
        <f aca="false">SUMIFS(tabela_registros[VALOR],tabela_registros[MÊS],$AE$1,tabela_registros[DIA],investiroutrosconsolidadoset[[#Headers],[15]],tabela_registros[REGISTRO],DADOS!$N$5,tabela_registros[TIPO],DADOS!$AB$5,tabela_registros[CATEGORIA],investiroutrosconsolidadoset[[#This Row],[ATUAL]])</f>
        <v>0</v>
      </c>
      <c r="T153" s="119" t="n">
        <f aca="false">SUMIFS(tabela_registros[VALOR],tabela_registros[MÊS],$AE$1,tabela_registros[DIA],investiroutrosconsolidadoset[[#Headers],[16]],tabela_registros[REGISTRO],DADOS!$N$5,tabela_registros[TIPO],DADOS!$AB$5,tabela_registros[CATEGORIA],investiroutrosconsolidadoset[[#This Row],[ATUAL]])</f>
        <v>0</v>
      </c>
      <c r="U153" s="119" t="n">
        <f aca="false">SUMIFS(tabela_registros[VALOR],tabela_registros[MÊS],$AE$1,tabela_registros[DIA],investiroutrosconsolidadoset[[#Headers],[17]],tabela_registros[REGISTRO],DADOS!$N$5,tabela_registros[TIPO],DADOS!$AB$5,tabela_registros[CATEGORIA],investiroutrosconsolidadoset[[#This Row],[ATUAL]])</f>
        <v>0</v>
      </c>
      <c r="V153" s="119" t="n">
        <f aca="false">SUMIFS(tabela_registros[VALOR],tabela_registros[MÊS],$AE$1,tabela_registros[DIA],investiroutrosconsolidadoset[[#Headers],[18]],tabela_registros[REGISTRO],DADOS!$N$5,tabela_registros[TIPO],DADOS!$AB$5,tabela_registros[CATEGORIA],investiroutrosconsolidadoset[[#This Row],[ATUAL]])</f>
        <v>0</v>
      </c>
      <c r="W153" s="119" t="n">
        <f aca="false">SUMIFS(tabela_registros[VALOR],tabela_registros[MÊS],$AE$1,tabela_registros[DIA],investiroutrosconsolidadoset[[#Headers],[19]],tabela_registros[REGISTRO],DADOS!$N$5,tabela_registros[TIPO],DADOS!$AB$5,tabela_registros[CATEGORIA],investiroutrosconsolidadoset[[#This Row],[ATUAL]])</f>
        <v>0</v>
      </c>
      <c r="X153" s="119" t="n">
        <f aca="false">SUMIFS(tabela_registros[VALOR],tabela_registros[MÊS],$AE$1,tabela_registros[DIA],investiroutrosconsolidadoset[[#Headers],[20]],tabela_registros[REGISTRO],DADOS!$N$5,tabela_registros[TIPO],DADOS!$AB$5,tabela_registros[CATEGORIA],investiroutrosconsolidadoset[[#This Row],[ATUAL]])</f>
        <v>0</v>
      </c>
      <c r="Y153" s="119" t="n">
        <f aca="false">SUMIFS(tabela_registros[VALOR],tabela_registros[MÊS],$AE$1,tabela_registros[DIA],investiroutrosconsolidadoset[[#Headers],[21]],tabela_registros[REGISTRO],DADOS!$N$5,tabela_registros[TIPO],DADOS!$AB$5,tabela_registros[CATEGORIA],investiroutrosconsolidadoset[[#This Row],[ATUAL]])</f>
        <v>0</v>
      </c>
      <c r="Z153" s="119" t="n">
        <f aca="false">SUMIFS(tabela_registros[VALOR],tabela_registros[MÊS],$AE$1,tabela_registros[DIA],investiroutrosconsolidadoset[[#Headers],[22]],tabela_registros[REGISTRO],DADOS!$N$5,tabela_registros[TIPO],DADOS!$AB$5,tabela_registros[CATEGORIA],investiroutrosconsolidadoset[[#This Row],[ATUAL]])</f>
        <v>0</v>
      </c>
      <c r="AA153" s="119" t="n">
        <f aca="false">SUMIFS(tabela_registros[VALOR],tabela_registros[MÊS],$AE$1,tabela_registros[DIA],investiroutrosconsolidadoset[[#Headers],[23]],tabela_registros[REGISTRO],DADOS!$N$5,tabela_registros[TIPO],DADOS!$AB$5,tabela_registros[CATEGORIA],investiroutrosconsolidadoset[[#This Row],[ATUAL]])</f>
        <v>0</v>
      </c>
      <c r="AB153" s="119" t="n">
        <f aca="false">SUMIFS(tabela_registros[VALOR],tabela_registros[MÊS],$AE$1,tabela_registros[DIA],investiroutrosconsolidadoset[[#Headers],[24]],tabela_registros[REGISTRO],DADOS!$N$5,tabela_registros[TIPO],DADOS!$AB$5,tabela_registros[CATEGORIA],investiroutrosconsolidadoset[[#This Row],[ATUAL]])</f>
        <v>0</v>
      </c>
      <c r="AC153" s="119" t="n">
        <f aca="false">SUMIFS(tabela_registros[VALOR],tabela_registros[MÊS],$AE$1,tabela_registros[DIA],investiroutrosconsolidadoset[[#Headers],[25]],tabela_registros[REGISTRO],DADOS!$N$5,tabela_registros[TIPO],DADOS!$AB$5,tabela_registros[CATEGORIA],investiroutrosconsolidadoset[[#This Row],[ATUAL]])</f>
        <v>0</v>
      </c>
      <c r="AD153" s="119" t="n">
        <f aca="false">SUMIFS(tabela_registros[VALOR],tabela_registros[MÊS],$AE$1,tabela_registros[DIA],investiroutrosconsolidadoset[[#Headers],[26]],tabela_registros[REGISTRO],DADOS!$N$5,tabela_registros[TIPO],DADOS!$AB$5,tabela_registros[CATEGORIA],investiroutrosconsolidadoset[[#This Row],[ATUAL]])</f>
        <v>0</v>
      </c>
      <c r="AE153" s="119" t="n">
        <f aca="false">SUMIFS(tabela_registros[VALOR],tabela_registros[MÊS],$AE$1,tabela_registros[DIA],investiroutrosconsolidadoset[[#Headers],[27]],tabela_registros[REGISTRO],DADOS!$N$5,tabela_registros[TIPO],DADOS!$AB$5,tabela_registros[CATEGORIA],investiroutrosconsolidadoset[[#This Row],[ATUAL]])</f>
        <v>0</v>
      </c>
      <c r="AF153" s="119" t="n">
        <f aca="false">SUMIFS(tabela_registros[VALOR],tabela_registros[MÊS],$AE$1,tabela_registros[DIA],investiroutrosconsolidadoset[[#Headers],[28]],tabela_registros[REGISTRO],DADOS!$N$5,tabela_registros[TIPO],DADOS!$AB$5,tabela_registros[CATEGORIA],investiroutrosconsolidadoset[[#This Row],[ATUAL]])</f>
        <v>0</v>
      </c>
      <c r="AG153" s="119" t="n">
        <f aca="false">SUMIFS(tabela_registros[VALOR],tabela_registros[MÊS],$AE$1,tabela_registros[DIA],investiroutrosconsolidadoset[[#Headers],[29]],tabela_registros[REGISTRO],DADOS!$N$5,tabela_registros[TIPO],DADOS!$AB$5,tabela_registros[CATEGORIA],investiroutrosconsolidadoset[[#This Row],[ATUAL]])</f>
        <v>0</v>
      </c>
      <c r="AH153" s="119" t="n">
        <f aca="false">SUMIFS(tabela_registros[VALOR],tabela_registros[MÊS],$AE$1,tabela_registros[DIA],investiroutrosconsolidadoset[[#Headers],[30]],tabela_registros[REGISTRO],DADOS!$N$5,tabela_registros[TIPO],DADOS!$AB$5,tabela_registros[CATEGORIA],investiroutrosconsolidadoset[[#This Row],[ATUAL]])</f>
        <v>0</v>
      </c>
      <c r="AI153" s="217" t="n">
        <f aca="false">SUMIFS(tabela_registros[VALOR],tabela_registros[MÊS],$AE$1,tabela_registros[DIA],investiroutrosconsolidadoset[[#Headers],[31]],tabela_registros[REGISTRO],DADOS!$N$5,tabela_registros[TIPO],DADOS!$AB$5,tabela_registros[CATEGORIA],investiroutrosconsolidadoset[[#This Row],[ATUAL]])</f>
        <v>0</v>
      </c>
      <c r="AJ153" s="149" t="n">
        <f aca="false">SUM(investiroutrosconsolidadoset[[#This Row],[1]:[31]])</f>
        <v>0</v>
      </c>
      <c r="AK153" s="165"/>
    </row>
    <row r="154" customFormat="false" ht="19.5" hidden="false" customHeight="true" outlineLevel="0" collapsed="false">
      <c r="B154" s="143"/>
      <c r="C154" s="144" t="str">
        <f aca="false">DADOS!$AH$6</f>
        <v>📝 NOVA EMPRESA</v>
      </c>
      <c r="D154" s="145" t="str">
        <f aca="false">IF(investiroutrosconsolidadoset[[#This Row],[TOTAL (R$)]]=0,"",IF(OR(investiroutrosconsolidadoset[[#This Row],[TOTAL (R$)]]=LARGE($AJ$151:$AJ$158,1),investiroutrosconsolidadoset[[#This Row],[TOTAL (R$)]]=LARGE($AJ$151:$AJ$158,2)),DADOS!$I$10,""))</f>
        <v/>
      </c>
      <c r="E154" s="148" t="n">
        <f aca="false">SUMIFS(tabela_registros[VALOR],tabela_registros[MÊS],$AE$1,tabela_registros[DIA],investiroutrosconsolidadoset[[#Headers],[1]],tabela_registros[REGISTRO],DADOS!$N$5,tabela_registros[TIPO],DADOS!$AB$5,tabela_registros[CATEGORIA],investiroutrosconsolidadoset[[#This Row],[ATUAL]])</f>
        <v>0</v>
      </c>
      <c r="F154" s="119" t="n">
        <f aca="false">SUMIFS(tabela_registros[VALOR],tabela_registros[MÊS],$AE$1,tabela_registros[DIA],investiroutrosconsolidadoset[[#Headers],[2]],tabela_registros[REGISTRO],DADOS!$N$5,tabela_registros[TIPO],DADOS!$AB$5,tabela_registros[CATEGORIA],investiroutrosconsolidadoset[[#This Row],[ATUAL]])</f>
        <v>0</v>
      </c>
      <c r="G154" s="119" t="n">
        <f aca="false">SUMIFS(tabela_registros[VALOR],tabela_registros[MÊS],$AE$1,tabela_registros[DIA],investiroutrosconsolidadoset[[#Headers],[3]],tabela_registros[REGISTRO],DADOS!$N$5,tabela_registros[TIPO],DADOS!$AB$5,tabela_registros[CATEGORIA],investiroutrosconsolidadoset[[#This Row],[ATUAL]])</f>
        <v>0</v>
      </c>
      <c r="H154" s="119" t="n">
        <f aca="false">SUMIFS(tabela_registros[VALOR],tabela_registros[MÊS],$AE$1,tabela_registros[DIA],investiroutrosconsolidadoset[[#Headers],[4]],tabela_registros[REGISTRO],DADOS!$N$5,tabela_registros[TIPO],DADOS!$AB$5,tabela_registros[CATEGORIA],investiroutrosconsolidadoset[[#This Row],[ATUAL]])</f>
        <v>0</v>
      </c>
      <c r="I154" s="119" t="n">
        <f aca="false">SUMIFS(tabela_registros[VALOR],tabela_registros[MÊS],$AE$1,tabela_registros[DIA],investiroutrosconsolidadoset[[#Headers],[5]],tabela_registros[REGISTRO],DADOS!$N$5,tabela_registros[TIPO],DADOS!$AB$5,tabela_registros[CATEGORIA],investiroutrosconsolidadoset[[#This Row],[ATUAL]])</f>
        <v>0</v>
      </c>
      <c r="J154" s="119" t="n">
        <f aca="false">SUMIFS(tabela_registros[VALOR],tabela_registros[MÊS],$AE$1,tabela_registros[DIA],investiroutrosconsolidadoset[[#Headers],[6]],tabela_registros[REGISTRO],DADOS!$N$5,tabela_registros[TIPO],DADOS!$AB$5,tabela_registros[CATEGORIA],investiroutrosconsolidadoset[[#This Row],[ATUAL]])</f>
        <v>0</v>
      </c>
      <c r="K154" s="119" t="n">
        <f aca="false">SUMIFS(tabela_registros[VALOR],tabela_registros[MÊS],$AE$1,tabela_registros[DIA],investiroutrosconsolidadoset[[#Headers],[7]],tabela_registros[REGISTRO],DADOS!$N$5,tabela_registros[TIPO],DADOS!$AB$5,tabela_registros[CATEGORIA],investiroutrosconsolidadoset[[#This Row],[ATUAL]])</f>
        <v>0</v>
      </c>
      <c r="L154" s="119" t="n">
        <f aca="false">SUMIFS(tabela_registros[VALOR],tabela_registros[MÊS],$AE$1,tabela_registros[DIA],investiroutrosconsolidadoset[[#Headers],[8]],tabela_registros[REGISTRO],DADOS!$N$5,tabela_registros[TIPO],DADOS!$AB$5,tabela_registros[CATEGORIA],investiroutrosconsolidadoset[[#This Row],[ATUAL]])</f>
        <v>0</v>
      </c>
      <c r="M154" s="119" t="n">
        <f aca="false">SUMIFS(tabela_registros[VALOR],tabela_registros[MÊS],$AE$1,tabela_registros[DIA],investiroutrosconsolidadoset[[#Headers],[9]],tabela_registros[REGISTRO],DADOS!$N$5,tabela_registros[TIPO],DADOS!$AB$5,tabela_registros[CATEGORIA],investiroutrosconsolidadoset[[#This Row],[ATUAL]])</f>
        <v>0</v>
      </c>
      <c r="N154" s="119" t="n">
        <f aca="false">SUMIFS(tabela_registros[VALOR],tabela_registros[MÊS],$AE$1,tabela_registros[DIA],investiroutrosconsolidadoset[[#Headers],[10]],tabela_registros[REGISTRO],DADOS!$N$5,tabela_registros[TIPO],DADOS!$AB$5,tabela_registros[CATEGORIA],investiroutrosconsolidadoset[[#This Row],[ATUAL]])</f>
        <v>0</v>
      </c>
      <c r="O154" s="119" t="n">
        <f aca="false">SUMIFS(tabela_registros[VALOR],tabela_registros[MÊS],$AE$1,tabela_registros[DIA],investiroutrosconsolidadoset[[#Headers],[11]],tabela_registros[REGISTRO],DADOS!$N$5,tabela_registros[TIPO],DADOS!$AB$5,tabela_registros[CATEGORIA],investiroutrosconsolidadoset[[#This Row],[ATUAL]])</f>
        <v>0</v>
      </c>
      <c r="P154" s="119" t="n">
        <f aca="false">SUMIFS(tabela_registros[VALOR],tabela_registros[MÊS],$AE$1,tabela_registros[DIA],investiroutrosconsolidadoset[[#Headers],[12]],tabela_registros[REGISTRO],DADOS!$N$5,tabela_registros[TIPO],DADOS!$AB$5,tabela_registros[CATEGORIA],investiroutrosconsolidadoset[[#This Row],[ATUAL]])</f>
        <v>0</v>
      </c>
      <c r="Q154" s="119" t="n">
        <f aca="false">SUMIFS(tabela_registros[VALOR],tabela_registros[MÊS],$AE$1,tabela_registros[DIA],investiroutrosconsolidadoset[[#Headers],[13]],tabela_registros[REGISTRO],DADOS!$N$5,tabela_registros[TIPO],DADOS!$AB$5,tabela_registros[CATEGORIA],investiroutrosconsolidadoset[[#This Row],[ATUAL]])</f>
        <v>0</v>
      </c>
      <c r="R154" s="119" t="n">
        <f aca="false">SUMIFS(tabela_registros[VALOR],tabela_registros[MÊS],$AE$1,tabela_registros[DIA],investiroutrosconsolidadoset[[#Headers],[14]],tabela_registros[REGISTRO],DADOS!$N$5,tabela_registros[TIPO],DADOS!$AB$5,tabela_registros[CATEGORIA],investiroutrosconsolidadoset[[#This Row],[ATUAL]])</f>
        <v>0</v>
      </c>
      <c r="S154" s="119" t="n">
        <f aca="false">SUMIFS(tabela_registros[VALOR],tabela_registros[MÊS],$AE$1,tabela_registros[DIA],investiroutrosconsolidadoset[[#Headers],[15]],tabela_registros[REGISTRO],DADOS!$N$5,tabela_registros[TIPO],DADOS!$AB$5,tabela_registros[CATEGORIA],investiroutrosconsolidadoset[[#This Row],[ATUAL]])</f>
        <v>0</v>
      </c>
      <c r="T154" s="119" t="n">
        <f aca="false">SUMIFS(tabela_registros[VALOR],tabela_registros[MÊS],$AE$1,tabela_registros[DIA],investiroutrosconsolidadoset[[#Headers],[16]],tabela_registros[REGISTRO],DADOS!$N$5,tabela_registros[TIPO],DADOS!$AB$5,tabela_registros[CATEGORIA],investiroutrosconsolidadoset[[#This Row],[ATUAL]])</f>
        <v>0</v>
      </c>
      <c r="U154" s="119" t="n">
        <f aca="false">SUMIFS(tabela_registros[VALOR],tabela_registros[MÊS],$AE$1,tabela_registros[DIA],investiroutrosconsolidadoset[[#Headers],[17]],tabela_registros[REGISTRO],DADOS!$N$5,tabela_registros[TIPO],DADOS!$AB$5,tabela_registros[CATEGORIA],investiroutrosconsolidadoset[[#This Row],[ATUAL]])</f>
        <v>0</v>
      </c>
      <c r="V154" s="119" t="n">
        <f aca="false">SUMIFS(tabela_registros[VALOR],tabela_registros[MÊS],$AE$1,tabela_registros[DIA],investiroutrosconsolidadoset[[#Headers],[18]],tabela_registros[REGISTRO],DADOS!$N$5,tabela_registros[TIPO],DADOS!$AB$5,tabela_registros[CATEGORIA],investiroutrosconsolidadoset[[#This Row],[ATUAL]])</f>
        <v>0</v>
      </c>
      <c r="W154" s="119" t="n">
        <f aca="false">SUMIFS(tabela_registros[VALOR],tabela_registros[MÊS],$AE$1,tabela_registros[DIA],investiroutrosconsolidadoset[[#Headers],[19]],tabela_registros[REGISTRO],DADOS!$N$5,tabela_registros[TIPO],DADOS!$AB$5,tabela_registros[CATEGORIA],investiroutrosconsolidadoset[[#This Row],[ATUAL]])</f>
        <v>0</v>
      </c>
      <c r="X154" s="119" t="n">
        <f aca="false">SUMIFS(tabela_registros[VALOR],tabela_registros[MÊS],$AE$1,tabela_registros[DIA],investiroutrosconsolidadoset[[#Headers],[20]],tabela_registros[REGISTRO],DADOS!$N$5,tabela_registros[TIPO],DADOS!$AB$5,tabela_registros[CATEGORIA],investiroutrosconsolidadoset[[#This Row],[ATUAL]])</f>
        <v>0</v>
      </c>
      <c r="Y154" s="119" t="n">
        <f aca="false">SUMIFS(tabela_registros[VALOR],tabela_registros[MÊS],$AE$1,tabela_registros[DIA],investiroutrosconsolidadoset[[#Headers],[21]],tabela_registros[REGISTRO],DADOS!$N$5,tabela_registros[TIPO],DADOS!$AB$5,tabela_registros[CATEGORIA],investiroutrosconsolidadoset[[#This Row],[ATUAL]])</f>
        <v>0</v>
      </c>
      <c r="Z154" s="119" t="n">
        <f aca="false">SUMIFS(tabela_registros[VALOR],tabela_registros[MÊS],$AE$1,tabela_registros[DIA],investiroutrosconsolidadoset[[#Headers],[22]],tabela_registros[REGISTRO],DADOS!$N$5,tabela_registros[TIPO],DADOS!$AB$5,tabela_registros[CATEGORIA],investiroutrosconsolidadoset[[#This Row],[ATUAL]])</f>
        <v>0</v>
      </c>
      <c r="AA154" s="119" t="n">
        <f aca="false">SUMIFS(tabela_registros[VALOR],tabela_registros[MÊS],$AE$1,tabela_registros[DIA],investiroutrosconsolidadoset[[#Headers],[23]],tabela_registros[REGISTRO],DADOS!$N$5,tabela_registros[TIPO],DADOS!$AB$5,tabela_registros[CATEGORIA],investiroutrosconsolidadoset[[#This Row],[ATUAL]])</f>
        <v>0</v>
      </c>
      <c r="AB154" s="119" t="n">
        <f aca="false">SUMIFS(tabela_registros[VALOR],tabela_registros[MÊS],$AE$1,tabela_registros[DIA],investiroutrosconsolidadoset[[#Headers],[24]],tabela_registros[REGISTRO],DADOS!$N$5,tabela_registros[TIPO],DADOS!$AB$5,tabela_registros[CATEGORIA],investiroutrosconsolidadoset[[#This Row],[ATUAL]])</f>
        <v>0</v>
      </c>
      <c r="AC154" s="119" t="n">
        <f aca="false">SUMIFS(tabela_registros[VALOR],tabela_registros[MÊS],$AE$1,tabela_registros[DIA],investiroutrosconsolidadoset[[#Headers],[25]],tabela_registros[REGISTRO],DADOS!$N$5,tabela_registros[TIPO],DADOS!$AB$5,tabela_registros[CATEGORIA],investiroutrosconsolidadoset[[#This Row],[ATUAL]])</f>
        <v>0</v>
      </c>
      <c r="AD154" s="119" t="n">
        <f aca="false">SUMIFS(tabela_registros[VALOR],tabela_registros[MÊS],$AE$1,tabela_registros[DIA],investiroutrosconsolidadoset[[#Headers],[26]],tabela_registros[REGISTRO],DADOS!$N$5,tabela_registros[TIPO],DADOS!$AB$5,tabela_registros[CATEGORIA],investiroutrosconsolidadoset[[#This Row],[ATUAL]])</f>
        <v>0</v>
      </c>
      <c r="AE154" s="119" t="n">
        <f aca="false">SUMIFS(tabela_registros[VALOR],tabela_registros[MÊS],$AE$1,tabela_registros[DIA],investiroutrosconsolidadoset[[#Headers],[27]],tabela_registros[REGISTRO],DADOS!$N$5,tabela_registros[TIPO],DADOS!$AB$5,tabela_registros[CATEGORIA],investiroutrosconsolidadoset[[#This Row],[ATUAL]])</f>
        <v>0</v>
      </c>
      <c r="AF154" s="119" t="n">
        <f aca="false">SUMIFS(tabela_registros[VALOR],tabela_registros[MÊS],$AE$1,tabela_registros[DIA],investiroutrosconsolidadoset[[#Headers],[28]],tabela_registros[REGISTRO],DADOS!$N$5,tabela_registros[TIPO],DADOS!$AB$5,tabela_registros[CATEGORIA],investiroutrosconsolidadoset[[#This Row],[ATUAL]])</f>
        <v>0</v>
      </c>
      <c r="AG154" s="119" t="n">
        <f aca="false">SUMIFS(tabela_registros[VALOR],tabela_registros[MÊS],$AE$1,tabela_registros[DIA],investiroutrosconsolidadoset[[#Headers],[29]],tabela_registros[REGISTRO],DADOS!$N$5,tabela_registros[TIPO],DADOS!$AB$5,tabela_registros[CATEGORIA],investiroutrosconsolidadoset[[#This Row],[ATUAL]])</f>
        <v>0</v>
      </c>
      <c r="AH154" s="119" t="n">
        <f aca="false">SUMIFS(tabela_registros[VALOR],tabela_registros[MÊS],$AE$1,tabela_registros[DIA],investiroutrosconsolidadoset[[#Headers],[30]],tabela_registros[REGISTRO],DADOS!$N$5,tabela_registros[TIPO],DADOS!$AB$5,tabela_registros[CATEGORIA],investiroutrosconsolidadoset[[#This Row],[ATUAL]])</f>
        <v>0</v>
      </c>
      <c r="AI154" s="217" t="n">
        <f aca="false">SUMIFS(tabela_registros[VALOR],tabela_registros[MÊS],$AE$1,tabela_registros[DIA],investiroutrosconsolidadoset[[#Headers],[31]],tabela_registros[REGISTRO],DADOS!$N$5,tabela_registros[TIPO],DADOS!$AB$5,tabela_registros[CATEGORIA],investiroutrosconsolidadoset[[#This Row],[ATUAL]])</f>
        <v>0</v>
      </c>
      <c r="AJ154" s="149" t="n">
        <f aca="false">SUM(investiroutrosconsolidadoset[[#This Row],[1]:[31]])</f>
        <v>0</v>
      </c>
      <c r="AK154" s="165"/>
    </row>
    <row r="155" customFormat="false" ht="19.5" hidden="false" customHeight="true" outlineLevel="0" collapsed="false">
      <c r="B155" s="143"/>
      <c r="C155" s="144" t="str">
        <f aca="false">DADOS!$AH$7</f>
        <v>📝 PEER TO COMPANY</v>
      </c>
      <c r="D155" s="145" t="str">
        <f aca="false">IF(investiroutrosconsolidadoset[[#This Row],[TOTAL (R$)]]=0,"",IF(OR(investiroutrosconsolidadoset[[#This Row],[TOTAL (R$)]]=LARGE($AJ$151:$AJ$158,1),investiroutrosconsolidadoset[[#This Row],[TOTAL (R$)]]=LARGE($AJ$151:$AJ$158,2)),DADOS!$I$10,""))</f>
        <v/>
      </c>
      <c r="E155" s="148" t="n">
        <f aca="false">SUMIFS(tabela_registros[VALOR],tabela_registros[MÊS],$AE$1,tabela_registros[DIA],investiroutrosconsolidadoset[[#Headers],[1]],tabela_registros[REGISTRO],DADOS!$N$5,tabela_registros[TIPO],DADOS!$AB$5,tabela_registros[CATEGORIA],investiroutrosconsolidadoset[[#This Row],[ATUAL]])</f>
        <v>0</v>
      </c>
      <c r="F155" s="119" t="n">
        <f aca="false">SUMIFS(tabela_registros[VALOR],tabela_registros[MÊS],$AE$1,tabela_registros[DIA],investiroutrosconsolidadoset[[#Headers],[2]],tabela_registros[REGISTRO],DADOS!$N$5,tabela_registros[TIPO],DADOS!$AB$5,tabela_registros[CATEGORIA],investiroutrosconsolidadoset[[#This Row],[ATUAL]])</f>
        <v>0</v>
      </c>
      <c r="G155" s="119" t="n">
        <f aca="false">SUMIFS(tabela_registros[VALOR],tabela_registros[MÊS],$AE$1,tabela_registros[DIA],investiroutrosconsolidadoset[[#Headers],[3]],tabela_registros[REGISTRO],DADOS!$N$5,tabela_registros[TIPO],DADOS!$AB$5,tabela_registros[CATEGORIA],investiroutrosconsolidadoset[[#This Row],[ATUAL]])</f>
        <v>0</v>
      </c>
      <c r="H155" s="119" t="n">
        <f aca="false">SUMIFS(tabela_registros[VALOR],tabela_registros[MÊS],$AE$1,tabela_registros[DIA],investiroutrosconsolidadoset[[#Headers],[4]],tabela_registros[REGISTRO],DADOS!$N$5,tabela_registros[TIPO],DADOS!$AB$5,tabela_registros[CATEGORIA],investiroutrosconsolidadoset[[#This Row],[ATUAL]])</f>
        <v>0</v>
      </c>
      <c r="I155" s="119" t="n">
        <f aca="false">SUMIFS(tabela_registros[VALOR],tabela_registros[MÊS],$AE$1,tabela_registros[DIA],investiroutrosconsolidadoset[[#Headers],[5]],tabela_registros[REGISTRO],DADOS!$N$5,tabela_registros[TIPO],DADOS!$AB$5,tabela_registros[CATEGORIA],investiroutrosconsolidadoset[[#This Row],[ATUAL]])</f>
        <v>0</v>
      </c>
      <c r="J155" s="119" t="n">
        <f aca="false">SUMIFS(tabela_registros[VALOR],tabela_registros[MÊS],$AE$1,tabela_registros[DIA],investiroutrosconsolidadoset[[#Headers],[6]],tabela_registros[REGISTRO],DADOS!$N$5,tabela_registros[TIPO],DADOS!$AB$5,tabela_registros[CATEGORIA],investiroutrosconsolidadoset[[#This Row],[ATUAL]])</f>
        <v>0</v>
      </c>
      <c r="K155" s="119" t="n">
        <f aca="false">SUMIFS(tabela_registros[VALOR],tabela_registros[MÊS],$AE$1,tabela_registros[DIA],investiroutrosconsolidadoset[[#Headers],[7]],tabela_registros[REGISTRO],DADOS!$N$5,tabela_registros[TIPO],DADOS!$AB$5,tabela_registros[CATEGORIA],investiroutrosconsolidadoset[[#This Row],[ATUAL]])</f>
        <v>0</v>
      </c>
      <c r="L155" s="119" t="n">
        <f aca="false">SUMIFS(tabela_registros[VALOR],tabela_registros[MÊS],$AE$1,tabela_registros[DIA],investiroutrosconsolidadoset[[#Headers],[8]],tabela_registros[REGISTRO],DADOS!$N$5,tabela_registros[TIPO],DADOS!$AB$5,tabela_registros[CATEGORIA],investiroutrosconsolidadoset[[#This Row],[ATUAL]])</f>
        <v>0</v>
      </c>
      <c r="M155" s="119" t="n">
        <f aca="false">SUMIFS(tabela_registros[VALOR],tabela_registros[MÊS],$AE$1,tabela_registros[DIA],investiroutrosconsolidadoset[[#Headers],[9]],tabela_registros[REGISTRO],DADOS!$N$5,tabela_registros[TIPO],DADOS!$AB$5,tabela_registros[CATEGORIA],investiroutrosconsolidadoset[[#This Row],[ATUAL]])</f>
        <v>0</v>
      </c>
      <c r="N155" s="119" t="n">
        <f aca="false">SUMIFS(tabela_registros[VALOR],tabela_registros[MÊS],$AE$1,tabela_registros[DIA],investiroutrosconsolidadoset[[#Headers],[10]],tabela_registros[REGISTRO],DADOS!$N$5,tabela_registros[TIPO],DADOS!$AB$5,tabela_registros[CATEGORIA],investiroutrosconsolidadoset[[#This Row],[ATUAL]])</f>
        <v>0</v>
      </c>
      <c r="O155" s="119" t="n">
        <f aca="false">SUMIFS(tabela_registros[VALOR],tabela_registros[MÊS],$AE$1,tabela_registros[DIA],investiroutrosconsolidadoset[[#Headers],[11]],tabela_registros[REGISTRO],DADOS!$N$5,tabela_registros[TIPO],DADOS!$AB$5,tabela_registros[CATEGORIA],investiroutrosconsolidadoset[[#This Row],[ATUAL]])</f>
        <v>0</v>
      </c>
      <c r="P155" s="119" t="n">
        <f aca="false">SUMIFS(tabela_registros[VALOR],tabela_registros[MÊS],$AE$1,tabela_registros[DIA],investiroutrosconsolidadoset[[#Headers],[12]],tabela_registros[REGISTRO],DADOS!$N$5,tabela_registros[TIPO],DADOS!$AB$5,tabela_registros[CATEGORIA],investiroutrosconsolidadoset[[#This Row],[ATUAL]])</f>
        <v>0</v>
      </c>
      <c r="Q155" s="119" t="n">
        <f aca="false">SUMIFS(tabela_registros[VALOR],tabela_registros[MÊS],$AE$1,tabela_registros[DIA],investiroutrosconsolidadoset[[#Headers],[13]],tabela_registros[REGISTRO],DADOS!$N$5,tabela_registros[TIPO],DADOS!$AB$5,tabela_registros[CATEGORIA],investiroutrosconsolidadoset[[#This Row],[ATUAL]])</f>
        <v>0</v>
      </c>
      <c r="R155" s="119" t="n">
        <f aca="false">SUMIFS(tabela_registros[VALOR],tabela_registros[MÊS],$AE$1,tabela_registros[DIA],investiroutrosconsolidadoset[[#Headers],[14]],tabela_registros[REGISTRO],DADOS!$N$5,tabela_registros[TIPO],DADOS!$AB$5,tabela_registros[CATEGORIA],investiroutrosconsolidadoset[[#This Row],[ATUAL]])</f>
        <v>0</v>
      </c>
      <c r="S155" s="119" t="n">
        <f aca="false">SUMIFS(tabela_registros[VALOR],tabela_registros[MÊS],$AE$1,tabela_registros[DIA],investiroutrosconsolidadoset[[#Headers],[15]],tabela_registros[REGISTRO],DADOS!$N$5,tabela_registros[TIPO],DADOS!$AB$5,tabela_registros[CATEGORIA],investiroutrosconsolidadoset[[#This Row],[ATUAL]])</f>
        <v>0</v>
      </c>
      <c r="T155" s="119" t="n">
        <f aca="false">SUMIFS(tabela_registros[VALOR],tabela_registros[MÊS],$AE$1,tabela_registros[DIA],investiroutrosconsolidadoset[[#Headers],[16]],tabela_registros[REGISTRO],DADOS!$N$5,tabela_registros[TIPO],DADOS!$AB$5,tabela_registros[CATEGORIA],investiroutrosconsolidadoset[[#This Row],[ATUAL]])</f>
        <v>0</v>
      </c>
      <c r="U155" s="119" t="n">
        <f aca="false">SUMIFS(tabela_registros[VALOR],tabela_registros[MÊS],$AE$1,tabela_registros[DIA],investiroutrosconsolidadoset[[#Headers],[17]],tabela_registros[REGISTRO],DADOS!$N$5,tabela_registros[TIPO],DADOS!$AB$5,tabela_registros[CATEGORIA],investiroutrosconsolidadoset[[#This Row],[ATUAL]])</f>
        <v>0</v>
      </c>
      <c r="V155" s="119" t="n">
        <f aca="false">SUMIFS(tabela_registros[VALOR],tabela_registros[MÊS],$AE$1,tabela_registros[DIA],investiroutrosconsolidadoset[[#Headers],[18]],tabela_registros[REGISTRO],DADOS!$N$5,tabela_registros[TIPO],DADOS!$AB$5,tabela_registros[CATEGORIA],investiroutrosconsolidadoset[[#This Row],[ATUAL]])</f>
        <v>0</v>
      </c>
      <c r="W155" s="119" t="n">
        <f aca="false">SUMIFS(tabela_registros[VALOR],tabela_registros[MÊS],$AE$1,tabela_registros[DIA],investiroutrosconsolidadoset[[#Headers],[19]],tabela_registros[REGISTRO],DADOS!$N$5,tabela_registros[TIPO],DADOS!$AB$5,tabela_registros[CATEGORIA],investiroutrosconsolidadoset[[#This Row],[ATUAL]])</f>
        <v>0</v>
      </c>
      <c r="X155" s="119" t="n">
        <f aca="false">SUMIFS(tabela_registros[VALOR],tabela_registros[MÊS],$AE$1,tabela_registros[DIA],investiroutrosconsolidadoset[[#Headers],[20]],tabela_registros[REGISTRO],DADOS!$N$5,tabela_registros[TIPO],DADOS!$AB$5,tabela_registros[CATEGORIA],investiroutrosconsolidadoset[[#This Row],[ATUAL]])</f>
        <v>0</v>
      </c>
      <c r="Y155" s="119" t="n">
        <f aca="false">SUMIFS(tabela_registros[VALOR],tabela_registros[MÊS],$AE$1,tabela_registros[DIA],investiroutrosconsolidadoset[[#Headers],[21]],tabela_registros[REGISTRO],DADOS!$N$5,tabela_registros[TIPO],DADOS!$AB$5,tabela_registros[CATEGORIA],investiroutrosconsolidadoset[[#This Row],[ATUAL]])</f>
        <v>0</v>
      </c>
      <c r="Z155" s="119" t="n">
        <f aca="false">SUMIFS(tabela_registros[VALOR],tabela_registros[MÊS],$AE$1,tabela_registros[DIA],investiroutrosconsolidadoset[[#Headers],[22]],tabela_registros[REGISTRO],DADOS!$N$5,tabela_registros[TIPO],DADOS!$AB$5,tabela_registros[CATEGORIA],investiroutrosconsolidadoset[[#This Row],[ATUAL]])</f>
        <v>0</v>
      </c>
      <c r="AA155" s="119" t="n">
        <f aca="false">SUMIFS(tabela_registros[VALOR],tabela_registros[MÊS],$AE$1,tabela_registros[DIA],investiroutrosconsolidadoset[[#Headers],[23]],tabela_registros[REGISTRO],DADOS!$N$5,tabela_registros[TIPO],DADOS!$AB$5,tabela_registros[CATEGORIA],investiroutrosconsolidadoset[[#This Row],[ATUAL]])</f>
        <v>0</v>
      </c>
      <c r="AB155" s="119" t="n">
        <f aca="false">SUMIFS(tabela_registros[VALOR],tabela_registros[MÊS],$AE$1,tabela_registros[DIA],investiroutrosconsolidadoset[[#Headers],[24]],tabela_registros[REGISTRO],DADOS!$N$5,tabela_registros[TIPO],DADOS!$AB$5,tabela_registros[CATEGORIA],investiroutrosconsolidadoset[[#This Row],[ATUAL]])</f>
        <v>0</v>
      </c>
      <c r="AC155" s="119" t="n">
        <f aca="false">SUMIFS(tabela_registros[VALOR],tabela_registros[MÊS],$AE$1,tabela_registros[DIA],investiroutrosconsolidadoset[[#Headers],[25]],tabela_registros[REGISTRO],DADOS!$N$5,tabela_registros[TIPO],DADOS!$AB$5,tabela_registros[CATEGORIA],investiroutrosconsolidadoset[[#This Row],[ATUAL]])</f>
        <v>0</v>
      </c>
      <c r="AD155" s="119" t="n">
        <f aca="false">SUMIFS(tabela_registros[VALOR],tabela_registros[MÊS],$AE$1,tabela_registros[DIA],investiroutrosconsolidadoset[[#Headers],[26]],tabela_registros[REGISTRO],DADOS!$N$5,tabela_registros[TIPO],DADOS!$AB$5,tabela_registros[CATEGORIA],investiroutrosconsolidadoset[[#This Row],[ATUAL]])</f>
        <v>0</v>
      </c>
      <c r="AE155" s="119" t="n">
        <f aca="false">SUMIFS(tabela_registros[VALOR],tabela_registros[MÊS],$AE$1,tabela_registros[DIA],investiroutrosconsolidadoset[[#Headers],[27]],tabela_registros[REGISTRO],DADOS!$N$5,tabela_registros[TIPO],DADOS!$AB$5,tabela_registros[CATEGORIA],investiroutrosconsolidadoset[[#This Row],[ATUAL]])</f>
        <v>0</v>
      </c>
      <c r="AF155" s="119" t="n">
        <f aca="false">SUMIFS(tabela_registros[VALOR],tabela_registros[MÊS],$AE$1,tabela_registros[DIA],investiroutrosconsolidadoset[[#Headers],[28]],tabela_registros[REGISTRO],DADOS!$N$5,tabela_registros[TIPO],DADOS!$AB$5,tabela_registros[CATEGORIA],investiroutrosconsolidadoset[[#This Row],[ATUAL]])</f>
        <v>0</v>
      </c>
      <c r="AG155" s="119" t="n">
        <f aca="false">SUMIFS(tabela_registros[VALOR],tabela_registros[MÊS],$AE$1,tabela_registros[DIA],investiroutrosconsolidadoset[[#Headers],[29]],tabela_registros[REGISTRO],DADOS!$N$5,tabela_registros[TIPO],DADOS!$AB$5,tabela_registros[CATEGORIA],investiroutrosconsolidadoset[[#This Row],[ATUAL]])</f>
        <v>0</v>
      </c>
      <c r="AH155" s="119" t="n">
        <f aca="false">SUMIFS(tabela_registros[VALOR],tabela_registros[MÊS],$AE$1,tabela_registros[DIA],investiroutrosconsolidadoset[[#Headers],[30]],tabela_registros[REGISTRO],DADOS!$N$5,tabela_registros[TIPO],DADOS!$AB$5,tabela_registros[CATEGORIA],investiroutrosconsolidadoset[[#This Row],[ATUAL]])</f>
        <v>0</v>
      </c>
      <c r="AI155" s="217" t="n">
        <f aca="false">SUMIFS(tabela_registros[VALOR],tabela_registros[MÊS],$AE$1,tabela_registros[DIA],investiroutrosconsolidadoset[[#Headers],[31]],tabela_registros[REGISTRO],DADOS!$N$5,tabela_registros[TIPO],DADOS!$AB$5,tabela_registros[CATEGORIA],investiroutrosconsolidadoset[[#This Row],[ATUAL]])</f>
        <v>0</v>
      </c>
      <c r="AJ155" s="149" t="n">
        <f aca="false">SUM(investiroutrosconsolidadoset[[#This Row],[1]:[31]])</f>
        <v>0</v>
      </c>
      <c r="AK155" s="165"/>
    </row>
    <row r="156" customFormat="false" ht="19.5" hidden="false" customHeight="true" outlineLevel="0" collapsed="false">
      <c r="B156" s="143"/>
      <c r="C156" s="144" t="str">
        <f aca="false">DADOS!$AH$8</f>
        <v>📝 PEER TO PEER</v>
      </c>
      <c r="D156" s="145" t="str">
        <f aca="false">IF(investiroutrosconsolidadoset[[#This Row],[TOTAL (R$)]]=0,"",IF(OR(investiroutrosconsolidadoset[[#This Row],[TOTAL (R$)]]=LARGE($AJ$151:$AJ$158,1),investiroutrosconsolidadoset[[#This Row],[TOTAL (R$)]]=LARGE($AJ$151:$AJ$158,2)),DADOS!$I$10,""))</f>
        <v/>
      </c>
      <c r="E156" s="148" t="n">
        <f aca="false">SUMIFS(tabela_registros[VALOR],tabela_registros[MÊS],$AE$1,tabela_registros[DIA],investiroutrosconsolidadoset[[#Headers],[1]],tabela_registros[REGISTRO],DADOS!$N$5,tabela_registros[TIPO],DADOS!$AB$5,tabela_registros[CATEGORIA],investiroutrosconsolidadoset[[#This Row],[ATUAL]])</f>
        <v>0</v>
      </c>
      <c r="F156" s="119" t="n">
        <f aca="false">SUMIFS(tabela_registros[VALOR],tabela_registros[MÊS],$AE$1,tabela_registros[DIA],investiroutrosconsolidadoset[[#Headers],[2]],tabela_registros[REGISTRO],DADOS!$N$5,tabela_registros[TIPO],DADOS!$AB$5,tabela_registros[CATEGORIA],investiroutrosconsolidadoset[[#This Row],[ATUAL]])</f>
        <v>0</v>
      </c>
      <c r="G156" s="119" t="n">
        <f aca="false">SUMIFS(tabela_registros[VALOR],tabela_registros[MÊS],$AE$1,tabela_registros[DIA],investiroutrosconsolidadoset[[#Headers],[3]],tabela_registros[REGISTRO],DADOS!$N$5,tabela_registros[TIPO],DADOS!$AB$5,tabela_registros[CATEGORIA],investiroutrosconsolidadoset[[#This Row],[ATUAL]])</f>
        <v>0</v>
      </c>
      <c r="H156" s="119" t="n">
        <f aca="false">SUMIFS(tabela_registros[VALOR],tabela_registros[MÊS],$AE$1,tabela_registros[DIA],investiroutrosconsolidadoset[[#Headers],[4]],tabela_registros[REGISTRO],DADOS!$N$5,tabela_registros[TIPO],DADOS!$AB$5,tabela_registros[CATEGORIA],investiroutrosconsolidadoset[[#This Row],[ATUAL]])</f>
        <v>0</v>
      </c>
      <c r="I156" s="119" t="n">
        <f aca="false">SUMIFS(tabela_registros[VALOR],tabela_registros[MÊS],$AE$1,tabela_registros[DIA],investiroutrosconsolidadoset[[#Headers],[5]],tabela_registros[REGISTRO],DADOS!$N$5,tabela_registros[TIPO],DADOS!$AB$5,tabela_registros[CATEGORIA],investiroutrosconsolidadoset[[#This Row],[ATUAL]])</f>
        <v>0</v>
      </c>
      <c r="J156" s="119" t="n">
        <f aca="false">SUMIFS(tabela_registros[VALOR],tabela_registros[MÊS],$AE$1,tabela_registros[DIA],investiroutrosconsolidadoset[[#Headers],[6]],tabela_registros[REGISTRO],DADOS!$N$5,tabela_registros[TIPO],DADOS!$AB$5,tabela_registros[CATEGORIA],investiroutrosconsolidadoset[[#This Row],[ATUAL]])</f>
        <v>0</v>
      </c>
      <c r="K156" s="119" t="n">
        <f aca="false">SUMIFS(tabela_registros[VALOR],tabela_registros[MÊS],$AE$1,tabela_registros[DIA],investiroutrosconsolidadoset[[#Headers],[7]],tabela_registros[REGISTRO],DADOS!$N$5,tabela_registros[TIPO],DADOS!$AB$5,tabela_registros[CATEGORIA],investiroutrosconsolidadoset[[#This Row],[ATUAL]])</f>
        <v>0</v>
      </c>
      <c r="L156" s="119" t="n">
        <f aca="false">SUMIFS(tabela_registros[VALOR],tabela_registros[MÊS],$AE$1,tabela_registros[DIA],investiroutrosconsolidadoset[[#Headers],[8]],tabela_registros[REGISTRO],DADOS!$N$5,tabela_registros[TIPO],DADOS!$AB$5,tabela_registros[CATEGORIA],investiroutrosconsolidadoset[[#This Row],[ATUAL]])</f>
        <v>0</v>
      </c>
      <c r="M156" s="119" t="n">
        <f aca="false">SUMIFS(tabela_registros[VALOR],tabela_registros[MÊS],$AE$1,tabela_registros[DIA],investiroutrosconsolidadoset[[#Headers],[9]],tabela_registros[REGISTRO],DADOS!$N$5,tabela_registros[TIPO],DADOS!$AB$5,tabela_registros[CATEGORIA],investiroutrosconsolidadoset[[#This Row],[ATUAL]])</f>
        <v>0</v>
      </c>
      <c r="N156" s="119" t="n">
        <f aca="false">SUMIFS(tabela_registros[VALOR],tabela_registros[MÊS],$AE$1,tabela_registros[DIA],investiroutrosconsolidadoset[[#Headers],[10]],tabela_registros[REGISTRO],DADOS!$N$5,tabela_registros[TIPO],DADOS!$AB$5,tabela_registros[CATEGORIA],investiroutrosconsolidadoset[[#This Row],[ATUAL]])</f>
        <v>0</v>
      </c>
      <c r="O156" s="119" t="n">
        <f aca="false">SUMIFS(tabela_registros[VALOR],tabela_registros[MÊS],$AE$1,tabela_registros[DIA],investiroutrosconsolidadoset[[#Headers],[11]],tabela_registros[REGISTRO],DADOS!$N$5,tabela_registros[TIPO],DADOS!$AB$5,tabela_registros[CATEGORIA],investiroutrosconsolidadoset[[#This Row],[ATUAL]])</f>
        <v>0</v>
      </c>
      <c r="P156" s="119" t="n">
        <f aca="false">SUMIFS(tabela_registros[VALOR],tabela_registros[MÊS],$AE$1,tabela_registros[DIA],investiroutrosconsolidadoset[[#Headers],[12]],tabela_registros[REGISTRO],DADOS!$N$5,tabela_registros[TIPO],DADOS!$AB$5,tabela_registros[CATEGORIA],investiroutrosconsolidadoset[[#This Row],[ATUAL]])</f>
        <v>0</v>
      </c>
      <c r="Q156" s="119" t="n">
        <f aca="false">SUMIFS(tabela_registros[VALOR],tabela_registros[MÊS],$AE$1,tabela_registros[DIA],investiroutrosconsolidadoset[[#Headers],[13]],tabela_registros[REGISTRO],DADOS!$N$5,tabela_registros[TIPO],DADOS!$AB$5,tabela_registros[CATEGORIA],investiroutrosconsolidadoset[[#This Row],[ATUAL]])</f>
        <v>0</v>
      </c>
      <c r="R156" s="119" t="n">
        <f aca="false">SUMIFS(tabela_registros[VALOR],tabela_registros[MÊS],$AE$1,tabela_registros[DIA],investiroutrosconsolidadoset[[#Headers],[14]],tabela_registros[REGISTRO],DADOS!$N$5,tabela_registros[TIPO],DADOS!$AB$5,tabela_registros[CATEGORIA],investiroutrosconsolidadoset[[#This Row],[ATUAL]])</f>
        <v>0</v>
      </c>
      <c r="S156" s="119" t="n">
        <f aca="false">SUMIFS(tabela_registros[VALOR],tabela_registros[MÊS],$AE$1,tabela_registros[DIA],investiroutrosconsolidadoset[[#Headers],[15]],tabela_registros[REGISTRO],DADOS!$N$5,tabela_registros[TIPO],DADOS!$AB$5,tabela_registros[CATEGORIA],investiroutrosconsolidadoset[[#This Row],[ATUAL]])</f>
        <v>0</v>
      </c>
      <c r="T156" s="119" t="n">
        <f aca="false">SUMIFS(tabela_registros[VALOR],tabela_registros[MÊS],$AE$1,tabela_registros[DIA],investiroutrosconsolidadoset[[#Headers],[16]],tabela_registros[REGISTRO],DADOS!$N$5,tabela_registros[TIPO],DADOS!$AB$5,tabela_registros[CATEGORIA],investiroutrosconsolidadoset[[#This Row],[ATUAL]])</f>
        <v>0</v>
      </c>
      <c r="U156" s="119" t="n">
        <f aca="false">SUMIFS(tabela_registros[VALOR],tabela_registros[MÊS],$AE$1,tabela_registros[DIA],investiroutrosconsolidadoset[[#Headers],[17]],tabela_registros[REGISTRO],DADOS!$N$5,tabela_registros[TIPO],DADOS!$AB$5,tabela_registros[CATEGORIA],investiroutrosconsolidadoset[[#This Row],[ATUAL]])</f>
        <v>0</v>
      </c>
      <c r="V156" s="119" t="n">
        <f aca="false">SUMIFS(tabela_registros[VALOR],tabela_registros[MÊS],$AE$1,tabela_registros[DIA],investiroutrosconsolidadoset[[#Headers],[18]],tabela_registros[REGISTRO],DADOS!$N$5,tabela_registros[TIPO],DADOS!$AB$5,tabela_registros[CATEGORIA],investiroutrosconsolidadoset[[#This Row],[ATUAL]])</f>
        <v>0</v>
      </c>
      <c r="W156" s="119" t="n">
        <f aca="false">SUMIFS(tabela_registros[VALOR],tabela_registros[MÊS],$AE$1,tabela_registros[DIA],investiroutrosconsolidadoset[[#Headers],[19]],tabela_registros[REGISTRO],DADOS!$N$5,tabela_registros[TIPO],DADOS!$AB$5,tabela_registros[CATEGORIA],investiroutrosconsolidadoset[[#This Row],[ATUAL]])</f>
        <v>0</v>
      </c>
      <c r="X156" s="119" t="n">
        <f aca="false">SUMIFS(tabela_registros[VALOR],tabela_registros[MÊS],$AE$1,tabela_registros[DIA],investiroutrosconsolidadoset[[#Headers],[20]],tabela_registros[REGISTRO],DADOS!$N$5,tabela_registros[TIPO],DADOS!$AB$5,tabela_registros[CATEGORIA],investiroutrosconsolidadoset[[#This Row],[ATUAL]])</f>
        <v>0</v>
      </c>
      <c r="Y156" s="119" t="n">
        <f aca="false">SUMIFS(tabela_registros[VALOR],tabela_registros[MÊS],$AE$1,tabela_registros[DIA],investiroutrosconsolidadoset[[#Headers],[21]],tabela_registros[REGISTRO],DADOS!$N$5,tabela_registros[TIPO],DADOS!$AB$5,tabela_registros[CATEGORIA],investiroutrosconsolidadoset[[#This Row],[ATUAL]])</f>
        <v>0</v>
      </c>
      <c r="Z156" s="119" t="n">
        <f aca="false">SUMIFS(tabela_registros[VALOR],tabela_registros[MÊS],$AE$1,tabela_registros[DIA],investiroutrosconsolidadoset[[#Headers],[22]],tabela_registros[REGISTRO],DADOS!$N$5,tabela_registros[TIPO],DADOS!$AB$5,tabela_registros[CATEGORIA],investiroutrosconsolidadoset[[#This Row],[ATUAL]])</f>
        <v>0</v>
      </c>
      <c r="AA156" s="119" t="n">
        <f aca="false">SUMIFS(tabela_registros[VALOR],tabela_registros[MÊS],$AE$1,tabela_registros[DIA],investiroutrosconsolidadoset[[#Headers],[23]],tabela_registros[REGISTRO],DADOS!$N$5,tabela_registros[TIPO],DADOS!$AB$5,tabela_registros[CATEGORIA],investiroutrosconsolidadoset[[#This Row],[ATUAL]])</f>
        <v>0</v>
      </c>
      <c r="AB156" s="119" t="n">
        <f aca="false">SUMIFS(tabela_registros[VALOR],tabela_registros[MÊS],$AE$1,tabela_registros[DIA],investiroutrosconsolidadoset[[#Headers],[24]],tabela_registros[REGISTRO],DADOS!$N$5,tabela_registros[TIPO],DADOS!$AB$5,tabela_registros[CATEGORIA],investiroutrosconsolidadoset[[#This Row],[ATUAL]])</f>
        <v>0</v>
      </c>
      <c r="AC156" s="119" t="n">
        <f aca="false">SUMIFS(tabela_registros[VALOR],tabela_registros[MÊS],$AE$1,tabela_registros[DIA],investiroutrosconsolidadoset[[#Headers],[25]],tabela_registros[REGISTRO],DADOS!$N$5,tabela_registros[TIPO],DADOS!$AB$5,tabela_registros[CATEGORIA],investiroutrosconsolidadoset[[#This Row],[ATUAL]])</f>
        <v>0</v>
      </c>
      <c r="AD156" s="119" t="n">
        <f aca="false">SUMIFS(tabela_registros[VALOR],tabela_registros[MÊS],$AE$1,tabela_registros[DIA],investiroutrosconsolidadoset[[#Headers],[26]],tabela_registros[REGISTRO],DADOS!$N$5,tabela_registros[TIPO],DADOS!$AB$5,tabela_registros[CATEGORIA],investiroutrosconsolidadoset[[#This Row],[ATUAL]])</f>
        <v>0</v>
      </c>
      <c r="AE156" s="119" t="n">
        <f aca="false">SUMIFS(tabela_registros[VALOR],tabela_registros[MÊS],$AE$1,tabela_registros[DIA],investiroutrosconsolidadoset[[#Headers],[27]],tabela_registros[REGISTRO],DADOS!$N$5,tabela_registros[TIPO],DADOS!$AB$5,tabela_registros[CATEGORIA],investiroutrosconsolidadoset[[#This Row],[ATUAL]])</f>
        <v>0</v>
      </c>
      <c r="AF156" s="119" t="n">
        <f aca="false">SUMIFS(tabela_registros[VALOR],tabela_registros[MÊS],$AE$1,tabela_registros[DIA],investiroutrosconsolidadoset[[#Headers],[28]],tabela_registros[REGISTRO],DADOS!$N$5,tabela_registros[TIPO],DADOS!$AB$5,tabela_registros[CATEGORIA],investiroutrosconsolidadoset[[#This Row],[ATUAL]])</f>
        <v>0</v>
      </c>
      <c r="AG156" s="119" t="n">
        <f aca="false">SUMIFS(tabela_registros[VALOR],tabela_registros[MÊS],$AE$1,tabela_registros[DIA],investiroutrosconsolidadoset[[#Headers],[29]],tabela_registros[REGISTRO],DADOS!$N$5,tabela_registros[TIPO],DADOS!$AB$5,tabela_registros[CATEGORIA],investiroutrosconsolidadoset[[#This Row],[ATUAL]])</f>
        <v>0</v>
      </c>
      <c r="AH156" s="119" t="n">
        <f aca="false">SUMIFS(tabela_registros[VALOR],tabela_registros[MÊS],$AE$1,tabela_registros[DIA],investiroutrosconsolidadoset[[#Headers],[30]],tabela_registros[REGISTRO],DADOS!$N$5,tabela_registros[TIPO],DADOS!$AB$5,tabela_registros[CATEGORIA],investiroutrosconsolidadoset[[#This Row],[ATUAL]])</f>
        <v>0</v>
      </c>
      <c r="AI156" s="217" t="n">
        <f aca="false">SUMIFS(tabela_registros[VALOR],tabela_registros[MÊS],$AE$1,tabela_registros[DIA],investiroutrosconsolidadoset[[#Headers],[31]],tabela_registros[REGISTRO],DADOS!$N$5,tabela_registros[TIPO],DADOS!$AB$5,tabela_registros[CATEGORIA],investiroutrosconsolidadoset[[#This Row],[ATUAL]])</f>
        <v>0</v>
      </c>
      <c r="AJ156" s="149" t="n">
        <f aca="false">SUM(investiroutrosconsolidadoset[[#This Row],[1]:[31]])</f>
        <v>0</v>
      </c>
      <c r="AK156" s="165"/>
    </row>
    <row r="157" customFormat="false" ht="19.5" hidden="false" customHeight="true" outlineLevel="0" collapsed="false">
      <c r="B157" s="143"/>
      <c r="C157" s="144" t="str">
        <f aca="false">DADOS!$AH$9</f>
        <v>📝 PREVIDÊNCIA PRIVADA</v>
      </c>
      <c r="D157" s="145" t="str">
        <f aca="false">IF(investiroutrosconsolidadoset[[#This Row],[TOTAL (R$)]]=0,"",IF(OR(investiroutrosconsolidadoset[[#This Row],[TOTAL (R$)]]=LARGE($AJ$151:$AJ$158,1),investiroutrosconsolidadoset[[#This Row],[TOTAL (R$)]]=LARGE($AJ$151:$AJ$158,2)),DADOS!$I$10,""))</f>
        <v/>
      </c>
      <c r="E157" s="148" t="n">
        <f aca="false">SUMIFS(tabela_registros[VALOR],tabela_registros[MÊS],$AE$1,tabela_registros[DIA],investiroutrosconsolidadoset[[#Headers],[1]],tabela_registros[REGISTRO],DADOS!$N$5,tabela_registros[TIPO],DADOS!$AB$5,tabela_registros[CATEGORIA],investiroutrosconsolidadoset[[#This Row],[ATUAL]])</f>
        <v>0</v>
      </c>
      <c r="F157" s="119" t="n">
        <f aca="false">SUMIFS(tabela_registros[VALOR],tabela_registros[MÊS],$AE$1,tabela_registros[DIA],investiroutrosconsolidadoset[[#Headers],[2]],tabela_registros[REGISTRO],DADOS!$N$5,tabela_registros[TIPO],DADOS!$AB$5,tabela_registros[CATEGORIA],investiroutrosconsolidadoset[[#This Row],[ATUAL]])</f>
        <v>0</v>
      </c>
      <c r="G157" s="119" t="n">
        <f aca="false">SUMIFS(tabela_registros[VALOR],tabela_registros[MÊS],$AE$1,tabela_registros[DIA],investiroutrosconsolidadoset[[#Headers],[3]],tabela_registros[REGISTRO],DADOS!$N$5,tabela_registros[TIPO],DADOS!$AB$5,tabela_registros[CATEGORIA],investiroutrosconsolidadoset[[#This Row],[ATUAL]])</f>
        <v>0</v>
      </c>
      <c r="H157" s="119" t="n">
        <f aca="false">SUMIFS(tabela_registros[VALOR],tabela_registros[MÊS],$AE$1,tabela_registros[DIA],investiroutrosconsolidadoset[[#Headers],[4]],tabela_registros[REGISTRO],DADOS!$N$5,tabela_registros[TIPO],DADOS!$AB$5,tabela_registros[CATEGORIA],investiroutrosconsolidadoset[[#This Row],[ATUAL]])</f>
        <v>0</v>
      </c>
      <c r="I157" s="119" t="n">
        <f aca="false">SUMIFS(tabela_registros[VALOR],tabela_registros[MÊS],$AE$1,tabela_registros[DIA],investiroutrosconsolidadoset[[#Headers],[5]],tabela_registros[REGISTRO],DADOS!$N$5,tabela_registros[TIPO],DADOS!$AB$5,tabela_registros[CATEGORIA],investiroutrosconsolidadoset[[#This Row],[ATUAL]])</f>
        <v>0</v>
      </c>
      <c r="J157" s="119" t="n">
        <f aca="false">SUMIFS(tabela_registros[VALOR],tabela_registros[MÊS],$AE$1,tabela_registros[DIA],investiroutrosconsolidadoset[[#Headers],[6]],tabela_registros[REGISTRO],DADOS!$N$5,tabela_registros[TIPO],DADOS!$AB$5,tabela_registros[CATEGORIA],investiroutrosconsolidadoset[[#This Row],[ATUAL]])</f>
        <v>0</v>
      </c>
      <c r="K157" s="119" t="n">
        <f aca="false">SUMIFS(tabela_registros[VALOR],tabela_registros[MÊS],$AE$1,tabela_registros[DIA],investiroutrosconsolidadoset[[#Headers],[7]],tabela_registros[REGISTRO],DADOS!$N$5,tabela_registros[TIPO],DADOS!$AB$5,tabela_registros[CATEGORIA],investiroutrosconsolidadoset[[#This Row],[ATUAL]])</f>
        <v>0</v>
      </c>
      <c r="L157" s="119" t="n">
        <f aca="false">SUMIFS(tabela_registros[VALOR],tabela_registros[MÊS],$AE$1,tabela_registros[DIA],investiroutrosconsolidadoset[[#Headers],[8]],tabela_registros[REGISTRO],DADOS!$N$5,tabela_registros[TIPO],DADOS!$AB$5,tabela_registros[CATEGORIA],investiroutrosconsolidadoset[[#This Row],[ATUAL]])</f>
        <v>0</v>
      </c>
      <c r="M157" s="119" t="n">
        <f aca="false">SUMIFS(tabela_registros[VALOR],tabela_registros[MÊS],$AE$1,tabela_registros[DIA],investiroutrosconsolidadoset[[#Headers],[9]],tabela_registros[REGISTRO],DADOS!$N$5,tabela_registros[TIPO],DADOS!$AB$5,tabela_registros[CATEGORIA],investiroutrosconsolidadoset[[#This Row],[ATUAL]])</f>
        <v>0</v>
      </c>
      <c r="N157" s="119" t="n">
        <f aca="false">SUMIFS(tabela_registros[VALOR],tabela_registros[MÊS],$AE$1,tabela_registros[DIA],investiroutrosconsolidadoset[[#Headers],[10]],tabela_registros[REGISTRO],DADOS!$N$5,tabela_registros[TIPO],DADOS!$AB$5,tabela_registros[CATEGORIA],investiroutrosconsolidadoset[[#This Row],[ATUAL]])</f>
        <v>0</v>
      </c>
      <c r="O157" s="119" t="n">
        <f aca="false">SUMIFS(tabela_registros[VALOR],tabela_registros[MÊS],$AE$1,tabela_registros[DIA],investiroutrosconsolidadoset[[#Headers],[11]],tabela_registros[REGISTRO],DADOS!$N$5,tabela_registros[TIPO],DADOS!$AB$5,tabela_registros[CATEGORIA],investiroutrosconsolidadoset[[#This Row],[ATUAL]])</f>
        <v>0</v>
      </c>
      <c r="P157" s="119" t="n">
        <f aca="false">SUMIFS(tabela_registros[VALOR],tabela_registros[MÊS],$AE$1,tabela_registros[DIA],investiroutrosconsolidadoset[[#Headers],[12]],tabela_registros[REGISTRO],DADOS!$N$5,tabela_registros[TIPO],DADOS!$AB$5,tabela_registros[CATEGORIA],investiroutrosconsolidadoset[[#This Row],[ATUAL]])</f>
        <v>0</v>
      </c>
      <c r="Q157" s="119" t="n">
        <f aca="false">SUMIFS(tabela_registros[VALOR],tabela_registros[MÊS],$AE$1,tabela_registros[DIA],investiroutrosconsolidadoset[[#Headers],[13]],tabela_registros[REGISTRO],DADOS!$N$5,tabela_registros[TIPO],DADOS!$AB$5,tabela_registros[CATEGORIA],investiroutrosconsolidadoset[[#This Row],[ATUAL]])</f>
        <v>0</v>
      </c>
      <c r="R157" s="119" t="n">
        <f aca="false">SUMIFS(tabela_registros[VALOR],tabela_registros[MÊS],$AE$1,tabela_registros[DIA],investiroutrosconsolidadoset[[#Headers],[14]],tabela_registros[REGISTRO],DADOS!$N$5,tabela_registros[TIPO],DADOS!$AB$5,tabela_registros[CATEGORIA],investiroutrosconsolidadoset[[#This Row],[ATUAL]])</f>
        <v>0</v>
      </c>
      <c r="S157" s="119" t="n">
        <f aca="false">SUMIFS(tabela_registros[VALOR],tabela_registros[MÊS],$AE$1,tabela_registros[DIA],investiroutrosconsolidadoset[[#Headers],[15]],tabela_registros[REGISTRO],DADOS!$N$5,tabela_registros[TIPO],DADOS!$AB$5,tabela_registros[CATEGORIA],investiroutrosconsolidadoset[[#This Row],[ATUAL]])</f>
        <v>0</v>
      </c>
      <c r="T157" s="119" t="n">
        <f aca="false">SUMIFS(tabela_registros[VALOR],tabela_registros[MÊS],$AE$1,tabela_registros[DIA],investiroutrosconsolidadoset[[#Headers],[16]],tabela_registros[REGISTRO],DADOS!$N$5,tabela_registros[TIPO],DADOS!$AB$5,tabela_registros[CATEGORIA],investiroutrosconsolidadoset[[#This Row],[ATUAL]])</f>
        <v>0</v>
      </c>
      <c r="U157" s="119" t="n">
        <f aca="false">SUMIFS(tabela_registros[VALOR],tabela_registros[MÊS],$AE$1,tabela_registros[DIA],investiroutrosconsolidadoset[[#Headers],[17]],tabela_registros[REGISTRO],DADOS!$N$5,tabela_registros[TIPO],DADOS!$AB$5,tabela_registros[CATEGORIA],investiroutrosconsolidadoset[[#This Row],[ATUAL]])</f>
        <v>0</v>
      </c>
      <c r="V157" s="119" t="n">
        <f aca="false">SUMIFS(tabela_registros[VALOR],tabela_registros[MÊS],$AE$1,tabela_registros[DIA],investiroutrosconsolidadoset[[#Headers],[18]],tabela_registros[REGISTRO],DADOS!$N$5,tabela_registros[TIPO],DADOS!$AB$5,tabela_registros[CATEGORIA],investiroutrosconsolidadoset[[#This Row],[ATUAL]])</f>
        <v>0</v>
      </c>
      <c r="W157" s="119" t="n">
        <f aca="false">SUMIFS(tabela_registros[VALOR],tabela_registros[MÊS],$AE$1,tabela_registros[DIA],investiroutrosconsolidadoset[[#Headers],[19]],tabela_registros[REGISTRO],DADOS!$N$5,tabela_registros[TIPO],DADOS!$AB$5,tabela_registros[CATEGORIA],investiroutrosconsolidadoset[[#This Row],[ATUAL]])</f>
        <v>0</v>
      </c>
      <c r="X157" s="119" t="n">
        <f aca="false">SUMIFS(tabela_registros[VALOR],tabela_registros[MÊS],$AE$1,tabela_registros[DIA],investiroutrosconsolidadoset[[#Headers],[20]],tabela_registros[REGISTRO],DADOS!$N$5,tabela_registros[TIPO],DADOS!$AB$5,tabela_registros[CATEGORIA],investiroutrosconsolidadoset[[#This Row],[ATUAL]])</f>
        <v>0</v>
      </c>
      <c r="Y157" s="119" t="n">
        <f aca="false">SUMIFS(tabela_registros[VALOR],tabela_registros[MÊS],$AE$1,tabela_registros[DIA],investiroutrosconsolidadoset[[#Headers],[21]],tabela_registros[REGISTRO],DADOS!$N$5,tabela_registros[TIPO],DADOS!$AB$5,tabela_registros[CATEGORIA],investiroutrosconsolidadoset[[#This Row],[ATUAL]])</f>
        <v>0</v>
      </c>
      <c r="Z157" s="119" t="n">
        <f aca="false">SUMIFS(tabela_registros[VALOR],tabela_registros[MÊS],$AE$1,tabela_registros[DIA],investiroutrosconsolidadoset[[#Headers],[22]],tabela_registros[REGISTRO],DADOS!$N$5,tabela_registros[TIPO],DADOS!$AB$5,tabela_registros[CATEGORIA],investiroutrosconsolidadoset[[#This Row],[ATUAL]])</f>
        <v>0</v>
      </c>
      <c r="AA157" s="119" t="n">
        <f aca="false">SUMIFS(tabela_registros[VALOR],tabela_registros[MÊS],$AE$1,tabela_registros[DIA],investiroutrosconsolidadoset[[#Headers],[23]],tabela_registros[REGISTRO],DADOS!$N$5,tabela_registros[TIPO],DADOS!$AB$5,tabela_registros[CATEGORIA],investiroutrosconsolidadoset[[#This Row],[ATUAL]])</f>
        <v>0</v>
      </c>
      <c r="AB157" s="119" t="n">
        <f aca="false">SUMIFS(tabela_registros[VALOR],tabela_registros[MÊS],$AE$1,tabela_registros[DIA],investiroutrosconsolidadoset[[#Headers],[24]],tabela_registros[REGISTRO],DADOS!$N$5,tabela_registros[TIPO],DADOS!$AB$5,tabela_registros[CATEGORIA],investiroutrosconsolidadoset[[#This Row],[ATUAL]])</f>
        <v>0</v>
      </c>
      <c r="AC157" s="119" t="n">
        <f aca="false">SUMIFS(tabela_registros[VALOR],tabela_registros[MÊS],$AE$1,tabela_registros[DIA],investiroutrosconsolidadoset[[#Headers],[25]],tabela_registros[REGISTRO],DADOS!$N$5,tabela_registros[TIPO],DADOS!$AB$5,tabela_registros[CATEGORIA],investiroutrosconsolidadoset[[#This Row],[ATUAL]])</f>
        <v>0</v>
      </c>
      <c r="AD157" s="119" t="n">
        <f aca="false">SUMIFS(tabela_registros[VALOR],tabela_registros[MÊS],$AE$1,tabela_registros[DIA],investiroutrosconsolidadoset[[#Headers],[26]],tabela_registros[REGISTRO],DADOS!$N$5,tabela_registros[TIPO],DADOS!$AB$5,tabela_registros[CATEGORIA],investiroutrosconsolidadoset[[#This Row],[ATUAL]])</f>
        <v>0</v>
      </c>
      <c r="AE157" s="119" t="n">
        <f aca="false">SUMIFS(tabela_registros[VALOR],tabela_registros[MÊS],$AE$1,tabela_registros[DIA],investiroutrosconsolidadoset[[#Headers],[27]],tabela_registros[REGISTRO],DADOS!$N$5,tabela_registros[TIPO],DADOS!$AB$5,tabela_registros[CATEGORIA],investiroutrosconsolidadoset[[#This Row],[ATUAL]])</f>
        <v>0</v>
      </c>
      <c r="AF157" s="119" t="n">
        <f aca="false">SUMIFS(tabela_registros[VALOR],tabela_registros[MÊS],$AE$1,tabela_registros[DIA],investiroutrosconsolidadoset[[#Headers],[28]],tabela_registros[REGISTRO],DADOS!$N$5,tabela_registros[TIPO],DADOS!$AB$5,tabela_registros[CATEGORIA],investiroutrosconsolidadoset[[#This Row],[ATUAL]])</f>
        <v>0</v>
      </c>
      <c r="AG157" s="119" t="n">
        <f aca="false">SUMIFS(tabela_registros[VALOR],tabela_registros[MÊS],$AE$1,tabela_registros[DIA],investiroutrosconsolidadoset[[#Headers],[29]],tabela_registros[REGISTRO],DADOS!$N$5,tabela_registros[TIPO],DADOS!$AB$5,tabela_registros[CATEGORIA],investiroutrosconsolidadoset[[#This Row],[ATUAL]])</f>
        <v>0</v>
      </c>
      <c r="AH157" s="119" t="n">
        <f aca="false">SUMIFS(tabela_registros[VALOR],tabela_registros[MÊS],$AE$1,tabela_registros[DIA],investiroutrosconsolidadoset[[#Headers],[30]],tabela_registros[REGISTRO],DADOS!$N$5,tabela_registros[TIPO],DADOS!$AB$5,tabela_registros[CATEGORIA],investiroutrosconsolidadoset[[#This Row],[ATUAL]])</f>
        <v>0</v>
      </c>
      <c r="AI157" s="217" t="n">
        <f aca="false">SUMIFS(tabela_registros[VALOR],tabela_registros[MÊS],$AE$1,tabela_registros[DIA],investiroutrosconsolidadoset[[#Headers],[31]],tabela_registros[REGISTRO],DADOS!$N$5,tabela_registros[TIPO],DADOS!$AB$5,tabela_registros[CATEGORIA],investiroutrosconsolidadoset[[#This Row],[ATUAL]])</f>
        <v>0</v>
      </c>
      <c r="AJ157" s="149" t="n">
        <f aca="false">SUM(investiroutrosconsolidadoset[[#This Row],[1]:[31]])</f>
        <v>0</v>
      </c>
      <c r="AK157" s="165"/>
    </row>
    <row r="158" customFormat="false" ht="19.5" hidden="false" customHeight="true" outlineLevel="0" collapsed="false">
      <c r="B158" s="143"/>
      <c r="C158" s="144" t="str">
        <f aca="false">DADOS!$AH$10</f>
        <v>📎 OUTROS</v>
      </c>
      <c r="D158" s="145" t="str">
        <f aca="false">IF(investiroutrosconsolidadoset[[#This Row],[TOTAL (R$)]]=0,"",IF(OR(investiroutrosconsolidadoset[[#This Row],[TOTAL (R$)]]=LARGE($AJ$151:$AJ$158,1),investiroutrosconsolidadoset[[#This Row],[TOTAL (R$)]]=LARGE($AJ$151:$AJ$158,2)),DADOS!$I$10,""))</f>
        <v/>
      </c>
      <c r="E158" s="148" t="n">
        <f aca="false">SUMIFS(tabela_registros[VALOR],tabela_registros[MÊS],$AE$1,tabela_registros[DIA],investiroutrosconsolidadoset[[#Headers],[1]],tabela_registros[REGISTRO],DADOS!$N$5,tabela_registros[TIPO],DADOS!$AB$5,tabela_registros[CATEGORIA],investiroutrosconsolidadoset[[#This Row],[ATUAL]])</f>
        <v>0</v>
      </c>
      <c r="F158" s="119" t="n">
        <f aca="false">SUMIFS(tabela_registros[VALOR],tabela_registros[MÊS],$AE$1,tabela_registros[DIA],investiroutrosconsolidadoset[[#Headers],[2]],tabela_registros[REGISTRO],DADOS!$N$5,tabela_registros[TIPO],DADOS!$AB$5,tabela_registros[CATEGORIA],investiroutrosconsolidadoset[[#This Row],[ATUAL]])</f>
        <v>0</v>
      </c>
      <c r="G158" s="119" t="n">
        <f aca="false">SUMIFS(tabela_registros[VALOR],tabela_registros[MÊS],$AE$1,tabela_registros[DIA],investiroutrosconsolidadoset[[#Headers],[3]],tabela_registros[REGISTRO],DADOS!$N$5,tabela_registros[TIPO],DADOS!$AB$5,tabela_registros[CATEGORIA],investiroutrosconsolidadoset[[#This Row],[ATUAL]])</f>
        <v>0</v>
      </c>
      <c r="H158" s="119" t="n">
        <f aca="false">SUMIFS(tabela_registros[VALOR],tabela_registros[MÊS],$AE$1,tabela_registros[DIA],investiroutrosconsolidadoset[[#Headers],[4]],tabela_registros[REGISTRO],DADOS!$N$5,tabela_registros[TIPO],DADOS!$AB$5,tabela_registros[CATEGORIA],investiroutrosconsolidadoset[[#This Row],[ATUAL]])</f>
        <v>0</v>
      </c>
      <c r="I158" s="119" t="n">
        <f aca="false">SUMIFS(tabela_registros[VALOR],tabela_registros[MÊS],$AE$1,tabela_registros[DIA],investiroutrosconsolidadoset[[#Headers],[5]],tabela_registros[REGISTRO],DADOS!$N$5,tabela_registros[TIPO],DADOS!$AB$5,tabela_registros[CATEGORIA],investiroutrosconsolidadoset[[#This Row],[ATUAL]])</f>
        <v>0</v>
      </c>
      <c r="J158" s="119" t="n">
        <f aca="false">SUMIFS(tabela_registros[VALOR],tabela_registros[MÊS],$AE$1,tabela_registros[DIA],investiroutrosconsolidadoset[[#Headers],[6]],tabela_registros[REGISTRO],DADOS!$N$5,tabela_registros[TIPO],DADOS!$AB$5,tabela_registros[CATEGORIA],investiroutrosconsolidadoset[[#This Row],[ATUAL]])</f>
        <v>0</v>
      </c>
      <c r="K158" s="119" t="n">
        <f aca="false">SUMIFS(tabela_registros[VALOR],tabela_registros[MÊS],$AE$1,tabela_registros[DIA],investiroutrosconsolidadoset[[#Headers],[7]],tabela_registros[REGISTRO],DADOS!$N$5,tabela_registros[TIPO],DADOS!$AB$5,tabela_registros[CATEGORIA],investiroutrosconsolidadoset[[#This Row],[ATUAL]])</f>
        <v>0</v>
      </c>
      <c r="L158" s="119" t="n">
        <f aca="false">SUMIFS(tabela_registros[VALOR],tabela_registros[MÊS],$AE$1,tabela_registros[DIA],investiroutrosconsolidadoset[[#Headers],[8]],tabela_registros[REGISTRO],DADOS!$N$5,tabela_registros[TIPO],DADOS!$AB$5,tabela_registros[CATEGORIA],investiroutrosconsolidadoset[[#This Row],[ATUAL]])</f>
        <v>0</v>
      </c>
      <c r="M158" s="119" t="n">
        <f aca="false">SUMIFS(tabela_registros[VALOR],tabela_registros[MÊS],$AE$1,tabela_registros[DIA],investiroutrosconsolidadoset[[#Headers],[9]],tabela_registros[REGISTRO],DADOS!$N$5,tabela_registros[TIPO],DADOS!$AB$5,tabela_registros[CATEGORIA],investiroutrosconsolidadoset[[#This Row],[ATUAL]])</f>
        <v>0</v>
      </c>
      <c r="N158" s="119" t="n">
        <f aca="false">SUMIFS(tabela_registros[VALOR],tabela_registros[MÊS],$AE$1,tabela_registros[DIA],investiroutrosconsolidadoset[[#Headers],[10]],tabela_registros[REGISTRO],DADOS!$N$5,tabela_registros[TIPO],DADOS!$AB$5,tabela_registros[CATEGORIA],investiroutrosconsolidadoset[[#This Row],[ATUAL]])</f>
        <v>0</v>
      </c>
      <c r="O158" s="119" t="n">
        <f aca="false">SUMIFS(tabela_registros[VALOR],tabela_registros[MÊS],$AE$1,tabela_registros[DIA],investiroutrosconsolidadoset[[#Headers],[11]],tabela_registros[REGISTRO],DADOS!$N$5,tabela_registros[TIPO],DADOS!$AB$5,tabela_registros[CATEGORIA],investiroutrosconsolidadoset[[#This Row],[ATUAL]])</f>
        <v>0</v>
      </c>
      <c r="P158" s="119" t="n">
        <f aca="false">SUMIFS(tabela_registros[VALOR],tabela_registros[MÊS],$AE$1,tabela_registros[DIA],investiroutrosconsolidadoset[[#Headers],[12]],tabela_registros[REGISTRO],DADOS!$N$5,tabela_registros[TIPO],DADOS!$AB$5,tabela_registros[CATEGORIA],investiroutrosconsolidadoset[[#This Row],[ATUAL]])</f>
        <v>0</v>
      </c>
      <c r="Q158" s="119" t="n">
        <f aca="false">SUMIFS(tabela_registros[VALOR],tabela_registros[MÊS],$AE$1,tabela_registros[DIA],investiroutrosconsolidadoset[[#Headers],[13]],tabela_registros[REGISTRO],DADOS!$N$5,tabela_registros[TIPO],DADOS!$AB$5,tabela_registros[CATEGORIA],investiroutrosconsolidadoset[[#This Row],[ATUAL]])</f>
        <v>0</v>
      </c>
      <c r="R158" s="119" t="n">
        <f aca="false">SUMIFS(tabela_registros[VALOR],tabela_registros[MÊS],$AE$1,tabela_registros[DIA],investiroutrosconsolidadoset[[#Headers],[14]],tabela_registros[REGISTRO],DADOS!$N$5,tabela_registros[TIPO],DADOS!$AB$5,tabela_registros[CATEGORIA],investiroutrosconsolidadoset[[#This Row],[ATUAL]])</f>
        <v>0</v>
      </c>
      <c r="S158" s="119" t="n">
        <f aca="false">SUMIFS(tabela_registros[VALOR],tabela_registros[MÊS],$AE$1,tabela_registros[DIA],investiroutrosconsolidadoset[[#Headers],[15]],tabela_registros[REGISTRO],DADOS!$N$5,tabela_registros[TIPO],DADOS!$AB$5,tabela_registros[CATEGORIA],investiroutrosconsolidadoset[[#This Row],[ATUAL]])</f>
        <v>0</v>
      </c>
      <c r="T158" s="119" t="n">
        <f aca="false">SUMIFS(tabela_registros[VALOR],tabela_registros[MÊS],$AE$1,tabela_registros[DIA],investiroutrosconsolidadoset[[#Headers],[16]],tabela_registros[REGISTRO],DADOS!$N$5,tabela_registros[TIPO],DADOS!$AB$5,tabela_registros[CATEGORIA],investiroutrosconsolidadoset[[#This Row],[ATUAL]])</f>
        <v>0</v>
      </c>
      <c r="U158" s="119" t="n">
        <f aca="false">SUMIFS(tabela_registros[VALOR],tabela_registros[MÊS],$AE$1,tabela_registros[DIA],investiroutrosconsolidadoset[[#Headers],[17]],tabela_registros[REGISTRO],DADOS!$N$5,tabela_registros[TIPO],DADOS!$AB$5,tabela_registros[CATEGORIA],investiroutrosconsolidadoset[[#This Row],[ATUAL]])</f>
        <v>0</v>
      </c>
      <c r="V158" s="119" t="n">
        <f aca="false">SUMIFS(tabela_registros[VALOR],tabela_registros[MÊS],$AE$1,tabela_registros[DIA],investiroutrosconsolidadoset[[#Headers],[18]],tabela_registros[REGISTRO],DADOS!$N$5,tabela_registros[TIPO],DADOS!$AB$5,tabela_registros[CATEGORIA],investiroutrosconsolidadoset[[#This Row],[ATUAL]])</f>
        <v>0</v>
      </c>
      <c r="W158" s="119" t="n">
        <f aca="false">SUMIFS(tabela_registros[VALOR],tabela_registros[MÊS],$AE$1,tabela_registros[DIA],investiroutrosconsolidadoset[[#Headers],[19]],tabela_registros[REGISTRO],DADOS!$N$5,tabela_registros[TIPO],DADOS!$AB$5,tabela_registros[CATEGORIA],investiroutrosconsolidadoset[[#This Row],[ATUAL]])</f>
        <v>0</v>
      </c>
      <c r="X158" s="119" t="n">
        <f aca="false">SUMIFS(tabela_registros[VALOR],tabela_registros[MÊS],$AE$1,tabela_registros[DIA],investiroutrosconsolidadoset[[#Headers],[20]],tabela_registros[REGISTRO],DADOS!$N$5,tabela_registros[TIPO],DADOS!$AB$5,tabela_registros[CATEGORIA],investiroutrosconsolidadoset[[#This Row],[ATUAL]])</f>
        <v>0</v>
      </c>
      <c r="Y158" s="119" t="n">
        <f aca="false">SUMIFS(tabela_registros[VALOR],tabela_registros[MÊS],$AE$1,tabela_registros[DIA],investiroutrosconsolidadoset[[#Headers],[21]],tabela_registros[REGISTRO],DADOS!$N$5,tabela_registros[TIPO],DADOS!$AB$5,tabela_registros[CATEGORIA],investiroutrosconsolidadoset[[#This Row],[ATUAL]])</f>
        <v>0</v>
      </c>
      <c r="Z158" s="119" t="n">
        <f aca="false">SUMIFS(tabela_registros[VALOR],tabela_registros[MÊS],$AE$1,tabela_registros[DIA],investiroutrosconsolidadoset[[#Headers],[22]],tabela_registros[REGISTRO],DADOS!$N$5,tabela_registros[TIPO],DADOS!$AB$5,tabela_registros[CATEGORIA],investiroutrosconsolidadoset[[#This Row],[ATUAL]])</f>
        <v>0</v>
      </c>
      <c r="AA158" s="119" t="n">
        <f aca="false">SUMIFS(tabela_registros[VALOR],tabela_registros[MÊS],$AE$1,tabela_registros[DIA],investiroutrosconsolidadoset[[#Headers],[23]],tabela_registros[REGISTRO],DADOS!$N$5,tabela_registros[TIPO],DADOS!$AB$5,tabela_registros[CATEGORIA],investiroutrosconsolidadoset[[#This Row],[ATUAL]])</f>
        <v>0</v>
      </c>
      <c r="AB158" s="119" t="n">
        <f aca="false">SUMIFS(tabela_registros[VALOR],tabela_registros[MÊS],$AE$1,tabela_registros[DIA],investiroutrosconsolidadoset[[#Headers],[24]],tabela_registros[REGISTRO],DADOS!$N$5,tabela_registros[TIPO],DADOS!$AB$5,tabela_registros[CATEGORIA],investiroutrosconsolidadoset[[#This Row],[ATUAL]])</f>
        <v>0</v>
      </c>
      <c r="AC158" s="119" t="n">
        <f aca="false">SUMIFS(tabela_registros[VALOR],tabela_registros[MÊS],$AE$1,tabela_registros[DIA],investiroutrosconsolidadoset[[#Headers],[25]],tabela_registros[REGISTRO],DADOS!$N$5,tabela_registros[TIPO],DADOS!$AB$5,tabela_registros[CATEGORIA],investiroutrosconsolidadoset[[#This Row],[ATUAL]])</f>
        <v>0</v>
      </c>
      <c r="AD158" s="119" t="n">
        <f aca="false">SUMIFS(tabela_registros[VALOR],tabela_registros[MÊS],$AE$1,tabela_registros[DIA],investiroutrosconsolidadoset[[#Headers],[26]],tabela_registros[REGISTRO],DADOS!$N$5,tabela_registros[TIPO],DADOS!$AB$5,tabela_registros[CATEGORIA],investiroutrosconsolidadoset[[#This Row],[ATUAL]])</f>
        <v>0</v>
      </c>
      <c r="AE158" s="119" t="n">
        <f aca="false">SUMIFS(tabela_registros[VALOR],tabela_registros[MÊS],$AE$1,tabela_registros[DIA],investiroutrosconsolidadoset[[#Headers],[27]],tabela_registros[REGISTRO],DADOS!$N$5,tabela_registros[TIPO],DADOS!$AB$5,tabela_registros[CATEGORIA],investiroutrosconsolidadoset[[#This Row],[ATUAL]])</f>
        <v>0</v>
      </c>
      <c r="AF158" s="119" t="n">
        <f aca="false">SUMIFS(tabela_registros[VALOR],tabela_registros[MÊS],$AE$1,tabela_registros[DIA],investiroutrosconsolidadoset[[#Headers],[28]],tabela_registros[REGISTRO],DADOS!$N$5,tabela_registros[TIPO],DADOS!$AB$5,tabela_registros[CATEGORIA],investiroutrosconsolidadoset[[#This Row],[ATUAL]])</f>
        <v>0</v>
      </c>
      <c r="AG158" s="119" t="n">
        <f aca="false">SUMIFS(tabela_registros[VALOR],tabela_registros[MÊS],$AE$1,tabela_registros[DIA],investiroutrosconsolidadoset[[#Headers],[29]],tabela_registros[REGISTRO],DADOS!$N$5,tabela_registros[TIPO],DADOS!$AB$5,tabela_registros[CATEGORIA],investiroutrosconsolidadoset[[#This Row],[ATUAL]])</f>
        <v>0</v>
      </c>
      <c r="AH158" s="119" t="n">
        <f aca="false">SUMIFS(tabela_registros[VALOR],tabela_registros[MÊS],$AE$1,tabela_registros[DIA],investiroutrosconsolidadoset[[#Headers],[30]],tabela_registros[REGISTRO],DADOS!$N$5,tabela_registros[TIPO],DADOS!$AB$5,tabela_registros[CATEGORIA],investiroutrosconsolidadoset[[#This Row],[ATUAL]])</f>
        <v>0</v>
      </c>
      <c r="AI158" s="218" t="n">
        <f aca="false">SUMIFS(tabela_registros[VALOR],tabela_registros[MÊS],$AE$1,tabela_registros[DIA],investiroutrosconsolidadoset[[#Headers],[31]],tabela_registros[REGISTRO],DADOS!$N$5,tabela_registros[TIPO],DADOS!$AB$5,tabela_registros[CATEGORIA],investiroutrosconsolidadoset[[#This Row],[ATUAL]])</f>
        <v>0</v>
      </c>
      <c r="AJ158" s="149" t="n">
        <f aca="false">SUM(investiroutrosconsolidadoset[[#This Row],[1]:[31]])</f>
        <v>0</v>
      </c>
      <c r="AK158" s="165"/>
    </row>
    <row r="159" s="122" customFormat="true" ht="21" hidden="false" customHeight="true" outlineLevel="0" collapsed="false">
      <c r="B159" s="152"/>
      <c r="C159" s="153" t="s">
        <v>2</v>
      </c>
      <c r="D159" s="166"/>
      <c r="E159" s="155" t="n">
        <f aca="false">SUM(E151:E158)</f>
        <v>0</v>
      </c>
      <c r="F159" s="156" t="n">
        <f aca="false">SUM(F151:F158)+investiroutrosconsolidadoset[[#This Row],[1]]</f>
        <v>0</v>
      </c>
      <c r="G159" s="156" t="n">
        <f aca="false">SUM(G151:G158)+investiroutrosconsolidadoset[[#This Row],[2]]</f>
        <v>0</v>
      </c>
      <c r="H159" s="156" t="n">
        <f aca="false">SUM(H151:H158)+investiroutrosconsolidadoset[[#This Row],[3]]</f>
        <v>0</v>
      </c>
      <c r="I159" s="156" t="n">
        <f aca="false">SUM(I151:I158)+investiroutrosconsolidadoset[[#This Row],[4]]</f>
        <v>0</v>
      </c>
      <c r="J159" s="156" t="n">
        <f aca="false">SUM(J151:J158)+investiroutrosconsolidadoset[[#This Row],[5]]</f>
        <v>0</v>
      </c>
      <c r="K159" s="156" t="n">
        <f aca="false">SUM(K151:K158)+investiroutrosconsolidadoset[[#This Row],[6]]</f>
        <v>0</v>
      </c>
      <c r="L159" s="156" t="n">
        <f aca="false">SUM(L151:L158)+investiroutrosconsolidadoset[[#This Row],[7]]</f>
        <v>0</v>
      </c>
      <c r="M159" s="156" t="n">
        <f aca="false">SUM(M151:M158)+investiroutrosconsolidadoset[[#This Row],[8]]</f>
        <v>0</v>
      </c>
      <c r="N159" s="156" t="n">
        <f aca="false">SUM(N151:N158)+investiroutrosconsolidadoset[[#This Row],[9]]</f>
        <v>0</v>
      </c>
      <c r="O159" s="156" t="n">
        <f aca="false">SUM(O151:O158)+investiroutrosconsolidadoset[[#This Row],[10]]</f>
        <v>0</v>
      </c>
      <c r="P159" s="156" t="n">
        <f aca="false">SUM(P151:P158)+investiroutrosconsolidadoset[[#This Row],[11]]</f>
        <v>0</v>
      </c>
      <c r="Q159" s="156" t="n">
        <f aca="false">SUM(Q151:Q158)+investiroutrosconsolidadoset[[#This Row],[12]]</f>
        <v>0</v>
      </c>
      <c r="R159" s="156" t="n">
        <f aca="false">SUM(R151:R158)+investiroutrosconsolidadoset[[#This Row],[13]]</f>
        <v>0</v>
      </c>
      <c r="S159" s="156" t="n">
        <f aca="false">SUM(S151:S158)+investiroutrosconsolidadoset[[#This Row],[14]]</f>
        <v>0</v>
      </c>
      <c r="T159" s="156" t="n">
        <f aca="false">SUM(T151:T158)+investiroutrosconsolidadoset[[#This Row],[15]]</f>
        <v>0</v>
      </c>
      <c r="U159" s="156" t="n">
        <f aca="false">SUM(U151:U158)+investiroutrosconsolidadoset[[#This Row],[16]]</f>
        <v>0</v>
      </c>
      <c r="V159" s="156" t="n">
        <f aca="false">SUM(V151:V158)+investiroutrosconsolidadoset[[#This Row],[17]]</f>
        <v>0</v>
      </c>
      <c r="W159" s="156" t="n">
        <f aca="false">SUM(W151:W158)+investiroutrosconsolidadoset[[#This Row],[18]]</f>
        <v>0</v>
      </c>
      <c r="X159" s="156" t="n">
        <f aca="false">SUM(X151:X158)+investiroutrosconsolidadoset[[#This Row],[19]]</f>
        <v>0</v>
      </c>
      <c r="Y159" s="156" t="n">
        <f aca="false">SUM(Y151:Y158)+investiroutrosconsolidadoset[[#This Row],[20]]</f>
        <v>0</v>
      </c>
      <c r="Z159" s="156" t="n">
        <f aca="false">SUM(Z151:Z158)+investiroutrosconsolidadoset[[#This Row],[21]]</f>
        <v>0</v>
      </c>
      <c r="AA159" s="156" t="n">
        <f aca="false">SUM(AA151:AA158)+investiroutrosconsolidadoset[[#This Row],[22]]</f>
        <v>0</v>
      </c>
      <c r="AB159" s="156" t="n">
        <f aca="false">SUM(AB151:AB158)+investiroutrosconsolidadoset[[#This Row],[23]]</f>
        <v>0</v>
      </c>
      <c r="AC159" s="156" t="n">
        <f aca="false">SUM(AC151:AC158)+investiroutrosconsolidadoset[[#This Row],[24]]</f>
        <v>0</v>
      </c>
      <c r="AD159" s="156" t="n">
        <f aca="false">SUM(AD151:AD158)+investiroutrosconsolidadoset[[#This Row],[25]]</f>
        <v>0</v>
      </c>
      <c r="AE159" s="156" t="n">
        <f aca="false">SUM(AE151:AE158)+investiroutrosconsolidadoset[[#This Row],[26]]</f>
        <v>0</v>
      </c>
      <c r="AF159" s="156" t="n">
        <f aca="false">SUM(AF151:AF158)+investiroutrosconsolidadoset[[#This Row],[27]]</f>
        <v>0</v>
      </c>
      <c r="AG159" s="156" t="n">
        <f aca="false">SUM(AG151:AG158)+investiroutrosconsolidadoset[[#This Row],[28]]</f>
        <v>0</v>
      </c>
      <c r="AH159" s="156" t="n">
        <f aca="false">SUM(AH151:AH158)+investiroutrosconsolidadoset[[#This Row],[29]]</f>
        <v>0</v>
      </c>
      <c r="AI159" s="223" t="n">
        <f aca="false">SUM(AI151:AI158)+investiroutrosconsolidadoset[[#This Row],[30]]</f>
        <v>0</v>
      </c>
      <c r="AJ159" s="157" t="n">
        <f aca="false">investiroutrosconsolidadoset[[#This Row],[31]]</f>
        <v>0</v>
      </c>
      <c r="AK159" s="158"/>
    </row>
    <row r="160" customFormat="false" ht="6.75" hidden="false" customHeight="true" outlineLevel="0" collapsed="false">
      <c r="B160" s="97"/>
      <c r="C160" s="162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233"/>
      <c r="AJ160" s="164"/>
      <c r="AK160" s="244"/>
    </row>
    <row r="161" s="78" customFormat="true" ht="12.75" hidden="false" customHeight="false" outlineLevel="0" collapsed="false">
      <c r="E161" s="100"/>
    </row>
    <row r="162" s="78" customFormat="true" ht="12" hidden="false" customHeight="false" outlineLevel="0" collapsed="false"/>
    <row r="163" s="78" customFormat="true" ht="12" hidden="false" customHeight="false" outlineLevel="0" collapsed="false"/>
    <row r="164" customFormat="false" ht="39.75" hidden="false" customHeight="true" outlineLevel="0" collapsed="false">
      <c r="C164" s="101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3" t="s">
        <v>2</v>
      </c>
    </row>
    <row r="165" s="78" customFormat="true" ht="12.75" hidden="false" customHeight="false" outlineLevel="0" collapsed="false">
      <c r="B165" s="161"/>
      <c r="AJ165" s="106" t="s">
        <v>64</v>
      </c>
    </row>
    <row r="166" customFormat="false" ht="6.75" hidden="false" customHeight="true" outlineLevel="0" collapsed="false">
      <c r="B166" s="86"/>
      <c r="C166" s="162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233"/>
      <c r="AK166" s="139"/>
    </row>
    <row r="167" customFormat="false" ht="13.5" hidden="true" customHeight="false" outlineLevel="0" collapsed="false">
      <c r="B167" s="86"/>
      <c r="C167" s="109" t="s">
        <v>68</v>
      </c>
      <c r="D167" s="110" t="s">
        <v>69</v>
      </c>
      <c r="E167" s="110" t="s">
        <v>30</v>
      </c>
      <c r="F167" s="110" t="s">
        <v>31</v>
      </c>
      <c r="G167" s="110" t="s">
        <v>32</v>
      </c>
      <c r="H167" s="110" t="s">
        <v>33</v>
      </c>
      <c r="I167" s="110" t="s">
        <v>34</v>
      </c>
      <c r="J167" s="110" t="s">
        <v>35</v>
      </c>
      <c r="K167" s="110" t="s">
        <v>36</v>
      </c>
      <c r="L167" s="110" t="s">
        <v>37</v>
      </c>
      <c r="M167" s="110" t="s">
        <v>38</v>
      </c>
      <c r="N167" s="110" t="s">
        <v>39</v>
      </c>
      <c r="O167" s="110" t="s">
        <v>40</v>
      </c>
      <c r="P167" s="110" t="s">
        <v>41</v>
      </c>
      <c r="Q167" s="110" t="s">
        <v>81</v>
      </c>
      <c r="R167" s="110" t="s">
        <v>82</v>
      </c>
      <c r="S167" s="110" t="s">
        <v>83</v>
      </c>
      <c r="T167" s="110" t="s">
        <v>84</v>
      </c>
      <c r="U167" s="110" t="s">
        <v>85</v>
      </c>
      <c r="V167" s="110" t="s">
        <v>86</v>
      </c>
      <c r="W167" s="110" t="s">
        <v>87</v>
      </c>
      <c r="X167" s="110" t="s">
        <v>88</v>
      </c>
      <c r="Y167" s="110" t="s">
        <v>89</v>
      </c>
      <c r="Z167" s="110" t="s">
        <v>90</v>
      </c>
      <c r="AA167" s="110" t="s">
        <v>91</v>
      </c>
      <c r="AB167" s="110" t="s">
        <v>92</v>
      </c>
      <c r="AC167" s="110" t="s">
        <v>93</v>
      </c>
      <c r="AD167" s="110" t="s">
        <v>94</v>
      </c>
      <c r="AE167" s="110" t="s">
        <v>95</v>
      </c>
      <c r="AF167" s="110" t="s">
        <v>96</v>
      </c>
      <c r="AG167" s="110" t="s">
        <v>97</v>
      </c>
      <c r="AH167" s="110" t="s">
        <v>98</v>
      </c>
      <c r="AI167" s="110" t="s">
        <v>99</v>
      </c>
      <c r="AJ167" s="111" t="s">
        <v>70</v>
      </c>
      <c r="AK167" s="86"/>
    </row>
    <row r="168" customFormat="false" ht="19.5" hidden="false" customHeight="true" outlineLevel="0" collapsed="false">
      <c r="B168" s="143"/>
      <c r="C168" s="144" t="str">
        <f aca="false">DADOS!$AL$3</f>
        <v>📝 CDB</v>
      </c>
      <c r="D168" s="145" t="str">
        <f aca="false">IF(reservafixaconsolidadoset[[#This Row],[TOTAL (R$)]]=0,"",IF(OR(reservafixaconsolidadoset[[#This Row],[TOTAL (R$)]]=LARGE($AJ$168:$AJ$177,1),reservafixaconsolidadoset[[#This Row],[TOTAL (R$)]]=LARGE($AJ$168:$AJ$177,2)),DADOS!$I$11,""))</f>
        <v/>
      </c>
      <c r="E168" s="148" t="n">
        <f aca="false">SUMIFS(tabela_registros[VALOR],tabela_registros[MÊS],$AE$1,tabela_registros[DIA],reservafixaconsolidadoset[[#Headers],[1]],tabela_registros[REGISTRO],DADOS!$N$6,tabela_registros[TIPO],DADOS!$AJ$3,tabela_registros[CATEGORIA],reservafixaconsolidadoset[[#This Row],[ATUAL]])</f>
        <v>0</v>
      </c>
      <c r="F168" s="119" t="n">
        <f aca="false">SUMIFS(tabela_registros[VALOR],tabela_registros[MÊS],$AE$1,tabela_registros[DIA],reservafixaconsolidadoset[[#Headers],[2]],tabela_registros[REGISTRO],DADOS!$N$6,tabela_registros[TIPO],DADOS!$AJ$3,tabela_registros[CATEGORIA],reservafixaconsolidadoset[[#This Row],[ATUAL]])</f>
        <v>0</v>
      </c>
      <c r="G168" s="119" t="n">
        <f aca="false">SUMIFS(tabela_registros[VALOR],tabela_registros[MÊS],$AE$1,tabela_registros[DIA],reservafixaconsolidadoset[[#Headers],[3]],tabela_registros[REGISTRO],DADOS!$N$6,tabela_registros[TIPO],DADOS!$AJ$3,tabela_registros[CATEGORIA],reservafixaconsolidadoset[[#This Row],[ATUAL]])</f>
        <v>0</v>
      </c>
      <c r="H168" s="119" t="n">
        <f aca="false">SUMIFS(tabela_registros[VALOR],tabela_registros[MÊS],$AE$1,tabela_registros[DIA],reservafixaconsolidadoset[[#Headers],[4]],tabela_registros[REGISTRO],DADOS!$N$6,tabela_registros[TIPO],DADOS!$AJ$3,tabela_registros[CATEGORIA],reservafixaconsolidadoset[[#This Row],[ATUAL]])</f>
        <v>0</v>
      </c>
      <c r="I168" s="119" t="n">
        <f aca="false">SUMIFS(tabela_registros[VALOR],tabela_registros[MÊS],$AE$1,tabela_registros[DIA],reservafixaconsolidadoset[[#Headers],[5]],tabela_registros[REGISTRO],DADOS!$N$6,tabela_registros[TIPO],DADOS!$AJ$3,tabela_registros[CATEGORIA],reservafixaconsolidadoset[[#This Row],[ATUAL]])</f>
        <v>0</v>
      </c>
      <c r="J168" s="119" t="n">
        <f aca="false">SUMIFS(tabela_registros[VALOR],tabela_registros[MÊS],$AE$1,tabela_registros[DIA],reservafixaconsolidadoset[[#Headers],[6]],tabela_registros[REGISTRO],DADOS!$N$6,tabela_registros[TIPO],DADOS!$AJ$3,tabela_registros[CATEGORIA],reservafixaconsolidadoset[[#This Row],[ATUAL]])</f>
        <v>0</v>
      </c>
      <c r="K168" s="119" t="n">
        <f aca="false">SUMIFS(tabela_registros[VALOR],tabela_registros[MÊS],$AE$1,tabela_registros[DIA],reservafixaconsolidadoset[[#Headers],[7]],tabela_registros[REGISTRO],DADOS!$N$6,tabela_registros[TIPO],DADOS!$AJ$3,tabela_registros[CATEGORIA],reservafixaconsolidadoset[[#This Row],[ATUAL]])</f>
        <v>0</v>
      </c>
      <c r="L168" s="119" t="n">
        <f aca="false">SUMIFS(tabela_registros[VALOR],tabela_registros[MÊS],$AE$1,tabela_registros[DIA],reservafixaconsolidadoset[[#Headers],[8]],tabela_registros[REGISTRO],DADOS!$N$6,tabela_registros[TIPO],DADOS!$AJ$3,tabela_registros[CATEGORIA],reservafixaconsolidadoset[[#This Row],[ATUAL]])</f>
        <v>0</v>
      </c>
      <c r="M168" s="119" t="n">
        <f aca="false">SUMIFS(tabela_registros[VALOR],tabela_registros[MÊS],$AE$1,tabela_registros[DIA],reservafixaconsolidadoset[[#Headers],[9]],tabela_registros[REGISTRO],DADOS!$N$6,tabela_registros[TIPO],DADOS!$AJ$3,tabela_registros[CATEGORIA],reservafixaconsolidadoset[[#This Row],[ATUAL]])</f>
        <v>0</v>
      </c>
      <c r="N168" s="119" t="n">
        <f aca="false">SUMIFS(tabela_registros[VALOR],tabela_registros[MÊS],$AE$1,tabela_registros[DIA],reservafixaconsolidadoset[[#Headers],[10]],tabela_registros[REGISTRO],DADOS!$N$6,tabela_registros[TIPO],DADOS!$AJ$3,tabela_registros[CATEGORIA],reservafixaconsolidadoset[[#This Row],[ATUAL]])</f>
        <v>0</v>
      </c>
      <c r="O168" s="119" t="n">
        <f aca="false">SUMIFS(tabela_registros[VALOR],tabela_registros[MÊS],$AE$1,tabela_registros[DIA],reservafixaconsolidadoset[[#Headers],[11]],tabela_registros[REGISTRO],DADOS!$N$6,tabela_registros[TIPO],DADOS!$AJ$3,tabela_registros[CATEGORIA],reservafixaconsolidadoset[[#This Row],[ATUAL]])</f>
        <v>0</v>
      </c>
      <c r="P168" s="119" t="n">
        <f aca="false">SUMIFS(tabela_registros[VALOR],tabela_registros[MÊS],$AE$1,tabela_registros[DIA],reservafixaconsolidadoset[[#Headers],[12]],tabela_registros[REGISTRO],DADOS!$N$6,tabela_registros[TIPO],DADOS!$AJ$3,tabela_registros[CATEGORIA],reservafixaconsolidadoset[[#This Row],[ATUAL]])</f>
        <v>0</v>
      </c>
      <c r="Q168" s="119" t="n">
        <f aca="false">SUMIFS(tabela_registros[VALOR],tabela_registros[MÊS],$AE$1,tabela_registros[DIA],reservafixaconsolidadoset[[#Headers],[13]],tabela_registros[REGISTRO],DADOS!$N$6,tabela_registros[TIPO],DADOS!$AJ$3,tabela_registros[CATEGORIA],reservafixaconsolidadoset[[#This Row],[ATUAL]])</f>
        <v>0</v>
      </c>
      <c r="R168" s="119" t="n">
        <f aca="false">SUMIFS(tabela_registros[VALOR],tabela_registros[MÊS],$AE$1,tabela_registros[DIA],reservafixaconsolidadoset[[#Headers],[14]],tabela_registros[REGISTRO],DADOS!$N$6,tabela_registros[TIPO],DADOS!$AJ$3,tabela_registros[CATEGORIA],reservafixaconsolidadoset[[#This Row],[ATUAL]])</f>
        <v>0</v>
      </c>
      <c r="S168" s="119" t="n">
        <f aca="false">SUMIFS(tabela_registros[VALOR],tabela_registros[MÊS],$AE$1,tabela_registros[DIA],reservafixaconsolidadoset[[#Headers],[15]],tabela_registros[REGISTRO],DADOS!$N$6,tabela_registros[TIPO],DADOS!$AJ$3,tabela_registros[CATEGORIA],reservafixaconsolidadoset[[#This Row],[ATUAL]])</f>
        <v>0</v>
      </c>
      <c r="T168" s="119" t="n">
        <f aca="false">SUMIFS(tabela_registros[VALOR],tabela_registros[MÊS],$AE$1,tabela_registros[DIA],reservafixaconsolidadoset[[#Headers],[16]],tabela_registros[REGISTRO],DADOS!$N$6,tabela_registros[TIPO],DADOS!$AJ$3,tabela_registros[CATEGORIA],reservafixaconsolidadoset[[#This Row],[ATUAL]])</f>
        <v>0</v>
      </c>
      <c r="U168" s="119" t="n">
        <f aca="false">SUMIFS(tabela_registros[VALOR],tabela_registros[MÊS],$AE$1,tabela_registros[DIA],reservafixaconsolidadoset[[#Headers],[17]],tabela_registros[REGISTRO],DADOS!$N$6,tabela_registros[TIPO],DADOS!$AJ$3,tabela_registros[CATEGORIA],reservafixaconsolidadoset[[#This Row],[ATUAL]])</f>
        <v>0</v>
      </c>
      <c r="V168" s="119" t="n">
        <f aca="false">SUMIFS(tabela_registros[VALOR],tabela_registros[MÊS],$AE$1,tabela_registros[DIA],reservafixaconsolidadoset[[#Headers],[18]],tabela_registros[REGISTRO],DADOS!$N$6,tabela_registros[TIPO],DADOS!$AJ$3,tabela_registros[CATEGORIA],reservafixaconsolidadoset[[#This Row],[ATUAL]])</f>
        <v>0</v>
      </c>
      <c r="W168" s="119" t="n">
        <f aca="false">SUMIFS(tabela_registros[VALOR],tabela_registros[MÊS],$AE$1,tabela_registros[DIA],reservafixaconsolidadoset[[#Headers],[19]],tabela_registros[REGISTRO],DADOS!$N$6,tabela_registros[TIPO],DADOS!$AJ$3,tabela_registros[CATEGORIA],reservafixaconsolidadoset[[#This Row],[ATUAL]])</f>
        <v>0</v>
      </c>
      <c r="X168" s="119" t="n">
        <f aca="false">SUMIFS(tabela_registros[VALOR],tabela_registros[MÊS],$AE$1,tabela_registros[DIA],reservafixaconsolidadoset[[#Headers],[20]],tabela_registros[REGISTRO],DADOS!$N$6,tabela_registros[TIPO],DADOS!$AJ$3,tabela_registros[CATEGORIA],reservafixaconsolidadoset[[#This Row],[ATUAL]])</f>
        <v>0</v>
      </c>
      <c r="Y168" s="119" t="n">
        <f aca="false">SUMIFS(tabela_registros[VALOR],tabela_registros[MÊS],$AE$1,tabela_registros[DIA],reservafixaconsolidadoset[[#Headers],[21]],tabela_registros[REGISTRO],DADOS!$N$6,tabela_registros[TIPO],DADOS!$AJ$3,tabela_registros[CATEGORIA],reservafixaconsolidadoset[[#This Row],[ATUAL]])</f>
        <v>0</v>
      </c>
      <c r="Z168" s="119" t="n">
        <f aca="false">SUMIFS(tabela_registros[VALOR],tabela_registros[MÊS],$AE$1,tabela_registros[DIA],reservafixaconsolidadoset[[#Headers],[22]],tabela_registros[REGISTRO],DADOS!$N$6,tabela_registros[TIPO],DADOS!$AJ$3,tabela_registros[CATEGORIA],reservafixaconsolidadoset[[#This Row],[ATUAL]])</f>
        <v>0</v>
      </c>
      <c r="AA168" s="119" t="n">
        <f aca="false">SUMIFS(tabela_registros[VALOR],tabela_registros[MÊS],$AE$1,tabela_registros[DIA],reservafixaconsolidadoset[[#Headers],[23]],tabela_registros[REGISTRO],DADOS!$N$6,tabela_registros[TIPO],DADOS!$AJ$3,tabela_registros[CATEGORIA],reservafixaconsolidadoset[[#This Row],[ATUAL]])</f>
        <v>0</v>
      </c>
      <c r="AB168" s="119" t="n">
        <f aca="false">SUMIFS(tabela_registros[VALOR],tabela_registros[MÊS],$AE$1,tabela_registros[DIA],reservafixaconsolidadoset[[#Headers],[24]],tabela_registros[REGISTRO],DADOS!$N$6,tabela_registros[TIPO],DADOS!$AJ$3,tabela_registros[CATEGORIA],reservafixaconsolidadoset[[#This Row],[ATUAL]])</f>
        <v>0</v>
      </c>
      <c r="AC168" s="119" t="n">
        <f aca="false">SUMIFS(tabela_registros[VALOR],tabela_registros[MÊS],$AE$1,tabela_registros[DIA],reservafixaconsolidadoset[[#Headers],[25]],tabela_registros[REGISTRO],DADOS!$N$6,tabela_registros[TIPO],DADOS!$AJ$3,tabela_registros[CATEGORIA],reservafixaconsolidadoset[[#This Row],[ATUAL]])</f>
        <v>0</v>
      </c>
      <c r="AD168" s="119" t="n">
        <f aca="false">SUMIFS(tabela_registros[VALOR],tabela_registros[MÊS],$AE$1,tabela_registros[DIA],reservafixaconsolidadoset[[#Headers],[26]],tabela_registros[REGISTRO],DADOS!$N$6,tabela_registros[TIPO],DADOS!$AJ$3,tabela_registros[CATEGORIA],reservafixaconsolidadoset[[#This Row],[ATUAL]])</f>
        <v>0</v>
      </c>
      <c r="AE168" s="119" t="n">
        <f aca="false">SUMIFS(tabela_registros[VALOR],tabela_registros[MÊS],$AE$1,tabela_registros[DIA],reservafixaconsolidadoset[[#Headers],[27]],tabela_registros[REGISTRO],DADOS!$N$6,tabela_registros[TIPO],DADOS!$AJ$3,tabela_registros[CATEGORIA],reservafixaconsolidadoset[[#This Row],[ATUAL]])</f>
        <v>0</v>
      </c>
      <c r="AF168" s="119" t="n">
        <f aca="false">SUMIFS(tabela_registros[VALOR],tabela_registros[MÊS],$AE$1,tabela_registros[DIA],reservafixaconsolidadoset[[#Headers],[28]],tabela_registros[REGISTRO],DADOS!$N$6,tabela_registros[TIPO],DADOS!$AJ$3,tabela_registros[CATEGORIA],reservafixaconsolidadoset[[#This Row],[ATUAL]])</f>
        <v>0</v>
      </c>
      <c r="AG168" s="119" t="n">
        <f aca="false">SUMIFS(tabela_registros[VALOR],tabela_registros[MÊS],$AE$1,tabela_registros[DIA],reservafixaconsolidadoset[[#Headers],[29]],tabela_registros[REGISTRO],DADOS!$N$6,tabela_registros[TIPO],DADOS!$AJ$3,tabela_registros[CATEGORIA],reservafixaconsolidadoset[[#This Row],[ATUAL]])</f>
        <v>0</v>
      </c>
      <c r="AH168" s="119" t="n">
        <f aca="false">SUMIFS(tabela_registros[VALOR],tabela_registros[MÊS],$AE$1,tabela_registros[DIA],reservafixaconsolidadoset[[#Headers],[30]],tabela_registros[REGISTRO],DADOS!$N$6,tabela_registros[TIPO],DADOS!$AJ$3,tabela_registros[CATEGORIA],reservafixaconsolidadoset[[#This Row],[ATUAL]])</f>
        <v>0</v>
      </c>
      <c r="AI168" s="217" t="n">
        <f aca="false">SUMIFS(tabela_registros[VALOR],tabela_registros[MÊS],$AE$1,tabela_registros[DIA],reservafixaconsolidadoset[[#Headers],[31]],tabela_registros[REGISTRO],DADOS!$N$6,tabela_registros[TIPO],DADOS!$AJ$3,tabela_registros[CATEGORIA],reservafixaconsolidadoset[[#This Row],[ATUAL]])</f>
        <v>0</v>
      </c>
      <c r="AJ168" s="149" t="n">
        <f aca="false">SUM(reservafixaconsolidadoset[[#This Row],[1]:[31]])</f>
        <v>0</v>
      </c>
      <c r="AK168" s="165"/>
    </row>
    <row r="169" customFormat="false" ht="19.5" hidden="false" customHeight="true" outlineLevel="0" collapsed="false">
      <c r="B169" s="143"/>
      <c r="C169" s="144" t="str">
        <f aca="false">DADOS!$AL$4</f>
        <v>📝 CRA</v>
      </c>
      <c r="D169" s="145" t="str">
        <f aca="false">IF(reservafixaconsolidadoset[[#This Row],[TOTAL (R$)]]=0,"",IF(OR(reservafixaconsolidadoset[[#This Row],[TOTAL (R$)]]=LARGE($AJ$168:$AJ$177,1),reservafixaconsolidadoset[[#This Row],[TOTAL (R$)]]=LARGE($AJ$168:$AJ$177,2)),DADOS!$I$11,""))</f>
        <v/>
      </c>
      <c r="E169" s="148" t="n">
        <f aca="false">SUMIFS(tabela_registros[VALOR],tabela_registros[MÊS],$AE$1,tabela_registros[DIA],reservafixaconsolidadoset[[#Headers],[1]],tabela_registros[REGISTRO],DADOS!$N$6,tabela_registros[TIPO],DADOS!$AJ$3,tabela_registros[CATEGORIA],reservafixaconsolidadoset[[#This Row],[ATUAL]])</f>
        <v>0</v>
      </c>
      <c r="F169" s="119" t="n">
        <f aca="false">SUMIFS(tabela_registros[VALOR],tabela_registros[MÊS],$AE$1,tabela_registros[DIA],reservafixaconsolidadoset[[#Headers],[2]],tabela_registros[REGISTRO],DADOS!$N$6,tabela_registros[TIPO],DADOS!$AJ$3,tabela_registros[CATEGORIA],reservafixaconsolidadoset[[#This Row],[ATUAL]])</f>
        <v>0</v>
      </c>
      <c r="G169" s="119" t="n">
        <f aca="false">SUMIFS(tabela_registros[VALOR],tabela_registros[MÊS],$AE$1,tabela_registros[DIA],reservafixaconsolidadoset[[#Headers],[3]],tabela_registros[REGISTRO],DADOS!$N$6,tabela_registros[TIPO],DADOS!$AJ$3,tabela_registros[CATEGORIA],reservafixaconsolidadoset[[#This Row],[ATUAL]])</f>
        <v>0</v>
      </c>
      <c r="H169" s="119" t="n">
        <f aca="false">SUMIFS(tabela_registros[VALOR],tabela_registros[MÊS],$AE$1,tabela_registros[DIA],reservafixaconsolidadoset[[#Headers],[4]],tabela_registros[REGISTRO],DADOS!$N$6,tabela_registros[TIPO],DADOS!$AJ$3,tabela_registros[CATEGORIA],reservafixaconsolidadoset[[#This Row],[ATUAL]])</f>
        <v>0</v>
      </c>
      <c r="I169" s="119" t="n">
        <f aca="false">SUMIFS(tabela_registros[VALOR],tabela_registros[MÊS],$AE$1,tabela_registros[DIA],reservafixaconsolidadoset[[#Headers],[5]],tabela_registros[REGISTRO],DADOS!$N$6,tabela_registros[TIPO],DADOS!$AJ$3,tabela_registros[CATEGORIA],reservafixaconsolidadoset[[#This Row],[ATUAL]])</f>
        <v>0</v>
      </c>
      <c r="J169" s="119" t="n">
        <f aca="false">SUMIFS(tabela_registros[VALOR],tabela_registros[MÊS],$AE$1,tabela_registros[DIA],reservafixaconsolidadoset[[#Headers],[6]],tabela_registros[REGISTRO],DADOS!$N$6,tabela_registros[TIPO],DADOS!$AJ$3,tabela_registros[CATEGORIA],reservafixaconsolidadoset[[#This Row],[ATUAL]])</f>
        <v>0</v>
      </c>
      <c r="K169" s="119" t="n">
        <f aca="false">SUMIFS(tabela_registros[VALOR],tabela_registros[MÊS],$AE$1,tabela_registros[DIA],reservafixaconsolidadoset[[#Headers],[7]],tabela_registros[REGISTRO],DADOS!$N$6,tabela_registros[TIPO],DADOS!$AJ$3,tabela_registros[CATEGORIA],reservafixaconsolidadoset[[#This Row],[ATUAL]])</f>
        <v>0</v>
      </c>
      <c r="L169" s="119" t="n">
        <f aca="false">SUMIFS(tabela_registros[VALOR],tabela_registros[MÊS],$AE$1,tabela_registros[DIA],reservafixaconsolidadoset[[#Headers],[8]],tabela_registros[REGISTRO],DADOS!$N$6,tabela_registros[TIPO],DADOS!$AJ$3,tabela_registros[CATEGORIA],reservafixaconsolidadoset[[#This Row],[ATUAL]])</f>
        <v>0</v>
      </c>
      <c r="M169" s="119" t="n">
        <f aca="false">SUMIFS(tabela_registros[VALOR],tabela_registros[MÊS],$AE$1,tabela_registros[DIA],reservafixaconsolidadoset[[#Headers],[9]],tabela_registros[REGISTRO],DADOS!$N$6,tabela_registros[TIPO],DADOS!$AJ$3,tabela_registros[CATEGORIA],reservafixaconsolidadoset[[#This Row],[ATUAL]])</f>
        <v>0</v>
      </c>
      <c r="N169" s="119" t="n">
        <f aca="false">SUMIFS(tabela_registros[VALOR],tabela_registros[MÊS],$AE$1,tabela_registros[DIA],reservafixaconsolidadoset[[#Headers],[10]],tabela_registros[REGISTRO],DADOS!$N$6,tabela_registros[TIPO],DADOS!$AJ$3,tabela_registros[CATEGORIA],reservafixaconsolidadoset[[#This Row],[ATUAL]])</f>
        <v>0</v>
      </c>
      <c r="O169" s="119" t="n">
        <f aca="false">SUMIFS(tabela_registros[VALOR],tabela_registros[MÊS],$AE$1,tabela_registros[DIA],reservafixaconsolidadoset[[#Headers],[11]],tabela_registros[REGISTRO],DADOS!$N$6,tabela_registros[TIPO],DADOS!$AJ$3,tabela_registros[CATEGORIA],reservafixaconsolidadoset[[#This Row],[ATUAL]])</f>
        <v>0</v>
      </c>
      <c r="P169" s="119" t="n">
        <f aca="false">SUMIFS(tabela_registros[VALOR],tabela_registros[MÊS],$AE$1,tabela_registros[DIA],reservafixaconsolidadoset[[#Headers],[12]],tabela_registros[REGISTRO],DADOS!$N$6,tabela_registros[TIPO],DADOS!$AJ$3,tabela_registros[CATEGORIA],reservafixaconsolidadoset[[#This Row],[ATUAL]])</f>
        <v>0</v>
      </c>
      <c r="Q169" s="119" t="n">
        <f aca="false">SUMIFS(tabela_registros[VALOR],tabela_registros[MÊS],$AE$1,tabela_registros[DIA],reservafixaconsolidadoset[[#Headers],[13]],tabela_registros[REGISTRO],DADOS!$N$6,tabela_registros[TIPO],DADOS!$AJ$3,tabela_registros[CATEGORIA],reservafixaconsolidadoset[[#This Row],[ATUAL]])</f>
        <v>0</v>
      </c>
      <c r="R169" s="119" t="n">
        <f aca="false">SUMIFS(tabela_registros[VALOR],tabela_registros[MÊS],$AE$1,tabela_registros[DIA],reservafixaconsolidadoset[[#Headers],[14]],tabela_registros[REGISTRO],DADOS!$N$6,tabela_registros[TIPO],DADOS!$AJ$3,tabela_registros[CATEGORIA],reservafixaconsolidadoset[[#This Row],[ATUAL]])</f>
        <v>0</v>
      </c>
      <c r="S169" s="119" t="n">
        <f aca="false">SUMIFS(tabela_registros[VALOR],tabela_registros[MÊS],$AE$1,tabela_registros[DIA],reservafixaconsolidadoset[[#Headers],[15]],tabela_registros[REGISTRO],DADOS!$N$6,tabela_registros[TIPO],DADOS!$AJ$3,tabela_registros[CATEGORIA],reservafixaconsolidadoset[[#This Row],[ATUAL]])</f>
        <v>0</v>
      </c>
      <c r="T169" s="119" t="n">
        <f aca="false">SUMIFS(tabela_registros[VALOR],tabela_registros[MÊS],$AE$1,tabela_registros[DIA],reservafixaconsolidadoset[[#Headers],[16]],tabela_registros[REGISTRO],DADOS!$N$6,tabela_registros[TIPO],DADOS!$AJ$3,tabela_registros[CATEGORIA],reservafixaconsolidadoset[[#This Row],[ATUAL]])</f>
        <v>0</v>
      </c>
      <c r="U169" s="119" t="n">
        <f aca="false">SUMIFS(tabela_registros[VALOR],tabela_registros[MÊS],$AE$1,tabela_registros[DIA],reservafixaconsolidadoset[[#Headers],[17]],tabela_registros[REGISTRO],DADOS!$N$6,tabela_registros[TIPO],DADOS!$AJ$3,tabela_registros[CATEGORIA],reservafixaconsolidadoset[[#This Row],[ATUAL]])</f>
        <v>0</v>
      </c>
      <c r="V169" s="119" t="n">
        <f aca="false">SUMIFS(tabela_registros[VALOR],tabela_registros[MÊS],$AE$1,tabela_registros[DIA],reservafixaconsolidadoset[[#Headers],[18]],tabela_registros[REGISTRO],DADOS!$N$6,tabela_registros[TIPO],DADOS!$AJ$3,tabela_registros[CATEGORIA],reservafixaconsolidadoset[[#This Row],[ATUAL]])</f>
        <v>0</v>
      </c>
      <c r="W169" s="119" t="n">
        <f aca="false">SUMIFS(tabela_registros[VALOR],tabela_registros[MÊS],$AE$1,tabela_registros[DIA],reservafixaconsolidadoset[[#Headers],[19]],tabela_registros[REGISTRO],DADOS!$N$6,tabela_registros[TIPO],DADOS!$AJ$3,tabela_registros[CATEGORIA],reservafixaconsolidadoset[[#This Row],[ATUAL]])</f>
        <v>0</v>
      </c>
      <c r="X169" s="119" t="n">
        <f aca="false">SUMIFS(tabela_registros[VALOR],tabela_registros[MÊS],$AE$1,tabela_registros[DIA],reservafixaconsolidadoset[[#Headers],[20]],tabela_registros[REGISTRO],DADOS!$N$6,tabela_registros[TIPO],DADOS!$AJ$3,tabela_registros[CATEGORIA],reservafixaconsolidadoset[[#This Row],[ATUAL]])</f>
        <v>0</v>
      </c>
      <c r="Y169" s="119" t="n">
        <f aca="false">SUMIFS(tabela_registros[VALOR],tabela_registros[MÊS],$AE$1,tabela_registros[DIA],reservafixaconsolidadoset[[#Headers],[21]],tabela_registros[REGISTRO],DADOS!$N$6,tabela_registros[TIPO],DADOS!$AJ$3,tabela_registros[CATEGORIA],reservafixaconsolidadoset[[#This Row],[ATUAL]])</f>
        <v>0</v>
      </c>
      <c r="Z169" s="119" t="n">
        <f aca="false">SUMIFS(tabela_registros[VALOR],tabela_registros[MÊS],$AE$1,tabela_registros[DIA],reservafixaconsolidadoset[[#Headers],[22]],tabela_registros[REGISTRO],DADOS!$N$6,tabela_registros[TIPO],DADOS!$AJ$3,tabela_registros[CATEGORIA],reservafixaconsolidadoset[[#This Row],[ATUAL]])</f>
        <v>0</v>
      </c>
      <c r="AA169" s="119" t="n">
        <f aca="false">SUMIFS(tabela_registros[VALOR],tabela_registros[MÊS],$AE$1,tabela_registros[DIA],reservafixaconsolidadoset[[#Headers],[23]],tabela_registros[REGISTRO],DADOS!$N$6,tabela_registros[TIPO],DADOS!$AJ$3,tabela_registros[CATEGORIA],reservafixaconsolidadoset[[#This Row],[ATUAL]])</f>
        <v>0</v>
      </c>
      <c r="AB169" s="119" t="n">
        <f aca="false">SUMIFS(tabela_registros[VALOR],tabela_registros[MÊS],$AE$1,tabela_registros[DIA],reservafixaconsolidadoset[[#Headers],[24]],tabela_registros[REGISTRO],DADOS!$N$6,tabela_registros[TIPO],DADOS!$AJ$3,tabela_registros[CATEGORIA],reservafixaconsolidadoset[[#This Row],[ATUAL]])</f>
        <v>0</v>
      </c>
      <c r="AC169" s="119" t="n">
        <f aca="false">SUMIFS(tabela_registros[VALOR],tabela_registros[MÊS],$AE$1,tabela_registros[DIA],reservafixaconsolidadoset[[#Headers],[25]],tabela_registros[REGISTRO],DADOS!$N$6,tabela_registros[TIPO],DADOS!$AJ$3,tabela_registros[CATEGORIA],reservafixaconsolidadoset[[#This Row],[ATUAL]])</f>
        <v>0</v>
      </c>
      <c r="AD169" s="119" t="n">
        <f aca="false">SUMIFS(tabela_registros[VALOR],tabela_registros[MÊS],$AE$1,tabela_registros[DIA],reservafixaconsolidadoset[[#Headers],[26]],tabela_registros[REGISTRO],DADOS!$N$6,tabela_registros[TIPO],DADOS!$AJ$3,tabela_registros[CATEGORIA],reservafixaconsolidadoset[[#This Row],[ATUAL]])</f>
        <v>0</v>
      </c>
      <c r="AE169" s="119" t="n">
        <f aca="false">SUMIFS(tabela_registros[VALOR],tabela_registros[MÊS],$AE$1,tabela_registros[DIA],reservafixaconsolidadoset[[#Headers],[27]],tabela_registros[REGISTRO],DADOS!$N$6,tabela_registros[TIPO],DADOS!$AJ$3,tabela_registros[CATEGORIA],reservafixaconsolidadoset[[#This Row],[ATUAL]])</f>
        <v>0</v>
      </c>
      <c r="AF169" s="119" t="n">
        <f aca="false">SUMIFS(tabela_registros[VALOR],tabela_registros[MÊS],$AE$1,tabela_registros[DIA],reservafixaconsolidadoset[[#Headers],[28]],tabela_registros[REGISTRO],DADOS!$N$6,tabela_registros[TIPO],DADOS!$AJ$3,tabela_registros[CATEGORIA],reservafixaconsolidadoset[[#This Row],[ATUAL]])</f>
        <v>0</v>
      </c>
      <c r="AG169" s="119" t="n">
        <f aca="false">SUMIFS(tabela_registros[VALOR],tabela_registros[MÊS],$AE$1,tabela_registros[DIA],reservafixaconsolidadoset[[#Headers],[29]],tabela_registros[REGISTRO],DADOS!$N$6,tabela_registros[TIPO],DADOS!$AJ$3,tabela_registros[CATEGORIA],reservafixaconsolidadoset[[#This Row],[ATUAL]])</f>
        <v>0</v>
      </c>
      <c r="AH169" s="119" t="n">
        <f aca="false">SUMIFS(tabela_registros[VALOR],tabela_registros[MÊS],$AE$1,tabela_registros[DIA],reservafixaconsolidadoset[[#Headers],[30]],tabela_registros[REGISTRO],DADOS!$N$6,tabela_registros[TIPO],DADOS!$AJ$3,tabela_registros[CATEGORIA],reservafixaconsolidadoset[[#This Row],[ATUAL]])</f>
        <v>0</v>
      </c>
      <c r="AI169" s="217" t="n">
        <f aca="false">SUMIFS(tabela_registros[VALOR],tabela_registros[MÊS],$AE$1,tabela_registros[DIA],reservafixaconsolidadoset[[#Headers],[31]],tabela_registros[REGISTRO],DADOS!$N$6,tabela_registros[TIPO],DADOS!$AJ$3,tabela_registros[CATEGORIA],reservafixaconsolidadoset[[#This Row],[ATUAL]])</f>
        <v>0</v>
      </c>
      <c r="AJ169" s="149" t="n">
        <f aca="false">SUM(reservafixaconsolidadoset[[#This Row],[1]:[31]])</f>
        <v>0</v>
      </c>
      <c r="AK169" s="165"/>
    </row>
    <row r="170" customFormat="false" ht="19.5" hidden="false" customHeight="true" outlineLevel="0" collapsed="false">
      <c r="B170" s="143"/>
      <c r="C170" s="144" t="str">
        <f aca="false">DADOS!$AL$5</f>
        <v>📝 CRI</v>
      </c>
      <c r="D170" s="145" t="str">
        <f aca="false">IF(reservafixaconsolidadoset[[#This Row],[TOTAL (R$)]]=0,"",IF(OR(reservafixaconsolidadoset[[#This Row],[TOTAL (R$)]]=LARGE($AJ$168:$AJ$177,1),reservafixaconsolidadoset[[#This Row],[TOTAL (R$)]]=LARGE($AJ$168:$AJ$177,2)),DADOS!$I$11,""))</f>
        <v/>
      </c>
      <c r="E170" s="148" t="n">
        <f aca="false">SUMIFS(tabela_registros[VALOR],tabela_registros[MÊS],$AE$1,tabela_registros[DIA],reservafixaconsolidadoset[[#Headers],[1]],tabela_registros[REGISTRO],DADOS!$N$6,tabela_registros[TIPO],DADOS!$AJ$3,tabela_registros[CATEGORIA],reservafixaconsolidadoset[[#This Row],[ATUAL]])</f>
        <v>0</v>
      </c>
      <c r="F170" s="119" t="n">
        <f aca="false">SUMIFS(tabela_registros[VALOR],tabela_registros[MÊS],$AE$1,tabela_registros[DIA],reservafixaconsolidadoset[[#Headers],[2]],tabela_registros[REGISTRO],DADOS!$N$6,tabela_registros[TIPO],DADOS!$AJ$3,tabela_registros[CATEGORIA],reservafixaconsolidadoset[[#This Row],[ATUAL]])</f>
        <v>0</v>
      </c>
      <c r="G170" s="119" t="n">
        <f aca="false">SUMIFS(tabela_registros[VALOR],tabela_registros[MÊS],$AE$1,tabela_registros[DIA],reservafixaconsolidadoset[[#Headers],[3]],tabela_registros[REGISTRO],DADOS!$N$6,tabela_registros[TIPO],DADOS!$AJ$3,tabela_registros[CATEGORIA],reservafixaconsolidadoset[[#This Row],[ATUAL]])</f>
        <v>0</v>
      </c>
      <c r="H170" s="119" t="n">
        <f aca="false">SUMIFS(tabela_registros[VALOR],tabela_registros[MÊS],$AE$1,tabela_registros[DIA],reservafixaconsolidadoset[[#Headers],[4]],tabela_registros[REGISTRO],DADOS!$N$6,tabela_registros[TIPO],DADOS!$AJ$3,tabela_registros[CATEGORIA],reservafixaconsolidadoset[[#This Row],[ATUAL]])</f>
        <v>0</v>
      </c>
      <c r="I170" s="119" t="n">
        <f aca="false">SUMIFS(tabela_registros[VALOR],tabela_registros[MÊS],$AE$1,tabela_registros[DIA],reservafixaconsolidadoset[[#Headers],[5]],tabela_registros[REGISTRO],DADOS!$N$6,tabela_registros[TIPO],DADOS!$AJ$3,tabela_registros[CATEGORIA],reservafixaconsolidadoset[[#This Row],[ATUAL]])</f>
        <v>0</v>
      </c>
      <c r="J170" s="119" t="n">
        <f aca="false">SUMIFS(tabela_registros[VALOR],tabela_registros[MÊS],$AE$1,tabela_registros[DIA],reservafixaconsolidadoset[[#Headers],[6]],tabela_registros[REGISTRO],DADOS!$N$6,tabela_registros[TIPO],DADOS!$AJ$3,tabela_registros[CATEGORIA],reservafixaconsolidadoset[[#This Row],[ATUAL]])</f>
        <v>0</v>
      </c>
      <c r="K170" s="119" t="n">
        <f aca="false">SUMIFS(tabela_registros[VALOR],tabela_registros[MÊS],$AE$1,tabela_registros[DIA],reservafixaconsolidadoset[[#Headers],[7]],tabela_registros[REGISTRO],DADOS!$N$6,tabela_registros[TIPO],DADOS!$AJ$3,tabela_registros[CATEGORIA],reservafixaconsolidadoset[[#This Row],[ATUAL]])</f>
        <v>0</v>
      </c>
      <c r="L170" s="119" t="n">
        <f aca="false">SUMIFS(tabela_registros[VALOR],tabela_registros[MÊS],$AE$1,tabela_registros[DIA],reservafixaconsolidadoset[[#Headers],[8]],tabela_registros[REGISTRO],DADOS!$N$6,tabela_registros[TIPO],DADOS!$AJ$3,tabela_registros[CATEGORIA],reservafixaconsolidadoset[[#This Row],[ATUAL]])</f>
        <v>0</v>
      </c>
      <c r="M170" s="119" t="n">
        <f aca="false">SUMIFS(tabela_registros[VALOR],tabela_registros[MÊS],$AE$1,tabela_registros[DIA],reservafixaconsolidadoset[[#Headers],[9]],tabela_registros[REGISTRO],DADOS!$N$6,tabela_registros[TIPO],DADOS!$AJ$3,tabela_registros[CATEGORIA],reservafixaconsolidadoset[[#This Row],[ATUAL]])</f>
        <v>0</v>
      </c>
      <c r="N170" s="119" t="n">
        <f aca="false">SUMIFS(tabela_registros[VALOR],tabela_registros[MÊS],$AE$1,tabela_registros[DIA],reservafixaconsolidadoset[[#Headers],[10]],tabela_registros[REGISTRO],DADOS!$N$6,tabela_registros[TIPO],DADOS!$AJ$3,tabela_registros[CATEGORIA],reservafixaconsolidadoset[[#This Row],[ATUAL]])</f>
        <v>0</v>
      </c>
      <c r="O170" s="119" t="n">
        <f aca="false">SUMIFS(tabela_registros[VALOR],tabela_registros[MÊS],$AE$1,tabela_registros[DIA],reservafixaconsolidadoset[[#Headers],[11]],tabela_registros[REGISTRO],DADOS!$N$6,tabela_registros[TIPO],DADOS!$AJ$3,tabela_registros[CATEGORIA],reservafixaconsolidadoset[[#This Row],[ATUAL]])</f>
        <v>0</v>
      </c>
      <c r="P170" s="119" t="n">
        <f aca="false">SUMIFS(tabela_registros[VALOR],tabela_registros[MÊS],$AE$1,tabela_registros[DIA],reservafixaconsolidadoset[[#Headers],[12]],tabela_registros[REGISTRO],DADOS!$N$6,tabela_registros[TIPO],DADOS!$AJ$3,tabela_registros[CATEGORIA],reservafixaconsolidadoset[[#This Row],[ATUAL]])</f>
        <v>0</v>
      </c>
      <c r="Q170" s="119" t="n">
        <f aca="false">SUMIFS(tabela_registros[VALOR],tabela_registros[MÊS],$AE$1,tabela_registros[DIA],reservafixaconsolidadoset[[#Headers],[13]],tabela_registros[REGISTRO],DADOS!$N$6,tabela_registros[TIPO],DADOS!$AJ$3,tabela_registros[CATEGORIA],reservafixaconsolidadoset[[#This Row],[ATUAL]])</f>
        <v>0</v>
      </c>
      <c r="R170" s="119" t="n">
        <f aca="false">SUMIFS(tabela_registros[VALOR],tabela_registros[MÊS],$AE$1,tabela_registros[DIA],reservafixaconsolidadoset[[#Headers],[14]],tabela_registros[REGISTRO],DADOS!$N$6,tabela_registros[TIPO],DADOS!$AJ$3,tabela_registros[CATEGORIA],reservafixaconsolidadoset[[#This Row],[ATUAL]])</f>
        <v>0</v>
      </c>
      <c r="S170" s="119" t="n">
        <f aca="false">SUMIFS(tabela_registros[VALOR],tabela_registros[MÊS],$AE$1,tabela_registros[DIA],reservafixaconsolidadoset[[#Headers],[15]],tabela_registros[REGISTRO],DADOS!$N$6,tabela_registros[TIPO],DADOS!$AJ$3,tabela_registros[CATEGORIA],reservafixaconsolidadoset[[#This Row],[ATUAL]])</f>
        <v>0</v>
      </c>
      <c r="T170" s="119" t="n">
        <f aca="false">SUMIFS(tabela_registros[VALOR],tabela_registros[MÊS],$AE$1,tabela_registros[DIA],reservafixaconsolidadoset[[#Headers],[16]],tabela_registros[REGISTRO],DADOS!$N$6,tabela_registros[TIPO],DADOS!$AJ$3,tabela_registros[CATEGORIA],reservafixaconsolidadoset[[#This Row],[ATUAL]])</f>
        <v>0</v>
      </c>
      <c r="U170" s="119" t="n">
        <f aca="false">SUMIFS(tabela_registros[VALOR],tabela_registros[MÊS],$AE$1,tabela_registros[DIA],reservafixaconsolidadoset[[#Headers],[17]],tabela_registros[REGISTRO],DADOS!$N$6,tabela_registros[TIPO],DADOS!$AJ$3,tabela_registros[CATEGORIA],reservafixaconsolidadoset[[#This Row],[ATUAL]])</f>
        <v>0</v>
      </c>
      <c r="V170" s="119" t="n">
        <f aca="false">SUMIFS(tabela_registros[VALOR],tabela_registros[MÊS],$AE$1,tabela_registros[DIA],reservafixaconsolidadoset[[#Headers],[18]],tabela_registros[REGISTRO],DADOS!$N$6,tabela_registros[TIPO],DADOS!$AJ$3,tabela_registros[CATEGORIA],reservafixaconsolidadoset[[#This Row],[ATUAL]])</f>
        <v>0</v>
      </c>
      <c r="W170" s="119" t="n">
        <f aca="false">SUMIFS(tabela_registros[VALOR],tabela_registros[MÊS],$AE$1,tabela_registros[DIA],reservafixaconsolidadoset[[#Headers],[19]],tabela_registros[REGISTRO],DADOS!$N$6,tabela_registros[TIPO],DADOS!$AJ$3,tabela_registros[CATEGORIA],reservafixaconsolidadoset[[#This Row],[ATUAL]])</f>
        <v>0</v>
      </c>
      <c r="X170" s="119" t="n">
        <f aca="false">SUMIFS(tabela_registros[VALOR],tabela_registros[MÊS],$AE$1,tabela_registros[DIA],reservafixaconsolidadoset[[#Headers],[20]],tabela_registros[REGISTRO],DADOS!$N$6,tabela_registros[TIPO],DADOS!$AJ$3,tabela_registros[CATEGORIA],reservafixaconsolidadoset[[#This Row],[ATUAL]])</f>
        <v>0</v>
      </c>
      <c r="Y170" s="119" t="n">
        <f aca="false">SUMIFS(tabela_registros[VALOR],tabela_registros[MÊS],$AE$1,tabela_registros[DIA],reservafixaconsolidadoset[[#Headers],[21]],tabela_registros[REGISTRO],DADOS!$N$6,tabela_registros[TIPO],DADOS!$AJ$3,tabela_registros[CATEGORIA],reservafixaconsolidadoset[[#This Row],[ATUAL]])</f>
        <v>0</v>
      </c>
      <c r="Z170" s="119" t="n">
        <f aca="false">SUMIFS(tabela_registros[VALOR],tabela_registros[MÊS],$AE$1,tabela_registros[DIA],reservafixaconsolidadoset[[#Headers],[22]],tabela_registros[REGISTRO],DADOS!$N$6,tabela_registros[TIPO],DADOS!$AJ$3,tabela_registros[CATEGORIA],reservafixaconsolidadoset[[#This Row],[ATUAL]])</f>
        <v>0</v>
      </c>
      <c r="AA170" s="119" t="n">
        <f aca="false">SUMIFS(tabela_registros[VALOR],tabela_registros[MÊS],$AE$1,tabela_registros[DIA],reservafixaconsolidadoset[[#Headers],[23]],tabela_registros[REGISTRO],DADOS!$N$6,tabela_registros[TIPO],DADOS!$AJ$3,tabela_registros[CATEGORIA],reservafixaconsolidadoset[[#This Row],[ATUAL]])</f>
        <v>0</v>
      </c>
      <c r="AB170" s="119" t="n">
        <f aca="false">SUMIFS(tabela_registros[VALOR],tabela_registros[MÊS],$AE$1,tabela_registros[DIA],reservafixaconsolidadoset[[#Headers],[24]],tabela_registros[REGISTRO],DADOS!$N$6,tabela_registros[TIPO],DADOS!$AJ$3,tabela_registros[CATEGORIA],reservafixaconsolidadoset[[#This Row],[ATUAL]])</f>
        <v>0</v>
      </c>
      <c r="AC170" s="119" t="n">
        <f aca="false">SUMIFS(tabela_registros[VALOR],tabela_registros[MÊS],$AE$1,tabela_registros[DIA],reservafixaconsolidadoset[[#Headers],[25]],tabela_registros[REGISTRO],DADOS!$N$6,tabela_registros[TIPO],DADOS!$AJ$3,tabela_registros[CATEGORIA],reservafixaconsolidadoset[[#This Row],[ATUAL]])</f>
        <v>0</v>
      </c>
      <c r="AD170" s="119" t="n">
        <f aca="false">SUMIFS(tabela_registros[VALOR],tabela_registros[MÊS],$AE$1,tabela_registros[DIA],reservafixaconsolidadoset[[#Headers],[26]],tabela_registros[REGISTRO],DADOS!$N$6,tabela_registros[TIPO],DADOS!$AJ$3,tabela_registros[CATEGORIA],reservafixaconsolidadoset[[#This Row],[ATUAL]])</f>
        <v>0</v>
      </c>
      <c r="AE170" s="119" t="n">
        <f aca="false">SUMIFS(tabela_registros[VALOR],tabela_registros[MÊS],$AE$1,tabela_registros[DIA],reservafixaconsolidadoset[[#Headers],[27]],tabela_registros[REGISTRO],DADOS!$N$6,tabela_registros[TIPO],DADOS!$AJ$3,tabela_registros[CATEGORIA],reservafixaconsolidadoset[[#This Row],[ATUAL]])</f>
        <v>0</v>
      </c>
      <c r="AF170" s="119" t="n">
        <f aca="false">SUMIFS(tabela_registros[VALOR],tabela_registros[MÊS],$AE$1,tabela_registros[DIA],reservafixaconsolidadoset[[#Headers],[28]],tabela_registros[REGISTRO],DADOS!$N$6,tabela_registros[TIPO],DADOS!$AJ$3,tabela_registros[CATEGORIA],reservafixaconsolidadoset[[#This Row],[ATUAL]])</f>
        <v>0</v>
      </c>
      <c r="AG170" s="119" t="n">
        <f aca="false">SUMIFS(tabela_registros[VALOR],tabela_registros[MÊS],$AE$1,tabela_registros[DIA],reservafixaconsolidadoset[[#Headers],[29]],tabela_registros[REGISTRO],DADOS!$N$6,tabela_registros[TIPO],DADOS!$AJ$3,tabela_registros[CATEGORIA],reservafixaconsolidadoset[[#This Row],[ATUAL]])</f>
        <v>0</v>
      </c>
      <c r="AH170" s="119" t="n">
        <f aca="false">SUMIFS(tabela_registros[VALOR],tabela_registros[MÊS],$AE$1,tabela_registros[DIA],reservafixaconsolidadoset[[#Headers],[30]],tabela_registros[REGISTRO],DADOS!$N$6,tabela_registros[TIPO],DADOS!$AJ$3,tabela_registros[CATEGORIA],reservafixaconsolidadoset[[#This Row],[ATUAL]])</f>
        <v>0</v>
      </c>
      <c r="AI170" s="217" t="n">
        <f aca="false">SUMIFS(tabela_registros[VALOR],tabela_registros[MÊS],$AE$1,tabela_registros[DIA],reservafixaconsolidadoset[[#Headers],[31]],tabela_registros[REGISTRO],DADOS!$N$6,tabela_registros[TIPO],DADOS!$AJ$3,tabela_registros[CATEGORIA],reservafixaconsolidadoset[[#This Row],[ATUAL]])</f>
        <v>0</v>
      </c>
      <c r="AJ170" s="149" t="n">
        <f aca="false">SUM(reservafixaconsolidadoset[[#This Row],[1]:[31]])</f>
        <v>0</v>
      </c>
      <c r="AK170" s="165"/>
    </row>
    <row r="171" customFormat="false" ht="19.5" hidden="false" customHeight="true" outlineLevel="0" collapsed="false">
      <c r="B171" s="143"/>
      <c r="C171" s="144" t="str">
        <f aca="false">DADOS!$AL$6</f>
        <v>📝 DEBÊNTURE</v>
      </c>
      <c r="D171" s="145" t="str">
        <f aca="false">IF(reservafixaconsolidadoset[[#This Row],[TOTAL (R$)]]=0,"",IF(OR(reservafixaconsolidadoset[[#This Row],[TOTAL (R$)]]=LARGE($AJ$168:$AJ$177,1),reservafixaconsolidadoset[[#This Row],[TOTAL (R$)]]=LARGE($AJ$168:$AJ$177,2)),DADOS!$I$11,""))</f>
        <v/>
      </c>
      <c r="E171" s="148" t="n">
        <f aca="false">SUMIFS(tabela_registros[VALOR],tabela_registros[MÊS],$AE$1,tabela_registros[DIA],reservafixaconsolidadoset[[#Headers],[1]],tabela_registros[REGISTRO],DADOS!$N$6,tabela_registros[TIPO],DADOS!$AJ$3,tabela_registros[CATEGORIA],reservafixaconsolidadoset[[#This Row],[ATUAL]])</f>
        <v>0</v>
      </c>
      <c r="F171" s="119" t="n">
        <f aca="false">SUMIFS(tabela_registros[VALOR],tabela_registros[MÊS],$AE$1,tabela_registros[DIA],reservafixaconsolidadoset[[#Headers],[2]],tabela_registros[REGISTRO],DADOS!$N$6,tabela_registros[TIPO],DADOS!$AJ$3,tabela_registros[CATEGORIA],reservafixaconsolidadoset[[#This Row],[ATUAL]])</f>
        <v>0</v>
      </c>
      <c r="G171" s="119" t="n">
        <f aca="false">SUMIFS(tabela_registros[VALOR],tabela_registros[MÊS],$AE$1,tabela_registros[DIA],reservafixaconsolidadoset[[#Headers],[3]],tabela_registros[REGISTRO],DADOS!$N$6,tabela_registros[TIPO],DADOS!$AJ$3,tabela_registros[CATEGORIA],reservafixaconsolidadoset[[#This Row],[ATUAL]])</f>
        <v>0</v>
      </c>
      <c r="H171" s="119" t="n">
        <f aca="false">SUMIFS(tabela_registros[VALOR],tabela_registros[MÊS],$AE$1,tabela_registros[DIA],reservafixaconsolidadoset[[#Headers],[4]],tabela_registros[REGISTRO],DADOS!$N$6,tabela_registros[TIPO],DADOS!$AJ$3,tabela_registros[CATEGORIA],reservafixaconsolidadoset[[#This Row],[ATUAL]])</f>
        <v>0</v>
      </c>
      <c r="I171" s="119" t="n">
        <f aca="false">SUMIFS(tabela_registros[VALOR],tabela_registros[MÊS],$AE$1,tabela_registros[DIA],reservafixaconsolidadoset[[#Headers],[5]],tabela_registros[REGISTRO],DADOS!$N$6,tabela_registros[TIPO],DADOS!$AJ$3,tabela_registros[CATEGORIA],reservafixaconsolidadoset[[#This Row],[ATUAL]])</f>
        <v>0</v>
      </c>
      <c r="J171" s="119" t="n">
        <f aca="false">SUMIFS(tabela_registros[VALOR],tabela_registros[MÊS],$AE$1,tabela_registros[DIA],reservafixaconsolidadoset[[#Headers],[6]],tabela_registros[REGISTRO],DADOS!$N$6,tabela_registros[TIPO],DADOS!$AJ$3,tabela_registros[CATEGORIA],reservafixaconsolidadoset[[#This Row],[ATUAL]])</f>
        <v>0</v>
      </c>
      <c r="K171" s="119" t="n">
        <f aca="false">SUMIFS(tabela_registros[VALOR],tabela_registros[MÊS],$AE$1,tabela_registros[DIA],reservafixaconsolidadoset[[#Headers],[7]],tabela_registros[REGISTRO],DADOS!$N$6,tabela_registros[TIPO],DADOS!$AJ$3,tabela_registros[CATEGORIA],reservafixaconsolidadoset[[#This Row],[ATUAL]])</f>
        <v>0</v>
      </c>
      <c r="L171" s="119" t="n">
        <f aca="false">SUMIFS(tabela_registros[VALOR],tabela_registros[MÊS],$AE$1,tabela_registros[DIA],reservafixaconsolidadoset[[#Headers],[8]],tabela_registros[REGISTRO],DADOS!$N$6,tabela_registros[TIPO],DADOS!$AJ$3,tabela_registros[CATEGORIA],reservafixaconsolidadoset[[#This Row],[ATUAL]])</f>
        <v>0</v>
      </c>
      <c r="M171" s="119" t="n">
        <f aca="false">SUMIFS(tabela_registros[VALOR],tabela_registros[MÊS],$AE$1,tabela_registros[DIA],reservafixaconsolidadoset[[#Headers],[9]],tabela_registros[REGISTRO],DADOS!$N$6,tabela_registros[TIPO],DADOS!$AJ$3,tabela_registros[CATEGORIA],reservafixaconsolidadoset[[#This Row],[ATUAL]])</f>
        <v>0</v>
      </c>
      <c r="N171" s="119" t="n">
        <f aca="false">SUMIFS(tabela_registros[VALOR],tabela_registros[MÊS],$AE$1,tabela_registros[DIA],reservafixaconsolidadoset[[#Headers],[10]],tabela_registros[REGISTRO],DADOS!$N$6,tabela_registros[TIPO],DADOS!$AJ$3,tabela_registros[CATEGORIA],reservafixaconsolidadoset[[#This Row],[ATUAL]])</f>
        <v>0</v>
      </c>
      <c r="O171" s="119" t="n">
        <f aca="false">SUMIFS(tabela_registros[VALOR],tabela_registros[MÊS],$AE$1,tabela_registros[DIA],reservafixaconsolidadoset[[#Headers],[11]],tabela_registros[REGISTRO],DADOS!$N$6,tabela_registros[TIPO],DADOS!$AJ$3,tabela_registros[CATEGORIA],reservafixaconsolidadoset[[#This Row],[ATUAL]])</f>
        <v>0</v>
      </c>
      <c r="P171" s="119" t="n">
        <f aca="false">SUMIFS(tabela_registros[VALOR],tabela_registros[MÊS],$AE$1,tabela_registros[DIA],reservafixaconsolidadoset[[#Headers],[12]],tabela_registros[REGISTRO],DADOS!$N$6,tabela_registros[TIPO],DADOS!$AJ$3,tabela_registros[CATEGORIA],reservafixaconsolidadoset[[#This Row],[ATUAL]])</f>
        <v>0</v>
      </c>
      <c r="Q171" s="119" t="n">
        <f aca="false">SUMIFS(tabela_registros[VALOR],tabela_registros[MÊS],$AE$1,tabela_registros[DIA],reservafixaconsolidadoset[[#Headers],[13]],tabela_registros[REGISTRO],DADOS!$N$6,tabela_registros[TIPO],DADOS!$AJ$3,tabela_registros[CATEGORIA],reservafixaconsolidadoset[[#This Row],[ATUAL]])</f>
        <v>0</v>
      </c>
      <c r="R171" s="119" t="n">
        <f aca="false">SUMIFS(tabela_registros[VALOR],tabela_registros[MÊS],$AE$1,tabela_registros[DIA],reservafixaconsolidadoset[[#Headers],[14]],tabela_registros[REGISTRO],DADOS!$N$6,tabela_registros[TIPO],DADOS!$AJ$3,tabela_registros[CATEGORIA],reservafixaconsolidadoset[[#This Row],[ATUAL]])</f>
        <v>0</v>
      </c>
      <c r="S171" s="119" t="n">
        <f aca="false">SUMIFS(tabela_registros[VALOR],tabela_registros[MÊS],$AE$1,tabela_registros[DIA],reservafixaconsolidadoset[[#Headers],[15]],tabela_registros[REGISTRO],DADOS!$N$6,tabela_registros[TIPO],DADOS!$AJ$3,tabela_registros[CATEGORIA],reservafixaconsolidadoset[[#This Row],[ATUAL]])</f>
        <v>0</v>
      </c>
      <c r="T171" s="119" t="n">
        <f aca="false">SUMIFS(tabela_registros[VALOR],tabela_registros[MÊS],$AE$1,tabela_registros[DIA],reservafixaconsolidadoset[[#Headers],[16]],tabela_registros[REGISTRO],DADOS!$N$6,tabela_registros[TIPO],DADOS!$AJ$3,tabela_registros[CATEGORIA],reservafixaconsolidadoset[[#This Row],[ATUAL]])</f>
        <v>0</v>
      </c>
      <c r="U171" s="119" t="n">
        <f aca="false">SUMIFS(tabela_registros[VALOR],tabela_registros[MÊS],$AE$1,tabela_registros[DIA],reservafixaconsolidadoset[[#Headers],[17]],tabela_registros[REGISTRO],DADOS!$N$6,tabela_registros[TIPO],DADOS!$AJ$3,tabela_registros[CATEGORIA],reservafixaconsolidadoset[[#This Row],[ATUAL]])</f>
        <v>0</v>
      </c>
      <c r="V171" s="119" t="n">
        <f aca="false">SUMIFS(tabela_registros[VALOR],tabela_registros[MÊS],$AE$1,tabela_registros[DIA],reservafixaconsolidadoset[[#Headers],[18]],tabela_registros[REGISTRO],DADOS!$N$6,tabela_registros[TIPO],DADOS!$AJ$3,tabela_registros[CATEGORIA],reservafixaconsolidadoset[[#This Row],[ATUAL]])</f>
        <v>0</v>
      </c>
      <c r="W171" s="119" t="n">
        <f aca="false">SUMIFS(tabela_registros[VALOR],tabela_registros[MÊS],$AE$1,tabela_registros[DIA],reservafixaconsolidadoset[[#Headers],[19]],tabela_registros[REGISTRO],DADOS!$N$6,tabela_registros[TIPO],DADOS!$AJ$3,tabela_registros[CATEGORIA],reservafixaconsolidadoset[[#This Row],[ATUAL]])</f>
        <v>0</v>
      </c>
      <c r="X171" s="119" t="n">
        <f aca="false">SUMIFS(tabela_registros[VALOR],tabela_registros[MÊS],$AE$1,tabela_registros[DIA],reservafixaconsolidadoset[[#Headers],[20]],tabela_registros[REGISTRO],DADOS!$N$6,tabela_registros[TIPO],DADOS!$AJ$3,tabela_registros[CATEGORIA],reservafixaconsolidadoset[[#This Row],[ATUAL]])</f>
        <v>0</v>
      </c>
      <c r="Y171" s="119" t="n">
        <f aca="false">SUMIFS(tabela_registros[VALOR],tabela_registros[MÊS],$AE$1,tabela_registros[DIA],reservafixaconsolidadoset[[#Headers],[21]],tabela_registros[REGISTRO],DADOS!$N$6,tabela_registros[TIPO],DADOS!$AJ$3,tabela_registros[CATEGORIA],reservafixaconsolidadoset[[#This Row],[ATUAL]])</f>
        <v>0</v>
      </c>
      <c r="Z171" s="119" t="n">
        <f aca="false">SUMIFS(tabela_registros[VALOR],tabela_registros[MÊS],$AE$1,tabela_registros[DIA],reservafixaconsolidadoset[[#Headers],[22]],tabela_registros[REGISTRO],DADOS!$N$6,tabela_registros[TIPO],DADOS!$AJ$3,tabela_registros[CATEGORIA],reservafixaconsolidadoset[[#This Row],[ATUAL]])</f>
        <v>0</v>
      </c>
      <c r="AA171" s="119" t="n">
        <f aca="false">SUMIFS(tabela_registros[VALOR],tabela_registros[MÊS],$AE$1,tabela_registros[DIA],reservafixaconsolidadoset[[#Headers],[23]],tabela_registros[REGISTRO],DADOS!$N$6,tabela_registros[TIPO],DADOS!$AJ$3,tabela_registros[CATEGORIA],reservafixaconsolidadoset[[#This Row],[ATUAL]])</f>
        <v>0</v>
      </c>
      <c r="AB171" s="119" t="n">
        <f aca="false">SUMIFS(tabela_registros[VALOR],tabela_registros[MÊS],$AE$1,tabela_registros[DIA],reservafixaconsolidadoset[[#Headers],[24]],tabela_registros[REGISTRO],DADOS!$N$6,tabela_registros[TIPO],DADOS!$AJ$3,tabela_registros[CATEGORIA],reservafixaconsolidadoset[[#This Row],[ATUAL]])</f>
        <v>0</v>
      </c>
      <c r="AC171" s="119" t="n">
        <f aca="false">SUMIFS(tabela_registros[VALOR],tabela_registros[MÊS],$AE$1,tabela_registros[DIA],reservafixaconsolidadoset[[#Headers],[25]],tabela_registros[REGISTRO],DADOS!$N$6,tabela_registros[TIPO],DADOS!$AJ$3,tabela_registros[CATEGORIA],reservafixaconsolidadoset[[#This Row],[ATUAL]])</f>
        <v>0</v>
      </c>
      <c r="AD171" s="119" t="n">
        <f aca="false">SUMIFS(tabela_registros[VALOR],tabela_registros[MÊS],$AE$1,tabela_registros[DIA],reservafixaconsolidadoset[[#Headers],[26]],tabela_registros[REGISTRO],DADOS!$N$6,tabela_registros[TIPO],DADOS!$AJ$3,tabela_registros[CATEGORIA],reservafixaconsolidadoset[[#This Row],[ATUAL]])</f>
        <v>0</v>
      </c>
      <c r="AE171" s="119" t="n">
        <f aca="false">SUMIFS(tabela_registros[VALOR],tabela_registros[MÊS],$AE$1,tabela_registros[DIA],reservafixaconsolidadoset[[#Headers],[27]],tabela_registros[REGISTRO],DADOS!$N$6,tabela_registros[TIPO],DADOS!$AJ$3,tabela_registros[CATEGORIA],reservafixaconsolidadoset[[#This Row],[ATUAL]])</f>
        <v>0</v>
      </c>
      <c r="AF171" s="119" t="n">
        <f aca="false">SUMIFS(tabela_registros[VALOR],tabela_registros[MÊS],$AE$1,tabela_registros[DIA],reservafixaconsolidadoset[[#Headers],[28]],tabela_registros[REGISTRO],DADOS!$N$6,tabela_registros[TIPO],DADOS!$AJ$3,tabela_registros[CATEGORIA],reservafixaconsolidadoset[[#This Row],[ATUAL]])</f>
        <v>0</v>
      </c>
      <c r="AG171" s="119" t="n">
        <f aca="false">SUMIFS(tabela_registros[VALOR],tabela_registros[MÊS],$AE$1,tabela_registros[DIA],reservafixaconsolidadoset[[#Headers],[29]],tabela_registros[REGISTRO],DADOS!$N$6,tabela_registros[TIPO],DADOS!$AJ$3,tabela_registros[CATEGORIA],reservafixaconsolidadoset[[#This Row],[ATUAL]])</f>
        <v>0</v>
      </c>
      <c r="AH171" s="119" t="n">
        <f aca="false">SUMIFS(tabela_registros[VALOR],tabela_registros[MÊS],$AE$1,tabela_registros[DIA],reservafixaconsolidadoset[[#Headers],[30]],tabela_registros[REGISTRO],DADOS!$N$6,tabela_registros[TIPO],DADOS!$AJ$3,tabela_registros[CATEGORIA],reservafixaconsolidadoset[[#This Row],[ATUAL]])</f>
        <v>0</v>
      </c>
      <c r="AI171" s="217" t="n">
        <f aca="false">SUMIFS(tabela_registros[VALOR],tabela_registros[MÊS],$AE$1,tabela_registros[DIA],reservafixaconsolidadoset[[#Headers],[31]],tabela_registros[REGISTRO],DADOS!$N$6,tabela_registros[TIPO],DADOS!$AJ$3,tabela_registros[CATEGORIA],reservafixaconsolidadoset[[#This Row],[ATUAL]])</f>
        <v>0</v>
      </c>
      <c r="AJ171" s="149" t="n">
        <f aca="false">SUM(reservafixaconsolidadoset[[#This Row],[1]:[31]])</f>
        <v>0</v>
      </c>
      <c r="AK171" s="165"/>
    </row>
    <row r="172" customFormat="false" ht="19.5" hidden="false" customHeight="true" outlineLevel="0" collapsed="false">
      <c r="B172" s="143"/>
      <c r="C172" s="144" t="str">
        <f aca="false">DADOS!$AL$7</f>
        <v>📝 EXTERIOR</v>
      </c>
      <c r="D172" s="145" t="str">
        <f aca="false">IF(reservafixaconsolidadoset[[#This Row],[TOTAL (R$)]]=0,"",IF(OR(reservafixaconsolidadoset[[#This Row],[TOTAL (R$)]]=LARGE($AJ$168:$AJ$177,1),reservafixaconsolidadoset[[#This Row],[TOTAL (R$)]]=LARGE($AJ$168:$AJ$177,2)),DADOS!$I$11,""))</f>
        <v/>
      </c>
      <c r="E172" s="148" t="n">
        <f aca="false">SUMIFS(tabela_registros[VALOR],tabela_registros[MÊS],$AE$1,tabela_registros[DIA],reservafixaconsolidadoset[[#Headers],[1]],tabela_registros[REGISTRO],DADOS!$N$6,tabela_registros[TIPO],DADOS!$AJ$3,tabela_registros[CATEGORIA],reservafixaconsolidadoset[[#This Row],[ATUAL]])</f>
        <v>0</v>
      </c>
      <c r="F172" s="119" t="n">
        <f aca="false">SUMIFS(tabela_registros[VALOR],tabela_registros[MÊS],$AE$1,tabela_registros[DIA],reservafixaconsolidadoset[[#Headers],[2]],tabela_registros[REGISTRO],DADOS!$N$6,tabela_registros[TIPO],DADOS!$AJ$3,tabela_registros[CATEGORIA],reservafixaconsolidadoset[[#This Row],[ATUAL]])</f>
        <v>0</v>
      </c>
      <c r="G172" s="119" t="n">
        <f aca="false">SUMIFS(tabela_registros[VALOR],tabela_registros[MÊS],$AE$1,tabela_registros[DIA],reservafixaconsolidadoset[[#Headers],[3]],tabela_registros[REGISTRO],DADOS!$N$6,tabela_registros[TIPO],DADOS!$AJ$3,tabela_registros[CATEGORIA],reservafixaconsolidadoset[[#This Row],[ATUAL]])</f>
        <v>0</v>
      </c>
      <c r="H172" s="119" t="n">
        <f aca="false">SUMIFS(tabela_registros[VALOR],tabela_registros[MÊS],$AE$1,tabela_registros[DIA],reservafixaconsolidadoset[[#Headers],[4]],tabela_registros[REGISTRO],DADOS!$N$6,tabela_registros[TIPO],DADOS!$AJ$3,tabela_registros[CATEGORIA],reservafixaconsolidadoset[[#This Row],[ATUAL]])</f>
        <v>0</v>
      </c>
      <c r="I172" s="119" t="n">
        <f aca="false">SUMIFS(tabela_registros[VALOR],tabela_registros[MÊS],$AE$1,tabela_registros[DIA],reservafixaconsolidadoset[[#Headers],[5]],tabela_registros[REGISTRO],DADOS!$N$6,tabela_registros[TIPO],DADOS!$AJ$3,tabela_registros[CATEGORIA],reservafixaconsolidadoset[[#This Row],[ATUAL]])</f>
        <v>0</v>
      </c>
      <c r="J172" s="119" t="n">
        <f aca="false">SUMIFS(tabela_registros[VALOR],tabela_registros[MÊS],$AE$1,tabela_registros[DIA],reservafixaconsolidadoset[[#Headers],[6]],tabela_registros[REGISTRO],DADOS!$N$6,tabela_registros[TIPO],DADOS!$AJ$3,tabela_registros[CATEGORIA],reservafixaconsolidadoset[[#This Row],[ATUAL]])</f>
        <v>0</v>
      </c>
      <c r="K172" s="119" t="n">
        <f aca="false">SUMIFS(tabela_registros[VALOR],tabela_registros[MÊS],$AE$1,tabela_registros[DIA],reservafixaconsolidadoset[[#Headers],[7]],tabela_registros[REGISTRO],DADOS!$N$6,tabela_registros[TIPO],DADOS!$AJ$3,tabela_registros[CATEGORIA],reservafixaconsolidadoset[[#This Row],[ATUAL]])</f>
        <v>0</v>
      </c>
      <c r="L172" s="119" t="n">
        <f aca="false">SUMIFS(tabela_registros[VALOR],tabela_registros[MÊS],$AE$1,tabela_registros[DIA],reservafixaconsolidadoset[[#Headers],[8]],tabela_registros[REGISTRO],DADOS!$N$6,tabela_registros[TIPO],DADOS!$AJ$3,tabela_registros[CATEGORIA],reservafixaconsolidadoset[[#This Row],[ATUAL]])</f>
        <v>0</v>
      </c>
      <c r="M172" s="119" t="n">
        <f aca="false">SUMIFS(tabela_registros[VALOR],tabela_registros[MÊS],$AE$1,tabela_registros[DIA],reservafixaconsolidadoset[[#Headers],[9]],tabela_registros[REGISTRO],DADOS!$N$6,tabela_registros[TIPO],DADOS!$AJ$3,tabela_registros[CATEGORIA],reservafixaconsolidadoset[[#This Row],[ATUAL]])</f>
        <v>0</v>
      </c>
      <c r="N172" s="119" t="n">
        <f aca="false">SUMIFS(tabela_registros[VALOR],tabela_registros[MÊS],$AE$1,tabela_registros[DIA],reservafixaconsolidadoset[[#Headers],[10]],tabela_registros[REGISTRO],DADOS!$N$6,tabela_registros[TIPO],DADOS!$AJ$3,tabela_registros[CATEGORIA],reservafixaconsolidadoset[[#This Row],[ATUAL]])</f>
        <v>0</v>
      </c>
      <c r="O172" s="119" t="n">
        <f aca="false">SUMIFS(tabela_registros[VALOR],tabela_registros[MÊS],$AE$1,tabela_registros[DIA],reservafixaconsolidadoset[[#Headers],[11]],tabela_registros[REGISTRO],DADOS!$N$6,tabela_registros[TIPO],DADOS!$AJ$3,tabela_registros[CATEGORIA],reservafixaconsolidadoset[[#This Row],[ATUAL]])</f>
        <v>0</v>
      </c>
      <c r="P172" s="119" t="n">
        <f aca="false">SUMIFS(tabela_registros[VALOR],tabela_registros[MÊS],$AE$1,tabela_registros[DIA],reservafixaconsolidadoset[[#Headers],[12]],tabela_registros[REGISTRO],DADOS!$N$6,tabela_registros[TIPO],DADOS!$AJ$3,tabela_registros[CATEGORIA],reservafixaconsolidadoset[[#This Row],[ATUAL]])</f>
        <v>0</v>
      </c>
      <c r="Q172" s="119" t="n">
        <f aca="false">SUMIFS(tabela_registros[VALOR],tabela_registros[MÊS],$AE$1,tabela_registros[DIA],reservafixaconsolidadoset[[#Headers],[13]],tabela_registros[REGISTRO],DADOS!$N$6,tabela_registros[TIPO],DADOS!$AJ$3,tabela_registros[CATEGORIA],reservafixaconsolidadoset[[#This Row],[ATUAL]])</f>
        <v>0</v>
      </c>
      <c r="R172" s="119" t="n">
        <f aca="false">SUMIFS(tabela_registros[VALOR],tabela_registros[MÊS],$AE$1,tabela_registros[DIA],reservafixaconsolidadoset[[#Headers],[14]],tabela_registros[REGISTRO],DADOS!$N$6,tabela_registros[TIPO],DADOS!$AJ$3,tabela_registros[CATEGORIA],reservafixaconsolidadoset[[#This Row],[ATUAL]])</f>
        <v>0</v>
      </c>
      <c r="S172" s="119" t="n">
        <f aca="false">SUMIFS(tabela_registros[VALOR],tabela_registros[MÊS],$AE$1,tabela_registros[DIA],reservafixaconsolidadoset[[#Headers],[15]],tabela_registros[REGISTRO],DADOS!$N$6,tabela_registros[TIPO],DADOS!$AJ$3,tabela_registros[CATEGORIA],reservafixaconsolidadoset[[#This Row],[ATUAL]])</f>
        <v>0</v>
      </c>
      <c r="T172" s="119" t="n">
        <f aca="false">SUMIFS(tabela_registros[VALOR],tabela_registros[MÊS],$AE$1,tabela_registros[DIA],reservafixaconsolidadoset[[#Headers],[16]],tabela_registros[REGISTRO],DADOS!$N$6,tabela_registros[TIPO],DADOS!$AJ$3,tabela_registros[CATEGORIA],reservafixaconsolidadoset[[#This Row],[ATUAL]])</f>
        <v>0</v>
      </c>
      <c r="U172" s="119" t="n">
        <f aca="false">SUMIFS(tabela_registros[VALOR],tabela_registros[MÊS],$AE$1,tabela_registros[DIA],reservafixaconsolidadoset[[#Headers],[17]],tabela_registros[REGISTRO],DADOS!$N$6,tabela_registros[TIPO],DADOS!$AJ$3,tabela_registros[CATEGORIA],reservafixaconsolidadoset[[#This Row],[ATUAL]])</f>
        <v>0</v>
      </c>
      <c r="V172" s="119" t="n">
        <f aca="false">SUMIFS(tabela_registros[VALOR],tabela_registros[MÊS],$AE$1,tabela_registros[DIA],reservafixaconsolidadoset[[#Headers],[18]],tabela_registros[REGISTRO],DADOS!$N$6,tabela_registros[TIPO],DADOS!$AJ$3,tabela_registros[CATEGORIA],reservafixaconsolidadoset[[#This Row],[ATUAL]])</f>
        <v>0</v>
      </c>
      <c r="W172" s="119" t="n">
        <f aca="false">SUMIFS(tabela_registros[VALOR],tabela_registros[MÊS],$AE$1,tabela_registros[DIA],reservafixaconsolidadoset[[#Headers],[19]],tabela_registros[REGISTRO],DADOS!$N$6,tabela_registros[TIPO],DADOS!$AJ$3,tabela_registros[CATEGORIA],reservafixaconsolidadoset[[#This Row],[ATUAL]])</f>
        <v>0</v>
      </c>
      <c r="X172" s="119" t="n">
        <f aca="false">SUMIFS(tabela_registros[VALOR],tabela_registros[MÊS],$AE$1,tabela_registros[DIA],reservafixaconsolidadoset[[#Headers],[20]],tabela_registros[REGISTRO],DADOS!$N$6,tabela_registros[TIPO],DADOS!$AJ$3,tabela_registros[CATEGORIA],reservafixaconsolidadoset[[#This Row],[ATUAL]])</f>
        <v>0</v>
      </c>
      <c r="Y172" s="119" t="n">
        <f aca="false">SUMIFS(tabela_registros[VALOR],tabela_registros[MÊS],$AE$1,tabela_registros[DIA],reservafixaconsolidadoset[[#Headers],[21]],tabela_registros[REGISTRO],DADOS!$N$6,tabela_registros[TIPO],DADOS!$AJ$3,tabela_registros[CATEGORIA],reservafixaconsolidadoset[[#This Row],[ATUAL]])</f>
        <v>0</v>
      </c>
      <c r="Z172" s="119" t="n">
        <f aca="false">SUMIFS(tabela_registros[VALOR],tabela_registros[MÊS],$AE$1,tabela_registros[DIA],reservafixaconsolidadoset[[#Headers],[22]],tabela_registros[REGISTRO],DADOS!$N$6,tabela_registros[TIPO],DADOS!$AJ$3,tabela_registros[CATEGORIA],reservafixaconsolidadoset[[#This Row],[ATUAL]])</f>
        <v>0</v>
      </c>
      <c r="AA172" s="119" t="n">
        <f aca="false">SUMIFS(tabela_registros[VALOR],tabela_registros[MÊS],$AE$1,tabela_registros[DIA],reservafixaconsolidadoset[[#Headers],[23]],tabela_registros[REGISTRO],DADOS!$N$6,tabela_registros[TIPO],DADOS!$AJ$3,tabela_registros[CATEGORIA],reservafixaconsolidadoset[[#This Row],[ATUAL]])</f>
        <v>0</v>
      </c>
      <c r="AB172" s="119" t="n">
        <f aca="false">SUMIFS(tabela_registros[VALOR],tabela_registros[MÊS],$AE$1,tabela_registros[DIA],reservafixaconsolidadoset[[#Headers],[24]],tabela_registros[REGISTRO],DADOS!$N$6,tabela_registros[TIPO],DADOS!$AJ$3,tabela_registros[CATEGORIA],reservafixaconsolidadoset[[#This Row],[ATUAL]])</f>
        <v>0</v>
      </c>
      <c r="AC172" s="119" t="n">
        <f aca="false">SUMIFS(tabela_registros[VALOR],tabela_registros[MÊS],$AE$1,tabela_registros[DIA],reservafixaconsolidadoset[[#Headers],[25]],tabela_registros[REGISTRO],DADOS!$N$6,tabela_registros[TIPO],DADOS!$AJ$3,tabela_registros[CATEGORIA],reservafixaconsolidadoset[[#This Row],[ATUAL]])</f>
        <v>0</v>
      </c>
      <c r="AD172" s="119" t="n">
        <f aca="false">SUMIFS(tabela_registros[VALOR],tabela_registros[MÊS],$AE$1,tabela_registros[DIA],reservafixaconsolidadoset[[#Headers],[26]],tabela_registros[REGISTRO],DADOS!$N$6,tabela_registros[TIPO],DADOS!$AJ$3,tabela_registros[CATEGORIA],reservafixaconsolidadoset[[#This Row],[ATUAL]])</f>
        <v>0</v>
      </c>
      <c r="AE172" s="119" t="n">
        <f aca="false">SUMIFS(tabela_registros[VALOR],tabela_registros[MÊS],$AE$1,tabela_registros[DIA],reservafixaconsolidadoset[[#Headers],[27]],tabela_registros[REGISTRO],DADOS!$N$6,tabela_registros[TIPO],DADOS!$AJ$3,tabela_registros[CATEGORIA],reservafixaconsolidadoset[[#This Row],[ATUAL]])</f>
        <v>0</v>
      </c>
      <c r="AF172" s="119" t="n">
        <f aca="false">SUMIFS(tabela_registros[VALOR],tabela_registros[MÊS],$AE$1,tabela_registros[DIA],reservafixaconsolidadoset[[#Headers],[28]],tabela_registros[REGISTRO],DADOS!$N$6,tabela_registros[TIPO],DADOS!$AJ$3,tabela_registros[CATEGORIA],reservafixaconsolidadoset[[#This Row],[ATUAL]])</f>
        <v>0</v>
      </c>
      <c r="AG172" s="119" t="n">
        <f aca="false">SUMIFS(tabela_registros[VALOR],tabela_registros[MÊS],$AE$1,tabela_registros[DIA],reservafixaconsolidadoset[[#Headers],[29]],tabela_registros[REGISTRO],DADOS!$N$6,tabela_registros[TIPO],DADOS!$AJ$3,tabela_registros[CATEGORIA],reservafixaconsolidadoset[[#This Row],[ATUAL]])</f>
        <v>0</v>
      </c>
      <c r="AH172" s="119" t="n">
        <f aca="false">SUMIFS(tabela_registros[VALOR],tabela_registros[MÊS],$AE$1,tabela_registros[DIA],reservafixaconsolidadoset[[#Headers],[30]],tabela_registros[REGISTRO],DADOS!$N$6,tabela_registros[TIPO],DADOS!$AJ$3,tabela_registros[CATEGORIA],reservafixaconsolidadoset[[#This Row],[ATUAL]])</f>
        <v>0</v>
      </c>
      <c r="AI172" s="217" t="n">
        <f aca="false">SUMIFS(tabela_registros[VALOR],tabela_registros[MÊS],$AE$1,tabela_registros[DIA],reservafixaconsolidadoset[[#Headers],[31]],tabela_registros[REGISTRO],DADOS!$N$6,tabela_registros[TIPO],DADOS!$AJ$3,tabela_registros[CATEGORIA],reservafixaconsolidadoset[[#This Row],[ATUAL]])</f>
        <v>0</v>
      </c>
      <c r="AJ172" s="149" t="n">
        <f aca="false">SUM(reservafixaconsolidadoset[[#This Row],[1]:[31]])</f>
        <v>0</v>
      </c>
      <c r="AK172" s="165"/>
    </row>
    <row r="173" customFormat="false" ht="19.5" hidden="false" customHeight="true" outlineLevel="0" collapsed="false">
      <c r="B173" s="143"/>
      <c r="C173" s="144" t="str">
        <f aca="false">DADOS!$AL$8</f>
        <v>📝 LC</v>
      </c>
      <c r="D173" s="145" t="str">
        <f aca="false">IF(reservafixaconsolidadoset[[#This Row],[TOTAL (R$)]]=0,"",IF(OR(reservafixaconsolidadoset[[#This Row],[TOTAL (R$)]]=LARGE($AJ$168:$AJ$177,1),reservafixaconsolidadoset[[#This Row],[TOTAL (R$)]]=LARGE($AJ$168:$AJ$177,2)),DADOS!$I$11,""))</f>
        <v/>
      </c>
      <c r="E173" s="148" t="n">
        <f aca="false">SUMIFS(tabela_registros[VALOR],tabela_registros[MÊS],$AE$1,tabela_registros[DIA],reservafixaconsolidadoset[[#Headers],[1]],tabela_registros[REGISTRO],DADOS!$N$6,tabela_registros[TIPO],DADOS!$AJ$3,tabela_registros[CATEGORIA],reservafixaconsolidadoset[[#This Row],[ATUAL]])</f>
        <v>0</v>
      </c>
      <c r="F173" s="119" t="n">
        <f aca="false">SUMIFS(tabela_registros[VALOR],tabela_registros[MÊS],$AE$1,tabela_registros[DIA],reservafixaconsolidadoset[[#Headers],[2]],tabela_registros[REGISTRO],DADOS!$N$6,tabela_registros[TIPO],DADOS!$AJ$3,tabela_registros[CATEGORIA],reservafixaconsolidadoset[[#This Row],[ATUAL]])</f>
        <v>0</v>
      </c>
      <c r="G173" s="119" t="n">
        <f aca="false">SUMIFS(tabela_registros[VALOR],tabela_registros[MÊS],$AE$1,tabela_registros[DIA],reservafixaconsolidadoset[[#Headers],[3]],tabela_registros[REGISTRO],DADOS!$N$6,tabela_registros[TIPO],DADOS!$AJ$3,tabela_registros[CATEGORIA],reservafixaconsolidadoset[[#This Row],[ATUAL]])</f>
        <v>0</v>
      </c>
      <c r="H173" s="119" t="n">
        <f aca="false">SUMIFS(tabela_registros[VALOR],tabela_registros[MÊS],$AE$1,tabela_registros[DIA],reservafixaconsolidadoset[[#Headers],[4]],tabela_registros[REGISTRO],DADOS!$N$6,tabela_registros[TIPO],DADOS!$AJ$3,tabela_registros[CATEGORIA],reservafixaconsolidadoset[[#This Row],[ATUAL]])</f>
        <v>0</v>
      </c>
      <c r="I173" s="119" t="n">
        <f aca="false">SUMIFS(tabela_registros[VALOR],tabela_registros[MÊS],$AE$1,tabela_registros[DIA],reservafixaconsolidadoset[[#Headers],[5]],tabela_registros[REGISTRO],DADOS!$N$6,tabela_registros[TIPO],DADOS!$AJ$3,tabela_registros[CATEGORIA],reservafixaconsolidadoset[[#This Row],[ATUAL]])</f>
        <v>0</v>
      </c>
      <c r="J173" s="119" t="n">
        <f aca="false">SUMIFS(tabela_registros[VALOR],tabela_registros[MÊS],$AE$1,tabela_registros[DIA],reservafixaconsolidadoset[[#Headers],[6]],tabela_registros[REGISTRO],DADOS!$N$6,tabela_registros[TIPO],DADOS!$AJ$3,tabela_registros[CATEGORIA],reservafixaconsolidadoset[[#This Row],[ATUAL]])</f>
        <v>0</v>
      </c>
      <c r="K173" s="119" t="n">
        <f aca="false">SUMIFS(tabela_registros[VALOR],tabela_registros[MÊS],$AE$1,tabela_registros[DIA],reservafixaconsolidadoset[[#Headers],[7]],tabela_registros[REGISTRO],DADOS!$N$6,tabela_registros[TIPO],DADOS!$AJ$3,tabela_registros[CATEGORIA],reservafixaconsolidadoset[[#This Row],[ATUAL]])</f>
        <v>0</v>
      </c>
      <c r="L173" s="119" t="n">
        <f aca="false">SUMIFS(tabela_registros[VALOR],tabela_registros[MÊS],$AE$1,tabela_registros[DIA],reservafixaconsolidadoset[[#Headers],[8]],tabela_registros[REGISTRO],DADOS!$N$6,tabela_registros[TIPO],DADOS!$AJ$3,tabela_registros[CATEGORIA],reservafixaconsolidadoset[[#This Row],[ATUAL]])</f>
        <v>0</v>
      </c>
      <c r="M173" s="119" t="n">
        <f aca="false">SUMIFS(tabela_registros[VALOR],tabela_registros[MÊS],$AE$1,tabela_registros[DIA],reservafixaconsolidadoset[[#Headers],[9]],tabela_registros[REGISTRO],DADOS!$N$6,tabela_registros[TIPO],DADOS!$AJ$3,tabela_registros[CATEGORIA],reservafixaconsolidadoset[[#This Row],[ATUAL]])</f>
        <v>0</v>
      </c>
      <c r="N173" s="119" t="n">
        <f aca="false">SUMIFS(tabela_registros[VALOR],tabela_registros[MÊS],$AE$1,tabela_registros[DIA],reservafixaconsolidadoset[[#Headers],[10]],tabela_registros[REGISTRO],DADOS!$N$6,tabela_registros[TIPO],DADOS!$AJ$3,tabela_registros[CATEGORIA],reservafixaconsolidadoset[[#This Row],[ATUAL]])</f>
        <v>0</v>
      </c>
      <c r="O173" s="119" t="n">
        <f aca="false">SUMIFS(tabela_registros[VALOR],tabela_registros[MÊS],$AE$1,tabela_registros[DIA],reservafixaconsolidadoset[[#Headers],[11]],tabela_registros[REGISTRO],DADOS!$N$6,tabela_registros[TIPO],DADOS!$AJ$3,tabela_registros[CATEGORIA],reservafixaconsolidadoset[[#This Row],[ATUAL]])</f>
        <v>0</v>
      </c>
      <c r="P173" s="119" t="n">
        <f aca="false">SUMIFS(tabela_registros[VALOR],tabela_registros[MÊS],$AE$1,tabela_registros[DIA],reservafixaconsolidadoset[[#Headers],[12]],tabela_registros[REGISTRO],DADOS!$N$6,tabela_registros[TIPO],DADOS!$AJ$3,tabela_registros[CATEGORIA],reservafixaconsolidadoset[[#This Row],[ATUAL]])</f>
        <v>0</v>
      </c>
      <c r="Q173" s="119" t="n">
        <f aca="false">SUMIFS(tabela_registros[VALOR],tabela_registros[MÊS],$AE$1,tabela_registros[DIA],reservafixaconsolidadoset[[#Headers],[13]],tabela_registros[REGISTRO],DADOS!$N$6,tabela_registros[TIPO],DADOS!$AJ$3,tabela_registros[CATEGORIA],reservafixaconsolidadoset[[#This Row],[ATUAL]])</f>
        <v>0</v>
      </c>
      <c r="R173" s="119" t="n">
        <f aca="false">SUMIFS(tabela_registros[VALOR],tabela_registros[MÊS],$AE$1,tabela_registros[DIA],reservafixaconsolidadoset[[#Headers],[14]],tabela_registros[REGISTRO],DADOS!$N$6,tabela_registros[TIPO],DADOS!$AJ$3,tabela_registros[CATEGORIA],reservafixaconsolidadoset[[#This Row],[ATUAL]])</f>
        <v>0</v>
      </c>
      <c r="S173" s="119" t="n">
        <f aca="false">SUMIFS(tabela_registros[VALOR],tabela_registros[MÊS],$AE$1,tabela_registros[DIA],reservafixaconsolidadoset[[#Headers],[15]],tabela_registros[REGISTRO],DADOS!$N$6,tabela_registros[TIPO],DADOS!$AJ$3,tabela_registros[CATEGORIA],reservafixaconsolidadoset[[#This Row],[ATUAL]])</f>
        <v>0</v>
      </c>
      <c r="T173" s="119" t="n">
        <f aca="false">SUMIFS(tabela_registros[VALOR],tabela_registros[MÊS],$AE$1,tabela_registros[DIA],reservafixaconsolidadoset[[#Headers],[16]],tabela_registros[REGISTRO],DADOS!$N$6,tabela_registros[TIPO],DADOS!$AJ$3,tabela_registros[CATEGORIA],reservafixaconsolidadoset[[#This Row],[ATUAL]])</f>
        <v>0</v>
      </c>
      <c r="U173" s="119" t="n">
        <f aca="false">SUMIFS(tabela_registros[VALOR],tabela_registros[MÊS],$AE$1,tabela_registros[DIA],reservafixaconsolidadoset[[#Headers],[17]],tabela_registros[REGISTRO],DADOS!$N$6,tabela_registros[TIPO],DADOS!$AJ$3,tabela_registros[CATEGORIA],reservafixaconsolidadoset[[#This Row],[ATUAL]])</f>
        <v>0</v>
      </c>
      <c r="V173" s="119" t="n">
        <f aca="false">SUMIFS(tabela_registros[VALOR],tabela_registros[MÊS],$AE$1,tabela_registros[DIA],reservafixaconsolidadoset[[#Headers],[18]],tabela_registros[REGISTRO],DADOS!$N$6,tabela_registros[TIPO],DADOS!$AJ$3,tabela_registros[CATEGORIA],reservafixaconsolidadoset[[#This Row],[ATUAL]])</f>
        <v>0</v>
      </c>
      <c r="W173" s="119" t="n">
        <f aca="false">SUMIFS(tabela_registros[VALOR],tabela_registros[MÊS],$AE$1,tabela_registros[DIA],reservafixaconsolidadoset[[#Headers],[19]],tabela_registros[REGISTRO],DADOS!$N$6,tabela_registros[TIPO],DADOS!$AJ$3,tabela_registros[CATEGORIA],reservafixaconsolidadoset[[#This Row],[ATUAL]])</f>
        <v>0</v>
      </c>
      <c r="X173" s="119" t="n">
        <f aca="false">SUMIFS(tabela_registros[VALOR],tabela_registros[MÊS],$AE$1,tabela_registros[DIA],reservafixaconsolidadoset[[#Headers],[20]],tabela_registros[REGISTRO],DADOS!$N$6,tabela_registros[TIPO],DADOS!$AJ$3,tabela_registros[CATEGORIA],reservafixaconsolidadoset[[#This Row],[ATUAL]])</f>
        <v>0</v>
      </c>
      <c r="Y173" s="119" t="n">
        <f aca="false">SUMIFS(tabela_registros[VALOR],tabela_registros[MÊS],$AE$1,tabela_registros[DIA],reservafixaconsolidadoset[[#Headers],[21]],tabela_registros[REGISTRO],DADOS!$N$6,tabela_registros[TIPO],DADOS!$AJ$3,tabela_registros[CATEGORIA],reservafixaconsolidadoset[[#This Row],[ATUAL]])</f>
        <v>0</v>
      </c>
      <c r="Z173" s="119" t="n">
        <f aca="false">SUMIFS(tabela_registros[VALOR],tabela_registros[MÊS],$AE$1,tabela_registros[DIA],reservafixaconsolidadoset[[#Headers],[22]],tabela_registros[REGISTRO],DADOS!$N$6,tabela_registros[TIPO],DADOS!$AJ$3,tabela_registros[CATEGORIA],reservafixaconsolidadoset[[#This Row],[ATUAL]])</f>
        <v>0</v>
      </c>
      <c r="AA173" s="119" t="n">
        <f aca="false">SUMIFS(tabela_registros[VALOR],tabela_registros[MÊS],$AE$1,tabela_registros[DIA],reservafixaconsolidadoset[[#Headers],[23]],tabela_registros[REGISTRO],DADOS!$N$6,tabela_registros[TIPO],DADOS!$AJ$3,tabela_registros[CATEGORIA],reservafixaconsolidadoset[[#This Row],[ATUAL]])</f>
        <v>0</v>
      </c>
      <c r="AB173" s="119" t="n">
        <f aca="false">SUMIFS(tabela_registros[VALOR],tabela_registros[MÊS],$AE$1,tabela_registros[DIA],reservafixaconsolidadoset[[#Headers],[24]],tabela_registros[REGISTRO],DADOS!$N$6,tabela_registros[TIPO],DADOS!$AJ$3,tabela_registros[CATEGORIA],reservafixaconsolidadoset[[#This Row],[ATUAL]])</f>
        <v>0</v>
      </c>
      <c r="AC173" s="119" t="n">
        <f aca="false">SUMIFS(tabela_registros[VALOR],tabela_registros[MÊS],$AE$1,tabela_registros[DIA],reservafixaconsolidadoset[[#Headers],[25]],tabela_registros[REGISTRO],DADOS!$N$6,tabela_registros[TIPO],DADOS!$AJ$3,tabela_registros[CATEGORIA],reservafixaconsolidadoset[[#This Row],[ATUAL]])</f>
        <v>0</v>
      </c>
      <c r="AD173" s="119" t="n">
        <f aca="false">SUMIFS(tabela_registros[VALOR],tabela_registros[MÊS],$AE$1,tabela_registros[DIA],reservafixaconsolidadoset[[#Headers],[26]],tabela_registros[REGISTRO],DADOS!$N$6,tabela_registros[TIPO],DADOS!$AJ$3,tabela_registros[CATEGORIA],reservafixaconsolidadoset[[#This Row],[ATUAL]])</f>
        <v>0</v>
      </c>
      <c r="AE173" s="119" t="n">
        <f aca="false">SUMIFS(tabela_registros[VALOR],tabela_registros[MÊS],$AE$1,tabela_registros[DIA],reservafixaconsolidadoset[[#Headers],[27]],tabela_registros[REGISTRO],DADOS!$N$6,tabela_registros[TIPO],DADOS!$AJ$3,tabela_registros[CATEGORIA],reservafixaconsolidadoset[[#This Row],[ATUAL]])</f>
        <v>0</v>
      </c>
      <c r="AF173" s="119" t="n">
        <f aca="false">SUMIFS(tabela_registros[VALOR],tabela_registros[MÊS],$AE$1,tabela_registros[DIA],reservafixaconsolidadoset[[#Headers],[28]],tabela_registros[REGISTRO],DADOS!$N$6,tabela_registros[TIPO],DADOS!$AJ$3,tabela_registros[CATEGORIA],reservafixaconsolidadoset[[#This Row],[ATUAL]])</f>
        <v>0</v>
      </c>
      <c r="AG173" s="119" t="n">
        <f aca="false">SUMIFS(tabela_registros[VALOR],tabela_registros[MÊS],$AE$1,tabela_registros[DIA],reservafixaconsolidadoset[[#Headers],[29]],tabela_registros[REGISTRO],DADOS!$N$6,tabela_registros[TIPO],DADOS!$AJ$3,tabela_registros[CATEGORIA],reservafixaconsolidadoset[[#This Row],[ATUAL]])</f>
        <v>0</v>
      </c>
      <c r="AH173" s="119" t="n">
        <f aca="false">SUMIFS(tabela_registros[VALOR],tabela_registros[MÊS],$AE$1,tabela_registros[DIA],reservafixaconsolidadoset[[#Headers],[30]],tabela_registros[REGISTRO],DADOS!$N$6,tabela_registros[TIPO],DADOS!$AJ$3,tabela_registros[CATEGORIA],reservafixaconsolidadoset[[#This Row],[ATUAL]])</f>
        <v>0</v>
      </c>
      <c r="AI173" s="217" t="n">
        <f aca="false">SUMIFS(tabela_registros[VALOR],tabela_registros[MÊS],$AE$1,tabela_registros[DIA],reservafixaconsolidadoset[[#Headers],[31]],tabela_registros[REGISTRO],DADOS!$N$6,tabela_registros[TIPO],DADOS!$AJ$3,tabela_registros[CATEGORIA],reservafixaconsolidadoset[[#This Row],[ATUAL]])</f>
        <v>0</v>
      </c>
      <c r="AJ173" s="149" t="n">
        <f aca="false">SUM(reservafixaconsolidadoset[[#This Row],[1]:[31]])</f>
        <v>0</v>
      </c>
      <c r="AK173" s="165"/>
    </row>
    <row r="174" customFormat="false" ht="19.5" hidden="false" customHeight="true" outlineLevel="0" collapsed="false">
      <c r="B174" s="143"/>
      <c r="C174" s="144" t="str">
        <f aca="false">DADOS!$AL$9</f>
        <v>📝 LCA</v>
      </c>
      <c r="D174" s="145" t="str">
        <f aca="false">IF(reservafixaconsolidadoset[[#This Row],[TOTAL (R$)]]=0,"",IF(OR(reservafixaconsolidadoset[[#This Row],[TOTAL (R$)]]=LARGE($AJ$168:$AJ$177,1),reservafixaconsolidadoset[[#This Row],[TOTAL (R$)]]=LARGE($AJ$168:$AJ$177,2)),DADOS!$I$11,""))</f>
        <v/>
      </c>
      <c r="E174" s="148" t="n">
        <f aca="false">SUMIFS(tabela_registros[VALOR],tabela_registros[MÊS],$AE$1,tabela_registros[DIA],reservafixaconsolidadoset[[#Headers],[1]],tabela_registros[REGISTRO],DADOS!$N$6,tabela_registros[TIPO],DADOS!$AJ$3,tabela_registros[CATEGORIA],reservafixaconsolidadoset[[#This Row],[ATUAL]])</f>
        <v>0</v>
      </c>
      <c r="F174" s="119" t="n">
        <f aca="false">SUMIFS(tabela_registros[VALOR],tabela_registros[MÊS],$AE$1,tabela_registros[DIA],reservafixaconsolidadoset[[#Headers],[2]],tabela_registros[REGISTRO],DADOS!$N$6,tabela_registros[TIPO],DADOS!$AJ$3,tabela_registros[CATEGORIA],reservafixaconsolidadoset[[#This Row],[ATUAL]])</f>
        <v>0</v>
      </c>
      <c r="G174" s="119" t="n">
        <f aca="false">SUMIFS(tabela_registros[VALOR],tabela_registros[MÊS],$AE$1,tabela_registros[DIA],reservafixaconsolidadoset[[#Headers],[3]],tabela_registros[REGISTRO],DADOS!$N$6,tabela_registros[TIPO],DADOS!$AJ$3,tabela_registros[CATEGORIA],reservafixaconsolidadoset[[#This Row],[ATUAL]])</f>
        <v>0</v>
      </c>
      <c r="H174" s="119" t="n">
        <f aca="false">SUMIFS(tabela_registros[VALOR],tabela_registros[MÊS],$AE$1,tabela_registros[DIA],reservafixaconsolidadoset[[#Headers],[4]],tabela_registros[REGISTRO],DADOS!$N$6,tabela_registros[TIPO],DADOS!$AJ$3,tabela_registros[CATEGORIA],reservafixaconsolidadoset[[#This Row],[ATUAL]])</f>
        <v>0</v>
      </c>
      <c r="I174" s="119" t="n">
        <f aca="false">SUMIFS(tabela_registros[VALOR],tabela_registros[MÊS],$AE$1,tabela_registros[DIA],reservafixaconsolidadoset[[#Headers],[5]],tabela_registros[REGISTRO],DADOS!$N$6,tabela_registros[TIPO],DADOS!$AJ$3,tabela_registros[CATEGORIA],reservafixaconsolidadoset[[#This Row],[ATUAL]])</f>
        <v>0</v>
      </c>
      <c r="J174" s="119" t="n">
        <f aca="false">SUMIFS(tabela_registros[VALOR],tabela_registros[MÊS],$AE$1,tabela_registros[DIA],reservafixaconsolidadoset[[#Headers],[6]],tabela_registros[REGISTRO],DADOS!$N$6,tabela_registros[TIPO],DADOS!$AJ$3,tabela_registros[CATEGORIA],reservafixaconsolidadoset[[#This Row],[ATUAL]])</f>
        <v>0</v>
      </c>
      <c r="K174" s="119" t="n">
        <f aca="false">SUMIFS(tabela_registros[VALOR],tabela_registros[MÊS],$AE$1,tabela_registros[DIA],reservafixaconsolidadoset[[#Headers],[7]],tabela_registros[REGISTRO],DADOS!$N$6,tabela_registros[TIPO],DADOS!$AJ$3,tabela_registros[CATEGORIA],reservafixaconsolidadoset[[#This Row],[ATUAL]])</f>
        <v>0</v>
      </c>
      <c r="L174" s="119" t="n">
        <f aca="false">SUMIFS(tabela_registros[VALOR],tabela_registros[MÊS],$AE$1,tabela_registros[DIA],reservafixaconsolidadoset[[#Headers],[8]],tabela_registros[REGISTRO],DADOS!$N$6,tabela_registros[TIPO],DADOS!$AJ$3,tabela_registros[CATEGORIA],reservafixaconsolidadoset[[#This Row],[ATUAL]])</f>
        <v>0</v>
      </c>
      <c r="M174" s="119" t="n">
        <f aca="false">SUMIFS(tabela_registros[VALOR],tabela_registros[MÊS],$AE$1,tabela_registros[DIA],reservafixaconsolidadoset[[#Headers],[9]],tabela_registros[REGISTRO],DADOS!$N$6,tabela_registros[TIPO],DADOS!$AJ$3,tabela_registros[CATEGORIA],reservafixaconsolidadoset[[#This Row],[ATUAL]])</f>
        <v>0</v>
      </c>
      <c r="N174" s="119" t="n">
        <f aca="false">SUMIFS(tabela_registros[VALOR],tabela_registros[MÊS],$AE$1,tabela_registros[DIA],reservafixaconsolidadoset[[#Headers],[10]],tabela_registros[REGISTRO],DADOS!$N$6,tabela_registros[TIPO],DADOS!$AJ$3,tabela_registros[CATEGORIA],reservafixaconsolidadoset[[#This Row],[ATUAL]])</f>
        <v>0</v>
      </c>
      <c r="O174" s="119" t="n">
        <f aca="false">SUMIFS(tabela_registros[VALOR],tabela_registros[MÊS],$AE$1,tabela_registros[DIA],reservafixaconsolidadoset[[#Headers],[11]],tabela_registros[REGISTRO],DADOS!$N$6,tabela_registros[TIPO],DADOS!$AJ$3,tabela_registros[CATEGORIA],reservafixaconsolidadoset[[#This Row],[ATUAL]])</f>
        <v>0</v>
      </c>
      <c r="P174" s="119" t="n">
        <f aca="false">SUMIFS(tabela_registros[VALOR],tabela_registros[MÊS],$AE$1,tabela_registros[DIA],reservafixaconsolidadoset[[#Headers],[12]],tabela_registros[REGISTRO],DADOS!$N$6,tabela_registros[TIPO],DADOS!$AJ$3,tabela_registros[CATEGORIA],reservafixaconsolidadoset[[#This Row],[ATUAL]])</f>
        <v>0</v>
      </c>
      <c r="Q174" s="119" t="n">
        <f aca="false">SUMIFS(tabela_registros[VALOR],tabela_registros[MÊS],$AE$1,tabela_registros[DIA],reservafixaconsolidadoset[[#Headers],[13]],tabela_registros[REGISTRO],DADOS!$N$6,tabela_registros[TIPO],DADOS!$AJ$3,tabela_registros[CATEGORIA],reservafixaconsolidadoset[[#This Row],[ATUAL]])</f>
        <v>0</v>
      </c>
      <c r="R174" s="119" t="n">
        <f aca="false">SUMIFS(tabela_registros[VALOR],tabela_registros[MÊS],$AE$1,tabela_registros[DIA],reservafixaconsolidadoset[[#Headers],[14]],tabela_registros[REGISTRO],DADOS!$N$6,tabela_registros[TIPO],DADOS!$AJ$3,tabela_registros[CATEGORIA],reservafixaconsolidadoset[[#This Row],[ATUAL]])</f>
        <v>0</v>
      </c>
      <c r="S174" s="119" t="n">
        <f aca="false">SUMIFS(tabela_registros[VALOR],tabela_registros[MÊS],$AE$1,tabela_registros[DIA],reservafixaconsolidadoset[[#Headers],[15]],tabela_registros[REGISTRO],DADOS!$N$6,tabela_registros[TIPO],DADOS!$AJ$3,tabela_registros[CATEGORIA],reservafixaconsolidadoset[[#This Row],[ATUAL]])</f>
        <v>0</v>
      </c>
      <c r="T174" s="119" t="n">
        <f aca="false">SUMIFS(tabela_registros[VALOR],tabela_registros[MÊS],$AE$1,tabela_registros[DIA],reservafixaconsolidadoset[[#Headers],[16]],tabela_registros[REGISTRO],DADOS!$N$6,tabela_registros[TIPO],DADOS!$AJ$3,tabela_registros[CATEGORIA],reservafixaconsolidadoset[[#This Row],[ATUAL]])</f>
        <v>0</v>
      </c>
      <c r="U174" s="119" t="n">
        <f aca="false">SUMIFS(tabela_registros[VALOR],tabela_registros[MÊS],$AE$1,tabela_registros[DIA],reservafixaconsolidadoset[[#Headers],[17]],tabela_registros[REGISTRO],DADOS!$N$6,tabela_registros[TIPO],DADOS!$AJ$3,tabela_registros[CATEGORIA],reservafixaconsolidadoset[[#This Row],[ATUAL]])</f>
        <v>0</v>
      </c>
      <c r="V174" s="119" t="n">
        <f aca="false">SUMIFS(tabela_registros[VALOR],tabela_registros[MÊS],$AE$1,tabela_registros[DIA],reservafixaconsolidadoset[[#Headers],[18]],tabela_registros[REGISTRO],DADOS!$N$6,tabela_registros[TIPO],DADOS!$AJ$3,tabela_registros[CATEGORIA],reservafixaconsolidadoset[[#This Row],[ATUAL]])</f>
        <v>0</v>
      </c>
      <c r="W174" s="119" t="n">
        <f aca="false">SUMIFS(tabela_registros[VALOR],tabela_registros[MÊS],$AE$1,tabela_registros[DIA],reservafixaconsolidadoset[[#Headers],[19]],tabela_registros[REGISTRO],DADOS!$N$6,tabela_registros[TIPO],DADOS!$AJ$3,tabela_registros[CATEGORIA],reservafixaconsolidadoset[[#This Row],[ATUAL]])</f>
        <v>0</v>
      </c>
      <c r="X174" s="119" t="n">
        <f aca="false">SUMIFS(tabela_registros[VALOR],tabela_registros[MÊS],$AE$1,tabela_registros[DIA],reservafixaconsolidadoset[[#Headers],[20]],tabela_registros[REGISTRO],DADOS!$N$6,tabela_registros[TIPO],DADOS!$AJ$3,tabela_registros[CATEGORIA],reservafixaconsolidadoset[[#This Row],[ATUAL]])</f>
        <v>0</v>
      </c>
      <c r="Y174" s="119" t="n">
        <f aca="false">SUMIFS(tabela_registros[VALOR],tabela_registros[MÊS],$AE$1,tabela_registros[DIA],reservafixaconsolidadoset[[#Headers],[21]],tabela_registros[REGISTRO],DADOS!$N$6,tabela_registros[TIPO],DADOS!$AJ$3,tabela_registros[CATEGORIA],reservafixaconsolidadoset[[#This Row],[ATUAL]])</f>
        <v>0</v>
      </c>
      <c r="Z174" s="119" t="n">
        <f aca="false">SUMIFS(tabela_registros[VALOR],tabela_registros[MÊS],$AE$1,tabela_registros[DIA],reservafixaconsolidadoset[[#Headers],[22]],tabela_registros[REGISTRO],DADOS!$N$6,tabela_registros[TIPO],DADOS!$AJ$3,tabela_registros[CATEGORIA],reservafixaconsolidadoset[[#This Row],[ATUAL]])</f>
        <v>0</v>
      </c>
      <c r="AA174" s="119" t="n">
        <f aca="false">SUMIFS(tabela_registros[VALOR],tabela_registros[MÊS],$AE$1,tabela_registros[DIA],reservafixaconsolidadoset[[#Headers],[23]],tabela_registros[REGISTRO],DADOS!$N$6,tabela_registros[TIPO],DADOS!$AJ$3,tabela_registros[CATEGORIA],reservafixaconsolidadoset[[#This Row],[ATUAL]])</f>
        <v>0</v>
      </c>
      <c r="AB174" s="119" t="n">
        <f aca="false">SUMIFS(tabela_registros[VALOR],tabela_registros[MÊS],$AE$1,tabela_registros[DIA],reservafixaconsolidadoset[[#Headers],[24]],tabela_registros[REGISTRO],DADOS!$N$6,tabela_registros[TIPO],DADOS!$AJ$3,tabela_registros[CATEGORIA],reservafixaconsolidadoset[[#This Row],[ATUAL]])</f>
        <v>0</v>
      </c>
      <c r="AC174" s="119" t="n">
        <f aca="false">SUMIFS(tabela_registros[VALOR],tabela_registros[MÊS],$AE$1,tabela_registros[DIA],reservafixaconsolidadoset[[#Headers],[25]],tabela_registros[REGISTRO],DADOS!$N$6,tabela_registros[TIPO],DADOS!$AJ$3,tabela_registros[CATEGORIA],reservafixaconsolidadoset[[#This Row],[ATUAL]])</f>
        <v>0</v>
      </c>
      <c r="AD174" s="119" t="n">
        <f aca="false">SUMIFS(tabela_registros[VALOR],tabela_registros[MÊS],$AE$1,tabela_registros[DIA],reservafixaconsolidadoset[[#Headers],[26]],tabela_registros[REGISTRO],DADOS!$N$6,tabela_registros[TIPO],DADOS!$AJ$3,tabela_registros[CATEGORIA],reservafixaconsolidadoset[[#This Row],[ATUAL]])</f>
        <v>0</v>
      </c>
      <c r="AE174" s="119" t="n">
        <f aca="false">SUMIFS(tabela_registros[VALOR],tabela_registros[MÊS],$AE$1,tabela_registros[DIA],reservafixaconsolidadoset[[#Headers],[27]],tabela_registros[REGISTRO],DADOS!$N$6,tabela_registros[TIPO],DADOS!$AJ$3,tabela_registros[CATEGORIA],reservafixaconsolidadoset[[#This Row],[ATUAL]])</f>
        <v>0</v>
      </c>
      <c r="AF174" s="119" t="n">
        <f aca="false">SUMIFS(tabela_registros[VALOR],tabela_registros[MÊS],$AE$1,tabela_registros[DIA],reservafixaconsolidadoset[[#Headers],[28]],tabela_registros[REGISTRO],DADOS!$N$6,tabela_registros[TIPO],DADOS!$AJ$3,tabela_registros[CATEGORIA],reservafixaconsolidadoset[[#This Row],[ATUAL]])</f>
        <v>0</v>
      </c>
      <c r="AG174" s="119" t="n">
        <f aca="false">SUMIFS(tabela_registros[VALOR],tabela_registros[MÊS],$AE$1,tabela_registros[DIA],reservafixaconsolidadoset[[#Headers],[29]],tabela_registros[REGISTRO],DADOS!$N$6,tabela_registros[TIPO],DADOS!$AJ$3,tabela_registros[CATEGORIA],reservafixaconsolidadoset[[#This Row],[ATUAL]])</f>
        <v>0</v>
      </c>
      <c r="AH174" s="119" t="n">
        <f aca="false">SUMIFS(tabela_registros[VALOR],tabela_registros[MÊS],$AE$1,tabela_registros[DIA],reservafixaconsolidadoset[[#Headers],[30]],tabela_registros[REGISTRO],DADOS!$N$6,tabela_registros[TIPO],DADOS!$AJ$3,tabela_registros[CATEGORIA],reservafixaconsolidadoset[[#This Row],[ATUAL]])</f>
        <v>0</v>
      </c>
      <c r="AI174" s="217" t="n">
        <f aca="false">SUMIFS(tabela_registros[VALOR],tabela_registros[MÊS],$AE$1,tabela_registros[DIA],reservafixaconsolidadoset[[#Headers],[31]],tabela_registros[REGISTRO],DADOS!$N$6,tabela_registros[TIPO],DADOS!$AJ$3,tabela_registros[CATEGORIA],reservafixaconsolidadoset[[#This Row],[ATUAL]])</f>
        <v>0</v>
      </c>
      <c r="AJ174" s="149" t="n">
        <f aca="false">SUM(reservafixaconsolidadoset[[#This Row],[1]:[31]])</f>
        <v>0</v>
      </c>
      <c r="AK174" s="165"/>
    </row>
    <row r="175" customFormat="false" ht="19.5" hidden="false" customHeight="true" outlineLevel="0" collapsed="false">
      <c r="B175" s="143"/>
      <c r="C175" s="144" t="str">
        <f aca="false">DADOS!$AL$10</f>
        <v>📝 LCI</v>
      </c>
      <c r="D175" s="145" t="str">
        <f aca="false">IF(reservafixaconsolidadoset[[#This Row],[TOTAL (R$)]]=0,"",IF(OR(reservafixaconsolidadoset[[#This Row],[TOTAL (R$)]]=LARGE($AJ$168:$AJ$177,1),reservafixaconsolidadoset[[#This Row],[TOTAL (R$)]]=LARGE($AJ$168:$AJ$177,2)),DADOS!$I$11,""))</f>
        <v/>
      </c>
      <c r="E175" s="148" t="n">
        <f aca="false">SUMIFS(tabela_registros[VALOR],tabela_registros[MÊS],$AE$1,tabela_registros[DIA],reservafixaconsolidadoset[[#Headers],[1]],tabela_registros[REGISTRO],DADOS!$N$6,tabela_registros[TIPO],DADOS!$AJ$3,tabela_registros[CATEGORIA],reservafixaconsolidadoset[[#This Row],[ATUAL]])</f>
        <v>0</v>
      </c>
      <c r="F175" s="119" t="n">
        <f aca="false">SUMIFS(tabela_registros[VALOR],tabela_registros[MÊS],$AE$1,tabela_registros[DIA],reservafixaconsolidadoset[[#Headers],[2]],tabela_registros[REGISTRO],DADOS!$N$6,tabela_registros[TIPO],DADOS!$AJ$3,tabela_registros[CATEGORIA],reservafixaconsolidadoset[[#This Row],[ATUAL]])</f>
        <v>0</v>
      </c>
      <c r="G175" s="119" t="n">
        <f aca="false">SUMIFS(tabela_registros[VALOR],tabela_registros[MÊS],$AE$1,tabela_registros[DIA],reservafixaconsolidadoset[[#Headers],[3]],tabela_registros[REGISTRO],DADOS!$N$6,tabela_registros[TIPO],DADOS!$AJ$3,tabela_registros[CATEGORIA],reservafixaconsolidadoset[[#This Row],[ATUAL]])</f>
        <v>0</v>
      </c>
      <c r="H175" s="119" t="n">
        <f aca="false">SUMIFS(tabela_registros[VALOR],tabela_registros[MÊS],$AE$1,tabela_registros[DIA],reservafixaconsolidadoset[[#Headers],[4]],tabela_registros[REGISTRO],DADOS!$N$6,tabela_registros[TIPO],DADOS!$AJ$3,tabela_registros[CATEGORIA],reservafixaconsolidadoset[[#This Row],[ATUAL]])</f>
        <v>0</v>
      </c>
      <c r="I175" s="119" t="n">
        <f aca="false">SUMIFS(tabela_registros[VALOR],tabela_registros[MÊS],$AE$1,tabela_registros[DIA],reservafixaconsolidadoset[[#Headers],[5]],tabela_registros[REGISTRO],DADOS!$N$6,tabela_registros[TIPO],DADOS!$AJ$3,tabela_registros[CATEGORIA],reservafixaconsolidadoset[[#This Row],[ATUAL]])</f>
        <v>0</v>
      </c>
      <c r="J175" s="119" t="n">
        <f aca="false">SUMIFS(tabela_registros[VALOR],tabela_registros[MÊS],$AE$1,tabela_registros[DIA],reservafixaconsolidadoset[[#Headers],[6]],tabela_registros[REGISTRO],DADOS!$N$6,tabela_registros[TIPO],DADOS!$AJ$3,tabela_registros[CATEGORIA],reservafixaconsolidadoset[[#This Row],[ATUAL]])</f>
        <v>0</v>
      </c>
      <c r="K175" s="119" t="n">
        <f aca="false">SUMIFS(tabela_registros[VALOR],tabela_registros[MÊS],$AE$1,tabela_registros[DIA],reservafixaconsolidadoset[[#Headers],[7]],tabela_registros[REGISTRO],DADOS!$N$6,tabela_registros[TIPO],DADOS!$AJ$3,tabela_registros[CATEGORIA],reservafixaconsolidadoset[[#This Row],[ATUAL]])</f>
        <v>0</v>
      </c>
      <c r="L175" s="119" t="n">
        <f aca="false">SUMIFS(tabela_registros[VALOR],tabela_registros[MÊS],$AE$1,tabela_registros[DIA],reservafixaconsolidadoset[[#Headers],[8]],tabela_registros[REGISTRO],DADOS!$N$6,tabela_registros[TIPO],DADOS!$AJ$3,tabela_registros[CATEGORIA],reservafixaconsolidadoset[[#This Row],[ATUAL]])</f>
        <v>0</v>
      </c>
      <c r="M175" s="119" t="n">
        <f aca="false">SUMIFS(tabela_registros[VALOR],tabela_registros[MÊS],$AE$1,tabela_registros[DIA],reservafixaconsolidadoset[[#Headers],[9]],tabela_registros[REGISTRO],DADOS!$N$6,tabela_registros[TIPO],DADOS!$AJ$3,tabela_registros[CATEGORIA],reservafixaconsolidadoset[[#This Row],[ATUAL]])</f>
        <v>0</v>
      </c>
      <c r="N175" s="119" t="n">
        <f aca="false">SUMIFS(tabela_registros[VALOR],tabela_registros[MÊS],$AE$1,tabela_registros[DIA],reservafixaconsolidadoset[[#Headers],[10]],tabela_registros[REGISTRO],DADOS!$N$6,tabela_registros[TIPO],DADOS!$AJ$3,tabela_registros[CATEGORIA],reservafixaconsolidadoset[[#This Row],[ATUAL]])</f>
        <v>0</v>
      </c>
      <c r="O175" s="119" t="n">
        <f aca="false">SUMIFS(tabela_registros[VALOR],tabela_registros[MÊS],$AE$1,tabela_registros[DIA],reservafixaconsolidadoset[[#Headers],[11]],tabela_registros[REGISTRO],DADOS!$N$6,tabela_registros[TIPO],DADOS!$AJ$3,tabela_registros[CATEGORIA],reservafixaconsolidadoset[[#This Row],[ATUAL]])</f>
        <v>0</v>
      </c>
      <c r="P175" s="119" t="n">
        <f aca="false">SUMIFS(tabela_registros[VALOR],tabela_registros[MÊS],$AE$1,tabela_registros[DIA],reservafixaconsolidadoset[[#Headers],[12]],tabela_registros[REGISTRO],DADOS!$N$6,tabela_registros[TIPO],DADOS!$AJ$3,tabela_registros[CATEGORIA],reservafixaconsolidadoset[[#This Row],[ATUAL]])</f>
        <v>0</v>
      </c>
      <c r="Q175" s="119" t="n">
        <f aca="false">SUMIFS(tabela_registros[VALOR],tabela_registros[MÊS],$AE$1,tabela_registros[DIA],reservafixaconsolidadoset[[#Headers],[13]],tabela_registros[REGISTRO],DADOS!$N$6,tabela_registros[TIPO],DADOS!$AJ$3,tabela_registros[CATEGORIA],reservafixaconsolidadoset[[#This Row],[ATUAL]])</f>
        <v>0</v>
      </c>
      <c r="R175" s="119" t="n">
        <f aca="false">SUMIFS(tabela_registros[VALOR],tabela_registros[MÊS],$AE$1,tabela_registros[DIA],reservafixaconsolidadoset[[#Headers],[14]],tabela_registros[REGISTRO],DADOS!$N$6,tabela_registros[TIPO],DADOS!$AJ$3,tabela_registros[CATEGORIA],reservafixaconsolidadoset[[#This Row],[ATUAL]])</f>
        <v>0</v>
      </c>
      <c r="S175" s="119" t="n">
        <f aca="false">SUMIFS(tabela_registros[VALOR],tabela_registros[MÊS],$AE$1,tabela_registros[DIA],reservafixaconsolidadoset[[#Headers],[15]],tabela_registros[REGISTRO],DADOS!$N$6,tabela_registros[TIPO],DADOS!$AJ$3,tabela_registros[CATEGORIA],reservafixaconsolidadoset[[#This Row],[ATUAL]])</f>
        <v>0</v>
      </c>
      <c r="T175" s="119" t="n">
        <f aca="false">SUMIFS(tabela_registros[VALOR],tabela_registros[MÊS],$AE$1,tabela_registros[DIA],reservafixaconsolidadoset[[#Headers],[16]],tabela_registros[REGISTRO],DADOS!$N$6,tabela_registros[TIPO],DADOS!$AJ$3,tabela_registros[CATEGORIA],reservafixaconsolidadoset[[#This Row],[ATUAL]])</f>
        <v>0</v>
      </c>
      <c r="U175" s="119" t="n">
        <f aca="false">SUMIFS(tabela_registros[VALOR],tabela_registros[MÊS],$AE$1,tabela_registros[DIA],reservafixaconsolidadoset[[#Headers],[17]],tabela_registros[REGISTRO],DADOS!$N$6,tabela_registros[TIPO],DADOS!$AJ$3,tabela_registros[CATEGORIA],reservafixaconsolidadoset[[#This Row],[ATUAL]])</f>
        <v>0</v>
      </c>
      <c r="V175" s="119" t="n">
        <f aca="false">SUMIFS(tabela_registros[VALOR],tabela_registros[MÊS],$AE$1,tabela_registros[DIA],reservafixaconsolidadoset[[#Headers],[18]],tabela_registros[REGISTRO],DADOS!$N$6,tabela_registros[TIPO],DADOS!$AJ$3,tabela_registros[CATEGORIA],reservafixaconsolidadoset[[#This Row],[ATUAL]])</f>
        <v>0</v>
      </c>
      <c r="W175" s="119" t="n">
        <f aca="false">SUMIFS(tabela_registros[VALOR],tabela_registros[MÊS],$AE$1,tabela_registros[DIA],reservafixaconsolidadoset[[#Headers],[19]],tabela_registros[REGISTRO],DADOS!$N$6,tabela_registros[TIPO],DADOS!$AJ$3,tabela_registros[CATEGORIA],reservafixaconsolidadoset[[#This Row],[ATUAL]])</f>
        <v>0</v>
      </c>
      <c r="X175" s="119" t="n">
        <f aca="false">SUMIFS(tabela_registros[VALOR],tabela_registros[MÊS],$AE$1,tabela_registros[DIA],reservafixaconsolidadoset[[#Headers],[20]],tabela_registros[REGISTRO],DADOS!$N$6,tabela_registros[TIPO],DADOS!$AJ$3,tabela_registros[CATEGORIA],reservafixaconsolidadoset[[#This Row],[ATUAL]])</f>
        <v>0</v>
      </c>
      <c r="Y175" s="119" t="n">
        <f aca="false">SUMIFS(tabela_registros[VALOR],tabela_registros[MÊS],$AE$1,tabela_registros[DIA],reservafixaconsolidadoset[[#Headers],[21]],tabela_registros[REGISTRO],DADOS!$N$6,tabela_registros[TIPO],DADOS!$AJ$3,tabela_registros[CATEGORIA],reservafixaconsolidadoset[[#This Row],[ATUAL]])</f>
        <v>0</v>
      </c>
      <c r="Z175" s="119" t="n">
        <f aca="false">SUMIFS(tabela_registros[VALOR],tabela_registros[MÊS],$AE$1,tabela_registros[DIA],reservafixaconsolidadoset[[#Headers],[22]],tabela_registros[REGISTRO],DADOS!$N$6,tabela_registros[TIPO],DADOS!$AJ$3,tabela_registros[CATEGORIA],reservafixaconsolidadoset[[#This Row],[ATUAL]])</f>
        <v>0</v>
      </c>
      <c r="AA175" s="119" t="n">
        <f aca="false">SUMIFS(tabela_registros[VALOR],tabela_registros[MÊS],$AE$1,tabela_registros[DIA],reservafixaconsolidadoset[[#Headers],[23]],tabela_registros[REGISTRO],DADOS!$N$6,tabela_registros[TIPO],DADOS!$AJ$3,tabela_registros[CATEGORIA],reservafixaconsolidadoset[[#This Row],[ATUAL]])</f>
        <v>0</v>
      </c>
      <c r="AB175" s="119" t="n">
        <f aca="false">SUMIFS(tabela_registros[VALOR],tabela_registros[MÊS],$AE$1,tabela_registros[DIA],reservafixaconsolidadoset[[#Headers],[24]],tabela_registros[REGISTRO],DADOS!$N$6,tabela_registros[TIPO],DADOS!$AJ$3,tabela_registros[CATEGORIA],reservafixaconsolidadoset[[#This Row],[ATUAL]])</f>
        <v>0</v>
      </c>
      <c r="AC175" s="119" t="n">
        <f aca="false">SUMIFS(tabela_registros[VALOR],tabela_registros[MÊS],$AE$1,tabela_registros[DIA],reservafixaconsolidadoset[[#Headers],[25]],tabela_registros[REGISTRO],DADOS!$N$6,tabela_registros[TIPO],DADOS!$AJ$3,tabela_registros[CATEGORIA],reservafixaconsolidadoset[[#This Row],[ATUAL]])</f>
        <v>0</v>
      </c>
      <c r="AD175" s="119" t="n">
        <f aca="false">SUMIFS(tabela_registros[VALOR],tabela_registros[MÊS],$AE$1,tabela_registros[DIA],reservafixaconsolidadoset[[#Headers],[26]],tabela_registros[REGISTRO],DADOS!$N$6,tabela_registros[TIPO],DADOS!$AJ$3,tabela_registros[CATEGORIA],reservafixaconsolidadoset[[#This Row],[ATUAL]])</f>
        <v>0</v>
      </c>
      <c r="AE175" s="119" t="n">
        <f aca="false">SUMIFS(tabela_registros[VALOR],tabela_registros[MÊS],$AE$1,tabela_registros[DIA],reservafixaconsolidadoset[[#Headers],[27]],tabela_registros[REGISTRO],DADOS!$N$6,tabela_registros[TIPO],DADOS!$AJ$3,tabela_registros[CATEGORIA],reservafixaconsolidadoset[[#This Row],[ATUAL]])</f>
        <v>0</v>
      </c>
      <c r="AF175" s="119" t="n">
        <f aca="false">SUMIFS(tabela_registros[VALOR],tabela_registros[MÊS],$AE$1,tabela_registros[DIA],reservafixaconsolidadoset[[#Headers],[28]],tabela_registros[REGISTRO],DADOS!$N$6,tabela_registros[TIPO],DADOS!$AJ$3,tabela_registros[CATEGORIA],reservafixaconsolidadoset[[#This Row],[ATUAL]])</f>
        <v>0</v>
      </c>
      <c r="AG175" s="119" t="n">
        <f aca="false">SUMIFS(tabela_registros[VALOR],tabela_registros[MÊS],$AE$1,tabela_registros[DIA],reservafixaconsolidadoset[[#Headers],[29]],tabela_registros[REGISTRO],DADOS!$N$6,tabela_registros[TIPO],DADOS!$AJ$3,tabela_registros[CATEGORIA],reservafixaconsolidadoset[[#This Row],[ATUAL]])</f>
        <v>0</v>
      </c>
      <c r="AH175" s="119" t="n">
        <f aca="false">SUMIFS(tabela_registros[VALOR],tabela_registros[MÊS],$AE$1,tabela_registros[DIA],reservafixaconsolidadoset[[#Headers],[30]],tabela_registros[REGISTRO],DADOS!$N$6,tabela_registros[TIPO],DADOS!$AJ$3,tabela_registros[CATEGORIA],reservafixaconsolidadoset[[#This Row],[ATUAL]])</f>
        <v>0</v>
      </c>
      <c r="AI175" s="217" t="n">
        <f aca="false">SUMIFS(tabela_registros[VALOR],tabela_registros[MÊS],$AE$1,tabela_registros[DIA],reservafixaconsolidadoset[[#Headers],[31]],tabela_registros[REGISTRO],DADOS!$N$6,tabela_registros[TIPO],DADOS!$AJ$3,tabela_registros[CATEGORIA],reservafixaconsolidadoset[[#This Row],[ATUAL]])</f>
        <v>0</v>
      </c>
      <c r="AJ175" s="149" t="n">
        <f aca="false">SUM(reservafixaconsolidadoset[[#This Row],[1]:[31]])</f>
        <v>0</v>
      </c>
      <c r="AK175" s="165"/>
    </row>
    <row r="176" customFormat="false" ht="19.5" hidden="false" customHeight="true" outlineLevel="0" collapsed="false">
      <c r="B176" s="143"/>
      <c r="C176" s="144" t="str">
        <f aca="false">DADOS!$AL$11</f>
        <v>📝 TESOURO DIRETO</v>
      </c>
      <c r="D176" s="145" t="str">
        <f aca="false">IF(reservafixaconsolidadoset[[#This Row],[TOTAL (R$)]]=0,"",IF(OR(reservafixaconsolidadoset[[#This Row],[TOTAL (R$)]]=LARGE($AJ$168:$AJ$177,1),reservafixaconsolidadoset[[#This Row],[TOTAL (R$)]]=LARGE($AJ$168:$AJ$177,2)),DADOS!$I$11,""))</f>
        <v/>
      </c>
      <c r="E176" s="148" t="n">
        <f aca="false">SUMIFS(tabela_registros[VALOR],tabela_registros[MÊS],$AE$1,tabela_registros[DIA],reservafixaconsolidadoset[[#Headers],[1]],tabela_registros[REGISTRO],DADOS!$N$6,tabela_registros[TIPO],DADOS!$AJ$3,tabela_registros[CATEGORIA],reservafixaconsolidadoset[[#This Row],[ATUAL]])</f>
        <v>0</v>
      </c>
      <c r="F176" s="119" t="n">
        <f aca="false">SUMIFS(tabela_registros[VALOR],tabela_registros[MÊS],$AE$1,tabela_registros[DIA],reservafixaconsolidadoset[[#Headers],[2]],tabela_registros[REGISTRO],DADOS!$N$6,tabela_registros[TIPO],DADOS!$AJ$3,tabela_registros[CATEGORIA],reservafixaconsolidadoset[[#This Row],[ATUAL]])</f>
        <v>0</v>
      </c>
      <c r="G176" s="119" t="n">
        <f aca="false">SUMIFS(tabela_registros[VALOR],tabela_registros[MÊS],$AE$1,tabela_registros[DIA],reservafixaconsolidadoset[[#Headers],[3]],tabela_registros[REGISTRO],DADOS!$N$6,tabela_registros[TIPO],DADOS!$AJ$3,tabela_registros[CATEGORIA],reservafixaconsolidadoset[[#This Row],[ATUAL]])</f>
        <v>0</v>
      </c>
      <c r="H176" s="119" t="n">
        <f aca="false">SUMIFS(tabela_registros[VALOR],tabela_registros[MÊS],$AE$1,tabela_registros[DIA],reservafixaconsolidadoset[[#Headers],[4]],tabela_registros[REGISTRO],DADOS!$N$6,tabela_registros[TIPO],DADOS!$AJ$3,tabela_registros[CATEGORIA],reservafixaconsolidadoset[[#This Row],[ATUAL]])</f>
        <v>0</v>
      </c>
      <c r="I176" s="119" t="n">
        <f aca="false">SUMIFS(tabela_registros[VALOR],tabela_registros[MÊS],$AE$1,tabela_registros[DIA],reservafixaconsolidadoset[[#Headers],[5]],tabela_registros[REGISTRO],DADOS!$N$6,tabela_registros[TIPO],DADOS!$AJ$3,tabela_registros[CATEGORIA],reservafixaconsolidadoset[[#This Row],[ATUAL]])</f>
        <v>0</v>
      </c>
      <c r="J176" s="119" t="n">
        <f aca="false">SUMIFS(tabela_registros[VALOR],tabela_registros[MÊS],$AE$1,tabela_registros[DIA],reservafixaconsolidadoset[[#Headers],[6]],tabela_registros[REGISTRO],DADOS!$N$6,tabela_registros[TIPO],DADOS!$AJ$3,tabela_registros[CATEGORIA],reservafixaconsolidadoset[[#This Row],[ATUAL]])</f>
        <v>0</v>
      </c>
      <c r="K176" s="119" t="n">
        <f aca="false">SUMIFS(tabela_registros[VALOR],tabela_registros[MÊS],$AE$1,tabela_registros[DIA],reservafixaconsolidadoset[[#Headers],[7]],tabela_registros[REGISTRO],DADOS!$N$6,tabela_registros[TIPO],DADOS!$AJ$3,tabela_registros[CATEGORIA],reservafixaconsolidadoset[[#This Row],[ATUAL]])</f>
        <v>0</v>
      </c>
      <c r="L176" s="119" t="n">
        <f aca="false">SUMIFS(tabela_registros[VALOR],tabela_registros[MÊS],$AE$1,tabela_registros[DIA],reservafixaconsolidadoset[[#Headers],[8]],tabela_registros[REGISTRO],DADOS!$N$6,tabela_registros[TIPO],DADOS!$AJ$3,tabela_registros[CATEGORIA],reservafixaconsolidadoset[[#This Row],[ATUAL]])</f>
        <v>0</v>
      </c>
      <c r="M176" s="119" t="n">
        <f aca="false">SUMIFS(tabela_registros[VALOR],tabela_registros[MÊS],$AE$1,tabela_registros[DIA],reservafixaconsolidadoset[[#Headers],[9]],tabela_registros[REGISTRO],DADOS!$N$6,tabela_registros[TIPO],DADOS!$AJ$3,tabela_registros[CATEGORIA],reservafixaconsolidadoset[[#This Row],[ATUAL]])</f>
        <v>0</v>
      </c>
      <c r="N176" s="119" t="n">
        <f aca="false">SUMIFS(tabela_registros[VALOR],tabela_registros[MÊS],$AE$1,tabela_registros[DIA],reservafixaconsolidadoset[[#Headers],[10]],tabela_registros[REGISTRO],DADOS!$N$6,tabela_registros[TIPO],DADOS!$AJ$3,tabela_registros[CATEGORIA],reservafixaconsolidadoset[[#This Row],[ATUAL]])</f>
        <v>0</v>
      </c>
      <c r="O176" s="119" t="n">
        <f aca="false">SUMIFS(tabela_registros[VALOR],tabela_registros[MÊS],$AE$1,tabela_registros[DIA],reservafixaconsolidadoset[[#Headers],[11]],tabela_registros[REGISTRO],DADOS!$N$6,tabela_registros[TIPO],DADOS!$AJ$3,tabela_registros[CATEGORIA],reservafixaconsolidadoset[[#This Row],[ATUAL]])</f>
        <v>0</v>
      </c>
      <c r="P176" s="119" t="n">
        <f aca="false">SUMIFS(tabela_registros[VALOR],tabela_registros[MÊS],$AE$1,tabela_registros[DIA],reservafixaconsolidadoset[[#Headers],[12]],tabela_registros[REGISTRO],DADOS!$N$6,tabela_registros[TIPO],DADOS!$AJ$3,tabela_registros[CATEGORIA],reservafixaconsolidadoset[[#This Row],[ATUAL]])</f>
        <v>0</v>
      </c>
      <c r="Q176" s="119" t="n">
        <f aca="false">SUMIFS(tabela_registros[VALOR],tabela_registros[MÊS],$AE$1,tabela_registros[DIA],reservafixaconsolidadoset[[#Headers],[13]],tabela_registros[REGISTRO],DADOS!$N$6,tabela_registros[TIPO],DADOS!$AJ$3,tabela_registros[CATEGORIA],reservafixaconsolidadoset[[#This Row],[ATUAL]])</f>
        <v>0</v>
      </c>
      <c r="R176" s="119" t="n">
        <f aca="false">SUMIFS(tabela_registros[VALOR],tabela_registros[MÊS],$AE$1,tabela_registros[DIA],reservafixaconsolidadoset[[#Headers],[14]],tabela_registros[REGISTRO],DADOS!$N$6,tabela_registros[TIPO],DADOS!$AJ$3,tabela_registros[CATEGORIA],reservafixaconsolidadoset[[#This Row],[ATUAL]])</f>
        <v>0</v>
      </c>
      <c r="S176" s="119" t="n">
        <f aca="false">SUMIFS(tabela_registros[VALOR],tabela_registros[MÊS],$AE$1,tabela_registros[DIA],reservafixaconsolidadoset[[#Headers],[15]],tabela_registros[REGISTRO],DADOS!$N$6,tabela_registros[TIPO],DADOS!$AJ$3,tabela_registros[CATEGORIA],reservafixaconsolidadoset[[#This Row],[ATUAL]])</f>
        <v>0</v>
      </c>
      <c r="T176" s="119" t="n">
        <f aca="false">SUMIFS(tabela_registros[VALOR],tabela_registros[MÊS],$AE$1,tabela_registros[DIA],reservafixaconsolidadoset[[#Headers],[16]],tabela_registros[REGISTRO],DADOS!$N$6,tabela_registros[TIPO],DADOS!$AJ$3,tabela_registros[CATEGORIA],reservafixaconsolidadoset[[#This Row],[ATUAL]])</f>
        <v>0</v>
      </c>
      <c r="U176" s="119" t="n">
        <f aca="false">SUMIFS(tabela_registros[VALOR],tabela_registros[MÊS],$AE$1,tabela_registros[DIA],reservafixaconsolidadoset[[#Headers],[17]],tabela_registros[REGISTRO],DADOS!$N$6,tabela_registros[TIPO],DADOS!$AJ$3,tabela_registros[CATEGORIA],reservafixaconsolidadoset[[#This Row],[ATUAL]])</f>
        <v>0</v>
      </c>
      <c r="V176" s="119" t="n">
        <f aca="false">SUMIFS(tabela_registros[VALOR],tabela_registros[MÊS],$AE$1,tabela_registros[DIA],reservafixaconsolidadoset[[#Headers],[18]],tabela_registros[REGISTRO],DADOS!$N$6,tabela_registros[TIPO],DADOS!$AJ$3,tabela_registros[CATEGORIA],reservafixaconsolidadoset[[#This Row],[ATUAL]])</f>
        <v>0</v>
      </c>
      <c r="W176" s="119" t="n">
        <f aca="false">SUMIFS(tabela_registros[VALOR],tabela_registros[MÊS],$AE$1,tabela_registros[DIA],reservafixaconsolidadoset[[#Headers],[19]],tabela_registros[REGISTRO],DADOS!$N$6,tabela_registros[TIPO],DADOS!$AJ$3,tabela_registros[CATEGORIA],reservafixaconsolidadoset[[#This Row],[ATUAL]])</f>
        <v>0</v>
      </c>
      <c r="X176" s="119" t="n">
        <f aca="false">SUMIFS(tabela_registros[VALOR],tabela_registros[MÊS],$AE$1,tabela_registros[DIA],reservafixaconsolidadoset[[#Headers],[20]],tabela_registros[REGISTRO],DADOS!$N$6,tabela_registros[TIPO],DADOS!$AJ$3,tabela_registros[CATEGORIA],reservafixaconsolidadoset[[#This Row],[ATUAL]])</f>
        <v>0</v>
      </c>
      <c r="Y176" s="119" t="n">
        <f aca="false">SUMIFS(tabela_registros[VALOR],tabela_registros[MÊS],$AE$1,tabela_registros[DIA],reservafixaconsolidadoset[[#Headers],[21]],tabela_registros[REGISTRO],DADOS!$N$6,tabela_registros[TIPO],DADOS!$AJ$3,tabela_registros[CATEGORIA],reservafixaconsolidadoset[[#This Row],[ATUAL]])</f>
        <v>0</v>
      </c>
      <c r="Z176" s="119" t="n">
        <f aca="false">SUMIFS(tabela_registros[VALOR],tabela_registros[MÊS],$AE$1,tabela_registros[DIA],reservafixaconsolidadoset[[#Headers],[22]],tabela_registros[REGISTRO],DADOS!$N$6,tabela_registros[TIPO],DADOS!$AJ$3,tabela_registros[CATEGORIA],reservafixaconsolidadoset[[#This Row],[ATUAL]])</f>
        <v>0</v>
      </c>
      <c r="AA176" s="119" t="n">
        <f aca="false">SUMIFS(tabela_registros[VALOR],tabela_registros[MÊS],$AE$1,tabela_registros[DIA],reservafixaconsolidadoset[[#Headers],[23]],tabela_registros[REGISTRO],DADOS!$N$6,tabela_registros[TIPO],DADOS!$AJ$3,tabela_registros[CATEGORIA],reservafixaconsolidadoset[[#This Row],[ATUAL]])</f>
        <v>0</v>
      </c>
      <c r="AB176" s="119" t="n">
        <f aca="false">SUMIFS(tabela_registros[VALOR],tabela_registros[MÊS],$AE$1,tabela_registros[DIA],reservafixaconsolidadoset[[#Headers],[24]],tabela_registros[REGISTRO],DADOS!$N$6,tabela_registros[TIPO],DADOS!$AJ$3,tabela_registros[CATEGORIA],reservafixaconsolidadoset[[#This Row],[ATUAL]])</f>
        <v>0</v>
      </c>
      <c r="AC176" s="119" t="n">
        <f aca="false">SUMIFS(tabela_registros[VALOR],tabela_registros[MÊS],$AE$1,tabela_registros[DIA],reservafixaconsolidadoset[[#Headers],[25]],tabela_registros[REGISTRO],DADOS!$N$6,tabela_registros[TIPO],DADOS!$AJ$3,tabela_registros[CATEGORIA],reservafixaconsolidadoset[[#This Row],[ATUAL]])</f>
        <v>0</v>
      </c>
      <c r="AD176" s="119" t="n">
        <f aca="false">SUMIFS(tabela_registros[VALOR],tabela_registros[MÊS],$AE$1,tabela_registros[DIA],reservafixaconsolidadoset[[#Headers],[26]],tabela_registros[REGISTRO],DADOS!$N$6,tabela_registros[TIPO],DADOS!$AJ$3,tabela_registros[CATEGORIA],reservafixaconsolidadoset[[#This Row],[ATUAL]])</f>
        <v>0</v>
      </c>
      <c r="AE176" s="119" t="n">
        <f aca="false">SUMIFS(tabela_registros[VALOR],tabela_registros[MÊS],$AE$1,tabela_registros[DIA],reservafixaconsolidadoset[[#Headers],[27]],tabela_registros[REGISTRO],DADOS!$N$6,tabela_registros[TIPO],DADOS!$AJ$3,tabela_registros[CATEGORIA],reservafixaconsolidadoset[[#This Row],[ATUAL]])</f>
        <v>0</v>
      </c>
      <c r="AF176" s="119" t="n">
        <f aca="false">SUMIFS(tabela_registros[VALOR],tabela_registros[MÊS],$AE$1,tabela_registros[DIA],reservafixaconsolidadoset[[#Headers],[28]],tabela_registros[REGISTRO],DADOS!$N$6,tabela_registros[TIPO],DADOS!$AJ$3,tabela_registros[CATEGORIA],reservafixaconsolidadoset[[#This Row],[ATUAL]])</f>
        <v>0</v>
      </c>
      <c r="AG176" s="119" t="n">
        <f aca="false">SUMIFS(tabela_registros[VALOR],tabela_registros[MÊS],$AE$1,tabela_registros[DIA],reservafixaconsolidadoset[[#Headers],[29]],tabela_registros[REGISTRO],DADOS!$N$6,tabela_registros[TIPO],DADOS!$AJ$3,tabela_registros[CATEGORIA],reservafixaconsolidadoset[[#This Row],[ATUAL]])</f>
        <v>0</v>
      </c>
      <c r="AH176" s="119" t="n">
        <f aca="false">SUMIFS(tabela_registros[VALOR],tabela_registros[MÊS],$AE$1,tabela_registros[DIA],reservafixaconsolidadoset[[#Headers],[30]],tabela_registros[REGISTRO],DADOS!$N$6,tabela_registros[TIPO],DADOS!$AJ$3,tabela_registros[CATEGORIA],reservafixaconsolidadoset[[#This Row],[ATUAL]])</f>
        <v>0</v>
      </c>
      <c r="AI176" s="217" t="n">
        <f aca="false">SUMIFS(tabela_registros[VALOR],tabela_registros[MÊS],$AE$1,tabela_registros[DIA],reservafixaconsolidadoset[[#Headers],[31]],tabela_registros[REGISTRO],DADOS!$N$6,tabela_registros[TIPO],DADOS!$AJ$3,tabela_registros[CATEGORIA],reservafixaconsolidadoset[[#This Row],[ATUAL]])</f>
        <v>0</v>
      </c>
      <c r="AJ176" s="149" t="n">
        <f aca="false">SUM(reservafixaconsolidadoset[[#This Row],[1]:[31]])</f>
        <v>0</v>
      </c>
      <c r="AK176" s="165"/>
    </row>
    <row r="177" customFormat="false" ht="19.5" hidden="false" customHeight="true" outlineLevel="0" collapsed="false">
      <c r="B177" s="143"/>
      <c r="C177" s="144" t="str">
        <f aca="false">DADOS!$AL$12</f>
        <v>📎 OUTROS</v>
      </c>
      <c r="D177" s="145" t="str">
        <f aca="false">IF(reservafixaconsolidadoset[[#This Row],[TOTAL (R$)]]=0,"",IF(OR(reservafixaconsolidadoset[[#This Row],[TOTAL (R$)]]=LARGE($AJ$168:$AJ$177,1),reservafixaconsolidadoset[[#This Row],[TOTAL (R$)]]=LARGE($AJ$168:$AJ$177,2)),DADOS!$I$11,""))</f>
        <v/>
      </c>
      <c r="E177" s="148" t="n">
        <f aca="false">SUMIFS(tabela_registros[VALOR],tabela_registros[MÊS],$AE$1,tabela_registros[DIA],reservafixaconsolidadoset[[#Headers],[1]],tabela_registros[REGISTRO],DADOS!$N$6,tabela_registros[TIPO],DADOS!$AJ$3,tabela_registros[CATEGORIA],reservafixaconsolidadoset[[#This Row],[ATUAL]])</f>
        <v>0</v>
      </c>
      <c r="F177" s="119" t="n">
        <f aca="false">SUMIFS(tabela_registros[VALOR],tabela_registros[MÊS],$AE$1,tabela_registros[DIA],reservafixaconsolidadoset[[#Headers],[2]],tabela_registros[REGISTRO],DADOS!$N$6,tabela_registros[TIPO],DADOS!$AJ$3,tabela_registros[CATEGORIA],reservafixaconsolidadoset[[#This Row],[ATUAL]])</f>
        <v>0</v>
      </c>
      <c r="G177" s="119" t="n">
        <f aca="false">SUMIFS(tabela_registros[VALOR],tabela_registros[MÊS],$AE$1,tabela_registros[DIA],reservafixaconsolidadoset[[#Headers],[3]],tabela_registros[REGISTRO],DADOS!$N$6,tabela_registros[TIPO],DADOS!$AJ$3,tabela_registros[CATEGORIA],reservafixaconsolidadoset[[#This Row],[ATUAL]])</f>
        <v>0</v>
      </c>
      <c r="H177" s="119" t="n">
        <f aca="false">SUMIFS(tabela_registros[VALOR],tabela_registros[MÊS],$AE$1,tabela_registros[DIA],reservafixaconsolidadoset[[#Headers],[4]],tabela_registros[REGISTRO],DADOS!$N$6,tabela_registros[TIPO],DADOS!$AJ$3,tabela_registros[CATEGORIA],reservafixaconsolidadoset[[#This Row],[ATUAL]])</f>
        <v>0</v>
      </c>
      <c r="I177" s="119" t="n">
        <f aca="false">SUMIFS(tabela_registros[VALOR],tabela_registros[MÊS],$AE$1,tabela_registros[DIA],reservafixaconsolidadoset[[#Headers],[5]],tabela_registros[REGISTRO],DADOS!$N$6,tabela_registros[TIPO],DADOS!$AJ$3,tabela_registros[CATEGORIA],reservafixaconsolidadoset[[#This Row],[ATUAL]])</f>
        <v>0</v>
      </c>
      <c r="J177" s="119" t="n">
        <f aca="false">SUMIFS(tabela_registros[VALOR],tabela_registros[MÊS],$AE$1,tabela_registros[DIA],reservafixaconsolidadoset[[#Headers],[6]],tabela_registros[REGISTRO],DADOS!$N$6,tabela_registros[TIPO],DADOS!$AJ$3,tabela_registros[CATEGORIA],reservafixaconsolidadoset[[#This Row],[ATUAL]])</f>
        <v>0</v>
      </c>
      <c r="K177" s="119" t="n">
        <f aca="false">SUMIFS(tabela_registros[VALOR],tabela_registros[MÊS],$AE$1,tabela_registros[DIA],reservafixaconsolidadoset[[#Headers],[7]],tabela_registros[REGISTRO],DADOS!$N$6,tabela_registros[TIPO],DADOS!$AJ$3,tabela_registros[CATEGORIA],reservafixaconsolidadoset[[#This Row],[ATUAL]])</f>
        <v>0</v>
      </c>
      <c r="L177" s="119" t="n">
        <f aca="false">SUMIFS(tabela_registros[VALOR],tabela_registros[MÊS],$AE$1,tabela_registros[DIA],reservafixaconsolidadoset[[#Headers],[8]],tabela_registros[REGISTRO],DADOS!$N$6,tabela_registros[TIPO],DADOS!$AJ$3,tabela_registros[CATEGORIA],reservafixaconsolidadoset[[#This Row],[ATUAL]])</f>
        <v>0</v>
      </c>
      <c r="M177" s="119" t="n">
        <f aca="false">SUMIFS(tabela_registros[VALOR],tabela_registros[MÊS],$AE$1,tabela_registros[DIA],reservafixaconsolidadoset[[#Headers],[9]],tabela_registros[REGISTRO],DADOS!$N$6,tabela_registros[TIPO],DADOS!$AJ$3,tabela_registros[CATEGORIA],reservafixaconsolidadoset[[#This Row],[ATUAL]])</f>
        <v>0</v>
      </c>
      <c r="N177" s="119" t="n">
        <f aca="false">SUMIFS(tabela_registros[VALOR],tabela_registros[MÊS],$AE$1,tabela_registros[DIA],reservafixaconsolidadoset[[#Headers],[10]],tabela_registros[REGISTRO],DADOS!$N$6,tabela_registros[TIPO],DADOS!$AJ$3,tabela_registros[CATEGORIA],reservafixaconsolidadoset[[#This Row],[ATUAL]])</f>
        <v>0</v>
      </c>
      <c r="O177" s="119" t="n">
        <f aca="false">SUMIFS(tabela_registros[VALOR],tabela_registros[MÊS],$AE$1,tabela_registros[DIA],reservafixaconsolidadoset[[#Headers],[11]],tabela_registros[REGISTRO],DADOS!$N$6,tabela_registros[TIPO],DADOS!$AJ$3,tabela_registros[CATEGORIA],reservafixaconsolidadoset[[#This Row],[ATUAL]])</f>
        <v>0</v>
      </c>
      <c r="P177" s="119" t="n">
        <f aca="false">SUMIFS(tabela_registros[VALOR],tabela_registros[MÊS],$AE$1,tabela_registros[DIA],reservafixaconsolidadoset[[#Headers],[12]],tabela_registros[REGISTRO],DADOS!$N$6,tabela_registros[TIPO],DADOS!$AJ$3,tabela_registros[CATEGORIA],reservafixaconsolidadoset[[#This Row],[ATUAL]])</f>
        <v>0</v>
      </c>
      <c r="Q177" s="119" t="n">
        <f aca="false">SUMIFS(tabela_registros[VALOR],tabela_registros[MÊS],$AE$1,tabela_registros[DIA],reservafixaconsolidadoset[[#Headers],[13]],tabela_registros[REGISTRO],DADOS!$N$6,tabela_registros[TIPO],DADOS!$AJ$3,tabela_registros[CATEGORIA],reservafixaconsolidadoset[[#This Row],[ATUAL]])</f>
        <v>0</v>
      </c>
      <c r="R177" s="119" t="n">
        <f aca="false">SUMIFS(tabela_registros[VALOR],tabela_registros[MÊS],$AE$1,tabela_registros[DIA],reservafixaconsolidadoset[[#Headers],[14]],tabela_registros[REGISTRO],DADOS!$N$6,tabela_registros[TIPO],DADOS!$AJ$3,tabela_registros[CATEGORIA],reservafixaconsolidadoset[[#This Row],[ATUAL]])</f>
        <v>0</v>
      </c>
      <c r="S177" s="119" t="n">
        <f aca="false">SUMIFS(tabela_registros[VALOR],tabela_registros[MÊS],$AE$1,tabela_registros[DIA],reservafixaconsolidadoset[[#Headers],[15]],tabela_registros[REGISTRO],DADOS!$N$6,tabela_registros[TIPO],DADOS!$AJ$3,tabela_registros[CATEGORIA],reservafixaconsolidadoset[[#This Row],[ATUAL]])</f>
        <v>0</v>
      </c>
      <c r="T177" s="119" t="n">
        <f aca="false">SUMIFS(tabela_registros[VALOR],tabela_registros[MÊS],$AE$1,tabela_registros[DIA],reservafixaconsolidadoset[[#Headers],[16]],tabela_registros[REGISTRO],DADOS!$N$6,tabela_registros[TIPO],DADOS!$AJ$3,tabela_registros[CATEGORIA],reservafixaconsolidadoset[[#This Row],[ATUAL]])</f>
        <v>0</v>
      </c>
      <c r="U177" s="119" t="n">
        <f aca="false">SUMIFS(tabela_registros[VALOR],tabela_registros[MÊS],$AE$1,tabela_registros[DIA],reservafixaconsolidadoset[[#Headers],[17]],tabela_registros[REGISTRO],DADOS!$N$6,tabela_registros[TIPO],DADOS!$AJ$3,tabela_registros[CATEGORIA],reservafixaconsolidadoset[[#This Row],[ATUAL]])</f>
        <v>0</v>
      </c>
      <c r="V177" s="119" t="n">
        <f aca="false">SUMIFS(tabela_registros[VALOR],tabela_registros[MÊS],$AE$1,tabela_registros[DIA],reservafixaconsolidadoset[[#Headers],[18]],tabela_registros[REGISTRO],DADOS!$N$6,tabela_registros[TIPO],DADOS!$AJ$3,tabela_registros[CATEGORIA],reservafixaconsolidadoset[[#This Row],[ATUAL]])</f>
        <v>0</v>
      </c>
      <c r="W177" s="119" t="n">
        <f aca="false">SUMIFS(tabela_registros[VALOR],tabela_registros[MÊS],$AE$1,tabela_registros[DIA],reservafixaconsolidadoset[[#Headers],[19]],tabela_registros[REGISTRO],DADOS!$N$6,tabela_registros[TIPO],DADOS!$AJ$3,tabela_registros[CATEGORIA],reservafixaconsolidadoset[[#This Row],[ATUAL]])</f>
        <v>0</v>
      </c>
      <c r="X177" s="119" t="n">
        <f aca="false">SUMIFS(tabela_registros[VALOR],tabela_registros[MÊS],$AE$1,tabela_registros[DIA],reservafixaconsolidadoset[[#Headers],[20]],tabela_registros[REGISTRO],DADOS!$N$6,tabela_registros[TIPO],DADOS!$AJ$3,tabela_registros[CATEGORIA],reservafixaconsolidadoset[[#This Row],[ATUAL]])</f>
        <v>0</v>
      </c>
      <c r="Y177" s="119" t="n">
        <f aca="false">SUMIFS(tabela_registros[VALOR],tabela_registros[MÊS],$AE$1,tabela_registros[DIA],reservafixaconsolidadoset[[#Headers],[21]],tabela_registros[REGISTRO],DADOS!$N$6,tabela_registros[TIPO],DADOS!$AJ$3,tabela_registros[CATEGORIA],reservafixaconsolidadoset[[#This Row],[ATUAL]])</f>
        <v>0</v>
      </c>
      <c r="Z177" s="119" t="n">
        <f aca="false">SUMIFS(tabela_registros[VALOR],tabela_registros[MÊS],$AE$1,tabela_registros[DIA],reservafixaconsolidadoset[[#Headers],[22]],tabela_registros[REGISTRO],DADOS!$N$6,tabela_registros[TIPO],DADOS!$AJ$3,tabela_registros[CATEGORIA],reservafixaconsolidadoset[[#This Row],[ATUAL]])</f>
        <v>0</v>
      </c>
      <c r="AA177" s="119" t="n">
        <f aca="false">SUMIFS(tabela_registros[VALOR],tabela_registros[MÊS],$AE$1,tabela_registros[DIA],reservafixaconsolidadoset[[#Headers],[23]],tabela_registros[REGISTRO],DADOS!$N$6,tabela_registros[TIPO],DADOS!$AJ$3,tabela_registros[CATEGORIA],reservafixaconsolidadoset[[#This Row],[ATUAL]])</f>
        <v>0</v>
      </c>
      <c r="AB177" s="119" t="n">
        <f aca="false">SUMIFS(tabela_registros[VALOR],tabela_registros[MÊS],$AE$1,tabela_registros[DIA],reservafixaconsolidadoset[[#Headers],[24]],tabela_registros[REGISTRO],DADOS!$N$6,tabela_registros[TIPO],DADOS!$AJ$3,tabela_registros[CATEGORIA],reservafixaconsolidadoset[[#This Row],[ATUAL]])</f>
        <v>0</v>
      </c>
      <c r="AC177" s="119" t="n">
        <f aca="false">SUMIFS(tabela_registros[VALOR],tabela_registros[MÊS],$AE$1,tabela_registros[DIA],reservafixaconsolidadoset[[#Headers],[25]],tabela_registros[REGISTRO],DADOS!$N$6,tabela_registros[TIPO],DADOS!$AJ$3,tabela_registros[CATEGORIA],reservafixaconsolidadoset[[#This Row],[ATUAL]])</f>
        <v>0</v>
      </c>
      <c r="AD177" s="119" t="n">
        <f aca="false">SUMIFS(tabela_registros[VALOR],tabela_registros[MÊS],$AE$1,tabela_registros[DIA],reservafixaconsolidadoset[[#Headers],[26]],tabela_registros[REGISTRO],DADOS!$N$6,tabela_registros[TIPO],DADOS!$AJ$3,tabela_registros[CATEGORIA],reservafixaconsolidadoset[[#This Row],[ATUAL]])</f>
        <v>0</v>
      </c>
      <c r="AE177" s="119" t="n">
        <f aca="false">SUMIFS(tabela_registros[VALOR],tabela_registros[MÊS],$AE$1,tabela_registros[DIA],reservafixaconsolidadoset[[#Headers],[27]],tabela_registros[REGISTRO],DADOS!$N$6,tabela_registros[TIPO],DADOS!$AJ$3,tabela_registros[CATEGORIA],reservafixaconsolidadoset[[#This Row],[ATUAL]])</f>
        <v>0</v>
      </c>
      <c r="AF177" s="119" t="n">
        <f aca="false">SUMIFS(tabela_registros[VALOR],tabela_registros[MÊS],$AE$1,tabela_registros[DIA],reservafixaconsolidadoset[[#Headers],[28]],tabela_registros[REGISTRO],DADOS!$N$6,tabela_registros[TIPO],DADOS!$AJ$3,tabela_registros[CATEGORIA],reservafixaconsolidadoset[[#This Row],[ATUAL]])</f>
        <v>0</v>
      </c>
      <c r="AG177" s="119" t="n">
        <f aca="false">SUMIFS(tabela_registros[VALOR],tabela_registros[MÊS],$AE$1,tabela_registros[DIA],reservafixaconsolidadoset[[#Headers],[29]],tabela_registros[REGISTRO],DADOS!$N$6,tabela_registros[TIPO],DADOS!$AJ$3,tabela_registros[CATEGORIA],reservafixaconsolidadoset[[#This Row],[ATUAL]])</f>
        <v>0</v>
      </c>
      <c r="AH177" s="119" t="n">
        <f aca="false">SUMIFS(tabela_registros[VALOR],tabela_registros[MÊS],$AE$1,tabela_registros[DIA],reservafixaconsolidadoset[[#Headers],[30]],tabela_registros[REGISTRO],DADOS!$N$6,tabela_registros[TIPO],DADOS!$AJ$3,tabela_registros[CATEGORIA],reservafixaconsolidadoset[[#This Row],[ATUAL]])</f>
        <v>0</v>
      </c>
      <c r="AI177" s="218" t="n">
        <f aca="false">SUMIFS(tabela_registros[VALOR],tabela_registros[MÊS],$AE$1,tabela_registros[DIA],reservafixaconsolidadoset[[#Headers],[31]],tabela_registros[REGISTRO],DADOS!$N$6,tabela_registros[TIPO],DADOS!$AJ$3,tabela_registros[CATEGORIA],reservafixaconsolidadoset[[#This Row],[ATUAL]])</f>
        <v>0</v>
      </c>
      <c r="AJ177" s="149" t="n">
        <f aca="false">SUM(reservafixaconsolidadoset[[#This Row],[1]:[31]])</f>
        <v>0</v>
      </c>
      <c r="AK177" s="165"/>
    </row>
    <row r="178" s="122" customFormat="true" ht="21" hidden="false" customHeight="true" outlineLevel="0" collapsed="false">
      <c r="B178" s="152"/>
      <c r="C178" s="153" t="s">
        <v>2</v>
      </c>
      <c r="D178" s="166"/>
      <c r="E178" s="155" t="n">
        <f aca="false">SUM(E168:E177)</f>
        <v>0</v>
      </c>
      <c r="F178" s="156" t="n">
        <f aca="false">SUM(F168:F177)+reservafixaconsolidadoset[[#This Row],[1]]</f>
        <v>0</v>
      </c>
      <c r="G178" s="156" t="n">
        <f aca="false">SUM(G168:G177)+reservafixaconsolidadoset[[#This Row],[2]]</f>
        <v>0</v>
      </c>
      <c r="H178" s="156" t="n">
        <f aca="false">SUM(H168:H177)+reservafixaconsolidadoset[[#This Row],[3]]</f>
        <v>0</v>
      </c>
      <c r="I178" s="156" t="n">
        <f aca="false">SUM(I168:I177)+reservafixaconsolidadoset[[#This Row],[4]]</f>
        <v>0</v>
      </c>
      <c r="J178" s="156" t="n">
        <f aca="false">SUM(J168:J177)+reservafixaconsolidadoset[[#This Row],[5]]</f>
        <v>0</v>
      </c>
      <c r="K178" s="156" t="n">
        <f aca="false">SUM(K168:K177)+reservafixaconsolidadoset[[#This Row],[6]]</f>
        <v>0</v>
      </c>
      <c r="L178" s="156" t="n">
        <f aca="false">SUM(L168:L177)+reservafixaconsolidadoset[[#This Row],[7]]</f>
        <v>0</v>
      </c>
      <c r="M178" s="156" t="n">
        <f aca="false">SUM(M168:M177)+reservafixaconsolidadoset[[#This Row],[8]]</f>
        <v>0</v>
      </c>
      <c r="N178" s="156" t="n">
        <f aca="false">SUM(N168:N177)+reservafixaconsolidadoset[[#This Row],[9]]</f>
        <v>0</v>
      </c>
      <c r="O178" s="156" t="n">
        <f aca="false">SUM(O168:O177)+reservafixaconsolidadoset[[#This Row],[10]]</f>
        <v>0</v>
      </c>
      <c r="P178" s="156" t="n">
        <f aca="false">SUM(P168:P177)+reservafixaconsolidadoset[[#This Row],[11]]</f>
        <v>0</v>
      </c>
      <c r="Q178" s="156" t="n">
        <f aca="false">SUM(Q168:Q177)+reservafixaconsolidadoset[[#This Row],[12]]</f>
        <v>0</v>
      </c>
      <c r="R178" s="156" t="n">
        <f aca="false">SUM(R168:R177)+reservafixaconsolidadoset[[#This Row],[13]]</f>
        <v>0</v>
      </c>
      <c r="S178" s="156" t="n">
        <f aca="false">SUM(S168:S177)+reservafixaconsolidadoset[[#This Row],[14]]</f>
        <v>0</v>
      </c>
      <c r="T178" s="156" t="n">
        <f aca="false">SUM(T168:T177)+reservafixaconsolidadoset[[#This Row],[15]]</f>
        <v>0</v>
      </c>
      <c r="U178" s="156" t="n">
        <f aca="false">SUM(U168:U177)+reservafixaconsolidadoset[[#This Row],[16]]</f>
        <v>0</v>
      </c>
      <c r="V178" s="156" t="n">
        <f aca="false">SUM(V168:V177)+reservafixaconsolidadoset[[#This Row],[17]]</f>
        <v>0</v>
      </c>
      <c r="W178" s="156" t="n">
        <f aca="false">SUM(W168:W177)+reservafixaconsolidadoset[[#This Row],[18]]</f>
        <v>0</v>
      </c>
      <c r="X178" s="156" t="n">
        <f aca="false">SUM(X168:X177)+reservafixaconsolidadoset[[#This Row],[19]]</f>
        <v>0</v>
      </c>
      <c r="Y178" s="156" t="n">
        <f aca="false">SUM(Y168:Y177)+reservafixaconsolidadoset[[#This Row],[20]]</f>
        <v>0</v>
      </c>
      <c r="Z178" s="156" t="n">
        <f aca="false">SUM(Z168:Z177)+reservafixaconsolidadoset[[#This Row],[21]]</f>
        <v>0</v>
      </c>
      <c r="AA178" s="156" t="n">
        <f aca="false">SUM(AA168:AA177)+reservafixaconsolidadoset[[#This Row],[22]]</f>
        <v>0</v>
      </c>
      <c r="AB178" s="156" t="n">
        <f aca="false">SUM(AB168:AB177)+reservafixaconsolidadoset[[#This Row],[23]]</f>
        <v>0</v>
      </c>
      <c r="AC178" s="156" t="n">
        <f aca="false">SUM(AC168:AC177)+reservafixaconsolidadoset[[#This Row],[24]]</f>
        <v>0</v>
      </c>
      <c r="AD178" s="156" t="n">
        <f aca="false">SUM(AD168:AD177)+reservafixaconsolidadoset[[#This Row],[25]]</f>
        <v>0</v>
      </c>
      <c r="AE178" s="156" t="n">
        <f aca="false">SUM(AE168:AE177)+reservafixaconsolidadoset[[#This Row],[26]]</f>
        <v>0</v>
      </c>
      <c r="AF178" s="156" t="n">
        <f aca="false">SUM(AF168:AF177)+reservafixaconsolidadoset[[#This Row],[27]]</f>
        <v>0</v>
      </c>
      <c r="AG178" s="156" t="n">
        <f aca="false">SUM(AG168:AG177)+reservafixaconsolidadoset[[#This Row],[28]]</f>
        <v>0</v>
      </c>
      <c r="AH178" s="156" t="n">
        <f aca="false">SUM(AH168:AH177)+reservafixaconsolidadoset[[#This Row],[29]]</f>
        <v>0</v>
      </c>
      <c r="AI178" s="223" t="n">
        <f aca="false">SUM(AI168:AI177)+reservafixaconsolidadoset[[#This Row],[30]]</f>
        <v>0</v>
      </c>
      <c r="AJ178" s="157" t="n">
        <f aca="false">reservafixaconsolidadoset[[#This Row],[31]]</f>
        <v>0</v>
      </c>
      <c r="AK178" s="158"/>
    </row>
    <row r="179" customFormat="false" ht="6.75" hidden="false" customHeight="true" outlineLevel="0" collapsed="false">
      <c r="B179" s="97"/>
      <c r="C179" s="162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233"/>
      <c r="AJ179" s="164"/>
      <c r="AK179" s="244"/>
    </row>
    <row r="180" s="78" customFormat="true" ht="12.75" hidden="false" customHeight="false" outlineLevel="0" collapsed="false">
      <c r="E180" s="100"/>
    </row>
    <row r="181" s="78" customFormat="true" ht="12" hidden="false" customHeight="false" outlineLevel="0" collapsed="false"/>
    <row r="182" s="78" customFormat="true" ht="12" hidden="false" customHeight="false" outlineLevel="0" collapsed="false"/>
    <row r="183" customFormat="false" ht="39.75" hidden="false" customHeight="true" outlineLevel="0" collapsed="false">
      <c r="C183" s="101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3" t="s">
        <v>2</v>
      </c>
    </row>
    <row r="184" s="78" customFormat="true" ht="12.75" hidden="false" customHeight="false" outlineLevel="0" collapsed="false">
      <c r="B184" s="161"/>
      <c r="AJ184" s="106" t="s">
        <v>64</v>
      </c>
    </row>
    <row r="185" customFormat="false" ht="6.75" hidden="false" customHeight="true" outlineLevel="0" collapsed="false">
      <c r="B185" s="86"/>
      <c r="C185" s="162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233"/>
      <c r="AK185" s="139"/>
    </row>
    <row r="186" customFormat="false" ht="13.5" hidden="true" customHeight="false" outlineLevel="0" collapsed="false">
      <c r="B186" s="86"/>
      <c r="C186" s="109" t="s">
        <v>68</v>
      </c>
      <c r="D186" s="110" t="s">
        <v>69</v>
      </c>
      <c r="E186" s="110" t="s">
        <v>30</v>
      </c>
      <c r="F186" s="110" t="s">
        <v>31</v>
      </c>
      <c r="G186" s="110" t="s">
        <v>32</v>
      </c>
      <c r="H186" s="110" t="s">
        <v>33</v>
      </c>
      <c r="I186" s="110" t="s">
        <v>34</v>
      </c>
      <c r="J186" s="110" t="s">
        <v>35</v>
      </c>
      <c r="K186" s="110" t="s">
        <v>36</v>
      </c>
      <c r="L186" s="110" t="s">
        <v>37</v>
      </c>
      <c r="M186" s="110" t="s">
        <v>38</v>
      </c>
      <c r="N186" s="110" t="s">
        <v>39</v>
      </c>
      <c r="O186" s="110" t="s">
        <v>40</v>
      </c>
      <c r="P186" s="110" t="s">
        <v>41</v>
      </c>
      <c r="Q186" s="110" t="s">
        <v>81</v>
      </c>
      <c r="R186" s="110" t="s">
        <v>82</v>
      </c>
      <c r="S186" s="110" t="s">
        <v>83</v>
      </c>
      <c r="T186" s="110" t="s">
        <v>84</v>
      </c>
      <c r="U186" s="110" t="s">
        <v>85</v>
      </c>
      <c r="V186" s="110" t="s">
        <v>86</v>
      </c>
      <c r="W186" s="110" t="s">
        <v>87</v>
      </c>
      <c r="X186" s="110" t="s">
        <v>88</v>
      </c>
      <c r="Y186" s="110" t="s">
        <v>89</v>
      </c>
      <c r="Z186" s="110" t="s">
        <v>90</v>
      </c>
      <c r="AA186" s="110" t="s">
        <v>91</v>
      </c>
      <c r="AB186" s="110" t="s">
        <v>92</v>
      </c>
      <c r="AC186" s="110" t="s">
        <v>93</v>
      </c>
      <c r="AD186" s="110" t="s">
        <v>94</v>
      </c>
      <c r="AE186" s="110" t="s">
        <v>95</v>
      </c>
      <c r="AF186" s="110" t="s">
        <v>96</v>
      </c>
      <c r="AG186" s="110" t="s">
        <v>97</v>
      </c>
      <c r="AH186" s="110" t="s">
        <v>98</v>
      </c>
      <c r="AI186" s="110" t="s">
        <v>99</v>
      </c>
      <c r="AJ186" s="111" t="s">
        <v>70</v>
      </c>
      <c r="AK186" s="86"/>
    </row>
    <row r="187" customFormat="false" ht="19.5" hidden="false" customHeight="true" outlineLevel="0" collapsed="false">
      <c r="B187" s="143"/>
      <c r="C187" s="144" t="str">
        <f aca="false">DADOS!$AN$3</f>
        <v>📝 AÇÃO</v>
      </c>
      <c r="D187" s="145" t="str">
        <f aca="false">IF(reservavariáveisconsolidadoset[[#This Row],[TOTAL (R$)]]=0,"",IF(OR(reservavariáveisconsolidadoset[[#This Row],[TOTAL (R$)]]=LARGE($AJ$187:$AJ$196,1),reservavariáveisconsolidadoset[[#This Row],[TOTAL (R$)]]=LARGE($AJ$187:$AJ$196,2)),DADOS!$I$11,""))</f>
        <v/>
      </c>
      <c r="E187" s="148" t="n">
        <f aca="false">SUMIFS(tabela_registros[VALOR],tabela_registros[MÊS],$AE$1,tabela_registros[DIA],reservavariáveisconsolidadoset[[#Headers],[1]],tabela_registros[REGISTRO],DADOS!$N$6,tabela_registros[TIPO],DADOS!$AJ$4,tabela_registros[CATEGORIA],reservavariáveisconsolidadoset[[#This Row],[ATUAL]])</f>
        <v>0</v>
      </c>
      <c r="F187" s="119" t="n">
        <f aca="false">SUMIFS(tabela_registros[VALOR],tabela_registros[MÊS],$AE$1,tabela_registros[DIA],reservavariáveisconsolidadoset[[#Headers],[2]],tabela_registros[REGISTRO],DADOS!$N$6,tabela_registros[TIPO],DADOS!$AJ$4,tabela_registros[CATEGORIA],reservavariáveisconsolidadoset[[#This Row],[ATUAL]])</f>
        <v>0</v>
      </c>
      <c r="G187" s="119" t="n">
        <f aca="false">SUMIFS(tabela_registros[VALOR],tabela_registros[MÊS],$AE$1,tabela_registros[DIA],reservavariáveisconsolidadoset[[#Headers],[3]],tabela_registros[REGISTRO],DADOS!$N$6,tabela_registros[TIPO],DADOS!$AJ$4,tabela_registros[CATEGORIA],reservavariáveisconsolidadoset[[#This Row],[ATUAL]])</f>
        <v>0</v>
      </c>
      <c r="H187" s="119" t="n">
        <f aca="false">SUMIFS(tabela_registros[VALOR],tabela_registros[MÊS],$AE$1,tabela_registros[DIA],reservavariáveisconsolidadoset[[#Headers],[4]],tabela_registros[REGISTRO],DADOS!$N$6,tabela_registros[TIPO],DADOS!$AJ$4,tabela_registros[CATEGORIA],reservavariáveisconsolidadoset[[#This Row],[ATUAL]])</f>
        <v>0</v>
      </c>
      <c r="I187" s="119" t="n">
        <f aca="false">SUMIFS(tabela_registros[VALOR],tabela_registros[MÊS],$AE$1,tabela_registros[DIA],reservavariáveisconsolidadoset[[#Headers],[5]],tabela_registros[REGISTRO],DADOS!$N$6,tabela_registros[TIPO],DADOS!$AJ$4,tabela_registros[CATEGORIA],reservavariáveisconsolidadoset[[#This Row],[ATUAL]])</f>
        <v>0</v>
      </c>
      <c r="J187" s="119" t="n">
        <f aca="false">SUMIFS(tabela_registros[VALOR],tabela_registros[MÊS],$AE$1,tabela_registros[DIA],reservavariáveisconsolidadoset[[#Headers],[6]],tabela_registros[REGISTRO],DADOS!$N$6,tabela_registros[TIPO],DADOS!$AJ$4,tabela_registros[CATEGORIA],reservavariáveisconsolidadoset[[#This Row],[ATUAL]])</f>
        <v>0</v>
      </c>
      <c r="K187" s="119" t="n">
        <f aca="false">SUMIFS(tabela_registros[VALOR],tabela_registros[MÊS],$AE$1,tabela_registros[DIA],reservavariáveisconsolidadoset[[#Headers],[7]],tabela_registros[REGISTRO],DADOS!$N$6,tabela_registros[TIPO],DADOS!$AJ$4,tabela_registros[CATEGORIA],reservavariáveisconsolidadoset[[#This Row],[ATUAL]])</f>
        <v>0</v>
      </c>
      <c r="L187" s="119" t="n">
        <f aca="false">SUMIFS(tabela_registros[VALOR],tabela_registros[MÊS],$AE$1,tabela_registros[DIA],reservavariáveisconsolidadoset[[#Headers],[8]],tabela_registros[REGISTRO],DADOS!$N$6,tabela_registros[TIPO],DADOS!$AJ$4,tabela_registros[CATEGORIA],reservavariáveisconsolidadoset[[#This Row],[ATUAL]])</f>
        <v>0</v>
      </c>
      <c r="M187" s="119" t="n">
        <f aca="false">SUMIFS(tabela_registros[VALOR],tabela_registros[MÊS],$AE$1,tabela_registros[DIA],reservavariáveisconsolidadoset[[#Headers],[9]],tabela_registros[REGISTRO],DADOS!$N$6,tabela_registros[TIPO],DADOS!$AJ$4,tabela_registros[CATEGORIA],reservavariáveisconsolidadoset[[#This Row],[ATUAL]])</f>
        <v>0</v>
      </c>
      <c r="N187" s="119" t="n">
        <f aca="false">SUMIFS(tabela_registros[VALOR],tabela_registros[MÊS],$AE$1,tabela_registros[DIA],reservavariáveisconsolidadoset[[#Headers],[10]],tabela_registros[REGISTRO],DADOS!$N$6,tabela_registros[TIPO],DADOS!$AJ$4,tabela_registros[CATEGORIA],reservavariáveisconsolidadoset[[#This Row],[ATUAL]])</f>
        <v>0</v>
      </c>
      <c r="O187" s="119" t="n">
        <f aca="false">SUMIFS(tabela_registros[VALOR],tabela_registros[MÊS],$AE$1,tabela_registros[DIA],reservavariáveisconsolidadoset[[#Headers],[11]],tabela_registros[REGISTRO],DADOS!$N$6,tabela_registros[TIPO],DADOS!$AJ$4,tabela_registros[CATEGORIA],reservavariáveisconsolidadoset[[#This Row],[ATUAL]])</f>
        <v>0</v>
      </c>
      <c r="P187" s="119" t="n">
        <f aca="false">SUMIFS(tabela_registros[VALOR],tabela_registros[MÊS],$AE$1,tabela_registros[DIA],reservavariáveisconsolidadoset[[#Headers],[12]],tabela_registros[REGISTRO],DADOS!$N$6,tabela_registros[TIPO],DADOS!$AJ$4,tabela_registros[CATEGORIA],reservavariáveisconsolidadoset[[#This Row],[ATUAL]])</f>
        <v>0</v>
      </c>
      <c r="Q187" s="119" t="n">
        <f aca="false">SUMIFS(tabela_registros[VALOR],tabela_registros[MÊS],$AE$1,tabela_registros[DIA],reservavariáveisconsolidadoset[[#Headers],[13]],tabela_registros[REGISTRO],DADOS!$N$6,tabela_registros[TIPO],DADOS!$AJ$4,tabela_registros[CATEGORIA],reservavariáveisconsolidadoset[[#This Row],[ATUAL]])</f>
        <v>0</v>
      </c>
      <c r="R187" s="119" t="n">
        <f aca="false">SUMIFS(tabela_registros[VALOR],tabela_registros[MÊS],$AE$1,tabela_registros[DIA],reservavariáveisconsolidadoset[[#Headers],[14]],tabela_registros[REGISTRO],DADOS!$N$6,tabela_registros[TIPO],DADOS!$AJ$4,tabela_registros[CATEGORIA],reservavariáveisconsolidadoset[[#This Row],[ATUAL]])</f>
        <v>0</v>
      </c>
      <c r="S187" s="119" t="n">
        <f aca="false">SUMIFS(tabela_registros[VALOR],tabela_registros[MÊS],$AE$1,tabela_registros[DIA],reservavariáveisconsolidadoset[[#Headers],[15]],tabela_registros[REGISTRO],DADOS!$N$6,tabela_registros[TIPO],DADOS!$AJ$4,tabela_registros[CATEGORIA],reservavariáveisconsolidadoset[[#This Row],[ATUAL]])</f>
        <v>0</v>
      </c>
      <c r="T187" s="119" t="n">
        <f aca="false">SUMIFS(tabela_registros[VALOR],tabela_registros[MÊS],$AE$1,tabela_registros[DIA],reservavariáveisconsolidadoset[[#Headers],[16]],tabela_registros[REGISTRO],DADOS!$N$6,tabela_registros[TIPO],DADOS!$AJ$4,tabela_registros[CATEGORIA],reservavariáveisconsolidadoset[[#This Row],[ATUAL]])</f>
        <v>0</v>
      </c>
      <c r="U187" s="119" t="n">
        <f aca="false">SUMIFS(tabela_registros[VALOR],tabela_registros[MÊS],$AE$1,tabela_registros[DIA],reservavariáveisconsolidadoset[[#Headers],[17]],tabela_registros[REGISTRO],DADOS!$N$6,tabela_registros[TIPO],DADOS!$AJ$4,tabela_registros[CATEGORIA],reservavariáveisconsolidadoset[[#This Row],[ATUAL]])</f>
        <v>0</v>
      </c>
      <c r="V187" s="119" t="n">
        <f aca="false">SUMIFS(tabela_registros[VALOR],tabela_registros[MÊS],$AE$1,tabela_registros[DIA],reservavariáveisconsolidadoset[[#Headers],[18]],tabela_registros[REGISTRO],DADOS!$N$6,tabela_registros[TIPO],DADOS!$AJ$4,tabela_registros[CATEGORIA],reservavariáveisconsolidadoset[[#This Row],[ATUAL]])</f>
        <v>0</v>
      </c>
      <c r="W187" s="119" t="n">
        <f aca="false">SUMIFS(tabela_registros[VALOR],tabela_registros[MÊS],$AE$1,tabela_registros[DIA],reservavariáveisconsolidadoset[[#Headers],[19]],tabela_registros[REGISTRO],DADOS!$N$6,tabela_registros[TIPO],DADOS!$AJ$4,tabela_registros[CATEGORIA],reservavariáveisconsolidadoset[[#This Row],[ATUAL]])</f>
        <v>0</v>
      </c>
      <c r="X187" s="119" t="n">
        <f aca="false">SUMIFS(tabela_registros[VALOR],tabela_registros[MÊS],$AE$1,tabela_registros[DIA],reservavariáveisconsolidadoset[[#Headers],[20]],tabela_registros[REGISTRO],DADOS!$N$6,tabela_registros[TIPO],DADOS!$AJ$4,tabela_registros[CATEGORIA],reservavariáveisconsolidadoset[[#This Row],[ATUAL]])</f>
        <v>0</v>
      </c>
      <c r="Y187" s="119" t="n">
        <f aca="false">SUMIFS(tabela_registros[VALOR],tabela_registros[MÊS],$AE$1,tabela_registros[DIA],reservavariáveisconsolidadoset[[#Headers],[21]],tabela_registros[REGISTRO],DADOS!$N$6,tabela_registros[TIPO],DADOS!$AJ$4,tabela_registros[CATEGORIA],reservavariáveisconsolidadoset[[#This Row],[ATUAL]])</f>
        <v>0</v>
      </c>
      <c r="Z187" s="119" t="n">
        <f aca="false">SUMIFS(tabela_registros[VALOR],tabela_registros[MÊS],$AE$1,tabela_registros[DIA],reservavariáveisconsolidadoset[[#Headers],[22]],tabela_registros[REGISTRO],DADOS!$N$6,tabela_registros[TIPO],DADOS!$AJ$4,tabela_registros[CATEGORIA],reservavariáveisconsolidadoset[[#This Row],[ATUAL]])</f>
        <v>0</v>
      </c>
      <c r="AA187" s="119" t="n">
        <f aca="false">SUMIFS(tabela_registros[VALOR],tabela_registros[MÊS],$AE$1,tabela_registros[DIA],reservavariáveisconsolidadoset[[#Headers],[23]],tabela_registros[REGISTRO],DADOS!$N$6,tabela_registros[TIPO],DADOS!$AJ$4,tabela_registros[CATEGORIA],reservavariáveisconsolidadoset[[#This Row],[ATUAL]])</f>
        <v>0</v>
      </c>
      <c r="AB187" s="119" t="n">
        <f aca="false">SUMIFS(tabela_registros[VALOR],tabela_registros[MÊS],$AE$1,tabela_registros[DIA],reservavariáveisconsolidadoset[[#Headers],[24]],tabela_registros[REGISTRO],DADOS!$N$6,tabela_registros[TIPO],DADOS!$AJ$4,tabela_registros[CATEGORIA],reservavariáveisconsolidadoset[[#This Row],[ATUAL]])</f>
        <v>0</v>
      </c>
      <c r="AC187" s="119" t="n">
        <f aca="false">SUMIFS(tabela_registros[VALOR],tabela_registros[MÊS],$AE$1,tabela_registros[DIA],reservavariáveisconsolidadoset[[#Headers],[25]],tabela_registros[REGISTRO],DADOS!$N$6,tabela_registros[TIPO],DADOS!$AJ$4,tabela_registros[CATEGORIA],reservavariáveisconsolidadoset[[#This Row],[ATUAL]])</f>
        <v>0</v>
      </c>
      <c r="AD187" s="119" t="n">
        <f aca="false">SUMIFS(tabela_registros[VALOR],tabela_registros[MÊS],$AE$1,tabela_registros[DIA],reservavariáveisconsolidadoset[[#Headers],[26]],tabela_registros[REGISTRO],DADOS!$N$6,tabela_registros[TIPO],DADOS!$AJ$4,tabela_registros[CATEGORIA],reservavariáveisconsolidadoset[[#This Row],[ATUAL]])</f>
        <v>0</v>
      </c>
      <c r="AE187" s="119" t="n">
        <f aca="false">SUMIFS(tabela_registros[VALOR],tabela_registros[MÊS],$AE$1,tabela_registros[DIA],reservavariáveisconsolidadoset[[#Headers],[27]],tabela_registros[REGISTRO],DADOS!$N$6,tabela_registros[TIPO],DADOS!$AJ$4,tabela_registros[CATEGORIA],reservavariáveisconsolidadoset[[#This Row],[ATUAL]])</f>
        <v>0</v>
      </c>
      <c r="AF187" s="119" t="n">
        <f aca="false">SUMIFS(tabela_registros[VALOR],tabela_registros[MÊS],$AE$1,tabela_registros[DIA],reservavariáveisconsolidadoset[[#Headers],[28]],tabela_registros[REGISTRO],DADOS!$N$6,tabela_registros[TIPO],DADOS!$AJ$4,tabela_registros[CATEGORIA],reservavariáveisconsolidadoset[[#This Row],[ATUAL]])</f>
        <v>0</v>
      </c>
      <c r="AG187" s="119" t="n">
        <f aca="false">SUMIFS(tabela_registros[VALOR],tabela_registros[MÊS],$AE$1,tabela_registros[DIA],reservavariáveisconsolidadoset[[#Headers],[29]],tabela_registros[REGISTRO],DADOS!$N$6,tabela_registros[TIPO],DADOS!$AJ$4,tabela_registros[CATEGORIA],reservavariáveisconsolidadoset[[#This Row],[ATUAL]])</f>
        <v>0</v>
      </c>
      <c r="AH187" s="119" t="n">
        <f aca="false">SUMIFS(tabela_registros[VALOR],tabela_registros[MÊS],$AE$1,tabela_registros[DIA],reservavariáveisconsolidadoset[[#Headers],[30]],tabela_registros[REGISTRO],DADOS!$N$6,tabela_registros[TIPO],DADOS!$AJ$4,tabela_registros[CATEGORIA],reservavariáveisconsolidadoset[[#This Row],[ATUAL]])</f>
        <v>0</v>
      </c>
      <c r="AI187" s="217" t="n">
        <f aca="false">SUMIFS(tabela_registros[VALOR],tabela_registros[MÊS],$AE$1,tabela_registros[DIA],reservavariáveisconsolidadoset[[#Headers],[31]],tabela_registros[REGISTRO],DADOS!$N$6,tabela_registros[TIPO],DADOS!$AJ$4,tabela_registros[CATEGORIA],reservavariáveisconsolidadoset[[#This Row],[ATUAL]])</f>
        <v>0</v>
      </c>
      <c r="AJ187" s="149" t="n">
        <f aca="false">SUM(reservavariáveisconsolidadoset[[#This Row],[1]:[31]])</f>
        <v>0</v>
      </c>
      <c r="AK187" s="165"/>
    </row>
    <row r="188" customFormat="false" ht="19.5" hidden="false" customHeight="true" outlineLevel="0" collapsed="false">
      <c r="B188" s="143"/>
      <c r="C188" s="144" t="str">
        <f aca="false">DADOS!$AN$4</f>
        <v>📝 COMÓDITE</v>
      </c>
      <c r="D188" s="145" t="str">
        <f aca="false">IF(reservavariáveisconsolidadoset[[#This Row],[TOTAL (R$)]]=0,"",IF(OR(reservavariáveisconsolidadoset[[#This Row],[TOTAL (R$)]]=LARGE($AJ$187:$AJ$196,1),reservavariáveisconsolidadoset[[#This Row],[TOTAL (R$)]]=LARGE($AJ$187:$AJ$196,2)),DADOS!$I$11,""))</f>
        <v/>
      </c>
      <c r="E188" s="148" t="n">
        <f aca="false">SUMIFS(tabela_registros[VALOR],tabela_registros[MÊS],$AE$1,tabela_registros[DIA],reservavariáveisconsolidadoset[[#Headers],[1]],tabela_registros[REGISTRO],DADOS!$N$6,tabela_registros[TIPO],DADOS!$AJ$4,tabela_registros[CATEGORIA],reservavariáveisconsolidadoset[[#This Row],[ATUAL]])</f>
        <v>0</v>
      </c>
      <c r="F188" s="119" t="n">
        <f aca="false">SUMIFS(tabela_registros[VALOR],tabela_registros[MÊS],$AE$1,tabela_registros[DIA],reservavariáveisconsolidadoset[[#Headers],[2]],tabela_registros[REGISTRO],DADOS!$N$6,tabela_registros[TIPO],DADOS!$AJ$4,tabela_registros[CATEGORIA],reservavariáveisconsolidadoset[[#This Row],[ATUAL]])</f>
        <v>0</v>
      </c>
      <c r="G188" s="119" t="n">
        <f aca="false">SUMIFS(tabela_registros[VALOR],tabela_registros[MÊS],$AE$1,tabela_registros[DIA],reservavariáveisconsolidadoset[[#Headers],[3]],tabela_registros[REGISTRO],DADOS!$N$6,tabela_registros[TIPO],DADOS!$AJ$4,tabela_registros[CATEGORIA],reservavariáveisconsolidadoset[[#This Row],[ATUAL]])</f>
        <v>0</v>
      </c>
      <c r="H188" s="119" t="n">
        <f aca="false">SUMIFS(tabela_registros[VALOR],tabela_registros[MÊS],$AE$1,tabela_registros[DIA],reservavariáveisconsolidadoset[[#Headers],[4]],tabela_registros[REGISTRO],DADOS!$N$6,tabela_registros[TIPO],DADOS!$AJ$4,tabela_registros[CATEGORIA],reservavariáveisconsolidadoset[[#This Row],[ATUAL]])</f>
        <v>0</v>
      </c>
      <c r="I188" s="119" t="n">
        <f aca="false">SUMIFS(tabela_registros[VALOR],tabela_registros[MÊS],$AE$1,tabela_registros[DIA],reservavariáveisconsolidadoset[[#Headers],[5]],tabela_registros[REGISTRO],DADOS!$N$6,tabela_registros[TIPO],DADOS!$AJ$4,tabela_registros[CATEGORIA],reservavariáveisconsolidadoset[[#This Row],[ATUAL]])</f>
        <v>0</v>
      </c>
      <c r="J188" s="119" t="n">
        <f aca="false">SUMIFS(tabela_registros[VALOR],tabela_registros[MÊS],$AE$1,tabela_registros[DIA],reservavariáveisconsolidadoset[[#Headers],[6]],tabela_registros[REGISTRO],DADOS!$N$6,tabela_registros[TIPO],DADOS!$AJ$4,tabela_registros[CATEGORIA],reservavariáveisconsolidadoset[[#This Row],[ATUAL]])</f>
        <v>0</v>
      </c>
      <c r="K188" s="119" t="n">
        <f aca="false">SUMIFS(tabela_registros[VALOR],tabela_registros[MÊS],$AE$1,tabela_registros[DIA],reservavariáveisconsolidadoset[[#Headers],[7]],tabela_registros[REGISTRO],DADOS!$N$6,tabela_registros[TIPO],DADOS!$AJ$4,tabela_registros[CATEGORIA],reservavariáveisconsolidadoset[[#This Row],[ATUAL]])</f>
        <v>0</v>
      </c>
      <c r="L188" s="119" t="n">
        <f aca="false">SUMIFS(tabela_registros[VALOR],tabela_registros[MÊS],$AE$1,tabela_registros[DIA],reservavariáveisconsolidadoset[[#Headers],[8]],tabela_registros[REGISTRO],DADOS!$N$6,tabela_registros[TIPO],DADOS!$AJ$4,tabela_registros[CATEGORIA],reservavariáveisconsolidadoset[[#This Row],[ATUAL]])</f>
        <v>0</v>
      </c>
      <c r="M188" s="119" t="n">
        <f aca="false">SUMIFS(tabela_registros[VALOR],tabela_registros[MÊS],$AE$1,tabela_registros[DIA],reservavariáveisconsolidadoset[[#Headers],[9]],tabela_registros[REGISTRO],DADOS!$N$6,tabela_registros[TIPO],DADOS!$AJ$4,tabela_registros[CATEGORIA],reservavariáveisconsolidadoset[[#This Row],[ATUAL]])</f>
        <v>0</v>
      </c>
      <c r="N188" s="119" t="n">
        <f aca="false">SUMIFS(tabela_registros[VALOR],tabela_registros[MÊS],$AE$1,tabela_registros[DIA],reservavariáveisconsolidadoset[[#Headers],[10]],tabela_registros[REGISTRO],DADOS!$N$6,tabela_registros[TIPO],DADOS!$AJ$4,tabela_registros[CATEGORIA],reservavariáveisconsolidadoset[[#This Row],[ATUAL]])</f>
        <v>0</v>
      </c>
      <c r="O188" s="119" t="n">
        <f aca="false">SUMIFS(tabela_registros[VALOR],tabela_registros[MÊS],$AE$1,tabela_registros[DIA],reservavariáveisconsolidadoset[[#Headers],[11]],tabela_registros[REGISTRO],DADOS!$N$6,tabela_registros[TIPO],DADOS!$AJ$4,tabela_registros[CATEGORIA],reservavariáveisconsolidadoset[[#This Row],[ATUAL]])</f>
        <v>0</v>
      </c>
      <c r="P188" s="119" t="n">
        <f aca="false">SUMIFS(tabela_registros[VALOR],tabela_registros[MÊS],$AE$1,tabela_registros[DIA],reservavariáveisconsolidadoset[[#Headers],[12]],tabela_registros[REGISTRO],DADOS!$N$6,tabela_registros[TIPO],DADOS!$AJ$4,tabela_registros[CATEGORIA],reservavariáveisconsolidadoset[[#This Row],[ATUAL]])</f>
        <v>0</v>
      </c>
      <c r="Q188" s="119" t="n">
        <f aca="false">SUMIFS(tabela_registros[VALOR],tabela_registros[MÊS],$AE$1,tabela_registros[DIA],reservavariáveisconsolidadoset[[#Headers],[13]],tabela_registros[REGISTRO],DADOS!$N$6,tabela_registros[TIPO],DADOS!$AJ$4,tabela_registros[CATEGORIA],reservavariáveisconsolidadoset[[#This Row],[ATUAL]])</f>
        <v>0</v>
      </c>
      <c r="R188" s="119" t="n">
        <f aca="false">SUMIFS(tabela_registros[VALOR],tabela_registros[MÊS],$AE$1,tabela_registros[DIA],reservavariáveisconsolidadoset[[#Headers],[14]],tabela_registros[REGISTRO],DADOS!$N$6,tabela_registros[TIPO],DADOS!$AJ$4,tabela_registros[CATEGORIA],reservavariáveisconsolidadoset[[#This Row],[ATUAL]])</f>
        <v>0</v>
      </c>
      <c r="S188" s="119" t="n">
        <f aca="false">SUMIFS(tabela_registros[VALOR],tabela_registros[MÊS],$AE$1,tabela_registros[DIA],reservavariáveisconsolidadoset[[#Headers],[15]],tabela_registros[REGISTRO],DADOS!$N$6,tabela_registros[TIPO],DADOS!$AJ$4,tabela_registros[CATEGORIA],reservavariáveisconsolidadoset[[#This Row],[ATUAL]])</f>
        <v>0</v>
      </c>
      <c r="T188" s="119" t="n">
        <f aca="false">SUMIFS(tabela_registros[VALOR],tabela_registros[MÊS],$AE$1,tabela_registros[DIA],reservavariáveisconsolidadoset[[#Headers],[16]],tabela_registros[REGISTRO],DADOS!$N$6,tabela_registros[TIPO],DADOS!$AJ$4,tabela_registros[CATEGORIA],reservavariáveisconsolidadoset[[#This Row],[ATUAL]])</f>
        <v>0</v>
      </c>
      <c r="U188" s="119" t="n">
        <f aca="false">SUMIFS(tabela_registros[VALOR],tabela_registros[MÊS],$AE$1,tabela_registros[DIA],reservavariáveisconsolidadoset[[#Headers],[17]],tabela_registros[REGISTRO],DADOS!$N$6,tabela_registros[TIPO],DADOS!$AJ$4,tabela_registros[CATEGORIA],reservavariáveisconsolidadoset[[#This Row],[ATUAL]])</f>
        <v>0</v>
      </c>
      <c r="V188" s="119" t="n">
        <f aca="false">SUMIFS(tabela_registros[VALOR],tabela_registros[MÊS],$AE$1,tabela_registros[DIA],reservavariáveisconsolidadoset[[#Headers],[18]],tabela_registros[REGISTRO],DADOS!$N$6,tabela_registros[TIPO],DADOS!$AJ$4,tabela_registros[CATEGORIA],reservavariáveisconsolidadoset[[#This Row],[ATUAL]])</f>
        <v>0</v>
      </c>
      <c r="W188" s="119" t="n">
        <f aca="false">SUMIFS(tabela_registros[VALOR],tabela_registros[MÊS],$AE$1,tabela_registros[DIA],reservavariáveisconsolidadoset[[#Headers],[19]],tabela_registros[REGISTRO],DADOS!$N$6,tabela_registros[TIPO],DADOS!$AJ$4,tabela_registros[CATEGORIA],reservavariáveisconsolidadoset[[#This Row],[ATUAL]])</f>
        <v>0</v>
      </c>
      <c r="X188" s="119" t="n">
        <f aca="false">SUMIFS(tabela_registros[VALOR],tabela_registros[MÊS],$AE$1,tabela_registros[DIA],reservavariáveisconsolidadoset[[#Headers],[20]],tabela_registros[REGISTRO],DADOS!$N$6,tabela_registros[TIPO],DADOS!$AJ$4,tabela_registros[CATEGORIA],reservavariáveisconsolidadoset[[#This Row],[ATUAL]])</f>
        <v>0</v>
      </c>
      <c r="Y188" s="119" t="n">
        <f aca="false">SUMIFS(tabela_registros[VALOR],tabela_registros[MÊS],$AE$1,tabela_registros[DIA],reservavariáveisconsolidadoset[[#Headers],[21]],tabela_registros[REGISTRO],DADOS!$N$6,tabela_registros[TIPO],DADOS!$AJ$4,tabela_registros[CATEGORIA],reservavariáveisconsolidadoset[[#This Row],[ATUAL]])</f>
        <v>0</v>
      </c>
      <c r="Z188" s="119" t="n">
        <f aca="false">SUMIFS(tabela_registros[VALOR],tabela_registros[MÊS],$AE$1,tabela_registros[DIA],reservavariáveisconsolidadoset[[#Headers],[22]],tabela_registros[REGISTRO],DADOS!$N$6,tabela_registros[TIPO],DADOS!$AJ$4,tabela_registros[CATEGORIA],reservavariáveisconsolidadoset[[#This Row],[ATUAL]])</f>
        <v>0</v>
      </c>
      <c r="AA188" s="119" t="n">
        <f aca="false">SUMIFS(tabela_registros[VALOR],tabela_registros[MÊS],$AE$1,tabela_registros[DIA],reservavariáveisconsolidadoset[[#Headers],[23]],tabela_registros[REGISTRO],DADOS!$N$6,tabela_registros[TIPO],DADOS!$AJ$4,tabela_registros[CATEGORIA],reservavariáveisconsolidadoset[[#This Row],[ATUAL]])</f>
        <v>0</v>
      </c>
      <c r="AB188" s="119" t="n">
        <f aca="false">SUMIFS(tabela_registros[VALOR],tabela_registros[MÊS],$AE$1,tabela_registros[DIA],reservavariáveisconsolidadoset[[#Headers],[24]],tabela_registros[REGISTRO],DADOS!$N$6,tabela_registros[TIPO],DADOS!$AJ$4,tabela_registros[CATEGORIA],reservavariáveisconsolidadoset[[#This Row],[ATUAL]])</f>
        <v>0</v>
      </c>
      <c r="AC188" s="119" t="n">
        <f aca="false">SUMIFS(tabela_registros[VALOR],tabela_registros[MÊS],$AE$1,tabela_registros[DIA],reservavariáveisconsolidadoset[[#Headers],[25]],tabela_registros[REGISTRO],DADOS!$N$6,tabela_registros[TIPO],DADOS!$AJ$4,tabela_registros[CATEGORIA],reservavariáveisconsolidadoset[[#This Row],[ATUAL]])</f>
        <v>0</v>
      </c>
      <c r="AD188" s="119" t="n">
        <f aca="false">SUMIFS(tabela_registros[VALOR],tabela_registros[MÊS],$AE$1,tabela_registros[DIA],reservavariáveisconsolidadoset[[#Headers],[26]],tabela_registros[REGISTRO],DADOS!$N$6,tabela_registros[TIPO],DADOS!$AJ$4,tabela_registros[CATEGORIA],reservavariáveisconsolidadoset[[#This Row],[ATUAL]])</f>
        <v>0</v>
      </c>
      <c r="AE188" s="119" t="n">
        <f aca="false">SUMIFS(tabela_registros[VALOR],tabela_registros[MÊS],$AE$1,tabela_registros[DIA],reservavariáveisconsolidadoset[[#Headers],[27]],tabela_registros[REGISTRO],DADOS!$N$6,tabela_registros[TIPO],DADOS!$AJ$4,tabela_registros[CATEGORIA],reservavariáveisconsolidadoset[[#This Row],[ATUAL]])</f>
        <v>0</v>
      </c>
      <c r="AF188" s="119" t="n">
        <f aca="false">SUMIFS(tabela_registros[VALOR],tabela_registros[MÊS],$AE$1,tabela_registros[DIA],reservavariáveisconsolidadoset[[#Headers],[28]],tabela_registros[REGISTRO],DADOS!$N$6,tabela_registros[TIPO],DADOS!$AJ$4,tabela_registros[CATEGORIA],reservavariáveisconsolidadoset[[#This Row],[ATUAL]])</f>
        <v>0</v>
      </c>
      <c r="AG188" s="119" t="n">
        <f aca="false">SUMIFS(tabela_registros[VALOR],tabela_registros[MÊS],$AE$1,tabela_registros[DIA],reservavariáveisconsolidadoset[[#Headers],[29]],tabela_registros[REGISTRO],DADOS!$N$6,tabela_registros[TIPO],DADOS!$AJ$4,tabela_registros[CATEGORIA],reservavariáveisconsolidadoset[[#This Row],[ATUAL]])</f>
        <v>0</v>
      </c>
      <c r="AH188" s="119" t="n">
        <f aca="false">SUMIFS(tabela_registros[VALOR],tabela_registros[MÊS],$AE$1,tabela_registros[DIA],reservavariáveisconsolidadoset[[#Headers],[30]],tabela_registros[REGISTRO],DADOS!$N$6,tabela_registros[TIPO],DADOS!$AJ$4,tabela_registros[CATEGORIA],reservavariáveisconsolidadoset[[#This Row],[ATUAL]])</f>
        <v>0</v>
      </c>
      <c r="AI188" s="217" t="n">
        <f aca="false">SUMIFS(tabela_registros[VALOR],tabela_registros[MÊS],$AE$1,tabela_registros[DIA],reservavariáveisconsolidadoset[[#Headers],[31]],tabela_registros[REGISTRO],DADOS!$N$6,tabela_registros[TIPO],DADOS!$AJ$4,tabela_registros[CATEGORIA],reservavariáveisconsolidadoset[[#This Row],[ATUAL]])</f>
        <v>0</v>
      </c>
      <c r="AJ188" s="149" t="n">
        <f aca="false">SUM(reservavariáveisconsolidadoset[[#This Row],[1]:[31]])</f>
        <v>0</v>
      </c>
      <c r="AK188" s="165"/>
    </row>
    <row r="189" customFormat="false" ht="19.5" hidden="false" customHeight="true" outlineLevel="0" collapsed="false">
      <c r="B189" s="143"/>
      <c r="C189" s="144" t="str">
        <f aca="false">DADOS!$AN$5</f>
        <v>📝 CONTRATO DE FUTUROS</v>
      </c>
      <c r="D189" s="145" t="str">
        <f aca="false">IF(reservavariáveisconsolidadoset[[#This Row],[TOTAL (R$)]]=0,"",IF(OR(reservavariáveisconsolidadoset[[#This Row],[TOTAL (R$)]]=LARGE($AJ$187:$AJ$196,1),reservavariáveisconsolidadoset[[#This Row],[TOTAL (R$)]]=LARGE($AJ$187:$AJ$196,2)),DADOS!$I$11,""))</f>
        <v/>
      </c>
      <c r="E189" s="148" t="n">
        <f aca="false">SUMIFS(tabela_registros[VALOR],tabela_registros[MÊS],$AE$1,tabela_registros[DIA],reservavariáveisconsolidadoset[[#Headers],[1]],tabela_registros[REGISTRO],DADOS!$N$6,tabela_registros[TIPO],DADOS!$AJ$4,tabela_registros[CATEGORIA],reservavariáveisconsolidadoset[[#This Row],[ATUAL]])</f>
        <v>0</v>
      </c>
      <c r="F189" s="119" t="n">
        <f aca="false">SUMIFS(tabela_registros[VALOR],tabela_registros[MÊS],$AE$1,tabela_registros[DIA],reservavariáveisconsolidadoset[[#Headers],[2]],tabela_registros[REGISTRO],DADOS!$N$6,tabela_registros[TIPO],DADOS!$AJ$4,tabela_registros[CATEGORIA],reservavariáveisconsolidadoset[[#This Row],[ATUAL]])</f>
        <v>0</v>
      </c>
      <c r="G189" s="119" t="n">
        <f aca="false">SUMIFS(tabela_registros[VALOR],tabela_registros[MÊS],$AE$1,tabela_registros[DIA],reservavariáveisconsolidadoset[[#Headers],[3]],tabela_registros[REGISTRO],DADOS!$N$6,tabela_registros[TIPO],DADOS!$AJ$4,tabela_registros[CATEGORIA],reservavariáveisconsolidadoset[[#This Row],[ATUAL]])</f>
        <v>0</v>
      </c>
      <c r="H189" s="119" t="n">
        <f aca="false">SUMIFS(tabela_registros[VALOR],tabela_registros[MÊS],$AE$1,tabela_registros[DIA],reservavariáveisconsolidadoset[[#Headers],[4]],tabela_registros[REGISTRO],DADOS!$N$6,tabela_registros[TIPO],DADOS!$AJ$4,tabela_registros[CATEGORIA],reservavariáveisconsolidadoset[[#This Row],[ATUAL]])</f>
        <v>0</v>
      </c>
      <c r="I189" s="119" t="n">
        <f aca="false">SUMIFS(tabela_registros[VALOR],tabela_registros[MÊS],$AE$1,tabela_registros[DIA],reservavariáveisconsolidadoset[[#Headers],[5]],tabela_registros[REGISTRO],DADOS!$N$6,tabela_registros[TIPO],DADOS!$AJ$4,tabela_registros[CATEGORIA],reservavariáveisconsolidadoset[[#This Row],[ATUAL]])</f>
        <v>0</v>
      </c>
      <c r="J189" s="119" t="n">
        <f aca="false">SUMIFS(tabela_registros[VALOR],tabela_registros[MÊS],$AE$1,tabela_registros[DIA],reservavariáveisconsolidadoset[[#Headers],[6]],tabela_registros[REGISTRO],DADOS!$N$6,tabela_registros[TIPO],DADOS!$AJ$4,tabela_registros[CATEGORIA],reservavariáveisconsolidadoset[[#This Row],[ATUAL]])</f>
        <v>0</v>
      </c>
      <c r="K189" s="119" t="n">
        <f aca="false">SUMIFS(tabela_registros[VALOR],tabela_registros[MÊS],$AE$1,tabela_registros[DIA],reservavariáveisconsolidadoset[[#Headers],[7]],tabela_registros[REGISTRO],DADOS!$N$6,tabela_registros[TIPO],DADOS!$AJ$4,tabela_registros[CATEGORIA],reservavariáveisconsolidadoset[[#This Row],[ATUAL]])</f>
        <v>0</v>
      </c>
      <c r="L189" s="119" t="n">
        <f aca="false">SUMIFS(tabela_registros[VALOR],tabela_registros[MÊS],$AE$1,tabela_registros[DIA],reservavariáveisconsolidadoset[[#Headers],[8]],tabela_registros[REGISTRO],DADOS!$N$6,tabela_registros[TIPO],DADOS!$AJ$4,tabela_registros[CATEGORIA],reservavariáveisconsolidadoset[[#This Row],[ATUAL]])</f>
        <v>0</v>
      </c>
      <c r="M189" s="119" t="n">
        <f aca="false">SUMIFS(tabela_registros[VALOR],tabela_registros[MÊS],$AE$1,tabela_registros[DIA],reservavariáveisconsolidadoset[[#Headers],[9]],tabela_registros[REGISTRO],DADOS!$N$6,tabela_registros[TIPO],DADOS!$AJ$4,tabela_registros[CATEGORIA],reservavariáveisconsolidadoset[[#This Row],[ATUAL]])</f>
        <v>0</v>
      </c>
      <c r="N189" s="119" t="n">
        <f aca="false">SUMIFS(tabela_registros[VALOR],tabela_registros[MÊS],$AE$1,tabela_registros[DIA],reservavariáveisconsolidadoset[[#Headers],[10]],tabela_registros[REGISTRO],DADOS!$N$6,tabela_registros[TIPO],DADOS!$AJ$4,tabela_registros[CATEGORIA],reservavariáveisconsolidadoset[[#This Row],[ATUAL]])</f>
        <v>0</v>
      </c>
      <c r="O189" s="119" t="n">
        <f aca="false">SUMIFS(tabela_registros[VALOR],tabela_registros[MÊS],$AE$1,tabela_registros[DIA],reservavariáveisconsolidadoset[[#Headers],[11]],tabela_registros[REGISTRO],DADOS!$N$6,tabela_registros[TIPO],DADOS!$AJ$4,tabela_registros[CATEGORIA],reservavariáveisconsolidadoset[[#This Row],[ATUAL]])</f>
        <v>0</v>
      </c>
      <c r="P189" s="119" t="n">
        <f aca="false">SUMIFS(tabela_registros[VALOR],tabela_registros[MÊS],$AE$1,tabela_registros[DIA],reservavariáveisconsolidadoset[[#Headers],[12]],tabela_registros[REGISTRO],DADOS!$N$6,tabela_registros[TIPO],DADOS!$AJ$4,tabela_registros[CATEGORIA],reservavariáveisconsolidadoset[[#This Row],[ATUAL]])</f>
        <v>0</v>
      </c>
      <c r="Q189" s="119" t="n">
        <f aca="false">SUMIFS(tabela_registros[VALOR],tabela_registros[MÊS],$AE$1,tabela_registros[DIA],reservavariáveisconsolidadoset[[#Headers],[13]],tabela_registros[REGISTRO],DADOS!$N$6,tabela_registros[TIPO],DADOS!$AJ$4,tabela_registros[CATEGORIA],reservavariáveisconsolidadoset[[#This Row],[ATUAL]])</f>
        <v>0</v>
      </c>
      <c r="R189" s="119" t="n">
        <f aca="false">SUMIFS(tabela_registros[VALOR],tabela_registros[MÊS],$AE$1,tabela_registros[DIA],reservavariáveisconsolidadoset[[#Headers],[14]],tabela_registros[REGISTRO],DADOS!$N$6,tabela_registros[TIPO],DADOS!$AJ$4,tabela_registros[CATEGORIA],reservavariáveisconsolidadoset[[#This Row],[ATUAL]])</f>
        <v>0</v>
      </c>
      <c r="S189" s="119" t="n">
        <f aca="false">SUMIFS(tabela_registros[VALOR],tabela_registros[MÊS],$AE$1,tabela_registros[DIA],reservavariáveisconsolidadoset[[#Headers],[15]],tabela_registros[REGISTRO],DADOS!$N$6,tabela_registros[TIPO],DADOS!$AJ$4,tabela_registros[CATEGORIA],reservavariáveisconsolidadoset[[#This Row],[ATUAL]])</f>
        <v>0</v>
      </c>
      <c r="T189" s="119" t="n">
        <f aca="false">SUMIFS(tabela_registros[VALOR],tabela_registros[MÊS],$AE$1,tabela_registros[DIA],reservavariáveisconsolidadoset[[#Headers],[16]],tabela_registros[REGISTRO],DADOS!$N$6,tabela_registros[TIPO],DADOS!$AJ$4,tabela_registros[CATEGORIA],reservavariáveisconsolidadoset[[#This Row],[ATUAL]])</f>
        <v>0</v>
      </c>
      <c r="U189" s="119" t="n">
        <f aca="false">SUMIFS(tabela_registros[VALOR],tabela_registros[MÊS],$AE$1,tabela_registros[DIA],reservavariáveisconsolidadoset[[#Headers],[17]],tabela_registros[REGISTRO],DADOS!$N$6,tabela_registros[TIPO],DADOS!$AJ$4,tabela_registros[CATEGORIA],reservavariáveisconsolidadoset[[#This Row],[ATUAL]])</f>
        <v>0</v>
      </c>
      <c r="V189" s="119" t="n">
        <f aca="false">SUMIFS(tabela_registros[VALOR],tabela_registros[MÊS],$AE$1,tabela_registros[DIA],reservavariáveisconsolidadoset[[#Headers],[18]],tabela_registros[REGISTRO],DADOS!$N$6,tabela_registros[TIPO],DADOS!$AJ$4,tabela_registros[CATEGORIA],reservavariáveisconsolidadoset[[#This Row],[ATUAL]])</f>
        <v>0</v>
      </c>
      <c r="W189" s="119" t="n">
        <f aca="false">SUMIFS(tabela_registros[VALOR],tabela_registros[MÊS],$AE$1,tabela_registros[DIA],reservavariáveisconsolidadoset[[#Headers],[19]],tabela_registros[REGISTRO],DADOS!$N$6,tabela_registros[TIPO],DADOS!$AJ$4,tabela_registros[CATEGORIA],reservavariáveisconsolidadoset[[#This Row],[ATUAL]])</f>
        <v>0</v>
      </c>
      <c r="X189" s="119" t="n">
        <f aca="false">SUMIFS(tabela_registros[VALOR],tabela_registros[MÊS],$AE$1,tabela_registros[DIA],reservavariáveisconsolidadoset[[#Headers],[20]],tabela_registros[REGISTRO],DADOS!$N$6,tabela_registros[TIPO],DADOS!$AJ$4,tabela_registros[CATEGORIA],reservavariáveisconsolidadoset[[#This Row],[ATUAL]])</f>
        <v>0</v>
      </c>
      <c r="Y189" s="119" t="n">
        <f aca="false">SUMIFS(tabela_registros[VALOR],tabela_registros[MÊS],$AE$1,tabela_registros[DIA],reservavariáveisconsolidadoset[[#Headers],[21]],tabela_registros[REGISTRO],DADOS!$N$6,tabela_registros[TIPO],DADOS!$AJ$4,tabela_registros[CATEGORIA],reservavariáveisconsolidadoset[[#This Row],[ATUAL]])</f>
        <v>0</v>
      </c>
      <c r="Z189" s="119" t="n">
        <f aca="false">SUMIFS(tabela_registros[VALOR],tabela_registros[MÊS],$AE$1,tabela_registros[DIA],reservavariáveisconsolidadoset[[#Headers],[22]],tabela_registros[REGISTRO],DADOS!$N$6,tabela_registros[TIPO],DADOS!$AJ$4,tabela_registros[CATEGORIA],reservavariáveisconsolidadoset[[#This Row],[ATUAL]])</f>
        <v>0</v>
      </c>
      <c r="AA189" s="119" t="n">
        <f aca="false">SUMIFS(tabela_registros[VALOR],tabela_registros[MÊS],$AE$1,tabela_registros[DIA],reservavariáveisconsolidadoset[[#Headers],[23]],tabela_registros[REGISTRO],DADOS!$N$6,tabela_registros[TIPO],DADOS!$AJ$4,tabela_registros[CATEGORIA],reservavariáveisconsolidadoset[[#This Row],[ATUAL]])</f>
        <v>0</v>
      </c>
      <c r="AB189" s="119" t="n">
        <f aca="false">SUMIFS(tabela_registros[VALOR],tabela_registros[MÊS],$AE$1,tabela_registros[DIA],reservavariáveisconsolidadoset[[#Headers],[24]],tabela_registros[REGISTRO],DADOS!$N$6,tabela_registros[TIPO],DADOS!$AJ$4,tabela_registros[CATEGORIA],reservavariáveisconsolidadoset[[#This Row],[ATUAL]])</f>
        <v>0</v>
      </c>
      <c r="AC189" s="119" t="n">
        <f aca="false">SUMIFS(tabela_registros[VALOR],tabela_registros[MÊS],$AE$1,tabela_registros[DIA],reservavariáveisconsolidadoset[[#Headers],[25]],tabela_registros[REGISTRO],DADOS!$N$6,tabela_registros[TIPO],DADOS!$AJ$4,tabela_registros[CATEGORIA],reservavariáveisconsolidadoset[[#This Row],[ATUAL]])</f>
        <v>0</v>
      </c>
      <c r="AD189" s="119" t="n">
        <f aca="false">SUMIFS(tabela_registros[VALOR],tabela_registros[MÊS],$AE$1,tabela_registros[DIA],reservavariáveisconsolidadoset[[#Headers],[26]],tabela_registros[REGISTRO],DADOS!$N$6,tabela_registros[TIPO],DADOS!$AJ$4,tabela_registros[CATEGORIA],reservavariáveisconsolidadoset[[#This Row],[ATUAL]])</f>
        <v>0</v>
      </c>
      <c r="AE189" s="119" t="n">
        <f aca="false">SUMIFS(tabela_registros[VALOR],tabela_registros[MÊS],$AE$1,tabela_registros[DIA],reservavariáveisconsolidadoset[[#Headers],[27]],tabela_registros[REGISTRO],DADOS!$N$6,tabela_registros[TIPO],DADOS!$AJ$4,tabela_registros[CATEGORIA],reservavariáveisconsolidadoset[[#This Row],[ATUAL]])</f>
        <v>0</v>
      </c>
      <c r="AF189" s="119" t="n">
        <f aca="false">SUMIFS(tabela_registros[VALOR],tabela_registros[MÊS],$AE$1,tabela_registros[DIA],reservavariáveisconsolidadoset[[#Headers],[28]],tabela_registros[REGISTRO],DADOS!$N$6,tabela_registros[TIPO],DADOS!$AJ$4,tabela_registros[CATEGORIA],reservavariáveisconsolidadoset[[#This Row],[ATUAL]])</f>
        <v>0</v>
      </c>
      <c r="AG189" s="119" t="n">
        <f aca="false">SUMIFS(tabela_registros[VALOR],tabela_registros[MÊS],$AE$1,tabela_registros[DIA],reservavariáveisconsolidadoset[[#Headers],[29]],tabela_registros[REGISTRO],DADOS!$N$6,tabela_registros[TIPO],DADOS!$AJ$4,tabela_registros[CATEGORIA],reservavariáveisconsolidadoset[[#This Row],[ATUAL]])</f>
        <v>0</v>
      </c>
      <c r="AH189" s="119" t="n">
        <f aca="false">SUMIFS(tabela_registros[VALOR],tabela_registros[MÊS],$AE$1,tabela_registros[DIA],reservavariáveisconsolidadoset[[#Headers],[30]],tabela_registros[REGISTRO],DADOS!$N$6,tabela_registros[TIPO],DADOS!$AJ$4,tabela_registros[CATEGORIA],reservavariáveisconsolidadoset[[#This Row],[ATUAL]])</f>
        <v>0</v>
      </c>
      <c r="AI189" s="217" t="n">
        <f aca="false">SUMIFS(tabela_registros[VALOR],tabela_registros[MÊS],$AE$1,tabela_registros[DIA],reservavariáveisconsolidadoset[[#Headers],[31]],tabela_registros[REGISTRO],DADOS!$N$6,tabela_registros[TIPO],DADOS!$AJ$4,tabela_registros[CATEGORIA],reservavariáveisconsolidadoset[[#This Row],[ATUAL]])</f>
        <v>0</v>
      </c>
      <c r="AJ189" s="149" t="n">
        <f aca="false">SUM(reservavariáveisconsolidadoset[[#This Row],[1]:[31]])</f>
        <v>0</v>
      </c>
      <c r="AK189" s="165"/>
    </row>
    <row r="190" customFormat="false" ht="19.5" hidden="false" customHeight="true" outlineLevel="0" collapsed="false">
      <c r="B190" s="143"/>
      <c r="C190" s="144" t="str">
        <f aca="false">DADOS!$AN$6</f>
        <v>📝 CONTRATO DE OPÇÕES</v>
      </c>
      <c r="D190" s="145" t="str">
        <f aca="false">IF(reservavariáveisconsolidadoset[[#This Row],[TOTAL (R$)]]=0,"",IF(OR(reservavariáveisconsolidadoset[[#This Row],[TOTAL (R$)]]=LARGE($AJ$187:$AJ$196,1),reservavariáveisconsolidadoset[[#This Row],[TOTAL (R$)]]=LARGE($AJ$187:$AJ$196,2)),DADOS!$I$11,""))</f>
        <v/>
      </c>
      <c r="E190" s="148" t="n">
        <f aca="false">SUMIFS(tabela_registros[VALOR],tabela_registros[MÊS],$AE$1,tabela_registros[DIA],reservavariáveisconsolidadoset[[#Headers],[1]],tabela_registros[REGISTRO],DADOS!$N$6,tabela_registros[TIPO],DADOS!$AJ$4,tabela_registros[CATEGORIA],reservavariáveisconsolidadoset[[#This Row],[ATUAL]])</f>
        <v>0</v>
      </c>
      <c r="F190" s="119" t="n">
        <f aca="false">SUMIFS(tabela_registros[VALOR],tabela_registros[MÊS],$AE$1,tabela_registros[DIA],reservavariáveisconsolidadoset[[#Headers],[2]],tabela_registros[REGISTRO],DADOS!$N$6,tabela_registros[TIPO],DADOS!$AJ$4,tabela_registros[CATEGORIA],reservavariáveisconsolidadoset[[#This Row],[ATUAL]])</f>
        <v>0</v>
      </c>
      <c r="G190" s="119" t="n">
        <f aca="false">SUMIFS(tabela_registros[VALOR],tabela_registros[MÊS],$AE$1,tabela_registros[DIA],reservavariáveisconsolidadoset[[#Headers],[3]],tabela_registros[REGISTRO],DADOS!$N$6,tabela_registros[TIPO],DADOS!$AJ$4,tabela_registros[CATEGORIA],reservavariáveisconsolidadoset[[#This Row],[ATUAL]])</f>
        <v>0</v>
      </c>
      <c r="H190" s="119" t="n">
        <f aca="false">SUMIFS(tabela_registros[VALOR],tabela_registros[MÊS],$AE$1,tabela_registros[DIA],reservavariáveisconsolidadoset[[#Headers],[4]],tabela_registros[REGISTRO],DADOS!$N$6,tabela_registros[TIPO],DADOS!$AJ$4,tabela_registros[CATEGORIA],reservavariáveisconsolidadoset[[#This Row],[ATUAL]])</f>
        <v>0</v>
      </c>
      <c r="I190" s="119" t="n">
        <f aca="false">SUMIFS(tabela_registros[VALOR],tabela_registros[MÊS],$AE$1,tabela_registros[DIA],reservavariáveisconsolidadoset[[#Headers],[5]],tabela_registros[REGISTRO],DADOS!$N$6,tabela_registros[TIPO],DADOS!$AJ$4,tabela_registros[CATEGORIA],reservavariáveisconsolidadoset[[#This Row],[ATUAL]])</f>
        <v>0</v>
      </c>
      <c r="J190" s="119" t="n">
        <f aca="false">SUMIFS(tabela_registros[VALOR],tabela_registros[MÊS],$AE$1,tabela_registros[DIA],reservavariáveisconsolidadoset[[#Headers],[6]],tabela_registros[REGISTRO],DADOS!$N$6,tabela_registros[TIPO],DADOS!$AJ$4,tabela_registros[CATEGORIA],reservavariáveisconsolidadoset[[#This Row],[ATUAL]])</f>
        <v>0</v>
      </c>
      <c r="K190" s="119" t="n">
        <f aca="false">SUMIFS(tabela_registros[VALOR],tabela_registros[MÊS],$AE$1,tabela_registros[DIA],reservavariáveisconsolidadoset[[#Headers],[7]],tabela_registros[REGISTRO],DADOS!$N$6,tabela_registros[TIPO],DADOS!$AJ$4,tabela_registros[CATEGORIA],reservavariáveisconsolidadoset[[#This Row],[ATUAL]])</f>
        <v>0</v>
      </c>
      <c r="L190" s="119" t="n">
        <f aca="false">SUMIFS(tabela_registros[VALOR],tabela_registros[MÊS],$AE$1,tabela_registros[DIA],reservavariáveisconsolidadoset[[#Headers],[8]],tabela_registros[REGISTRO],DADOS!$N$6,tabela_registros[TIPO],DADOS!$AJ$4,tabela_registros[CATEGORIA],reservavariáveisconsolidadoset[[#This Row],[ATUAL]])</f>
        <v>0</v>
      </c>
      <c r="M190" s="119" t="n">
        <f aca="false">SUMIFS(tabela_registros[VALOR],tabela_registros[MÊS],$AE$1,tabela_registros[DIA],reservavariáveisconsolidadoset[[#Headers],[9]],tabela_registros[REGISTRO],DADOS!$N$6,tabela_registros[TIPO],DADOS!$AJ$4,tabela_registros[CATEGORIA],reservavariáveisconsolidadoset[[#This Row],[ATUAL]])</f>
        <v>0</v>
      </c>
      <c r="N190" s="119" t="n">
        <f aca="false">SUMIFS(tabela_registros[VALOR],tabela_registros[MÊS],$AE$1,tabela_registros[DIA],reservavariáveisconsolidadoset[[#Headers],[10]],tabela_registros[REGISTRO],DADOS!$N$6,tabela_registros[TIPO],DADOS!$AJ$4,tabela_registros[CATEGORIA],reservavariáveisconsolidadoset[[#This Row],[ATUAL]])</f>
        <v>0</v>
      </c>
      <c r="O190" s="119" t="n">
        <f aca="false">SUMIFS(tabela_registros[VALOR],tabela_registros[MÊS],$AE$1,tabela_registros[DIA],reservavariáveisconsolidadoset[[#Headers],[11]],tabela_registros[REGISTRO],DADOS!$N$6,tabela_registros[TIPO],DADOS!$AJ$4,tabela_registros[CATEGORIA],reservavariáveisconsolidadoset[[#This Row],[ATUAL]])</f>
        <v>0</v>
      </c>
      <c r="P190" s="119" t="n">
        <f aca="false">SUMIFS(tabela_registros[VALOR],tabela_registros[MÊS],$AE$1,tabela_registros[DIA],reservavariáveisconsolidadoset[[#Headers],[12]],tabela_registros[REGISTRO],DADOS!$N$6,tabela_registros[TIPO],DADOS!$AJ$4,tabela_registros[CATEGORIA],reservavariáveisconsolidadoset[[#This Row],[ATUAL]])</f>
        <v>0</v>
      </c>
      <c r="Q190" s="119" t="n">
        <f aca="false">SUMIFS(tabela_registros[VALOR],tabela_registros[MÊS],$AE$1,tabela_registros[DIA],reservavariáveisconsolidadoset[[#Headers],[13]],tabela_registros[REGISTRO],DADOS!$N$6,tabela_registros[TIPO],DADOS!$AJ$4,tabela_registros[CATEGORIA],reservavariáveisconsolidadoset[[#This Row],[ATUAL]])</f>
        <v>0</v>
      </c>
      <c r="R190" s="119" t="n">
        <f aca="false">SUMIFS(tabela_registros[VALOR],tabela_registros[MÊS],$AE$1,tabela_registros[DIA],reservavariáveisconsolidadoset[[#Headers],[14]],tabela_registros[REGISTRO],DADOS!$N$6,tabela_registros[TIPO],DADOS!$AJ$4,tabela_registros[CATEGORIA],reservavariáveisconsolidadoset[[#This Row],[ATUAL]])</f>
        <v>0</v>
      </c>
      <c r="S190" s="119" t="n">
        <f aca="false">SUMIFS(tabela_registros[VALOR],tabela_registros[MÊS],$AE$1,tabela_registros[DIA],reservavariáveisconsolidadoset[[#Headers],[15]],tabela_registros[REGISTRO],DADOS!$N$6,tabela_registros[TIPO],DADOS!$AJ$4,tabela_registros[CATEGORIA],reservavariáveisconsolidadoset[[#This Row],[ATUAL]])</f>
        <v>0</v>
      </c>
      <c r="T190" s="119" t="n">
        <f aca="false">SUMIFS(tabela_registros[VALOR],tabela_registros[MÊS],$AE$1,tabela_registros[DIA],reservavariáveisconsolidadoset[[#Headers],[16]],tabela_registros[REGISTRO],DADOS!$N$6,tabela_registros[TIPO],DADOS!$AJ$4,tabela_registros[CATEGORIA],reservavariáveisconsolidadoset[[#This Row],[ATUAL]])</f>
        <v>0</v>
      </c>
      <c r="U190" s="119" t="n">
        <f aca="false">SUMIFS(tabela_registros[VALOR],tabela_registros[MÊS],$AE$1,tabela_registros[DIA],reservavariáveisconsolidadoset[[#Headers],[17]],tabela_registros[REGISTRO],DADOS!$N$6,tabela_registros[TIPO],DADOS!$AJ$4,tabela_registros[CATEGORIA],reservavariáveisconsolidadoset[[#This Row],[ATUAL]])</f>
        <v>0</v>
      </c>
      <c r="V190" s="119" t="n">
        <f aca="false">SUMIFS(tabela_registros[VALOR],tabela_registros[MÊS],$AE$1,tabela_registros[DIA],reservavariáveisconsolidadoset[[#Headers],[18]],tabela_registros[REGISTRO],DADOS!$N$6,tabela_registros[TIPO],DADOS!$AJ$4,tabela_registros[CATEGORIA],reservavariáveisconsolidadoset[[#This Row],[ATUAL]])</f>
        <v>0</v>
      </c>
      <c r="W190" s="119" t="n">
        <f aca="false">SUMIFS(tabela_registros[VALOR],tabela_registros[MÊS],$AE$1,tabela_registros[DIA],reservavariáveisconsolidadoset[[#Headers],[19]],tabela_registros[REGISTRO],DADOS!$N$6,tabela_registros[TIPO],DADOS!$AJ$4,tabela_registros[CATEGORIA],reservavariáveisconsolidadoset[[#This Row],[ATUAL]])</f>
        <v>0</v>
      </c>
      <c r="X190" s="119" t="n">
        <f aca="false">SUMIFS(tabela_registros[VALOR],tabela_registros[MÊS],$AE$1,tabela_registros[DIA],reservavariáveisconsolidadoset[[#Headers],[20]],tabela_registros[REGISTRO],DADOS!$N$6,tabela_registros[TIPO],DADOS!$AJ$4,tabela_registros[CATEGORIA],reservavariáveisconsolidadoset[[#This Row],[ATUAL]])</f>
        <v>0</v>
      </c>
      <c r="Y190" s="119" t="n">
        <f aca="false">SUMIFS(tabela_registros[VALOR],tabela_registros[MÊS],$AE$1,tabela_registros[DIA],reservavariáveisconsolidadoset[[#Headers],[21]],tabela_registros[REGISTRO],DADOS!$N$6,tabela_registros[TIPO],DADOS!$AJ$4,tabela_registros[CATEGORIA],reservavariáveisconsolidadoset[[#This Row],[ATUAL]])</f>
        <v>0</v>
      </c>
      <c r="Z190" s="119" t="n">
        <f aca="false">SUMIFS(tabela_registros[VALOR],tabela_registros[MÊS],$AE$1,tabela_registros[DIA],reservavariáveisconsolidadoset[[#Headers],[22]],tabela_registros[REGISTRO],DADOS!$N$6,tabela_registros[TIPO],DADOS!$AJ$4,tabela_registros[CATEGORIA],reservavariáveisconsolidadoset[[#This Row],[ATUAL]])</f>
        <v>0</v>
      </c>
      <c r="AA190" s="119" t="n">
        <f aca="false">SUMIFS(tabela_registros[VALOR],tabela_registros[MÊS],$AE$1,tabela_registros[DIA],reservavariáveisconsolidadoset[[#Headers],[23]],tabela_registros[REGISTRO],DADOS!$N$6,tabela_registros[TIPO],DADOS!$AJ$4,tabela_registros[CATEGORIA],reservavariáveisconsolidadoset[[#This Row],[ATUAL]])</f>
        <v>0</v>
      </c>
      <c r="AB190" s="119" t="n">
        <f aca="false">SUMIFS(tabela_registros[VALOR],tabela_registros[MÊS],$AE$1,tabela_registros[DIA],reservavariáveisconsolidadoset[[#Headers],[24]],tabela_registros[REGISTRO],DADOS!$N$6,tabela_registros[TIPO],DADOS!$AJ$4,tabela_registros[CATEGORIA],reservavariáveisconsolidadoset[[#This Row],[ATUAL]])</f>
        <v>0</v>
      </c>
      <c r="AC190" s="119" t="n">
        <f aca="false">SUMIFS(tabela_registros[VALOR],tabela_registros[MÊS],$AE$1,tabela_registros[DIA],reservavariáveisconsolidadoset[[#Headers],[25]],tabela_registros[REGISTRO],DADOS!$N$6,tabela_registros[TIPO],DADOS!$AJ$4,tabela_registros[CATEGORIA],reservavariáveisconsolidadoset[[#This Row],[ATUAL]])</f>
        <v>0</v>
      </c>
      <c r="AD190" s="119" t="n">
        <f aca="false">SUMIFS(tabela_registros[VALOR],tabela_registros[MÊS],$AE$1,tabela_registros[DIA],reservavariáveisconsolidadoset[[#Headers],[26]],tabela_registros[REGISTRO],DADOS!$N$6,tabela_registros[TIPO],DADOS!$AJ$4,tabela_registros[CATEGORIA],reservavariáveisconsolidadoset[[#This Row],[ATUAL]])</f>
        <v>0</v>
      </c>
      <c r="AE190" s="119" t="n">
        <f aca="false">SUMIFS(tabela_registros[VALOR],tabela_registros[MÊS],$AE$1,tabela_registros[DIA],reservavariáveisconsolidadoset[[#Headers],[27]],tabela_registros[REGISTRO],DADOS!$N$6,tabela_registros[TIPO],DADOS!$AJ$4,tabela_registros[CATEGORIA],reservavariáveisconsolidadoset[[#This Row],[ATUAL]])</f>
        <v>0</v>
      </c>
      <c r="AF190" s="119" t="n">
        <f aca="false">SUMIFS(tabela_registros[VALOR],tabela_registros[MÊS],$AE$1,tabela_registros[DIA],reservavariáveisconsolidadoset[[#Headers],[28]],tabela_registros[REGISTRO],DADOS!$N$6,tabela_registros[TIPO],DADOS!$AJ$4,tabela_registros[CATEGORIA],reservavariáveisconsolidadoset[[#This Row],[ATUAL]])</f>
        <v>0</v>
      </c>
      <c r="AG190" s="119" t="n">
        <f aca="false">SUMIFS(tabela_registros[VALOR],tabela_registros[MÊS],$AE$1,tabela_registros[DIA],reservavariáveisconsolidadoset[[#Headers],[29]],tabela_registros[REGISTRO],DADOS!$N$6,tabela_registros[TIPO],DADOS!$AJ$4,tabela_registros[CATEGORIA],reservavariáveisconsolidadoset[[#This Row],[ATUAL]])</f>
        <v>0</v>
      </c>
      <c r="AH190" s="119" t="n">
        <f aca="false">SUMIFS(tabela_registros[VALOR],tabela_registros[MÊS],$AE$1,tabela_registros[DIA],reservavariáveisconsolidadoset[[#Headers],[30]],tabela_registros[REGISTRO],DADOS!$N$6,tabela_registros[TIPO],DADOS!$AJ$4,tabela_registros[CATEGORIA],reservavariáveisconsolidadoset[[#This Row],[ATUAL]])</f>
        <v>0</v>
      </c>
      <c r="AI190" s="217" t="n">
        <f aca="false">SUMIFS(tabela_registros[VALOR],tabela_registros[MÊS],$AE$1,tabela_registros[DIA],reservavariáveisconsolidadoset[[#Headers],[31]],tabela_registros[REGISTRO],DADOS!$N$6,tabela_registros[TIPO],DADOS!$AJ$4,tabela_registros[CATEGORIA],reservavariáveisconsolidadoset[[#This Row],[ATUAL]])</f>
        <v>0</v>
      </c>
      <c r="AJ190" s="149" t="n">
        <f aca="false">SUM(reservavariáveisconsolidadoset[[#This Row],[1]:[31]])</f>
        <v>0</v>
      </c>
      <c r="AK190" s="165"/>
    </row>
    <row r="191" customFormat="false" ht="19.5" hidden="false" customHeight="true" outlineLevel="0" collapsed="false">
      <c r="B191" s="143"/>
      <c r="C191" s="144" t="str">
        <f aca="false">DADOS!$AN$7</f>
        <v>📝 CRIPTOMOEDA</v>
      </c>
      <c r="D191" s="145" t="str">
        <f aca="false">IF(reservavariáveisconsolidadoset[[#This Row],[TOTAL (R$)]]=0,"",IF(OR(reservavariáveisconsolidadoset[[#This Row],[TOTAL (R$)]]=LARGE($AJ$187:$AJ$196,1),reservavariáveisconsolidadoset[[#This Row],[TOTAL (R$)]]=LARGE($AJ$187:$AJ$196,2)),DADOS!$I$11,""))</f>
        <v/>
      </c>
      <c r="E191" s="148" t="n">
        <f aca="false">SUMIFS(tabela_registros[VALOR],tabela_registros[MÊS],$AE$1,tabela_registros[DIA],reservavariáveisconsolidadoset[[#Headers],[1]],tabela_registros[REGISTRO],DADOS!$N$6,tabela_registros[TIPO],DADOS!$AJ$4,tabela_registros[CATEGORIA],reservavariáveisconsolidadoset[[#This Row],[ATUAL]])</f>
        <v>0</v>
      </c>
      <c r="F191" s="119" t="n">
        <f aca="false">SUMIFS(tabela_registros[VALOR],tabela_registros[MÊS],$AE$1,tabela_registros[DIA],reservavariáveisconsolidadoset[[#Headers],[2]],tabela_registros[REGISTRO],DADOS!$N$6,tabela_registros[TIPO],DADOS!$AJ$4,tabela_registros[CATEGORIA],reservavariáveisconsolidadoset[[#This Row],[ATUAL]])</f>
        <v>0</v>
      </c>
      <c r="G191" s="119" t="n">
        <f aca="false">SUMIFS(tabela_registros[VALOR],tabela_registros[MÊS],$AE$1,tabela_registros[DIA],reservavariáveisconsolidadoset[[#Headers],[3]],tabela_registros[REGISTRO],DADOS!$N$6,tabela_registros[TIPO],DADOS!$AJ$4,tabela_registros[CATEGORIA],reservavariáveisconsolidadoset[[#This Row],[ATUAL]])</f>
        <v>0</v>
      </c>
      <c r="H191" s="119" t="n">
        <f aca="false">SUMIFS(tabela_registros[VALOR],tabela_registros[MÊS],$AE$1,tabela_registros[DIA],reservavariáveisconsolidadoset[[#Headers],[4]],tabela_registros[REGISTRO],DADOS!$N$6,tabela_registros[TIPO],DADOS!$AJ$4,tabela_registros[CATEGORIA],reservavariáveisconsolidadoset[[#This Row],[ATUAL]])</f>
        <v>0</v>
      </c>
      <c r="I191" s="119" t="n">
        <f aca="false">SUMIFS(tabela_registros[VALOR],tabela_registros[MÊS],$AE$1,tabela_registros[DIA],reservavariáveisconsolidadoset[[#Headers],[5]],tabela_registros[REGISTRO],DADOS!$N$6,tabela_registros[TIPO],DADOS!$AJ$4,tabela_registros[CATEGORIA],reservavariáveisconsolidadoset[[#This Row],[ATUAL]])</f>
        <v>0</v>
      </c>
      <c r="J191" s="119" t="n">
        <f aca="false">SUMIFS(tabela_registros[VALOR],tabela_registros[MÊS],$AE$1,tabela_registros[DIA],reservavariáveisconsolidadoset[[#Headers],[6]],tabela_registros[REGISTRO],DADOS!$N$6,tabela_registros[TIPO],DADOS!$AJ$4,tabela_registros[CATEGORIA],reservavariáveisconsolidadoset[[#This Row],[ATUAL]])</f>
        <v>0</v>
      </c>
      <c r="K191" s="119" t="n">
        <f aca="false">SUMIFS(tabela_registros[VALOR],tabela_registros[MÊS],$AE$1,tabela_registros[DIA],reservavariáveisconsolidadoset[[#Headers],[7]],tabela_registros[REGISTRO],DADOS!$N$6,tabela_registros[TIPO],DADOS!$AJ$4,tabela_registros[CATEGORIA],reservavariáveisconsolidadoset[[#This Row],[ATUAL]])</f>
        <v>0</v>
      </c>
      <c r="L191" s="119" t="n">
        <f aca="false">SUMIFS(tabela_registros[VALOR],tabela_registros[MÊS],$AE$1,tabela_registros[DIA],reservavariáveisconsolidadoset[[#Headers],[8]],tabela_registros[REGISTRO],DADOS!$N$6,tabela_registros[TIPO],DADOS!$AJ$4,tabela_registros[CATEGORIA],reservavariáveisconsolidadoset[[#This Row],[ATUAL]])</f>
        <v>0</v>
      </c>
      <c r="M191" s="119" t="n">
        <f aca="false">SUMIFS(tabela_registros[VALOR],tabela_registros[MÊS],$AE$1,tabela_registros[DIA],reservavariáveisconsolidadoset[[#Headers],[9]],tabela_registros[REGISTRO],DADOS!$N$6,tabela_registros[TIPO],DADOS!$AJ$4,tabela_registros[CATEGORIA],reservavariáveisconsolidadoset[[#This Row],[ATUAL]])</f>
        <v>0</v>
      </c>
      <c r="N191" s="119" t="n">
        <f aca="false">SUMIFS(tabela_registros[VALOR],tabela_registros[MÊS],$AE$1,tabela_registros[DIA],reservavariáveisconsolidadoset[[#Headers],[10]],tabela_registros[REGISTRO],DADOS!$N$6,tabela_registros[TIPO],DADOS!$AJ$4,tabela_registros[CATEGORIA],reservavariáveisconsolidadoset[[#This Row],[ATUAL]])</f>
        <v>0</v>
      </c>
      <c r="O191" s="119" t="n">
        <f aca="false">SUMIFS(tabela_registros[VALOR],tabela_registros[MÊS],$AE$1,tabela_registros[DIA],reservavariáveisconsolidadoset[[#Headers],[11]],tabela_registros[REGISTRO],DADOS!$N$6,tabela_registros[TIPO],DADOS!$AJ$4,tabela_registros[CATEGORIA],reservavariáveisconsolidadoset[[#This Row],[ATUAL]])</f>
        <v>0</v>
      </c>
      <c r="P191" s="119" t="n">
        <f aca="false">SUMIFS(tabela_registros[VALOR],tabela_registros[MÊS],$AE$1,tabela_registros[DIA],reservavariáveisconsolidadoset[[#Headers],[12]],tabela_registros[REGISTRO],DADOS!$N$6,tabela_registros[TIPO],DADOS!$AJ$4,tabela_registros[CATEGORIA],reservavariáveisconsolidadoset[[#This Row],[ATUAL]])</f>
        <v>0</v>
      </c>
      <c r="Q191" s="119" t="n">
        <f aca="false">SUMIFS(tabela_registros[VALOR],tabela_registros[MÊS],$AE$1,tabela_registros[DIA],reservavariáveisconsolidadoset[[#Headers],[13]],tabela_registros[REGISTRO],DADOS!$N$6,tabela_registros[TIPO],DADOS!$AJ$4,tabela_registros[CATEGORIA],reservavariáveisconsolidadoset[[#This Row],[ATUAL]])</f>
        <v>0</v>
      </c>
      <c r="R191" s="119" t="n">
        <f aca="false">SUMIFS(tabela_registros[VALOR],tabela_registros[MÊS],$AE$1,tabela_registros[DIA],reservavariáveisconsolidadoset[[#Headers],[14]],tabela_registros[REGISTRO],DADOS!$N$6,tabela_registros[TIPO],DADOS!$AJ$4,tabela_registros[CATEGORIA],reservavariáveisconsolidadoset[[#This Row],[ATUAL]])</f>
        <v>0</v>
      </c>
      <c r="S191" s="119" t="n">
        <f aca="false">SUMIFS(tabela_registros[VALOR],tabela_registros[MÊS],$AE$1,tabela_registros[DIA],reservavariáveisconsolidadoset[[#Headers],[15]],tabela_registros[REGISTRO],DADOS!$N$6,tabela_registros[TIPO],DADOS!$AJ$4,tabela_registros[CATEGORIA],reservavariáveisconsolidadoset[[#This Row],[ATUAL]])</f>
        <v>0</v>
      </c>
      <c r="T191" s="119" t="n">
        <f aca="false">SUMIFS(tabela_registros[VALOR],tabela_registros[MÊS],$AE$1,tabela_registros[DIA],reservavariáveisconsolidadoset[[#Headers],[16]],tabela_registros[REGISTRO],DADOS!$N$6,tabela_registros[TIPO],DADOS!$AJ$4,tabela_registros[CATEGORIA],reservavariáveisconsolidadoset[[#This Row],[ATUAL]])</f>
        <v>0</v>
      </c>
      <c r="U191" s="119" t="n">
        <f aca="false">SUMIFS(tabela_registros[VALOR],tabela_registros[MÊS],$AE$1,tabela_registros[DIA],reservavariáveisconsolidadoset[[#Headers],[17]],tabela_registros[REGISTRO],DADOS!$N$6,tabela_registros[TIPO],DADOS!$AJ$4,tabela_registros[CATEGORIA],reservavariáveisconsolidadoset[[#This Row],[ATUAL]])</f>
        <v>0</v>
      </c>
      <c r="V191" s="119" t="n">
        <f aca="false">SUMIFS(tabela_registros[VALOR],tabela_registros[MÊS],$AE$1,tabela_registros[DIA],reservavariáveisconsolidadoset[[#Headers],[18]],tabela_registros[REGISTRO],DADOS!$N$6,tabela_registros[TIPO],DADOS!$AJ$4,tabela_registros[CATEGORIA],reservavariáveisconsolidadoset[[#This Row],[ATUAL]])</f>
        <v>0</v>
      </c>
      <c r="W191" s="119" t="n">
        <f aca="false">SUMIFS(tabela_registros[VALOR],tabela_registros[MÊS],$AE$1,tabela_registros[DIA],reservavariáveisconsolidadoset[[#Headers],[19]],tabela_registros[REGISTRO],DADOS!$N$6,tabela_registros[TIPO],DADOS!$AJ$4,tabela_registros[CATEGORIA],reservavariáveisconsolidadoset[[#This Row],[ATUAL]])</f>
        <v>0</v>
      </c>
      <c r="X191" s="119" t="n">
        <f aca="false">SUMIFS(tabela_registros[VALOR],tabela_registros[MÊS],$AE$1,tabela_registros[DIA],reservavariáveisconsolidadoset[[#Headers],[20]],tabela_registros[REGISTRO],DADOS!$N$6,tabela_registros[TIPO],DADOS!$AJ$4,tabela_registros[CATEGORIA],reservavariáveisconsolidadoset[[#This Row],[ATUAL]])</f>
        <v>0</v>
      </c>
      <c r="Y191" s="119" t="n">
        <f aca="false">SUMIFS(tabela_registros[VALOR],tabela_registros[MÊS],$AE$1,tabela_registros[DIA],reservavariáveisconsolidadoset[[#Headers],[21]],tabela_registros[REGISTRO],DADOS!$N$6,tabela_registros[TIPO],DADOS!$AJ$4,tabela_registros[CATEGORIA],reservavariáveisconsolidadoset[[#This Row],[ATUAL]])</f>
        <v>0</v>
      </c>
      <c r="Z191" s="119" t="n">
        <f aca="false">SUMIFS(tabela_registros[VALOR],tabela_registros[MÊS],$AE$1,tabela_registros[DIA],reservavariáveisconsolidadoset[[#Headers],[22]],tabela_registros[REGISTRO],DADOS!$N$6,tabela_registros[TIPO],DADOS!$AJ$4,tabela_registros[CATEGORIA],reservavariáveisconsolidadoset[[#This Row],[ATUAL]])</f>
        <v>0</v>
      </c>
      <c r="AA191" s="119" t="n">
        <f aca="false">SUMIFS(tabela_registros[VALOR],tabela_registros[MÊS],$AE$1,tabela_registros[DIA],reservavariáveisconsolidadoset[[#Headers],[23]],tabela_registros[REGISTRO],DADOS!$N$6,tabela_registros[TIPO],DADOS!$AJ$4,tabela_registros[CATEGORIA],reservavariáveisconsolidadoset[[#This Row],[ATUAL]])</f>
        <v>0</v>
      </c>
      <c r="AB191" s="119" t="n">
        <f aca="false">SUMIFS(tabela_registros[VALOR],tabela_registros[MÊS],$AE$1,tabela_registros[DIA],reservavariáveisconsolidadoset[[#Headers],[24]],tabela_registros[REGISTRO],DADOS!$N$6,tabela_registros[TIPO],DADOS!$AJ$4,tabela_registros[CATEGORIA],reservavariáveisconsolidadoset[[#This Row],[ATUAL]])</f>
        <v>0</v>
      </c>
      <c r="AC191" s="119" t="n">
        <f aca="false">SUMIFS(tabela_registros[VALOR],tabela_registros[MÊS],$AE$1,tabela_registros[DIA],reservavariáveisconsolidadoset[[#Headers],[25]],tabela_registros[REGISTRO],DADOS!$N$6,tabela_registros[TIPO],DADOS!$AJ$4,tabela_registros[CATEGORIA],reservavariáveisconsolidadoset[[#This Row],[ATUAL]])</f>
        <v>0</v>
      </c>
      <c r="AD191" s="119" t="n">
        <f aca="false">SUMIFS(tabela_registros[VALOR],tabela_registros[MÊS],$AE$1,tabela_registros[DIA],reservavariáveisconsolidadoset[[#Headers],[26]],tabela_registros[REGISTRO],DADOS!$N$6,tabela_registros[TIPO],DADOS!$AJ$4,tabela_registros[CATEGORIA],reservavariáveisconsolidadoset[[#This Row],[ATUAL]])</f>
        <v>0</v>
      </c>
      <c r="AE191" s="119" t="n">
        <f aca="false">SUMIFS(tabela_registros[VALOR],tabela_registros[MÊS],$AE$1,tabela_registros[DIA],reservavariáveisconsolidadoset[[#Headers],[27]],tabela_registros[REGISTRO],DADOS!$N$6,tabela_registros[TIPO],DADOS!$AJ$4,tabela_registros[CATEGORIA],reservavariáveisconsolidadoset[[#This Row],[ATUAL]])</f>
        <v>0</v>
      </c>
      <c r="AF191" s="119" t="n">
        <f aca="false">SUMIFS(tabela_registros[VALOR],tabela_registros[MÊS],$AE$1,tabela_registros[DIA],reservavariáveisconsolidadoset[[#Headers],[28]],tabela_registros[REGISTRO],DADOS!$N$6,tabela_registros[TIPO],DADOS!$AJ$4,tabela_registros[CATEGORIA],reservavariáveisconsolidadoset[[#This Row],[ATUAL]])</f>
        <v>0</v>
      </c>
      <c r="AG191" s="119" t="n">
        <f aca="false">SUMIFS(tabela_registros[VALOR],tabela_registros[MÊS],$AE$1,tabela_registros[DIA],reservavariáveisconsolidadoset[[#Headers],[29]],tabela_registros[REGISTRO],DADOS!$N$6,tabela_registros[TIPO],DADOS!$AJ$4,tabela_registros[CATEGORIA],reservavariáveisconsolidadoset[[#This Row],[ATUAL]])</f>
        <v>0</v>
      </c>
      <c r="AH191" s="119" t="n">
        <f aca="false">SUMIFS(tabela_registros[VALOR],tabela_registros[MÊS],$AE$1,tabela_registros[DIA],reservavariáveisconsolidadoset[[#Headers],[30]],tabela_registros[REGISTRO],DADOS!$N$6,tabela_registros[TIPO],DADOS!$AJ$4,tabela_registros[CATEGORIA],reservavariáveisconsolidadoset[[#This Row],[ATUAL]])</f>
        <v>0</v>
      </c>
      <c r="AI191" s="217" t="n">
        <f aca="false">SUMIFS(tabela_registros[VALOR],tabela_registros[MÊS],$AE$1,tabela_registros[DIA],reservavariáveisconsolidadoset[[#Headers],[31]],tabela_registros[REGISTRO],DADOS!$N$6,tabela_registros[TIPO],DADOS!$AJ$4,tabela_registros[CATEGORIA],reservavariáveisconsolidadoset[[#This Row],[ATUAL]])</f>
        <v>0</v>
      </c>
      <c r="AJ191" s="149" t="n">
        <f aca="false">SUM(reservavariáveisconsolidadoset[[#This Row],[1]:[31]])</f>
        <v>0</v>
      </c>
      <c r="AK191" s="165"/>
    </row>
    <row r="192" customFormat="false" ht="19.5" hidden="false" customHeight="true" outlineLevel="0" collapsed="false">
      <c r="B192" s="143"/>
      <c r="C192" s="144" t="str">
        <f aca="false">DADOS!$AN$8</f>
        <v>📝 ETF</v>
      </c>
      <c r="D192" s="145" t="str">
        <f aca="false">IF(reservavariáveisconsolidadoset[[#This Row],[TOTAL (R$)]]=0,"",IF(OR(reservavariáveisconsolidadoset[[#This Row],[TOTAL (R$)]]=LARGE($AJ$187:$AJ$196,1),reservavariáveisconsolidadoset[[#This Row],[TOTAL (R$)]]=LARGE($AJ$187:$AJ$196,2)),DADOS!$I$11,""))</f>
        <v/>
      </c>
      <c r="E192" s="148" t="n">
        <f aca="false">SUMIFS(tabela_registros[VALOR],tabela_registros[MÊS],$AE$1,tabela_registros[DIA],reservavariáveisconsolidadoset[[#Headers],[1]],tabela_registros[REGISTRO],DADOS!$N$6,tabela_registros[TIPO],DADOS!$AJ$4,tabela_registros[CATEGORIA],reservavariáveisconsolidadoset[[#This Row],[ATUAL]])</f>
        <v>0</v>
      </c>
      <c r="F192" s="119" t="n">
        <f aca="false">SUMIFS(tabela_registros[VALOR],tabela_registros[MÊS],$AE$1,tabela_registros[DIA],reservavariáveisconsolidadoset[[#Headers],[2]],tabela_registros[REGISTRO],DADOS!$N$6,tabela_registros[TIPO],DADOS!$AJ$4,tabela_registros[CATEGORIA],reservavariáveisconsolidadoset[[#This Row],[ATUAL]])</f>
        <v>0</v>
      </c>
      <c r="G192" s="119" t="n">
        <f aca="false">SUMIFS(tabela_registros[VALOR],tabela_registros[MÊS],$AE$1,tabela_registros[DIA],reservavariáveisconsolidadoset[[#Headers],[3]],tabela_registros[REGISTRO],DADOS!$N$6,tabela_registros[TIPO],DADOS!$AJ$4,tabela_registros[CATEGORIA],reservavariáveisconsolidadoset[[#This Row],[ATUAL]])</f>
        <v>0</v>
      </c>
      <c r="H192" s="119" t="n">
        <f aca="false">SUMIFS(tabela_registros[VALOR],tabela_registros[MÊS],$AE$1,tabela_registros[DIA],reservavariáveisconsolidadoset[[#Headers],[4]],tabela_registros[REGISTRO],DADOS!$N$6,tabela_registros[TIPO],DADOS!$AJ$4,tabela_registros[CATEGORIA],reservavariáveisconsolidadoset[[#This Row],[ATUAL]])</f>
        <v>0</v>
      </c>
      <c r="I192" s="119" t="n">
        <f aca="false">SUMIFS(tabela_registros[VALOR],tabela_registros[MÊS],$AE$1,tabela_registros[DIA],reservavariáveisconsolidadoset[[#Headers],[5]],tabela_registros[REGISTRO],DADOS!$N$6,tabela_registros[TIPO],DADOS!$AJ$4,tabela_registros[CATEGORIA],reservavariáveisconsolidadoset[[#This Row],[ATUAL]])</f>
        <v>0</v>
      </c>
      <c r="J192" s="119" t="n">
        <f aca="false">SUMIFS(tabela_registros[VALOR],tabela_registros[MÊS],$AE$1,tabela_registros[DIA],reservavariáveisconsolidadoset[[#Headers],[6]],tabela_registros[REGISTRO],DADOS!$N$6,tabela_registros[TIPO],DADOS!$AJ$4,tabela_registros[CATEGORIA],reservavariáveisconsolidadoset[[#This Row],[ATUAL]])</f>
        <v>0</v>
      </c>
      <c r="K192" s="119" t="n">
        <f aca="false">SUMIFS(tabela_registros[VALOR],tabela_registros[MÊS],$AE$1,tabela_registros[DIA],reservavariáveisconsolidadoset[[#Headers],[7]],tabela_registros[REGISTRO],DADOS!$N$6,tabela_registros[TIPO],DADOS!$AJ$4,tabela_registros[CATEGORIA],reservavariáveisconsolidadoset[[#This Row],[ATUAL]])</f>
        <v>0</v>
      </c>
      <c r="L192" s="119" t="n">
        <f aca="false">SUMIFS(tabela_registros[VALOR],tabela_registros[MÊS],$AE$1,tabela_registros[DIA],reservavariáveisconsolidadoset[[#Headers],[8]],tabela_registros[REGISTRO],DADOS!$N$6,tabela_registros[TIPO],DADOS!$AJ$4,tabela_registros[CATEGORIA],reservavariáveisconsolidadoset[[#This Row],[ATUAL]])</f>
        <v>0</v>
      </c>
      <c r="M192" s="119" t="n">
        <f aca="false">SUMIFS(tabela_registros[VALOR],tabela_registros[MÊS],$AE$1,tabela_registros[DIA],reservavariáveisconsolidadoset[[#Headers],[9]],tabela_registros[REGISTRO],DADOS!$N$6,tabela_registros[TIPO],DADOS!$AJ$4,tabela_registros[CATEGORIA],reservavariáveisconsolidadoset[[#This Row],[ATUAL]])</f>
        <v>0</v>
      </c>
      <c r="N192" s="119" t="n">
        <f aca="false">SUMIFS(tabela_registros[VALOR],tabela_registros[MÊS],$AE$1,tabela_registros[DIA],reservavariáveisconsolidadoset[[#Headers],[10]],tabela_registros[REGISTRO],DADOS!$N$6,tabela_registros[TIPO],DADOS!$AJ$4,tabela_registros[CATEGORIA],reservavariáveisconsolidadoset[[#This Row],[ATUAL]])</f>
        <v>0</v>
      </c>
      <c r="O192" s="119" t="n">
        <f aca="false">SUMIFS(tabela_registros[VALOR],tabela_registros[MÊS],$AE$1,tabela_registros[DIA],reservavariáveisconsolidadoset[[#Headers],[11]],tabela_registros[REGISTRO],DADOS!$N$6,tabela_registros[TIPO],DADOS!$AJ$4,tabela_registros[CATEGORIA],reservavariáveisconsolidadoset[[#This Row],[ATUAL]])</f>
        <v>0</v>
      </c>
      <c r="P192" s="119" t="n">
        <f aca="false">SUMIFS(tabela_registros[VALOR],tabela_registros[MÊS],$AE$1,tabela_registros[DIA],reservavariáveisconsolidadoset[[#Headers],[12]],tabela_registros[REGISTRO],DADOS!$N$6,tabela_registros[TIPO],DADOS!$AJ$4,tabela_registros[CATEGORIA],reservavariáveisconsolidadoset[[#This Row],[ATUAL]])</f>
        <v>0</v>
      </c>
      <c r="Q192" s="119" t="n">
        <f aca="false">SUMIFS(tabela_registros[VALOR],tabela_registros[MÊS],$AE$1,tabela_registros[DIA],reservavariáveisconsolidadoset[[#Headers],[13]],tabela_registros[REGISTRO],DADOS!$N$6,tabela_registros[TIPO],DADOS!$AJ$4,tabela_registros[CATEGORIA],reservavariáveisconsolidadoset[[#This Row],[ATUAL]])</f>
        <v>0</v>
      </c>
      <c r="R192" s="119" t="n">
        <f aca="false">SUMIFS(tabela_registros[VALOR],tabela_registros[MÊS],$AE$1,tabela_registros[DIA],reservavariáveisconsolidadoset[[#Headers],[14]],tabela_registros[REGISTRO],DADOS!$N$6,tabela_registros[TIPO],DADOS!$AJ$4,tabela_registros[CATEGORIA],reservavariáveisconsolidadoset[[#This Row],[ATUAL]])</f>
        <v>0</v>
      </c>
      <c r="S192" s="119" t="n">
        <f aca="false">SUMIFS(tabela_registros[VALOR],tabela_registros[MÊS],$AE$1,tabela_registros[DIA],reservavariáveisconsolidadoset[[#Headers],[15]],tabela_registros[REGISTRO],DADOS!$N$6,tabela_registros[TIPO],DADOS!$AJ$4,tabela_registros[CATEGORIA],reservavariáveisconsolidadoset[[#This Row],[ATUAL]])</f>
        <v>0</v>
      </c>
      <c r="T192" s="119" t="n">
        <f aca="false">SUMIFS(tabela_registros[VALOR],tabela_registros[MÊS],$AE$1,tabela_registros[DIA],reservavariáveisconsolidadoset[[#Headers],[16]],tabela_registros[REGISTRO],DADOS!$N$6,tabela_registros[TIPO],DADOS!$AJ$4,tabela_registros[CATEGORIA],reservavariáveisconsolidadoset[[#This Row],[ATUAL]])</f>
        <v>0</v>
      </c>
      <c r="U192" s="119" t="n">
        <f aca="false">SUMIFS(tabela_registros[VALOR],tabela_registros[MÊS],$AE$1,tabela_registros[DIA],reservavariáveisconsolidadoset[[#Headers],[17]],tabela_registros[REGISTRO],DADOS!$N$6,tabela_registros[TIPO],DADOS!$AJ$4,tabela_registros[CATEGORIA],reservavariáveisconsolidadoset[[#This Row],[ATUAL]])</f>
        <v>0</v>
      </c>
      <c r="V192" s="119" t="n">
        <f aca="false">SUMIFS(tabela_registros[VALOR],tabela_registros[MÊS],$AE$1,tabela_registros[DIA],reservavariáveisconsolidadoset[[#Headers],[18]],tabela_registros[REGISTRO],DADOS!$N$6,tabela_registros[TIPO],DADOS!$AJ$4,tabela_registros[CATEGORIA],reservavariáveisconsolidadoset[[#This Row],[ATUAL]])</f>
        <v>0</v>
      </c>
      <c r="W192" s="119" t="n">
        <f aca="false">SUMIFS(tabela_registros[VALOR],tabela_registros[MÊS],$AE$1,tabela_registros[DIA],reservavariáveisconsolidadoset[[#Headers],[19]],tabela_registros[REGISTRO],DADOS!$N$6,tabela_registros[TIPO],DADOS!$AJ$4,tabela_registros[CATEGORIA],reservavariáveisconsolidadoset[[#This Row],[ATUAL]])</f>
        <v>0</v>
      </c>
      <c r="X192" s="119" t="n">
        <f aca="false">SUMIFS(tabela_registros[VALOR],tabela_registros[MÊS],$AE$1,tabela_registros[DIA],reservavariáveisconsolidadoset[[#Headers],[20]],tabela_registros[REGISTRO],DADOS!$N$6,tabela_registros[TIPO],DADOS!$AJ$4,tabela_registros[CATEGORIA],reservavariáveisconsolidadoset[[#This Row],[ATUAL]])</f>
        <v>0</v>
      </c>
      <c r="Y192" s="119" t="n">
        <f aca="false">SUMIFS(tabela_registros[VALOR],tabela_registros[MÊS],$AE$1,tabela_registros[DIA],reservavariáveisconsolidadoset[[#Headers],[21]],tabela_registros[REGISTRO],DADOS!$N$6,tabela_registros[TIPO],DADOS!$AJ$4,tabela_registros[CATEGORIA],reservavariáveisconsolidadoset[[#This Row],[ATUAL]])</f>
        <v>0</v>
      </c>
      <c r="Z192" s="119" t="n">
        <f aca="false">SUMIFS(tabela_registros[VALOR],tabela_registros[MÊS],$AE$1,tabela_registros[DIA],reservavariáveisconsolidadoset[[#Headers],[22]],tabela_registros[REGISTRO],DADOS!$N$6,tabela_registros[TIPO],DADOS!$AJ$4,tabela_registros[CATEGORIA],reservavariáveisconsolidadoset[[#This Row],[ATUAL]])</f>
        <v>0</v>
      </c>
      <c r="AA192" s="119" t="n">
        <f aca="false">SUMIFS(tabela_registros[VALOR],tabela_registros[MÊS],$AE$1,tabela_registros[DIA],reservavariáveisconsolidadoset[[#Headers],[23]],tabela_registros[REGISTRO],DADOS!$N$6,tabela_registros[TIPO],DADOS!$AJ$4,tabela_registros[CATEGORIA],reservavariáveisconsolidadoset[[#This Row],[ATUAL]])</f>
        <v>0</v>
      </c>
      <c r="AB192" s="119" t="n">
        <f aca="false">SUMIFS(tabela_registros[VALOR],tabela_registros[MÊS],$AE$1,tabela_registros[DIA],reservavariáveisconsolidadoset[[#Headers],[24]],tabela_registros[REGISTRO],DADOS!$N$6,tabela_registros[TIPO],DADOS!$AJ$4,tabela_registros[CATEGORIA],reservavariáveisconsolidadoset[[#This Row],[ATUAL]])</f>
        <v>0</v>
      </c>
      <c r="AC192" s="119" t="n">
        <f aca="false">SUMIFS(tabela_registros[VALOR],tabela_registros[MÊS],$AE$1,tabela_registros[DIA],reservavariáveisconsolidadoset[[#Headers],[25]],tabela_registros[REGISTRO],DADOS!$N$6,tabela_registros[TIPO],DADOS!$AJ$4,tabela_registros[CATEGORIA],reservavariáveisconsolidadoset[[#This Row],[ATUAL]])</f>
        <v>0</v>
      </c>
      <c r="AD192" s="119" t="n">
        <f aca="false">SUMIFS(tabela_registros[VALOR],tabela_registros[MÊS],$AE$1,tabela_registros[DIA],reservavariáveisconsolidadoset[[#Headers],[26]],tabela_registros[REGISTRO],DADOS!$N$6,tabela_registros[TIPO],DADOS!$AJ$4,tabela_registros[CATEGORIA],reservavariáveisconsolidadoset[[#This Row],[ATUAL]])</f>
        <v>0</v>
      </c>
      <c r="AE192" s="119" t="n">
        <f aca="false">SUMIFS(tabela_registros[VALOR],tabela_registros[MÊS],$AE$1,tabela_registros[DIA],reservavariáveisconsolidadoset[[#Headers],[27]],tabela_registros[REGISTRO],DADOS!$N$6,tabela_registros[TIPO],DADOS!$AJ$4,tabela_registros[CATEGORIA],reservavariáveisconsolidadoset[[#This Row],[ATUAL]])</f>
        <v>0</v>
      </c>
      <c r="AF192" s="119" t="n">
        <f aca="false">SUMIFS(tabela_registros[VALOR],tabela_registros[MÊS],$AE$1,tabela_registros[DIA],reservavariáveisconsolidadoset[[#Headers],[28]],tabela_registros[REGISTRO],DADOS!$N$6,tabela_registros[TIPO],DADOS!$AJ$4,tabela_registros[CATEGORIA],reservavariáveisconsolidadoset[[#This Row],[ATUAL]])</f>
        <v>0</v>
      </c>
      <c r="AG192" s="119" t="n">
        <f aca="false">SUMIFS(tabela_registros[VALOR],tabela_registros[MÊS],$AE$1,tabela_registros[DIA],reservavariáveisconsolidadoset[[#Headers],[29]],tabela_registros[REGISTRO],DADOS!$N$6,tabela_registros[TIPO],DADOS!$AJ$4,tabela_registros[CATEGORIA],reservavariáveisconsolidadoset[[#This Row],[ATUAL]])</f>
        <v>0</v>
      </c>
      <c r="AH192" s="119" t="n">
        <f aca="false">SUMIFS(tabela_registros[VALOR],tabela_registros[MÊS],$AE$1,tabela_registros[DIA],reservavariáveisconsolidadoset[[#Headers],[30]],tabela_registros[REGISTRO],DADOS!$N$6,tabela_registros[TIPO],DADOS!$AJ$4,tabela_registros[CATEGORIA],reservavariáveisconsolidadoset[[#This Row],[ATUAL]])</f>
        <v>0</v>
      </c>
      <c r="AI192" s="217" t="n">
        <f aca="false">SUMIFS(tabela_registros[VALOR],tabela_registros[MÊS],$AE$1,tabela_registros[DIA],reservavariáveisconsolidadoset[[#Headers],[31]],tabela_registros[REGISTRO],DADOS!$N$6,tabela_registros[TIPO],DADOS!$AJ$4,tabela_registros[CATEGORIA],reservavariáveisconsolidadoset[[#This Row],[ATUAL]])</f>
        <v>0</v>
      </c>
      <c r="AJ192" s="149" t="n">
        <f aca="false">SUM(reservavariáveisconsolidadoset[[#This Row],[1]:[31]])</f>
        <v>0</v>
      </c>
      <c r="AK192" s="165"/>
    </row>
    <row r="193" customFormat="false" ht="19.5" hidden="false" customHeight="true" outlineLevel="0" collapsed="false">
      <c r="B193" s="143"/>
      <c r="C193" s="144" t="str">
        <f aca="false">DADOS!$AN$9</f>
        <v>📝 EXTERIOR</v>
      </c>
      <c r="D193" s="145" t="str">
        <f aca="false">IF(reservavariáveisconsolidadoset[[#This Row],[TOTAL (R$)]]=0,"",IF(OR(reservavariáveisconsolidadoset[[#This Row],[TOTAL (R$)]]=LARGE($AJ$187:$AJ$196,1),reservavariáveisconsolidadoset[[#This Row],[TOTAL (R$)]]=LARGE($AJ$187:$AJ$196,2)),DADOS!$I$11,""))</f>
        <v/>
      </c>
      <c r="E193" s="148" t="n">
        <f aca="false">SUMIFS(tabela_registros[VALOR],tabela_registros[MÊS],$AE$1,tabela_registros[DIA],reservavariáveisconsolidadoset[[#Headers],[1]],tabela_registros[REGISTRO],DADOS!$N$6,tabela_registros[TIPO],DADOS!$AJ$4,tabela_registros[CATEGORIA],reservavariáveisconsolidadoset[[#This Row],[ATUAL]])</f>
        <v>0</v>
      </c>
      <c r="F193" s="119" t="n">
        <f aca="false">SUMIFS(tabela_registros[VALOR],tabela_registros[MÊS],$AE$1,tabela_registros[DIA],reservavariáveisconsolidadoset[[#Headers],[2]],tabela_registros[REGISTRO],DADOS!$N$6,tabela_registros[TIPO],DADOS!$AJ$4,tabela_registros[CATEGORIA],reservavariáveisconsolidadoset[[#This Row],[ATUAL]])</f>
        <v>0</v>
      </c>
      <c r="G193" s="119" t="n">
        <f aca="false">SUMIFS(tabela_registros[VALOR],tabela_registros[MÊS],$AE$1,tabela_registros[DIA],reservavariáveisconsolidadoset[[#Headers],[3]],tabela_registros[REGISTRO],DADOS!$N$6,tabela_registros[TIPO],DADOS!$AJ$4,tabela_registros[CATEGORIA],reservavariáveisconsolidadoset[[#This Row],[ATUAL]])</f>
        <v>0</v>
      </c>
      <c r="H193" s="119" t="n">
        <f aca="false">SUMIFS(tabela_registros[VALOR],tabela_registros[MÊS],$AE$1,tabela_registros[DIA],reservavariáveisconsolidadoset[[#Headers],[4]],tabela_registros[REGISTRO],DADOS!$N$6,tabela_registros[TIPO],DADOS!$AJ$4,tabela_registros[CATEGORIA],reservavariáveisconsolidadoset[[#This Row],[ATUAL]])</f>
        <v>0</v>
      </c>
      <c r="I193" s="119" t="n">
        <f aca="false">SUMIFS(tabela_registros[VALOR],tabela_registros[MÊS],$AE$1,tabela_registros[DIA],reservavariáveisconsolidadoset[[#Headers],[5]],tabela_registros[REGISTRO],DADOS!$N$6,tabela_registros[TIPO],DADOS!$AJ$4,tabela_registros[CATEGORIA],reservavariáveisconsolidadoset[[#This Row],[ATUAL]])</f>
        <v>0</v>
      </c>
      <c r="J193" s="119" t="n">
        <f aca="false">SUMIFS(tabela_registros[VALOR],tabela_registros[MÊS],$AE$1,tabela_registros[DIA],reservavariáveisconsolidadoset[[#Headers],[6]],tabela_registros[REGISTRO],DADOS!$N$6,tabela_registros[TIPO],DADOS!$AJ$4,tabela_registros[CATEGORIA],reservavariáveisconsolidadoset[[#This Row],[ATUAL]])</f>
        <v>0</v>
      </c>
      <c r="K193" s="119" t="n">
        <f aca="false">SUMIFS(tabela_registros[VALOR],tabela_registros[MÊS],$AE$1,tabela_registros[DIA],reservavariáveisconsolidadoset[[#Headers],[7]],tabela_registros[REGISTRO],DADOS!$N$6,tabela_registros[TIPO],DADOS!$AJ$4,tabela_registros[CATEGORIA],reservavariáveisconsolidadoset[[#This Row],[ATUAL]])</f>
        <v>0</v>
      </c>
      <c r="L193" s="119" t="n">
        <f aca="false">SUMIFS(tabela_registros[VALOR],tabela_registros[MÊS],$AE$1,tabela_registros[DIA],reservavariáveisconsolidadoset[[#Headers],[8]],tabela_registros[REGISTRO],DADOS!$N$6,tabela_registros[TIPO],DADOS!$AJ$4,tabela_registros[CATEGORIA],reservavariáveisconsolidadoset[[#This Row],[ATUAL]])</f>
        <v>0</v>
      </c>
      <c r="M193" s="119" t="n">
        <f aca="false">SUMIFS(tabela_registros[VALOR],tabela_registros[MÊS],$AE$1,tabela_registros[DIA],reservavariáveisconsolidadoset[[#Headers],[9]],tabela_registros[REGISTRO],DADOS!$N$6,tabela_registros[TIPO],DADOS!$AJ$4,tabela_registros[CATEGORIA],reservavariáveisconsolidadoset[[#This Row],[ATUAL]])</f>
        <v>0</v>
      </c>
      <c r="N193" s="119" t="n">
        <f aca="false">SUMIFS(tabela_registros[VALOR],tabela_registros[MÊS],$AE$1,tabela_registros[DIA],reservavariáveisconsolidadoset[[#Headers],[10]],tabela_registros[REGISTRO],DADOS!$N$6,tabela_registros[TIPO],DADOS!$AJ$4,tabela_registros[CATEGORIA],reservavariáveisconsolidadoset[[#This Row],[ATUAL]])</f>
        <v>0</v>
      </c>
      <c r="O193" s="119" t="n">
        <f aca="false">SUMIFS(tabela_registros[VALOR],tabela_registros[MÊS],$AE$1,tabela_registros[DIA],reservavariáveisconsolidadoset[[#Headers],[11]],tabela_registros[REGISTRO],DADOS!$N$6,tabela_registros[TIPO],DADOS!$AJ$4,tabela_registros[CATEGORIA],reservavariáveisconsolidadoset[[#This Row],[ATUAL]])</f>
        <v>0</v>
      </c>
      <c r="P193" s="119" t="n">
        <f aca="false">SUMIFS(tabela_registros[VALOR],tabela_registros[MÊS],$AE$1,tabela_registros[DIA],reservavariáveisconsolidadoset[[#Headers],[12]],tabela_registros[REGISTRO],DADOS!$N$6,tabela_registros[TIPO],DADOS!$AJ$4,tabela_registros[CATEGORIA],reservavariáveisconsolidadoset[[#This Row],[ATUAL]])</f>
        <v>0</v>
      </c>
      <c r="Q193" s="119" t="n">
        <f aca="false">SUMIFS(tabela_registros[VALOR],tabela_registros[MÊS],$AE$1,tabela_registros[DIA],reservavariáveisconsolidadoset[[#Headers],[13]],tabela_registros[REGISTRO],DADOS!$N$6,tabela_registros[TIPO],DADOS!$AJ$4,tabela_registros[CATEGORIA],reservavariáveisconsolidadoset[[#This Row],[ATUAL]])</f>
        <v>0</v>
      </c>
      <c r="R193" s="119" t="n">
        <f aca="false">SUMIFS(tabela_registros[VALOR],tabela_registros[MÊS],$AE$1,tabela_registros[DIA],reservavariáveisconsolidadoset[[#Headers],[14]],tabela_registros[REGISTRO],DADOS!$N$6,tabela_registros[TIPO],DADOS!$AJ$4,tabela_registros[CATEGORIA],reservavariáveisconsolidadoset[[#This Row],[ATUAL]])</f>
        <v>0</v>
      </c>
      <c r="S193" s="119" t="n">
        <f aca="false">SUMIFS(tabela_registros[VALOR],tabela_registros[MÊS],$AE$1,tabela_registros[DIA],reservavariáveisconsolidadoset[[#Headers],[15]],tabela_registros[REGISTRO],DADOS!$N$6,tabela_registros[TIPO],DADOS!$AJ$4,tabela_registros[CATEGORIA],reservavariáveisconsolidadoset[[#This Row],[ATUAL]])</f>
        <v>0</v>
      </c>
      <c r="T193" s="119" t="n">
        <f aca="false">SUMIFS(tabela_registros[VALOR],tabela_registros[MÊS],$AE$1,tabela_registros[DIA],reservavariáveisconsolidadoset[[#Headers],[16]],tabela_registros[REGISTRO],DADOS!$N$6,tabela_registros[TIPO],DADOS!$AJ$4,tabela_registros[CATEGORIA],reservavariáveisconsolidadoset[[#This Row],[ATUAL]])</f>
        <v>0</v>
      </c>
      <c r="U193" s="119" t="n">
        <f aca="false">SUMIFS(tabela_registros[VALOR],tabela_registros[MÊS],$AE$1,tabela_registros[DIA],reservavariáveisconsolidadoset[[#Headers],[17]],tabela_registros[REGISTRO],DADOS!$N$6,tabela_registros[TIPO],DADOS!$AJ$4,tabela_registros[CATEGORIA],reservavariáveisconsolidadoset[[#This Row],[ATUAL]])</f>
        <v>0</v>
      </c>
      <c r="V193" s="119" t="n">
        <f aca="false">SUMIFS(tabela_registros[VALOR],tabela_registros[MÊS],$AE$1,tabela_registros[DIA],reservavariáveisconsolidadoset[[#Headers],[18]],tabela_registros[REGISTRO],DADOS!$N$6,tabela_registros[TIPO],DADOS!$AJ$4,tabela_registros[CATEGORIA],reservavariáveisconsolidadoset[[#This Row],[ATUAL]])</f>
        <v>0</v>
      </c>
      <c r="W193" s="119" t="n">
        <f aca="false">SUMIFS(tabela_registros[VALOR],tabela_registros[MÊS],$AE$1,tabela_registros[DIA],reservavariáveisconsolidadoset[[#Headers],[19]],tabela_registros[REGISTRO],DADOS!$N$6,tabela_registros[TIPO],DADOS!$AJ$4,tabela_registros[CATEGORIA],reservavariáveisconsolidadoset[[#This Row],[ATUAL]])</f>
        <v>0</v>
      </c>
      <c r="X193" s="119" t="n">
        <f aca="false">SUMIFS(tabela_registros[VALOR],tabela_registros[MÊS],$AE$1,tabela_registros[DIA],reservavariáveisconsolidadoset[[#Headers],[20]],tabela_registros[REGISTRO],DADOS!$N$6,tabela_registros[TIPO],DADOS!$AJ$4,tabela_registros[CATEGORIA],reservavariáveisconsolidadoset[[#This Row],[ATUAL]])</f>
        <v>0</v>
      </c>
      <c r="Y193" s="119" t="n">
        <f aca="false">SUMIFS(tabela_registros[VALOR],tabela_registros[MÊS],$AE$1,tabela_registros[DIA],reservavariáveisconsolidadoset[[#Headers],[21]],tabela_registros[REGISTRO],DADOS!$N$6,tabela_registros[TIPO],DADOS!$AJ$4,tabela_registros[CATEGORIA],reservavariáveisconsolidadoset[[#This Row],[ATUAL]])</f>
        <v>0</v>
      </c>
      <c r="Z193" s="119" t="n">
        <f aca="false">SUMIFS(tabela_registros[VALOR],tabela_registros[MÊS],$AE$1,tabela_registros[DIA],reservavariáveisconsolidadoset[[#Headers],[22]],tabela_registros[REGISTRO],DADOS!$N$6,tabela_registros[TIPO],DADOS!$AJ$4,tabela_registros[CATEGORIA],reservavariáveisconsolidadoset[[#This Row],[ATUAL]])</f>
        <v>0</v>
      </c>
      <c r="AA193" s="119" t="n">
        <f aca="false">SUMIFS(tabela_registros[VALOR],tabela_registros[MÊS],$AE$1,tabela_registros[DIA],reservavariáveisconsolidadoset[[#Headers],[23]],tabela_registros[REGISTRO],DADOS!$N$6,tabela_registros[TIPO],DADOS!$AJ$4,tabela_registros[CATEGORIA],reservavariáveisconsolidadoset[[#This Row],[ATUAL]])</f>
        <v>0</v>
      </c>
      <c r="AB193" s="119" t="n">
        <f aca="false">SUMIFS(tabela_registros[VALOR],tabela_registros[MÊS],$AE$1,tabela_registros[DIA],reservavariáveisconsolidadoset[[#Headers],[24]],tabela_registros[REGISTRO],DADOS!$N$6,tabela_registros[TIPO],DADOS!$AJ$4,tabela_registros[CATEGORIA],reservavariáveisconsolidadoset[[#This Row],[ATUAL]])</f>
        <v>0</v>
      </c>
      <c r="AC193" s="119" t="n">
        <f aca="false">SUMIFS(tabela_registros[VALOR],tabela_registros[MÊS],$AE$1,tabela_registros[DIA],reservavariáveisconsolidadoset[[#Headers],[25]],tabela_registros[REGISTRO],DADOS!$N$6,tabela_registros[TIPO],DADOS!$AJ$4,tabela_registros[CATEGORIA],reservavariáveisconsolidadoset[[#This Row],[ATUAL]])</f>
        <v>0</v>
      </c>
      <c r="AD193" s="119" t="n">
        <f aca="false">SUMIFS(tabela_registros[VALOR],tabela_registros[MÊS],$AE$1,tabela_registros[DIA],reservavariáveisconsolidadoset[[#Headers],[26]],tabela_registros[REGISTRO],DADOS!$N$6,tabela_registros[TIPO],DADOS!$AJ$4,tabela_registros[CATEGORIA],reservavariáveisconsolidadoset[[#This Row],[ATUAL]])</f>
        <v>0</v>
      </c>
      <c r="AE193" s="119" t="n">
        <f aca="false">SUMIFS(tabela_registros[VALOR],tabela_registros[MÊS],$AE$1,tabela_registros[DIA],reservavariáveisconsolidadoset[[#Headers],[27]],tabela_registros[REGISTRO],DADOS!$N$6,tabela_registros[TIPO],DADOS!$AJ$4,tabela_registros[CATEGORIA],reservavariáveisconsolidadoset[[#This Row],[ATUAL]])</f>
        <v>0</v>
      </c>
      <c r="AF193" s="119" t="n">
        <f aca="false">SUMIFS(tabela_registros[VALOR],tabela_registros[MÊS],$AE$1,tabela_registros[DIA],reservavariáveisconsolidadoset[[#Headers],[28]],tabela_registros[REGISTRO],DADOS!$N$6,tabela_registros[TIPO],DADOS!$AJ$4,tabela_registros[CATEGORIA],reservavariáveisconsolidadoset[[#This Row],[ATUAL]])</f>
        <v>0</v>
      </c>
      <c r="AG193" s="119" t="n">
        <f aca="false">SUMIFS(tabela_registros[VALOR],tabela_registros[MÊS],$AE$1,tabela_registros[DIA],reservavariáveisconsolidadoset[[#Headers],[29]],tabela_registros[REGISTRO],DADOS!$N$6,tabela_registros[TIPO],DADOS!$AJ$4,tabela_registros[CATEGORIA],reservavariáveisconsolidadoset[[#This Row],[ATUAL]])</f>
        <v>0</v>
      </c>
      <c r="AH193" s="119" t="n">
        <f aca="false">SUMIFS(tabela_registros[VALOR],tabela_registros[MÊS],$AE$1,tabela_registros[DIA],reservavariáveisconsolidadoset[[#Headers],[30]],tabela_registros[REGISTRO],DADOS!$N$6,tabela_registros[TIPO],DADOS!$AJ$4,tabela_registros[CATEGORIA],reservavariáveisconsolidadoset[[#This Row],[ATUAL]])</f>
        <v>0</v>
      </c>
      <c r="AI193" s="217" t="n">
        <f aca="false">SUMIFS(tabela_registros[VALOR],tabela_registros[MÊS],$AE$1,tabela_registros[DIA],reservavariáveisconsolidadoset[[#Headers],[31]],tabela_registros[REGISTRO],DADOS!$N$6,tabela_registros[TIPO],DADOS!$AJ$4,tabela_registros[CATEGORIA],reservavariáveisconsolidadoset[[#This Row],[ATUAL]])</f>
        <v>0</v>
      </c>
      <c r="AJ193" s="149" t="n">
        <f aca="false">SUM(reservavariáveisconsolidadoset[[#This Row],[1]:[31]])</f>
        <v>0</v>
      </c>
      <c r="AK193" s="165"/>
    </row>
    <row r="194" customFormat="false" ht="19.5" hidden="false" customHeight="true" outlineLevel="0" collapsed="false">
      <c r="B194" s="143"/>
      <c r="C194" s="144" t="str">
        <f aca="false">DADOS!$AN$10</f>
        <v>📝 FII</v>
      </c>
      <c r="D194" s="145" t="str">
        <f aca="false">IF(reservavariáveisconsolidadoset[[#This Row],[TOTAL (R$)]]=0,"",IF(OR(reservavariáveisconsolidadoset[[#This Row],[TOTAL (R$)]]=LARGE($AJ$187:$AJ$196,1),reservavariáveisconsolidadoset[[#This Row],[TOTAL (R$)]]=LARGE($AJ$187:$AJ$196,2)),DADOS!$I$11,""))</f>
        <v/>
      </c>
      <c r="E194" s="148" t="n">
        <f aca="false">SUMIFS(tabela_registros[VALOR],tabela_registros[MÊS],$AE$1,tabela_registros[DIA],reservavariáveisconsolidadoset[[#Headers],[1]],tabela_registros[REGISTRO],DADOS!$N$6,tabela_registros[TIPO],DADOS!$AJ$4,tabela_registros[CATEGORIA],reservavariáveisconsolidadoset[[#This Row],[ATUAL]])</f>
        <v>0</v>
      </c>
      <c r="F194" s="119" t="n">
        <f aca="false">SUMIFS(tabela_registros[VALOR],tabela_registros[MÊS],$AE$1,tabela_registros[DIA],reservavariáveisconsolidadoset[[#Headers],[2]],tabela_registros[REGISTRO],DADOS!$N$6,tabela_registros[TIPO],DADOS!$AJ$4,tabela_registros[CATEGORIA],reservavariáveisconsolidadoset[[#This Row],[ATUAL]])</f>
        <v>0</v>
      </c>
      <c r="G194" s="119" t="n">
        <f aca="false">SUMIFS(tabela_registros[VALOR],tabela_registros[MÊS],$AE$1,tabela_registros[DIA],reservavariáveisconsolidadoset[[#Headers],[3]],tabela_registros[REGISTRO],DADOS!$N$6,tabela_registros[TIPO],DADOS!$AJ$4,tabela_registros[CATEGORIA],reservavariáveisconsolidadoset[[#This Row],[ATUAL]])</f>
        <v>0</v>
      </c>
      <c r="H194" s="119" t="n">
        <f aca="false">SUMIFS(tabela_registros[VALOR],tabela_registros[MÊS],$AE$1,tabela_registros[DIA],reservavariáveisconsolidadoset[[#Headers],[4]],tabela_registros[REGISTRO],DADOS!$N$6,tabela_registros[TIPO],DADOS!$AJ$4,tabela_registros[CATEGORIA],reservavariáveisconsolidadoset[[#This Row],[ATUAL]])</f>
        <v>0</v>
      </c>
      <c r="I194" s="119" t="n">
        <f aca="false">SUMIFS(tabela_registros[VALOR],tabela_registros[MÊS],$AE$1,tabela_registros[DIA],reservavariáveisconsolidadoset[[#Headers],[5]],tabela_registros[REGISTRO],DADOS!$N$6,tabela_registros[TIPO],DADOS!$AJ$4,tabela_registros[CATEGORIA],reservavariáveisconsolidadoset[[#This Row],[ATUAL]])</f>
        <v>0</v>
      </c>
      <c r="J194" s="119" t="n">
        <f aca="false">SUMIFS(tabela_registros[VALOR],tabela_registros[MÊS],$AE$1,tabela_registros[DIA],reservavariáveisconsolidadoset[[#Headers],[6]],tabela_registros[REGISTRO],DADOS!$N$6,tabela_registros[TIPO],DADOS!$AJ$4,tabela_registros[CATEGORIA],reservavariáveisconsolidadoset[[#This Row],[ATUAL]])</f>
        <v>0</v>
      </c>
      <c r="K194" s="119" t="n">
        <f aca="false">SUMIFS(tabela_registros[VALOR],tabela_registros[MÊS],$AE$1,tabela_registros[DIA],reservavariáveisconsolidadoset[[#Headers],[7]],tabela_registros[REGISTRO],DADOS!$N$6,tabela_registros[TIPO],DADOS!$AJ$4,tabela_registros[CATEGORIA],reservavariáveisconsolidadoset[[#This Row],[ATUAL]])</f>
        <v>0</v>
      </c>
      <c r="L194" s="119" t="n">
        <f aca="false">SUMIFS(tabela_registros[VALOR],tabela_registros[MÊS],$AE$1,tabela_registros[DIA],reservavariáveisconsolidadoset[[#Headers],[8]],tabela_registros[REGISTRO],DADOS!$N$6,tabela_registros[TIPO],DADOS!$AJ$4,tabela_registros[CATEGORIA],reservavariáveisconsolidadoset[[#This Row],[ATUAL]])</f>
        <v>0</v>
      </c>
      <c r="M194" s="119" t="n">
        <f aca="false">SUMIFS(tabela_registros[VALOR],tabela_registros[MÊS],$AE$1,tabela_registros[DIA],reservavariáveisconsolidadoset[[#Headers],[9]],tabela_registros[REGISTRO],DADOS!$N$6,tabela_registros[TIPO],DADOS!$AJ$4,tabela_registros[CATEGORIA],reservavariáveisconsolidadoset[[#This Row],[ATUAL]])</f>
        <v>0</v>
      </c>
      <c r="N194" s="119" t="n">
        <f aca="false">SUMIFS(tabela_registros[VALOR],tabela_registros[MÊS],$AE$1,tabela_registros[DIA],reservavariáveisconsolidadoset[[#Headers],[10]],tabela_registros[REGISTRO],DADOS!$N$6,tabela_registros[TIPO],DADOS!$AJ$4,tabela_registros[CATEGORIA],reservavariáveisconsolidadoset[[#This Row],[ATUAL]])</f>
        <v>0</v>
      </c>
      <c r="O194" s="119" t="n">
        <f aca="false">SUMIFS(tabela_registros[VALOR],tabela_registros[MÊS],$AE$1,tabela_registros[DIA],reservavariáveisconsolidadoset[[#Headers],[11]],tabela_registros[REGISTRO],DADOS!$N$6,tabela_registros[TIPO],DADOS!$AJ$4,tabela_registros[CATEGORIA],reservavariáveisconsolidadoset[[#This Row],[ATUAL]])</f>
        <v>0</v>
      </c>
      <c r="P194" s="119" t="n">
        <f aca="false">SUMIFS(tabela_registros[VALOR],tabela_registros[MÊS],$AE$1,tabela_registros[DIA],reservavariáveisconsolidadoset[[#Headers],[12]],tabela_registros[REGISTRO],DADOS!$N$6,tabela_registros[TIPO],DADOS!$AJ$4,tabela_registros[CATEGORIA],reservavariáveisconsolidadoset[[#This Row],[ATUAL]])</f>
        <v>0</v>
      </c>
      <c r="Q194" s="119" t="n">
        <f aca="false">SUMIFS(tabela_registros[VALOR],tabela_registros[MÊS],$AE$1,tabela_registros[DIA],reservavariáveisconsolidadoset[[#Headers],[13]],tabela_registros[REGISTRO],DADOS!$N$6,tabela_registros[TIPO],DADOS!$AJ$4,tabela_registros[CATEGORIA],reservavariáveisconsolidadoset[[#This Row],[ATUAL]])</f>
        <v>0</v>
      </c>
      <c r="R194" s="119" t="n">
        <f aca="false">SUMIFS(tabela_registros[VALOR],tabela_registros[MÊS],$AE$1,tabela_registros[DIA],reservavariáveisconsolidadoset[[#Headers],[14]],tabela_registros[REGISTRO],DADOS!$N$6,tabela_registros[TIPO],DADOS!$AJ$4,tabela_registros[CATEGORIA],reservavariáveisconsolidadoset[[#This Row],[ATUAL]])</f>
        <v>0</v>
      </c>
      <c r="S194" s="119" t="n">
        <f aca="false">SUMIFS(tabela_registros[VALOR],tabela_registros[MÊS],$AE$1,tabela_registros[DIA],reservavariáveisconsolidadoset[[#Headers],[15]],tabela_registros[REGISTRO],DADOS!$N$6,tabela_registros[TIPO],DADOS!$AJ$4,tabela_registros[CATEGORIA],reservavariáveisconsolidadoset[[#This Row],[ATUAL]])</f>
        <v>0</v>
      </c>
      <c r="T194" s="119" t="n">
        <f aca="false">SUMIFS(tabela_registros[VALOR],tabela_registros[MÊS],$AE$1,tabela_registros[DIA],reservavariáveisconsolidadoset[[#Headers],[16]],tabela_registros[REGISTRO],DADOS!$N$6,tabela_registros[TIPO],DADOS!$AJ$4,tabela_registros[CATEGORIA],reservavariáveisconsolidadoset[[#This Row],[ATUAL]])</f>
        <v>0</v>
      </c>
      <c r="U194" s="119" t="n">
        <f aca="false">SUMIFS(tabela_registros[VALOR],tabela_registros[MÊS],$AE$1,tabela_registros[DIA],reservavariáveisconsolidadoset[[#Headers],[17]],tabela_registros[REGISTRO],DADOS!$N$6,tabela_registros[TIPO],DADOS!$AJ$4,tabela_registros[CATEGORIA],reservavariáveisconsolidadoset[[#This Row],[ATUAL]])</f>
        <v>0</v>
      </c>
      <c r="V194" s="119" t="n">
        <f aca="false">SUMIFS(tabela_registros[VALOR],tabela_registros[MÊS],$AE$1,tabela_registros[DIA],reservavariáveisconsolidadoset[[#Headers],[18]],tabela_registros[REGISTRO],DADOS!$N$6,tabela_registros[TIPO],DADOS!$AJ$4,tabela_registros[CATEGORIA],reservavariáveisconsolidadoset[[#This Row],[ATUAL]])</f>
        <v>0</v>
      </c>
      <c r="W194" s="119" t="n">
        <f aca="false">SUMIFS(tabela_registros[VALOR],tabela_registros[MÊS],$AE$1,tabela_registros[DIA],reservavariáveisconsolidadoset[[#Headers],[19]],tabela_registros[REGISTRO],DADOS!$N$6,tabela_registros[TIPO],DADOS!$AJ$4,tabela_registros[CATEGORIA],reservavariáveisconsolidadoset[[#This Row],[ATUAL]])</f>
        <v>0</v>
      </c>
      <c r="X194" s="119" t="n">
        <f aca="false">SUMIFS(tabela_registros[VALOR],tabela_registros[MÊS],$AE$1,tabela_registros[DIA],reservavariáveisconsolidadoset[[#Headers],[20]],tabela_registros[REGISTRO],DADOS!$N$6,tabela_registros[TIPO],DADOS!$AJ$4,tabela_registros[CATEGORIA],reservavariáveisconsolidadoset[[#This Row],[ATUAL]])</f>
        <v>0</v>
      </c>
      <c r="Y194" s="119" t="n">
        <f aca="false">SUMIFS(tabela_registros[VALOR],tabela_registros[MÊS],$AE$1,tabela_registros[DIA],reservavariáveisconsolidadoset[[#Headers],[21]],tabela_registros[REGISTRO],DADOS!$N$6,tabela_registros[TIPO],DADOS!$AJ$4,tabela_registros[CATEGORIA],reservavariáveisconsolidadoset[[#This Row],[ATUAL]])</f>
        <v>0</v>
      </c>
      <c r="Z194" s="119" t="n">
        <f aca="false">SUMIFS(tabela_registros[VALOR],tabela_registros[MÊS],$AE$1,tabela_registros[DIA],reservavariáveisconsolidadoset[[#Headers],[22]],tabela_registros[REGISTRO],DADOS!$N$6,tabela_registros[TIPO],DADOS!$AJ$4,tabela_registros[CATEGORIA],reservavariáveisconsolidadoset[[#This Row],[ATUAL]])</f>
        <v>0</v>
      </c>
      <c r="AA194" s="119" t="n">
        <f aca="false">SUMIFS(tabela_registros[VALOR],tabela_registros[MÊS],$AE$1,tabela_registros[DIA],reservavariáveisconsolidadoset[[#Headers],[23]],tabela_registros[REGISTRO],DADOS!$N$6,tabela_registros[TIPO],DADOS!$AJ$4,tabela_registros[CATEGORIA],reservavariáveisconsolidadoset[[#This Row],[ATUAL]])</f>
        <v>0</v>
      </c>
      <c r="AB194" s="119" t="n">
        <f aca="false">SUMIFS(tabela_registros[VALOR],tabela_registros[MÊS],$AE$1,tabela_registros[DIA],reservavariáveisconsolidadoset[[#Headers],[24]],tabela_registros[REGISTRO],DADOS!$N$6,tabela_registros[TIPO],DADOS!$AJ$4,tabela_registros[CATEGORIA],reservavariáveisconsolidadoset[[#This Row],[ATUAL]])</f>
        <v>0</v>
      </c>
      <c r="AC194" s="119" t="n">
        <f aca="false">SUMIFS(tabela_registros[VALOR],tabela_registros[MÊS],$AE$1,tabela_registros[DIA],reservavariáveisconsolidadoset[[#Headers],[25]],tabela_registros[REGISTRO],DADOS!$N$6,tabela_registros[TIPO],DADOS!$AJ$4,tabela_registros[CATEGORIA],reservavariáveisconsolidadoset[[#This Row],[ATUAL]])</f>
        <v>0</v>
      </c>
      <c r="AD194" s="119" t="n">
        <f aca="false">SUMIFS(tabela_registros[VALOR],tabela_registros[MÊS],$AE$1,tabela_registros[DIA],reservavariáveisconsolidadoset[[#Headers],[26]],tabela_registros[REGISTRO],DADOS!$N$6,tabela_registros[TIPO],DADOS!$AJ$4,tabela_registros[CATEGORIA],reservavariáveisconsolidadoset[[#This Row],[ATUAL]])</f>
        <v>0</v>
      </c>
      <c r="AE194" s="119" t="n">
        <f aca="false">SUMIFS(tabela_registros[VALOR],tabela_registros[MÊS],$AE$1,tabela_registros[DIA],reservavariáveisconsolidadoset[[#Headers],[27]],tabela_registros[REGISTRO],DADOS!$N$6,tabela_registros[TIPO],DADOS!$AJ$4,tabela_registros[CATEGORIA],reservavariáveisconsolidadoset[[#This Row],[ATUAL]])</f>
        <v>0</v>
      </c>
      <c r="AF194" s="119" t="n">
        <f aca="false">SUMIFS(tabela_registros[VALOR],tabela_registros[MÊS],$AE$1,tabela_registros[DIA],reservavariáveisconsolidadoset[[#Headers],[28]],tabela_registros[REGISTRO],DADOS!$N$6,tabela_registros[TIPO],DADOS!$AJ$4,tabela_registros[CATEGORIA],reservavariáveisconsolidadoset[[#This Row],[ATUAL]])</f>
        <v>0</v>
      </c>
      <c r="AG194" s="119" t="n">
        <f aca="false">SUMIFS(tabela_registros[VALOR],tabela_registros[MÊS],$AE$1,tabela_registros[DIA],reservavariáveisconsolidadoset[[#Headers],[29]],tabela_registros[REGISTRO],DADOS!$N$6,tabela_registros[TIPO],DADOS!$AJ$4,tabela_registros[CATEGORIA],reservavariáveisconsolidadoset[[#This Row],[ATUAL]])</f>
        <v>0</v>
      </c>
      <c r="AH194" s="119" t="n">
        <f aca="false">SUMIFS(tabela_registros[VALOR],tabela_registros[MÊS],$AE$1,tabela_registros[DIA],reservavariáveisconsolidadoset[[#Headers],[30]],tabela_registros[REGISTRO],DADOS!$N$6,tabela_registros[TIPO],DADOS!$AJ$4,tabela_registros[CATEGORIA],reservavariáveisconsolidadoset[[#This Row],[ATUAL]])</f>
        <v>0</v>
      </c>
      <c r="AI194" s="217" t="n">
        <f aca="false">SUMIFS(tabela_registros[VALOR],tabela_registros[MÊS],$AE$1,tabela_registros[DIA],reservavariáveisconsolidadoset[[#Headers],[31]],tabela_registros[REGISTRO],DADOS!$N$6,tabela_registros[TIPO],DADOS!$AJ$4,tabela_registros[CATEGORIA],reservavariáveisconsolidadoset[[#This Row],[ATUAL]])</f>
        <v>0</v>
      </c>
      <c r="AJ194" s="149" t="n">
        <f aca="false">SUM(reservavariáveisconsolidadoset[[#This Row],[1]:[31]])</f>
        <v>0</v>
      </c>
      <c r="AK194" s="165"/>
    </row>
    <row r="195" customFormat="false" ht="19.5" hidden="false" customHeight="true" outlineLevel="0" collapsed="false">
      <c r="B195" s="143"/>
      <c r="C195" s="144" t="str">
        <f aca="false">DADOS!$AN$11</f>
        <v>📝 MOEDA</v>
      </c>
      <c r="D195" s="145" t="str">
        <f aca="false">IF(reservavariáveisconsolidadoset[[#This Row],[TOTAL (R$)]]=0,"",IF(OR(reservavariáveisconsolidadoset[[#This Row],[TOTAL (R$)]]=LARGE($AJ$187:$AJ$196,1),reservavariáveisconsolidadoset[[#This Row],[TOTAL (R$)]]=LARGE($AJ$187:$AJ$196,2)),DADOS!$I$11,""))</f>
        <v/>
      </c>
      <c r="E195" s="148" t="n">
        <f aca="false">SUMIFS(tabela_registros[VALOR],tabela_registros[MÊS],$AE$1,tabela_registros[DIA],reservavariáveisconsolidadoset[[#Headers],[1]],tabela_registros[REGISTRO],DADOS!$N$6,tabela_registros[TIPO],DADOS!$AJ$4,tabela_registros[CATEGORIA],reservavariáveisconsolidadoset[[#This Row],[ATUAL]])</f>
        <v>0</v>
      </c>
      <c r="F195" s="119" t="n">
        <f aca="false">SUMIFS(tabela_registros[VALOR],tabela_registros[MÊS],$AE$1,tabela_registros[DIA],reservavariáveisconsolidadoset[[#Headers],[2]],tabela_registros[REGISTRO],DADOS!$N$6,tabela_registros[TIPO],DADOS!$AJ$4,tabela_registros[CATEGORIA],reservavariáveisconsolidadoset[[#This Row],[ATUAL]])</f>
        <v>0</v>
      </c>
      <c r="G195" s="119" t="n">
        <f aca="false">SUMIFS(tabela_registros[VALOR],tabela_registros[MÊS],$AE$1,tabela_registros[DIA],reservavariáveisconsolidadoset[[#Headers],[3]],tabela_registros[REGISTRO],DADOS!$N$6,tabela_registros[TIPO],DADOS!$AJ$4,tabela_registros[CATEGORIA],reservavariáveisconsolidadoset[[#This Row],[ATUAL]])</f>
        <v>0</v>
      </c>
      <c r="H195" s="119" t="n">
        <f aca="false">SUMIFS(tabela_registros[VALOR],tabela_registros[MÊS],$AE$1,tabela_registros[DIA],reservavariáveisconsolidadoset[[#Headers],[4]],tabela_registros[REGISTRO],DADOS!$N$6,tabela_registros[TIPO],DADOS!$AJ$4,tabela_registros[CATEGORIA],reservavariáveisconsolidadoset[[#This Row],[ATUAL]])</f>
        <v>0</v>
      </c>
      <c r="I195" s="119" t="n">
        <f aca="false">SUMIFS(tabela_registros[VALOR],tabela_registros[MÊS],$AE$1,tabela_registros[DIA],reservavariáveisconsolidadoset[[#Headers],[5]],tabela_registros[REGISTRO],DADOS!$N$6,tabela_registros[TIPO],DADOS!$AJ$4,tabela_registros[CATEGORIA],reservavariáveisconsolidadoset[[#This Row],[ATUAL]])</f>
        <v>0</v>
      </c>
      <c r="J195" s="119" t="n">
        <f aca="false">SUMIFS(tabela_registros[VALOR],tabela_registros[MÊS],$AE$1,tabela_registros[DIA],reservavariáveisconsolidadoset[[#Headers],[6]],tabela_registros[REGISTRO],DADOS!$N$6,tabela_registros[TIPO],DADOS!$AJ$4,tabela_registros[CATEGORIA],reservavariáveisconsolidadoset[[#This Row],[ATUAL]])</f>
        <v>0</v>
      </c>
      <c r="K195" s="119" t="n">
        <f aca="false">SUMIFS(tabela_registros[VALOR],tabela_registros[MÊS],$AE$1,tabela_registros[DIA],reservavariáveisconsolidadoset[[#Headers],[7]],tabela_registros[REGISTRO],DADOS!$N$6,tabela_registros[TIPO],DADOS!$AJ$4,tabela_registros[CATEGORIA],reservavariáveisconsolidadoset[[#This Row],[ATUAL]])</f>
        <v>0</v>
      </c>
      <c r="L195" s="119" t="n">
        <f aca="false">SUMIFS(tabela_registros[VALOR],tabela_registros[MÊS],$AE$1,tabela_registros[DIA],reservavariáveisconsolidadoset[[#Headers],[8]],tabela_registros[REGISTRO],DADOS!$N$6,tabela_registros[TIPO],DADOS!$AJ$4,tabela_registros[CATEGORIA],reservavariáveisconsolidadoset[[#This Row],[ATUAL]])</f>
        <v>0</v>
      </c>
      <c r="M195" s="119" t="n">
        <f aca="false">SUMIFS(tabela_registros[VALOR],tabela_registros[MÊS],$AE$1,tabela_registros[DIA],reservavariáveisconsolidadoset[[#Headers],[9]],tabela_registros[REGISTRO],DADOS!$N$6,tabela_registros[TIPO],DADOS!$AJ$4,tabela_registros[CATEGORIA],reservavariáveisconsolidadoset[[#This Row],[ATUAL]])</f>
        <v>0</v>
      </c>
      <c r="N195" s="119" t="n">
        <f aca="false">SUMIFS(tabela_registros[VALOR],tabela_registros[MÊS],$AE$1,tabela_registros[DIA],reservavariáveisconsolidadoset[[#Headers],[10]],tabela_registros[REGISTRO],DADOS!$N$6,tabela_registros[TIPO],DADOS!$AJ$4,tabela_registros[CATEGORIA],reservavariáveisconsolidadoset[[#This Row],[ATUAL]])</f>
        <v>0</v>
      </c>
      <c r="O195" s="119" t="n">
        <f aca="false">SUMIFS(tabela_registros[VALOR],tabela_registros[MÊS],$AE$1,tabela_registros[DIA],reservavariáveisconsolidadoset[[#Headers],[11]],tabela_registros[REGISTRO],DADOS!$N$6,tabela_registros[TIPO],DADOS!$AJ$4,tabela_registros[CATEGORIA],reservavariáveisconsolidadoset[[#This Row],[ATUAL]])</f>
        <v>0</v>
      </c>
      <c r="P195" s="119" t="n">
        <f aca="false">SUMIFS(tabela_registros[VALOR],tabela_registros[MÊS],$AE$1,tabela_registros[DIA],reservavariáveisconsolidadoset[[#Headers],[12]],tabela_registros[REGISTRO],DADOS!$N$6,tabela_registros[TIPO],DADOS!$AJ$4,tabela_registros[CATEGORIA],reservavariáveisconsolidadoset[[#This Row],[ATUAL]])</f>
        <v>0</v>
      </c>
      <c r="Q195" s="119" t="n">
        <f aca="false">SUMIFS(tabela_registros[VALOR],tabela_registros[MÊS],$AE$1,tabela_registros[DIA],reservavariáveisconsolidadoset[[#Headers],[13]],tabela_registros[REGISTRO],DADOS!$N$6,tabela_registros[TIPO],DADOS!$AJ$4,tabela_registros[CATEGORIA],reservavariáveisconsolidadoset[[#This Row],[ATUAL]])</f>
        <v>0</v>
      </c>
      <c r="R195" s="119" t="n">
        <f aca="false">SUMIFS(tabela_registros[VALOR],tabela_registros[MÊS],$AE$1,tabela_registros[DIA],reservavariáveisconsolidadoset[[#Headers],[14]],tabela_registros[REGISTRO],DADOS!$N$6,tabela_registros[TIPO],DADOS!$AJ$4,tabela_registros[CATEGORIA],reservavariáveisconsolidadoset[[#This Row],[ATUAL]])</f>
        <v>0</v>
      </c>
      <c r="S195" s="119" t="n">
        <f aca="false">SUMIFS(tabela_registros[VALOR],tabela_registros[MÊS],$AE$1,tabela_registros[DIA],reservavariáveisconsolidadoset[[#Headers],[15]],tabela_registros[REGISTRO],DADOS!$N$6,tabela_registros[TIPO],DADOS!$AJ$4,tabela_registros[CATEGORIA],reservavariáveisconsolidadoset[[#This Row],[ATUAL]])</f>
        <v>0</v>
      </c>
      <c r="T195" s="119" t="n">
        <f aca="false">SUMIFS(tabela_registros[VALOR],tabela_registros[MÊS],$AE$1,tabela_registros[DIA],reservavariáveisconsolidadoset[[#Headers],[16]],tabela_registros[REGISTRO],DADOS!$N$6,tabela_registros[TIPO],DADOS!$AJ$4,tabela_registros[CATEGORIA],reservavariáveisconsolidadoset[[#This Row],[ATUAL]])</f>
        <v>0</v>
      </c>
      <c r="U195" s="119" t="n">
        <f aca="false">SUMIFS(tabela_registros[VALOR],tabela_registros[MÊS],$AE$1,tabela_registros[DIA],reservavariáveisconsolidadoset[[#Headers],[17]],tabela_registros[REGISTRO],DADOS!$N$6,tabela_registros[TIPO],DADOS!$AJ$4,tabela_registros[CATEGORIA],reservavariáveisconsolidadoset[[#This Row],[ATUAL]])</f>
        <v>0</v>
      </c>
      <c r="V195" s="119" t="n">
        <f aca="false">SUMIFS(tabela_registros[VALOR],tabela_registros[MÊS],$AE$1,tabela_registros[DIA],reservavariáveisconsolidadoset[[#Headers],[18]],tabela_registros[REGISTRO],DADOS!$N$6,tabela_registros[TIPO],DADOS!$AJ$4,tabela_registros[CATEGORIA],reservavariáveisconsolidadoset[[#This Row],[ATUAL]])</f>
        <v>0</v>
      </c>
      <c r="W195" s="119" t="n">
        <f aca="false">SUMIFS(tabela_registros[VALOR],tabela_registros[MÊS],$AE$1,tabela_registros[DIA],reservavariáveisconsolidadoset[[#Headers],[19]],tabela_registros[REGISTRO],DADOS!$N$6,tabela_registros[TIPO],DADOS!$AJ$4,tabela_registros[CATEGORIA],reservavariáveisconsolidadoset[[#This Row],[ATUAL]])</f>
        <v>0</v>
      </c>
      <c r="X195" s="119" t="n">
        <f aca="false">SUMIFS(tabela_registros[VALOR],tabela_registros[MÊS],$AE$1,tabela_registros[DIA],reservavariáveisconsolidadoset[[#Headers],[20]],tabela_registros[REGISTRO],DADOS!$N$6,tabela_registros[TIPO],DADOS!$AJ$4,tabela_registros[CATEGORIA],reservavariáveisconsolidadoset[[#This Row],[ATUAL]])</f>
        <v>0</v>
      </c>
      <c r="Y195" s="119" t="n">
        <f aca="false">SUMIFS(tabela_registros[VALOR],tabela_registros[MÊS],$AE$1,tabela_registros[DIA],reservavariáveisconsolidadoset[[#Headers],[21]],tabela_registros[REGISTRO],DADOS!$N$6,tabela_registros[TIPO],DADOS!$AJ$4,tabela_registros[CATEGORIA],reservavariáveisconsolidadoset[[#This Row],[ATUAL]])</f>
        <v>0</v>
      </c>
      <c r="Z195" s="119" t="n">
        <f aca="false">SUMIFS(tabela_registros[VALOR],tabela_registros[MÊS],$AE$1,tabela_registros[DIA],reservavariáveisconsolidadoset[[#Headers],[22]],tabela_registros[REGISTRO],DADOS!$N$6,tabela_registros[TIPO],DADOS!$AJ$4,tabela_registros[CATEGORIA],reservavariáveisconsolidadoset[[#This Row],[ATUAL]])</f>
        <v>0</v>
      </c>
      <c r="AA195" s="119" t="n">
        <f aca="false">SUMIFS(tabela_registros[VALOR],tabela_registros[MÊS],$AE$1,tabela_registros[DIA],reservavariáveisconsolidadoset[[#Headers],[23]],tabela_registros[REGISTRO],DADOS!$N$6,tabela_registros[TIPO],DADOS!$AJ$4,tabela_registros[CATEGORIA],reservavariáveisconsolidadoset[[#This Row],[ATUAL]])</f>
        <v>0</v>
      </c>
      <c r="AB195" s="119" t="n">
        <f aca="false">SUMIFS(tabela_registros[VALOR],tabela_registros[MÊS],$AE$1,tabela_registros[DIA],reservavariáveisconsolidadoset[[#Headers],[24]],tabela_registros[REGISTRO],DADOS!$N$6,tabela_registros[TIPO],DADOS!$AJ$4,tabela_registros[CATEGORIA],reservavariáveisconsolidadoset[[#This Row],[ATUAL]])</f>
        <v>0</v>
      </c>
      <c r="AC195" s="119" t="n">
        <f aca="false">SUMIFS(tabela_registros[VALOR],tabela_registros[MÊS],$AE$1,tabela_registros[DIA],reservavariáveisconsolidadoset[[#Headers],[25]],tabela_registros[REGISTRO],DADOS!$N$6,tabela_registros[TIPO],DADOS!$AJ$4,tabela_registros[CATEGORIA],reservavariáveisconsolidadoset[[#This Row],[ATUAL]])</f>
        <v>0</v>
      </c>
      <c r="AD195" s="119" t="n">
        <f aca="false">SUMIFS(tabela_registros[VALOR],tabela_registros[MÊS],$AE$1,tabela_registros[DIA],reservavariáveisconsolidadoset[[#Headers],[26]],tabela_registros[REGISTRO],DADOS!$N$6,tabela_registros[TIPO],DADOS!$AJ$4,tabela_registros[CATEGORIA],reservavariáveisconsolidadoset[[#This Row],[ATUAL]])</f>
        <v>0</v>
      </c>
      <c r="AE195" s="119" t="n">
        <f aca="false">SUMIFS(tabela_registros[VALOR],tabela_registros[MÊS],$AE$1,tabela_registros[DIA],reservavariáveisconsolidadoset[[#Headers],[27]],tabela_registros[REGISTRO],DADOS!$N$6,tabela_registros[TIPO],DADOS!$AJ$4,tabela_registros[CATEGORIA],reservavariáveisconsolidadoset[[#This Row],[ATUAL]])</f>
        <v>0</v>
      </c>
      <c r="AF195" s="119" t="n">
        <f aca="false">SUMIFS(tabela_registros[VALOR],tabela_registros[MÊS],$AE$1,tabela_registros[DIA],reservavariáveisconsolidadoset[[#Headers],[28]],tabela_registros[REGISTRO],DADOS!$N$6,tabela_registros[TIPO],DADOS!$AJ$4,tabela_registros[CATEGORIA],reservavariáveisconsolidadoset[[#This Row],[ATUAL]])</f>
        <v>0</v>
      </c>
      <c r="AG195" s="119" t="n">
        <f aca="false">SUMIFS(tabela_registros[VALOR],tabela_registros[MÊS],$AE$1,tabela_registros[DIA],reservavariáveisconsolidadoset[[#Headers],[29]],tabela_registros[REGISTRO],DADOS!$N$6,tabela_registros[TIPO],DADOS!$AJ$4,tabela_registros[CATEGORIA],reservavariáveisconsolidadoset[[#This Row],[ATUAL]])</f>
        <v>0</v>
      </c>
      <c r="AH195" s="119" t="n">
        <f aca="false">SUMIFS(tabela_registros[VALOR],tabela_registros[MÊS],$AE$1,tabela_registros[DIA],reservavariáveisconsolidadoset[[#Headers],[30]],tabela_registros[REGISTRO],DADOS!$N$6,tabela_registros[TIPO],DADOS!$AJ$4,tabela_registros[CATEGORIA],reservavariáveisconsolidadoset[[#This Row],[ATUAL]])</f>
        <v>0</v>
      </c>
      <c r="AI195" s="217" t="n">
        <f aca="false">SUMIFS(tabela_registros[VALOR],tabela_registros[MÊS],$AE$1,tabela_registros[DIA],reservavariáveisconsolidadoset[[#Headers],[31]],tabela_registros[REGISTRO],DADOS!$N$6,tabela_registros[TIPO],DADOS!$AJ$4,tabela_registros[CATEGORIA],reservavariáveisconsolidadoset[[#This Row],[ATUAL]])</f>
        <v>0</v>
      </c>
      <c r="AJ195" s="149" t="n">
        <f aca="false">SUM(reservavariáveisconsolidadoset[[#This Row],[1]:[31]])</f>
        <v>0</v>
      </c>
      <c r="AK195" s="165"/>
    </row>
    <row r="196" customFormat="false" ht="19.5" hidden="false" customHeight="true" outlineLevel="0" collapsed="false">
      <c r="B196" s="143"/>
      <c r="C196" s="144" t="str">
        <f aca="false">DADOS!$AN$12</f>
        <v>📎 OUTROS</v>
      </c>
      <c r="D196" s="145" t="str">
        <f aca="false">IF(reservavariáveisconsolidadoset[[#This Row],[TOTAL (R$)]]=0,"",IF(OR(reservavariáveisconsolidadoset[[#This Row],[TOTAL (R$)]]=LARGE($AJ$187:$AJ$196,1),reservavariáveisconsolidadoset[[#This Row],[TOTAL (R$)]]=LARGE($AJ$187:$AJ$196,2)),DADOS!$I$11,""))</f>
        <v/>
      </c>
      <c r="E196" s="148" t="n">
        <f aca="false">SUMIFS(tabela_registros[VALOR],tabela_registros[MÊS],$AE$1,tabela_registros[DIA],reservavariáveisconsolidadoset[[#Headers],[1]],tabela_registros[REGISTRO],DADOS!$N$6,tabela_registros[TIPO],DADOS!$AJ$4,tabela_registros[CATEGORIA],reservavariáveisconsolidadoset[[#This Row],[ATUAL]])</f>
        <v>0</v>
      </c>
      <c r="F196" s="119" t="n">
        <f aca="false">SUMIFS(tabela_registros[VALOR],tabela_registros[MÊS],$AE$1,tabela_registros[DIA],reservavariáveisconsolidadoset[[#Headers],[2]],tabela_registros[REGISTRO],DADOS!$N$6,tabela_registros[TIPO],DADOS!$AJ$4,tabela_registros[CATEGORIA],reservavariáveisconsolidadoset[[#This Row],[ATUAL]])</f>
        <v>0</v>
      </c>
      <c r="G196" s="119" t="n">
        <f aca="false">SUMIFS(tabela_registros[VALOR],tabela_registros[MÊS],$AE$1,tabela_registros[DIA],reservavariáveisconsolidadoset[[#Headers],[3]],tabela_registros[REGISTRO],DADOS!$N$6,tabela_registros[TIPO],DADOS!$AJ$4,tabela_registros[CATEGORIA],reservavariáveisconsolidadoset[[#This Row],[ATUAL]])</f>
        <v>0</v>
      </c>
      <c r="H196" s="119" t="n">
        <f aca="false">SUMIFS(tabela_registros[VALOR],tabela_registros[MÊS],$AE$1,tabela_registros[DIA],reservavariáveisconsolidadoset[[#Headers],[4]],tabela_registros[REGISTRO],DADOS!$N$6,tabela_registros[TIPO],DADOS!$AJ$4,tabela_registros[CATEGORIA],reservavariáveisconsolidadoset[[#This Row],[ATUAL]])</f>
        <v>0</v>
      </c>
      <c r="I196" s="119" t="n">
        <f aca="false">SUMIFS(tabela_registros[VALOR],tabela_registros[MÊS],$AE$1,tabela_registros[DIA],reservavariáveisconsolidadoset[[#Headers],[5]],tabela_registros[REGISTRO],DADOS!$N$6,tabela_registros[TIPO],DADOS!$AJ$4,tabela_registros[CATEGORIA],reservavariáveisconsolidadoset[[#This Row],[ATUAL]])</f>
        <v>0</v>
      </c>
      <c r="J196" s="119" t="n">
        <f aca="false">SUMIFS(tabela_registros[VALOR],tabela_registros[MÊS],$AE$1,tabela_registros[DIA],reservavariáveisconsolidadoset[[#Headers],[6]],tabela_registros[REGISTRO],DADOS!$N$6,tabela_registros[TIPO],DADOS!$AJ$4,tabela_registros[CATEGORIA],reservavariáveisconsolidadoset[[#This Row],[ATUAL]])</f>
        <v>0</v>
      </c>
      <c r="K196" s="119" t="n">
        <f aca="false">SUMIFS(tabela_registros[VALOR],tabela_registros[MÊS],$AE$1,tabela_registros[DIA],reservavariáveisconsolidadoset[[#Headers],[7]],tabela_registros[REGISTRO],DADOS!$N$6,tabela_registros[TIPO],DADOS!$AJ$4,tabela_registros[CATEGORIA],reservavariáveisconsolidadoset[[#This Row],[ATUAL]])</f>
        <v>0</v>
      </c>
      <c r="L196" s="119" t="n">
        <f aca="false">SUMIFS(tabela_registros[VALOR],tabela_registros[MÊS],$AE$1,tabela_registros[DIA],reservavariáveisconsolidadoset[[#Headers],[8]],tabela_registros[REGISTRO],DADOS!$N$6,tabela_registros[TIPO],DADOS!$AJ$4,tabela_registros[CATEGORIA],reservavariáveisconsolidadoset[[#This Row],[ATUAL]])</f>
        <v>0</v>
      </c>
      <c r="M196" s="119" t="n">
        <f aca="false">SUMIFS(tabela_registros[VALOR],tabela_registros[MÊS],$AE$1,tabela_registros[DIA],reservavariáveisconsolidadoset[[#Headers],[9]],tabela_registros[REGISTRO],DADOS!$N$6,tabela_registros[TIPO],DADOS!$AJ$4,tabela_registros[CATEGORIA],reservavariáveisconsolidadoset[[#This Row],[ATUAL]])</f>
        <v>0</v>
      </c>
      <c r="N196" s="119" t="n">
        <f aca="false">SUMIFS(tabela_registros[VALOR],tabela_registros[MÊS],$AE$1,tabela_registros[DIA],reservavariáveisconsolidadoset[[#Headers],[10]],tabela_registros[REGISTRO],DADOS!$N$6,tabela_registros[TIPO],DADOS!$AJ$4,tabela_registros[CATEGORIA],reservavariáveisconsolidadoset[[#This Row],[ATUAL]])</f>
        <v>0</v>
      </c>
      <c r="O196" s="119" t="n">
        <f aca="false">SUMIFS(tabela_registros[VALOR],tabela_registros[MÊS],$AE$1,tabela_registros[DIA],reservavariáveisconsolidadoset[[#Headers],[11]],tabela_registros[REGISTRO],DADOS!$N$6,tabela_registros[TIPO],DADOS!$AJ$4,tabela_registros[CATEGORIA],reservavariáveisconsolidadoset[[#This Row],[ATUAL]])</f>
        <v>0</v>
      </c>
      <c r="P196" s="119" t="n">
        <f aca="false">SUMIFS(tabela_registros[VALOR],tabela_registros[MÊS],$AE$1,tabela_registros[DIA],reservavariáveisconsolidadoset[[#Headers],[12]],tabela_registros[REGISTRO],DADOS!$N$6,tabela_registros[TIPO],DADOS!$AJ$4,tabela_registros[CATEGORIA],reservavariáveisconsolidadoset[[#This Row],[ATUAL]])</f>
        <v>0</v>
      </c>
      <c r="Q196" s="119" t="n">
        <f aca="false">SUMIFS(tabela_registros[VALOR],tabela_registros[MÊS],$AE$1,tabela_registros[DIA],reservavariáveisconsolidadoset[[#Headers],[13]],tabela_registros[REGISTRO],DADOS!$N$6,tabela_registros[TIPO],DADOS!$AJ$4,tabela_registros[CATEGORIA],reservavariáveisconsolidadoset[[#This Row],[ATUAL]])</f>
        <v>0</v>
      </c>
      <c r="R196" s="119" t="n">
        <f aca="false">SUMIFS(tabela_registros[VALOR],tabela_registros[MÊS],$AE$1,tabela_registros[DIA],reservavariáveisconsolidadoset[[#Headers],[14]],tabela_registros[REGISTRO],DADOS!$N$6,tabela_registros[TIPO],DADOS!$AJ$4,tabela_registros[CATEGORIA],reservavariáveisconsolidadoset[[#This Row],[ATUAL]])</f>
        <v>0</v>
      </c>
      <c r="S196" s="119" t="n">
        <f aca="false">SUMIFS(tabela_registros[VALOR],tabela_registros[MÊS],$AE$1,tabela_registros[DIA],reservavariáveisconsolidadoset[[#Headers],[15]],tabela_registros[REGISTRO],DADOS!$N$6,tabela_registros[TIPO],DADOS!$AJ$4,tabela_registros[CATEGORIA],reservavariáveisconsolidadoset[[#This Row],[ATUAL]])</f>
        <v>0</v>
      </c>
      <c r="T196" s="119" t="n">
        <f aca="false">SUMIFS(tabela_registros[VALOR],tabela_registros[MÊS],$AE$1,tabela_registros[DIA],reservavariáveisconsolidadoset[[#Headers],[16]],tabela_registros[REGISTRO],DADOS!$N$6,tabela_registros[TIPO],DADOS!$AJ$4,tabela_registros[CATEGORIA],reservavariáveisconsolidadoset[[#This Row],[ATUAL]])</f>
        <v>0</v>
      </c>
      <c r="U196" s="119" t="n">
        <f aca="false">SUMIFS(tabela_registros[VALOR],tabela_registros[MÊS],$AE$1,tabela_registros[DIA],reservavariáveisconsolidadoset[[#Headers],[17]],tabela_registros[REGISTRO],DADOS!$N$6,tabela_registros[TIPO],DADOS!$AJ$4,tabela_registros[CATEGORIA],reservavariáveisconsolidadoset[[#This Row],[ATUAL]])</f>
        <v>0</v>
      </c>
      <c r="V196" s="119" t="n">
        <f aca="false">SUMIFS(tabela_registros[VALOR],tabela_registros[MÊS],$AE$1,tabela_registros[DIA],reservavariáveisconsolidadoset[[#Headers],[18]],tabela_registros[REGISTRO],DADOS!$N$6,tabela_registros[TIPO],DADOS!$AJ$4,tabela_registros[CATEGORIA],reservavariáveisconsolidadoset[[#This Row],[ATUAL]])</f>
        <v>0</v>
      </c>
      <c r="W196" s="119" t="n">
        <f aca="false">SUMIFS(tabela_registros[VALOR],tabela_registros[MÊS],$AE$1,tabela_registros[DIA],reservavariáveisconsolidadoset[[#Headers],[19]],tabela_registros[REGISTRO],DADOS!$N$6,tabela_registros[TIPO],DADOS!$AJ$4,tabela_registros[CATEGORIA],reservavariáveisconsolidadoset[[#This Row],[ATUAL]])</f>
        <v>0</v>
      </c>
      <c r="X196" s="119" t="n">
        <f aca="false">SUMIFS(tabela_registros[VALOR],tabela_registros[MÊS],$AE$1,tabela_registros[DIA],reservavariáveisconsolidadoset[[#Headers],[20]],tabela_registros[REGISTRO],DADOS!$N$6,tabela_registros[TIPO],DADOS!$AJ$4,tabela_registros[CATEGORIA],reservavariáveisconsolidadoset[[#This Row],[ATUAL]])</f>
        <v>0</v>
      </c>
      <c r="Y196" s="119" t="n">
        <f aca="false">SUMIFS(tabela_registros[VALOR],tabela_registros[MÊS],$AE$1,tabela_registros[DIA],reservavariáveisconsolidadoset[[#Headers],[21]],tabela_registros[REGISTRO],DADOS!$N$6,tabela_registros[TIPO],DADOS!$AJ$4,tabela_registros[CATEGORIA],reservavariáveisconsolidadoset[[#This Row],[ATUAL]])</f>
        <v>0</v>
      </c>
      <c r="Z196" s="119" t="n">
        <f aca="false">SUMIFS(tabela_registros[VALOR],tabela_registros[MÊS],$AE$1,tabela_registros[DIA],reservavariáveisconsolidadoset[[#Headers],[22]],tabela_registros[REGISTRO],DADOS!$N$6,tabela_registros[TIPO],DADOS!$AJ$4,tabela_registros[CATEGORIA],reservavariáveisconsolidadoset[[#This Row],[ATUAL]])</f>
        <v>0</v>
      </c>
      <c r="AA196" s="119" t="n">
        <f aca="false">SUMIFS(tabela_registros[VALOR],tabela_registros[MÊS],$AE$1,tabela_registros[DIA],reservavariáveisconsolidadoset[[#Headers],[23]],tabela_registros[REGISTRO],DADOS!$N$6,tabela_registros[TIPO],DADOS!$AJ$4,tabela_registros[CATEGORIA],reservavariáveisconsolidadoset[[#This Row],[ATUAL]])</f>
        <v>0</v>
      </c>
      <c r="AB196" s="119" t="n">
        <f aca="false">SUMIFS(tabela_registros[VALOR],tabela_registros[MÊS],$AE$1,tabela_registros[DIA],reservavariáveisconsolidadoset[[#Headers],[24]],tabela_registros[REGISTRO],DADOS!$N$6,tabela_registros[TIPO],DADOS!$AJ$4,tabela_registros[CATEGORIA],reservavariáveisconsolidadoset[[#This Row],[ATUAL]])</f>
        <v>0</v>
      </c>
      <c r="AC196" s="119" t="n">
        <f aca="false">SUMIFS(tabela_registros[VALOR],tabela_registros[MÊS],$AE$1,tabela_registros[DIA],reservavariáveisconsolidadoset[[#Headers],[25]],tabela_registros[REGISTRO],DADOS!$N$6,tabela_registros[TIPO],DADOS!$AJ$4,tabela_registros[CATEGORIA],reservavariáveisconsolidadoset[[#This Row],[ATUAL]])</f>
        <v>0</v>
      </c>
      <c r="AD196" s="119" t="n">
        <f aca="false">SUMIFS(tabela_registros[VALOR],tabela_registros[MÊS],$AE$1,tabela_registros[DIA],reservavariáveisconsolidadoset[[#Headers],[26]],tabela_registros[REGISTRO],DADOS!$N$6,tabela_registros[TIPO],DADOS!$AJ$4,tabela_registros[CATEGORIA],reservavariáveisconsolidadoset[[#This Row],[ATUAL]])</f>
        <v>0</v>
      </c>
      <c r="AE196" s="119" t="n">
        <f aca="false">SUMIFS(tabela_registros[VALOR],tabela_registros[MÊS],$AE$1,tabela_registros[DIA],reservavariáveisconsolidadoset[[#Headers],[27]],tabela_registros[REGISTRO],DADOS!$N$6,tabela_registros[TIPO],DADOS!$AJ$4,tabela_registros[CATEGORIA],reservavariáveisconsolidadoset[[#This Row],[ATUAL]])</f>
        <v>0</v>
      </c>
      <c r="AF196" s="119" t="n">
        <f aca="false">SUMIFS(tabela_registros[VALOR],tabela_registros[MÊS],$AE$1,tabela_registros[DIA],reservavariáveisconsolidadoset[[#Headers],[28]],tabela_registros[REGISTRO],DADOS!$N$6,tabela_registros[TIPO],DADOS!$AJ$4,tabela_registros[CATEGORIA],reservavariáveisconsolidadoset[[#This Row],[ATUAL]])</f>
        <v>0</v>
      </c>
      <c r="AG196" s="119" t="n">
        <f aca="false">SUMIFS(tabela_registros[VALOR],tabela_registros[MÊS],$AE$1,tabela_registros[DIA],reservavariáveisconsolidadoset[[#Headers],[29]],tabela_registros[REGISTRO],DADOS!$N$6,tabela_registros[TIPO],DADOS!$AJ$4,tabela_registros[CATEGORIA],reservavariáveisconsolidadoset[[#This Row],[ATUAL]])</f>
        <v>0</v>
      </c>
      <c r="AH196" s="119" t="n">
        <f aca="false">SUMIFS(tabela_registros[VALOR],tabela_registros[MÊS],$AE$1,tabela_registros[DIA],reservavariáveisconsolidadoset[[#Headers],[30]],tabela_registros[REGISTRO],DADOS!$N$6,tabela_registros[TIPO],DADOS!$AJ$4,tabela_registros[CATEGORIA],reservavariáveisconsolidadoset[[#This Row],[ATUAL]])</f>
        <v>0</v>
      </c>
      <c r="AI196" s="218" t="n">
        <f aca="false">SUMIFS(tabela_registros[VALOR],tabela_registros[MÊS],$AE$1,tabela_registros[DIA],reservavariáveisconsolidadoset[[#Headers],[31]],tabela_registros[REGISTRO],DADOS!$N$6,tabela_registros[TIPO],DADOS!$AJ$4,tabela_registros[CATEGORIA],reservavariáveisconsolidadoset[[#This Row],[ATUAL]])</f>
        <v>0</v>
      </c>
      <c r="AJ196" s="149" t="n">
        <f aca="false">SUM(reservavariáveisconsolidadoset[[#This Row],[1]:[31]])</f>
        <v>0</v>
      </c>
      <c r="AK196" s="165"/>
    </row>
    <row r="197" s="122" customFormat="true" ht="21" hidden="false" customHeight="true" outlineLevel="0" collapsed="false">
      <c r="B197" s="152"/>
      <c r="C197" s="153" t="s">
        <v>2</v>
      </c>
      <c r="D197" s="166"/>
      <c r="E197" s="155" t="n">
        <f aca="false">SUM(E187:E196)</f>
        <v>0</v>
      </c>
      <c r="F197" s="156" t="n">
        <f aca="false">SUM(F187:F196)+reservavariáveisconsolidadoset[[#This Row],[1]]</f>
        <v>0</v>
      </c>
      <c r="G197" s="156" t="n">
        <f aca="false">SUM(G187:G196)+reservavariáveisconsolidadoset[[#This Row],[2]]</f>
        <v>0</v>
      </c>
      <c r="H197" s="156" t="n">
        <f aca="false">SUM(H187:H196)+reservavariáveisconsolidadoset[[#This Row],[3]]</f>
        <v>0</v>
      </c>
      <c r="I197" s="156" t="n">
        <f aca="false">SUM(I187:I196)+reservavariáveisconsolidadoset[[#This Row],[4]]</f>
        <v>0</v>
      </c>
      <c r="J197" s="156" t="n">
        <f aca="false">SUM(J187:J196)+reservavariáveisconsolidadoset[[#This Row],[5]]</f>
        <v>0</v>
      </c>
      <c r="K197" s="156" t="n">
        <f aca="false">SUM(K187:K196)+reservavariáveisconsolidadoset[[#This Row],[6]]</f>
        <v>0</v>
      </c>
      <c r="L197" s="156" t="n">
        <f aca="false">SUM(L187:L196)+reservavariáveisconsolidadoset[[#This Row],[7]]</f>
        <v>0</v>
      </c>
      <c r="M197" s="156" t="n">
        <f aca="false">SUM(M187:M196)+reservavariáveisconsolidadoset[[#This Row],[8]]</f>
        <v>0</v>
      </c>
      <c r="N197" s="156" t="n">
        <f aca="false">SUM(N187:N196)+reservavariáveisconsolidadoset[[#This Row],[9]]</f>
        <v>0</v>
      </c>
      <c r="O197" s="156" t="n">
        <f aca="false">SUM(O187:O196)+reservavariáveisconsolidadoset[[#This Row],[10]]</f>
        <v>0</v>
      </c>
      <c r="P197" s="156" t="n">
        <f aca="false">SUM(P187:P196)+reservavariáveisconsolidadoset[[#This Row],[11]]</f>
        <v>0</v>
      </c>
      <c r="Q197" s="156" t="n">
        <f aca="false">SUM(Q187:Q196)+reservavariáveisconsolidadoset[[#This Row],[12]]</f>
        <v>0</v>
      </c>
      <c r="R197" s="156" t="n">
        <f aca="false">SUM(R187:R196)+reservavariáveisconsolidadoset[[#This Row],[13]]</f>
        <v>0</v>
      </c>
      <c r="S197" s="156" t="n">
        <f aca="false">SUM(S187:S196)+reservavariáveisconsolidadoset[[#This Row],[14]]</f>
        <v>0</v>
      </c>
      <c r="T197" s="156" t="n">
        <f aca="false">SUM(T187:T196)+reservavariáveisconsolidadoset[[#This Row],[15]]</f>
        <v>0</v>
      </c>
      <c r="U197" s="156" t="n">
        <f aca="false">SUM(U187:U196)+reservavariáveisconsolidadoset[[#This Row],[16]]</f>
        <v>0</v>
      </c>
      <c r="V197" s="156" t="n">
        <f aca="false">SUM(V187:V196)+reservavariáveisconsolidadoset[[#This Row],[17]]</f>
        <v>0</v>
      </c>
      <c r="W197" s="156" t="n">
        <f aca="false">SUM(W187:W196)+reservavariáveisconsolidadoset[[#This Row],[18]]</f>
        <v>0</v>
      </c>
      <c r="X197" s="156" t="n">
        <f aca="false">SUM(X187:X196)+reservavariáveisconsolidadoset[[#This Row],[19]]</f>
        <v>0</v>
      </c>
      <c r="Y197" s="156" t="n">
        <f aca="false">SUM(Y187:Y196)+reservavariáveisconsolidadoset[[#This Row],[20]]</f>
        <v>0</v>
      </c>
      <c r="Z197" s="156" t="n">
        <f aca="false">SUM(Z187:Z196)+reservavariáveisconsolidadoset[[#This Row],[21]]</f>
        <v>0</v>
      </c>
      <c r="AA197" s="156" t="n">
        <f aca="false">SUM(AA187:AA196)+reservavariáveisconsolidadoset[[#This Row],[22]]</f>
        <v>0</v>
      </c>
      <c r="AB197" s="156" t="n">
        <f aca="false">SUM(AB187:AB196)+reservavariáveisconsolidadoset[[#This Row],[23]]</f>
        <v>0</v>
      </c>
      <c r="AC197" s="156" t="n">
        <f aca="false">SUM(AC187:AC196)+reservavariáveisconsolidadoset[[#This Row],[24]]</f>
        <v>0</v>
      </c>
      <c r="AD197" s="156" t="n">
        <f aca="false">SUM(AD187:AD196)+reservavariáveisconsolidadoset[[#This Row],[25]]</f>
        <v>0</v>
      </c>
      <c r="AE197" s="156" t="n">
        <f aca="false">SUM(AE187:AE196)+reservavariáveisconsolidadoset[[#This Row],[26]]</f>
        <v>0</v>
      </c>
      <c r="AF197" s="156" t="n">
        <f aca="false">SUM(AF187:AF196)+reservavariáveisconsolidadoset[[#This Row],[27]]</f>
        <v>0</v>
      </c>
      <c r="AG197" s="156" t="n">
        <f aca="false">SUM(AG187:AG196)+reservavariáveisconsolidadoset[[#This Row],[28]]</f>
        <v>0</v>
      </c>
      <c r="AH197" s="156" t="n">
        <f aca="false">SUM(AH187:AH196)+reservavariáveisconsolidadoset[[#This Row],[29]]</f>
        <v>0</v>
      </c>
      <c r="AI197" s="223" t="n">
        <f aca="false">SUM(AI187:AI196)+reservavariáveisconsolidadoset[[#This Row],[30]]</f>
        <v>0</v>
      </c>
      <c r="AJ197" s="157" t="n">
        <f aca="false">reservavariáveisconsolidadoset[[#This Row],[31]]</f>
        <v>0</v>
      </c>
      <c r="AK197" s="158"/>
    </row>
    <row r="198" customFormat="false" ht="6.75" hidden="false" customHeight="true" outlineLevel="0" collapsed="false">
      <c r="B198" s="97"/>
      <c r="C198" s="162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233"/>
      <c r="AJ198" s="164"/>
      <c r="AK198" s="244"/>
    </row>
    <row r="199" s="78" customFormat="true" ht="12.75" hidden="false" customHeight="false" outlineLevel="0" collapsed="false">
      <c r="E199" s="100"/>
    </row>
    <row r="200" s="78" customFormat="true" ht="12" hidden="false" customHeight="false" outlineLevel="0" collapsed="false"/>
    <row r="201" s="78" customFormat="true" ht="12" hidden="false" customHeight="false" outlineLevel="0" collapsed="false"/>
    <row r="202" customFormat="false" ht="39.75" hidden="false" customHeight="true" outlineLevel="0" collapsed="false">
      <c r="C202" s="101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3" t="s">
        <v>2</v>
      </c>
    </row>
    <row r="203" s="78" customFormat="true" ht="12.75" hidden="false" customHeight="false" outlineLevel="0" collapsed="false">
      <c r="B203" s="161"/>
      <c r="AJ203" s="106" t="s">
        <v>64</v>
      </c>
    </row>
    <row r="204" customFormat="false" ht="6.75" hidden="false" customHeight="true" outlineLevel="0" collapsed="false">
      <c r="B204" s="86"/>
      <c r="C204" s="162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233"/>
      <c r="AK204" s="139"/>
    </row>
    <row r="205" customFormat="false" ht="13.5" hidden="true" customHeight="false" outlineLevel="0" collapsed="false">
      <c r="B205" s="86"/>
      <c r="C205" s="109" t="s">
        <v>68</v>
      </c>
      <c r="D205" s="110" t="s">
        <v>69</v>
      </c>
      <c r="E205" s="110" t="s">
        <v>30</v>
      </c>
      <c r="F205" s="110" t="s">
        <v>31</v>
      </c>
      <c r="G205" s="110" t="s">
        <v>32</v>
      </c>
      <c r="H205" s="110" t="s">
        <v>33</v>
      </c>
      <c r="I205" s="110" t="s">
        <v>34</v>
      </c>
      <c r="J205" s="110" t="s">
        <v>35</v>
      </c>
      <c r="K205" s="110" t="s">
        <v>36</v>
      </c>
      <c r="L205" s="110" t="s">
        <v>37</v>
      </c>
      <c r="M205" s="110" t="s">
        <v>38</v>
      </c>
      <c r="N205" s="110" t="s">
        <v>39</v>
      </c>
      <c r="O205" s="110" t="s">
        <v>40</v>
      </c>
      <c r="P205" s="110" t="s">
        <v>41</v>
      </c>
      <c r="Q205" s="110" t="s">
        <v>81</v>
      </c>
      <c r="R205" s="110" t="s">
        <v>82</v>
      </c>
      <c r="S205" s="110" t="s">
        <v>83</v>
      </c>
      <c r="T205" s="110" t="s">
        <v>84</v>
      </c>
      <c r="U205" s="110" t="s">
        <v>85</v>
      </c>
      <c r="V205" s="110" t="s">
        <v>86</v>
      </c>
      <c r="W205" s="110" t="s">
        <v>87</v>
      </c>
      <c r="X205" s="110" t="s">
        <v>88</v>
      </c>
      <c r="Y205" s="110" t="s">
        <v>89</v>
      </c>
      <c r="Z205" s="110" t="s">
        <v>90</v>
      </c>
      <c r="AA205" s="110" t="s">
        <v>91</v>
      </c>
      <c r="AB205" s="110" t="s">
        <v>92</v>
      </c>
      <c r="AC205" s="110" t="s">
        <v>93</v>
      </c>
      <c r="AD205" s="110" t="s">
        <v>94</v>
      </c>
      <c r="AE205" s="110" t="s">
        <v>95</v>
      </c>
      <c r="AF205" s="110" t="s">
        <v>96</v>
      </c>
      <c r="AG205" s="110" t="s">
        <v>97</v>
      </c>
      <c r="AH205" s="110" t="s">
        <v>98</v>
      </c>
      <c r="AI205" s="110" t="s">
        <v>99</v>
      </c>
      <c r="AJ205" s="111" t="s">
        <v>70</v>
      </c>
      <c r="AK205" s="86"/>
    </row>
    <row r="206" customFormat="false" ht="19.5" hidden="false" customHeight="true" outlineLevel="0" collapsed="false">
      <c r="B206" s="143"/>
      <c r="C206" s="144" t="str">
        <f aca="false">DADOS!$AP$3</f>
        <v>📝 COE</v>
      </c>
      <c r="D206" s="145" t="str">
        <f aca="false">IF(reservaoutrosconsolidadoset[[#This Row],[TOTAL (R$)]]=0,"",IF(OR(reservaoutrosconsolidadoset[[#This Row],[TOTAL (R$)]]=LARGE($AJ$206:$AJ$213,1),reservaoutrosconsolidadoset[[#This Row],[TOTAL (R$)]]=LARGE($AJ$206:$AJ$213,2)),DADOS!$I$11,""))</f>
        <v/>
      </c>
      <c r="E206" s="148" t="n">
        <f aca="false">SUMIFS(tabela_registros[VALOR],tabela_registros[MÊS],$AE$1,tabela_registros[DIA],reservaoutrosconsolidadoset[[#Headers],[1]],tabela_registros[REGISTRO],DADOS!$N$6,tabela_registros[TIPO],DADOS!$AJ$5,tabela_registros[CATEGORIA],reservaoutrosconsolidadoset[[#This Row],[ATUAL]])</f>
        <v>0</v>
      </c>
      <c r="F206" s="119" t="n">
        <f aca="false">SUMIFS(tabela_registros[VALOR],tabela_registros[MÊS],$AE$1,tabela_registros[DIA],reservaoutrosconsolidadoset[[#Headers],[2]],tabela_registros[REGISTRO],DADOS!$N$6,tabela_registros[TIPO],DADOS!$AJ$5,tabela_registros[CATEGORIA],reservaoutrosconsolidadoset[[#This Row],[ATUAL]])</f>
        <v>0</v>
      </c>
      <c r="G206" s="119" t="n">
        <f aca="false">SUMIFS(tabela_registros[VALOR],tabela_registros[MÊS],$AE$1,tabela_registros[DIA],reservaoutrosconsolidadoset[[#Headers],[3]],tabela_registros[REGISTRO],DADOS!$N$6,tabela_registros[TIPO],DADOS!$AJ$5,tabela_registros[CATEGORIA],reservaoutrosconsolidadoset[[#This Row],[ATUAL]])</f>
        <v>0</v>
      </c>
      <c r="H206" s="119" t="n">
        <f aca="false">SUMIFS(tabela_registros[VALOR],tabela_registros[MÊS],$AE$1,tabela_registros[DIA],reservaoutrosconsolidadoset[[#Headers],[4]],tabela_registros[REGISTRO],DADOS!$N$6,tabela_registros[TIPO],DADOS!$AJ$5,tabela_registros[CATEGORIA],reservaoutrosconsolidadoset[[#This Row],[ATUAL]])</f>
        <v>0</v>
      </c>
      <c r="I206" s="119" t="n">
        <f aca="false">SUMIFS(tabela_registros[VALOR],tabela_registros[MÊS],$AE$1,tabela_registros[DIA],reservaoutrosconsolidadoset[[#Headers],[5]],tabela_registros[REGISTRO],DADOS!$N$6,tabela_registros[TIPO],DADOS!$AJ$5,tabela_registros[CATEGORIA],reservaoutrosconsolidadoset[[#This Row],[ATUAL]])</f>
        <v>0</v>
      </c>
      <c r="J206" s="119" t="n">
        <f aca="false">SUMIFS(tabela_registros[VALOR],tabela_registros[MÊS],$AE$1,tabela_registros[DIA],reservaoutrosconsolidadoset[[#Headers],[6]],tabela_registros[REGISTRO],DADOS!$N$6,tabela_registros[TIPO],DADOS!$AJ$5,tabela_registros[CATEGORIA],reservaoutrosconsolidadoset[[#This Row],[ATUAL]])</f>
        <v>0</v>
      </c>
      <c r="K206" s="119" t="n">
        <f aca="false">SUMIFS(tabela_registros[VALOR],tabela_registros[MÊS],$AE$1,tabela_registros[DIA],reservaoutrosconsolidadoset[[#Headers],[7]],tabela_registros[REGISTRO],DADOS!$N$6,tabela_registros[TIPO],DADOS!$AJ$5,tabela_registros[CATEGORIA],reservaoutrosconsolidadoset[[#This Row],[ATUAL]])</f>
        <v>0</v>
      </c>
      <c r="L206" s="119" t="n">
        <f aca="false">SUMIFS(tabela_registros[VALOR],tabela_registros[MÊS],$AE$1,tabela_registros[DIA],reservaoutrosconsolidadoset[[#Headers],[8]],tabela_registros[REGISTRO],DADOS!$N$6,tabela_registros[TIPO],DADOS!$AJ$5,tabela_registros[CATEGORIA],reservaoutrosconsolidadoset[[#This Row],[ATUAL]])</f>
        <v>0</v>
      </c>
      <c r="M206" s="119" t="n">
        <f aca="false">SUMIFS(tabela_registros[VALOR],tabela_registros[MÊS],$AE$1,tabela_registros[DIA],reservaoutrosconsolidadoset[[#Headers],[9]],tabela_registros[REGISTRO],DADOS!$N$6,tabela_registros[TIPO],DADOS!$AJ$5,tabela_registros[CATEGORIA],reservaoutrosconsolidadoset[[#This Row],[ATUAL]])</f>
        <v>0</v>
      </c>
      <c r="N206" s="119" t="n">
        <f aca="false">SUMIFS(tabela_registros[VALOR],tabela_registros[MÊS],$AE$1,tabela_registros[DIA],reservaoutrosconsolidadoset[[#Headers],[10]],tabela_registros[REGISTRO],DADOS!$N$6,tabela_registros[TIPO],DADOS!$AJ$5,tabela_registros[CATEGORIA],reservaoutrosconsolidadoset[[#This Row],[ATUAL]])</f>
        <v>0</v>
      </c>
      <c r="O206" s="119" t="n">
        <f aca="false">SUMIFS(tabela_registros[VALOR],tabela_registros[MÊS],$AE$1,tabela_registros[DIA],reservaoutrosconsolidadoset[[#Headers],[11]],tabela_registros[REGISTRO],DADOS!$N$6,tabela_registros[TIPO],DADOS!$AJ$5,tabela_registros[CATEGORIA],reservaoutrosconsolidadoset[[#This Row],[ATUAL]])</f>
        <v>0</v>
      </c>
      <c r="P206" s="119" t="n">
        <f aca="false">SUMIFS(tabela_registros[VALOR],tabela_registros[MÊS],$AE$1,tabela_registros[DIA],reservaoutrosconsolidadoset[[#Headers],[12]],tabela_registros[REGISTRO],DADOS!$N$6,tabela_registros[TIPO],DADOS!$AJ$5,tabela_registros[CATEGORIA],reservaoutrosconsolidadoset[[#This Row],[ATUAL]])</f>
        <v>0</v>
      </c>
      <c r="Q206" s="119" t="n">
        <f aca="false">SUMIFS(tabela_registros[VALOR],tabela_registros[MÊS],$AE$1,tabela_registros[DIA],reservaoutrosconsolidadoset[[#Headers],[13]],tabela_registros[REGISTRO],DADOS!$N$6,tabela_registros[TIPO],DADOS!$AJ$5,tabela_registros[CATEGORIA],reservaoutrosconsolidadoset[[#This Row],[ATUAL]])</f>
        <v>0</v>
      </c>
      <c r="R206" s="119" t="n">
        <f aca="false">SUMIFS(tabela_registros[VALOR],tabela_registros[MÊS],$AE$1,tabela_registros[DIA],reservaoutrosconsolidadoset[[#Headers],[14]],tabela_registros[REGISTRO],DADOS!$N$6,tabela_registros[TIPO],DADOS!$AJ$5,tabela_registros[CATEGORIA],reservaoutrosconsolidadoset[[#This Row],[ATUAL]])</f>
        <v>0</v>
      </c>
      <c r="S206" s="119" t="n">
        <f aca="false">SUMIFS(tabela_registros[VALOR],tabela_registros[MÊS],$AE$1,tabela_registros[DIA],reservaoutrosconsolidadoset[[#Headers],[15]],tabela_registros[REGISTRO],DADOS!$N$6,tabela_registros[TIPO],DADOS!$AJ$5,tabela_registros[CATEGORIA],reservaoutrosconsolidadoset[[#This Row],[ATUAL]])</f>
        <v>0</v>
      </c>
      <c r="T206" s="119" t="n">
        <f aca="false">SUMIFS(tabela_registros[VALOR],tabela_registros[MÊS],$AE$1,tabela_registros[DIA],reservaoutrosconsolidadoset[[#Headers],[16]],tabela_registros[REGISTRO],DADOS!$N$6,tabela_registros[TIPO],DADOS!$AJ$5,tabela_registros[CATEGORIA],reservaoutrosconsolidadoset[[#This Row],[ATUAL]])</f>
        <v>0</v>
      </c>
      <c r="U206" s="119" t="n">
        <f aca="false">SUMIFS(tabela_registros[VALOR],tabela_registros[MÊS],$AE$1,tabela_registros[DIA],reservaoutrosconsolidadoset[[#Headers],[17]],tabela_registros[REGISTRO],DADOS!$N$6,tabela_registros[TIPO],DADOS!$AJ$5,tabela_registros[CATEGORIA],reservaoutrosconsolidadoset[[#This Row],[ATUAL]])</f>
        <v>0</v>
      </c>
      <c r="V206" s="119" t="n">
        <f aca="false">SUMIFS(tabela_registros[VALOR],tabela_registros[MÊS],$AE$1,tabela_registros[DIA],reservaoutrosconsolidadoset[[#Headers],[18]],tabela_registros[REGISTRO],DADOS!$N$6,tabela_registros[TIPO],DADOS!$AJ$5,tabela_registros[CATEGORIA],reservaoutrosconsolidadoset[[#This Row],[ATUAL]])</f>
        <v>0</v>
      </c>
      <c r="W206" s="119" t="n">
        <f aca="false">SUMIFS(tabela_registros[VALOR],tabela_registros[MÊS],$AE$1,tabela_registros[DIA],reservaoutrosconsolidadoset[[#Headers],[19]],tabela_registros[REGISTRO],DADOS!$N$6,tabela_registros[TIPO],DADOS!$AJ$5,tabela_registros[CATEGORIA],reservaoutrosconsolidadoset[[#This Row],[ATUAL]])</f>
        <v>0</v>
      </c>
      <c r="X206" s="119" t="n">
        <f aca="false">SUMIFS(tabela_registros[VALOR],tabela_registros[MÊS],$AE$1,tabela_registros[DIA],reservaoutrosconsolidadoset[[#Headers],[20]],tabela_registros[REGISTRO],DADOS!$N$6,tabela_registros[TIPO],DADOS!$AJ$5,tabela_registros[CATEGORIA],reservaoutrosconsolidadoset[[#This Row],[ATUAL]])</f>
        <v>0</v>
      </c>
      <c r="Y206" s="119" t="n">
        <f aca="false">SUMIFS(tabela_registros[VALOR],tabela_registros[MÊS],$AE$1,tabela_registros[DIA],reservaoutrosconsolidadoset[[#Headers],[21]],tabela_registros[REGISTRO],DADOS!$N$6,tabela_registros[TIPO],DADOS!$AJ$5,tabela_registros[CATEGORIA],reservaoutrosconsolidadoset[[#This Row],[ATUAL]])</f>
        <v>0</v>
      </c>
      <c r="Z206" s="119" t="n">
        <f aca="false">SUMIFS(tabela_registros[VALOR],tabela_registros[MÊS],$AE$1,tabela_registros[DIA],reservaoutrosconsolidadoset[[#Headers],[22]],tabela_registros[REGISTRO],DADOS!$N$6,tabela_registros[TIPO],DADOS!$AJ$5,tabela_registros[CATEGORIA],reservaoutrosconsolidadoset[[#This Row],[ATUAL]])</f>
        <v>0</v>
      </c>
      <c r="AA206" s="119" t="n">
        <f aca="false">SUMIFS(tabela_registros[VALOR],tabela_registros[MÊS],$AE$1,tabela_registros[DIA],reservaoutrosconsolidadoset[[#Headers],[23]],tabela_registros[REGISTRO],DADOS!$N$6,tabela_registros[TIPO],DADOS!$AJ$5,tabela_registros[CATEGORIA],reservaoutrosconsolidadoset[[#This Row],[ATUAL]])</f>
        <v>0</v>
      </c>
      <c r="AB206" s="119" t="n">
        <f aca="false">SUMIFS(tabela_registros[VALOR],tabela_registros[MÊS],$AE$1,tabela_registros[DIA],reservaoutrosconsolidadoset[[#Headers],[24]],tabela_registros[REGISTRO],DADOS!$N$6,tabela_registros[TIPO],DADOS!$AJ$5,tabela_registros[CATEGORIA],reservaoutrosconsolidadoset[[#This Row],[ATUAL]])</f>
        <v>0</v>
      </c>
      <c r="AC206" s="119" t="n">
        <f aca="false">SUMIFS(tabela_registros[VALOR],tabela_registros[MÊS],$AE$1,tabela_registros[DIA],reservaoutrosconsolidadoset[[#Headers],[25]],tabela_registros[REGISTRO],DADOS!$N$6,tabela_registros[TIPO],DADOS!$AJ$5,tabela_registros[CATEGORIA],reservaoutrosconsolidadoset[[#This Row],[ATUAL]])</f>
        <v>0</v>
      </c>
      <c r="AD206" s="119" t="n">
        <f aca="false">SUMIFS(tabela_registros[VALOR],tabela_registros[MÊS],$AE$1,tabela_registros[DIA],reservaoutrosconsolidadoset[[#Headers],[26]],tabela_registros[REGISTRO],DADOS!$N$6,tabela_registros[TIPO],DADOS!$AJ$5,tabela_registros[CATEGORIA],reservaoutrosconsolidadoset[[#This Row],[ATUAL]])</f>
        <v>0</v>
      </c>
      <c r="AE206" s="119" t="n">
        <f aca="false">SUMIFS(tabela_registros[VALOR],tabela_registros[MÊS],$AE$1,tabela_registros[DIA],reservaoutrosconsolidadoset[[#Headers],[27]],tabela_registros[REGISTRO],DADOS!$N$6,tabela_registros[TIPO],DADOS!$AJ$5,tabela_registros[CATEGORIA],reservaoutrosconsolidadoset[[#This Row],[ATUAL]])</f>
        <v>0</v>
      </c>
      <c r="AF206" s="119" t="n">
        <f aca="false">SUMIFS(tabela_registros[VALOR],tabela_registros[MÊS],$AE$1,tabela_registros[DIA],reservaoutrosconsolidadoset[[#Headers],[28]],tabela_registros[REGISTRO],DADOS!$N$6,tabela_registros[TIPO],DADOS!$AJ$5,tabela_registros[CATEGORIA],reservaoutrosconsolidadoset[[#This Row],[ATUAL]])</f>
        <v>0</v>
      </c>
      <c r="AG206" s="119" t="n">
        <f aca="false">SUMIFS(tabela_registros[VALOR],tabela_registros[MÊS],$AE$1,tabela_registros[DIA],reservaoutrosconsolidadoset[[#Headers],[29]],tabela_registros[REGISTRO],DADOS!$N$6,tabela_registros[TIPO],DADOS!$AJ$5,tabela_registros[CATEGORIA],reservaoutrosconsolidadoset[[#This Row],[ATUAL]])</f>
        <v>0</v>
      </c>
      <c r="AH206" s="119" t="n">
        <f aca="false">SUMIFS(tabela_registros[VALOR],tabela_registros[MÊS],$AE$1,tabela_registros[DIA],reservaoutrosconsolidadoset[[#Headers],[30]],tabela_registros[REGISTRO],DADOS!$N$6,tabela_registros[TIPO],DADOS!$AJ$5,tabela_registros[CATEGORIA],reservaoutrosconsolidadoset[[#This Row],[ATUAL]])</f>
        <v>0</v>
      </c>
      <c r="AI206" s="217" t="n">
        <f aca="false">SUMIFS(tabela_registros[VALOR],tabela_registros[MÊS],$AE$1,tabela_registros[DIA],reservaoutrosconsolidadoset[[#Headers],[31]],tabela_registros[REGISTRO],DADOS!$N$6,tabela_registros[TIPO],DADOS!$AJ$5,tabela_registros[CATEGORIA],reservaoutrosconsolidadoset[[#This Row],[ATUAL]])</f>
        <v>0</v>
      </c>
      <c r="AJ206" s="149" t="n">
        <f aca="false">SUM(reservaoutrosconsolidadoset[[#This Row],[1]:[31]])</f>
        <v>0</v>
      </c>
      <c r="AK206" s="165"/>
    </row>
    <row r="207" customFormat="false" ht="19.5" hidden="false" customHeight="true" outlineLevel="0" collapsed="false">
      <c r="B207" s="143"/>
      <c r="C207" s="144" t="str">
        <f aca="false">DADOS!$AP$4</f>
        <v>📝 FOREX</v>
      </c>
      <c r="D207" s="145" t="str">
        <f aca="false">IF(reservaoutrosconsolidadoset[[#This Row],[TOTAL (R$)]]=0,"",IF(OR(reservaoutrosconsolidadoset[[#This Row],[TOTAL (R$)]]=LARGE($AJ$206:$AJ$213,1),reservaoutrosconsolidadoset[[#This Row],[TOTAL (R$)]]=LARGE($AJ$206:$AJ$213,2)),DADOS!$I$11,""))</f>
        <v/>
      </c>
      <c r="E207" s="148" t="n">
        <f aca="false">SUMIFS(tabela_registros[VALOR],tabela_registros[MÊS],$AE$1,tabela_registros[DIA],reservaoutrosconsolidadoset[[#Headers],[1]],tabela_registros[REGISTRO],DADOS!$N$6,tabela_registros[TIPO],DADOS!$AJ$5,tabela_registros[CATEGORIA],reservaoutrosconsolidadoset[[#This Row],[ATUAL]])</f>
        <v>0</v>
      </c>
      <c r="F207" s="119" t="n">
        <f aca="false">SUMIFS(tabela_registros[VALOR],tabela_registros[MÊS],$AE$1,tabela_registros[DIA],reservaoutrosconsolidadoset[[#Headers],[2]],tabela_registros[REGISTRO],DADOS!$N$6,tabela_registros[TIPO],DADOS!$AJ$5,tabela_registros[CATEGORIA],reservaoutrosconsolidadoset[[#This Row],[ATUAL]])</f>
        <v>0</v>
      </c>
      <c r="G207" s="119" t="n">
        <f aca="false">SUMIFS(tabela_registros[VALOR],tabela_registros[MÊS],$AE$1,tabela_registros[DIA],reservaoutrosconsolidadoset[[#Headers],[3]],tabela_registros[REGISTRO],DADOS!$N$6,tabela_registros[TIPO],DADOS!$AJ$5,tabela_registros[CATEGORIA],reservaoutrosconsolidadoset[[#This Row],[ATUAL]])</f>
        <v>0</v>
      </c>
      <c r="H207" s="119" t="n">
        <f aca="false">SUMIFS(tabela_registros[VALOR],tabela_registros[MÊS],$AE$1,tabela_registros[DIA],reservaoutrosconsolidadoset[[#Headers],[4]],tabela_registros[REGISTRO],DADOS!$N$6,tabela_registros[TIPO],DADOS!$AJ$5,tabela_registros[CATEGORIA],reservaoutrosconsolidadoset[[#This Row],[ATUAL]])</f>
        <v>0</v>
      </c>
      <c r="I207" s="119" t="n">
        <f aca="false">SUMIFS(tabela_registros[VALOR],tabela_registros[MÊS],$AE$1,tabela_registros[DIA],reservaoutrosconsolidadoset[[#Headers],[5]],tabela_registros[REGISTRO],DADOS!$N$6,tabela_registros[TIPO],DADOS!$AJ$5,tabela_registros[CATEGORIA],reservaoutrosconsolidadoset[[#This Row],[ATUAL]])</f>
        <v>0</v>
      </c>
      <c r="J207" s="119" t="n">
        <f aca="false">SUMIFS(tabela_registros[VALOR],tabela_registros[MÊS],$AE$1,tabela_registros[DIA],reservaoutrosconsolidadoset[[#Headers],[6]],tabela_registros[REGISTRO],DADOS!$N$6,tabela_registros[TIPO],DADOS!$AJ$5,tabela_registros[CATEGORIA],reservaoutrosconsolidadoset[[#This Row],[ATUAL]])</f>
        <v>0</v>
      </c>
      <c r="K207" s="119" t="n">
        <f aca="false">SUMIFS(tabela_registros[VALOR],tabela_registros[MÊS],$AE$1,tabela_registros[DIA],reservaoutrosconsolidadoset[[#Headers],[7]],tabela_registros[REGISTRO],DADOS!$N$6,tabela_registros[TIPO],DADOS!$AJ$5,tabela_registros[CATEGORIA],reservaoutrosconsolidadoset[[#This Row],[ATUAL]])</f>
        <v>0</v>
      </c>
      <c r="L207" s="119" t="n">
        <f aca="false">SUMIFS(tabela_registros[VALOR],tabela_registros[MÊS],$AE$1,tabela_registros[DIA],reservaoutrosconsolidadoset[[#Headers],[8]],tabela_registros[REGISTRO],DADOS!$N$6,tabela_registros[TIPO],DADOS!$AJ$5,tabela_registros[CATEGORIA],reservaoutrosconsolidadoset[[#This Row],[ATUAL]])</f>
        <v>0</v>
      </c>
      <c r="M207" s="119" t="n">
        <f aca="false">SUMIFS(tabela_registros[VALOR],tabela_registros[MÊS],$AE$1,tabela_registros[DIA],reservaoutrosconsolidadoset[[#Headers],[9]],tabela_registros[REGISTRO],DADOS!$N$6,tabela_registros[TIPO],DADOS!$AJ$5,tabela_registros[CATEGORIA],reservaoutrosconsolidadoset[[#This Row],[ATUAL]])</f>
        <v>0</v>
      </c>
      <c r="N207" s="119" t="n">
        <f aca="false">SUMIFS(tabela_registros[VALOR],tabela_registros[MÊS],$AE$1,tabela_registros[DIA],reservaoutrosconsolidadoset[[#Headers],[10]],tabela_registros[REGISTRO],DADOS!$N$6,tabela_registros[TIPO],DADOS!$AJ$5,tabela_registros[CATEGORIA],reservaoutrosconsolidadoset[[#This Row],[ATUAL]])</f>
        <v>0</v>
      </c>
      <c r="O207" s="119" t="n">
        <f aca="false">SUMIFS(tabela_registros[VALOR],tabela_registros[MÊS],$AE$1,tabela_registros[DIA],reservaoutrosconsolidadoset[[#Headers],[11]],tabela_registros[REGISTRO],DADOS!$N$6,tabela_registros[TIPO],DADOS!$AJ$5,tabela_registros[CATEGORIA],reservaoutrosconsolidadoset[[#This Row],[ATUAL]])</f>
        <v>0</v>
      </c>
      <c r="P207" s="119" t="n">
        <f aca="false">SUMIFS(tabela_registros[VALOR],tabela_registros[MÊS],$AE$1,tabela_registros[DIA],reservaoutrosconsolidadoset[[#Headers],[12]],tabela_registros[REGISTRO],DADOS!$N$6,tabela_registros[TIPO],DADOS!$AJ$5,tabela_registros[CATEGORIA],reservaoutrosconsolidadoset[[#This Row],[ATUAL]])</f>
        <v>0</v>
      </c>
      <c r="Q207" s="119" t="n">
        <f aca="false">SUMIFS(tabela_registros[VALOR],tabela_registros[MÊS],$AE$1,tabela_registros[DIA],reservaoutrosconsolidadoset[[#Headers],[13]],tabela_registros[REGISTRO],DADOS!$N$6,tabela_registros[TIPO],DADOS!$AJ$5,tabela_registros[CATEGORIA],reservaoutrosconsolidadoset[[#This Row],[ATUAL]])</f>
        <v>0</v>
      </c>
      <c r="R207" s="119" t="n">
        <f aca="false">SUMIFS(tabela_registros[VALOR],tabela_registros[MÊS],$AE$1,tabela_registros[DIA],reservaoutrosconsolidadoset[[#Headers],[14]],tabela_registros[REGISTRO],DADOS!$N$6,tabela_registros[TIPO],DADOS!$AJ$5,tabela_registros[CATEGORIA],reservaoutrosconsolidadoset[[#This Row],[ATUAL]])</f>
        <v>0</v>
      </c>
      <c r="S207" s="119" t="n">
        <f aca="false">SUMIFS(tabela_registros[VALOR],tabela_registros[MÊS],$AE$1,tabela_registros[DIA],reservaoutrosconsolidadoset[[#Headers],[15]],tabela_registros[REGISTRO],DADOS!$N$6,tabela_registros[TIPO],DADOS!$AJ$5,tabela_registros[CATEGORIA],reservaoutrosconsolidadoset[[#This Row],[ATUAL]])</f>
        <v>0</v>
      </c>
      <c r="T207" s="119" t="n">
        <f aca="false">SUMIFS(tabela_registros[VALOR],tabela_registros[MÊS],$AE$1,tabela_registros[DIA],reservaoutrosconsolidadoset[[#Headers],[16]],tabela_registros[REGISTRO],DADOS!$N$6,tabela_registros[TIPO],DADOS!$AJ$5,tabela_registros[CATEGORIA],reservaoutrosconsolidadoset[[#This Row],[ATUAL]])</f>
        <v>0</v>
      </c>
      <c r="U207" s="119" t="n">
        <f aca="false">SUMIFS(tabela_registros[VALOR],tabela_registros[MÊS],$AE$1,tabela_registros[DIA],reservaoutrosconsolidadoset[[#Headers],[17]],tabela_registros[REGISTRO],DADOS!$N$6,tabela_registros[TIPO],DADOS!$AJ$5,tabela_registros[CATEGORIA],reservaoutrosconsolidadoset[[#This Row],[ATUAL]])</f>
        <v>0</v>
      </c>
      <c r="V207" s="119" t="n">
        <f aca="false">SUMIFS(tabela_registros[VALOR],tabela_registros[MÊS],$AE$1,tabela_registros[DIA],reservaoutrosconsolidadoset[[#Headers],[18]],tabela_registros[REGISTRO],DADOS!$N$6,tabela_registros[TIPO],DADOS!$AJ$5,tabela_registros[CATEGORIA],reservaoutrosconsolidadoset[[#This Row],[ATUAL]])</f>
        <v>0</v>
      </c>
      <c r="W207" s="119" t="n">
        <f aca="false">SUMIFS(tabela_registros[VALOR],tabela_registros[MÊS],$AE$1,tabela_registros[DIA],reservaoutrosconsolidadoset[[#Headers],[19]],tabela_registros[REGISTRO],DADOS!$N$6,tabela_registros[TIPO],DADOS!$AJ$5,tabela_registros[CATEGORIA],reservaoutrosconsolidadoset[[#This Row],[ATUAL]])</f>
        <v>0</v>
      </c>
      <c r="X207" s="119" t="n">
        <f aca="false">SUMIFS(tabela_registros[VALOR],tabela_registros[MÊS],$AE$1,tabela_registros[DIA],reservaoutrosconsolidadoset[[#Headers],[20]],tabela_registros[REGISTRO],DADOS!$N$6,tabela_registros[TIPO],DADOS!$AJ$5,tabela_registros[CATEGORIA],reservaoutrosconsolidadoset[[#This Row],[ATUAL]])</f>
        <v>0</v>
      </c>
      <c r="Y207" s="119" t="n">
        <f aca="false">SUMIFS(tabela_registros[VALOR],tabela_registros[MÊS],$AE$1,tabela_registros[DIA],reservaoutrosconsolidadoset[[#Headers],[21]],tabela_registros[REGISTRO],DADOS!$N$6,tabela_registros[TIPO],DADOS!$AJ$5,tabela_registros[CATEGORIA],reservaoutrosconsolidadoset[[#This Row],[ATUAL]])</f>
        <v>0</v>
      </c>
      <c r="Z207" s="119" t="n">
        <f aca="false">SUMIFS(tabela_registros[VALOR],tabela_registros[MÊS],$AE$1,tabela_registros[DIA],reservaoutrosconsolidadoset[[#Headers],[22]],tabela_registros[REGISTRO],DADOS!$N$6,tabela_registros[TIPO],DADOS!$AJ$5,tabela_registros[CATEGORIA],reservaoutrosconsolidadoset[[#This Row],[ATUAL]])</f>
        <v>0</v>
      </c>
      <c r="AA207" s="119" t="n">
        <f aca="false">SUMIFS(tabela_registros[VALOR],tabela_registros[MÊS],$AE$1,tabela_registros[DIA],reservaoutrosconsolidadoset[[#Headers],[23]],tabela_registros[REGISTRO],DADOS!$N$6,tabela_registros[TIPO],DADOS!$AJ$5,tabela_registros[CATEGORIA],reservaoutrosconsolidadoset[[#This Row],[ATUAL]])</f>
        <v>0</v>
      </c>
      <c r="AB207" s="119" t="n">
        <f aca="false">SUMIFS(tabela_registros[VALOR],tabela_registros[MÊS],$AE$1,tabela_registros[DIA],reservaoutrosconsolidadoset[[#Headers],[24]],tabela_registros[REGISTRO],DADOS!$N$6,tabela_registros[TIPO],DADOS!$AJ$5,tabela_registros[CATEGORIA],reservaoutrosconsolidadoset[[#This Row],[ATUAL]])</f>
        <v>0</v>
      </c>
      <c r="AC207" s="119" t="n">
        <f aca="false">SUMIFS(tabela_registros[VALOR],tabela_registros[MÊS],$AE$1,tabela_registros[DIA],reservaoutrosconsolidadoset[[#Headers],[25]],tabela_registros[REGISTRO],DADOS!$N$6,tabela_registros[TIPO],DADOS!$AJ$5,tabela_registros[CATEGORIA],reservaoutrosconsolidadoset[[#This Row],[ATUAL]])</f>
        <v>0</v>
      </c>
      <c r="AD207" s="119" t="n">
        <f aca="false">SUMIFS(tabela_registros[VALOR],tabela_registros[MÊS],$AE$1,tabela_registros[DIA],reservaoutrosconsolidadoset[[#Headers],[26]],tabela_registros[REGISTRO],DADOS!$N$6,tabela_registros[TIPO],DADOS!$AJ$5,tabela_registros[CATEGORIA],reservaoutrosconsolidadoset[[#This Row],[ATUAL]])</f>
        <v>0</v>
      </c>
      <c r="AE207" s="119" t="n">
        <f aca="false">SUMIFS(tabela_registros[VALOR],tabela_registros[MÊS],$AE$1,tabela_registros[DIA],reservaoutrosconsolidadoset[[#Headers],[27]],tabela_registros[REGISTRO],DADOS!$N$6,tabela_registros[TIPO],DADOS!$AJ$5,tabela_registros[CATEGORIA],reservaoutrosconsolidadoset[[#This Row],[ATUAL]])</f>
        <v>0</v>
      </c>
      <c r="AF207" s="119" t="n">
        <f aca="false">SUMIFS(tabela_registros[VALOR],tabela_registros[MÊS],$AE$1,tabela_registros[DIA],reservaoutrosconsolidadoset[[#Headers],[28]],tabela_registros[REGISTRO],DADOS!$N$6,tabela_registros[TIPO],DADOS!$AJ$5,tabela_registros[CATEGORIA],reservaoutrosconsolidadoset[[#This Row],[ATUAL]])</f>
        <v>0</v>
      </c>
      <c r="AG207" s="119" t="n">
        <f aca="false">SUMIFS(tabela_registros[VALOR],tabela_registros[MÊS],$AE$1,tabela_registros[DIA],reservaoutrosconsolidadoset[[#Headers],[29]],tabela_registros[REGISTRO],DADOS!$N$6,tabela_registros[TIPO],DADOS!$AJ$5,tabela_registros[CATEGORIA],reservaoutrosconsolidadoset[[#This Row],[ATUAL]])</f>
        <v>0</v>
      </c>
      <c r="AH207" s="119" t="n">
        <f aca="false">SUMIFS(tabela_registros[VALOR],tabela_registros[MÊS],$AE$1,tabela_registros[DIA],reservaoutrosconsolidadoset[[#Headers],[30]],tabela_registros[REGISTRO],DADOS!$N$6,tabela_registros[TIPO],DADOS!$AJ$5,tabela_registros[CATEGORIA],reservaoutrosconsolidadoset[[#This Row],[ATUAL]])</f>
        <v>0</v>
      </c>
      <c r="AI207" s="217" t="n">
        <f aca="false">SUMIFS(tabela_registros[VALOR],tabela_registros[MÊS],$AE$1,tabela_registros[DIA],reservaoutrosconsolidadoset[[#Headers],[31]],tabela_registros[REGISTRO],DADOS!$N$6,tabela_registros[TIPO],DADOS!$AJ$5,tabela_registros[CATEGORIA],reservaoutrosconsolidadoset[[#This Row],[ATUAL]])</f>
        <v>0</v>
      </c>
      <c r="AJ207" s="149" t="n">
        <f aca="false">SUM(reservaoutrosconsolidadoset[[#This Row],[1]:[31]])</f>
        <v>0</v>
      </c>
      <c r="AK207" s="165"/>
    </row>
    <row r="208" customFormat="false" ht="19.5" hidden="false" customHeight="true" outlineLevel="0" collapsed="false">
      <c r="B208" s="143"/>
      <c r="C208" s="144" t="str">
        <f aca="false">DADOS!$AP$5</f>
        <v>📝 FUNDO DE INVESTIMENTO</v>
      </c>
      <c r="D208" s="145" t="str">
        <f aca="false">IF(reservaoutrosconsolidadoset[[#This Row],[TOTAL (R$)]]=0,"",IF(OR(reservaoutrosconsolidadoset[[#This Row],[TOTAL (R$)]]=LARGE($AJ$206:$AJ$213,1),reservaoutrosconsolidadoset[[#This Row],[TOTAL (R$)]]=LARGE($AJ$206:$AJ$213,2)),DADOS!$I$11,""))</f>
        <v/>
      </c>
      <c r="E208" s="148" t="n">
        <f aca="false">SUMIFS(tabela_registros[VALOR],tabela_registros[MÊS],$AE$1,tabela_registros[DIA],reservaoutrosconsolidadoset[[#Headers],[1]],tabela_registros[REGISTRO],DADOS!$N$6,tabela_registros[TIPO],DADOS!$AJ$5,tabela_registros[CATEGORIA],reservaoutrosconsolidadoset[[#This Row],[ATUAL]])</f>
        <v>0</v>
      </c>
      <c r="F208" s="119" t="n">
        <f aca="false">SUMIFS(tabela_registros[VALOR],tabela_registros[MÊS],$AE$1,tabela_registros[DIA],reservaoutrosconsolidadoset[[#Headers],[2]],tabela_registros[REGISTRO],DADOS!$N$6,tabela_registros[TIPO],DADOS!$AJ$5,tabela_registros[CATEGORIA],reservaoutrosconsolidadoset[[#This Row],[ATUAL]])</f>
        <v>0</v>
      </c>
      <c r="G208" s="119" t="n">
        <f aca="false">SUMIFS(tabela_registros[VALOR],tabela_registros[MÊS],$AE$1,tabela_registros[DIA],reservaoutrosconsolidadoset[[#Headers],[3]],tabela_registros[REGISTRO],DADOS!$N$6,tabela_registros[TIPO],DADOS!$AJ$5,tabela_registros[CATEGORIA],reservaoutrosconsolidadoset[[#This Row],[ATUAL]])</f>
        <v>0</v>
      </c>
      <c r="H208" s="119" t="n">
        <f aca="false">SUMIFS(tabela_registros[VALOR],tabela_registros[MÊS],$AE$1,tabela_registros[DIA],reservaoutrosconsolidadoset[[#Headers],[4]],tabela_registros[REGISTRO],DADOS!$N$6,tabela_registros[TIPO],DADOS!$AJ$5,tabela_registros[CATEGORIA],reservaoutrosconsolidadoset[[#This Row],[ATUAL]])</f>
        <v>0</v>
      </c>
      <c r="I208" s="119" t="n">
        <f aca="false">SUMIFS(tabela_registros[VALOR],tabela_registros[MÊS],$AE$1,tabela_registros[DIA],reservaoutrosconsolidadoset[[#Headers],[5]],tabela_registros[REGISTRO],DADOS!$N$6,tabela_registros[TIPO],DADOS!$AJ$5,tabela_registros[CATEGORIA],reservaoutrosconsolidadoset[[#This Row],[ATUAL]])</f>
        <v>0</v>
      </c>
      <c r="J208" s="119" t="n">
        <f aca="false">SUMIFS(tabela_registros[VALOR],tabela_registros[MÊS],$AE$1,tabela_registros[DIA],reservaoutrosconsolidadoset[[#Headers],[6]],tabela_registros[REGISTRO],DADOS!$N$6,tabela_registros[TIPO],DADOS!$AJ$5,tabela_registros[CATEGORIA],reservaoutrosconsolidadoset[[#This Row],[ATUAL]])</f>
        <v>0</v>
      </c>
      <c r="K208" s="119" t="n">
        <f aca="false">SUMIFS(tabela_registros[VALOR],tabela_registros[MÊS],$AE$1,tabela_registros[DIA],reservaoutrosconsolidadoset[[#Headers],[7]],tabela_registros[REGISTRO],DADOS!$N$6,tabela_registros[TIPO],DADOS!$AJ$5,tabela_registros[CATEGORIA],reservaoutrosconsolidadoset[[#This Row],[ATUAL]])</f>
        <v>0</v>
      </c>
      <c r="L208" s="119" t="n">
        <f aca="false">SUMIFS(tabela_registros[VALOR],tabela_registros[MÊS],$AE$1,tabela_registros[DIA],reservaoutrosconsolidadoset[[#Headers],[8]],tabela_registros[REGISTRO],DADOS!$N$6,tabela_registros[TIPO],DADOS!$AJ$5,tabela_registros[CATEGORIA],reservaoutrosconsolidadoset[[#This Row],[ATUAL]])</f>
        <v>0</v>
      </c>
      <c r="M208" s="119" t="n">
        <f aca="false">SUMIFS(tabela_registros[VALOR],tabela_registros[MÊS],$AE$1,tabela_registros[DIA],reservaoutrosconsolidadoset[[#Headers],[9]],tabela_registros[REGISTRO],DADOS!$N$6,tabela_registros[TIPO],DADOS!$AJ$5,tabela_registros[CATEGORIA],reservaoutrosconsolidadoset[[#This Row],[ATUAL]])</f>
        <v>0</v>
      </c>
      <c r="N208" s="119" t="n">
        <f aca="false">SUMIFS(tabela_registros[VALOR],tabela_registros[MÊS],$AE$1,tabela_registros[DIA],reservaoutrosconsolidadoset[[#Headers],[10]],tabela_registros[REGISTRO],DADOS!$N$6,tabela_registros[TIPO],DADOS!$AJ$5,tabela_registros[CATEGORIA],reservaoutrosconsolidadoset[[#This Row],[ATUAL]])</f>
        <v>0</v>
      </c>
      <c r="O208" s="119" t="n">
        <f aca="false">SUMIFS(tabela_registros[VALOR],tabela_registros[MÊS],$AE$1,tabela_registros[DIA],reservaoutrosconsolidadoset[[#Headers],[11]],tabela_registros[REGISTRO],DADOS!$N$6,tabela_registros[TIPO],DADOS!$AJ$5,tabela_registros[CATEGORIA],reservaoutrosconsolidadoset[[#This Row],[ATUAL]])</f>
        <v>0</v>
      </c>
      <c r="P208" s="119" t="n">
        <f aca="false">SUMIFS(tabela_registros[VALOR],tabela_registros[MÊS],$AE$1,tabela_registros[DIA],reservaoutrosconsolidadoset[[#Headers],[12]],tabela_registros[REGISTRO],DADOS!$N$6,tabela_registros[TIPO],DADOS!$AJ$5,tabela_registros[CATEGORIA],reservaoutrosconsolidadoset[[#This Row],[ATUAL]])</f>
        <v>0</v>
      </c>
      <c r="Q208" s="119" t="n">
        <f aca="false">SUMIFS(tabela_registros[VALOR],tabela_registros[MÊS],$AE$1,tabela_registros[DIA],reservaoutrosconsolidadoset[[#Headers],[13]],tabela_registros[REGISTRO],DADOS!$N$6,tabela_registros[TIPO],DADOS!$AJ$5,tabela_registros[CATEGORIA],reservaoutrosconsolidadoset[[#This Row],[ATUAL]])</f>
        <v>0</v>
      </c>
      <c r="R208" s="119" t="n">
        <f aca="false">SUMIFS(tabela_registros[VALOR],tabela_registros[MÊS],$AE$1,tabela_registros[DIA],reservaoutrosconsolidadoset[[#Headers],[14]],tabela_registros[REGISTRO],DADOS!$N$6,tabela_registros[TIPO],DADOS!$AJ$5,tabela_registros[CATEGORIA],reservaoutrosconsolidadoset[[#This Row],[ATUAL]])</f>
        <v>0</v>
      </c>
      <c r="S208" s="119" t="n">
        <f aca="false">SUMIFS(tabela_registros[VALOR],tabela_registros[MÊS],$AE$1,tabela_registros[DIA],reservaoutrosconsolidadoset[[#Headers],[15]],tabela_registros[REGISTRO],DADOS!$N$6,tabela_registros[TIPO],DADOS!$AJ$5,tabela_registros[CATEGORIA],reservaoutrosconsolidadoset[[#This Row],[ATUAL]])</f>
        <v>0</v>
      </c>
      <c r="T208" s="119" t="n">
        <f aca="false">SUMIFS(tabela_registros[VALOR],tabela_registros[MÊS],$AE$1,tabela_registros[DIA],reservaoutrosconsolidadoset[[#Headers],[16]],tabela_registros[REGISTRO],DADOS!$N$6,tabela_registros[TIPO],DADOS!$AJ$5,tabela_registros[CATEGORIA],reservaoutrosconsolidadoset[[#This Row],[ATUAL]])</f>
        <v>0</v>
      </c>
      <c r="U208" s="119" t="n">
        <f aca="false">SUMIFS(tabela_registros[VALOR],tabela_registros[MÊS],$AE$1,tabela_registros[DIA],reservaoutrosconsolidadoset[[#Headers],[17]],tabela_registros[REGISTRO],DADOS!$N$6,tabela_registros[TIPO],DADOS!$AJ$5,tabela_registros[CATEGORIA],reservaoutrosconsolidadoset[[#This Row],[ATUAL]])</f>
        <v>0</v>
      </c>
      <c r="V208" s="119" t="n">
        <f aca="false">SUMIFS(tabela_registros[VALOR],tabela_registros[MÊS],$AE$1,tabela_registros[DIA],reservaoutrosconsolidadoset[[#Headers],[18]],tabela_registros[REGISTRO],DADOS!$N$6,tabela_registros[TIPO],DADOS!$AJ$5,tabela_registros[CATEGORIA],reservaoutrosconsolidadoset[[#This Row],[ATUAL]])</f>
        <v>0</v>
      </c>
      <c r="W208" s="119" t="n">
        <f aca="false">SUMIFS(tabela_registros[VALOR],tabela_registros[MÊS],$AE$1,tabela_registros[DIA],reservaoutrosconsolidadoset[[#Headers],[19]],tabela_registros[REGISTRO],DADOS!$N$6,tabela_registros[TIPO],DADOS!$AJ$5,tabela_registros[CATEGORIA],reservaoutrosconsolidadoset[[#This Row],[ATUAL]])</f>
        <v>0</v>
      </c>
      <c r="X208" s="119" t="n">
        <f aca="false">SUMIFS(tabela_registros[VALOR],tabela_registros[MÊS],$AE$1,tabela_registros[DIA],reservaoutrosconsolidadoset[[#Headers],[20]],tabela_registros[REGISTRO],DADOS!$N$6,tabela_registros[TIPO],DADOS!$AJ$5,tabela_registros[CATEGORIA],reservaoutrosconsolidadoset[[#This Row],[ATUAL]])</f>
        <v>0</v>
      </c>
      <c r="Y208" s="119" t="n">
        <f aca="false">SUMIFS(tabela_registros[VALOR],tabela_registros[MÊS],$AE$1,tabela_registros[DIA],reservaoutrosconsolidadoset[[#Headers],[21]],tabela_registros[REGISTRO],DADOS!$N$6,tabela_registros[TIPO],DADOS!$AJ$5,tabela_registros[CATEGORIA],reservaoutrosconsolidadoset[[#This Row],[ATUAL]])</f>
        <v>0</v>
      </c>
      <c r="Z208" s="119" t="n">
        <f aca="false">SUMIFS(tabela_registros[VALOR],tabela_registros[MÊS],$AE$1,tabela_registros[DIA],reservaoutrosconsolidadoset[[#Headers],[22]],tabela_registros[REGISTRO],DADOS!$N$6,tabela_registros[TIPO],DADOS!$AJ$5,tabela_registros[CATEGORIA],reservaoutrosconsolidadoset[[#This Row],[ATUAL]])</f>
        <v>0</v>
      </c>
      <c r="AA208" s="119" t="n">
        <f aca="false">SUMIFS(tabela_registros[VALOR],tabela_registros[MÊS],$AE$1,tabela_registros[DIA],reservaoutrosconsolidadoset[[#Headers],[23]],tabela_registros[REGISTRO],DADOS!$N$6,tabela_registros[TIPO],DADOS!$AJ$5,tabela_registros[CATEGORIA],reservaoutrosconsolidadoset[[#This Row],[ATUAL]])</f>
        <v>0</v>
      </c>
      <c r="AB208" s="119" t="n">
        <f aca="false">SUMIFS(tabela_registros[VALOR],tabela_registros[MÊS],$AE$1,tabela_registros[DIA],reservaoutrosconsolidadoset[[#Headers],[24]],tabela_registros[REGISTRO],DADOS!$N$6,tabela_registros[TIPO],DADOS!$AJ$5,tabela_registros[CATEGORIA],reservaoutrosconsolidadoset[[#This Row],[ATUAL]])</f>
        <v>0</v>
      </c>
      <c r="AC208" s="119" t="n">
        <f aca="false">SUMIFS(tabela_registros[VALOR],tabela_registros[MÊS],$AE$1,tabela_registros[DIA],reservaoutrosconsolidadoset[[#Headers],[25]],tabela_registros[REGISTRO],DADOS!$N$6,tabela_registros[TIPO],DADOS!$AJ$5,tabela_registros[CATEGORIA],reservaoutrosconsolidadoset[[#This Row],[ATUAL]])</f>
        <v>0</v>
      </c>
      <c r="AD208" s="119" t="n">
        <f aca="false">SUMIFS(tabela_registros[VALOR],tabela_registros[MÊS],$AE$1,tabela_registros[DIA],reservaoutrosconsolidadoset[[#Headers],[26]],tabela_registros[REGISTRO],DADOS!$N$6,tabela_registros[TIPO],DADOS!$AJ$5,tabela_registros[CATEGORIA],reservaoutrosconsolidadoset[[#This Row],[ATUAL]])</f>
        <v>0</v>
      </c>
      <c r="AE208" s="119" t="n">
        <f aca="false">SUMIFS(tabela_registros[VALOR],tabela_registros[MÊS],$AE$1,tabela_registros[DIA],reservaoutrosconsolidadoset[[#Headers],[27]],tabela_registros[REGISTRO],DADOS!$N$6,tabela_registros[TIPO],DADOS!$AJ$5,tabela_registros[CATEGORIA],reservaoutrosconsolidadoset[[#This Row],[ATUAL]])</f>
        <v>0</v>
      </c>
      <c r="AF208" s="119" t="n">
        <f aca="false">SUMIFS(tabela_registros[VALOR],tabela_registros[MÊS],$AE$1,tabela_registros[DIA],reservaoutrosconsolidadoset[[#Headers],[28]],tabela_registros[REGISTRO],DADOS!$N$6,tabela_registros[TIPO],DADOS!$AJ$5,tabela_registros[CATEGORIA],reservaoutrosconsolidadoset[[#This Row],[ATUAL]])</f>
        <v>0</v>
      </c>
      <c r="AG208" s="119" t="n">
        <f aca="false">SUMIFS(tabela_registros[VALOR],tabela_registros[MÊS],$AE$1,tabela_registros[DIA],reservaoutrosconsolidadoset[[#Headers],[29]],tabela_registros[REGISTRO],DADOS!$N$6,tabela_registros[TIPO],DADOS!$AJ$5,tabela_registros[CATEGORIA],reservaoutrosconsolidadoset[[#This Row],[ATUAL]])</f>
        <v>0</v>
      </c>
      <c r="AH208" s="119" t="n">
        <f aca="false">SUMIFS(tabela_registros[VALOR],tabela_registros[MÊS],$AE$1,tabela_registros[DIA],reservaoutrosconsolidadoset[[#Headers],[30]],tabela_registros[REGISTRO],DADOS!$N$6,tabela_registros[TIPO],DADOS!$AJ$5,tabela_registros[CATEGORIA],reservaoutrosconsolidadoset[[#This Row],[ATUAL]])</f>
        <v>0</v>
      </c>
      <c r="AI208" s="217" t="n">
        <f aca="false">SUMIFS(tabela_registros[VALOR],tabela_registros[MÊS],$AE$1,tabela_registros[DIA],reservaoutrosconsolidadoset[[#Headers],[31]],tabela_registros[REGISTRO],DADOS!$N$6,tabela_registros[TIPO],DADOS!$AJ$5,tabela_registros[CATEGORIA],reservaoutrosconsolidadoset[[#This Row],[ATUAL]])</f>
        <v>0</v>
      </c>
      <c r="AJ208" s="149" t="n">
        <f aca="false">SUM(reservaoutrosconsolidadoset[[#This Row],[1]:[31]])</f>
        <v>0</v>
      </c>
      <c r="AK208" s="165"/>
    </row>
    <row r="209" customFormat="false" ht="19.5" hidden="false" customHeight="true" outlineLevel="0" collapsed="false">
      <c r="B209" s="143"/>
      <c r="C209" s="144" t="str">
        <f aca="false">DADOS!$AP$6</f>
        <v>📝 NOVA EMPRESA</v>
      </c>
      <c r="D209" s="145" t="str">
        <f aca="false">IF(reservaoutrosconsolidadoset[[#This Row],[TOTAL (R$)]]=0,"",IF(OR(reservaoutrosconsolidadoset[[#This Row],[TOTAL (R$)]]=LARGE($AJ$206:$AJ$213,1),reservaoutrosconsolidadoset[[#This Row],[TOTAL (R$)]]=LARGE($AJ$206:$AJ$213,2)),DADOS!$I$11,""))</f>
        <v/>
      </c>
      <c r="E209" s="148" t="n">
        <f aca="false">SUMIFS(tabela_registros[VALOR],tabela_registros[MÊS],$AE$1,tabela_registros[DIA],reservaoutrosconsolidadoset[[#Headers],[1]],tabela_registros[REGISTRO],DADOS!$N$6,tabela_registros[TIPO],DADOS!$AJ$5,tabela_registros[CATEGORIA],reservaoutrosconsolidadoset[[#This Row],[ATUAL]])</f>
        <v>0</v>
      </c>
      <c r="F209" s="119" t="n">
        <f aca="false">SUMIFS(tabela_registros[VALOR],tabela_registros[MÊS],$AE$1,tabela_registros[DIA],reservaoutrosconsolidadoset[[#Headers],[2]],tabela_registros[REGISTRO],DADOS!$N$6,tabela_registros[TIPO],DADOS!$AJ$5,tabela_registros[CATEGORIA],reservaoutrosconsolidadoset[[#This Row],[ATUAL]])</f>
        <v>0</v>
      </c>
      <c r="G209" s="119" t="n">
        <f aca="false">SUMIFS(tabela_registros[VALOR],tabela_registros[MÊS],$AE$1,tabela_registros[DIA],reservaoutrosconsolidadoset[[#Headers],[3]],tabela_registros[REGISTRO],DADOS!$N$6,tabela_registros[TIPO],DADOS!$AJ$5,tabela_registros[CATEGORIA],reservaoutrosconsolidadoset[[#This Row],[ATUAL]])</f>
        <v>0</v>
      </c>
      <c r="H209" s="119" t="n">
        <f aca="false">SUMIFS(tabela_registros[VALOR],tabela_registros[MÊS],$AE$1,tabela_registros[DIA],reservaoutrosconsolidadoset[[#Headers],[4]],tabela_registros[REGISTRO],DADOS!$N$6,tabela_registros[TIPO],DADOS!$AJ$5,tabela_registros[CATEGORIA],reservaoutrosconsolidadoset[[#This Row],[ATUAL]])</f>
        <v>0</v>
      </c>
      <c r="I209" s="119" t="n">
        <f aca="false">SUMIFS(tabela_registros[VALOR],tabela_registros[MÊS],$AE$1,tabela_registros[DIA],reservaoutrosconsolidadoset[[#Headers],[5]],tabela_registros[REGISTRO],DADOS!$N$6,tabela_registros[TIPO],DADOS!$AJ$5,tabela_registros[CATEGORIA],reservaoutrosconsolidadoset[[#This Row],[ATUAL]])</f>
        <v>0</v>
      </c>
      <c r="J209" s="119" t="n">
        <f aca="false">SUMIFS(tabela_registros[VALOR],tabela_registros[MÊS],$AE$1,tabela_registros[DIA],reservaoutrosconsolidadoset[[#Headers],[6]],tabela_registros[REGISTRO],DADOS!$N$6,tabela_registros[TIPO],DADOS!$AJ$5,tabela_registros[CATEGORIA],reservaoutrosconsolidadoset[[#This Row],[ATUAL]])</f>
        <v>0</v>
      </c>
      <c r="K209" s="119" t="n">
        <f aca="false">SUMIFS(tabela_registros[VALOR],tabela_registros[MÊS],$AE$1,tabela_registros[DIA],reservaoutrosconsolidadoset[[#Headers],[7]],tabela_registros[REGISTRO],DADOS!$N$6,tabela_registros[TIPO],DADOS!$AJ$5,tabela_registros[CATEGORIA],reservaoutrosconsolidadoset[[#This Row],[ATUAL]])</f>
        <v>0</v>
      </c>
      <c r="L209" s="119" t="n">
        <f aca="false">SUMIFS(tabela_registros[VALOR],tabela_registros[MÊS],$AE$1,tabela_registros[DIA],reservaoutrosconsolidadoset[[#Headers],[8]],tabela_registros[REGISTRO],DADOS!$N$6,tabela_registros[TIPO],DADOS!$AJ$5,tabela_registros[CATEGORIA],reservaoutrosconsolidadoset[[#This Row],[ATUAL]])</f>
        <v>0</v>
      </c>
      <c r="M209" s="119" t="n">
        <f aca="false">SUMIFS(tabela_registros[VALOR],tabela_registros[MÊS],$AE$1,tabela_registros[DIA],reservaoutrosconsolidadoset[[#Headers],[9]],tabela_registros[REGISTRO],DADOS!$N$6,tabela_registros[TIPO],DADOS!$AJ$5,tabela_registros[CATEGORIA],reservaoutrosconsolidadoset[[#This Row],[ATUAL]])</f>
        <v>0</v>
      </c>
      <c r="N209" s="119" t="n">
        <f aca="false">SUMIFS(tabela_registros[VALOR],tabela_registros[MÊS],$AE$1,tabela_registros[DIA],reservaoutrosconsolidadoset[[#Headers],[10]],tabela_registros[REGISTRO],DADOS!$N$6,tabela_registros[TIPO],DADOS!$AJ$5,tabela_registros[CATEGORIA],reservaoutrosconsolidadoset[[#This Row],[ATUAL]])</f>
        <v>0</v>
      </c>
      <c r="O209" s="119" t="n">
        <f aca="false">SUMIFS(tabela_registros[VALOR],tabela_registros[MÊS],$AE$1,tabela_registros[DIA],reservaoutrosconsolidadoset[[#Headers],[11]],tabela_registros[REGISTRO],DADOS!$N$6,tabela_registros[TIPO],DADOS!$AJ$5,tabela_registros[CATEGORIA],reservaoutrosconsolidadoset[[#This Row],[ATUAL]])</f>
        <v>0</v>
      </c>
      <c r="P209" s="119" t="n">
        <f aca="false">SUMIFS(tabela_registros[VALOR],tabela_registros[MÊS],$AE$1,tabela_registros[DIA],reservaoutrosconsolidadoset[[#Headers],[12]],tabela_registros[REGISTRO],DADOS!$N$6,tabela_registros[TIPO],DADOS!$AJ$5,tabela_registros[CATEGORIA],reservaoutrosconsolidadoset[[#This Row],[ATUAL]])</f>
        <v>0</v>
      </c>
      <c r="Q209" s="119" t="n">
        <f aca="false">SUMIFS(tabela_registros[VALOR],tabela_registros[MÊS],$AE$1,tabela_registros[DIA],reservaoutrosconsolidadoset[[#Headers],[13]],tabela_registros[REGISTRO],DADOS!$N$6,tabela_registros[TIPO],DADOS!$AJ$5,tabela_registros[CATEGORIA],reservaoutrosconsolidadoset[[#This Row],[ATUAL]])</f>
        <v>0</v>
      </c>
      <c r="R209" s="119" t="n">
        <f aca="false">SUMIFS(tabela_registros[VALOR],tabela_registros[MÊS],$AE$1,tabela_registros[DIA],reservaoutrosconsolidadoset[[#Headers],[14]],tabela_registros[REGISTRO],DADOS!$N$6,tabela_registros[TIPO],DADOS!$AJ$5,tabela_registros[CATEGORIA],reservaoutrosconsolidadoset[[#This Row],[ATUAL]])</f>
        <v>0</v>
      </c>
      <c r="S209" s="119" t="n">
        <f aca="false">SUMIFS(tabela_registros[VALOR],tabela_registros[MÊS],$AE$1,tabela_registros[DIA],reservaoutrosconsolidadoset[[#Headers],[15]],tabela_registros[REGISTRO],DADOS!$N$6,tabela_registros[TIPO],DADOS!$AJ$5,tabela_registros[CATEGORIA],reservaoutrosconsolidadoset[[#This Row],[ATUAL]])</f>
        <v>0</v>
      </c>
      <c r="T209" s="119" t="n">
        <f aca="false">SUMIFS(tabela_registros[VALOR],tabela_registros[MÊS],$AE$1,tabela_registros[DIA],reservaoutrosconsolidadoset[[#Headers],[16]],tabela_registros[REGISTRO],DADOS!$N$6,tabela_registros[TIPO],DADOS!$AJ$5,tabela_registros[CATEGORIA],reservaoutrosconsolidadoset[[#This Row],[ATUAL]])</f>
        <v>0</v>
      </c>
      <c r="U209" s="119" t="n">
        <f aca="false">SUMIFS(tabela_registros[VALOR],tabela_registros[MÊS],$AE$1,tabela_registros[DIA],reservaoutrosconsolidadoset[[#Headers],[17]],tabela_registros[REGISTRO],DADOS!$N$6,tabela_registros[TIPO],DADOS!$AJ$5,tabela_registros[CATEGORIA],reservaoutrosconsolidadoset[[#This Row],[ATUAL]])</f>
        <v>0</v>
      </c>
      <c r="V209" s="119" t="n">
        <f aca="false">SUMIFS(tabela_registros[VALOR],tabela_registros[MÊS],$AE$1,tabela_registros[DIA],reservaoutrosconsolidadoset[[#Headers],[18]],tabela_registros[REGISTRO],DADOS!$N$6,tabela_registros[TIPO],DADOS!$AJ$5,tabela_registros[CATEGORIA],reservaoutrosconsolidadoset[[#This Row],[ATUAL]])</f>
        <v>0</v>
      </c>
      <c r="W209" s="119" t="n">
        <f aca="false">SUMIFS(tabela_registros[VALOR],tabela_registros[MÊS],$AE$1,tabela_registros[DIA],reservaoutrosconsolidadoset[[#Headers],[19]],tabela_registros[REGISTRO],DADOS!$N$6,tabela_registros[TIPO],DADOS!$AJ$5,tabela_registros[CATEGORIA],reservaoutrosconsolidadoset[[#This Row],[ATUAL]])</f>
        <v>0</v>
      </c>
      <c r="X209" s="119" t="n">
        <f aca="false">SUMIFS(tabela_registros[VALOR],tabela_registros[MÊS],$AE$1,tabela_registros[DIA],reservaoutrosconsolidadoset[[#Headers],[20]],tabela_registros[REGISTRO],DADOS!$N$6,tabela_registros[TIPO],DADOS!$AJ$5,tabela_registros[CATEGORIA],reservaoutrosconsolidadoset[[#This Row],[ATUAL]])</f>
        <v>0</v>
      </c>
      <c r="Y209" s="119" t="n">
        <f aca="false">SUMIFS(tabela_registros[VALOR],tabela_registros[MÊS],$AE$1,tabela_registros[DIA],reservaoutrosconsolidadoset[[#Headers],[21]],tabela_registros[REGISTRO],DADOS!$N$6,tabela_registros[TIPO],DADOS!$AJ$5,tabela_registros[CATEGORIA],reservaoutrosconsolidadoset[[#This Row],[ATUAL]])</f>
        <v>0</v>
      </c>
      <c r="Z209" s="119" t="n">
        <f aca="false">SUMIFS(tabela_registros[VALOR],tabela_registros[MÊS],$AE$1,tabela_registros[DIA],reservaoutrosconsolidadoset[[#Headers],[22]],tabela_registros[REGISTRO],DADOS!$N$6,tabela_registros[TIPO],DADOS!$AJ$5,tabela_registros[CATEGORIA],reservaoutrosconsolidadoset[[#This Row],[ATUAL]])</f>
        <v>0</v>
      </c>
      <c r="AA209" s="119" t="n">
        <f aca="false">SUMIFS(tabela_registros[VALOR],tabela_registros[MÊS],$AE$1,tabela_registros[DIA],reservaoutrosconsolidadoset[[#Headers],[23]],tabela_registros[REGISTRO],DADOS!$N$6,tabela_registros[TIPO],DADOS!$AJ$5,tabela_registros[CATEGORIA],reservaoutrosconsolidadoset[[#This Row],[ATUAL]])</f>
        <v>0</v>
      </c>
      <c r="AB209" s="119" t="n">
        <f aca="false">SUMIFS(tabela_registros[VALOR],tabela_registros[MÊS],$AE$1,tabela_registros[DIA],reservaoutrosconsolidadoset[[#Headers],[24]],tabela_registros[REGISTRO],DADOS!$N$6,tabela_registros[TIPO],DADOS!$AJ$5,tabela_registros[CATEGORIA],reservaoutrosconsolidadoset[[#This Row],[ATUAL]])</f>
        <v>0</v>
      </c>
      <c r="AC209" s="119" t="n">
        <f aca="false">SUMIFS(tabela_registros[VALOR],tabela_registros[MÊS],$AE$1,tabela_registros[DIA],reservaoutrosconsolidadoset[[#Headers],[25]],tabela_registros[REGISTRO],DADOS!$N$6,tabela_registros[TIPO],DADOS!$AJ$5,tabela_registros[CATEGORIA],reservaoutrosconsolidadoset[[#This Row],[ATUAL]])</f>
        <v>0</v>
      </c>
      <c r="AD209" s="119" t="n">
        <f aca="false">SUMIFS(tabela_registros[VALOR],tabela_registros[MÊS],$AE$1,tabela_registros[DIA],reservaoutrosconsolidadoset[[#Headers],[26]],tabela_registros[REGISTRO],DADOS!$N$6,tabela_registros[TIPO],DADOS!$AJ$5,tabela_registros[CATEGORIA],reservaoutrosconsolidadoset[[#This Row],[ATUAL]])</f>
        <v>0</v>
      </c>
      <c r="AE209" s="119" t="n">
        <f aca="false">SUMIFS(tabela_registros[VALOR],tabela_registros[MÊS],$AE$1,tabela_registros[DIA],reservaoutrosconsolidadoset[[#Headers],[27]],tabela_registros[REGISTRO],DADOS!$N$6,tabela_registros[TIPO],DADOS!$AJ$5,tabela_registros[CATEGORIA],reservaoutrosconsolidadoset[[#This Row],[ATUAL]])</f>
        <v>0</v>
      </c>
      <c r="AF209" s="119" t="n">
        <f aca="false">SUMIFS(tabela_registros[VALOR],tabela_registros[MÊS],$AE$1,tabela_registros[DIA],reservaoutrosconsolidadoset[[#Headers],[28]],tabela_registros[REGISTRO],DADOS!$N$6,tabela_registros[TIPO],DADOS!$AJ$5,tabela_registros[CATEGORIA],reservaoutrosconsolidadoset[[#This Row],[ATUAL]])</f>
        <v>0</v>
      </c>
      <c r="AG209" s="119" t="n">
        <f aca="false">SUMIFS(tabela_registros[VALOR],tabela_registros[MÊS],$AE$1,tabela_registros[DIA],reservaoutrosconsolidadoset[[#Headers],[29]],tabela_registros[REGISTRO],DADOS!$N$6,tabela_registros[TIPO],DADOS!$AJ$5,tabela_registros[CATEGORIA],reservaoutrosconsolidadoset[[#This Row],[ATUAL]])</f>
        <v>0</v>
      </c>
      <c r="AH209" s="119" t="n">
        <f aca="false">SUMIFS(tabela_registros[VALOR],tabela_registros[MÊS],$AE$1,tabela_registros[DIA],reservaoutrosconsolidadoset[[#Headers],[30]],tabela_registros[REGISTRO],DADOS!$N$6,tabela_registros[TIPO],DADOS!$AJ$5,tabela_registros[CATEGORIA],reservaoutrosconsolidadoset[[#This Row],[ATUAL]])</f>
        <v>0</v>
      </c>
      <c r="AI209" s="217" t="n">
        <f aca="false">SUMIFS(tabela_registros[VALOR],tabela_registros[MÊS],$AE$1,tabela_registros[DIA],reservaoutrosconsolidadoset[[#Headers],[31]],tabela_registros[REGISTRO],DADOS!$N$6,tabela_registros[TIPO],DADOS!$AJ$5,tabela_registros[CATEGORIA],reservaoutrosconsolidadoset[[#This Row],[ATUAL]])</f>
        <v>0</v>
      </c>
      <c r="AJ209" s="149" t="n">
        <f aca="false">SUM(reservaoutrosconsolidadoset[[#This Row],[1]:[31]])</f>
        <v>0</v>
      </c>
      <c r="AK209" s="165"/>
    </row>
    <row r="210" customFormat="false" ht="19.5" hidden="false" customHeight="true" outlineLevel="0" collapsed="false">
      <c r="B210" s="143"/>
      <c r="C210" s="144" t="str">
        <f aca="false">DADOS!$AP$7</f>
        <v>📝 PEER TO COMPANY</v>
      </c>
      <c r="D210" s="145" t="str">
        <f aca="false">IF(reservaoutrosconsolidadoset[[#This Row],[TOTAL (R$)]]=0,"",IF(OR(reservaoutrosconsolidadoset[[#This Row],[TOTAL (R$)]]=LARGE($AJ$206:$AJ$213,1),reservaoutrosconsolidadoset[[#This Row],[TOTAL (R$)]]=LARGE($AJ$206:$AJ$213,2)),DADOS!$I$11,""))</f>
        <v/>
      </c>
      <c r="E210" s="148" t="n">
        <f aca="false">SUMIFS(tabela_registros[VALOR],tabela_registros[MÊS],$AE$1,tabela_registros[DIA],reservaoutrosconsolidadoset[[#Headers],[1]],tabela_registros[REGISTRO],DADOS!$N$6,tabela_registros[TIPO],DADOS!$AJ$5,tabela_registros[CATEGORIA],reservaoutrosconsolidadoset[[#This Row],[ATUAL]])</f>
        <v>0</v>
      </c>
      <c r="F210" s="119" t="n">
        <f aca="false">SUMIFS(tabela_registros[VALOR],tabela_registros[MÊS],$AE$1,tabela_registros[DIA],reservaoutrosconsolidadoset[[#Headers],[2]],tabela_registros[REGISTRO],DADOS!$N$6,tabela_registros[TIPO],DADOS!$AJ$5,tabela_registros[CATEGORIA],reservaoutrosconsolidadoset[[#This Row],[ATUAL]])</f>
        <v>0</v>
      </c>
      <c r="G210" s="119" t="n">
        <f aca="false">SUMIFS(tabela_registros[VALOR],tabela_registros[MÊS],$AE$1,tabela_registros[DIA],reservaoutrosconsolidadoset[[#Headers],[3]],tabela_registros[REGISTRO],DADOS!$N$6,tabela_registros[TIPO],DADOS!$AJ$5,tabela_registros[CATEGORIA],reservaoutrosconsolidadoset[[#This Row],[ATUAL]])</f>
        <v>0</v>
      </c>
      <c r="H210" s="119" t="n">
        <f aca="false">SUMIFS(tabela_registros[VALOR],tabela_registros[MÊS],$AE$1,tabela_registros[DIA],reservaoutrosconsolidadoset[[#Headers],[4]],tabela_registros[REGISTRO],DADOS!$N$6,tabela_registros[TIPO],DADOS!$AJ$5,tabela_registros[CATEGORIA],reservaoutrosconsolidadoset[[#This Row],[ATUAL]])</f>
        <v>0</v>
      </c>
      <c r="I210" s="119" t="n">
        <f aca="false">SUMIFS(tabela_registros[VALOR],tabela_registros[MÊS],$AE$1,tabela_registros[DIA],reservaoutrosconsolidadoset[[#Headers],[5]],tabela_registros[REGISTRO],DADOS!$N$6,tabela_registros[TIPO],DADOS!$AJ$5,tabela_registros[CATEGORIA],reservaoutrosconsolidadoset[[#This Row],[ATUAL]])</f>
        <v>0</v>
      </c>
      <c r="J210" s="119" t="n">
        <f aca="false">SUMIFS(tabela_registros[VALOR],tabela_registros[MÊS],$AE$1,tabela_registros[DIA],reservaoutrosconsolidadoset[[#Headers],[6]],tabela_registros[REGISTRO],DADOS!$N$6,tabela_registros[TIPO],DADOS!$AJ$5,tabela_registros[CATEGORIA],reservaoutrosconsolidadoset[[#This Row],[ATUAL]])</f>
        <v>0</v>
      </c>
      <c r="K210" s="119" t="n">
        <f aca="false">SUMIFS(tabela_registros[VALOR],tabela_registros[MÊS],$AE$1,tabela_registros[DIA],reservaoutrosconsolidadoset[[#Headers],[7]],tabela_registros[REGISTRO],DADOS!$N$6,tabela_registros[TIPO],DADOS!$AJ$5,tabela_registros[CATEGORIA],reservaoutrosconsolidadoset[[#This Row],[ATUAL]])</f>
        <v>0</v>
      </c>
      <c r="L210" s="119" t="n">
        <f aca="false">SUMIFS(tabela_registros[VALOR],tabela_registros[MÊS],$AE$1,tabela_registros[DIA],reservaoutrosconsolidadoset[[#Headers],[8]],tabela_registros[REGISTRO],DADOS!$N$6,tabela_registros[TIPO],DADOS!$AJ$5,tabela_registros[CATEGORIA],reservaoutrosconsolidadoset[[#This Row],[ATUAL]])</f>
        <v>0</v>
      </c>
      <c r="M210" s="119" t="n">
        <f aca="false">SUMIFS(tabela_registros[VALOR],tabela_registros[MÊS],$AE$1,tabela_registros[DIA],reservaoutrosconsolidadoset[[#Headers],[9]],tabela_registros[REGISTRO],DADOS!$N$6,tabela_registros[TIPO],DADOS!$AJ$5,tabela_registros[CATEGORIA],reservaoutrosconsolidadoset[[#This Row],[ATUAL]])</f>
        <v>0</v>
      </c>
      <c r="N210" s="119" t="n">
        <f aca="false">SUMIFS(tabela_registros[VALOR],tabela_registros[MÊS],$AE$1,tabela_registros[DIA],reservaoutrosconsolidadoset[[#Headers],[10]],tabela_registros[REGISTRO],DADOS!$N$6,tabela_registros[TIPO],DADOS!$AJ$5,tabela_registros[CATEGORIA],reservaoutrosconsolidadoset[[#This Row],[ATUAL]])</f>
        <v>0</v>
      </c>
      <c r="O210" s="119" t="n">
        <f aca="false">SUMIFS(tabela_registros[VALOR],tabela_registros[MÊS],$AE$1,tabela_registros[DIA],reservaoutrosconsolidadoset[[#Headers],[11]],tabela_registros[REGISTRO],DADOS!$N$6,tabela_registros[TIPO],DADOS!$AJ$5,tabela_registros[CATEGORIA],reservaoutrosconsolidadoset[[#This Row],[ATUAL]])</f>
        <v>0</v>
      </c>
      <c r="P210" s="119" t="n">
        <f aca="false">SUMIFS(tabela_registros[VALOR],tabela_registros[MÊS],$AE$1,tabela_registros[DIA],reservaoutrosconsolidadoset[[#Headers],[12]],tabela_registros[REGISTRO],DADOS!$N$6,tabela_registros[TIPO],DADOS!$AJ$5,tabela_registros[CATEGORIA],reservaoutrosconsolidadoset[[#This Row],[ATUAL]])</f>
        <v>0</v>
      </c>
      <c r="Q210" s="119" t="n">
        <f aca="false">SUMIFS(tabela_registros[VALOR],tabela_registros[MÊS],$AE$1,tabela_registros[DIA],reservaoutrosconsolidadoset[[#Headers],[13]],tabela_registros[REGISTRO],DADOS!$N$6,tabela_registros[TIPO],DADOS!$AJ$5,tabela_registros[CATEGORIA],reservaoutrosconsolidadoset[[#This Row],[ATUAL]])</f>
        <v>0</v>
      </c>
      <c r="R210" s="119" t="n">
        <f aca="false">SUMIFS(tabela_registros[VALOR],tabela_registros[MÊS],$AE$1,tabela_registros[DIA],reservaoutrosconsolidadoset[[#Headers],[14]],tabela_registros[REGISTRO],DADOS!$N$6,tabela_registros[TIPO],DADOS!$AJ$5,tabela_registros[CATEGORIA],reservaoutrosconsolidadoset[[#This Row],[ATUAL]])</f>
        <v>0</v>
      </c>
      <c r="S210" s="119" t="n">
        <f aca="false">SUMIFS(tabela_registros[VALOR],tabela_registros[MÊS],$AE$1,tabela_registros[DIA],reservaoutrosconsolidadoset[[#Headers],[15]],tabela_registros[REGISTRO],DADOS!$N$6,tabela_registros[TIPO],DADOS!$AJ$5,tabela_registros[CATEGORIA],reservaoutrosconsolidadoset[[#This Row],[ATUAL]])</f>
        <v>0</v>
      </c>
      <c r="T210" s="119" t="n">
        <f aca="false">SUMIFS(tabela_registros[VALOR],tabela_registros[MÊS],$AE$1,tabela_registros[DIA],reservaoutrosconsolidadoset[[#Headers],[16]],tabela_registros[REGISTRO],DADOS!$N$6,tabela_registros[TIPO],DADOS!$AJ$5,tabela_registros[CATEGORIA],reservaoutrosconsolidadoset[[#This Row],[ATUAL]])</f>
        <v>0</v>
      </c>
      <c r="U210" s="119" t="n">
        <f aca="false">SUMIFS(tabela_registros[VALOR],tabela_registros[MÊS],$AE$1,tabela_registros[DIA],reservaoutrosconsolidadoset[[#Headers],[17]],tabela_registros[REGISTRO],DADOS!$N$6,tabela_registros[TIPO],DADOS!$AJ$5,tabela_registros[CATEGORIA],reservaoutrosconsolidadoset[[#This Row],[ATUAL]])</f>
        <v>0</v>
      </c>
      <c r="V210" s="119" t="n">
        <f aca="false">SUMIFS(tabela_registros[VALOR],tabela_registros[MÊS],$AE$1,tabela_registros[DIA],reservaoutrosconsolidadoset[[#Headers],[18]],tabela_registros[REGISTRO],DADOS!$N$6,tabela_registros[TIPO],DADOS!$AJ$5,tabela_registros[CATEGORIA],reservaoutrosconsolidadoset[[#This Row],[ATUAL]])</f>
        <v>0</v>
      </c>
      <c r="W210" s="119" t="n">
        <f aca="false">SUMIFS(tabela_registros[VALOR],tabela_registros[MÊS],$AE$1,tabela_registros[DIA],reservaoutrosconsolidadoset[[#Headers],[19]],tabela_registros[REGISTRO],DADOS!$N$6,tabela_registros[TIPO],DADOS!$AJ$5,tabela_registros[CATEGORIA],reservaoutrosconsolidadoset[[#This Row],[ATUAL]])</f>
        <v>0</v>
      </c>
      <c r="X210" s="119" t="n">
        <f aca="false">SUMIFS(tabela_registros[VALOR],tabela_registros[MÊS],$AE$1,tabela_registros[DIA],reservaoutrosconsolidadoset[[#Headers],[20]],tabela_registros[REGISTRO],DADOS!$N$6,tabela_registros[TIPO],DADOS!$AJ$5,tabela_registros[CATEGORIA],reservaoutrosconsolidadoset[[#This Row],[ATUAL]])</f>
        <v>0</v>
      </c>
      <c r="Y210" s="119" t="n">
        <f aca="false">SUMIFS(tabela_registros[VALOR],tabela_registros[MÊS],$AE$1,tabela_registros[DIA],reservaoutrosconsolidadoset[[#Headers],[21]],tabela_registros[REGISTRO],DADOS!$N$6,tabela_registros[TIPO],DADOS!$AJ$5,tabela_registros[CATEGORIA],reservaoutrosconsolidadoset[[#This Row],[ATUAL]])</f>
        <v>0</v>
      </c>
      <c r="Z210" s="119" t="n">
        <f aca="false">SUMIFS(tabela_registros[VALOR],tabela_registros[MÊS],$AE$1,tabela_registros[DIA],reservaoutrosconsolidadoset[[#Headers],[22]],tabela_registros[REGISTRO],DADOS!$N$6,tabela_registros[TIPO],DADOS!$AJ$5,tabela_registros[CATEGORIA],reservaoutrosconsolidadoset[[#This Row],[ATUAL]])</f>
        <v>0</v>
      </c>
      <c r="AA210" s="119" t="n">
        <f aca="false">SUMIFS(tabela_registros[VALOR],tabela_registros[MÊS],$AE$1,tabela_registros[DIA],reservaoutrosconsolidadoset[[#Headers],[23]],tabela_registros[REGISTRO],DADOS!$N$6,tabela_registros[TIPO],DADOS!$AJ$5,tabela_registros[CATEGORIA],reservaoutrosconsolidadoset[[#This Row],[ATUAL]])</f>
        <v>0</v>
      </c>
      <c r="AB210" s="119" t="n">
        <f aca="false">SUMIFS(tabela_registros[VALOR],tabela_registros[MÊS],$AE$1,tabela_registros[DIA],reservaoutrosconsolidadoset[[#Headers],[24]],tabela_registros[REGISTRO],DADOS!$N$6,tabela_registros[TIPO],DADOS!$AJ$5,tabela_registros[CATEGORIA],reservaoutrosconsolidadoset[[#This Row],[ATUAL]])</f>
        <v>0</v>
      </c>
      <c r="AC210" s="119" t="n">
        <f aca="false">SUMIFS(tabela_registros[VALOR],tabela_registros[MÊS],$AE$1,tabela_registros[DIA],reservaoutrosconsolidadoset[[#Headers],[25]],tabela_registros[REGISTRO],DADOS!$N$6,tabela_registros[TIPO],DADOS!$AJ$5,tabela_registros[CATEGORIA],reservaoutrosconsolidadoset[[#This Row],[ATUAL]])</f>
        <v>0</v>
      </c>
      <c r="AD210" s="119" t="n">
        <f aca="false">SUMIFS(tabela_registros[VALOR],tabela_registros[MÊS],$AE$1,tabela_registros[DIA],reservaoutrosconsolidadoset[[#Headers],[26]],tabela_registros[REGISTRO],DADOS!$N$6,tabela_registros[TIPO],DADOS!$AJ$5,tabela_registros[CATEGORIA],reservaoutrosconsolidadoset[[#This Row],[ATUAL]])</f>
        <v>0</v>
      </c>
      <c r="AE210" s="119" t="n">
        <f aca="false">SUMIFS(tabela_registros[VALOR],tabela_registros[MÊS],$AE$1,tabela_registros[DIA],reservaoutrosconsolidadoset[[#Headers],[27]],tabela_registros[REGISTRO],DADOS!$N$6,tabela_registros[TIPO],DADOS!$AJ$5,tabela_registros[CATEGORIA],reservaoutrosconsolidadoset[[#This Row],[ATUAL]])</f>
        <v>0</v>
      </c>
      <c r="AF210" s="119" t="n">
        <f aca="false">SUMIFS(tabela_registros[VALOR],tabela_registros[MÊS],$AE$1,tabela_registros[DIA],reservaoutrosconsolidadoset[[#Headers],[28]],tabela_registros[REGISTRO],DADOS!$N$6,tabela_registros[TIPO],DADOS!$AJ$5,tabela_registros[CATEGORIA],reservaoutrosconsolidadoset[[#This Row],[ATUAL]])</f>
        <v>0</v>
      </c>
      <c r="AG210" s="119" t="n">
        <f aca="false">SUMIFS(tabela_registros[VALOR],tabela_registros[MÊS],$AE$1,tabela_registros[DIA],reservaoutrosconsolidadoset[[#Headers],[29]],tabela_registros[REGISTRO],DADOS!$N$6,tabela_registros[TIPO],DADOS!$AJ$5,tabela_registros[CATEGORIA],reservaoutrosconsolidadoset[[#This Row],[ATUAL]])</f>
        <v>0</v>
      </c>
      <c r="AH210" s="119" t="n">
        <f aca="false">SUMIFS(tabela_registros[VALOR],tabela_registros[MÊS],$AE$1,tabela_registros[DIA],reservaoutrosconsolidadoset[[#Headers],[30]],tabela_registros[REGISTRO],DADOS!$N$6,tabela_registros[TIPO],DADOS!$AJ$5,tabela_registros[CATEGORIA],reservaoutrosconsolidadoset[[#This Row],[ATUAL]])</f>
        <v>0</v>
      </c>
      <c r="AI210" s="217" t="n">
        <f aca="false">SUMIFS(tabela_registros[VALOR],tabela_registros[MÊS],$AE$1,tabela_registros[DIA],reservaoutrosconsolidadoset[[#Headers],[31]],tabela_registros[REGISTRO],DADOS!$N$6,tabela_registros[TIPO],DADOS!$AJ$5,tabela_registros[CATEGORIA],reservaoutrosconsolidadoset[[#This Row],[ATUAL]])</f>
        <v>0</v>
      </c>
      <c r="AJ210" s="149" t="n">
        <f aca="false">SUM(reservaoutrosconsolidadoset[[#This Row],[1]:[31]])</f>
        <v>0</v>
      </c>
      <c r="AK210" s="165"/>
    </row>
    <row r="211" customFormat="false" ht="19.5" hidden="false" customHeight="true" outlineLevel="0" collapsed="false">
      <c r="B211" s="143"/>
      <c r="C211" s="144" t="str">
        <f aca="false">DADOS!$AP$8</f>
        <v>📝 PEER TO PEER</v>
      </c>
      <c r="D211" s="145" t="str">
        <f aca="false">IF(reservaoutrosconsolidadoset[[#This Row],[TOTAL (R$)]]=0,"",IF(OR(reservaoutrosconsolidadoset[[#This Row],[TOTAL (R$)]]=LARGE($AJ$206:$AJ$213,1),reservaoutrosconsolidadoset[[#This Row],[TOTAL (R$)]]=LARGE($AJ$206:$AJ$213,2)),DADOS!$I$11,""))</f>
        <v/>
      </c>
      <c r="E211" s="148" t="n">
        <f aca="false">SUMIFS(tabela_registros[VALOR],tabela_registros[MÊS],$AE$1,tabela_registros[DIA],reservaoutrosconsolidadoset[[#Headers],[1]],tabela_registros[REGISTRO],DADOS!$N$6,tabela_registros[TIPO],DADOS!$AJ$5,tabela_registros[CATEGORIA],reservaoutrosconsolidadoset[[#This Row],[ATUAL]])</f>
        <v>0</v>
      </c>
      <c r="F211" s="119" t="n">
        <f aca="false">SUMIFS(tabela_registros[VALOR],tabela_registros[MÊS],$AE$1,tabela_registros[DIA],reservaoutrosconsolidadoset[[#Headers],[2]],tabela_registros[REGISTRO],DADOS!$N$6,tabela_registros[TIPO],DADOS!$AJ$5,tabela_registros[CATEGORIA],reservaoutrosconsolidadoset[[#This Row],[ATUAL]])</f>
        <v>0</v>
      </c>
      <c r="G211" s="119" t="n">
        <f aca="false">SUMIFS(tabela_registros[VALOR],tabela_registros[MÊS],$AE$1,tabela_registros[DIA],reservaoutrosconsolidadoset[[#Headers],[3]],tabela_registros[REGISTRO],DADOS!$N$6,tabela_registros[TIPO],DADOS!$AJ$5,tabela_registros[CATEGORIA],reservaoutrosconsolidadoset[[#This Row],[ATUAL]])</f>
        <v>0</v>
      </c>
      <c r="H211" s="119" t="n">
        <f aca="false">SUMIFS(tabela_registros[VALOR],tabela_registros[MÊS],$AE$1,tabela_registros[DIA],reservaoutrosconsolidadoset[[#Headers],[4]],tabela_registros[REGISTRO],DADOS!$N$6,tabela_registros[TIPO],DADOS!$AJ$5,tabela_registros[CATEGORIA],reservaoutrosconsolidadoset[[#This Row],[ATUAL]])</f>
        <v>0</v>
      </c>
      <c r="I211" s="119" t="n">
        <f aca="false">SUMIFS(tabela_registros[VALOR],tabela_registros[MÊS],$AE$1,tabela_registros[DIA],reservaoutrosconsolidadoset[[#Headers],[5]],tabela_registros[REGISTRO],DADOS!$N$6,tabela_registros[TIPO],DADOS!$AJ$5,tabela_registros[CATEGORIA],reservaoutrosconsolidadoset[[#This Row],[ATUAL]])</f>
        <v>0</v>
      </c>
      <c r="J211" s="119" t="n">
        <f aca="false">SUMIFS(tabela_registros[VALOR],tabela_registros[MÊS],$AE$1,tabela_registros[DIA],reservaoutrosconsolidadoset[[#Headers],[6]],tabela_registros[REGISTRO],DADOS!$N$6,tabela_registros[TIPO],DADOS!$AJ$5,tabela_registros[CATEGORIA],reservaoutrosconsolidadoset[[#This Row],[ATUAL]])</f>
        <v>0</v>
      </c>
      <c r="K211" s="119" t="n">
        <f aca="false">SUMIFS(tabela_registros[VALOR],tabela_registros[MÊS],$AE$1,tabela_registros[DIA],reservaoutrosconsolidadoset[[#Headers],[7]],tabela_registros[REGISTRO],DADOS!$N$6,tabela_registros[TIPO],DADOS!$AJ$5,tabela_registros[CATEGORIA],reservaoutrosconsolidadoset[[#This Row],[ATUAL]])</f>
        <v>0</v>
      </c>
      <c r="L211" s="119" t="n">
        <f aca="false">SUMIFS(tabela_registros[VALOR],tabela_registros[MÊS],$AE$1,tabela_registros[DIA],reservaoutrosconsolidadoset[[#Headers],[8]],tabela_registros[REGISTRO],DADOS!$N$6,tabela_registros[TIPO],DADOS!$AJ$5,tabela_registros[CATEGORIA],reservaoutrosconsolidadoset[[#This Row],[ATUAL]])</f>
        <v>0</v>
      </c>
      <c r="M211" s="119" t="n">
        <f aca="false">SUMIFS(tabela_registros[VALOR],tabela_registros[MÊS],$AE$1,tabela_registros[DIA],reservaoutrosconsolidadoset[[#Headers],[9]],tabela_registros[REGISTRO],DADOS!$N$6,tabela_registros[TIPO],DADOS!$AJ$5,tabela_registros[CATEGORIA],reservaoutrosconsolidadoset[[#This Row],[ATUAL]])</f>
        <v>0</v>
      </c>
      <c r="N211" s="119" t="n">
        <f aca="false">SUMIFS(tabela_registros[VALOR],tabela_registros[MÊS],$AE$1,tabela_registros[DIA],reservaoutrosconsolidadoset[[#Headers],[10]],tabela_registros[REGISTRO],DADOS!$N$6,tabela_registros[TIPO],DADOS!$AJ$5,tabela_registros[CATEGORIA],reservaoutrosconsolidadoset[[#This Row],[ATUAL]])</f>
        <v>0</v>
      </c>
      <c r="O211" s="119" t="n">
        <f aca="false">SUMIFS(tabela_registros[VALOR],tabela_registros[MÊS],$AE$1,tabela_registros[DIA],reservaoutrosconsolidadoset[[#Headers],[11]],tabela_registros[REGISTRO],DADOS!$N$6,tabela_registros[TIPO],DADOS!$AJ$5,tabela_registros[CATEGORIA],reservaoutrosconsolidadoset[[#This Row],[ATUAL]])</f>
        <v>0</v>
      </c>
      <c r="P211" s="119" t="n">
        <f aca="false">SUMIFS(tabela_registros[VALOR],tabela_registros[MÊS],$AE$1,tabela_registros[DIA],reservaoutrosconsolidadoset[[#Headers],[12]],tabela_registros[REGISTRO],DADOS!$N$6,tabela_registros[TIPO],DADOS!$AJ$5,tabela_registros[CATEGORIA],reservaoutrosconsolidadoset[[#This Row],[ATUAL]])</f>
        <v>0</v>
      </c>
      <c r="Q211" s="119" t="n">
        <f aca="false">SUMIFS(tabela_registros[VALOR],tabela_registros[MÊS],$AE$1,tabela_registros[DIA],reservaoutrosconsolidadoset[[#Headers],[13]],tabela_registros[REGISTRO],DADOS!$N$6,tabela_registros[TIPO],DADOS!$AJ$5,tabela_registros[CATEGORIA],reservaoutrosconsolidadoset[[#This Row],[ATUAL]])</f>
        <v>0</v>
      </c>
      <c r="R211" s="119" t="n">
        <f aca="false">SUMIFS(tabela_registros[VALOR],tabela_registros[MÊS],$AE$1,tabela_registros[DIA],reservaoutrosconsolidadoset[[#Headers],[14]],tabela_registros[REGISTRO],DADOS!$N$6,tabela_registros[TIPO],DADOS!$AJ$5,tabela_registros[CATEGORIA],reservaoutrosconsolidadoset[[#This Row],[ATUAL]])</f>
        <v>0</v>
      </c>
      <c r="S211" s="119" t="n">
        <f aca="false">SUMIFS(tabela_registros[VALOR],tabela_registros[MÊS],$AE$1,tabela_registros[DIA],reservaoutrosconsolidadoset[[#Headers],[15]],tabela_registros[REGISTRO],DADOS!$N$6,tabela_registros[TIPO],DADOS!$AJ$5,tabela_registros[CATEGORIA],reservaoutrosconsolidadoset[[#This Row],[ATUAL]])</f>
        <v>0</v>
      </c>
      <c r="T211" s="119" t="n">
        <f aca="false">SUMIFS(tabela_registros[VALOR],tabela_registros[MÊS],$AE$1,tabela_registros[DIA],reservaoutrosconsolidadoset[[#Headers],[16]],tabela_registros[REGISTRO],DADOS!$N$6,tabela_registros[TIPO],DADOS!$AJ$5,tabela_registros[CATEGORIA],reservaoutrosconsolidadoset[[#This Row],[ATUAL]])</f>
        <v>0</v>
      </c>
      <c r="U211" s="119" t="n">
        <f aca="false">SUMIFS(tabela_registros[VALOR],tabela_registros[MÊS],$AE$1,tabela_registros[DIA],reservaoutrosconsolidadoset[[#Headers],[17]],tabela_registros[REGISTRO],DADOS!$N$6,tabela_registros[TIPO],DADOS!$AJ$5,tabela_registros[CATEGORIA],reservaoutrosconsolidadoset[[#This Row],[ATUAL]])</f>
        <v>0</v>
      </c>
      <c r="V211" s="119" t="n">
        <f aca="false">SUMIFS(tabela_registros[VALOR],tabela_registros[MÊS],$AE$1,tabela_registros[DIA],reservaoutrosconsolidadoset[[#Headers],[18]],tabela_registros[REGISTRO],DADOS!$N$6,tabela_registros[TIPO],DADOS!$AJ$5,tabela_registros[CATEGORIA],reservaoutrosconsolidadoset[[#This Row],[ATUAL]])</f>
        <v>0</v>
      </c>
      <c r="W211" s="119" t="n">
        <f aca="false">SUMIFS(tabela_registros[VALOR],tabela_registros[MÊS],$AE$1,tabela_registros[DIA],reservaoutrosconsolidadoset[[#Headers],[19]],tabela_registros[REGISTRO],DADOS!$N$6,tabela_registros[TIPO],DADOS!$AJ$5,tabela_registros[CATEGORIA],reservaoutrosconsolidadoset[[#This Row],[ATUAL]])</f>
        <v>0</v>
      </c>
      <c r="X211" s="119" t="n">
        <f aca="false">SUMIFS(tabela_registros[VALOR],tabela_registros[MÊS],$AE$1,tabela_registros[DIA],reservaoutrosconsolidadoset[[#Headers],[20]],tabela_registros[REGISTRO],DADOS!$N$6,tabela_registros[TIPO],DADOS!$AJ$5,tabela_registros[CATEGORIA],reservaoutrosconsolidadoset[[#This Row],[ATUAL]])</f>
        <v>0</v>
      </c>
      <c r="Y211" s="119" t="n">
        <f aca="false">SUMIFS(tabela_registros[VALOR],tabela_registros[MÊS],$AE$1,tabela_registros[DIA],reservaoutrosconsolidadoset[[#Headers],[21]],tabela_registros[REGISTRO],DADOS!$N$6,tabela_registros[TIPO],DADOS!$AJ$5,tabela_registros[CATEGORIA],reservaoutrosconsolidadoset[[#This Row],[ATUAL]])</f>
        <v>0</v>
      </c>
      <c r="Z211" s="119" t="n">
        <f aca="false">SUMIFS(tabela_registros[VALOR],tabela_registros[MÊS],$AE$1,tabela_registros[DIA],reservaoutrosconsolidadoset[[#Headers],[22]],tabela_registros[REGISTRO],DADOS!$N$6,tabela_registros[TIPO],DADOS!$AJ$5,tabela_registros[CATEGORIA],reservaoutrosconsolidadoset[[#This Row],[ATUAL]])</f>
        <v>0</v>
      </c>
      <c r="AA211" s="119" t="n">
        <f aca="false">SUMIFS(tabela_registros[VALOR],tabela_registros[MÊS],$AE$1,tabela_registros[DIA],reservaoutrosconsolidadoset[[#Headers],[23]],tabela_registros[REGISTRO],DADOS!$N$6,tabela_registros[TIPO],DADOS!$AJ$5,tabela_registros[CATEGORIA],reservaoutrosconsolidadoset[[#This Row],[ATUAL]])</f>
        <v>0</v>
      </c>
      <c r="AB211" s="119" t="n">
        <f aca="false">SUMIFS(tabela_registros[VALOR],tabela_registros[MÊS],$AE$1,tabela_registros[DIA],reservaoutrosconsolidadoset[[#Headers],[24]],tabela_registros[REGISTRO],DADOS!$N$6,tabela_registros[TIPO],DADOS!$AJ$5,tabela_registros[CATEGORIA],reservaoutrosconsolidadoset[[#This Row],[ATUAL]])</f>
        <v>0</v>
      </c>
      <c r="AC211" s="119" t="n">
        <f aca="false">SUMIFS(tabela_registros[VALOR],tabela_registros[MÊS],$AE$1,tabela_registros[DIA],reservaoutrosconsolidadoset[[#Headers],[25]],tabela_registros[REGISTRO],DADOS!$N$6,tabela_registros[TIPO],DADOS!$AJ$5,tabela_registros[CATEGORIA],reservaoutrosconsolidadoset[[#This Row],[ATUAL]])</f>
        <v>0</v>
      </c>
      <c r="AD211" s="119" t="n">
        <f aca="false">SUMIFS(tabela_registros[VALOR],tabela_registros[MÊS],$AE$1,tabela_registros[DIA],reservaoutrosconsolidadoset[[#Headers],[26]],tabela_registros[REGISTRO],DADOS!$N$6,tabela_registros[TIPO],DADOS!$AJ$5,tabela_registros[CATEGORIA],reservaoutrosconsolidadoset[[#This Row],[ATUAL]])</f>
        <v>0</v>
      </c>
      <c r="AE211" s="119" t="n">
        <f aca="false">SUMIFS(tabela_registros[VALOR],tabela_registros[MÊS],$AE$1,tabela_registros[DIA],reservaoutrosconsolidadoset[[#Headers],[27]],tabela_registros[REGISTRO],DADOS!$N$6,tabela_registros[TIPO],DADOS!$AJ$5,tabela_registros[CATEGORIA],reservaoutrosconsolidadoset[[#This Row],[ATUAL]])</f>
        <v>0</v>
      </c>
      <c r="AF211" s="119" t="n">
        <f aca="false">SUMIFS(tabela_registros[VALOR],tabela_registros[MÊS],$AE$1,tabela_registros[DIA],reservaoutrosconsolidadoset[[#Headers],[28]],tabela_registros[REGISTRO],DADOS!$N$6,tabela_registros[TIPO],DADOS!$AJ$5,tabela_registros[CATEGORIA],reservaoutrosconsolidadoset[[#This Row],[ATUAL]])</f>
        <v>0</v>
      </c>
      <c r="AG211" s="119" t="n">
        <f aca="false">SUMIFS(tabela_registros[VALOR],tabela_registros[MÊS],$AE$1,tabela_registros[DIA],reservaoutrosconsolidadoset[[#Headers],[29]],tabela_registros[REGISTRO],DADOS!$N$6,tabela_registros[TIPO],DADOS!$AJ$5,tabela_registros[CATEGORIA],reservaoutrosconsolidadoset[[#This Row],[ATUAL]])</f>
        <v>0</v>
      </c>
      <c r="AH211" s="119" t="n">
        <f aca="false">SUMIFS(tabela_registros[VALOR],tabela_registros[MÊS],$AE$1,tabela_registros[DIA],reservaoutrosconsolidadoset[[#Headers],[30]],tabela_registros[REGISTRO],DADOS!$N$6,tabela_registros[TIPO],DADOS!$AJ$5,tabela_registros[CATEGORIA],reservaoutrosconsolidadoset[[#This Row],[ATUAL]])</f>
        <v>0</v>
      </c>
      <c r="AI211" s="217" t="n">
        <f aca="false">SUMIFS(tabela_registros[VALOR],tabela_registros[MÊS],$AE$1,tabela_registros[DIA],reservaoutrosconsolidadoset[[#Headers],[31]],tabela_registros[REGISTRO],DADOS!$N$6,tabela_registros[TIPO],DADOS!$AJ$5,tabela_registros[CATEGORIA],reservaoutrosconsolidadoset[[#This Row],[ATUAL]])</f>
        <v>0</v>
      </c>
      <c r="AJ211" s="149" t="n">
        <f aca="false">SUM(reservaoutrosconsolidadoset[[#This Row],[1]:[31]])</f>
        <v>0</v>
      </c>
      <c r="AK211" s="165"/>
    </row>
    <row r="212" customFormat="false" ht="19.5" hidden="false" customHeight="true" outlineLevel="0" collapsed="false">
      <c r="B212" s="143"/>
      <c r="C212" s="144" t="str">
        <f aca="false">DADOS!$AP$9</f>
        <v>📝 PREVIDÊNCIA PRIVADA</v>
      </c>
      <c r="D212" s="145" t="str">
        <f aca="false">IF(reservaoutrosconsolidadoset[[#This Row],[TOTAL (R$)]]=0,"",IF(OR(reservaoutrosconsolidadoset[[#This Row],[TOTAL (R$)]]=LARGE($AJ$206:$AJ$213,1),reservaoutrosconsolidadoset[[#This Row],[TOTAL (R$)]]=LARGE($AJ$206:$AJ$213,2)),DADOS!$I$11,""))</f>
        <v/>
      </c>
      <c r="E212" s="148" t="n">
        <f aca="false">SUMIFS(tabela_registros[VALOR],tabela_registros[MÊS],$AE$1,tabela_registros[DIA],reservaoutrosconsolidadoset[[#Headers],[1]],tabela_registros[REGISTRO],DADOS!$N$6,tabela_registros[TIPO],DADOS!$AJ$5,tabela_registros[CATEGORIA],reservaoutrosconsolidadoset[[#This Row],[ATUAL]])</f>
        <v>0</v>
      </c>
      <c r="F212" s="119" t="n">
        <f aca="false">SUMIFS(tabela_registros[VALOR],tabela_registros[MÊS],$AE$1,tabela_registros[DIA],reservaoutrosconsolidadoset[[#Headers],[2]],tabela_registros[REGISTRO],DADOS!$N$6,tabela_registros[TIPO],DADOS!$AJ$5,tabela_registros[CATEGORIA],reservaoutrosconsolidadoset[[#This Row],[ATUAL]])</f>
        <v>0</v>
      </c>
      <c r="G212" s="119" t="n">
        <f aca="false">SUMIFS(tabela_registros[VALOR],tabela_registros[MÊS],$AE$1,tabela_registros[DIA],reservaoutrosconsolidadoset[[#Headers],[3]],tabela_registros[REGISTRO],DADOS!$N$6,tabela_registros[TIPO],DADOS!$AJ$5,tabela_registros[CATEGORIA],reservaoutrosconsolidadoset[[#This Row],[ATUAL]])</f>
        <v>0</v>
      </c>
      <c r="H212" s="119" t="n">
        <f aca="false">SUMIFS(tabela_registros[VALOR],tabela_registros[MÊS],$AE$1,tabela_registros[DIA],reservaoutrosconsolidadoset[[#Headers],[4]],tabela_registros[REGISTRO],DADOS!$N$6,tabela_registros[TIPO],DADOS!$AJ$5,tabela_registros[CATEGORIA],reservaoutrosconsolidadoset[[#This Row],[ATUAL]])</f>
        <v>0</v>
      </c>
      <c r="I212" s="119" t="n">
        <f aca="false">SUMIFS(tabela_registros[VALOR],tabela_registros[MÊS],$AE$1,tabela_registros[DIA],reservaoutrosconsolidadoset[[#Headers],[5]],tabela_registros[REGISTRO],DADOS!$N$6,tabela_registros[TIPO],DADOS!$AJ$5,tabela_registros[CATEGORIA],reservaoutrosconsolidadoset[[#This Row],[ATUAL]])</f>
        <v>0</v>
      </c>
      <c r="J212" s="119" t="n">
        <f aca="false">SUMIFS(tabela_registros[VALOR],tabela_registros[MÊS],$AE$1,tabela_registros[DIA],reservaoutrosconsolidadoset[[#Headers],[6]],tabela_registros[REGISTRO],DADOS!$N$6,tabela_registros[TIPO],DADOS!$AJ$5,tabela_registros[CATEGORIA],reservaoutrosconsolidadoset[[#This Row],[ATUAL]])</f>
        <v>0</v>
      </c>
      <c r="K212" s="119" t="n">
        <f aca="false">SUMIFS(tabela_registros[VALOR],tabela_registros[MÊS],$AE$1,tabela_registros[DIA],reservaoutrosconsolidadoset[[#Headers],[7]],tabela_registros[REGISTRO],DADOS!$N$6,tabela_registros[TIPO],DADOS!$AJ$5,tabela_registros[CATEGORIA],reservaoutrosconsolidadoset[[#This Row],[ATUAL]])</f>
        <v>0</v>
      </c>
      <c r="L212" s="119" t="n">
        <f aca="false">SUMIFS(tabela_registros[VALOR],tabela_registros[MÊS],$AE$1,tabela_registros[DIA],reservaoutrosconsolidadoset[[#Headers],[8]],tabela_registros[REGISTRO],DADOS!$N$6,tabela_registros[TIPO],DADOS!$AJ$5,tabela_registros[CATEGORIA],reservaoutrosconsolidadoset[[#This Row],[ATUAL]])</f>
        <v>0</v>
      </c>
      <c r="M212" s="119" t="n">
        <f aca="false">SUMIFS(tabela_registros[VALOR],tabela_registros[MÊS],$AE$1,tabela_registros[DIA],reservaoutrosconsolidadoset[[#Headers],[9]],tabela_registros[REGISTRO],DADOS!$N$6,tabela_registros[TIPO],DADOS!$AJ$5,tabela_registros[CATEGORIA],reservaoutrosconsolidadoset[[#This Row],[ATUAL]])</f>
        <v>0</v>
      </c>
      <c r="N212" s="119" t="n">
        <f aca="false">SUMIFS(tabela_registros[VALOR],tabela_registros[MÊS],$AE$1,tabela_registros[DIA],reservaoutrosconsolidadoset[[#Headers],[10]],tabela_registros[REGISTRO],DADOS!$N$6,tabela_registros[TIPO],DADOS!$AJ$5,tabela_registros[CATEGORIA],reservaoutrosconsolidadoset[[#This Row],[ATUAL]])</f>
        <v>0</v>
      </c>
      <c r="O212" s="119" t="n">
        <f aca="false">SUMIFS(tabela_registros[VALOR],tabela_registros[MÊS],$AE$1,tabela_registros[DIA],reservaoutrosconsolidadoset[[#Headers],[11]],tabela_registros[REGISTRO],DADOS!$N$6,tabela_registros[TIPO],DADOS!$AJ$5,tabela_registros[CATEGORIA],reservaoutrosconsolidadoset[[#This Row],[ATUAL]])</f>
        <v>0</v>
      </c>
      <c r="P212" s="119" t="n">
        <f aca="false">SUMIFS(tabela_registros[VALOR],tabela_registros[MÊS],$AE$1,tabela_registros[DIA],reservaoutrosconsolidadoset[[#Headers],[12]],tabela_registros[REGISTRO],DADOS!$N$6,tabela_registros[TIPO],DADOS!$AJ$5,tabela_registros[CATEGORIA],reservaoutrosconsolidadoset[[#This Row],[ATUAL]])</f>
        <v>0</v>
      </c>
      <c r="Q212" s="119" t="n">
        <f aca="false">SUMIFS(tabela_registros[VALOR],tabela_registros[MÊS],$AE$1,tabela_registros[DIA],reservaoutrosconsolidadoset[[#Headers],[13]],tabela_registros[REGISTRO],DADOS!$N$6,tabela_registros[TIPO],DADOS!$AJ$5,tabela_registros[CATEGORIA],reservaoutrosconsolidadoset[[#This Row],[ATUAL]])</f>
        <v>0</v>
      </c>
      <c r="R212" s="119" t="n">
        <f aca="false">SUMIFS(tabela_registros[VALOR],tabela_registros[MÊS],$AE$1,tabela_registros[DIA],reservaoutrosconsolidadoset[[#Headers],[14]],tabela_registros[REGISTRO],DADOS!$N$6,tabela_registros[TIPO],DADOS!$AJ$5,tabela_registros[CATEGORIA],reservaoutrosconsolidadoset[[#This Row],[ATUAL]])</f>
        <v>0</v>
      </c>
      <c r="S212" s="119" t="n">
        <f aca="false">SUMIFS(tabela_registros[VALOR],tabela_registros[MÊS],$AE$1,tabela_registros[DIA],reservaoutrosconsolidadoset[[#Headers],[15]],tabela_registros[REGISTRO],DADOS!$N$6,tabela_registros[TIPO],DADOS!$AJ$5,tabela_registros[CATEGORIA],reservaoutrosconsolidadoset[[#This Row],[ATUAL]])</f>
        <v>0</v>
      </c>
      <c r="T212" s="119" t="n">
        <f aca="false">SUMIFS(tabela_registros[VALOR],tabela_registros[MÊS],$AE$1,tabela_registros[DIA],reservaoutrosconsolidadoset[[#Headers],[16]],tabela_registros[REGISTRO],DADOS!$N$6,tabela_registros[TIPO],DADOS!$AJ$5,tabela_registros[CATEGORIA],reservaoutrosconsolidadoset[[#This Row],[ATUAL]])</f>
        <v>0</v>
      </c>
      <c r="U212" s="119" t="n">
        <f aca="false">SUMIFS(tabela_registros[VALOR],tabela_registros[MÊS],$AE$1,tabela_registros[DIA],reservaoutrosconsolidadoset[[#Headers],[17]],tabela_registros[REGISTRO],DADOS!$N$6,tabela_registros[TIPO],DADOS!$AJ$5,tabela_registros[CATEGORIA],reservaoutrosconsolidadoset[[#This Row],[ATUAL]])</f>
        <v>0</v>
      </c>
      <c r="V212" s="119" t="n">
        <f aca="false">SUMIFS(tabela_registros[VALOR],tabela_registros[MÊS],$AE$1,tabela_registros[DIA],reservaoutrosconsolidadoset[[#Headers],[18]],tabela_registros[REGISTRO],DADOS!$N$6,tabela_registros[TIPO],DADOS!$AJ$5,tabela_registros[CATEGORIA],reservaoutrosconsolidadoset[[#This Row],[ATUAL]])</f>
        <v>0</v>
      </c>
      <c r="W212" s="119" t="n">
        <f aca="false">SUMIFS(tabela_registros[VALOR],tabela_registros[MÊS],$AE$1,tabela_registros[DIA],reservaoutrosconsolidadoset[[#Headers],[19]],tabela_registros[REGISTRO],DADOS!$N$6,tabela_registros[TIPO],DADOS!$AJ$5,tabela_registros[CATEGORIA],reservaoutrosconsolidadoset[[#This Row],[ATUAL]])</f>
        <v>0</v>
      </c>
      <c r="X212" s="119" t="n">
        <f aca="false">SUMIFS(tabela_registros[VALOR],tabela_registros[MÊS],$AE$1,tabela_registros[DIA],reservaoutrosconsolidadoset[[#Headers],[20]],tabela_registros[REGISTRO],DADOS!$N$6,tabela_registros[TIPO],DADOS!$AJ$5,tabela_registros[CATEGORIA],reservaoutrosconsolidadoset[[#This Row],[ATUAL]])</f>
        <v>0</v>
      </c>
      <c r="Y212" s="119" t="n">
        <f aca="false">SUMIFS(tabela_registros[VALOR],tabela_registros[MÊS],$AE$1,tabela_registros[DIA],reservaoutrosconsolidadoset[[#Headers],[21]],tabela_registros[REGISTRO],DADOS!$N$6,tabela_registros[TIPO],DADOS!$AJ$5,tabela_registros[CATEGORIA],reservaoutrosconsolidadoset[[#This Row],[ATUAL]])</f>
        <v>0</v>
      </c>
      <c r="Z212" s="119" t="n">
        <f aca="false">SUMIFS(tabela_registros[VALOR],tabela_registros[MÊS],$AE$1,tabela_registros[DIA],reservaoutrosconsolidadoset[[#Headers],[22]],tabela_registros[REGISTRO],DADOS!$N$6,tabela_registros[TIPO],DADOS!$AJ$5,tabela_registros[CATEGORIA],reservaoutrosconsolidadoset[[#This Row],[ATUAL]])</f>
        <v>0</v>
      </c>
      <c r="AA212" s="119" t="n">
        <f aca="false">SUMIFS(tabela_registros[VALOR],tabela_registros[MÊS],$AE$1,tabela_registros[DIA],reservaoutrosconsolidadoset[[#Headers],[23]],tabela_registros[REGISTRO],DADOS!$N$6,tabela_registros[TIPO],DADOS!$AJ$5,tabela_registros[CATEGORIA],reservaoutrosconsolidadoset[[#This Row],[ATUAL]])</f>
        <v>0</v>
      </c>
      <c r="AB212" s="119" t="n">
        <f aca="false">SUMIFS(tabela_registros[VALOR],tabela_registros[MÊS],$AE$1,tabela_registros[DIA],reservaoutrosconsolidadoset[[#Headers],[24]],tabela_registros[REGISTRO],DADOS!$N$6,tabela_registros[TIPO],DADOS!$AJ$5,tabela_registros[CATEGORIA],reservaoutrosconsolidadoset[[#This Row],[ATUAL]])</f>
        <v>0</v>
      </c>
      <c r="AC212" s="119" t="n">
        <f aca="false">SUMIFS(tabela_registros[VALOR],tabela_registros[MÊS],$AE$1,tabela_registros[DIA],reservaoutrosconsolidadoset[[#Headers],[25]],tabela_registros[REGISTRO],DADOS!$N$6,tabela_registros[TIPO],DADOS!$AJ$5,tabela_registros[CATEGORIA],reservaoutrosconsolidadoset[[#This Row],[ATUAL]])</f>
        <v>0</v>
      </c>
      <c r="AD212" s="119" t="n">
        <f aca="false">SUMIFS(tabela_registros[VALOR],tabela_registros[MÊS],$AE$1,tabela_registros[DIA],reservaoutrosconsolidadoset[[#Headers],[26]],tabela_registros[REGISTRO],DADOS!$N$6,tabela_registros[TIPO],DADOS!$AJ$5,tabela_registros[CATEGORIA],reservaoutrosconsolidadoset[[#This Row],[ATUAL]])</f>
        <v>0</v>
      </c>
      <c r="AE212" s="119" t="n">
        <f aca="false">SUMIFS(tabela_registros[VALOR],tabela_registros[MÊS],$AE$1,tabela_registros[DIA],reservaoutrosconsolidadoset[[#Headers],[27]],tabela_registros[REGISTRO],DADOS!$N$6,tabela_registros[TIPO],DADOS!$AJ$5,tabela_registros[CATEGORIA],reservaoutrosconsolidadoset[[#This Row],[ATUAL]])</f>
        <v>0</v>
      </c>
      <c r="AF212" s="119" t="n">
        <f aca="false">SUMIFS(tabela_registros[VALOR],tabela_registros[MÊS],$AE$1,tabela_registros[DIA],reservaoutrosconsolidadoset[[#Headers],[28]],tabela_registros[REGISTRO],DADOS!$N$6,tabela_registros[TIPO],DADOS!$AJ$5,tabela_registros[CATEGORIA],reservaoutrosconsolidadoset[[#This Row],[ATUAL]])</f>
        <v>0</v>
      </c>
      <c r="AG212" s="119" t="n">
        <f aca="false">SUMIFS(tabela_registros[VALOR],tabela_registros[MÊS],$AE$1,tabela_registros[DIA],reservaoutrosconsolidadoset[[#Headers],[29]],tabela_registros[REGISTRO],DADOS!$N$6,tabela_registros[TIPO],DADOS!$AJ$5,tabela_registros[CATEGORIA],reservaoutrosconsolidadoset[[#This Row],[ATUAL]])</f>
        <v>0</v>
      </c>
      <c r="AH212" s="119" t="n">
        <f aca="false">SUMIFS(tabela_registros[VALOR],tabela_registros[MÊS],$AE$1,tabela_registros[DIA],reservaoutrosconsolidadoset[[#Headers],[30]],tabela_registros[REGISTRO],DADOS!$N$6,tabela_registros[TIPO],DADOS!$AJ$5,tabela_registros[CATEGORIA],reservaoutrosconsolidadoset[[#This Row],[ATUAL]])</f>
        <v>0</v>
      </c>
      <c r="AI212" s="217" t="n">
        <f aca="false">SUMIFS(tabela_registros[VALOR],tabela_registros[MÊS],$AE$1,tabela_registros[DIA],reservaoutrosconsolidadoset[[#Headers],[31]],tabela_registros[REGISTRO],DADOS!$N$6,tabela_registros[TIPO],DADOS!$AJ$5,tabela_registros[CATEGORIA],reservaoutrosconsolidadoset[[#This Row],[ATUAL]])</f>
        <v>0</v>
      </c>
      <c r="AJ212" s="149" t="n">
        <f aca="false">SUM(reservaoutrosconsolidadoset[[#This Row],[1]:[31]])</f>
        <v>0</v>
      </c>
      <c r="AK212" s="165"/>
    </row>
    <row r="213" customFormat="false" ht="19.5" hidden="false" customHeight="true" outlineLevel="0" collapsed="false">
      <c r="B213" s="143"/>
      <c r="C213" s="144" t="str">
        <f aca="false">DADOS!$AP$10</f>
        <v>📎 OUTROS</v>
      </c>
      <c r="D213" s="145" t="str">
        <f aca="false">IF(reservaoutrosconsolidadoset[[#This Row],[TOTAL (R$)]]=0,"",IF(OR(reservaoutrosconsolidadoset[[#This Row],[TOTAL (R$)]]=LARGE($AJ$206:$AJ$213,1),reservaoutrosconsolidadoset[[#This Row],[TOTAL (R$)]]=LARGE($AJ$206:$AJ$213,2)),DADOS!$I$11,""))</f>
        <v/>
      </c>
      <c r="E213" s="148" t="n">
        <f aca="false">SUMIFS(tabela_registros[VALOR],tabela_registros[MÊS],$AE$1,tabela_registros[DIA],reservaoutrosconsolidadoset[[#Headers],[1]],tabela_registros[REGISTRO],DADOS!$N$6,tabela_registros[TIPO],DADOS!$AJ$5,tabela_registros[CATEGORIA],reservaoutrosconsolidadoset[[#This Row],[ATUAL]])</f>
        <v>0</v>
      </c>
      <c r="F213" s="119" t="n">
        <f aca="false">SUMIFS(tabela_registros[VALOR],tabela_registros[MÊS],$AE$1,tabela_registros[DIA],reservaoutrosconsolidadoset[[#Headers],[2]],tabela_registros[REGISTRO],DADOS!$N$6,tabela_registros[TIPO],DADOS!$AJ$5,tabela_registros[CATEGORIA],reservaoutrosconsolidadoset[[#This Row],[ATUAL]])</f>
        <v>0</v>
      </c>
      <c r="G213" s="119" t="n">
        <f aca="false">SUMIFS(tabela_registros[VALOR],tabela_registros[MÊS],$AE$1,tabela_registros[DIA],reservaoutrosconsolidadoset[[#Headers],[3]],tabela_registros[REGISTRO],DADOS!$N$6,tabela_registros[TIPO],DADOS!$AJ$5,tabela_registros[CATEGORIA],reservaoutrosconsolidadoset[[#This Row],[ATUAL]])</f>
        <v>0</v>
      </c>
      <c r="H213" s="119" t="n">
        <f aca="false">SUMIFS(tabela_registros[VALOR],tabela_registros[MÊS],$AE$1,tabela_registros[DIA],reservaoutrosconsolidadoset[[#Headers],[4]],tabela_registros[REGISTRO],DADOS!$N$6,tabela_registros[TIPO],DADOS!$AJ$5,tabela_registros[CATEGORIA],reservaoutrosconsolidadoset[[#This Row],[ATUAL]])</f>
        <v>0</v>
      </c>
      <c r="I213" s="119" t="n">
        <f aca="false">SUMIFS(tabela_registros[VALOR],tabela_registros[MÊS],$AE$1,tabela_registros[DIA],reservaoutrosconsolidadoset[[#Headers],[5]],tabela_registros[REGISTRO],DADOS!$N$6,tabela_registros[TIPO],DADOS!$AJ$5,tabela_registros[CATEGORIA],reservaoutrosconsolidadoset[[#This Row],[ATUAL]])</f>
        <v>0</v>
      </c>
      <c r="J213" s="119" t="n">
        <f aca="false">SUMIFS(tabela_registros[VALOR],tabela_registros[MÊS],$AE$1,tabela_registros[DIA],reservaoutrosconsolidadoset[[#Headers],[6]],tabela_registros[REGISTRO],DADOS!$N$6,tabela_registros[TIPO],DADOS!$AJ$5,tabela_registros[CATEGORIA],reservaoutrosconsolidadoset[[#This Row],[ATUAL]])</f>
        <v>0</v>
      </c>
      <c r="K213" s="119" t="n">
        <f aca="false">SUMIFS(tabela_registros[VALOR],tabela_registros[MÊS],$AE$1,tabela_registros[DIA],reservaoutrosconsolidadoset[[#Headers],[7]],tabela_registros[REGISTRO],DADOS!$N$6,tabela_registros[TIPO],DADOS!$AJ$5,tabela_registros[CATEGORIA],reservaoutrosconsolidadoset[[#This Row],[ATUAL]])</f>
        <v>0</v>
      </c>
      <c r="L213" s="119" t="n">
        <f aca="false">SUMIFS(tabela_registros[VALOR],tabela_registros[MÊS],$AE$1,tabela_registros[DIA],reservaoutrosconsolidadoset[[#Headers],[8]],tabela_registros[REGISTRO],DADOS!$N$6,tabela_registros[TIPO],DADOS!$AJ$5,tabela_registros[CATEGORIA],reservaoutrosconsolidadoset[[#This Row],[ATUAL]])</f>
        <v>0</v>
      </c>
      <c r="M213" s="119" t="n">
        <f aca="false">SUMIFS(tabela_registros[VALOR],tabela_registros[MÊS],$AE$1,tabela_registros[DIA],reservaoutrosconsolidadoset[[#Headers],[9]],tabela_registros[REGISTRO],DADOS!$N$6,tabela_registros[TIPO],DADOS!$AJ$5,tabela_registros[CATEGORIA],reservaoutrosconsolidadoset[[#This Row],[ATUAL]])</f>
        <v>0</v>
      </c>
      <c r="N213" s="119" t="n">
        <f aca="false">SUMIFS(tabela_registros[VALOR],tabela_registros[MÊS],$AE$1,tabela_registros[DIA],reservaoutrosconsolidadoset[[#Headers],[10]],tabela_registros[REGISTRO],DADOS!$N$6,tabela_registros[TIPO],DADOS!$AJ$5,tabela_registros[CATEGORIA],reservaoutrosconsolidadoset[[#This Row],[ATUAL]])</f>
        <v>0</v>
      </c>
      <c r="O213" s="119" t="n">
        <f aca="false">SUMIFS(tabela_registros[VALOR],tabela_registros[MÊS],$AE$1,tabela_registros[DIA],reservaoutrosconsolidadoset[[#Headers],[11]],tabela_registros[REGISTRO],DADOS!$N$6,tabela_registros[TIPO],DADOS!$AJ$5,tabela_registros[CATEGORIA],reservaoutrosconsolidadoset[[#This Row],[ATUAL]])</f>
        <v>0</v>
      </c>
      <c r="P213" s="119" t="n">
        <f aca="false">SUMIFS(tabela_registros[VALOR],tabela_registros[MÊS],$AE$1,tabela_registros[DIA],reservaoutrosconsolidadoset[[#Headers],[12]],tabela_registros[REGISTRO],DADOS!$N$6,tabela_registros[TIPO],DADOS!$AJ$5,tabela_registros[CATEGORIA],reservaoutrosconsolidadoset[[#This Row],[ATUAL]])</f>
        <v>0</v>
      </c>
      <c r="Q213" s="119" t="n">
        <f aca="false">SUMIFS(tabela_registros[VALOR],tabela_registros[MÊS],$AE$1,tabela_registros[DIA],reservaoutrosconsolidadoset[[#Headers],[13]],tabela_registros[REGISTRO],DADOS!$N$6,tabela_registros[TIPO],DADOS!$AJ$5,tabela_registros[CATEGORIA],reservaoutrosconsolidadoset[[#This Row],[ATUAL]])</f>
        <v>0</v>
      </c>
      <c r="R213" s="119" t="n">
        <f aca="false">SUMIFS(tabela_registros[VALOR],tabela_registros[MÊS],$AE$1,tabela_registros[DIA],reservaoutrosconsolidadoset[[#Headers],[14]],tabela_registros[REGISTRO],DADOS!$N$6,tabela_registros[TIPO],DADOS!$AJ$5,tabela_registros[CATEGORIA],reservaoutrosconsolidadoset[[#This Row],[ATUAL]])</f>
        <v>0</v>
      </c>
      <c r="S213" s="119" t="n">
        <f aca="false">SUMIFS(tabela_registros[VALOR],tabela_registros[MÊS],$AE$1,tabela_registros[DIA],reservaoutrosconsolidadoset[[#Headers],[15]],tabela_registros[REGISTRO],DADOS!$N$6,tabela_registros[TIPO],DADOS!$AJ$5,tabela_registros[CATEGORIA],reservaoutrosconsolidadoset[[#This Row],[ATUAL]])</f>
        <v>0</v>
      </c>
      <c r="T213" s="119" t="n">
        <f aca="false">SUMIFS(tabela_registros[VALOR],tabela_registros[MÊS],$AE$1,tabela_registros[DIA],reservaoutrosconsolidadoset[[#Headers],[16]],tabela_registros[REGISTRO],DADOS!$N$6,tabela_registros[TIPO],DADOS!$AJ$5,tabela_registros[CATEGORIA],reservaoutrosconsolidadoset[[#This Row],[ATUAL]])</f>
        <v>0</v>
      </c>
      <c r="U213" s="119" t="n">
        <f aca="false">SUMIFS(tabela_registros[VALOR],tabela_registros[MÊS],$AE$1,tabela_registros[DIA],reservaoutrosconsolidadoset[[#Headers],[17]],tabela_registros[REGISTRO],DADOS!$N$6,tabela_registros[TIPO],DADOS!$AJ$5,tabela_registros[CATEGORIA],reservaoutrosconsolidadoset[[#This Row],[ATUAL]])</f>
        <v>0</v>
      </c>
      <c r="V213" s="119" t="n">
        <f aca="false">SUMIFS(tabela_registros[VALOR],tabela_registros[MÊS],$AE$1,tabela_registros[DIA],reservaoutrosconsolidadoset[[#Headers],[18]],tabela_registros[REGISTRO],DADOS!$N$6,tabela_registros[TIPO],DADOS!$AJ$5,tabela_registros[CATEGORIA],reservaoutrosconsolidadoset[[#This Row],[ATUAL]])</f>
        <v>0</v>
      </c>
      <c r="W213" s="119" t="n">
        <f aca="false">SUMIFS(tabela_registros[VALOR],tabela_registros[MÊS],$AE$1,tabela_registros[DIA],reservaoutrosconsolidadoset[[#Headers],[19]],tabela_registros[REGISTRO],DADOS!$N$6,tabela_registros[TIPO],DADOS!$AJ$5,tabela_registros[CATEGORIA],reservaoutrosconsolidadoset[[#This Row],[ATUAL]])</f>
        <v>0</v>
      </c>
      <c r="X213" s="119" t="n">
        <f aca="false">SUMIFS(tabela_registros[VALOR],tabela_registros[MÊS],$AE$1,tabela_registros[DIA],reservaoutrosconsolidadoset[[#Headers],[20]],tabela_registros[REGISTRO],DADOS!$N$6,tabela_registros[TIPO],DADOS!$AJ$5,tabela_registros[CATEGORIA],reservaoutrosconsolidadoset[[#This Row],[ATUAL]])</f>
        <v>0</v>
      </c>
      <c r="Y213" s="119" t="n">
        <f aca="false">SUMIFS(tabela_registros[VALOR],tabela_registros[MÊS],$AE$1,tabela_registros[DIA],reservaoutrosconsolidadoset[[#Headers],[21]],tabela_registros[REGISTRO],DADOS!$N$6,tabela_registros[TIPO],DADOS!$AJ$5,tabela_registros[CATEGORIA],reservaoutrosconsolidadoset[[#This Row],[ATUAL]])</f>
        <v>0</v>
      </c>
      <c r="Z213" s="119" t="n">
        <f aca="false">SUMIFS(tabela_registros[VALOR],tabela_registros[MÊS],$AE$1,tabela_registros[DIA],reservaoutrosconsolidadoset[[#Headers],[22]],tabela_registros[REGISTRO],DADOS!$N$6,tabela_registros[TIPO],DADOS!$AJ$5,tabela_registros[CATEGORIA],reservaoutrosconsolidadoset[[#This Row],[ATUAL]])</f>
        <v>0</v>
      </c>
      <c r="AA213" s="119" t="n">
        <f aca="false">SUMIFS(tabela_registros[VALOR],tabela_registros[MÊS],$AE$1,tabela_registros[DIA],reservaoutrosconsolidadoset[[#Headers],[23]],tabela_registros[REGISTRO],DADOS!$N$6,tabela_registros[TIPO],DADOS!$AJ$5,tabela_registros[CATEGORIA],reservaoutrosconsolidadoset[[#This Row],[ATUAL]])</f>
        <v>0</v>
      </c>
      <c r="AB213" s="119" t="n">
        <f aca="false">SUMIFS(tabela_registros[VALOR],tabela_registros[MÊS],$AE$1,tabela_registros[DIA],reservaoutrosconsolidadoset[[#Headers],[24]],tabela_registros[REGISTRO],DADOS!$N$6,tabela_registros[TIPO],DADOS!$AJ$5,tabela_registros[CATEGORIA],reservaoutrosconsolidadoset[[#This Row],[ATUAL]])</f>
        <v>0</v>
      </c>
      <c r="AC213" s="119" t="n">
        <f aca="false">SUMIFS(tabela_registros[VALOR],tabela_registros[MÊS],$AE$1,tabela_registros[DIA],reservaoutrosconsolidadoset[[#Headers],[25]],tabela_registros[REGISTRO],DADOS!$N$6,tabela_registros[TIPO],DADOS!$AJ$5,tabela_registros[CATEGORIA],reservaoutrosconsolidadoset[[#This Row],[ATUAL]])</f>
        <v>0</v>
      </c>
      <c r="AD213" s="119" t="n">
        <f aca="false">SUMIFS(tabela_registros[VALOR],tabela_registros[MÊS],$AE$1,tabela_registros[DIA],reservaoutrosconsolidadoset[[#Headers],[26]],tabela_registros[REGISTRO],DADOS!$N$6,tabela_registros[TIPO],DADOS!$AJ$5,tabela_registros[CATEGORIA],reservaoutrosconsolidadoset[[#This Row],[ATUAL]])</f>
        <v>0</v>
      </c>
      <c r="AE213" s="119" t="n">
        <f aca="false">SUMIFS(tabela_registros[VALOR],tabela_registros[MÊS],$AE$1,tabela_registros[DIA],reservaoutrosconsolidadoset[[#Headers],[27]],tabela_registros[REGISTRO],DADOS!$N$6,tabela_registros[TIPO],DADOS!$AJ$5,tabela_registros[CATEGORIA],reservaoutrosconsolidadoset[[#This Row],[ATUAL]])</f>
        <v>0</v>
      </c>
      <c r="AF213" s="119" t="n">
        <f aca="false">SUMIFS(tabela_registros[VALOR],tabela_registros[MÊS],$AE$1,tabela_registros[DIA],reservaoutrosconsolidadoset[[#Headers],[28]],tabela_registros[REGISTRO],DADOS!$N$6,tabela_registros[TIPO],DADOS!$AJ$5,tabela_registros[CATEGORIA],reservaoutrosconsolidadoset[[#This Row],[ATUAL]])</f>
        <v>0</v>
      </c>
      <c r="AG213" s="119" t="n">
        <f aca="false">SUMIFS(tabela_registros[VALOR],tabela_registros[MÊS],$AE$1,tabela_registros[DIA],reservaoutrosconsolidadoset[[#Headers],[29]],tabela_registros[REGISTRO],DADOS!$N$6,tabela_registros[TIPO],DADOS!$AJ$5,tabela_registros[CATEGORIA],reservaoutrosconsolidadoset[[#This Row],[ATUAL]])</f>
        <v>0</v>
      </c>
      <c r="AH213" s="119" t="n">
        <f aca="false">SUMIFS(tabela_registros[VALOR],tabela_registros[MÊS],$AE$1,tabela_registros[DIA],reservaoutrosconsolidadoset[[#Headers],[30]],tabela_registros[REGISTRO],DADOS!$N$6,tabela_registros[TIPO],DADOS!$AJ$5,tabela_registros[CATEGORIA],reservaoutrosconsolidadoset[[#This Row],[ATUAL]])</f>
        <v>0</v>
      </c>
      <c r="AI213" s="218" t="n">
        <f aca="false">SUMIFS(tabela_registros[VALOR],tabela_registros[MÊS],$AE$1,tabela_registros[DIA],reservaoutrosconsolidadoset[[#Headers],[31]],tabela_registros[REGISTRO],DADOS!$N$6,tabela_registros[TIPO],DADOS!$AJ$5,tabela_registros[CATEGORIA],reservaoutrosconsolidadoset[[#This Row],[ATUAL]])</f>
        <v>0</v>
      </c>
      <c r="AJ213" s="149" t="n">
        <f aca="false">SUM(reservaoutrosconsolidadoset[[#This Row],[1]:[31]])</f>
        <v>0</v>
      </c>
      <c r="AK213" s="165"/>
    </row>
    <row r="214" s="122" customFormat="true" ht="21" hidden="false" customHeight="true" outlineLevel="0" collapsed="false">
      <c r="B214" s="152"/>
      <c r="C214" s="153" t="s">
        <v>2</v>
      </c>
      <c r="D214" s="166"/>
      <c r="E214" s="155" t="n">
        <f aca="false">SUM(E206:E213)</f>
        <v>0</v>
      </c>
      <c r="F214" s="156" t="n">
        <f aca="false">SUM(F206:F213)+reservaoutrosconsolidadoset[[#This Row],[1]]</f>
        <v>0</v>
      </c>
      <c r="G214" s="156" t="n">
        <f aca="false">SUM(G206:G213)+reservaoutrosconsolidadoset[[#This Row],[2]]</f>
        <v>0</v>
      </c>
      <c r="H214" s="156" t="n">
        <f aca="false">SUM(H206:H213)+reservaoutrosconsolidadoset[[#This Row],[3]]</f>
        <v>0</v>
      </c>
      <c r="I214" s="156" t="n">
        <f aca="false">SUM(I206:I213)+reservaoutrosconsolidadoset[[#This Row],[4]]</f>
        <v>0</v>
      </c>
      <c r="J214" s="156" t="n">
        <f aca="false">SUM(J206:J213)+reservaoutrosconsolidadoset[[#This Row],[5]]</f>
        <v>0</v>
      </c>
      <c r="K214" s="156" t="n">
        <f aca="false">SUM(K206:K213)+reservaoutrosconsolidadoset[[#This Row],[6]]</f>
        <v>0</v>
      </c>
      <c r="L214" s="156" t="n">
        <f aca="false">SUM(L206:L213)+reservaoutrosconsolidadoset[[#This Row],[7]]</f>
        <v>0</v>
      </c>
      <c r="M214" s="156" t="n">
        <f aca="false">SUM(M206:M213)+reservaoutrosconsolidadoset[[#This Row],[8]]</f>
        <v>0</v>
      </c>
      <c r="N214" s="156" t="n">
        <f aca="false">SUM(N206:N213)+reservaoutrosconsolidadoset[[#This Row],[9]]</f>
        <v>0</v>
      </c>
      <c r="O214" s="156" t="n">
        <f aca="false">SUM(O206:O213)+reservaoutrosconsolidadoset[[#This Row],[10]]</f>
        <v>0</v>
      </c>
      <c r="P214" s="156" t="n">
        <f aca="false">SUM(P206:P213)+reservaoutrosconsolidadoset[[#This Row],[11]]</f>
        <v>0</v>
      </c>
      <c r="Q214" s="156" t="n">
        <f aca="false">SUM(Q206:Q213)+reservaoutrosconsolidadoset[[#This Row],[12]]</f>
        <v>0</v>
      </c>
      <c r="R214" s="156" t="n">
        <f aca="false">SUM(R206:R213)+reservaoutrosconsolidadoset[[#This Row],[13]]</f>
        <v>0</v>
      </c>
      <c r="S214" s="156" t="n">
        <f aca="false">SUM(S206:S213)+reservaoutrosconsolidadoset[[#This Row],[14]]</f>
        <v>0</v>
      </c>
      <c r="T214" s="156" t="n">
        <f aca="false">SUM(T206:T213)+reservaoutrosconsolidadoset[[#This Row],[15]]</f>
        <v>0</v>
      </c>
      <c r="U214" s="156" t="n">
        <f aca="false">SUM(U206:U213)+reservaoutrosconsolidadoset[[#This Row],[16]]</f>
        <v>0</v>
      </c>
      <c r="V214" s="156" t="n">
        <f aca="false">SUM(V206:V213)+reservaoutrosconsolidadoset[[#This Row],[17]]</f>
        <v>0</v>
      </c>
      <c r="W214" s="156" t="n">
        <f aca="false">SUM(W206:W213)+reservaoutrosconsolidadoset[[#This Row],[18]]</f>
        <v>0</v>
      </c>
      <c r="X214" s="156" t="n">
        <f aca="false">SUM(X206:X213)+reservaoutrosconsolidadoset[[#This Row],[19]]</f>
        <v>0</v>
      </c>
      <c r="Y214" s="156" t="n">
        <f aca="false">SUM(Y206:Y213)+reservaoutrosconsolidadoset[[#This Row],[20]]</f>
        <v>0</v>
      </c>
      <c r="Z214" s="156" t="n">
        <f aca="false">SUM(Z206:Z213)+reservaoutrosconsolidadoset[[#This Row],[21]]</f>
        <v>0</v>
      </c>
      <c r="AA214" s="156" t="n">
        <f aca="false">SUM(AA206:AA213)+reservaoutrosconsolidadoset[[#This Row],[22]]</f>
        <v>0</v>
      </c>
      <c r="AB214" s="156" t="n">
        <f aca="false">SUM(AB206:AB213)+reservaoutrosconsolidadoset[[#This Row],[23]]</f>
        <v>0</v>
      </c>
      <c r="AC214" s="156" t="n">
        <f aca="false">SUM(AC206:AC213)+reservaoutrosconsolidadoset[[#This Row],[24]]</f>
        <v>0</v>
      </c>
      <c r="AD214" s="156" t="n">
        <f aca="false">SUM(AD206:AD213)+reservaoutrosconsolidadoset[[#This Row],[25]]</f>
        <v>0</v>
      </c>
      <c r="AE214" s="156" t="n">
        <f aca="false">SUM(AE206:AE213)+reservaoutrosconsolidadoset[[#This Row],[26]]</f>
        <v>0</v>
      </c>
      <c r="AF214" s="156" t="n">
        <f aca="false">SUM(AF206:AF213)+reservaoutrosconsolidadoset[[#This Row],[27]]</f>
        <v>0</v>
      </c>
      <c r="AG214" s="156" t="n">
        <f aca="false">SUM(AG206:AG213)+reservaoutrosconsolidadoset[[#This Row],[28]]</f>
        <v>0</v>
      </c>
      <c r="AH214" s="156" t="n">
        <f aca="false">SUM(AH206:AH213)+reservaoutrosconsolidadoset[[#This Row],[29]]</f>
        <v>0</v>
      </c>
      <c r="AI214" s="223" t="n">
        <f aca="false">SUM(AI206:AI213)+reservaoutrosconsolidadoset[[#This Row],[30]]</f>
        <v>0</v>
      </c>
      <c r="AJ214" s="157" t="n">
        <f aca="false">reservaoutrosconsolidadoset[[#This Row],[31]]</f>
        <v>0</v>
      </c>
      <c r="AK214" s="158"/>
    </row>
    <row r="215" customFormat="false" ht="6.75" hidden="false" customHeight="true" outlineLevel="0" collapsed="false">
      <c r="B215" s="97"/>
      <c r="C215" s="162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233"/>
      <c r="AJ215" s="164"/>
      <c r="AK215" s="244"/>
    </row>
    <row r="216" customFormat="false" ht="12.75" hidden="false" customHeight="false" outlineLevel="0" collapsed="false"/>
    <row r="217" customFormat="false" ht="12" hidden="false" customHeight="false" outlineLevel="0" collapsed="false"/>
  </sheetData>
  <sheetProtection algorithmName="SHA-512" hashValue="wO7NTFl9QHi6J2UFqYxt5W11t+vriudsGP9680MMWXiiX47khFLRDXqRq5nYTNX+8hxaILSY30fLiH1zL5k6HQ==" saltValue="XwOZElqEx2/s9GmXMdKSlg==" spinCount="100000" sheet="true" objects="true" scenarios="true" selectLockedCells="true" selectUnlockedCells="true"/>
  <mergeCells count="26">
    <mergeCell ref="C2:C6"/>
    <mergeCell ref="E3:G3"/>
    <mergeCell ref="I3:K3"/>
    <mergeCell ref="M3:O3"/>
    <mergeCell ref="Q3:S3"/>
    <mergeCell ref="U3:W3"/>
    <mergeCell ref="Z3:AA4"/>
    <mergeCell ref="AC3:AD4"/>
    <mergeCell ref="AF3:AG4"/>
    <mergeCell ref="E4:G4"/>
    <mergeCell ref="I4:K4"/>
    <mergeCell ref="M4:O4"/>
    <mergeCell ref="Q4:S4"/>
    <mergeCell ref="U4:W4"/>
    <mergeCell ref="E10:AI10"/>
    <mergeCell ref="E21:AI21"/>
    <mergeCell ref="E33:AI33"/>
    <mergeCell ref="E56:AI56"/>
    <mergeCell ref="E78:AI78"/>
    <mergeCell ref="E92:AI92"/>
    <mergeCell ref="E109:AI109"/>
    <mergeCell ref="E128:AI128"/>
    <mergeCell ref="E147:AI147"/>
    <mergeCell ref="E164:AI164"/>
    <mergeCell ref="E183:AI183"/>
    <mergeCell ref="E202:AI202"/>
  </mergeCells>
  <hyperlinks>
    <hyperlink ref="Z3" location="'🔒'!A1" display="REGISTROS"/>
    <hyperlink ref="AC3" location="'📈'!A1" display="RADAR"/>
    <hyperlink ref="AF3" location="ANUAL!A1" display="ANUA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17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24" activeCellId="0" sqref="D24"/>
    </sheetView>
  </sheetViews>
  <sheetFormatPr defaultColWidth="2.1484375" defaultRowHeight="12" zeroHeight="true" outlineLevelRow="0" outlineLevelCol="0"/>
  <cols>
    <col collapsed="false" customWidth="false" hidden="false" outlineLevel="0" max="1" min="1" style="78" width="2.14"/>
    <col collapsed="false" customWidth="true" hidden="false" outlineLevel="0" max="2" min="2" style="78" width="1.58"/>
    <col collapsed="false" customWidth="true" hidden="false" outlineLevel="0" max="3" min="3" style="78" width="29.29"/>
    <col collapsed="false" customWidth="true" hidden="false" outlineLevel="0" max="4" min="4" style="78" width="4.71"/>
    <col collapsed="false" customWidth="true" hidden="false" outlineLevel="0" max="34" min="5" style="78" width="5.57"/>
    <col collapsed="false" customWidth="true" hidden="false" outlineLevel="0" max="35" min="35" style="167" width="5.57"/>
    <col collapsed="false" customWidth="true" hidden="false" outlineLevel="0" max="36" min="36" style="78" width="9.58"/>
    <col collapsed="false" customWidth="true" hidden="false" outlineLevel="0" max="37" min="37" style="78" width="1.58"/>
    <col collapsed="false" customWidth="true" hidden="false" outlineLevel="0" max="38" min="38" style="78" width="2"/>
    <col collapsed="false" customWidth="false" hidden="true" outlineLevel="0" max="1024" min="39" style="78" width="2.14"/>
  </cols>
  <sheetData>
    <row r="1" customFormat="false" ht="29.25" hidden="true" customHeight="true" outlineLevel="0" collapsed="false">
      <c r="A1" s="81"/>
      <c r="B1" s="81"/>
      <c r="C1" s="81"/>
      <c r="D1" s="82"/>
      <c r="AD1" s="78" t="s">
        <v>19</v>
      </c>
      <c r="AE1" s="168" t="n">
        <v>10</v>
      </c>
      <c r="AH1" s="78" t="s">
        <v>42</v>
      </c>
      <c r="AI1" s="169" t="n">
        <f aca="false">IF('⚙️'!$Q$3=$AE$1,'⚙️'!$F$13,0)</f>
        <v>0</v>
      </c>
      <c r="AK1" s="169"/>
    </row>
    <row r="2" customFormat="false" ht="15.75" hidden="false" customHeight="true" outlineLevel="0" collapsed="false">
      <c r="A2" s="84"/>
      <c r="B2" s="84"/>
      <c r="C2" s="85" t="s">
        <v>108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7"/>
      <c r="U2" s="87"/>
      <c r="V2" s="87"/>
      <c r="W2" s="87"/>
      <c r="X2" s="87"/>
      <c r="Y2" s="87"/>
      <c r="Z2" s="87"/>
      <c r="AA2" s="87"/>
      <c r="AB2" s="87"/>
      <c r="AC2" s="238"/>
      <c r="AD2" s="239"/>
      <c r="AE2" s="239"/>
      <c r="AF2" s="239"/>
      <c r="AG2" s="239"/>
      <c r="AH2" s="239"/>
      <c r="AI2" s="239"/>
      <c r="AJ2" s="239"/>
      <c r="AK2" s="239"/>
      <c r="AL2" s="239"/>
    </row>
    <row r="3" s="180" customFormat="true" ht="18" hidden="false" customHeight="true" outlineLevel="0" collapsed="false">
      <c r="A3" s="89"/>
      <c r="B3" s="89"/>
      <c r="C3" s="85"/>
      <c r="D3" s="86"/>
      <c r="E3" s="90" t="s">
        <v>45</v>
      </c>
      <c r="F3" s="90"/>
      <c r="G3" s="90"/>
      <c r="H3" s="87"/>
      <c r="I3" s="90" t="s">
        <v>46</v>
      </c>
      <c r="J3" s="90"/>
      <c r="K3" s="90"/>
      <c r="L3" s="87"/>
      <c r="M3" s="90" t="s">
        <v>47</v>
      </c>
      <c r="N3" s="90"/>
      <c r="O3" s="90"/>
      <c r="P3" s="87"/>
      <c r="Q3" s="90" t="s">
        <v>48</v>
      </c>
      <c r="R3" s="90"/>
      <c r="S3" s="90"/>
      <c r="T3" s="87"/>
      <c r="U3" s="90" t="s">
        <v>49</v>
      </c>
      <c r="V3" s="90"/>
      <c r="W3" s="90"/>
      <c r="X3" s="87"/>
      <c r="Y3" s="87"/>
      <c r="Z3" s="178" t="s">
        <v>50</v>
      </c>
      <c r="AA3" s="178"/>
      <c r="AB3" s="239"/>
      <c r="AC3" s="178" t="s">
        <v>51</v>
      </c>
      <c r="AD3" s="178"/>
      <c r="AE3" s="239"/>
      <c r="AF3" s="178" t="s">
        <v>17</v>
      </c>
      <c r="AG3" s="178"/>
      <c r="AH3" s="240"/>
      <c r="AI3" s="240"/>
      <c r="AJ3" s="240"/>
      <c r="AK3" s="239"/>
      <c r="AL3" s="239"/>
    </row>
    <row r="4" s="180" customFormat="true" ht="18" hidden="false" customHeight="true" outlineLevel="0" collapsed="false">
      <c r="A4" s="89"/>
      <c r="B4" s="89"/>
      <c r="C4" s="85"/>
      <c r="D4" s="86"/>
      <c r="E4" s="94" t="n">
        <f aca="false">$AJ$16</f>
        <v>0</v>
      </c>
      <c r="F4" s="94"/>
      <c r="G4" s="94"/>
      <c r="H4" s="87"/>
      <c r="I4" s="94" t="n">
        <f aca="false">$AJ$14</f>
        <v>0</v>
      </c>
      <c r="J4" s="94"/>
      <c r="K4" s="94"/>
      <c r="L4" s="87"/>
      <c r="M4" s="94" t="n">
        <f aca="false">$AJ$15</f>
        <v>0</v>
      </c>
      <c r="N4" s="94"/>
      <c r="O4" s="94"/>
      <c r="P4" s="87"/>
      <c r="Q4" s="94" t="n">
        <f aca="false">$AJ$25</f>
        <v>0</v>
      </c>
      <c r="R4" s="94"/>
      <c r="S4" s="94"/>
      <c r="T4" s="87"/>
      <c r="U4" s="94" t="n">
        <f aca="false">$AJ$26</f>
        <v>0</v>
      </c>
      <c r="V4" s="94"/>
      <c r="W4" s="94"/>
      <c r="X4" s="87"/>
      <c r="Y4" s="87"/>
      <c r="Z4" s="178"/>
      <c r="AA4" s="178"/>
      <c r="AB4" s="239"/>
      <c r="AC4" s="178"/>
      <c r="AD4" s="178"/>
      <c r="AE4" s="239"/>
      <c r="AF4" s="178"/>
      <c r="AG4" s="178"/>
      <c r="AH4" s="240"/>
      <c r="AI4" s="240"/>
      <c r="AJ4" s="240"/>
      <c r="AK4" s="239"/>
      <c r="AL4" s="239"/>
    </row>
    <row r="5" customFormat="false" ht="11.25" hidden="false" customHeight="true" outlineLevel="0" collapsed="false">
      <c r="A5" s="89"/>
      <c r="B5" s="89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7"/>
      <c r="Y5" s="86"/>
      <c r="Z5" s="86"/>
      <c r="AA5" s="87"/>
      <c r="AB5" s="87"/>
      <c r="AC5" s="241"/>
      <c r="AD5" s="242"/>
      <c r="AE5" s="242"/>
      <c r="AF5" s="242"/>
      <c r="AG5" s="242"/>
      <c r="AH5" s="242"/>
      <c r="AI5" s="242"/>
      <c r="AJ5" s="239"/>
      <c r="AK5" s="239"/>
      <c r="AL5" s="239"/>
    </row>
    <row r="6" customFormat="false" ht="13.5" hidden="false" customHeight="true" outlineLevel="0" collapsed="false">
      <c r="A6" s="96"/>
      <c r="B6" s="96"/>
      <c r="C6" s="85"/>
      <c r="D6" s="97"/>
      <c r="E6" s="98" t="s">
        <v>30</v>
      </c>
      <c r="F6" s="98" t="s">
        <v>31</v>
      </c>
      <c r="G6" s="99" t="s">
        <v>32</v>
      </c>
      <c r="H6" s="99" t="s">
        <v>33</v>
      </c>
      <c r="I6" s="99" t="s">
        <v>34</v>
      </c>
      <c r="J6" s="99" t="s">
        <v>35</v>
      </c>
      <c r="K6" s="99" t="s">
        <v>36</v>
      </c>
      <c r="L6" s="99" t="s">
        <v>37</v>
      </c>
      <c r="M6" s="99" t="s">
        <v>38</v>
      </c>
      <c r="N6" s="99" t="s">
        <v>39</v>
      </c>
      <c r="O6" s="99" t="s">
        <v>40</v>
      </c>
      <c r="P6" s="99" t="s">
        <v>41</v>
      </c>
      <c r="Q6" s="99" t="s">
        <v>81</v>
      </c>
      <c r="R6" s="99" t="s">
        <v>82</v>
      </c>
      <c r="S6" s="99" t="s">
        <v>83</v>
      </c>
      <c r="T6" s="99" t="s">
        <v>84</v>
      </c>
      <c r="U6" s="99" t="s">
        <v>85</v>
      </c>
      <c r="V6" s="99" t="s">
        <v>86</v>
      </c>
      <c r="W6" s="99" t="s">
        <v>87</v>
      </c>
      <c r="X6" s="99" t="s">
        <v>88</v>
      </c>
      <c r="Y6" s="99" t="s">
        <v>89</v>
      </c>
      <c r="Z6" s="99" t="s">
        <v>90</v>
      </c>
      <c r="AA6" s="99" t="s">
        <v>91</v>
      </c>
      <c r="AB6" s="99" t="s">
        <v>92</v>
      </c>
      <c r="AC6" s="99" t="s">
        <v>93</v>
      </c>
      <c r="AD6" s="99" t="s">
        <v>94</v>
      </c>
      <c r="AE6" s="99" t="s">
        <v>95</v>
      </c>
      <c r="AF6" s="99" t="s">
        <v>96</v>
      </c>
      <c r="AG6" s="99" t="s">
        <v>97</v>
      </c>
      <c r="AH6" s="99" t="s">
        <v>98</v>
      </c>
      <c r="AI6" s="243" t="s">
        <v>99</v>
      </c>
      <c r="AJ6" s="239"/>
      <c r="AK6" s="239"/>
      <c r="AL6" s="239"/>
    </row>
    <row r="7" s="78" customFormat="true" ht="12.75" hidden="false" customHeight="false" outlineLevel="0" collapsed="false">
      <c r="E7" s="100"/>
    </row>
    <row r="8" s="78" customFormat="true" ht="12" hidden="false" customHeight="false" outlineLevel="0" collapsed="false"/>
    <row r="9" s="78" customFormat="true" ht="12" hidden="false" customHeight="false" outlineLevel="0" collapsed="false"/>
    <row r="10" customFormat="false" ht="39.75" hidden="false" customHeight="true" outlineLevel="0" collapsed="false">
      <c r="C10" s="101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3" t="s">
        <v>2</v>
      </c>
    </row>
    <row r="11" s="78" customFormat="true" ht="12.75" hidden="false" customHeight="false" outlineLevel="0" collapsed="false">
      <c r="AJ11" s="106" t="s">
        <v>64</v>
      </c>
    </row>
    <row r="12" customFormat="false" ht="6.75" hidden="false" customHeight="tru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94"/>
      <c r="AK12" s="107"/>
    </row>
    <row r="13" customFormat="false" ht="13.5" hidden="true" customHeight="false" outlineLevel="0" collapsed="false">
      <c r="B13" s="86"/>
      <c r="C13" s="109" t="s">
        <v>68</v>
      </c>
      <c r="D13" s="110" t="s">
        <v>69</v>
      </c>
      <c r="E13" s="110" t="s">
        <v>30</v>
      </c>
      <c r="F13" s="110" t="s">
        <v>31</v>
      </c>
      <c r="G13" s="110" t="s">
        <v>32</v>
      </c>
      <c r="H13" s="110" t="s">
        <v>33</v>
      </c>
      <c r="I13" s="110" t="s">
        <v>34</v>
      </c>
      <c r="J13" s="110" t="s">
        <v>35</v>
      </c>
      <c r="K13" s="110" t="s">
        <v>36</v>
      </c>
      <c r="L13" s="110" t="s">
        <v>37</v>
      </c>
      <c r="M13" s="110" t="s">
        <v>38</v>
      </c>
      <c r="N13" s="110" t="s">
        <v>39</v>
      </c>
      <c r="O13" s="110" t="s">
        <v>40</v>
      </c>
      <c r="P13" s="110" t="s">
        <v>41</v>
      </c>
      <c r="Q13" s="110" t="s">
        <v>81</v>
      </c>
      <c r="R13" s="110" t="s">
        <v>82</v>
      </c>
      <c r="S13" s="110" t="s">
        <v>83</v>
      </c>
      <c r="T13" s="110" t="s">
        <v>84</v>
      </c>
      <c r="U13" s="110" t="s">
        <v>85</v>
      </c>
      <c r="V13" s="110" t="s">
        <v>86</v>
      </c>
      <c r="W13" s="110" t="s">
        <v>87</v>
      </c>
      <c r="X13" s="110" t="s">
        <v>88</v>
      </c>
      <c r="Y13" s="110" t="s">
        <v>89</v>
      </c>
      <c r="Z13" s="110" t="s">
        <v>90</v>
      </c>
      <c r="AA13" s="110" t="s">
        <v>91</v>
      </c>
      <c r="AB13" s="110" t="s">
        <v>92</v>
      </c>
      <c r="AC13" s="110" t="s">
        <v>93</v>
      </c>
      <c r="AD13" s="110" t="s">
        <v>94</v>
      </c>
      <c r="AE13" s="110" t="s">
        <v>95</v>
      </c>
      <c r="AF13" s="110" t="s">
        <v>96</v>
      </c>
      <c r="AG13" s="110" t="s">
        <v>97</v>
      </c>
      <c r="AH13" s="110" t="s">
        <v>98</v>
      </c>
      <c r="AI13" s="110" t="s">
        <v>99</v>
      </c>
      <c r="AJ13" s="111" t="s">
        <v>70</v>
      </c>
      <c r="AK13" s="107"/>
    </row>
    <row r="14" customFormat="false" ht="19.5" hidden="false" customHeight="true" outlineLevel="0" collapsed="false">
      <c r="B14" s="107"/>
      <c r="C14" s="112" t="s">
        <v>71</v>
      </c>
      <c r="D14" s="113"/>
      <c r="E14" s="114" t="n">
        <f aca="false">SUMIFS(tabela_registros[VALOR],tabela_registros[MÊS],$AE$1,tabela_registros[DIA],outtotal3059718395107119131143[[#Headers],[1]],tabela_registros[REGISTRO],DADOS!$N$3)</f>
        <v>0</v>
      </c>
      <c r="F14" s="114" t="n">
        <f aca="false">SUMIFS(tabela_registros[VALOR],tabela_registros[MÊS],$AE$1,tabela_registros[DIA],outtotal3059718395107119131143[[#Headers],[2]],tabela_registros[REGISTRO],DADOS!$N$3)</f>
        <v>0</v>
      </c>
      <c r="G14" s="114" t="n">
        <f aca="false">SUMIFS(tabela_registros[VALOR],tabela_registros[MÊS],$AE$1,tabela_registros[DIA],outtotal3059718395107119131143[[#Headers],[3]],tabela_registros[REGISTRO],DADOS!$N$3)</f>
        <v>0</v>
      </c>
      <c r="H14" s="114" t="n">
        <f aca="false">SUMIFS(tabela_registros[VALOR],tabela_registros[MÊS],$AE$1,tabela_registros[DIA],outtotal3059718395107119131143[[#Headers],[4]],tabela_registros[REGISTRO],DADOS!$N$3)</f>
        <v>0</v>
      </c>
      <c r="I14" s="114" t="n">
        <f aca="false">SUMIFS(tabela_registros[VALOR],tabela_registros[MÊS],$AE$1,tabela_registros[DIA],outtotal3059718395107119131143[[#Headers],[5]],tabela_registros[REGISTRO],DADOS!$N$3)</f>
        <v>0</v>
      </c>
      <c r="J14" s="114" t="n">
        <f aca="false">SUMIFS(tabela_registros[VALOR],tabela_registros[MÊS],$AE$1,tabela_registros[DIA],outtotal3059718395107119131143[[#Headers],[6]],tabela_registros[REGISTRO],DADOS!$N$3)</f>
        <v>0</v>
      </c>
      <c r="K14" s="114" t="n">
        <f aca="false">SUMIFS(tabela_registros[VALOR],tabela_registros[MÊS],$AE$1,tabela_registros[DIA],outtotal3059718395107119131143[[#Headers],[7]],tabela_registros[REGISTRO],DADOS!$N$3)</f>
        <v>0</v>
      </c>
      <c r="L14" s="114" t="n">
        <f aca="false">SUMIFS(tabela_registros[VALOR],tabela_registros[MÊS],$AE$1,tabela_registros[DIA],outtotal3059718395107119131143[[#Headers],[8]],tabela_registros[REGISTRO],DADOS!$N$3)</f>
        <v>0</v>
      </c>
      <c r="M14" s="114" t="n">
        <f aca="false">SUMIFS(tabela_registros[VALOR],tabela_registros[MÊS],$AE$1,tabela_registros[DIA],outtotal3059718395107119131143[[#Headers],[9]],tabela_registros[REGISTRO],DADOS!$N$3)</f>
        <v>0</v>
      </c>
      <c r="N14" s="114" t="n">
        <f aca="false">SUMIFS(tabela_registros[VALOR],tabela_registros[MÊS],$AE$1,tabela_registros[DIA],outtotal3059718395107119131143[[#Headers],[10]],tabela_registros[REGISTRO],DADOS!$N$3)</f>
        <v>0</v>
      </c>
      <c r="O14" s="114" t="n">
        <f aca="false">SUMIFS(tabela_registros[VALOR],tabela_registros[MÊS],$AE$1,tabela_registros[DIA],outtotal3059718395107119131143[[#Headers],[11]],tabela_registros[REGISTRO],DADOS!$N$3)</f>
        <v>0</v>
      </c>
      <c r="P14" s="114" t="n">
        <f aca="false">SUMIFS(tabela_registros[VALOR],tabela_registros[MÊS],$AE$1,tabela_registros[DIA],outtotal3059718395107119131143[[#Headers],[12]],tabela_registros[REGISTRO],DADOS!$N$3)</f>
        <v>0</v>
      </c>
      <c r="Q14" s="114" t="n">
        <f aca="false">SUMIFS(tabela_registros[VALOR],tabela_registros[MÊS],$AE$1,tabela_registros[DIA],outtotal3059718395107119131143[[#Headers],[13]],tabela_registros[REGISTRO],DADOS!$N$3)</f>
        <v>0</v>
      </c>
      <c r="R14" s="114" t="n">
        <f aca="false">SUMIFS(tabela_registros[VALOR],tabela_registros[MÊS],$AE$1,tabela_registros[DIA],outtotal3059718395107119131143[[#Headers],[14]],tabela_registros[REGISTRO],DADOS!$N$3)</f>
        <v>0</v>
      </c>
      <c r="S14" s="114" t="n">
        <f aca="false">SUMIFS(tabela_registros[VALOR],tabela_registros[MÊS],$AE$1,tabela_registros[DIA],outtotal3059718395107119131143[[#Headers],[15]],tabela_registros[REGISTRO],DADOS!$N$3)</f>
        <v>0</v>
      </c>
      <c r="T14" s="114" t="n">
        <f aca="false">SUMIFS(tabela_registros[VALOR],tabela_registros[MÊS],$AE$1,tabela_registros[DIA],outtotal3059718395107119131143[[#Headers],[16]],tabela_registros[REGISTRO],DADOS!$N$3)</f>
        <v>0</v>
      </c>
      <c r="U14" s="114" t="n">
        <f aca="false">SUMIFS(tabela_registros[VALOR],tabela_registros[MÊS],$AE$1,tabela_registros[DIA],outtotal3059718395107119131143[[#Headers],[17]],tabela_registros[REGISTRO],DADOS!$N$3)</f>
        <v>0</v>
      </c>
      <c r="V14" s="114" t="n">
        <f aca="false">SUMIFS(tabela_registros[VALOR],tabela_registros[MÊS],$AE$1,tabela_registros[DIA],outtotal3059718395107119131143[[#Headers],[18]],tabela_registros[REGISTRO],DADOS!$N$3)</f>
        <v>0</v>
      </c>
      <c r="W14" s="114" t="n">
        <f aca="false">SUMIFS(tabela_registros[VALOR],tabela_registros[MÊS],$AE$1,tabela_registros[DIA],outtotal3059718395107119131143[[#Headers],[19]],tabela_registros[REGISTRO],DADOS!$N$3)</f>
        <v>0</v>
      </c>
      <c r="X14" s="114" t="n">
        <f aca="false">SUMIFS(tabela_registros[VALOR],tabela_registros[MÊS],$AE$1,tabela_registros[DIA],outtotal3059718395107119131143[[#Headers],[20]],tabela_registros[REGISTRO],DADOS!$N$3)</f>
        <v>0</v>
      </c>
      <c r="Y14" s="114" t="n">
        <f aca="false">SUMIFS(tabela_registros[VALOR],tabela_registros[MÊS],$AE$1,tabela_registros[DIA],outtotal3059718395107119131143[[#Headers],[21]],tabela_registros[REGISTRO],DADOS!$N$3)</f>
        <v>0</v>
      </c>
      <c r="Z14" s="114" t="n">
        <f aca="false">SUMIFS(tabela_registros[VALOR],tabela_registros[MÊS],$AE$1,tabela_registros[DIA],outtotal3059718395107119131143[[#Headers],[22]],tabela_registros[REGISTRO],DADOS!$N$3)</f>
        <v>0</v>
      </c>
      <c r="AA14" s="114" t="n">
        <f aca="false">SUMIFS(tabela_registros[VALOR],tabela_registros[MÊS],$AE$1,tabela_registros[DIA],outtotal3059718395107119131143[[#Headers],[23]],tabela_registros[REGISTRO],DADOS!$N$3)</f>
        <v>0</v>
      </c>
      <c r="AB14" s="114" t="n">
        <f aca="false">SUMIFS(tabela_registros[VALOR],tabela_registros[MÊS],$AE$1,tabela_registros[DIA],outtotal3059718395107119131143[[#Headers],[24]],tabela_registros[REGISTRO],DADOS!$N$3)</f>
        <v>0</v>
      </c>
      <c r="AC14" s="114" t="n">
        <f aca="false">SUMIFS(tabela_registros[VALOR],tabela_registros[MÊS],$AE$1,tabela_registros[DIA],outtotal3059718395107119131143[[#Headers],[25]],tabela_registros[REGISTRO],DADOS!$N$3)</f>
        <v>0</v>
      </c>
      <c r="AD14" s="114" t="n">
        <f aca="false">SUMIFS(tabela_registros[VALOR],tabela_registros[MÊS],$AE$1,tabela_registros[DIA],outtotal3059718395107119131143[[#Headers],[26]],tabela_registros[REGISTRO],DADOS!$N$3)</f>
        <v>0</v>
      </c>
      <c r="AE14" s="114" t="n">
        <f aca="false">SUMIFS(tabela_registros[VALOR],tabela_registros[MÊS],$AE$1,tabela_registros[DIA],outtotal3059718395107119131143[[#Headers],[27]],tabela_registros[REGISTRO],DADOS!$N$3)</f>
        <v>0</v>
      </c>
      <c r="AF14" s="114" t="n">
        <f aca="false">SUMIFS(tabela_registros[VALOR],tabela_registros[MÊS],$AE$1,tabela_registros[DIA],outtotal3059718395107119131143[[#Headers],[28]],tabela_registros[REGISTRO],DADOS!$N$3)</f>
        <v>0</v>
      </c>
      <c r="AG14" s="114" t="n">
        <f aca="false">SUMIFS(tabela_registros[VALOR],tabela_registros[MÊS],$AE$1,tabela_registros[DIA],outtotal3059718395107119131143[[#Headers],[29]],tabela_registros[REGISTRO],DADOS!$N$3)</f>
        <v>0</v>
      </c>
      <c r="AH14" s="114" t="n">
        <f aca="false">SUMIFS(tabela_registros[VALOR],tabela_registros[MÊS],$AE$1,tabela_registros[DIA],outtotal3059718395107119131143[[#Headers],[30]],tabela_registros[REGISTRO],DADOS!$N$3)</f>
        <v>0</v>
      </c>
      <c r="AI14" s="115" t="n">
        <f aca="false">SUMIFS(tabela_registros[VALOR],tabela_registros[MÊS],$AE$1,tabela_registros[DIA],outtotal3059718395107119131143[[#Headers],[31]],tabela_registros[REGISTRO],DADOS!$N$3)</f>
        <v>0</v>
      </c>
      <c r="AJ14" s="116" t="n">
        <f aca="false">SUM(outtotal3059718395107119131143[[#This Row],[1]:[31]])</f>
        <v>0</v>
      </c>
      <c r="AK14" s="107"/>
    </row>
    <row r="15" customFormat="false" ht="18" hidden="false" customHeight="true" outlineLevel="0" collapsed="false">
      <c r="B15" s="107"/>
      <c r="C15" s="112" t="s">
        <v>72</v>
      </c>
      <c r="D15" s="113"/>
      <c r="E15" s="119" t="n">
        <f aca="false">SUMIFS(tabela_registros[VALOR],tabela_registros[MÊS],$AE$1,tabela_registros[DIA],outtotal3059718395107119131143[[#Headers],[1]],tabela_registros[REGISTRO],DADOS!$N$4)</f>
        <v>0</v>
      </c>
      <c r="F15" s="119" t="n">
        <f aca="false">SUMIFS(tabela_registros[VALOR],tabela_registros[MÊS],$AE$1,tabela_registros[DIA],outtotal3059718395107119131143[[#Headers],[2]],tabela_registros[REGISTRO],DADOS!$N$4)</f>
        <v>0</v>
      </c>
      <c r="G15" s="119" t="n">
        <f aca="false">SUMIFS(tabela_registros[VALOR],tabela_registros[MÊS],$AE$1,tabela_registros[DIA],outtotal3059718395107119131143[[#Headers],[3]],tabela_registros[REGISTRO],DADOS!$N$4)</f>
        <v>0</v>
      </c>
      <c r="H15" s="119" t="n">
        <f aca="false">SUMIFS(tabela_registros[VALOR],tabela_registros[MÊS],$AE$1,tabela_registros[DIA],outtotal3059718395107119131143[[#Headers],[4]],tabela_registros[REGISTRO],DADOS!$N$4)</f>
        <v>0</v>
      </c>
      <c r="I15" s="119" t="n">
        <f aca="false">SUMIFS(tabela_registros[VALOR],tabela_registros[MÊS],$AE$1,tabela_registros[DIA],outtotal3059718395107119131143[[#Headers],[5]],tabela_registros[REGISTRO],DADOS!$N$4)</f>
        <v>0</v>
      </c>
      <c r="J15" s="119" t="n">
        <f aca="false">SUMIFS(tabela_registros[VALOR],tabela_registros[MÊS],$AE$1,tabela_registros[DIA],outtotal3059718395107119131143[[#Headers],[6]],tabela_registros[REGISTRO],DADOS!$N$4)</f>
        <v>0</v>
      </c>
      <c r="K15" s="119" t="n">
        <f aca="false">SUMIFS(tabela_registros[VALOR],tabela_registros[MÊS],$AE$1,tabela_registros[DIA],outtotal3059718395107119131143[[#Headers],[7]],tabela_registros[REGISTRO],DADOS!$N$4)</f>
        <v>0</v>
      </c>
      <c r="L15" s="119" t="n">
        <f aca="false">SUMIFS(tabela_registros[VALOR],tabela_registros[MÊS],$AE$1,tabela_registros[DIA],outtotal3059718395107119131143[[#Headers],[8]],tabela_registros[REGISTRO],DADOS!$N$4)</f>
        <v>0</v>
      </c>
      <c r="M15" s="119" t="n">
        <f aca="false">SUMIFS(tabela_registros[VALOR],tabela_registros[MÊS],$AE$1,tabela_registros[DIA],outtotal3059718395107119131143[[#Headers],[9]],tabela_registros[REGISTRO],DADOS!$N$4)</f>
        <v>0</v>
      </c>
      <c r="N15" s="119" t="n">
        <f aca="false">SUMIFS(tabela_registros[VALOR],tabela_registros[MÊS],$AE$1,tabela_registros[DIA],outtotal3059718395107119131143[[#Headers],[10]],tabela_registros[REGISTRO],DADOS!$N$4)</f>
        <v>0</v>
      </c>
      <c r="O15" s="119" t="n">
        <f aca="false">SUMIFS(tabela_registros[VALOR],tabela_registros[MÊS],$AE$1,tabela_registros[DIA],outtotal3059718395107119131143[[#Headers],[11]],tabela_registros[REGISTRO],DADOS!$N$4)</f>
        <v>0</v>
      </c>
      <c r="P15" s="119" t="n">
        <f aca="false">SUMIFS(tabela_registros[VALOR],tabela_registros[MÊS],$AE$1,tabela_registros[DIA],outtotal3059718395107119131143[[#Headers],[12]],tabela_registros[REGISTRO],DADOS!$N$4)</f>
        <v>0</v>
      </c>
      <c r="Q15" s="119" t="n">
        <f aca="false">SUMIFS(tabela_registros[VALOR],tabela_registros[MÊS],$AE$1,tabela_registros[DIA],outtotal3059718395107119131143[[#Headers],[13]],tabela_registros[REGISTRO],DADOS!$N$4)</f>
        <v>0</v>
      </c>
      <c r="R15" s="119" t="n">
        <f aca="false">SUMIFS(tabela_registros[VALOR],tabela_registros[MÊS],$AE$1,tabela_registros[DIA],outtotal3059718395107119131143[[#Headers],[14]],tabela_registros[REGISTRO],DADOS!$N$4)</f>
        <v>0</v>
      </c>
      <c r="S15" s="119" t="n">
        <f aca="false">SUMIFS(tabela_registros[VALOR],tabela_registros[MÊS],$AE$1,tabela_registros[DIA],outtotal3059718395107119131143[[#Headers],[15]],tabela_registros[REGISTRO],DADOS!$N$4)</f>
        <v>0</v>
      </c>
      <c r="T15" s="119" t="n">
        <f aca="false">SUMIFS(tabela_registros[VALOR],tabela_registros[MÊS],$AE$1,tabela_registros[DIA],outtotal3059718395107119131143[[#Headers],[16]],tabela_registros[REGISTRO],DADOS!$N$4)</f>
        <v>0</v>
      </c>
      <c r="U15" s="119" t="n">
        <f aca="false">SUMIFS(tabela_registros[VALOR],tabela_registros[MÊS],$AE$1,tabela_registros[DIA],outtotal3059718395107119131143[[#Headers],[17]],tabela_registros[REGISTRO],DADOS!$N$4)</f>
        <v>0</v>
      </c>
      <c r="V15" s="119" t="n">
        <f aca="false">SUMIFS(tabela_registros[VALOR],tabela_registros[MÊS],$AE$1,tabela_registros[DIA],outtotal3059718395107119131143[[#Headers],[18]],tabela_registros[REGISTRO],DADOS!$N$4)</f>
        <v>0</v>
      </c>
      <c r="W15" s="119" t="n">
        <f aca="false">SUMIFS(tabela_registros[VALOR],tabela_registros[MÊS],$AE$1,tabela_registros[DIA],outtotal3059718395107119131143[[#Headers],[19]],tabela_registros[REGISTRO],DADOS!$N$4)</f>
        <v>0</v>
      </c>
      <c r="X15" s="119" t="n">
        <f aca="false">SUMIFS(tabela_registros[VALOR],tabela_registros[MÊS],$AE$1,tabela_registros[DIA],outtotal3059718395107119131143[[#Headers],[20]],tabela_registros[REGISTRO],DADOS!$N$4)</f>
        <v>0</v>
      </c>
      <c r="Y15" s="119" t="n">
        <f aca="false">SUMIFS(tabela_registros[VALOR],tabela_registros[MÊS],$AE$1,tabela_registros[DIA],outtotal3059718395107119131143[[#Headers],[21]],tabela_registros[REGISTRO],DADOS!$N$4)</f>
        <v>0</v>
      </c>
      <c r="Z15" s="119" t="n">
        <f aca="false">SUMIFS(tabela_registros[VALOR],tabela_registros[MÊS],$AE$1,tabela_registros[DIA],outtotal3059718395107119131143[[#Headers],[22]],tabela_registros[REGISTRO],DADOS!$N$4)</f>
        <v>0</v>
      </c>
      <c r="AA15" s="119" t="n">
        <f aca="false">SUMIFS(tabela_registros[VALOR],tabela_registros[MÊS],$AE$1,tabela_registros[DIA],outtotal3059718395107119131143[[#Headers],[23]],tabela_registros[REGISTRO],DADOS!$N$4)</f>
        <v>0</v>
      </c>
      <c r="AB15" s="119" t="n">
        <f aca="false">SUMIFS(tabela_registros[VALOR],tabela_registros[MÊS],$AE$1,tabela_registros[DIA],outtotal3059718395107119131143[[#Headers],[24]],tabela_registros[REGISTRO],DADOS!$N$4)</f>
        <v>0</v>
      </c>
      <c r="AC15" s="119" t="n">
        <f aca="false">SUMIFS(tabela_registros[VALOR],tabela_registros[MÊS],$AE$1,tabela_registros[DIA],outtotal3059718395107119131143[[#Headers],[25]],tabela_registros[REGISTRO],DADOS!$N$4)</f>
        <v>0</v>
      </c>
      <c r="AD15" s="119" t="n">
        <f aca="false">SUMIFS(tabela_registros[VALOR],tabela_registros[MÊS],$AE$1,tabela_registros[DIA],outtotal3059718395107119131143[[#Headers],[26]],tabela_registros[REGISTRO],DADOS!$N$4)</f>
        <v>0</v>
      </c>
      <c r="AE15" s="119" t="n">
        <f aca="false">SUMIFS(tabela_registros[VALOR],tabela_registros[MÊS],$AE$1,tabela_registros[DIA],outtotal3059718395107119131143[[#Headers],[27]],tabela_registros[REGISTRO],DADOS!$N$4)</f>
        <v>0</v>
      </c>
      <c r="AF15" s="119" t="n">
        <f aca="false">SUMIFS(tabela_registros[VALOR],tabela_registros[MÊS],$AE$1,tabela_registros[DIA],outtotal3059718395107119131143[[#Headers],[28]],tabela_registros[REGISTRO],DADOS!$N$4)</f>
        <v>0</v>
      </c>
      <c r="AG15" s="119" t="n">
        <f aca="false">SUMIFS(tabela_registros[VALOR],tabela_registros[MÊS],$AE$1,tabela_registros[DIA],outtotal3059718395107119131143[[#Headers],[29]],tabela_registros[REGISTRO],DADOS!$N$4)</f>
        <v>0</v>
      </c>
      <c r="AH15" s="119" t="n">
        <f aca="false">SUMIFS(tabela_registros[VALOR],tabela_registros[MÊS],$AE$1,tabela_registros[DIA],outtotal3059718395107119131143[[#Headers],[30]],tabela_registros[REGISTRO],DADOS!$N$4)</f>
        <v>0</v>
      </c>
      <c r="AI15" s="120" t="n">
        <f aca="false">SUMIFS(tabela_registros[VALOR],tabela_registros[MÊS],$AE$1,tabela_registros[DIA],outtotal3059718395107119131143[[#Headers],[31]],tabela_registros[REGISTRO],DADOS!$N$4)</f>
        <v>0</v>
      </c>
      <c r="AJ15" s="121" t="n">
        <f aca="false">SUM(outtotal3059718395107119131143[[#This Row],[1]:[31]])</f>
        <v>0</v>
      </c>
      <c r="AK15" s="107"/>
    </row>
    <row r="16" s="122" customFormat="true" ht="21" hidden="false" customHeight="true" outlineLevel="0" collapsed="false">
      <c r="B16" s="123"/>
      <c r="C16" s="124" t="s">
        <v>73</v>
      </c>
      <c r="D16" s="125"/>
      <c r="E16" s="126" t="n">
        <f aca="false">(E14-E15)+AI1</f>
        <v>0</v>
      </c>
      <c r="F16" s="127" t="n">
        <f aca="false">outtotal3059718395107119131143[[#This Row],[1]]+(F14-F15)</f>
        <v>0</v>
      </c>
      <c r="G16" s="127" t="n">
        <f aca="false">outtotal3059718395107119131143[[#This Row],[2]]+(G14-G15)</f>
        <v>0</v>
      </c>
      <c r="H16" s="127" t="n">
        <f aca="false">outtotal3059718395107119131143[[#This Row],[3]]+(H14-H15)</f>
        <v>0</v>
      </c>
      <c r="I16" s="127" t="n">
        <f aca="false">outtotal3059718395107119131143[[#This Row],[4]]+(I14-I15)</f>
        <v>0</v>
      </c>
      <c r="J16" s="127" t="n">
        <f aca="false">outtotal3059718395107119131143[[#This Row],[5]]+(J14-J15)</f>
        <v>0</v>
      </c>
      <c r="K16" s="127" t="n">
        <f aca="false">outtotal3059718395107119131143[[#This Row],[6]]+(K14-K15)</f>
        <v>0</v>
      </c>
      <c r="L16" s="127" t="n">
        <f aca="false">outtotal3059718395107119131143[[#This Row],[7]]+(L14-L15)</f>
        <v>0</v>
      </c>
      <c r="M16" s="127" t="n">
        <f aca="false">outtotal3059718395107119131143[[#This Row],[8]]+(M14-M15)</f>
        <v>0</v>
      </c>
      <c r="N16" s="127" t="n">
        <f aca="false">outtotal3059718395107119131143[[#This Row],[9]]+(N14-N15)</f>
        <v>0</v>
      </c>
      <c r="O16" s="127" t="n">
        <f aca="false">outtotal3059718395107119131143[[#This Row],[10]]+(O14-O15)</f>
        <v>0</v>
      </c>
      <c r="P16" s="127" t="n">
        <f aca="false">outtotal3059718395107119131143[[#This Row],[11]]+(P14-P15)</f>
        <v>0</v>
      </c>
      <c r="Q16" s="127" t="n">
        <f aca="false">outtotal3059718395107119131143[[#This Row],[12]]+(Q14-Q15)</f>
        <v>0</v>
      </c>
      <c r="R16" s="127" t="n">
        <f aca="false">outtotal3059718395107119131143[[#This Row],[13]]+(R14-R15)</f>
        <v>0</v>
      </c>
      <c r="S16" s="127" t="n">
        <f aca="false">outtotal3059718395107119131143[[#This Row],[14]]+(S14-S15)</f>
        <v>0</v>
      </c>
      <c r="T16" s="127" t="n">
        <f aca="false">outtotal3059718395107119131143[[#This Row],[15]]+(T14-T15)</f>
        <v>0</v>
      </c>
      <c r="U16" s="127" t="n">
        <f aca="false">outtotal3059718395107119131143[[#This Row],[16]]+(U14-U15)</f>
        <v>0</v>
      </c>
      <c r="V16" s="127" t="n">
        <f aca="false">outtotal3059718395107119131143[[#This Row],[17]]+(V14-V15)</f>
        <v>0</v>
      </c>
      <c r="W16" s="127" t="n">
        <f aca="false">outtotal3059718395107119131143[[#This Row],[18]]+(W14-W15)</f>
        <v>0</v>
      </c>
      <c r="X16" s="127" t="n">
        <f aca="false">outtotal3059718395107119131143[[#This Row],[19]]+(X14-X15)</f>
        <v>0</v>
      </c>
      <c r="Y16" s="127" t="n">
        <f aca="false">outtotal3059718395107119131143[[#This Row],[20]]+(Y14-Y15)</f>
        <v>0</v>
      </c>
      <c r="Z16" s="127" t="n">
        <f aca="false">outtotal3059718395107119131143[[#This Row],[21]]+(Z14-Z15)</f>
        <v>0</v>
      </c>
      <c r="AA16" s="127" t="n">
        <f aca="false">outtotal3059718395107119131143[[#This Row],[22]]+(AA14-AA15)</f>
        <v>0</v>
      </c>
      <c r="AB16" s="127" t="n">
        <f aca="false">outtotal3059718395107119131143[[#This Row],[23]]+(AB14-AB15)</f>
        <v>0</v>
      </c>
      <c r="AC16" s="127" t="n">
        <f aca="false">outtotal3059718395107119131143[[#This Row],[24]]+(AC14-AC15)</f>
        <v>0</v>
      </c>
      <c r="AD16" s="127" t="n">
        <f aca="false">outtotal3059718395107119131143[[#This Row],[25]]+(AD14-AD15)</f>
        <v>0</v>
      </c>
      <c r="AE16" s="127" t="n">
        <f aca="false">outtotal3059718395107119131143[[#This Row],[26]]+(AE14-AE15)</f>
        <v>0</v>
      </c>
      <c r="AF16" s="127" t="n">
        <f aca="false">outtotal3059718395107119131143[[#This Row],[27]]+(AF14-AF15)</f>
        <v>0</v>
      </c>
      <c r="AG16" s="127" t="n">
        <f aca="false">outtotal3059718395107119131143[[#This Row],[28]]+(AG14-AG15)</f>
        <v>0</v>
      </c>
      <c r="AH16" s="127" t="n">
        <f aca="false">outtotal3059718395107119131143[[#This Row],[29]]+(AH14-AH15)</f>
        <v>0</v>
      </c>
      <c r="AI16" s="128" t="n">
        <f aca="false">outtotal3059718395107119131143[[#This Row],[30]]+(AI14-AI15)</f>
        <v>0</v>
      </c>
      <c r="AJ16" s="129" t="n">
        <f aca="false">outtotal3059718395107119131143[[#This Row],[31]]</f>
        <v>0</v>
      </c>
      <c r="AK16" s="123"/>
    </row>
    <row r="17" customFormat="false" ht="6.75" hidden="false" customHeight="true" outlineLevel="0" collapsed="false"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94"/>
      <c r="AJ17" s="107"/>
      <c r="AK17" s="107"/>
    </row>
    <row r="18" customFormat="false" ht="12.75" hidden="false" customHeight="false" outlineLevel="0" collapsed="false">
      <c r="C18" s="133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</row>
    <row r="19" customFormat="false" ht="12" hidden="false" customHeight="false" outlineLevel="0" collapsed="false">
      <c r="C19" s="133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</row>
    <row r="20" customFormat="false" ht="12" hidden="false" customHeight="false" outlineLevel="0" collapsed="false">
      <c r="A20" s="133"/>
      <c r="B20" s="133"/>
      <c r="C20" s="133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</row>
    <row r="21" customFormat="false" ht="39.75" hidden="false" customHeight="true" outlineLevel="0" collapsed="false">
      <c r="A21" s="133"/>
      <c r="B21" s="133"/>
      <c r="C21" s="133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3" t="s">
        <v>2</v>
      </c>
    </row>
    <row r="22" s="78" customFormat="true" ht="11.25" hidden="false" customHeight="true" outlineLevel="0" collapsed="false">
      <c r="C22" s="101"/>
      <c r="AJ22" s="106" t="s">
        <v>64</v>
      </c>
    </row>
    <row r="23" customFormat="false" ht="6.75" hidden="false" customHeight="true" outlineLevel="0" collapsed="false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94"/>
      <c r="AK23" s="107"/>
    </row>
    <row r="24" customFormat="false" ht="13.5" hidden="true" customHeight="false" outlineLevel="0" collapsed="false">
      <c r="B24" s="86"/>
      <c r="C24" s="110" t="s">
        <v>68</v>
      </c>
      <c r="D24" s="107" t="s">
        <v>69</v>
      </c>
      <c r="E24" s="110" t="s">
        <v>30</v>
      </c>
      <c r="F24" s="110" t="s">
        <v>31</v>
      </c>
      <c r="G24" s="110" t="s">
        <v>32</v>
      </c>
      <c r="H24" s="110" t="s">
        <v>33</v>
      </c>
      <c r="I24" s="110" t="s">
        <v>34</v>
      </c>
      <c r="J24" s="110" t="s">
        <v>35</v>
      </c>
      <c r="K24" s="110" t="s">
        <v>36</v>
      </c>
      <c r="L24" s="110" t="s">
        <v>37</v>
      </c>
      <c r="M24" s="110" t="s">
        <v>38</v>
      </c>
      <c r="N24" s="110" t="s">
        <v>39</v>
      </c>
      <c r="O24" s="110" t="s">
        <v>40</v>
      </c>
      <c r="P24" s="110" t="s">
        <v>41</v>
      </c>
      <c r="Q24" s="110" t="s">
        <v>81</v>
      </c>
      <c r="R24" s="110" t="s">
        <v>82</v>
      </c>
      <c r="S24" s="110" t="s">
        <v>83</v>
      </c>
      <c r="T24" s="110" t="s">
        <v>84</v>
      </c>
      <c r="U24" s="110" t="s">
        <v>85</v>
      </c>
      <c r="V24" s="110" t="s">
        <v>86</v>
      </c>
      <c r="W24" s="110" t="s">
        <v>87</v>
      </c>
      <c r="X24" s="110" t="s">
        <v>88</v>
      </c>
      <c r="Y24" s="110" t="s">
        <v>89</v>
      </c>
      <c r="Z24" s="110" t="s">
        <v>90</v>
      </c>
      <c r="AA24" s="110" t="s">
        <v>91</v>
      </c>
      <c r="AB24" s="110" t="s">
        <v>92</v>
      </c>
      <c r="AC24" s="110" t="s">
        <v>93</v>
      </c>
      <c r="AD24" s="110" t="s">
        <v>94</v>
      </c>
      <c r="AE24" s="110" t="s">
        <v>95</v>
      </c>
      <c r="AF24" s="110" t="s">
        <v>96</v>
      </c>
      <c r="AG24" s="110" t="s">
        <v>97</v>
      </c>
      <c r="AH24" s="110" t="s">
        <v>98</v>
      </c>
      <c r="AI24" s="110" t="s">
        <v>99</v>
      </c>
      <c r="AJ24" s="111" t="s">
        <v>70</v>
      </c>
      <c r="AK24" s="107"/>
    </row>
    <row r="25" customFormat="false" ht="19.5" hidden="false" customHeight="true" outlineLevel="0" collapsed="false">
      <c r="B25" s="107"/>
      <c r="C25" s="112" t="s">
        <v>15</v>
      </c>
      <c r="D25" s="113"/>
      <c r="E25" s="114" t="n">
        <f aca="false">SUMIFS(tabela_registros[VALOR],tabela_registros[MÊS],$AE$1,tabela_registros[DIA],outtotal3059718395107119131143[[#Headers],[1]],tabela_registros[REGISTRO],DADOS!$N$5)</f>
        <v>0</v>
      </c>
      <c r="F25" s="114" t="n">
        <f aca="false">SUMIFS(tabela_registros[VALOR],tabela_registros[MÊS],$AE$1,tabela_registros[DIA],outtotal3059718395107119131143[[#Headers],[2]],tabela_registros[REGISTRO],DADOS!$N$5)</f>
        <v>0</v>
      </c>
      <c r="G25" s="114" t="n">
        <f aca="false">SUMIFS(tabela_registros[VALOR],tabela_registros[MÊS],$AE$1,tabela_registros[DIA],outtotal3059718395107119131143[[#Headers],[3]],tabela_registros[REGISTRO],DADOS!$N$5)</f>
        <v>0</v>
      </c>
      <c r="H25" s="114" t="n">
        <f aca="false">SUMIFS(tabela_registros[VALOR],tabela_registros[MÊS],$AE$1,tabela_registros[DIA],outtotal3059718395107119131143[[#Headers],[4]],tabela_registros[REGISTRO],DADOS!$N$5)</f>
        <v>0</v>
      </c>
      <c r="I25" s="114" t="n">
        <f aca="false">SUMIFS(tabela_registros[VALOR],tabela_registros[MÊS],$AE$1,tabela_registros[DIA],outtotal3059718395107119131143[[#Headers],[5]],tabela_registros[REGISTRO],DADOS!$N$5)</f>
        <v>0</v>
      </c>
      <c r="J25" s="114" t="n">
        <f aca="false">SUMIFS(tabela_registros[VALOR],tabela_registros[MÊS],$AE$1,tabela_registros[DIA],outtotal3059718395107119131143[[#Headers],[6]],tabela_registros[REGISTRO],DADOS!$N$5)</f>
        <v>0</v>
      </c>
      <c r="K25" s="114" t="n">
        <f aca="false">SUMIFS(tabela_registros[VALOR],tabela_registros[MÊS],$AE$1,tabela_registros[DIA],outtotal3059718395107119131143[[#Headers],[7]],tabela_registros[REGISTRO],DADOS!$N$5)</f>
        <v>0</v>
      </c>
      <c r="L25" s="114" t="n">
        <f aca="false">SUMIFS(tabela_registros[VALOR],tabela_registros[MÊS],$AE$1,tabela_registros[DIA],outtotal3059718395107119131143[[#Headers],[8]],tabela_registros[REGISTRO],DADOS!$N$5)</f>
        <v>0</v>
      </c>
      <c r="M25" s="114" t="n">
        <f aca="false">SUMIFS(tabela_registros[VALOR],tabela_registros[MÊS],$AE$1,tabela_registros[DIA],outtotal3059718395107119131143[[#Headers],[9]],tabela_registros[REGISTRO],DADOS!$N$5)</f>
        <v>0</v>
      </c>
      <c r="N25" s="114" t="n">
        <f aca="false">SUMIFS(tabela_registros[VALOR],tabela_registros[MÊS],$AE$1,tabela_registros[DIA],outtotal3059718395107119131143[[#Headers],[10]],tabela_registros[REGISTRO],DADOS!$N$5)</f>
        <v>0</v>
      </c>
      <c r="O25" s="114" t="n">
        <f aca="false">SUMIFS(tabela_registros[VALOR],tabela_registros[MÊS],$AE$1,tabela_registros[DIA],outtotal3059718395107119131143[[#Headers],[11]],tabela_registros[REGISTRO],DADOS!$N$5)</f>
        <v>0</v>
      </c>
      <c r="P25" s="114" t="n">
        <f aca="false">SUMIFS(tabela_registros[VALOR],tabela_registros[MÊS],$AE$1,tabela_registros[DIA],outtotal3059718395107119131143[[#Headers],[12]],tabela_registros[REGISTRO],DADOS!$N$5)</f>
        <v>0</v>
      </c>
      <c r="Q25" s="114" t="n">
        <f aca="false">SUMIFS(tabela_registros[VALOR],tabela_registros[MÊS],$AE$1,tabela_registros[DIA],outtotal3059718395107119131143[[#Headers],[13]],tabela_registros[REGISTRO],DADOS!$N$5)</f>
        <v>0</v>
      </c>
      <c r="R25" s="114" t="n">
        <f aca="false">SUMIFS(tabela_registros[VALOR],tabela_registros[MÊS],$AE$1,tabela_registros[DIA],outtotal3059718395107119131143[[#Headers],[14]],tabela_registros[REGISTRO],DADOS!$N$5)</f>
        <v>0</v>
      </c>
      <c r="S25" s="114" t="n">
        <f aca="false">SUMIFS(tabela_registros[VALOR],tabela_registros[MÊS],$AE$1,tabela_registros[DIA],outtotal3059718395107119131143[[#Headers],[15]],tabela_registros[REGISTRO],DADOS!$N$5)</f>
        <v>0</v>
      </c>
      <c r="T25" s="114" t="n">
        <f aca="false">SUMIFS(tabela_registros[VALOR],tabela_registros[MÊS],$AE$1,tabela_registros[DIA],outtotal3059718395107119131143[[#Headers],[16]],tabela_registros[REGISTRO],DADOS!$N$5)</f>
        <v>0</v>
      </c>
      <c r="U25" s="114" t="n">
        <f aca="false">SUMIFS(tabela_registros[VALOR],tabela_registros[MÊS],$AE$1,tabela_registros[DIA],outtotal3059718395107119131143[[#Headers],[17]],tabela_registros[REGISTRO],DADOS!$N$5)</f>
        <v>0</v>
      </c>
      <c r="V25" s="114" t="n">
        <f aca="false">SUMIFS(tabela_registros[VALOR],tabela_registros[MÊS],$AE$1,tabela_registros[DIA],outtotal3059718395107119131143[[#Headers],[18]],tabela_registros[REGISTRO],DADOS!$N$5)</f>
        <v>0</v>
      </c>
      <c r="W25" s="114" t="n">
        <f aca="false">SUMIFS(tabela_registros[VALOR],tabela_registros[MÊS],$AE$1,tabela_registros[DIA],outtotal3059718395107119131143[[#Headers],[19]],tabela_registros[REGISTRO],DADOS!$N$5)</f>
        <v>0</v>
      </c>
      <c r="X25" s="114" t="n">
        <f aca="false">SUMIFS(tabela_registros[VALOR],tabela_registros[MÊS],$AE$1,tabela_registros[DIA],outtotal3059718395107119131143[[#Headers],[20]],tabela_registros[REGISTRO],DADOS!$N$5)</f>
        <v>0</v>
      </c>
      <c r="Y25" s="114" t="n">
        <f aca="false">SUMIFS(tabela_registros[VALOR],tabela_registros[MÊS],$AE$1,tabela_registros[DIA],outtotal3059718395107119131143[[#Headers],[21]],tabela_registros[REGISTRO],DADOS!$N$5)</f>
        <v>0</v>
      </c>
      <c r="Z25" s="114" t="n">
        <f aca="false">SUMIFS(tabela_registros[VALOR],tabela_registros[MÊS],$AE$1,tabela_registros[DIA],outtotal3059718395107119131143[[#Headers],[22]],tabela_registros[REGISTRO],DADOS!$N$5)</f>
        <v>0</v>
      </c>
      <c r="AA25" s="114" t="n">
        <f aca="false">SUMIFS(tabela_registros[VALOR],tabela_registros[MÊS],$AE$1,tabela_registros[DIA],outtotal3059718395107119131143[[#Headers],[23]],tabela_registros[REGISTRO],DADOS!$N$5)</f>
        <v>0</v>
      </c>
      <c r="AB25" s="114" t="n">
        <f aca="false">SUMIFS(tabela_registros[VALOR],tabela_registros[MÊS],$AE$1,tabela_registros[DIA],outtotal3059718395107119131143[[#Headers],[24]],tabela_registros[REGISTRO],DADOS!$N$5)</f>
        <v>0</v>
      </c>
      <c r="AC25" s="114" t="n">
        <f aca="false">SUMIFS(tabela_registros[VALOR],tabela_registros[MÊS],$AE$1,tabela_registros[DIA],outtotal3059718395107119131143[[#Headers],[25]],tabela_registros[REGISTRO],DADOS!$N$5)</f>
        <v>0</v>
      </c>
      <c r="AD25" s="114" t="n">
        <f aca="false">SUMIFS(tabela_registros[VALOR],tabela_registros[MÊS],$AE$1,tabela_registros[DIA],outtotal3059718395107119131143[[#Headers],[26]],tabela_registros[REGISTRO],DADOS!$N$5)</f>
        <v>0</v>
      </c>
      <c r="AE25" s="114" t="n">
        <f aca="false">SUMIFS(tabela_registros[VALOR],tabela_registros[MÊS],$AE$1,tabela_registros[DIA],outtotal3059718395107119131143[[#Headers],[27]],tabela_registros[REGISTRO],DADOS!$N$5)</f>
        <v>0</v>
      </c>
      <c r="AF25" s="114" t="n">
        <f aca="false">SUMIFS(tabela_registros[VALOR],tabela_registros[MÊS],$AE$1,tabela_registros[DIA],outtotal3059718395107119131143[[#Headers],[28]],tabela_registros[REGISTRO],DADOS!$N$5)</f>
        <v>0</v>
      </c>
      <c r="AG25" s="114" t="n">
        <f aca="false">SUMIFS(tabela_registros[VALOR],tabela_registros[MÊS],$AE$1,tabela_registros[DIA],outtotal3059718395107119131143[[#Headers],[29]],tabela_registros[REGISTRO],DADOS!$N$5)</f>
        <v>0</v>
      </c>
      <c r="AH25" s="114" t="n">
        <f aca="false">SUMIFS(tabela_registros[VALOR],tabela_registros[MÊS],$AE$1,tabela_registros[DIA],outtotal3059718395107119131143[[#Headers],[30]],tabela_registros[REGISTRO],DADOS!$N$5)</f>
        <v>0</v>
      </c>
      <c r="AI25" s="115" t="n">
        <f aca="false">SUMIFS(tabela_registros[VALOR],tabela_registros[MÊS],$AE$1,tabela_registros[DIA],outtotal3059718395107119131143[[#Headers],[31]],tabela_registros[REGISTRO],DADOS!$N$5)</f>
        <v>0</v>
      </c>
      <c r="AJ25" s="116" t="n">
        <f aca="false">SUM(E25:AI25)</f>
        <v>0</v>
      </c>
      <c r="AK25" s="107"/>
    </row>
    <row r="26" customFormat="false" ht="18" hidden="false" customHeight="true" outlineLevel="0" collapsed="false">
      <c r="B26" s="107"/>
      <c r="C26" s="135" t="s">
        <v>14</v>
      </c>
      <c r="D26" s="136"/>
      <c r="E26" s="119" t="n">
        <f aca="false">SUMIFS(tabela_registros[VALOR],tabela_registros[MÊS],$AE$1,tabela_registros[DIA],outtotal3059718395107119131143[[#Headers],[1]],tabela_registros[REGISTRO],DADOS!$N$6)</f>
        <v>0</v>
      </c>
      <c r="F26" s="119" t="n">
        <f aca="false">SUMIFS(tabela_registros[VALOR],tabela_registros[MÊS],$AE$1,tabela_registros[DIA],outtotal3059718395107119131143[[#Headers],[2]],tabela_registros[REGISTRO],DADOS!$N$6)</f>
        <v>0</v>
      </c>
      <c r="G26" s="119" t="n">
        <f aca="false">SUMIFS(tabela_registros[VALOR],tabela_registros[MÊS],$AE$1,tabela_registros[DIA],outtotal3059718395107119131143[[#Headers],[3]],tabela_registros[REGISTRO],DADOS!$N$6)</f>
        <v>0</v>
      </c>
      <c r="H26" s="119" t="n">
        <f aca="false">SUMIFS(tabela_registros[VALOR],tabela_registros[MÊS],$AE$1,tabela_registros[DIA],outtotal3059718395107119131143[[#Headers],[4]],tabela_registros[REGISTRO],DADOS!$N$6)</f>
        <v>0</v>
      </c>
      <c r="I26" s="119" t="n">
        <f aca="false">SUMIFS(tabela_registros[VALOR],tabela_registros[MÊS],$AE$1,tabela_registros[DIA],outtotal3059718395107119131143[[#Headers],[5]],tabela_registros[REGISTRO],DADOS!$N$6)</f>
        <v>0</v>
      </c>
      <c r="J26" s="119" t="n">
        <f aca="false">SUMIFS(tabela_registros[VALOR],tabela_registros[MÊS],$AE$1,tabela_registros[DIA],outtotal3059718395107119131143[[#Headers],[6]],tabela_registros[REGISTRO],DADOS!$N$6)</f>
        <v>0</v>
      </c>
      <c r="K26" s="119" t="n">
        <f aca="false">SUMIFS(tabela_registros[VALOR],tabela_registros[MÊS],$AE$1,tabela_registros[DIA],outtotal3059718395107119131143[[#Headers],[7]],tabela_registros[REGISTRO],DADOS!$N$6)</f>
        <v>0</v>
      </c>
      <c r="L26" s="119" t="n">
        <f aca="false">SUMIFS(tabela_registros[VALOR],tabela_registros[MÊS],$AE$1,tabela_registros[DIA],outtotal3059718395107119131143[[#Headers],[8]],tabela_registros[REGISTRO],DADOS!$N$6)</f>
        <v>0</v>
      </c>
      <c r="M26" s="119" t="n">
        <f aca="false">SUMIFS(tabela_registros[VALOR],tabela_registros[MÊS],$AE$1,tabela_registros[DIA],outtotal3059718395107119131143[[#Headers],[9]],tabela_registros[REGISTRO],DADOS!$N$6)</f>
        <v>0</v>
      </c>
      <c r="N26" s="119" t="n">
        <f aca="false">SUMIFS(tabela_registros[VALOR],tabela_registros[MÊS],$AE$1,tabela_registros[DIA],outtotal3059718395107119131143[[#Headers],[10]],tabela_registros[REGISTRO],DADOS!$N$6)</f>
        <v>0</v>
      </c>
      <c r="O26" s="119" t="n">
        <f aca="false">SUMIFS(tabela_registros[VALOR],tabela_registros[MÊS],$AE$1,tabela_registros[DIA],outtotal3059718395107119131143[[#Headers],[11]],tabela_registros[REGISTRO],DADOS!$N$6)</f>
        <v>0</v>
      </c>
      <c r="P26" s="119" t="n">
        <f aca="false">SUMIFS(tabela_registros[VALOR],tabela_registros[MÊS],$AE$1,tabela_registros[DIA],outtotal3059718395107119131143[[#Headers],[12]],tabela_registros[REGISTRO],DADOS!$N$6)</f>
        <v>0</v>
      </c>
      <c r="Q26" s="119" t="n">
        <f aca="false">SUMIFS(tabela_registros[VALOR],tabela_registros[MÊS],$AE$1,tabela_registros[DIA],outtotal3059718395107119131143[[#Headers],[13]],tabela_registros[REGISTRO],DADOS!$N$6)</f>
        <v>0</v>
      </c>
      <c r="R26" s="119" t="n">
        <f aca="false">SUMIFS(tabela_registros[VALOR],tabela_registros[MÊS],$AE$1,tabela_registros[DIA],outtotal3059718395107119131143[[#Headers],[14]],tabela_registros[REGISTRO],DADOS!$N$6)</f>
        <v>0</v>
      </c>
      <c r="S26" s="119" t="n">
        <f aca="false">SUMIFS(tabela_registros[VALOR],tabela_registros[MÊS],$AE$1,tabela_registros[DIA],outtotal3059718395107119131143[[#Headers],[15]],tabela_registros[REGISTRO],DADOS!$N$6)</f>
        <v>0</v>
      </c>
      <c r="T26" s="119" t="n">
        <f aca="false">SUMIFS(tabela_registros[VALOR],tabela_registros[MÊS],$AE$1,tabela_registros[DIA],outtotal3059718395107119131143[[#Headers],[16]],tabela_registros[REGISTRO],DADOS!$N$6)</f>
        <v>0</v>
      </c>
      <c r="U26" s="119" t="n">
        <f aca="false">SUMIFS(tabela_registros[VALOR],tabela_registros[MÊS],$AE$1,tabela_registros[DIA],outtotal3059718395107119131143[[#Headers],[17]],tabela_registros[REGISTRO],DADOS!$N$6)</f>
        <v>0</v>
      </c>
      <c r="V26" s="119" t="n">
        <f aca="false">SUMIFS(tabela_registros[VALOR],tabela_registros[MÊS],$AE$1,tabela_registros[DIA],outtotal3059718395107119131143[[#Headers],[18]],tabela_registros[REGISTRO],DADOS!$N$6)</f>
        <v>0</v>
      </c>
      <c r="W26" s="119" t="n">
        <f aca="false">SUMIFS(tabela_registros[VALOR],tabela_registros[MÊS],$AE$1,tabela_registros[DIA],outtotal3059718395107119131143[[#Headers],[19]],tabela_registros[REGISTRO],DADOS!$N$6)</f>
        <v>0</v>
      </c>
      <c r="X26" s="119" t="n">
        <f aca="false">SUMIFS(tabela_registros[VALOR],tabela_registros[MÊS],$AE$1,tabela_registros[DIA],outtotal3059718395107119131143[[#Headers],[20]],tabela_registros[REGISTRO],DADOS!$N$6)</f>
        <v>0</v>
      </c>
      <c r="Y26" s="119" t="n">
        <f aca="false">SUMIFS(tabela_registros[VALOR],tabela_registros[MÊS],$AE$1,tabela_registros[DIA],outtotal3059718395107119131143[[#Headers],[21]],tabela_registros[REGISTRO],DADOS!$N$6)</f>
        <v>0</v>
      </c>
      <c r="Z26" s="119" t="n">
        <f aca="false">SUMIFS(tabela_registros[VALOR],tabela_registros[MÊS],$AE$1,tabela_registros[DIA],outtotal3059718395107119131143[[#Headers],[22]],tabela_registros[REGISTRO],DADOS!$N$6)</f>
        <v>0</v>
      </c>
      <c r="AA26" s="119" t="n">
        <f aca="false">SUMIFS(tabela_registros[VALOR],tabela_registros[MÊS],$AE$1,tabela_registros[DIA],outtotal3059718395107119131143[[#Headers],[23]],tabela_registros[REGISTRO],DADOS!$N$6)</f>
        <v>0</v>
      </c>
      <c r="AB26" s="119" t="n">
        <f aca="false">SUMIFS(tabela_registros[VALOR],tabela_registros[MÊS],$AE$1,tabela_registros[DIA],outtotal3059718395107119131143[[#Headers],[24]],tabela_registros[REGISTRO],DADOS!$N$6)</f>
        <v>0</v>
      </c>
      <c r="AC26" s="119" t="n">
        <f aca="false">SUMIFS(tabela_registros[VALOR],tabela_registros[MÊS],$AE$1,tabela_registros[DIA],outtotal3059718395107119131143[[#Headers],[25]],tabela_registros[REGISTRO],DADOS!$N$6)</f>
        <v>0</v>
      </c>
      <c r="AD26" s="119" t="n">
        <f aca="false">SUMIFS(tabela_registros[VALOR],tabela_registros[MÊS],$AE$1,tabela_registros[DIA],outtotal3059718395107119131143[[#Headers],[26]],tabela_registros[REGISTRO],DADOS!$N$6)</f>
        <v>0</v>
      </c>
      <c r="AE26" s="119" t="n">
        <f aca="false">SUMIFS(tabela_registros[VALOR],tabela_registros[MÊS],$AE$1,tabela_registros[DIA],outtotal3059718395107119131143[[#Headers],[27]],tabela_registros[REGISTRO],DADOS!$N$6)</f>
        <v>0</v>
      </c>
      <c r="AF26" s="119" t="n">
        <f aca="false">SUMIFS(tabela_registros[VALOR],tabela_registros[MÊS],$AE$1,tabela_registros[DIA],outtotal3059718395107119131143[[#Headers],[28]],tabela_registros[REGISTRO],DADOS!$N$6)</f>
        <v>0</v>
      </c>
      <c r="AG26" s="119" t="n">
        <f aca="false">SUMIFS(tabela_registros[VALOR],tabela_registros[MÊS],$AE$1,tabela_registros[DIA],outtotal3059718395107119131143[[#Headers],[29]],tabela_registros[REGISTRO],DADOS!$N$6)</f>
        <v>0</v>
      </c>
      <c r="AH26" s="119" t="n">
        <f aca="false">SUMIFS(tabela_registros[VALOR],tabela_registros[MÊS],$AE$1,tabela_registros[DIA],outtotal3059718395107119131143[[#Headers],[30]],tabela_registros[REGISTRO],DADOS!$N$6)</f>
        <v>0</v>
      </c>
      <c r="AI26" s="120" t="n">
        <f aca="false">SUMIFS(tabela_registros[VALOR],tabela_registros[MÊS],$AE$1,tabela_registros[DIA],outtotal3059718395107119131143[[#Headers],[31]],tabela_registros[REGISTRO],DADOS!$N$6)</f>
        <v>0</v>
      </c>
      <c r="AJ26" s="121" t="n">
        <f aca="false">SUM(E26:AI26)</f>
        <v>0</v>
      </c>
      <c r="AK26" s="107"/>
    </row>
    <row r="27" s="122" customFormat="true" ht="21" hidden="false" customHeight="true" outlineLevel="0" collapsed="false">
      <c r="B27" s="123"/>
      <c r="C27" s="124" t="s">
        <v>2</v>
      </c>
      <c r="D27" s="137"/>
      <c r="E27" s="126" t="n">
        <f aca="false">SUM(E25:E26)</f>
        <v>0</v>
      </c>
      <c r="F27" s="127" t="n">
        <f aca="false">SUM(F25:F26)+outinvestir2158708294106118130142[[#This Row],[1]]</f>
        <v>0</v>
      </c>
      <c r="G27" s="127" t="n">
        <f aca="false">SUM(G25:G26)+outinvestir2158708294106118130142[[#This Row],[2]]</f>
        <v>0</v>
      </c>
      <c r="H27" s="127" t="n">
        <f aca="false">SUM(H25:H26)+outinvestir2158708294106118130142[[#This Row],[3]]</f>
        <v>0</v>
      </c>
      <c r="I27" s="127" t="n">
        <f aca="false">SUM(I25:I26)+outinvestir2158708294106118130142[[#This Row],[4]]</f>
        <v>0</v>
      </c>
      <c r="J27" s="127" t="n">
        <f aca="false">SUM(J25:J26)+outinvestir2158708294106118130142[[#This Row],[5]]</f>
        <v>0</v>
      </c>
      <c r="K27" s="127" t="n">
        <f aca="false">SUM(K25:K26)+outinvestir2158708294106118130142[[#This Row],[6]]</f>
        <v>0</v>
      </c>
      <c r="L27" s="127" t="n">
        <f aca="false">SUM(L25:L26)+outinvestir2158708294106118130142[[#This Row],[7]]</f>
        <v>0</v>
      </c>
      <c r="M27" s="127" t="n">
        <f aca="false">SUM(M25:M26)+outinvestir2158708294106118130142[[#This Row],[8]]</f>
        <v>0</v>
      </c>
      <c r="N27" s="127" t="n">
        <f aca="false">SUM(N25:N26)+outinvestir2158708294106118130142[[#This Row],[9]]</f>
        <v>0</v>
      </c>
      <c r="O27" s="127" t="n">
        <f aca="false">SUM(O25:O26)+outinvestir2158708294106118130142[[#This Row],[10]]</f>
        <v>0</v>
      </c>
      <c r="P27" s="127" t="n">
        <f aca="false">SUM(P25:P26)+outinvestir2158708294106118130142[[#This Row],[11]]</f>
        <v>0</v>
      </c>
      <c r="Q27" s="127" t="n">
        <f aca="false">SUM(Q25:Q26)+outinvestir2158708294106118130142[[#This Row],[12]]</f>
        <v>0</v>
      </c>
      <c r="R27" s="127" t="n">
        <f aca="false">SUM(R25:R26)+outinvestir2158708294106118130142[[#This Row],[13]]</f>
        <v>0</v>
      </c>
      <c r="S27" s="127" t="n">
        <f aca="false">SUM(S25:S26)+outinvestir2158708294106118130142[[#This Row],[14]]</f>
        <v>0</v>
      </c>
      <c r="T27" s="127" t="n">
        <f aca="false">SUM(T25:T26)+outinvestir2158708294106118130142[[#This Row],[15]]</f>
        <v>0</v>
      </c>
      <c r="U27" s="127" t="n">
        <f aca="false">SUM(U25:U26)+outinvestir2158708294106118130142[[#This Row],[16]]</f>
        <v>0</v>
      </c>
      <c r="V27" s="127" t="n">
        <f aca="false">SUM(V25:V26)+outinvestir2158708294106118130142[[#This Row],[17]]</f>
        <v>0</v>
      </c>
      <c r="W27" s="127" t="n">
        <f aca="false">SUM(W25:W26)+outinvestir2158708294106118130142[[#This Row],[18]]</f>
        <v>0</v>
      </c>
      <c r="X27" s="127" t="n">
        <f aca="false">SUM(X25:X26)+outinvestir2158708294106118130142[[#This Row],[19]]</f>
        <v>0</v>
      </c>
      <c r="Y27" s="127" t="n">
        <f aca="false">SUM(Y25:Y26)+outinvestir2158708294106118130142[[#This Row],[20]]</f>
        <v>0</v>
      </c>
      <c r="Z27" s="127" t="n">
        <f aca="false">SUM(Z25:Z26)+outinvestir2158708294106118130142[[#This Row],[21]]</f>
        <v>0</v>
      </c>
      <c r="AA27" s="127" t="n">
        <f aca="false">SUM(AA25:AA26)+outinvestir2158708294106118130142[[#This Row],[22]]</f>
        <v>0</v>
      </c>
      <c r="AB27" s="127" t="n">
        <f aca="false">SUM(AB25:AB26)+outinvestir2158708294106118130142[[#This Row],[23]]</f>
        <v>0</v>
      </c>
      <c r="AC27" s="127" t="n">
        <f aca="false">SUM(AC25:AC26)+outinvestir2158708294106118130142[[#This Row],[24]]</f>
        <v>0</v>
      </c>
      <c r="AD27" s="127" t="n">
        <f aca="false">SUM(AD25:AD26)+outinvestir2158708294106118130142[[#This Row],[25]]</f>
        <v>0</v>
      </c>
      <c r="AE27" s="127" t="n">
        <f aca="false">SUM(AE25:AE26)+outinvestir2158708294106118130142[[#This Row],[26]]</f>
        <v>0</v>
      </c>
      <c r="AF27" s="127" t="n">
        <f aca="false">SUM(AF25:AF26)+outinvestir2158708294106118130142[[#This Row],[27]]</f>
        <v>0</v>
      </c>
      <c r="AG27" s="127" t="n">
        <f aca="false">SUM(AG25:AG26)+outinvestir2158708294106118130142[[#This Row],[28]]</f>
        <v>0</v>
      </c>
      <c r="AH27" s="127" t="n">
        <f aca="false">SUM(AH25:AH26)+outinvestir2158708294106118130142[[#This Row],[29]]</f>
        <v>0</v>
      </c>
      <c r="AI27" s="128" t="n">
        <f aca="false">SUM(AI25:AI26)+outinvestir2158708294106118130142[[#This Row],[30]]</f>
        <v>0</v>
      </c>
      <c r="AJ27" s="129" t="n">
        <f aca="false">outinvestir2158708294106118130142[[#This Row],[31]]</f>
        <v>0</v>
      </c>
      <c r="AK27" s="123"/>
    </row>
    <row r="28" customFormat="false" ht="6.75" hidden="true" customHeight="true" outlineLevel="0" collapsed="false">
      <c r="B28" s="107"/>
      <c r="C28" s="78" t="s">
        <v>73</v>
      </c>
      <c r="E28" s="138" t="n">
        <f aca="false">SUBTOTAL(109,outinvestir2158708294106118130142[1])</f>
        <v>0</v>
      </c>
      <c r="F28" s="138" t="n">
        <f aca="false">SUBTOTAL(109,outinvestir2158708294106118130142[2])</f>
        <v>0</v>
      </c>
      <c r="G28" s="138" t="n">
        <f aca="false">SUBTOTAL(109,outinvestir2158708294106118130142[3])</f>
        <v>0</v>
      </c>
      <c r="H28" s="138" t="n">
        <f aca="false">SUBTOTAL(109,outinvestir2158708294106118130142[4])</f>
        <v>0</v>
      </c>
      <c r="I28" s="138" t="n">
        <f aca="false">SUBTOTAL(109,outinvestir2158708294106118130142[5])</f>
        <v>0</v>
      </c>
      <c r="J28" s="138" t="n">
        <f aca="false">SUBTOTAL(109,outinvestir2158708294106118130142[6])</f>
        <v>0</v>
      </c>
      <c r="K28" s="138" t="n">
        <f aca="false">SUBTOTAL(109,outinvestir2158708294106118130142[7])</f>
        <v>0</v>
      </c>
      <c r="L28" s="138" t="n">
        <f aca="false">SUBTOTAL(109,outinvestir2158708294106118130142[8])</f>
        <v>0</v>
      </c>
      <c r="M28" s="138" t="n">
        <f aca="false">SUBTOTAL(109,outinvestir2158708294106118130142[9])</f>
        <v>0</v>
      </c>
      <c r="N28" s="138" t="n">
        <f aca="false">SUBTOTAL(109,outinvestir2158708294106118130142[10])</f>
        <v>0</v>
      </c>
      <c r="O28" s="138" t="n">
        <f aca="false">SUBTOTAL(109,outinvestir2158708294106118130142[11])</f>
        <v>0</v>
      </c>
      <c r="P28" s="138" t="n">
        <f aca="false">SUBTOTAL(109,outinvestir2158708294106118130142[12])</f>
        <v>0</v>
      </c>
      <c r="Q28" s="138" t="n">
        <f aca="false">SUBTOTAL(109,outinvestir2158708294106118130142[13])</f>
        <v>0</v>
      </c>
      <c r="R28" s="138" t="n">
        <f aca="false">SUBTOTAL(109,outinvestir2158708294106118130142[14])</f>
        <v>0</v>
      </c>
      <c r="S28" s="138" t="n">
        <f aca="false">SUBTOTAL(109,outinvestir2158708294106118130142[15])</f>
        <v>0</v>
      </c>
      <c r="T28" s="138" t="n">
        <f aca="false">SUBTOTAL(109,outinvestir2158708294106118130142[16])</f>
        <v>0</v>
      </c>
      <c r="U28" s="138" t="n">
        <f aca="false">SUBTOTAL(109,outinvestir2158708294106118130142[17])</f>
        <v>0</v>
      </c>
      <c r="V28" s="138" t="n">
        <f aca="false">SUBTOTAL(109,outinvestir2158708294106118130142[18])</f>
        <v>0</v>
      </c>
      <c r="W28" s="138" t="n">
        <f aca="false">SUBTOTAL(109,outinvestir2158708294106118130142[19])</f>
        <v>0</v>
      </c>
      <c r="X28" s="138" t="n">
        <f aca="false">SUBTOTAL(109,outinvestir2158708294106118130142[20])</f>
        <v>0</v>
      </c>
      <c r="Y28" s="138" t="n">
        <f aca="false">SUBTOTAL(109,outinvestir2158708294106118130142[21])</f>
        <v>0</v>
      </c>
      <c r="Z28" s="138" t="n">
        <f aca="false">SUBTOTAL(109,outinvestir2158708294106118130142[22])</f>
        <v>0</v>
      </c>
      <c r="AA28" s="138" t="n">
        <f aca="false">SUBTOTAL(109,outinvestir2158708294106118130142[23])</f>
        <v>0</v>
      </c>
      <c r="AB28" s="138" t="n">
        <f aca="false">SUBTOTAL(109,outinvestir2158708294106118130142[24])</f>
        <v>0</v>
      </c>
      <c r="AC28" s="138" t="n">
        <f aca="false">SUBTOTAL(109,outinvestir2158708294106118130142[25])</f>
        <v>0</v>
      </c>
      <c r="AD28" s="138" t="n">
        <f aca="false">SUBTOTAL(109,outinvestir2158708294106118130142[26])</f>
        <v>0</v>
      </c>
      <c r="AE28" s="138" t="n">
        <f aca="false">SUBTOTAL(109,outinvestir2158708294106118130142[27])</f>
        <v>0</v>
      </c>
      <c r="AF28" s="138" t="n">
        <f aca="false">SUBTOTAL(109,outinvestir2158708294106118130142[28])</f>
        <v>0</v>
      </c>
      <c r="AG28" s="138" t="n">
        <f aca="false">SUBTOTAL(109,outinvestir2158708294106118130142[29])</f>
        <v>0</v>
      </c>
      <c r="AH28" s="138" t="n">
        <f aca="false">SUBTOTAL(109,outinvestir2158708294106118130142[30])</f>
        <v>0</v>
      </c>
      <c r="AI28" s="138" t="n">
        <f aca="false">SUBTOTAL(109,outinvestir2158708294106118130142[31])</f>
        <v>0</v>
      </c>
      <c r="AJ28" s="138" t="n">
        <f aca="false">SUBTOTAL(109,outinvestir2158708294106118130142[TOTAL (R$)])</f>
        <v>0</v>
      </c>
      <c r="AK28" s="107"/>
    </row>
    <row r="29" customFormat="false" ht="6.75" hidden="false" customHeight="true" outlineLevel="0" collapsed="false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94"/>
      <c r="AJ29" s="107"/>
      <c r="AK29" s="107"/>
    </row>
    <row r="30" customFormat="false" ht="12.75" hidden="false" customHeight="false" outlineLevel="0" collapsed="false">
      <c r="C30" s="133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</row>
    <row r="31" customFormat="false" ht="12" hidden="false" customHeight="false" outlineLevel="0" collapsed="false">
      <c r="C31" s="133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</row>
    <row r="32" customFormat="false" ht="12" hidden="false" customHeight="false" outlineLevel="0" collapsed="false">
      <c r="C32" s="133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</row>
    <row r="33" customFormat="false" ht="39.75" hidden="false" customHeight="true" outlineLevel="0" collapsed="false">
      <c r="C33" s="133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3" t="s">
        <v>2</v>
      </c>
    </row>
    <row r="34" s="78" customFormat="true" ht="11.25" hidden="false" customHeight="true" outlineLevel="0" collapsed="false">
      <c r="C34" s="101"/>
      <c r="AJ34" s="106" t="s">
        <v>64</v>
      </c>
    </row>
    <row r="35" customFormat="false" ht="6.75" hidden="false" customHeight="true" outlineLevel="0" collapsed="false">
      <c r="B35" s="139"/>
      <c r="C35" s="140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212"/>
      <c r="AK35" s="139"/>
    </row>
    <row r="36" customFormat="false" ht="12.75" hidden="true" customHeight="false" outlineLevel="0" collapsed="false">
      <c r="B36" s="86"/>
      <c r="C36" s="109" t="s">
        <v>74</v>
      </c>
      <c r="D36" s="110" t="s">
        <v>69</v>
      </c>
      <c r="E36" s="110" t="s">
        <v>30</v>
      </c>
      <c r="F36" s="110" t="s">
        <v>31</v>
      </c>
      <c r="G36" s="110" t="s">
        <v>32</v>
      </c>
      <c r="H36" s="110" t="s">
        <v>33</v>
      </c>
      <c r="I36" s="110" t="s">
        <v>34</v>
      </c>
      <c r="J36" s="110" t="s">
        <v>35</v>
      </c>
      <c r="K36" s="110" t="s">
        <v>36</v>
      </c>
      <c r="L36" s="110" t="s">
        <v>37</v>
      </c>
      <c r="M36" s="110" t="s">
        <v>38</v>
      </c>
      <c r="N36" s="110" t="s">
        <v>39</v>
      </c>
      <c r="O36" s="110" t="s">
        <v>40</v>
      </c>
      <c r="P36" s="110" t="s">
        <v>41</v>
      </c>
      <c r="Q36" s="110" t="s">
        <v>81</v>
      </c>
      <c r="R36" s="110" t="s">
        <v>82</v>
      </c>
      <c r="S36" s="110" t="s">
        <v>83</v>
      </c>
      <c r="T36" s="110" t="s">
        <v>84</v>
      </c>
      <c r="U36" s="110" t="s">
        <v>85</v>
      </c>
      <c r="V36" s="110" t="s">
        <v>86</v>
      </c>
      <c r="W36" s="110" t="s">
        <v>87</v>
      </c>
      <c r="X36" s="110" t="s">
        <v>88</v>
      </c>
      <c r="Y36" s="110" t="s">
        <v>89</v>
      </c>
      <c r="Z36" s="110" t="s">
        <v>90</v>
      </c>
      <c r="AA36" s="110" t="s">
        <v>91</v>
      </c>
      <c r="AB36" s="110" t="s">
        <v>92</v>
      </c>
      <c r="AC36" s="110" t="s">
        <v>93</v>
      </c>
      <c r="AD36" s="110" t="s">
        <v>94</v>
      </c>
      <c r="AE36" s="110" t="s">
        <v>95</v>
      </c>
      <c r="AF36" s="110" t="s">
        <v>96</v>
      </c>
      <c r="AG36" s="110" t="s">
        <v>97</v>
      </c>
      <c r="AH36" s="110" t="s">
        <v>98</v>
      </c>
      <c r="AI36" s="110" t="s">
        <v>99</v>
      </c>
      <c r="AJ36" s="142" t="s">
        <v>2</v>
      </c>
      <c r="AK36" s="86" t="s">
        <v>75</v>
      </c>
    </row>
    <row r="37" customFormat="false" ht="19.5" hidden="false" customHeight="true" outlineLevel="0" collapsed="false">
      <c r="B37" s="143"/>
      <c r="C37" s="144" t="str">
        <f aca="false">DADOS!$R$3</f>
        <v>💧 ÁGUA</v>
      </c>
      <c r="D37" s="145" t="str">
        <f aca="false">IF(despesafixaconsolidadoout[[#This Row],[TOTAL]]=0,"",IF(OR(despesafixaconsolidadoout[[#This Row],[TOTAL]]=LARGE($AJ$37:$AJ$50,1),despesafixaconsolidadoout[[#This Row],[TOTAL]]=LARGE($AJ$37:$AJ$50,2),despesafixaconsolidadoout[[#This Row],[TOTAL]]=LARGE($AJ$37:$AJ$50,3),despesafixaconsolidadoout[[#This Row],[TOTAL]]=LARGE($AJ$37:$AJ$50,4),despesafixaconsolidadoout[[#This Row],[TOTAL]]=LARGE($AJ$37:$AJ$50,5)),DADOS!$I$8,""))</f>
        <v/>
      </c>
      <c r="E37" s="146" t="n">
        <f aca="false">SUMIFS(tabela_registros[VALOR],tabela_registros[MÊS],$AE$1,tabela_registros[DIA],outtotal3059718395107119131143[[#Headers],[1]],tabela_registros[REGISTRO],DADOS!$N$4,tabela_registros[TIPO],DADOS!$P$3,tabela_registros[CATEGORIA],despesafixaconsolidadoout[[#This Row],[DESPESA FIXA]])</f>
        <v>0</v>
      </c>
      <c r="F37" s="114" t="n">
        <f aca="false">SUMIFS(tabela_registros[VALOR],tabela_registros[MÊS],$AE$1,tabela_registros[DIA],outtotal3059718395107119131143[[#Headers],[2]],tabela_registros[REGISTRO],DADOS!$N$4,tabela_registros[TIPO],DADOS!$P$3,tabela_registros[CATEGORIA],despesafixaconsolidadoout[[#This Row],[DESPESA FIXA]])</f>
        <v>0</v>
      </c>
      <c r="G37" s="114" t="n">
        <f aca="false">SUMIFS(tabela_registros[VALOR],tabela_registros[MÊS],$AE$1,tabela_registros[DIA],outtotal3059718395107119131143[[#Headers],[3]],tabela_registros[REGISTRO],DADOS!$N$4,tabela_registros[TIPO],DADOS!$P$3,tabela_registros[CATEGORIA],despesafixaconsolidadoout[[#This Row],[DESPESA FIXA]])</f>
        <v>0</v>
      </c>
      <c r="H37" s="114" t="n">
        <f aca="false">SUMIFS(tabela_registros[VALOR],tabela_registros[MÊS],$AE$1,tabela_registros[DIA],outtotal3059718395107119131143[[#Headers],[4]],tabela_registros[REGISTRO],DADOS!$N$4,tabela_registros[TIPO],DADOS!$P$3,tabela_registros[CATEGORIA],despesafixaconsolidadoout[[#This Row],[DESPESA FIXA]])</f>
        <v>0</v>
      </c>
      <c r="I37" s="114" t="n">
        <f aca="false">SUMIFS(tabela_registros[VALOR],tabela_registros[MÊS],$AE$1,tabela_registros[DIA],outtotal3059718395107119131143[[#Headers],[5]],tabela_registros[REGISTRO],DADOS!$N$4,tabela_registros[TIPO],DADOS!$P$3,tabela_registros[CATEGORIA],despesafixaconsolidadoout[[#This Row],[DESPESA FIXA]])</f>
        <v>0</v>
      </c>
      <c r="J37" s="114" t="n">
        <f aca="false">SUMIFS(tabela_registros[VALOR],tabela_registros[MÊS],$AE$1,tabela_registros[DIA],outtotal3059718395107119131143[[#Headers],[6]],tabela_registros[REGISTRO],DADOS!$N$4,tabela_registros[TIPO],DADOS!$P$3,tabela_registros[CATEGORIA],despesafixaconsolidadoout[[#This Row],[DESPESA FIXA]])</f>
        <v>0</v>
      </c>
      <c r="K37" s="114" t="n">
        <f aca="false">SUMIFS(tabela_registros[VALOR],tabela_registros[MÊS],$AE$1,tabela_registros[DIA],outtotal3059718395107119131143[[#Headers],[7]],tabela_registros[REGISTRO],DADOS!$N$4,tabela_registros[TIPO],DADOS!$P$3,tabela_registros[CATEGORIA],despesafixaconsolidadoout[[#This Row],[DESPESA FIXA]])</f>
        <v>0</v>
      </c>
      <c r="L37" s="114" t="n">
        <f aca="false">SUMIFS(tabela_registros[VALOR],tabela_registros[MÊS],$AE$1,tabela_registros[DIA],outtotal3059718395107119131143[[#Headers],[8]],tabela_registros[REGISTRO],DADOS!$N$4,tabela_registros[TIPO],DADOS!$P$3,tabela_registros[CATEGORIA],despesafixaconsolidadoout[[#This Row],[DESPESA FIXA]])</f>
        <v>0</v>
      </c>
      <c r="M37" s="114" t="n">
        <f aca="false">SUMIFS(tabela_registros[VALOR],tabela_registros[MÊS],$AE$1,tabela_registros[DIA],outtotal3059718395107119131143[[#Headers],[9]],tabela_registros[REGISTRO],DADOS!$N$4,tabela_registros[TIPO],DADOS!$P$3,tabela_registros[CATEGORIA],despesafixaconsolidadoout[[#This Row],[DESPESA FIXA]])</f>
        <v>0</v>
      </c>
      <c r="N37" s="114" t="n">
        <f aca="false">SUMIFS(tabela_registros[VALOR],tabela_registros[MÊS],$AE$1,tabela_registros[DIA],outtotal3059718395107119131143[[#Headers],[10]],tabela_registros[REGISTRO],DADOS!$N$4,tabela_registros[TIPO],DADOS!$P$3,tabela_registros[CATEGORIA],despesafixaconsolidadoout[[#This Row],[DESPESA FIXA]])</f>
        <v>0</v>
      </c>
      <c r="O37" s="114" t="n">
        <f aca="false">SUMIFS(tabela_registros[VALOR],tabela_registros[MÊS],$AE$1,tabela_registros[DIA],outtotal3059718395107119131143[[#Headers],[11]],tabela_registros[REGISTRO],DADOS!$N$4,tabela_registros[TIPO],DADOS!$P$3,tabela_registros[CATEGORIA],despesafixaconsolidadoout[[#This Row],[DESPESA FIXA]])</f>
        <v>0</v>
      </c>
      <c r="P37" s="114" t="n">
        <f aca="false">SUMIFS(tabela_registros[VALOR],tabela_registros[MÊS],$AE$1,tabela_registros[DIA],outtotal3059718395107119131143[[#Headers],[12]],tabela_registros[REGISTRO],DADOS!$N$4,tabela_registros[TIPO],DADOS!$P$3,tabela_registros[CATEGORIA],despesafixaconsolidadoout[[#This Row],[DESPESA FIXA]])</f>
        <v>0</v>
      </c>
      <c r="Q37" s="114" t="n">
        <f aca="false">SUMIFS(tabela_registros[VALOR],tabela_registros[MÊS],$AE$1,tabela_registros[DIA],outtotal3059718395107119131143[[#Headers],[13]],tabela_registros[REGISTRO],DADOS!$N$4,tabela_registros[TIPO],DADOS!$P$3,tabela_registros[CATEGORIA],despesafixaconsolidadoout[[#This Row],[DESPESA FIXA]])</f>
        <v>0</v>
      </c>
      <c r="R37" s="114" t="n">
        <f aca="false">SUMIFS(tabela_registros[VALOR],tabela_registros[MÊS],$AE$1,tabela_registros[DIA],outtotal3059718395107119131143[[#Headers],[14]],tabela_registros[REGISTRO],DADOS!$N$4,tabela_registros[TIPO],DADOS!$P$3,tabela_registros[CATEGORIA],despesafixaconsolidadoout[[#This Row],[DESPESA FIXA]])</f>
        <v>0</v>
      </c>
      <c r="S37" s="114" t="n">
        <f aca="false">SUMIFS(tabela_registros[VALOR],tabela_registros[MÊS],$AE$1,tabela_registros[DIA],outtotal3059718395107119131143[[#Headers],[15]],tabela_registros[REGISTRO],DADOS!$N$4,tabela_registros[TIPO],DADOS!$P$3,tabela_registros[CATEGORIA],despesafixaconsolidadoout[[#This Row],[DESPESA FIXA]])</f>
        <v>0</v>
      </c>
      <c r="T37" s="114" t="n">
        <f aca="false">SUMIFS(tabela_registros[VALOR],tabela_registros[MÊS],$AE$1,tabela_registros[DIA],outtotal3059718395107119131143[[#Headers],[16]],tabela_registros[REGISTRO],DADOS!$N$4,tabela_registros[TIPO],DADOS!$P$3,tabela_registros[CATEGORIA],despesafixaconsolidadoout[[#This Row],[DESPESA FIXA]])</f>
        <v>0</v>
      </c>
      <c r="U37" s="114" t="n">
        <f aca="false">SUMIFS(tabela_registros[VALOR],tabela_registros[MÊS],$AE$1,tabela_registros[DIA],outtotal3059718395107119131143[[#Headers],[17]],tabela_registros[REGISTRO],DADOS!$N$4,tabela_registros[TIPO],DADOS!$P$3,tabela_registros[CATEGORIA],despesafixaconsolidadoout[[#This Row],[DESPESA FIXA]])</f>
        <v>0</v>
      </c>
      <c r="V37" s="114" t="n">
        <f aca="false">SUMIFS(tabela_registros[VALOR],tabela_registros[MÊS],$AE$1,tabela_registros[DIA],outtotal3059718395107119131143[[#Headers],[18]],tabela_registros[REGISTRO],DADOS!$N$4,tabela_registros[TIPO],DADOS!$P$3,tabela_registros[CATEGORIA],despesafixaconsolidadoout[[#This Row],[DESPESA FIXA]])</f>
        <v>0</v>
      </c>
      <c r="W37" s="114" t="n">
        <f aca="false">SUMIFS(tabela_registros[VALOR],tabela_registros[MÊS],$AE$1,tabela_registros[DIA],outtotal3059718395107119131143[[#Headers],[19]],tabela_registros[REGISTRO],DADOS!$N$4,tabela_registros[TIPO],DADOS!$P$3,tabela_registros[CATEGORIA],despesafixaconsolidadoout[[#This Row],[DESPESA FIXA]])</f>
        <v>0</v>
      </c>
      <c r="X37" s="114" t="n">
        <f aca="false">SUMIFS(tabela_registros[VALOR],tabela_registros[MÊS],$AE$1,tabela_registros[DIA],outtotal3059718395107119131143[[#Headers],[20]],tabela_registros[REGISTRO],DADOS!$N$4,tabela_registros[TIPO],DADOS!$P$3,tabela_registros[CATEGORIA],despesafixaconsolidadoout[[#This Row],[DESPESA FIXA]])</f>
        <v>0</v>
      </c>
      <c r="Y37" s="114" t="n">
        <f aca="false">SUMIFS(tabela_registros[VALOR],tabela_registros[MÊS],$AE$1,tabela_registros[DIA],outtotal3059718395107119131143[[#Headers],[21]],tabela_registros[REGISTRO],DADOS!$N$4,tabela_registros[TIPO],DADOS!$P$3,tabela_registros[CATEGORIA],despesafixaconsolidadoout[[#This Row],[DESPESA FIXA]])</f>
        <v>0</v>
      </c>
      <c r="Z37" s="114" t="n">
        <f aca="false">SUMIFS(tabela_registros[VALOR],tabela_registros[MÊS],$AE$1,tabela_registros[DIA],outtotal3059718395107119131143[[#Headers],[22]],tabela_registros[REGISTRO],DADOS!$N$4,tabela_registros[TIPO],DADOS!$P$3,tabela_registros[CATEGORIA],despesafixaconsolidadoout[[#This Row],[DESPESA FIXA]])</f>
        <v>0</v>
      </c>
      <c r="AA37" s="114" t="n">
        <f aca="false">SUMIFS(tabela_registros[VALOR],tabela_registros[MÊS],$AE$1,tabela_registros[DIA],outtotal3059718395107119131143[[#Headers],[23]],tabela_registros[REGISTRO],DADOS!$N$4,tabela_registros[TIPO],DADOS!$P$3,tabela_registros[CATEGORIA],despesafixaconsolidadoout[[#This Row],[DESPESA FIXA]])</f>
        <v>0</v>
      </c>
      <c r="AB37" s="114" t="n">
        <f aca="false">SUMIFS(tabela_registros[VALOR],tabela_registros[MÊS],$AE$1,tabela_registros[DIA],outtotal3059718395107119131143[[#Headers],[24]],tabela_registros[REGISTRO],DADOS!$N$4,tabela_registros[TIPO],DADOS!$P$3,tabela_registros[CATEGORIA],despesafixaconsolidadoout[[#This Row],[DESPESA FIXA]])</f>
        <v>0</v>
      </c>
      <c r="AC37" s="114" t="n">
        <f aca="false">SUMIFS(tabela_registros[VALOR],tabela_registros[MÊS],$AE$1,tabela_registros[DIA],outtotal3059718395107119131143[[#Headers],[25]],tabela_registros[REGISTRO],DADOS!$N$4,tabela_registros[TIPO],DADOS!$P$3,tabela_registros[CATEGORIA],despesafixaconsolidadoout[[#This Row],[DESPESA FIXA]])</f>
        <v>0</v>
      </c>
      <c r="AD37" s="114" t="n">
        <f aca="false">SUMIFS(tabela_registros[VALOR],tabela_registros[MÊS],$AE$1,tabela_registros[DIA],outtotal3059718395107119131143[[#Headers],[26]],tabela_registros[REGISTRO],DADOS!$N$4,tabela_registros[TIPO],DADOS!$P$3,tabela_registros[CATEGORIA],despesafixaconsolidadoout[[#This Row],[DESPESA FIXA]])</f>
        <v>0</v>
      </c>
      <c r="AE37" s="114" t="n">
        <f aca="false">SUMIFS(tabela_registros[VALOR],tabela_registros[MÊS],$AE$1,tabela_registros[DIA],outtotal3059718395107119131143[[#Headers],[27]],tabela_registros[REGISTRO],DADOS!$N$4,tabela_registros[TIPO],DADOS!$P$3,tabela_registros[CATEGORIA],despesafixaconsolidadoout[[#This Row],[DESPESA FIXA]])</f>
        <v>0</v>
      </c>
      <c r="AF37" s="114" t="n">
        <f aca="false">SUMIFS(tabela_registros[VALOR],tabela_registros[MÊS],$AE$1,tabela_registros[DIA],outtotal3059718395107119131143[[#Headers],[28]],tabela_registros[REGISTRO],DADOS!$N$4,tabela_registros[TIPO],DADOS!$P$3,tabela_registros[CATEGORIA],despesafixaconsolidadoout[[#This Row],[DESPESA FIXA]])</f>
        <v>0</v>
      </c>
      <c r="AG37" s="114" t="n">
        <f aca="false">SUMIFS(tabela_registros[VALOR],tabela_registros[MÊS],$AE$1,tabela_registros[DIA],outtotal3059718395107119131143[[#Headers],[29]],tabela_registros[REGISTRO],DADOS!$N$4,tabela_registros[TIPO],DADOS!$P$3,tabela_registros[CATEGORIA],despesafixaconsolidadoout[[#This Row],[DESPESA FIXA]])</f>
        <v>0</v>
      </c>
      <c r="AH37" s="114" t="n">
        <f aca="false">SUMIFS(tabela_registros[VALOR],tabela_registros[MÊS],$AE$1,tabela_registros[DIA],outtotal3059718395107119131143[[#Headers],[30]],tabela_registros[REGISTRO],DADOS!$N$4,tabela_registros[TIPO],DADOS!$P$3,tabela_registros[CATEGORIA],despesafixaconsolidadoout[[#This Row],[DESPESA FIXA]])</f>
        <v>0</v>
      </c>
      <c r="AI37" s="216" t="n">
        <f aca="false">SUMIFS(tabela_registros[VALOR],tabela_registros[MÊS],$AE$1,tabela_registros[DIA],outtotal3059718395107119131143[[#Headers],[31]],tabela_registros[REGISTRO],DADOS!$N$4,tabela_registros[TIPO],DADOS!$P$3,tabela_registros[CATEGORIA],despesafixaconsolidadoout[[#This Row],[DESPESA FIXA]])</f>
        <v>0</v>
      </c>
      <c r="AJ37" s="147" t="n">
        <f aca="false">SUM(despesafixaconsolidadoout[[#This Row],[1]:[31]])</f>
        <v>0</v>
      </c>
      <c r="AK37" s="143"/>
    </row>
    <row r="38" customFormat="false" ht="18" hidden="false" customHeight="true" outlineLevel="0" collapsed="false">
      <c r="B38" s="143"/>
      <c r="C38" s="144" t="str">
        <f aca="false">DADOS!$R$4</f>
        <v>🐶 ANIMAIS DE ESTIMAÇÃO</v>
      </c>
      <c r="D38" s="145" t="str">
        <f aca="false">IF(despesafixaconsolidadoout[[#This Row],[TOTAL]]=0,"",IF(OR(despesafixaconsolidadoout[[#This Row],[TOTAL]]=LARGE($AJ$37:$AJ$50,1),despesafixaconsolidadoout[[#This Row],[TOTAL]]=LARGE($AJ$37:$AJ$50,2),despesafixaconsolidadoout[[#This Row],[TOTAL]]=LARGE($AJ$37:$AJ$50,3),despesafixaconsolidadoout[[#This Row],[TOTAL]]=LARGE($AJ$37:$AJ$50,4),despesafixaconsolidadoout[[#This Row],[TOTAL]]=LARGE($AJ$37:$AJ$50,5)),DADOS!$I$8,""))</f>
        <v/>
      </c>
      <c r="E38" s="148" t="n">
        <f aca="false">SUMIFS(tabela_registros[VALOR],tabela_registros[MÊS],$AE$1,tabela_registros[DIA],outtotal3059718395107119131143[[#Headers],[1]],tabela_registros[REGISTRO],DADOS!$N$4,tabela_registros[TIPO],DADOS!$P$3,tabela_registros[CATEGORIA],despesafixaconsolidadoout[[#This Row],[DESPESA FIXA]])</f>
        <v>0</v>
      </c>
      <c r="F38" s="119" t="n">
        <f aca="false">SUMIFS(tabela_registros[VALOR],tabela_registros[MÊS],$AE$1,tabela_registros[DIA],outtotal3059718395107119131143[[#Headers],[2]],tabela_registros[REGISTRO],DADOS!$N$4,tabela_registros[TIPO],DADOS!$P$3,tabela_registros[CATEGORIA],despesafixaconsolidadoout[[#This Row],[DESPESA FIXA]])</f>
        <v>0</v>
      </c>
      <c r="G38" s="119" t="n">
        <f aca="false">SUMIFS(tabela_registros[VALOR],tabela_registros[MÊS],$AE$1,tabela_registros[DIA],outtotal3059718395107119131143[[#Headers],[3]],tabela_registros[REGISTRO],DADOS!$N$4,tabela_registros[TIPO],DADOS!$P$3,tabela_registros[CATEGORIA],despesafixaconsolidadoout[[#This Row],[DESPESA FIXA]])</f>
        <v>0</v>
      </c>
      <c r="H38" s="119" t="n">
        <f aca="false">SUMIFS(tabela_registros[VALOR],tabela_registros[MÊS],$AE$1,tabela_registros[DIA],outtotal3059718395107119131143[[#Headers],[4]],tabela_registros[REGISTRO],DADOS!$N$4,tabela_registros[TIPO],DADOS!$P$3,tabela_registros[CATEGORIA],despesafixaconsolidadoout[[#This Row],[DESPESA FIXA]])</f>
        <v>0</v>
      </c>
      <c r="I38" s="119" t="n">
        <f aca="false">SUMIFS(tabela_registros[VALOR],tabela_registros[MÊS],$AE$1,tabela_registros[DIA],outtotal3059718395107119131143[[#Headers],[5]],tabela_registros[REGISTRO],DADOS!$N$4,tabela_registros[TIPO],DADOS!$P$3,tabela_registros[CATEGORIA],despesafixaconsolidadoout[[#This Row],[DESPESA FIXA]])</f>
        <v>0</v>
      </c>
      <c r="J38" s="119" t="n">
        <f aca="false">SUMIFS(tabela_registros[VALOR],tabela_registros[MÊS],$AE$1,tabela_registros[DIA],outtotal3059718395107119131143[[#Headers],[6]],tabela_registros[REGISTRO],DADOS!$N$4,tabela_registros[TIPO],DADOS!$P$3,tabela_registros[CATEGORIA],despesafixaconsolidadoout[[#This Row],[DESPESA FIXA]])</f>
        <v>0</v>
      </c>
      <c r="K38" s="119" t="n">
        <f aca="false">SUMIFS(tabela_registros[VALOR],tabela_registros[MÊS],$AE$1,tabela_registros[DIA],outtotal3059718395107119131143[[#Headers],[7]],tabela_registros[REGISTRO],DADOS!$N$4,tabela_registros[TIPO],DADOS!$P$3,tabela_registros[CATEGORIA],despesafixaconsolidadoout[[#This Row],[DESPESA FIXA]])</f>
        <v>0</v>
      </c>
      <c r="L38" s="119" t="n">
        <f aca="false">SUMIFS(tabela_registros[VALOR],tabela_registros[MÊS],$AE$1,tabela_registros[DIA],outtotal3059718395107119131143[[#Headers],[8]],tabela_registros[REGISTRO],DADOS!$N$4,tabela_registros[TIPO],DADOS!$P$3,tabela_registros[CATEGORIA],despesafixaconsolidadoout[[#This Row],[DESPESA FIXA]])</f>
        <v>0</v>
      </c>
      <c r="M38" s="119" t="n">
        <f aca="false">SUMIFS(tabela_registros[VALOR],tabela_registros[MÊS],$AE$1,tabela_registros[DIA],outtotal3059718395107119131143[[#Headers],[9]],tabela_registros[REGISTRO],DADOS!$N$4,tabela_registros[TIPO],DADOS!$P$3,tabela_registros[CATEGORIA],despesafixaconsolidadoout[[#This Row],[DESPESA FIXA]])</f>
        <v>0</v>
      </c>
      <c r="N38" s="119" t="n">
        <f aca="false">SUMIFS(tabela_registros[VALOR],tabela_registros[MÊS],$AE$1,tabela_registros[DIA],outtotal3059718395107119131143[[#Headers],[10]],tabela_registros[REGISTRO],DADOS!$N$4,tabela_registros[TIPO],DADOS!$P$3,tabela_registros[CATEGORIA],despesafixaconsolidadoout[[#This Row],[DESPESA FIXA]])</f>
        <v>0</v>
      </c>
      <c r="O38" s="119" t="n">
        <f aca="false">SUMIFS(tabela_registros[VALOR],tabela_registros[MÊS],$AE$1,tabela_registros[DIA],outtotal3059718395107119131143[[#Headers],[11]],tabela_registros[REGISTRO],DADOS!$N$4,tabela_registros[TIPO],DADOS!$P$3,tabela_registros[CATEGORIA],despesafixaconsolidadoout[[#This Row],[DESPESA FIXA]])</f>
        <v>0</v>
      </c>
      <c r="P38" s="119" t="n">
        <f aca="false">SUMIFS(tabela_registros[VALOR],tabela_registros[MÊS],$AE$1,tabela_registros[DIA],outtotal3059718395107119131143[[#Headers],[12]],tabela_registros[REGISTRO],DADOS!$N$4,tabela_registros[TIPO],DADOS!$P$3,tabela_registros[CATEGORIA],despesafixaconsolidadoout[[#This Row],[DESPESA FIXA]])</f>
        <v>0</v>
      </c>
      <c r="Q38" s="119" t="n">
        <f aca="false">SUMIFS(tabela_registros[VALOR],tabela_registros[MÊS],$AE$1,tabela_registros[DIA],outtotal3059718395107119131143[[#Headers],[13]],tabela_registros[REGISTRO],DADOS!$N$4,tabela_registros[TIPO],DADOS!$P$3,tabela_registros[CATEGORIA],despesafixaconsolidadoout[[#This Row],[DESPESA FIXA]])</f>
        <v>0</v>
      </c>
      <c r="R38" s="119" t="n">
        <f aca="false">SUMIFS(tabela_registros[VALOR],tabela_registros[MÊS],$AE$1,tabela_registros[DIA],outtotal3059718395107119131143[[#Headers],[14]],tabela_registros[REGISTRO],DADOS!$N$4,tabela_registros[TIPO],DADOS!$P$3,tabela_registros[CATEGORIA],despesafixaconsolidadoout[[#This Row],[DESPESA FIXA]])</f>
        <v>0</v>
      </c>
      <c r="S38" s="119" t="n">
        <f aca="false">SUMIFS(tabela_registros[VALOR],tabela_registros[MÊS],$AE$1,tabela_registros[DIA],outtotal3059718395107119131143[[#Headers],[15]],tabela_registros[REGISTRO],DADOS!$N$4,tabela_registros[TIPO],DADOS!$P$3,tabela_registros[CATEGORIA],despesafixaconsolidadoout[[#This Row],[DESPESA FIXA]])</f>
        <v>0</v>
      </c>
      <c r="T38" s="119" t="n">
        <f aca="false">SUMIFS(tabela_registros[VALOR],tabela_registros[MÊS],$AE$1,tabela_registros[DIA],outtotal3059718395107119131143[[#Headers],[16]],tabela_registros[REGISTRO],DADOS!$N$4,tabela_registros[TIPO],DADOS!$P$3,tabela_registros[CATEGORIA],despesafixaconsolidadoout[[#This Row],[DESPESA FIXA]])</f>
        <v>0</v>
      </c>
      <c r="U38" s="119" t="n">
        <f aca="false">SUMIFS(tabela_registros[VALOR],tabela_registros[MÊS],$AE$1,tabela_registros[DIA],outtotal3059718395107119131143[[#Headers],[17]],tabela_registros[REGISTRO],DADOS!$N$4,tabela_registros[TIPO],DADOS!$P$3,tabela_registros[CATEGORIA],despesafixaconsolidadoout[[#This Row],[DESPESA FIXA]])</f>
        <v>0</v>
      </c>
      <c r="V38" s="119" t="n">
        <f aca="false">SUMIFS(tabela_registros[VALOR],tabela_registros[MÊS],$AE$1,tabela_registros[DIA],outtotal3059718395107119131143[[#Headers],[18]],tabela_registros[REGISTRO],DADOS!$N$4,tabela_registros[TIPO],DADOS!$P$3,tabela_registros[CATEGORIA],despesafixaconsolidadoout[[#This Row],[DESPESA FIXA]])</f>
        <v>0</v>
      </c>
      <c r="W38" s="119" t="n">
        <f aca="false">SUMIFS(tabela_registros[VALOR],tabela_registros[MÊS],$AE$1,tabela_registros[DIA],outtotal3059718395107119131143[[#Headers],[19]],tabela_registros[REGISTRO],DADOS!$N$4,tabela_registros[TIPO],DADOS!$P$3,tabela_registros[CATEGORIA],despesafixaconsolidadoout[[#This Row],[DESPESA FIXA]])</f>
        <v>0</v>
      </c>
      <c r="X38" s="119" t="n">
        <f aca="false">SUMIFS(tabela_registros[VALOR],tabela_registros[MÊS],$AE$1,tabela_registros[DIA],outtotal3059718395107119131143[[#Headers],[20]],tabela_registros[REGISTRO],DADOS!$N$4,tabela_registros[TIPO],DADOS!$P$3,tabela_registros[CATEGORIA],despesafixaconsolidadoout[[#This Row],[DESPESA FIXA]])</f>
        <v>0</v>
      </c>
      <c r="Y38" s="119" t="n">
        <f aca="false">SUMIFS(tabela_registros[VALOR],tabela_registros[MÊS],$AE$1,tabela_registros[DIA],outtotal3059718395107119131143[[#Headers],[21]],tabela_registros[REGISTRO],DADOS!$N$4,tabela_registros[TIPO],DADOS!$P$3,tabela_registros[CATEGORIA],despesafixaconsolidadoout[[#This Row],[DESPESA FIXA]])</f>
        <v>0</v>
      </c>
      <c r="Z38" s="119" t="n">
        <f aca="false">SUMIFS(tabela_registros[VALOR],tabela_registros[MÊS],$AE$1,tabela_registros[DIA],outtotal3059718395107119131143[[#Headers],[22]],tabela_registros[REGISTRO],DADOS!$N$4,tabela_registros[TIPO],DADOS!$P$3,tabela_registros[CATEGORIA],despesafixaconsolidadoout[[#This Row],[DESPESA FIXA]])</f>
        <v>0</v>
      </c>
      <c r="AA38" s="119" t="n">
        <f aca="false">SUMIFS(tabela_registros[VALOR],tabela_registros[MÊS],$AE$1,tabela_registros[DIA],outtotal3059718395107119131143[[#Headers],[23]],tabela_registros[REGISTRO],DADOS!$N$4,tabela_registros[TIPO],DADOS!$P$3,tabela_registros[CATEGORIA],despesafixaconsolidadoout[[#This Row],[DESPESA FIXA]])</f>
        <v>0</v>
      </c>
      <c r="AB38" s="119" t="n">
        <f aca="false">SUMIFS(tabela_registros[VALOR],tabela_registros[MÊS],$AE$1,tabela_registros[DIA],outtotal3059718395107119131143[[#Headers],[24]],tabela_registros[REGISTRO],DADOS!$N$4,tabela_registros[TIPO],DADOS!$P$3,tabela_registros[CATEGORIA],despesafixaconsolidadoout[[#This Row],[DESPESA FIXA]])</f>
        <v>0</v>
      </c>
      <c r="AC38" s="119" t="n">
        <f aca="false">SUMIFS(tabela_registros[VALOR],tabela_registros[MÊS],$AE$1,tabela_registros[DIA],outtotal3059718395107119131143[[#Headers],[25]],tabela_registros[REGISTRO],DADOS!$N$4,tabela_registros[TIPO],DADOS!$P$3,tabela_registros[CATEGORIA],despesafixaconsolidadoout[[#This Row],[DESPESA FIXA]])</f>
        <v>0</v>
      </c>
      <c r="AD38" s="119" t="n">
        <f aca="false">SUMIFS(tabela_registros[VALOR],tabela_registros[MÊS],$AE$1,tabela_registros[DIA],outtotal3059718395107119131143[[#Headers],[26]],tabela_registros[REGISTRO],DADOS!$N$4,tabela_registros[TIPO],DADOS!$P$3,tabela_registros[CATEGORIA],despesafixaconsolidadoout[[#This Row],[DESPESA FIXA]])</f>
        <v>0</v>
      </c>
      <c r="AE38" s="119" t="n">
        <f aca="false">SUMIFS(tabela_registros[VALOR],tabela_registros[MÊS],$AE$1,tabela_registros[DIA],outtotal3059718395107119131143[[#Headers],[27]],tabela_registros[REGISTRO],DADOS!$N$4,tabela_registros[TIPO],DADOS!$P$3,tabela_registros[CATEGORIA],despesafixaconsolidadoout[[#This Row],[DESPESA FIXA]])</f>
        <v>0</v>
      </c>
      <c r="AF38" s="119" t="n">
        <f aca="false">SUMIFS(tabela_registros[VALOR],tabela_registros[MÊS],$AE$1,tabela_registros[DIA],outtotal3059718395107119131143[[#Headers],[28]],tabela_registros[REGISTRO],DADOS!$N$4,tabela_registros[TIPO],DADOS!$P$3,tabela_registros[CATEGORIA],despesafixaconsolidadoout[[#This Row],[DESPESA FIXA]])</f>
        <v>0</v>
      </c>
      <c r="AG38" s="119" t="n">
        <f aca="false">SUMIFS(tabela_registros[VALOR],tabela_registros[MÊS],$AE$1,tabela_registros[DIA],outtotal3059718395107119131143[[#Headers],[29]],tabela_registros[REGISTRO],DADOS!$N$4,tabela_registros[TIPO],DADOS!$P$3,tabela_registros[CATEGORIA],despesafixaconsolidadoout[[#This Row],[DESPESA FIXA]])</f>
        <v>0</v>
      </c>
      <c r="AH38" s="119" t="n">
        <f aca="false">SUMIFS(tabela_registros[VALOR],tabela_registros[MÊS],$AE$1,tabela_registros[DIA],outtotal3059718395107119131143[[#Headers],[30]],tabela_registros[REGISTRO],DADOS!$N$4,tabela_registros[TIPO],DADOS!$P$3,tabela_registros[CATEGORIA],despesafixaconsolidadoout[[#This Row],[DESPESA FIXA]])</f>
        <v>0</v>
      </c>
      <c r="AI38" s="217" t="n">
        <f aca="false">SUMIFS(tabela_registros[VALOR],tabela_registros[MÊS],$AE$1,tabela_registros[DIA],outtotal3059718395107119131143[[#Headers],[31]],tabela_registros[REGISTRO],DADOS!$N$4,tabela_registros[TIPO],DADOS!$P$3,tabela_registros[CATEGORIA],despesafixaconsolidadoout[[#This Row],[DESPESA FIXA]])</f>
        <v>0</v>
      </c>
      <c r="AJ38" s="149" t="n">
        <f aca="false">SUM(despesafixaconsolidadoout[[#This Row],[1]:[31]])</f>
        <v>0</v>
      </c>
      <c r="AK38" s="143"/>
    </row>
    <row r="39" customFormat="false" ht="18" hidden="false" customHeight="true" outlineLevel="0" collapsed="false">
      <c r="B39" s="143"/>
      <c r="C39" s="144" t="str">
        <f aca="false">DADOS!$R$5</f>
        <v>🔖 ASSINATURAS E SERVIÇOS</v>
      </c>
      <c r="D39" s="145" t="str">
        <f aca="false">IF(despesafixaconsolidadoout[[#This Row],[TOTAL]]=0,"",IF(OR(despesafixaconsolidadoout[[#This Row],[TOTAL]]=LARGE($AJ$37:$AJ$50,1),despesafixaconsolidadoout[[#This Row],[TOTAL]]=LARGE($AJ$37:$AJ$50,2),despesafixaconsolidadoout[[#This Row],[TOTAL]]=LARGE($AJ$37:$AJ$50,3),despesafixaconsolidadoout[[#This Row],[TOTAL]]=LARGE($AJ$37:$AJ$50,4),despesafixaconsolidadoout[[#This Row],[TOTAL]]=LARGE($AJ$37:$AJ$50,5)),DADOS!$I$8,""))</f>
        <v/>
      </c>
      <c r="E39" s="148" t="n">
        <f aca="false">SUMIFS(tabela_registros[VALOR],tabela_registros[MÊS],$AE$1,tabela_registros[DIA],outtotal3059718395107119131143[[#Headers],[1]],tabela_registros[REGISTRO],DADOS!$N$4,tabela_registros[TIPO],DADOS!$P$3,tabela_registros[CATEGORIA],despesafixaconsolidadoout[[#This Row],[DESPESA FIXA]])</f>
        <v>0</v>
      </c>
      <c r="F39" s="119" t="n">
        <f aca="false">SUMIFS(tabela_registros[VALOR],tabela_registros[MÊS],$AE$1,tabela_registros[DIA],outtotal3059718395107119131143[[#Headers],[2]],tabela_registros[REGISTRO],DADOS!$N$4,tabela_registros[TIPO],DADOS!$P$3,tabela_registros[CATEGORIA],despesafixaconsolidadoout[[#This Row],[DESPESA FIXA]])</f>
        <v>0</v>
      </c>
      <c r="G39" s="119" t="n">
        <f aca="false">SUMIFS(tabela_registros[VALOR],tabela_registros[MÊS],$AE$1,tabela_registros[DIA],outtotal3059718395107119131143[[#Headers],[3]],tabela_registros[REGISTRO],DADOS!$N$4,tabela_registros[TIPO],DADOS!$P$3,tabela_registros[CATEGORIA],despesafixaconsolidadoout[[#This Row],[DESPESA FIXA]])</f>
        <v>0</v>
      </c>
      <c r="H39" s="119" t="n">
        <f aca="false">SUMIFS(tabela_registros[VALOR],tabela_registros[MÊS],$AE$1,tabela_registros[DIA],outtotal3059718395107119131143[[#Headers],[4]],tabela_registros[REGISTRO],DADOS!$N$4,tabela_registros[TIPO],DADOS!$P$3,tabela_registros[CATEGORIA],despesafixaconsolidadoout[[#This Row],[DESPESA FIXA]])</f>
        <v>0</v>
      </c>
      <c r="I39" s="119" t="n">
        <f aca="false">SUMIFS(tabela_registros[VALOR],tabela_registros[MÊS],$AE$1,tabela_registros[DIA],outtotal3059718395107119131143[[#Headers],[5]],tabela_registros[REGISTRO],DADOS!$N$4,tabela_registros[TIPO],DADOS!$P$3,tabela_registros[CATEGORIA],despesafixaconsolidadoout[[#This Row],[DESPESA FIXA]])</f>
        <v>0</v>
      </c>
      <c r="J39" s="119" t="n">
        <f aca="false">SUMIFS(tabela_registros[VALOR],tabela_registros[MÊS],$AE$1,tabela_registros[DIA],outtotal3059718395107119131143[[#Headers],[6]],tabela_registros[REGISTRO],DADOS!$N$4,tabela_registros[TIPO],DADOS!$P$3,tabela_registros[CATEGORIA],despesafixaconsolidadoout[[#This Row],[DESPESA FIXA]])</f>
        <v>0</v>
      </c>
      <c r="K39" s="119" t="n">
        <f aca="false">SUMIFS(tabela_registros[VALOR],tabela_registros[MÊS],$AE$1,tabela_registros[DIA],outtotal3059718395107119131143[[#Headers],[7]],tabela_registros[REGISTRO],DADOS!$N$4,tabela_registros[TIPO],DADOS!$P$3,tabela_registros[CATEGORIA],despesafixaconsolidadoout[[#This Row],[DESPESA FIXA]])</f>
        <v>0</v>
      </c>
      <c r="L39" s="119" t="n">
        <f aca="false">SUMIFS(tabela_registros[VALOR],tabela_registros[MÊS],$AE$1,tabela_registros[DIA],outtotal3059718395107119131143[[#Headers],[8]],tabela_registros[REGISTRO],DADOS!$N$4,tabela_registros[TIPO],DADOS!$P$3,tabela_registros[CATEGORIA],despesafixaconsolidadoout[[#This Row],[DESPESA FIXA]])</f>
        <v>0</v>
      </c>
      <c r="M39" s="119" t="n">
        <f aca="false">SUMIFS(tabela_registros[VALOR],tabela_registros[MÊS],$AE$1,tabela_registros[DIA],outtotal3059718395107119131143[[#Headers],[9]],tabela_registros[REGISTRO],DADOS!$N$4,tabela_registros[TIPO],DADOS!$P$3,tabela_registros[CATEGORIA],despesafixaconsolidadoout[[#This Row],[DESPESA FIXA]])</f>
        <v>0</v>
      </c>
      <c r="N39" s="119" t="n">
        <f aca="false">SUMIFS(tabela_registros[VALOR],tabela_registros[MÊS],$AE$1,tabela_registros[DIA],outtotal3059718395107119131143[[#Headers],[10]],tabela_registros[REGISTRO],DADOS!$N$4,tabela_registros[TIPO],DADOS!$P$3,tabela_registros[CATEGORIA],despesafixaconsolidadoout[[#This Row],[DESPESA FIXA]])</f>
        <v>0</v>
      </c>
      <c r="O39" s="119" t="n">
        <f aca="false">SUMIFS(tabela_registros[VALOR],tabela_registros[MÊS],$AE$1,tabela_registros[DIA],outtotal3059718395107119131143[[#Headers],[11]],tabela_registros[REGISTRO],DADOS!$N$4,tabela_registros[TIPO],DADOS!$P$3,tabela_registros[CATEGORIA],despesafixaconsolidadoout[[#This Row],[DESPESA FIXA]])</f>
        <v>0</v>
      </c>
      <c r="P39" s="119" t="n">
        <f aca="false">SUMIFS(tabela_registros[VALOR],tabela_registros[MÊS],$AE$1,tabela_registros[DIA],outtotal3059718395107119131143[[#Headers],[12]],tabela_registros[REGISTRO],DADOS!$N$4,tabela_registros[TIPO],DADOS!$P$3,tabela_registros[CATEGORIA],despesafixaconsolidadoout[[#This Row],[DESPESA FIXA]])</f>
        <v>0</v>
      </c>
      <c r="Q39" s="119" t="n">
        <f aca="false">SUMIFS(tabela_registros[VALOR],tabela_registros[MÊS],$AE$1,tabela_registros[DIA],outtotal3059718395107119131143[[#Headers],[13]],tabela_registros[REGISTRO],DADOS!$N$4,tabela_registros[TIPO],DADOS!$P$3,tabela_registros[CATEGORIA],despesafixaconsolidadoout[[#This Row],[DESPESA FIXA]])</f>
        <v>0</v>
      </c>
      <c r="R39" s="119" t="n">
        <f aca="false">SUMIFS(tabela_registros[VALOR],tabela_registros[MÊS],$AE$1,tabela_registros[DIA],outtotal3059718395107119131143[[#Headers],[14]],tabela_registros[REGISTRO],DADOS!$N$4,tabela_registros[TIPO],DADOS!$P$3,tabela_registros[CATEGORIA],despesafixaconsolidadoout[[#This Row],[DESPESA FIXA]])</f>
        <v>0</v>
      </c>
      <c r="S39" s="119" t="n">
        <f aca="false">SUMIFS(tabela_registros[VALOR],tabela_registros[MÊS],$AE$1,tabela_registros[DIA],outtotal3059718395107119131143[[#Headers],[15]],tabela_registros[REGISTRO],DADOS!$N$4,tabela_registros[TIPO],DADOS!$P$3,tabela_registros[CATEGORIA],despesafixaconsolidadoout[[#This Row],[DESPESA FIXA]])</f>
        <v>0</v>
      </c>
      <c r="T39" s="119" t="n">
        <f aca="false">SUMIFS(tabela_registros[VALOR],tabela_registros[MÊS],$AE$1,tabela_registros[DIA],outtotal3059718395107119131143[[#Headers],[16]],tabela_registros[REGISTRO],DADOS!$N$4,tabela_registros[TIPO],DADOS!$P$3,tabela_registros[CATEGORIA],despesafixaconsolidadoout[[#This Row],[DESPESA FIXA]])</f>
        <v>0</v>
      </c>
      <c r="U39" s="119" t="n">
        <f aca="false">SUMIFS(tabela_registros[VALOR],tabela_registros[MÊS],$AE$1,tabela_registros[DIA],outtotal3059718395107119131143[[#Headers],[17]],tabela_registros[REGISTRO],DADOS!$N$4,tabela_registros[TIPO],DADOS!$P$3,tabela_registros[CATEGORIA],despesafixaconsolidadoout[[#This Row],[DESPESA FIXA]])</f>
        <v>0</v>
      </c>
      <c r="V39" s="119" t="n">
        <f aca="false">SUMIFS(tabela_registros[VALOR],tabela_registros[MÊS],$AE$1,tabela_registros[DIA],outtotal3059718395107119131143[[#Headers],[18]],tabela_registros[REGISTRO],DADOS!$N$4,tabela_registros[TIPO],DADOS!$P$3,tabela_registros[CATEGORIA],despesafixaconsolidadoout[[#This Row],[DESPESA FIXA]])</f>
        <v>0</v>
      </c>
      <c r="W39" s="119" t="n">
        <f aca="false">SUMIFS(tabela_registros[VALOR],tabela_registros[MÊS],$AE$1,tabela_registros[DIA],outtotal3059718395107119131143[[#Headers],[19]],tabela_registros[REGISTRO],DADOS!$N$4,tabela_registros[TIPO],DADOS!$P$3,tabela_registros[CATEGORIA],despesafixaconsolidadoout[[#This Row],[DESPESA FIXA]])</f>
        <v>0</v>
      </c>
      <c r="X39" s="119" t="n">
        <f aca="false">SUMIFS(tabela_registros[VALOR],tabela_registros[MÊS],$AE$1,tabela_registros[DIA],outtotal3059718395107119131143[[#Headers],[20]],tabela_registros[REGISTRO],DADOS!$N$4,tabela_registros[TIPO],DADOS!$P$3,tabela_registros[CATEGORIA],despesafixaconsolidadoout[[#This Row],[DESPESA FIXA]])</f>
        <v>0</v>
      </c>
      <c r="Y39" s="119" t="n">
        <f aca="false">SUMIFS(tabela_registros[VALOR],tabela_registros[MÊS],$AE$1,tabela_registros[DIA],outtotal3059718395107119131143[[#Headers],[21]],tabela_registros[REGISTRO],DADOS!$N$4,tabela_registros[TIPO],DADOS!$P$3,tabela_registros[CATEGORIA],despesafixaconsolidadoout[[#This Row],[DESPESA FIXA]])</f>
        <v>0</v>
      </c>
      <c r="Z39" s="119" t="n">
        <f aca="false">SUMIFS(tabela_registros[VALOR],tabela_registros[MÊS],$AE$1,tabela_registros[DIA],outtotal3059718395107119131143[[#Headers],[22]],tabela_registros[REGISTRO],DADOS!$N$4,tabela_registros[TIPO],DADOS!$P$3,tabela_registros[CATEGORIA],despesafixaconsolidadoout[[#This Row],[DESPESA FIXA]])</f>
        <v>0</v>
      </c>
      <c r="AA39" s="119" t="n">
        <f aca="false">SUMIFS(tabela_registros[VALOR],tabela_registros[MÊS],$AE$1,tabela_registros[DIA],outtotal3059718395107119131143[[#Headers],[23]],tabela_registros[REGISTRO],DADOS!$N$4,tabela_registros[TIPO],DADOS!$P$3,tabela_registros[CATEGORIA],despesafixaconsolidadoout[[#This Row],[DESPESA FIXA]])</f>
        <v>0</v>
      </c>
      <c r="AB39" s="119" t="n">
        <f aca="false">SUMIFS(tabela_registros[VALOR],tabela_registros[MÊS],$AE$1,tabela_registros[DIA],outtotal3059718395107119131143[[#Headers],[24]],tabela_registros[REGISTRO],DADOS!$N$4,tabela_registros[TIPO],DADOS!$P$3,tabela_registros[CATEGORIA],despesafixaconsolidadoout[[#This Row],[DESPESA FIXA]])</f>
        <v>0</v>
      </c>
      <c r="AC39" s="119" t="n">
        <f aca="false">SUMIFS(tabela_registros[VALOR],tabela_registros[MÊS],$AE$1,tabela_registros[DIA],outtotal3059718395107119131143[[#Headers],[25]],tabela_registros[REGISTRO],DADOS!$N$4,tabela_registros[TIPO],DADOS!$P$3,tabela_registros[CATEGORIA],despesafixaconsolidadoout[[#This Row],[DESPESA FIXA]])</f>
        <v>0</v>
      </c>
      <c r="AD39" s="119" t="n">
        <f aca="false">SUMIFS(tabela_registros[VALOR],tabela_registros[MÊS],$AE$1,tabela_registros[DIA],outtotal3059718395107119131143[[#Headers],[26]],tabela_registros[REGISTRO],DADOS!$N$4,tabela_registros[TIPO],DADOS!$P$3,tabela_registros[CATEGORIA],despesafixaconsolidadoout[[#This Row],[DESPESA FIXA]])</f>
        <v>0</v>
      </c>
      <c r="AE39" s="119" t="n">
        <f aca="false">SUMIFS(tabela_registros[VALOR],tabela_registros[MÊS],$AE$1,tabela_registros[DIA],outtotal3059718395107119131143[[#Headers],[27]],tabela_registros[REGISTRO],DADOS!$N$4,tabela_registros[TIPO],DADOS!$P$3,tabela_registros[CATEGORIA],despesafixaconsolidadoout[[#This Row],[DESPESA FIXA]])</f>
        <v>0</v>
      </c>
      <c r="AF39" s="119" t="n">
        <f aca="false">SUMIFS(tabela_registros[VALOR],tabela_registros[MÊS],$AE$1,tabela_registros[DIA],outtotal3059718395107119131143[[#Headers],[28]],tabela_registros[REGISTRO],DADOS!$N$4,tabela_registros[TIPO],DADOS!$P$3,tabela_registros[CATEGORIA],despesafixaconsolidadoout[[#This Row],[DESPESA FIXA]])</f>
        <v>0</v>
      </c>
      <c r="AG39" s="119" t="n">
        <f aca="false">SUMIFS(tabela_registros[VALOR],tabela_registros[MÊS],$AE$1,tabela_registros[DIA],outtotal3059718395107119131143[[#Headers],[29]],tabela_registros[REGISTRO],DADOS!$N$4,tabela_registros[TIPO],DADOS!$P$3,tabela_registros[CATEGORIA],despesafixaconsolidadoout[[#This Row],[DESPESA FIXA]])</f>
        <v>0</v>
      </c>
      <c r="AH39" s="119" t="n">
        <f aca="false">SUMIFS(tabela_registros[VALOR],tabela_registros[MÊS],$AE$1,tabela_registros[DIA],outtotal3059718395107119131143[[#Headers],[30]],tabela_registros[REGISTRO],DADOS!$N$4,tabela_registros[TIPO],DADOS!$P$3,tabela_registros[CATEGORIA],despesafixaconsolidadoout[[#This Row],[DESPESA FIXA]])</f>
        <v>0</v>
      </c>
      <c r="AI39" s="217" t="n">
        <f aca="false">SUMIFS(tabela_registros[VALOR],tabela_registros[MÊS],$AE$1,tabela_registros[DIA],outtotal3059718395107119131143[[#Headers],[31]],tabela_registros[REGISTRO],DADOS!$N$4,tabela_registros[TIPO],DADOS!$P$3,tabela_registros[CATEGORIA],despesafixaconsolidadoout[[#This Row],[DESPESA FIXA]])</f>
        <v>0</v>
      </c>
      <c r="AJ39" s="149" t="n">
        <f aca="false">SUM(despesafixaconsolidadoout[[#This Row],[1]:[31]])</f>
        <v>0</v>
      </c>
      <c r="AK39" s="143"/>
    </row>
    <row r="40" customFormat="false" ht="18" hidden="false" customHeight="true" outlineLevel="0" collapsed="false">
      <c r="B40" s="143"/>
      <c r="C40" s="144" t="str">
        <f aca="false">DADOS!$R$6</f>
        <v>📱 CELULAR</v>
      </c>
      <c r="D40" s="145" t="str">
        <f aca="false">IF(despesafixaconsolidadoout[[#This Row],[TOTAL]]=0,"",IF(OR(despesafixaconsolidadoout[[#This Row],[TOTAL]]=LARGE($AJ$37:$AJ$50,1),despesafixaconsolidadoout[[#This Row],[TOTAL]]=LARGE($AJ$37:$AJ$50,2),despesafixaconsolidadoout[[#This Row],[TOTAL]]=LARGE($AJ$37:$AJ$50,3),despesafixaconsolidadoout[[#This Row],[TOTAL]]=LARGE($AJ$37:$AJ$50,4),despesafixaconsolidadoout[[#This Row],[TOTAL]]=LARGE($AJ$37:$AJ$50,5)),DADOS!$I$8,""))</f>
        <v/>
      </c>
      <c r="E40" s="148" t="n">
        <f aca="false">SUMIFS(tabela_registros[VALOR],tabela_registros[MÊS],$AE$1,tabela_registros[DIA],outtotal3059718395107119131143[[#Headers],[1]],tabela_registros[REGISTRO],DADOS!$N$4,tabela_registros[TIPO],DADOS!$P$3,tabela_registros[CATEGORIA],despesafixaconsolidadoout[[#This Row],[DESPESA FIXA]])</f>
        <v>0</v>
      </c>
      <c r="F40" s="119" t="n">
        <f aca="false">SUMIFS(tabela_registros[VALOR],tabela_registros[MÊS],$AE$1,tabela_registros[DIA],outtotal3059718395107119131143[[#Headers],[2]],tabela_registros[REGISTRO],DADOS!$N$4,tabela_registros[TIPO],DADOS!$P$3,tabela_registros[CATEGORIA],despesafixaconsolidadoout[[#This Row],[DESPESA FIXA]])</f>
        <v>0</v>
      </c>
      <c r="G40" s="119" t="n">
        <f aca="false">SUMIFS(tabela_registros[VALOR],tabela_registros[MÊS],$AE$1,tabela_registros[DIA],outtotal3059718395107119131143[[#Headers],[3]],tabela_registros[REGISTRO],DADOS!$N$4,tabela_registros[TIPO],DADOS!$P$3,tabela_registros[CATEGORIA],despesafixaconsolidadoout[[#This Row],[DESPESA FIXA]])</f>
        <v>0</v>
      </c>
      <c r="H40" s="119" t="n">
        <f aca="false">SUMIFS(tabela_registros[VALOR],tabela_registros[MÊS],$AE$1,tabela_registros[DIA],outtotal3059718395107119131143[[#Headers],[4]],tabela_registros[REGISTRO],DADOS!$N$4,tabela_registros[TIPO],DADOS!$P$3,tabela_registros[CATEGORIA],despesafixaconsolidadoout[[#This Row],[DESPESA FIXA]])</f>
        <v>0</v>
      </c>
      <c r="I40" s="119" t="n">
        <f aca="false">SUMIFS(tabela_registros[VALOR],tabela_registros[MÊS],$AE$1,tabela_registros[DIA],outtotal3059718395107119131143[[#Headers],[5]],tabela_registros[REGISTRO],DADOS!$N$4,tabela_registros[TIPO],DADOS!$P$3,tabela_registros[CATEGORIA],despesafixaconsolidadoout[[#This Row],[DESPESA FIXA]])</f>
        <v>0</v>
      </c>
      <c r="J40" s="119" t="n">
        <f aca="false">SUMIFS(tabela_registros[VALOR],tabela_registros[MÊS],$AE$1,tabela_registros[DIA],outtotal3059718395107119131143[[#Headers],[6]],tabela_registros[REGISTRO],DADOS!$N$4,tabela_registros[TIPO],DADOS!$P$3,tabela_registros[CATEGORIA],despesafixaconsolidadoout[[#This Row],[DESPESA FIXA]])</f>
        <v>0</v>
      </c>
      <c r="K40" s="119" t="n">
        <f aca="false">SUMIFS(tabela_registros[VALOR],tabela_registros[MÊS],$AE$1,tabela_registros[DIA],outtotal3059718395107119131143[[#Headers],[7]],tabela_registros[REGISTRO],DADOS!$N$4,tabela_registros[TIPO],DADOS!$P$3,tabela_registros[CATEGORIA],despesafixaconsolidadoout[[#This Row],[DESPESA FIXA]])</f>
        <v>0</v>
      </c>
      <c r="L40" s="119" t="n">
        <f aca="false">SUMIFS(tabela_registros[VALOR],tabela_registros[MÊS],$AE$1,tabela_registros[DIA],outtotal3059718395107119131143[[#Headers],[8]],tabela_registros[REGISTRO],DADOS!$N$4,tabela_registros[TIPO],DADOS!$P$3,tabela_registros[CATEGORIA],despesafixaconsolidadoout[[#This Row],[DESPESA FIXA]])</f>
        <v>0</v>
      </c>
      <c r="M40" s="119" t="n">
        <f aca="false">SUMIFS(tabela_registros[VALOR],tabela_registros[MÊS],$AE$1,tabela_registros[DIA],outtotal3059718395107119131143[[#Headers],[9]],tabela_registros[REGISTRO],DADOS!$N$4,tabela_registros[TIPO],DADOS!$P$3,tabela_registros[CATEGORIA],despesafixaconsolidadoout[[#This Row],[DESPESA FIXA]])</f>
        <v>0</v>
      </c>
      <c r="N40" s="119" t="n">
        <f aca="false">SUMIFS(tabela_registros[VALOR],tabela_registros[MÊS],$AE$1,tabela_registros[DIA],outtotal3059718395107119131143[[#Headers],[10]],tabela_registros[REGISTRO],DADOS!$N$4,tabela_registros[TIPO],DADOS!$P$3,tabela_registros[CATEGORIA],despesafixaconsolidadoout[[#This Row],[DESPESA FIXA]])</f>
        <v>0</v>
      </c>
      <c r="O40" s="119" t="n">
        <f aca="false">SUMIFS(tabela_registros[VALOR],tabela_registros[MÊS],$AE$1,tabela_registros[DIA],outtotal3059718395107119131143[[#Headers],[11]],tabela_registros[REGISTRO],DADOS!$N$4,tabela_registros[TIPO],DADOS!$P$3,tabela_registros[CATEGORIA],despesafixaconsolidadoout[[#This Row],[DESPESA FIXA]])</f>
        <v>0</v>
      </c>
      <c r="P40" s="119" t="n">
        <f aca="false">SUMIFS(tabela_registros[VALOR],tabela_registros[MÊS],$AE$1,tabela_registros[DIA],outtotal3059718395107119131143[[#Headers],[12]],tabela_registros[REGISTRO],DADOS!$N$4,tabela_registros[TIPO],DADOS!$P$3,tabela_registros[CATEGORIA],despesafixaconsolidadoout[[#This Row],[DESPESA FIXA]])</f>
        <v>0</v>
      </c>
      <c r="Q40" s="119" t="n">
        <f aca="false">SUMIFS(tabela_registros[VALOR],tabela_registros[MÊS],$AE$1,tabela_registros[DIA],outtotal3059718395107119131143[[#Headers],[13]],tabela_registros[REGISTRO],DADOS!$N$4,tabela_registros[TIPO],DADOS!$P$3,tabela_registros[CATEGORIA],despesafixaconsolidadoout[[#This Row],[DESPESA FIXA]])</f>
        <v>0</v>
      </c>
      <c r="R40" s="119" t="n">
        <f aca="false">SUMIFS(tabela_registros[VALOR],tabela_registros[MÊS],$AE$1,tabela_registros[DIA],outtotal3059718395107119131143[[#Headers],[14]],tabela_registros[REGISTRO],DADOS!$N$4,tabela_registros[TIPO],DADOS!$P$3,tabela_registros[CATEGORIA],despesafixaconsolidadoout[[#This Row],[DESPESA FIXA]])</f>
        <v>0</v>
      </c>
      <c r="S40" s="119" t="n">
        <f aca="false">SUMIFS(tabela_registros[VALOR],tabela_registros[MÊS],$AE$1,tabela_registros[DIA],outtotal3059718395107119131143[[#Headers],[15]],tabela_registros[REGISTRO],DADOS!$N$4,tabela_registros[TIPO],DADOS!$P$3,tabela_registros[CATEGORIA],despesafixaconsolidadoout[[#This Row],[DESPESA FIXA]])</f>
        <v>0</v>
      </c>
      <c r="T40" s="119" t="n">
        <f aca="false">SUMIFS(tabela_registros[VALOR],tabela_registros[MÊS],$AE$1,tabela_registros[DIA],outtotal3059718395107119131143[[#Headers],[16]],tabela_registros[REGISTRO],DADOS!$N$4,tabela_registros[TIPO],DADOS!$P$3,tabela_registros[CATEGORIA],despesafixaconsolidadoout[[#This Row],[DESPESA FIXA]])</f>
        <v>0</v>
      </c>
      <c r="U40" s="119" t="n">
        <f aca="false">SUMIFS(tabela_registros[VALOR],tabela_registros[MÊS],$AE$1,tabela_registros[DIA],outtotal3059718395107119131143[[#Headers],[17]],tabela_registros[REGISTRO],DADOS!$N$4,tabela_registros[TIPO],DADOS!$P$3,tabela_registros[CATEGORIA],despesafixaconsolidadoout[[#This Row],[DESPESA FIXA]])</f>
        <v>0</v>
      </c>
      <c r="V40" s="119" t="n">
        <f aca="false">SUMIFS(tabela_registros[VALOR],tabela_registros[MÊS],$AE$1,tabela_registros[DIA],outtotal3059718395107119131143[[#Headers],[18]],tabela_registros[REGISTRO],DADOS!$N$4,tabela_registros[TIPO],DADOS!$P$3,tabela_registros[CATEGORIA],despesafixaconsolidadoout[[#This Row],[DESPESA FIXA]])</f>
        <v>0</v>
      </c>
      <c r="W40" s="119" t="n">
        <f aca="false">SUMIFS(tabela_registros[VALOR],tabela_registros[MÊS],$AE$1,tabela_registros[DIA],outtotal3059718395107119131143[[#Headers],[19]],tabela_registros[REGISTRO],DADOS!$N$4,tabela_registros[TIPO],DADOS!$P$3,tabela_registros[CATEGORIA],despesafixaconsolidadoout[[#This Row],[DESPESA FIXA]])</f>
        <v>0</v>
      </c>
      <c r="X40" s="119" t="n">
        <f aca="false">SUMIFS(tabela_registros[VALOR],tabela_registros[MÊS],$AE$1,tabela_registros[DIA],outtotal3059718395107119131143[[#Headers],[20]],tabela_registros[REGISTRO],DADOS!$N$4,tabela_registros[TIPO],DADOS!$P$3,tabela_registros[CATEGORIA],despesafixaconsolidadoout[[#This Row],[DESPESA FIXA]])</f>
        <v>0</v>
      </c>
      <c r="Y40" s="119" t="n">
        <f aca="false">SUMIFS(tabela_registros[VALOR],tabela_registros[MÊS],$AE$1,tabela_registros[DIA],outtotal3059718395107119131143[[#Headers],[21]],tabela_registros[REGISTRO],DADOS!$N$4,tabela_registros[TIPO],DADOS!$P$3,tabela_registros[CATEGORIA],despesafixaconsolidadoout[[#This Row],[DESPESA FIXA]])</f>
        <v>0</v>
      </c>
      <c r="Z40" s="119" t="n">
        <f aca="false">SUMIFS(tabela_registros[VALOR],tabela_registros[MÊS],$AE$1,tabela_registros[DIA],outtotal3059718395107119131143[[#Headers],[22]],tabela_registros[REGISTRO],DADOS!$N$4,tabela_registros[TIPO],DADOS!$P$3,tabela_registros[CATEGORIA],despesafixaconsolidadoout[[#This Row],[DESPESA FIXA]])</f>
        <v>0</v>
      </c>
      <c r="AA40" s="119" t="n">
        <f aca="false">SUMIFS(tabela_registros[VALOR],tabela_registros[MÊS],$AE$1,tabela_registros[DIA],outtotal3059718395107119131143[[#Headers],[23]],tabela_registros[REGISTRO],DADOS!$N$4,tabela_registros[TIPO],DADOS!$P$3,tabela_registros[CATEGORIA],despesafixaconsolidadoout[[#This Row],[DESPESA FIXA]])</f>
        <v>0</v>
      </c>
      <c r="AB40" s="119" t="n">
        <f aca="false">SUMIFS(tabela_registros[VALOR],tabela_registros[MÊS],$AE$1,tabela_registros[DIA],outtotal3059718395107119131143[[#Headers],[24]],tabela_registros[REGISTRO],DADOS!$N$4,tabela_registros[TIPO],DADOS!$P$3,tabela_registros[CATEGORIA],despesafixaconsolidadoout[[#This Row],[DESPESA FIXA]])</f>
        <v>0</v>
      </c>
      <c r="AC40" s="119" t="n">
        <f aca="false">SUMIFS(tabela_registros[VALOR],tabela_registros[MÊS],$AE$1,tabela_registros[DIA],outtotal3059718395107119131143[[#Headers],[25]],tabela_registros[REGISTRO],DADOS!$N$4,tabela_registros[TIPO],DADOS!$P$3,tabela_registros[CATEGORIA],despesafixaconsolidadoout[[#This Row],[DESPESA FIXA]])</f>
        <v>0</v>
      </c>
      <c r="AD40" s="119" t="n">
        <f aca="false">SUMIFS(tabela_registros[VALOR],tabela_registros[MÊS],$AE$1,tabela_registros[DIA],outtotal3059718395107119131143[[#Headers],[26]],tabela_registros[REGISTRO],DADOS!$N$4,tabela_registros[TIPO],DADOS!$P$3,tabela_registros[CATEGORIA],despesafixaconsolidadoout[[#This Row],[DESPESA FIXA]])</f>
        <v>0</v>
      </c>
      <c r="AE40" s="119" t="n">
        <f aca="false">SUMIFS(tabela_registros[VALOR],tabela_registros[MÊS],$AE$1,tabela_registros[DIA],outtotal3059718395107119131143[[#Headers],[27]],tabela_registros[REGISTRO],DADOS!$N$4,tabela_registros[TIPO],DADOS!$P$3,tabela_registros[CATEGORIA],despesafixaconsolidadoout[[#This Row],[DESPESA FIXA]])</f>
        <v>0</v>
      </c>
      <c r="AF40" s="119" t="n">
        <f aca="false">SUMIFS(tabela_registros[VALOR],tabela_registros[MÊS],$AE$1,tabela_registros[DIA],outtotal3059718395107119131143[[#Headers],[28]],tabela_registros[REGISTRO],DADOS!$N$4,tabela_registros[TIPO],DADOS!$P$3,tabela_registros[CATEGORIA],despesafixaconsolidadoout[[#This Row],[DESPESA FIXA]])</f>
        <v>0</v>
      </c>
      <c r="AG40" s="119" t="n">
        <f aca="false">SUMIFS(tabela_registros[VALOR],tabela_registros[MÊS],$AE$1,tabela_registros[DIA],outtotal3059718395107119131143[[#Headers],[29]],tabela_registros[REGISTRO],DADOS!$N$4,tabela_registros[TIPO],DADOS!$P$3,tabela_registros[CATEGORIA],despesafixaconsolidadoout[[#This Row],[DESPESA FIXA]])</f>
        <v>0</v>
      </c>
      <c r="AH40" s="119" t="n">
        <f aca="false">SUMIFS(tabela_registros[VALOR],tabela_registros[MÊS],$AE$1,tabela_registros[DIA],outtotal3059718395107119131143[[#Headers],[30]],tabela_registros[REGISTRO],DADOS!$N$4,tabela_registros[TIPO],DADOS!$P$3,tabela_registros[CATEGORIA],despesafixaconsolidadoout[[#This Row],[DESPESA FIXA]])</f>
        <v>0</v>
      </c>
      <c r="AI40" s="217" t="n">
        <f aca="false">SUMIFS(tabela_registros[VALOR],tabela_registros[MÊS],$AE$1,tabela_registros[DIA],outtotal3059718395107119131143[[#Headers],[31]],tabela_registros[REGISTRO],DADOS!$N$4,tabela_registros[TIPO],DADOS!$P$3,tabela_registros[CATEGORIA],despesafixaconsolidadoout[[#This Row],[DESPESA FIXA]])</f>
        <v>0</v>
      </c>
      <c r="AJ40" s="149" t="n">
        <f aca="false">SUM(despesafixaconsolidadoout[[#This Row],[1]:[31]])</f>
        <v>0</v>
      </c>
      <c r="AK40" s="143"/>
    </row>
    <row r="41" customFormat="false" ht="18" hidden="false" customHeight="true" outlineLevel="0" collapsed="false">
      <c r="B41" s="143"/>
      <c r="C41" s="144" t="str">
        <f aca="false">DADOS!$R$7</f>
        <v>📖 EDUCAÇÃO</v>
      </c>
      <c r="D41" s="145" t="str">
        <f aca="false">IF(despesafixaconsolidadoout[[#This Row],[TOTAL]]=0,"",IF(OR(despesafixaconsolidadoout[[#This Row],[TOTAL]]=LARGE($AJ$37:$AJ$50,1),despesafixaconsolidadoout[[#This Row],[TOTAL]]=LARGE($AJ$37:$AJ$50,2),despesafixaconsolidadoout[[#This Row],[TOTAL]]=LARGE($AJ$37:$AJ$50,3),despesafixaconsolidadoout[[#This Row],[TOTAL]]=LARGE($AJ$37:$AJ$50,4),despesafixaconsolidadoout[[#This Row],[TOTAL]]=LARGE($AJ$37:$AJ$50,5)),DADOS!$I$8,""))</f>
        <v/>
      </c>
      <c r="E41" s="148" t="n">
        <f aca="false">SUMIFS(tabela_registros[VALOR],tabela_registros[MÊS],$AE$1,tabela_registros[DIA],outtotal3059718395107119131143[[#Headers],[1]],tabela_registros[REGISTRO],DADOS!$N$4,tabela_registros[TIPO],DADOS!$P$3,tabela_registros[CATEGORIA],despesafixaconsolidadoout[[#This Row],[DESPESA FIXA]])</f>
        <v>0</v>
      </c>
      <c r="F41" s="119" t="n">
        <f aca="false">SUMIFS(tabela_registros[VALOR],tabela_registros[MÊS],$AE$1,tabela_registros[DIA],outtotal3059718395107119131143[[#Headers],[2]],tabela_registros[REGISTRO],DADOS!$N$4,tabela_registros[TIPO],DADOS!$P$3,tabela_registros[CATEGORIA],despesafixaconsolidadoout[[#This Row],[DESPESA FIXA]])</f>
        <v>0</v>
      </c>
      <c r="G41" s="119" t="n">
        <f aca="false">SUMIFS(tabela_registros[VALOR],tabela_registros[MÊS],$AE$1,tabela_registros[DIA],outtotal3059718395107119131143[[#Headers],[3]],tabela_registros[REGISTRO],DADOS!$N$4,tabela_registros[TIPO],DADOS!$P$3,tabela_registros[CATEGORIA],despesafixaconsolidadoout[[#This Row],[DESPESA FIXA]])</f>
        <v>0</v>
      </c>
      <c r="H41" s="119" t="n">
        <f aca="false">SUMIFS(tabela_registros[VALOR],tabela_registros[MÊS],$AE$1,tabela_registros[DIA],outtotal3059718395107119131143[[#Headers],[4]],tabela_registros[REGISTRO],DADOS!$N$4,tabela_registros[TIPO],DADOS!$P$3,tabela_registros[CATEGORIA],despesafixaconsolidadoout[[#This Row],[DESPESA FIXA]])</f>
        <v>0</v>
      </c>
      <c r="I41" s="119" t="n">
        <f aca="false">SUMIFS(tabela_registros[VALOR],tabela_registros[MÊS],$AE$1,tabela_registros[DIA],outtotal3059718395107119131143[[#Headers],[5]],tabela_registros[REGISTRO],DADOS!$N$4,tabela_registros[TIPO],DADOS!$P$3,tabela_registros[CATEGORIA],despesafixaconsolidadoout[[#This Row],[DESPESA FIXA]])</f>
        <v>0</v>
      </c>
      <c r="J41" s="119" t="n">
        <f aca="false">SUMIFS(tabela_registros[VALOR],tabela_registros[MÊS],$AE$1,tabela_registros[DIA],outtotal3059718395107119131143[[#Headers],[6]],tabela_registros[REGISTRO],DADOS!$N$4,tabela_registros[TIPO],DADOS!$P$3,tabela_registros[CATEGORIA],despesafixaconsolidadoout[[#This Row],[DESPESA FIXA]])</f>
        <v>0</v>
      </c>
      <c r="K41" s="119" t="n">
        <f aca="false">SUMIFS(tabela_registros[VALOR],tabela_registros[MÊS],$AE$1,tabela_registros[DIA],outtotal3059718395107119131143[[#Headers],[7]],tabela_registros[REGISTRO],DADOS!$N$4,tabela_registros[TIPO],DADOS!$P$3,tabela_registros[CATEGORIA],despesafixaconsolidadoout[[#This Row],[DESPESA FIXA]])</f>
        <v>0</v>
      </c>
      <c r="L41" s="119" t="n">
        <f aca="false">SUMIFS(tabela_registros[VALOR],tabela_registros[MÊS],$AE$1,tabela_registros[DIA],outtotal3059718395107119131143[[#Headers],[8]],tabela_registros[REGISTRO],DADOS!$N$4,tabela_registros[TIPO],DADOS!$P$3,tabela_registros[CATEGORIA],despesafixaconsolidadoout[[#This Row],[DESPESA FIXA]])</f>
        <v>0</v>
      </c>
      <c r="M41" s="119" t="n">
        <f aca="false">SUMIFS(tabela_registros[VALOR],tabela_registros[MÊS],$AE$1,tabela_registros[DIA],outtotal3059718395107119131143[[#Headers],[9]],tabela_registros[REGISTRO],DADOS!$N$4,tabela_registros[TIPO],DADOS!$P$3,tabela_registros[CATEGORIA],despesafixaconsolidadoout[[#This Row],[DESPESA FIXA]])</f>
        <v>0</v>
      </c>
      <c r="N41" s="119" t="n">
        <f aca="false">SUMIFS(tabela_registros[VALOR],tabela_registros[MÊS],$AE$1,tabela_registros[DIA],outtotal3059718395107119131143[[#Headers],[10]],tabela_registros[REGISTRO],DADOS!$N$4,tabela_registros[TIPO],DADOS!$P$3,tabela_registros[CATEGORIA],despesafixaconsolidadoout[[#This Row],[DESPESA FIXA]])</f>
        <v>0</v>
      </c>
      <c r="O41" s="119" t="n">
        <f aca="false">SUMIFS(tabela_registros[VALOR],tabela_registros[MÊS],$AE$1,tabela_registros[DIA],outtotal3059718395107119131143[[#Headers],[11]],tabela_registros[REGISTRO],DADOS!$N$4,tabela_registros[TIPO],DADOS!$P$3,tabela_registros[CATEGORIA],despesafixaconsolidadoout[[#This Row],[DESPESA FIXA]])</f>
        <v>0</v>
      </c>
      <c r="P41" s="119" t="n">
        <f aca="false">SUMIFS(tabela_registros[VALOR],tabela_registros[MÊS],$AE$1,tabela_registros[DIA],outtotal3059718395107119131143[[#Headers],[12]],tabela_registros[REGISTRO],DADOS!$N$4,tabela_registros[TIPO],DADOS!$P$3,tabela_registros[CATEGORIA],despesafixaconsolidadoout[[#This Row],[DESPESA FIXA]])</f>
        <v>0</v>
      </c>
      <c r="Q41" s="119" t="n">
        <f aca="false">SUMIFS(tabela_registros[VALOR],tabela_registros[MÊS],$AE$1,tabela_registros[DIA],outtotal3059718395107119131143[[#Headers],[13]],tabela_registros[REGISTRO],DADOS!$N$4,tabela_registros[TIPO],DADOS!$P$3,tabela_registros[CATEGORIA],despesafixaconsolidadoout[[#This Row],[DESPESA FIXA]])</f>
        <v>0</v>
      </c>
      <c r="R41" s="119" t="n">
        <f aca="false">SUMIFS(tabela_registros[VALOR],tabela_registros[MÊS],$AE$1,tabela_registros[DIA],outtotal3059718395107119131143[[#Headers],[14]],tabela_registros[REGISTRO],DADOS!$N$4,tabela_registros[TIPO],DADOS!$P$3,tabela_registros[CATEGORIA],despesafixaconsolidadoout[[#This Row],[DESPESA FIXA]])</f>
        <v>0</v>
      </c>
      <c r="S41" s="119" t="n">
        <f aca="false">SUMIFS(tabela_registros[VALOR],tabela_registros[MÊS],$AE$1,tabela_registros[DIA],outtotal3059718395107119131143[[#Headers],[15]],tabela_registros[REGISTRO],DADOS!$N$4,tabela_registros[TIPO],DADOS!$P$3,tabela_registros[CATEGORIA],despesafixaconsolidadoout[[#This Row],[DESPESA FIXA]])</f>
        <v>0</v>
      </c>
      <c r="T41" s="119" t="n">
        <f aca="false">SUMIFS(tabela_registros[VALOR],tabela_registros[MÊS],$AE$1,tabela_registros[DIA],outtotal3059718395107119131143[[#Headers],[16]],tabela_registros[REGISTRO],DADOS!$N$4,tabela_registros[TIPO],DADOS!$P$3,tabela_registros[CATEGORIA],despesafixaconsolidadoout[[#This Row],[DESPESA FIXA]])</f>
        <v>0</v>
      </c>
      <c r="U41" s="119" t="n">
        <f aca="false">SUMIFS(tabela_registros[VALOR],tabela_registros[MÊS],$AE$1,tabela_registros[DIA],outtotal3059718395107119131143[[#Headers],[17]],tabela_registros[REGISTRO],DADOS!$N$4,tabela_registros[TIPO],DADOS!$P$3,tabela_registros[CATEGORIA],despesafixaconsolidadoout[[#This Row],[DESPESA FIXA]])</f>
        <v>0</v>
      </c>
      <c r="V41" s="119" t="n">
        <f aca="false">SUMIFS(tabela_registros[VALOR],tabela_registros[MÊS],$AE$1,tabela_registros[DIA],outtotal3059718395107119131143[[#Headers],[18]],tabela_registros[REGISTRO],DADOS!$N$4,tabela_registros[TIPO],DADOS!$P$3,tabela_registros[CATEGORIA],despesafixaconsolidadoout[[#This Row],[DESPESA FIXA]])</f>
        <v>0</v>
      </c>
      <c r="W41" s="119" t="n">
        <f aca="false">SUMIFS(tabela_registros[VALOR],tabela_registros[MÊS],$AE$1,tabela_registros[DIA],outtotal3059718395107119131143[[#Headers],[19]],tabela_registros[REGISTRO],DADOS!$N$4,tabela_registros[TIPO],DADOS!$P$3,tabela_registros[CATEGORIA],despesafixaconsolidadoout[[#This Row],[DESPESA FIXA]])</f>
        <v>0</v>
      </c>
      <c r="X41" s="119" t="n">
        <f aca="false">SUMIFS(tabela_registros[VALOR],tabela_registros[MÊS],$AE$1,tabela_registros[DIA],outtotal3059718395107119131143[[#Headers],[20]],tabela_registros[REGISTRO],DADOS!$N$4,tabela_registros[TIPO],DADOS!$P$3,tabela_registros[CATEGORIA],despesafixaconsolidadoout[[#This Row],[DESPESA FIXA]])</f>
        <v>0</v>
      </c>
      <c r="Y41" s="119" t="n">
        <f aca="false">SUMIFS(tabela_registros[VALOR],tabela_registros[MÊS],$AE$1,tabela_registros[DIA],outtotal3059718395107119131143[[#Headers],[21]],tabela_registros[REGISTRO],DADOS!$N$4,tabela_registros[TIPO],DADOS!$P$3,tabela_registros[CATEGORIA],despesafixaconsolidadoout[[#This Row],[DESPESA FIXA]])</f>
        <v>0</v>
      </c>
      <c r="Z41" s="119" t="n">
        <f aca="false">SUMIFS(tabela_registros[VALOR],tabela_registros[MÊS],$AE$1,tabela_registros[DIA],outtotal3059718395107119131143[[#Headers],[22]],tabela_registros[REGISTRO],DADOS!$N$4,tabela_registros[TIPO],DADOS!$P$3,tabela_registros[CATEGORIA],despesafixaconsolidadoout[[#This Row],[DESPESA FIXA]])</f>
        <v>0</v>
      </c>
      <c r="AA41" s="119" t="n">
        <f aca="false">SUMIFS(tabela_registros[VALOR],tabela_registros[MÊS],$AE$1,tabela_registros[DIA],outtotal3059718395107119131143[[#Headers],[23]],tabela_registros[REGISTRO],DADOS!$N$4,tabela_registros[TIPO],DADOS!$P$3,tabela_registros[CATEGORIA],despesafixaconsolidadoout[[#This Row],[DESPESA FIXA]])</f>
        <v>0</v>
      </c>
      <c r="AB41" s="119" t="n">
        <f aca="false">SUMIFS(tabela_registros[VALOR],tabela_registros[MÊS],$AE$1,tabela_registros[DIA],outtotal3059718395107119131143[[#Headers],[24]],tabela_registros[REGISTRO],DADOS!$N$4,tabela_registros[TIPO],DADOS!$P$3,tabela_registros[CATEGORIA],despesafixaconsolidadoout[[#This Row],[DESPESA FIXA]])</f>
        <v>0</v>
      </c>
      <c r="AC41" s="119" t="n">
        <f aca="false">SUMIFS(tabela_registros[VALOR],tabela_registros[MÊS],$AE$1,tabela_registros[DIA],outtotal3059718395107119131143[[#Headers],[25]],tabela_registros[REGISTRO],DADOS!$N$4,tabela_registros[TIPO],DADOS!$P$3,tabela_registros[CATEGORIA],despesafixaconsolidadoout[[#This Row],[DESPESA FIXA]])</f>
        <v>0</v>
      </c>
      <c r="AD41" s="119" t="n">
        <f aca="false">SUMIFS(tabela_registros[VALOR],tabela_registros[MÊS],$AE$1,tabela_registros[DIA],outtotal3059718395107119131143[[#Headers],[26]],tabela_registros[REGISTRO],DADOS!$N$4,tabela_registros[TIPO],DADOS!$P$3,tabela_registros[CATEGORIA],despesafixaconsolidadoout[[#This Row],[DESPESA FIXA]])</f>
        <v>0</v>
      </c>
      <c r="AE41" s="119" t="n">
        <f aca="false">SUMIFS(tabela_registros[VALOR],tabela_registros[MÊS],$AE$1,tabela_registros[DIA],outtotal3059718395107119131143[[#Headers],[27]],tabela_registros[REGISTRO],DADOS!$N$4,tabela_registros[TIPO],DADOS!$P$3,tabela_registros[CATEGORIA],despesafixaconsolidadoout[[#This Row],[DESPESA FIXA]])</f>
        <v>0</v>
      </c>
      <c r="AF41" s="119" t="n">
        <f aca="false">SUMIFS(tabela_registros[VALOR],tabela_registros[MÊS],$AE$1,tabela_registros[DIA],outtotal3059718395107119131143[[#Headers],[28]],tabela_registros[REGISTRO],DADOS!$N$4,tabela_registros[TIPO],DADOS!$P$3,tabela_registros[CATEGORIA],despesafixaconsolidadoout[[#This Row],[DESPESA FIXA]])</f>
        <v>0</v>
      </c>
      <c r="AG41" s="119" t="n">
        <f aca="false">SUMIFS(tabela_registros[VALOR],tabela_registros[MÊS],$AE$1,tabela_registros[DIA],outtotal3059718395107119131143[[#Headers],[29]],tabela_registros[REGISTRO],DADOS!$N$4,tabela_registros[TIPO],DADOS!$P$3,tabela_registros[CATEGORIA],despesafixaconsolidadoout[[#This Row],[DESPESA FIXA]])</f>
        <v>0</v>
      </c>
      <c r="AH41" s="119" t="n">
        <f aca="false">SUMIFS(tabela_registros[VALOR],tabela_registros[MÊS],$AE$1,tabela_registros[DIA],outtotal3059718395107119131143[[#Headers],[30]],tabela_registros[REGISTRO],DADOS!$N$4,tabela_registros[TIPO],DADOS!$P$3,tabela_registros[CATEGORIA],despesafixaconsolidadoout[[#This Row],[DESPESA FIXA]])</f>
        <v>0</v>
      </c>
      <c r="AI41" s="217" t="n">
        <f aca="false">SUMIFS(tabela_registros[VALOR],tabela_registros[MÊS],$AE$1,tabela_registros[DIA],outtotal3059718395107119131143[[#Headers],[31]],tabela_registros[REGISTRO],DADOS!$N$4,tabela_registros[TIPO],DADOS!$P$3,tabela_registros[CATEGORIA],despesafixaconsolidadoout[[#This Row],[DESPESA FIXA]])</f>
        <v>0</v>
      </c>
      <c r="AJ41" s="149" t="n">
        <f aca="false">SUM(despesafixaconsolidadoout[[#This Row],[1]:[31]])</f>
        <v>0</v>
      </c>
      <c r="AK41" s="143"/>
    </row>
    <row r="42" customFormat="false" ht="18" hidden="false" customHeight="true" outlineLevel="0" collapsed="false">
      <c r="B42" s="143"/>
      <c r="C42" s="144" t="str">
        <f aca="false">DADOS!$R$8</f>
        <v>🏦 EMPRÉSTIMO</v>
      </c>
      <c r="D42" s="145" t="str">
        <f aca="false">IF(despesafixaconsolidadoout[[#This Row],[TOTAL]]=0,"",IF(OR(despesafixaconsolidadoout[[#This Row],[TOTAL]]=LARGE($AJ$37:$AJ$50,1),despesafixaconsolidadoout[[#This Row],[TOTAL]]=LARGE($AJ$37:$AJ$50,2),despesafixaconsolidadoout[[#This Row],[TOTAL]]=LARGE($AJ$37:$AJ$50,3),despesafixaconsolidadoout[[#This Row],[TOTAL]]=LARGE($AJ$37:$AJ$50,4),despesafixaconsolidadoout[[#This Row],[TOTAL]]=LARGE($AJ$37:$AJ$50,5)),DADOS!$I$8,""))</f>
        <v/>
      </c>
      <c r="E42" s="148" t="n">
        <f aca="false">SUMIFS(tabela_registros[VALOR],tabela_registros[MÊS],$AE$1,tabela_registros[DIA],outtotal3059718395107119131143[[#Headers],[1]],tabela_registros[REGISTRO],DADOS!$N$4,tabela_registros[TIPO],DADOS!$P$3,tabela_registros[CATEGORIA],despesafixaconsolidadoout[[#This Row],[DESPESA FIXA]])</f>
        <v>0</v>
      </c>
      <c r="F42" s="119" t="n">
        <f aca="false">SUMIFS(tabela_registros[VALOR],tabela_registros[MÊS],$AE$1,tabela_registros[DIA],outtotal3059718395107119131143[[#Headers],[2]],tabela_registros[REGISTRO],DADOS!$N$4,tabela_registros[TIPO],DADOS!$P$3,tabela_registros[CATEGORIA],despesafixaconsolidadoout[[#This Row],[DESPESA FIXA]])</f>
        <v>0</v>
      </c>
      <c r="G42" s="119" t="n">
        <f aca="false">SUMIFS(tabela_registros[VALOR],tabela_registros[MÊS],$AE$1,tabela_registros[DIA],outtotal3059718395107119131143[[#Headers],[3]],tabela_registros[REGISTRO],DADOS!$N$4,tabela_registros[TIPO],DADOS!$P$3,tabela_registros[CATEGORIA],despesafixaconsolidadoout[[#This Row],[DESPESA FIXA]])</f>
        <v>0</v>
      </c>
      <c r="H42" s="119" t="n">
        <f aca="false">SUMIFS(tabela_registros[VALOR],tabela_registros[MÊS],$AE$1,tabela_registros[DIA],outtotal3059718395107119131143[[#Headers],[4]],tabela_registros[REGISTRO],DADOS!$N$4,tabela_registros[TIPO],DADOS!$P$3,tabela_registros[CATEGORIA],despesafixaconsolidadoout[[#This Row],[DESPESA FIXA]])</f>
        <v>0</v>
      </c>
      <c r="I42" s="119" t="n">
        <f aca="false">SUMIFS(tabela_registros[VALOR],tabela_registros[MÊS],$AE$1,tabela_registros[DIA],outtotal3059718395107119131143[[#Headers],[5]],tabela_registros[REGISTRO],DADOS!$N$4,tabela_registros[TIPO],DADOS!$P$3,tabela_registros[CATEGORIA],despesafixaconsolidadoout[[#This Row],[DESPESA FIXA]])</f>
        <v>0</v>
      </c>
      <c r="J42" s="119" t="n">
        <f aca="false">SUMIFS(tabela_registros[VALOR],tabela_registros[MÊS],$AE$1,tabela_registros[DIA],outtotal3059718395107119131143[[#Headers],[6]],tabela_registros[REGISTRO],DADOS!$N$4,tabela_registros[TIPO],DADOS!$P$3,tabela_registros[CATEGORIA],despesafixaconsolidadoout[[#This Row],[DESPESA FIXA]])</f>
        <v>0</v>
      </c>
      <c r="K42" s="119" t="n">
        <f aca="false">SUMIFS(tabela_registros[VALOR],tabela_registros[MÊS],$AE$1,tabela_registros[DIA],outtotal3059718395107119131143[[#Headers],[7]],tabela_registros[REGISTRO],DADOS!$N$4,tabela_registros[TIPO],DADOS!$P$3,tabela_registros[CATEGORIA],despesafixaconsolidadoout[[#This Row],[DESPESA FIXA]])</f>
        <v>0</v>
      </c>
      <c r="L42" s="119" t="n">
        <f aca="false">SUMIFS(tabela_registros[VALOR],tabela_registros[MÊS],$AE$1,tabela_registros[DIA],outtotal3059718395107119131143[[#Headers],[8]],tabela_registros[REGISTRO],DADOS!$N$4,tabela_registros[TIPO],DADOS!$P$3,tabela_registros[CATEGORIA],despesafixaconsolidadoout[[#This Row],[DESPESA FIXA]])</f>
        <v>0</v>
      </c>
      <c r="M42" s="119" t="n">
        <f aca="false">SUMIFS(tabela_registros[VALOR],tabela_registros[MÊS],$AE$1,tabela_registros[DIA],outtotal3059718395107119131143[[#Headers],[9]],tabela_registros[REGISTRO],DADOS!$N$4,tabela_registros[TIPO],DADOS!$P$3,tabela_registros[CATEGORIA],despesafixaconsolidadoout[[#This Row],[DESPESA FIXA]])</f>
        <v>0</v>
      </c>
      <c r="N42" s="119" t="n">
        <f aca="false">SUMIFS(tabela_registros[VALOR],tabela_registros[MÊS],$AE$1,tabela_registros[DIA],outtotal3059718395107119131143[[#Headers],[10]],tabela_registros[REGISTRO],DADOS!$N$4,tabela_registros[TIPO],DADOS!$P$3,tabela_registros[CATEGORIA],despesafixaconsolidadoout[[#This Row],[DESPESA FIXA]])</f>
        <v>0</v>
      </c>
      <c r="O42" s="119" t="n">
        <f aca="false">SUMIFS(tabela_registros[VALOR],tabela_registros[MÊS],$AE$1,tabela_registros[DIA],outtotal3059718395107119131143[[#Headers],[11]],tabela_registros[REGISTRO],DADOS!$N$4,tabela_registros[TIPO],DADOS!$P$3,tabela_registros[CATEGORIA],despesafixaconsolidadoout[[#This Row],[DESPESA FIXA]])</f>
        <v>0</v>
      </c>
      <c r="P42" s="119" t="n">
        <f aca="false">SUMIFS(tabela_registros[VALOR],tabela_registros[MÊS],$AE$1,tabela_registros[DIA],outtotal3059718395107119131143[[#Headers],[12]],tabela_registros[REGISTRO],DADOS!$N$4,tabela_registros[TIPO],DADOS!$P$3,tabela_registros[CATEGORIA],despesafixaconsolidadoout[[#This Row],[DESPESA FIXA]])</f>
        <v>0</v>
      </c>
      <c r="Q42" s="119" t="n">
        <f aca="false">SUMIFS(tabela_registros[VALOR],tabela_registros[MÊS],$AE$1,tabela_registros[DIA],outtotal3059718395107119131143[[#Headers],[13]],tabela_registros[REGISTRO],DADOS!$N$4,tabela_registros[TIPO],DADOS!$P$3,tabela_registros[CATEGORIA],despesafixaconsolidadoout[[#This Row],[DESPESA FIXA]])</f>
        <v>0</v>
      </c>
      <c r="R42" s="119" t="n">
        <f aca="false">SUMIFS(tabela_registros[VALOR],tabela_registros[MÊS],$AE$1,tabela_registros[DIA],outtotal3059718395107119131143[[#Headers],[14]],tabela_registros[REGISTRO],DADOS!$N$4,tabela_registros[TIPO],DADOS!$P$3,tabela_registros[CATEGORIA],despesafixaconsolidadoout[[#This Row],[DESPESA FIXA]])</f>
        <v>0</v>
      </c>
      <c r="S42" s="119" t="n">
        <f aca="false">SUMIFS(tabela_registros[VALOR],tabela_registros[MÊS],$AE$1,tabela_registros[DIA],outtotal3059718395107119131143[[#Headers],[15]],tabela_registros[REGISTRO],DADOS!$N$4,tabela_registros[TIPO],DADOS!$P$3,tabela_registros[CATEGORIA],despesafixaconsolidadoout[[#This Row],[DESPESA FIXA]])</f>
        <v>0</v>
      </c>
      <c r="T42" s="119" t="n">
        <f aca="false">SUMIFS(tabela_registros[VALOR],tabela_registros[MÊS],$AE$1,tabela_registros[DIA],outtotal3059718395107119131143[[#Headers],[16]],tabela_registros[REGISTRO],DADOS!$N$4,tabela_registros[TIPO],DADOS!$P$3,tabela_registros[CATEGORIA],despesafixaconsolidadoout[[#This Row],[DESPESA FIXA]])</f>
        <v>0</v>
      </c>
      <c r="U42" s="119" t="n">
        <f aca="false">SUMIFS(tabela_registros[VALOR],tabela_registros[MÊS],$AE$1,tabela_registros[DIA],outtotal3059718395107119131143[[#Headers],[17]],tabela_registros[REGISTRO],DADOS!$N$4,tabela_registros[TIPO],DADOS!$P$3,tabela_registros[CATEGORIA],despesafixaconsolidadoout[[#This Row],[DESPESA FIXA]])</f>
        <v>0</v>
      </c>
      <c r="V42" s="119" t="n">
        <f aca="false">SUMIFS(tabela_registros[VALOR],tabela_registros[MÊS],$AE$1,tabela_registros[DIA],outtotal3059718395107119131143[[#Headers],[18]],tabela_registros[REGISTRO],DADOS!$N$4,tabela_registros[TIPO],DADOS!$P$3,tabela_registros[CATEGORIA],despesafixaconsolidadoout[[#This Row],[DESPESA FIXA]])</f>
        <v>0</v>
      </c>
      <c r="W42" s="119" t="n">
        <f aca="false">SUMIFS(tabela_registros[VALOR],tabela_registros[MÊS],$AE$1,tabela_registros[DIA],outtotal3059718395107119131143[[#Headers],[19]],tabela_registros[REGISTRO],DADOS!$N$4,tabela_registros[TIPO],DADOS!$P$3,tabela_registros[CATEGORIA],despesafixaconsolidadoout[[#This Row],[DESPESA FIXA]])</f>
        <v>0</v>
      </c>
      <c r="X42" s="119" t="n">
        <f aca="false">SUMIFS(tabela_registros[VALOR],tabela_registros[MÊS],$AE$1,tabela_registros[DIA],outtotal3059718395107119131143[[#Headers],[20]],tabela_registros[REGISTRO],DADOS!$N$4,tabela_registros[TIPO],DADOS!$P$3,tabela_registros[CATEGORIA],despesafixaconsolidadoout[[#This Row],[DESPESA FIXA]])</f>
        <v>0</v>
      </c>
      <c r="Y42" s="119" t="n">
        <f aca="false">SUMIFS(tabela_registros[VALOR],tabela_registros[MÊS],$AE$1,tabela_registros[DIA],outtotal3059718395107119131143[[#Headers],[21]],tabela_registros[REGISTRO],DADOS!$N$4,tabela_registros[TIPO],DADOS!$P$3,tabela_registros[CATEGORIA],despesafixaconsolidadoout[[#This Row],[DESPESA FIXA]])</f>
        <v>0</v>
      </c>
      <c r="Z42" s="119" t="n">
        <f aca="false">SUMIFS(tabela_registros[VALOR],tabela_registros[MÊS],$AE$1,tabela_registros[DIA],outtotal3059718395107119131143[[#Headers],[22]],tabela_registros[REGISTRO],DADOS!$N$4,tabela_registros[TIPO],DADOS!$P$3,tabela_registros[CATEGORIA],despesafixaconsolidadoout[[#This Row],[DESPESA FIXA]])</f>
        <v>0</v>
      </c>
      <c r="AA42" s="119" t="n">
        <f aca="false">SUMIFS(tabela_registros[VALOR],tabela_registros[MÊS],$AE$1,tabela_registros[DIA],outtotal3059718395107119131143[[#Headers],[23]],tabela_registros[REGISTRO],DADOS!$N$4,tabela_registros[TIPO],DADOS!$P$3,tabela_registros[CATEGORIA],despesafixaconsolidadoout[[#This Row],[DESPESA FIXA]])</f>
        <v>0</v>
      </c>
      <c r="AB42" s="119" t="n">
        <f aca="false">SUMIFS(tabela_registros[VALOR],tabela_registros[MÊS],$AE$1,tabela_registros[DIA],outtotal3059718395107119131143[[#Headers],[24]],tabela_registros[REGISTRO],DADOS!$N$4,tabela_registros[TIPO],DADOS!$P$3,tabela_registros[CATEGORIA],despesafixaconsolidadoout[[#This Row],[DESPESA FIXA]])</f>
        <v>0</v>
      </c>
      <c r="AC42" s="119" t="n">
        <f aca="false">SUMIFS(tabela_registros[VALOR],tabela_registros[MÊS],$AE$1,tabela_registros[DIA],outtotal3059718395107119131143[[#Headers],[25]],tabela_registros[REGISTRO],DADOS!$N$4,tabela_registros[TIPO],DADOS!$P$3,tabela_registros[CATEGORIA],despesafixaconsolidadoout[[#This Row],[DESPESA FIXA]])</f>
        <v>0</v>
      </c>
      <c r="AD42" s="119" t="n">
        <f aca="false">SUMIFS(tabela_registros[VALOR],tabela_registros[MÊS],$AE$1,tabela_registros[DIA],outtotal3059718395107119131143[[#Headers],[26]],tabela_registros[REGISTRO],DADOS!$N$4,tabela_registros[TIPO],DADOS!$P$3,tabela_registros[CATEGORIA],despesafixaconsolidadoout[[#This Row],[DESPESA FIXA]])</f>
        <v>0</v>
      </c>
      <c r="AE42" s="119" t="n">
        <f aca="false">SUMIFS(tabela_registros[VALOR],tabela_registros[MÊS],$AE$1,tabela_registros[DIA],outtotal3059718395107119131143[[#Headers],[27]],tabela_registros[REGISTRO],DADOS!$N$4,tabela_registros[TIPO],DADOS!$P$3,tabela_registros[CATEGORIA],despesafixaconsolidadoout[[#This Row],[DESPESA FIXA]])</f>
        <v>0</v>
      </c>
      <c r="AF42" s="119" t="n">
        <f aca="false">SUMIFS(tabela_registros[VALOR],tabela_registros[MÊS],$AE$1,tabela_registros[DIA],outtotal3059718395107119131143[[#Headers],[28]],tabela_registros[REGISTRO],DADOS!$N$4,tabela_registros[TIPO],DADOS!$P$3,tabela_registros[CATEGORIA],despesafixaconsolidadoout[[#This Row],[DESPESA FIXA]])</f>
        <v>0</v>
      </c>
      <c r="AG42" s="119" t="n">
        <f aca="false">SUMIFS(tabela_registros[VALOR],tabela_registros[MÊS],$AE$1,tabela_registros[DIA],outtotal3059718395107119131143[[#Headers],[29]],tabela_registros[REGISTRO],DADOS!$N$4,tabela_registros[TIPO],DADOS!$P$3,tabela_registros[CATEGORIA],despesafixaconsolidadoout[[#This Row],[DESPESA FIXA]])</f>
        <v>0</v>
      </c>
      <c r="AH42" s="119" t="n">
        <f aca="false">SUMIFS(tabela_registros[VALOR],tabela_registros[MÊS],$AE$1,tabela_registros[DIA],outtotal3059718395107119131143[[#Headers],[30]],tabela_registros[REGISTRO],DADOS!$N$4,tabela_registros[TIPO],DADOS!$P$3,tabela_registros[CATEGORIA],despesafixaconsolidadoout[[#This Row],[DESPESA FIXA]])</f>
        <v>0</v>
      </c>
      <c r="AI42" s="217" t="n">
        <f aca="false">SUMIFS(tabela_registros[VALOR],tabela_registros[MÊS],$AE$1,tabela_registros[DIA],outtotal3059718395107119131143[[#Headers],[31]],tabela_registros[REGISTRO],DADOS!$N$4,tabela_registros[TIPO],DADOS!$P$3,tabela_registros[CATEGORIA],despesafixaconsolidadoout[[#This Row],[DESPESA FIXA]])</f>
        <v>0</v>
      </c>
      <c r="AJ42" s="149" t="n">
        <f aca="false">SUM(despesafixaconsolidadoout[[#This Row],[1]:[31]])</f>
        <v>0</v>
      </c>
      <c r="AK42" s="143"/>
    </row>
    <row r="43" customFormat="false" ht="18" hidden="false" customHeight="true" outlineLevel="0" collapsed="false">
      <c r="B43" s="143"/>
      <c r="C43" s="144" t="str">
        <f aca="false">DADOS!$R$9</f>
        <v>💡 ENERGIA</v>
      </c>
      <c r="D43" s="145" t="str">
        <f aca="false">IF(despesafixaconsolidadoout[[#This Row],[TOTAL]]=0,"",IF(OR(despesafixaconsolidadoout[[#This Row],[TOTAL]]=LARGE($AJ$37:$AJ$50,1),despesafixaconsolidadoout[[#This Row],[TOTAL]]=LARGE($AJ$37:$AJ$50,2),despesafixaconsolidadoout[[#This Row],[TOTAL]]=LARGE($AJ$37:$AJ$50,3),despesafixaconsolidadoout[[#This Row],[TOTAL]]=LARGE($AJ$37:$AJ$50,4),despesafixaconsolidadoout[[#This Row],[TOTAL]]=LARGE($AJ$37:$AJ$50,5)),DADOS!$I$8,""))</f>
        <v/>
      </c>
      <c r="E43" s="148" t="n">
        <f aca="false">SUMIFS(tabela_registros[VALOR],tabela_registros[MÊS],$AE$1,tabela_registros[DIA],outtotal3059718395107119131143[[#Headers],[1]],tabela_registros[REGISTRO],DADOS!$N$4,tabela_registros[TIPO],DADOS!$P$3,tabela_registros[CATEGORIA],despesafixaconsolidadoout[[#This Row],[DESPESA FIXA]])</f>
        <v>0</v>
      </c>
      <c r="F43" s="119" t="n">
        <f aca="false">SUMIFS(tabela_registros[VALOR],tabela_registros[MÊS],$AE$1,tabela_registros[DIA],outtotal3059718395107119131143[[#Headers],[2]],tabela_registros[REGISTRO],DADOS!$N$4,tabela_registros[TIPO],DADOS!$P$3,tabela_registros[CATEGORIA],despesafixaconsolidadoout[[#This Row],[DESPESA FIXA]])</f>
        <v>0</v>
      </c>
      <c r="G43" s="119" t="n">
        <f aca="false">SUMIFS(tabela_registros[VALOR],tabela_registros[MÊS],$AE$1,tabela_registros[DIA],outtotal3059718395107119131143[[#Headers],[3]],tabela_registros[REGISTRO],DADOS!$N$4,tabela_registros[TIPO],DADOS!$P$3,tabela_registros[CATEGORIA],despesafixaconsolidadoout[[#This Row],[DESPESA FIXA]])</f>
        <v>0</v>
      </c>
      <c r="H43" s="119" t="n">
        <f aca="false">SUMIFS(tabela_registros[VALOR],tabela_registros[MÊS],$AE$1,tabela_registros[DIA],outtotal3059718395107119131143[[#Headers],[4]],tabela_registros[REGISTRO],DADOS!$N$4,tabela_registros[TIPO],DADOS!$P$3,tabela_registros[CATEGORIA],despesafixaconsolidadoout[[#This Row],[DESPESA FIXA]])</f>
        <v>0</v>
      </c>
      <c r="I43" s="119" t="n">
        <f aca="false">SUMIFS(tabela_registros[VALOR],tabela_registros[MÊS],$AE$1,tabela_registros[DIA],outtotal3059718395107119131143[[#Headers],[5]],tabela_registros[REGISTRO],DADOS!$N$4,tabela_registros[TIPO],DADOS!$P$3,tabela_registros[CATEGORIA],despesafixaconsolidadoout[[#This Row],[DESPESA FIXA]])</f>
        <v>0</v>
      </c>
      <c r="J43" s="119" t="n">
        <f aca="false">SUMIFS(tabela_registros[VALOR],tabela_registros[MÊS],$AE$1,tabela_registros[DIA],outtotal3059718395107119131143[[#Headers],[6]],tabela_registros[REGISTRO],DADOS!$N$4,tabela_registros[TIPO],DADOS!$P$3,tabela_registros[CATEGORIA],despesafixaconsolidadoout[[#This Row],[DESPESA FIXA]])</f>
        <v>0</v>
      </c>
      <c r="K43" s="119" t="n">
        <f aca="false">SUMIFS(tabela_registros[VALOR],tabela_registros[MÊS],$AE$1,tabela_registros[DIA],outtotal3059718395107119131143[[#Headers],[7]],tabela_registros[REGISTRO],DADOS!$N$4,tabela_registros[TIPO],DADOS!$P$3,tabela_registros[CATEGORIA],despesafixaconsolidadoout[[#This Row],[DESPESA FIXA]])</f>
        <v>0</v>
      </c>
      <c r="L43" s="119" t="n">
        <f aca="false">SUMIFS(tabela_registros[VALOR],tabela_registros[MÊS],$AE$1,tabela_registros[DIA],outtotal3059718395107119131143[[#Headers],[8]],tabela_registros[REGISTRO],DADOS!$N$4,tabela_registros[TIPO],DADOS!$P$3,tabela_registros[CATEGORIA],despesafixaconsolidadoout[[#This Row],[DESPESA FIXA]])</f>
        <v>0</v>
      </c>
      <c r="M43" s="119" t="n">
        <f aca="false">SUMIFS(tabela_registros[VALOR],tabela_registros[MÊS],$AE$1,tabela_registros[DIA],outtotal3059718395107119131143[[#Headers],[9]],tabela_registros[REGISTRO],DADOS!$N$4,tabela_registros[TIPO],DADOS!$P$3,tabela_registros[CATEGORIA],despesafixaconsolidadoout[[#This Row],[DESPESA FIXA]])</f>
        <v>0</v>
      </c>
      <c r="N43" s="119" t="n">
        <f aca="false">SUMIFS(tabela_registros[VALOR],tabela_registros[MÊS],$AE$1,tabela_registros[DIA],outtotal3059718395107119131143[[#Headers],[10]],tabela_registros[REGISTRO],DADOS!$N$4,tabela_registros[TIPO],DADOS!$P$3,tabela_registros[CATEGORIA],despesafixaconsolidadoout[[#This Row],[DESPESA FIXA]])</f>
        <v>0</v>
      </c>
      <c r="O43" s="119" t="n">
        <f aca="false">SUMIFS(tabela_registros[VALOR],tabela_registros[MÊS],$AE$1,tabela_registros[DIA],outtotal3059718395107119131143[[#Headers],[11]],tabela_registros[REGISTRO],DADOS!$N$4,tabela_registros[TIPO],DADOS!$P$3,tabela_registros[CATEGORIA],despesafixaconsolidadoout[[#This Row],[DESPESA FIXA]])</f>
        <v>0</v>
      </c>
      <c r="P43" s="119" t="n">
        <f aca="false">SUMIFS(tabela_registros[VALOR],tabela_registros[MÊS],$AE$1,tabela_registros[DIA],outtotal3059718395107119131143[[#Headers],[12]],tabela_registros[REGISTRO],DADOS!$N$4,tabela_registros[TIPO],DADOS!$P$3,tabela_registros[CATEGORIA],despesafixaconsolidadoout[[#This Row],[DESPESA FIXA]])</f>
        <v>0</v>
      </c>
      <c r="Q43" s="119" t="n">
        <f aca="false">SUMIFS(tabela_registros[VALOR],tabela_registros[MÊS],$AE$1,tabela_registros[DIA],outtotal3059718395107119131143[[#Headers],[13]],tabela_registros[REGISTRO],DADOS!$N$4,tabela_registros[TIPO],DADOS!$P$3,tabela_registros[CATEGORIA],despesafixaconsolidadoout[[#This Row],[DESPESA FIXA]])</f>
        <v>0</v>
      </c>
      <c r="R43" s="119" t="n">
        <f aca="false">SUMIFS(tabela_registros[VALOR],tabela_registros[MÊS],$AE$1,tabela_registros[DIA],outtotal3059718395107119131143[[#Headers],[14]],tabela_registros[REGISTRO],DADOS!$N$4,tabela_registros[TIPO],DADOS!$P$3,tabela_registros[CATEGORIA],despesafixaconsolidadoout[[#This Row],[DESPESA FIXA]])</f>
        <v>0</v>
      </c>
      <c r="S43" s="119" t="n">
        <f aca="false">SUMIFS(tabela_registros[VALOR],tabela_registros[MÊS],$AE$1,tabela_registros[DIA],outtotal3059718395107119131143[[#Headers],[15]],tabela_registros[REGISTRO],DADOS!$N$4,tabela_registros[TIPO],DADOS!$P$3,tabela_registros[CATEGORIA],despesafixaconsolidadoout[[#This Row],[DESPESA FIXA]])</f>
        <v>0</v>
      </c>
      <c r="T43" s="119" t="n">
        <f aca="false">SUMIFS(tabela_registros[VALOR],tabela_registros[MÊS],$AE$1,tabela_registros[DIA],outtotal3059718395107119131143[[#Headers],[16]],tabela_registros[REGISTRO],DADOS!$N$4,tabela_registros[TIPO],DADOS!$P$3,tabela_registros[CATEGORIA],despesafixaconsolidadoout[[#This Row],[DESPESA FIXA]])</f>
        <v>0</v>
      </c>
      <c r="U43" s="119" t="n">
        <f aca="false">SUMIFS(tabela_registros[VALOR],tabela_registros[MÊS],$AE$1,tabela_registros[DIA],outtotal3059718395107119131143[[#Headers],[17]],tabela_registros[REGISTRO],DADOS!$N$4,tabela_registros[TIPO],DADOS!$P$3,tabela_registros[CATEGORIA],despesafixaconsolidadoout[[#This Row],[DESPESA FIXA]])</f>
        <v>0</v>
      </c>
      <c r="V43" s="119" t="n">
        <f aca="false">SUMIFS(tabela_registros[VALOR],tabela_registros[MÊS],$AE$1,tabela_registros[DIA],outtotal3059718395107119131143[[#Headers],[18]],tabela_registros[REGISTRO],DADOS!$N$4,tabela_registros[TIPO],DADOS!$P$3,tabela_registros[CATEGORIA],despesafixaconsolidadoout[[#This Row],[DESPESA FIXA]])</f>
        <v>0</v>
      </c>
      <c r="W43" s="119" t="n">
        <f aca="false">SUMIFS(tabela_registros[VALOR],tabela_registros[MÊS],$AE$1,tabela_registros[DIA],outtotal3059718395107119131143[[#Headers],[19]],tabela_registros[REGISTRO],DADOS!$N$4,tabela_registros[TIPO],DADOS!$P$3,tabela_registros[CATEGORIA],despesafixaconsolidadoout[[#This Row],[DESPESA FIXA]])</f>
        <v>0</v>
      </c>
      <c r="X43" s="119" t="n">
        <f aca="false">SUMIFS(tabela_registros[VALOR],tabela_registros[MÊS],$AE$1,tabela_registros[DIA],outtotal3059718395107119131143[[#Headers],[20]],tabela_registros[REGISTRO],DADOS!$N$4,tabela_registros[TIPO],DADOS!$P$3,tabela_registros[CATEGORIA],despesafixaconsolidadoout[[#This Row],[DESPESA FIXA]])</f>
        <v>0</v>
      </c>
      <c r="Y43" s="119" t="n">
        <f aca="false">SUMIFS(tabela_registros[VALOR],tabela_registros[MÊS],$AE$1,tabela_registros[DIA],outtotal3059718395107119131143[[#Headers],[21]],tabela_registros[REGISTRO],DADOS!$N$4,tabela_registros[TIPO],DADOS!$P$3,tabela_registros[CATEGORIA],despesafixaconsolidadoout[[#This Row],[DESPESA FIXA]])</f>
        <v>0</v>
      </c>
      <c r="Z43" s="119" t="n">
        <f aca="false">SUMIFS(tabela_registros[VALOR],tabela_registros[MÊS],$AE$1,tabela_registros[DIA],outtotal3059718395107119131143[[#Headers],[22]],tabela_registros[REGISTRO],DADOS!$N$4,tabela_registros[TIPO],DADOS!$P$3,tabela_registros[CATEGORIA],despesafixaconsolidadoout[[#This Row],[DESPESA FIXA]])</f>
        <v>0</v>
      </c>
      <c r="AA43" s="119" t="n">
        <f aca="false">SUMIFS(tabela_registros[VALOR],tabela_registros[MÊS],$AE$1,tabela_registros[DIA],outtotal3059718395107119131143[[#Headers],[23]],tabela_registros[REGISTRO],DADOS!$N$4,tabela_registros[TIPO],DADOS!$P$3,tabela_registros[CATEGORIA],despesafixaconsolidadoout[[#This Row],[DESPESA FIXA]])</f>
        <v>0</v>
      </c>
      <c r="AB43" s="119" t="n">
        <f aca="false">SUMIFS(tabela_registros[VALOR],tabela_registros[MÊS],$AE$1,tabela_registros[DIA],outtotal3059718395107119131143[[#Headers],[24]],tabela_registros[REGISTRO],DADOS!$N$4,tabela_registros[TIPO],DADOS!$P$3,tabela_registros[CATEGORIA],despesafixaconsolidadoout[[#This Row],[DESPESA FIXA]])</f>
        <v>0</v>
      </c>
      <c r="AC43" s="119" t="n">
        <f aca="false">SUMIFS(tabela_registros[VALOR],tabela_registros[MÊS],$AE$1,tabela_registros[DIA],outtotal3059718395107119131143[[#Headers],[25]],tabela_registros[REGISTRO],DADOS!$N$4,tabela_registros[TIPO],DADOS!$P$3,tabela_registros[CATEGORIA],despesafixaconsolidadoout[[#This Row],[DESPESA FIXA]])</f>
        <v>0</v>
      </c>
      <c r="AD43" s="119" t="n">
        <f aca="false">SUMIFS(tabela_registros[VALOR],tabela_registros[MÊS],$AE$1,tabela_registros[DIA],outtotal3059718395107119131143[[#Headers],[26]],tabela_registros[REGISTRO],DADOS!$N$4,tabela_registros[TIPO],DADOS!$P$3,tabela_registros[CATEGORIA],despesafixaconsolidadoout[[#This Row],[DESPESA FIXA]])</f>
        <v>0</v>
      </c>
      <c r="AE43" s="119" t="n">
        <f aca="false">SUMIFS(tabela_registros[VALOR],tabela_registros[MÊS],$AE$1,tabela_registros[DIA],outtotal3059718395107119131143[[#Headers],[27]],tabela_registros[REGISTRO],DADOS!$N$4,tabela_registros[TIPO],DADOS!$P$3,tabela_registros[CATEGORIA],despesafixaconsolidadoout[[#This Row],[DESPESA FIXA]])</f>
        <v>0</v>
      </c>
      <c r="AF43" s="119" t="n">
        <f aca="false">SUMIFS(tabela_registros[VALOR],tabela_registros[MÊS],$AE$1,tabela_registros[DIA],outtotal3059718395107119131143[[#Headers],[28]],tabela_registros[REGISTRO],DADOS!$N$4,tabela_registros[TIPO],DADOS!$P$3,tabela_registros[CATEGORIA],despesafixaconsolidadoout[[#This Row],[DESPESA FIXA]])</f>
        <v>0</v>
      </c>
      <c r="AG43" s="119" t="n">
        <f aca="false">SUMIFS(tabela_registros[VALOR],tabela_registros[MÊS],$AE$1,tabela_registros[DIA],outtotal3059718395107119131143[[#Headers],[29]],tabela_registros[REGISTRO],DADOS!$N$4,tabela_registros[TIPO],DADOS!$P$3,tabela_registros[CATEGORIA],despesafixaconsolidadoout[[#This Row],[DESPESA FIXA]])</f>
        <v>0</v>
      </c>
      <c r="AH43" s="119" t="n">
        <f aca="false">SUMIFS(tabela_registros[VALOR],tabela_registros[MÊS],$AE$1,tabela_registros[DIA],outtotal3059718395107119131143[[#Headers],[30]],tabela_registros[REGISTRO],DADOS!$N$4,tabela_registros[TIPO],DADOS!$P$3,tabela_registros[CATEGORIA],despesafixaconsolidadoout[[#This Row],[DESPESA FIXA]])</f>
        <v>0</v>
      </c>
      <c r="AI43" s="217" t="n">
        <f aca="false">SUMIFS(tabela_registros[VALOR],tabela_registros[MÊS],$AE$1,tabela_registros[DIA],outtotal3059718395107119131143[[#Headers],[31]],tabela_registros[REGISTRO],DADOS!$N$4,tabela_registros[TIPO],DADOS!$P$3,tabela_registros[CATEGORIA],despesafixaconsolidadoout[[#This Row],[DESPESA FIXA]])</f>
        <v>0</v>
      </c>
      <c r="AJ43" s="149" t="n">
        <f aca="false">SUM(despesafixaconsolidadoout[[#This Row],[1]:[31]])</f>
        <v>0</v>
      </c>
      <c r="AK43" s="143"/>
    </row>
    <row r="44" customFormat="false" ht="18" hidden="false" customHeight="true" outlineLevel="0" collapsed="false">
      <c r="B44" s="143"/>
      <c r="C44" s="144" t="str">
        <f aca="false">DADOS!$R$10</f>
        <v>👨‍👩‍👧 FAMÍLIA</v>
      </c>
      <c r="D44" s="145" t="str">
        <f aca="false">IF(despesafixaconsolidadoout[[#This Row],[TOTAL]]=0,"",IF(OR(despesafixaconsolidadoout[[#This Row],[TOTAL]]=LARGE($AJ$37:$AJ$50,1),despesafixaconsolidadoout[[#This Row],[TOTAL]]=LARGE($AJ$37:$AJ$50,2),despesafixaconsolidadoout[[#This Row],[TOTAL]]=LARGE($AJ$37:$AJ$50,3),despesafixaconsolidadoout[[#This Row],[TOTAL]]=LARGE($AJ$37:$AJ$50,4),despesafixaconsolidadoout[[#This Row],[TOTAL]]=LARGE($AJ$37:$AJ$50,5)),DADOS!$I$8,""))</f>
        <v/>
      </c>
      <c r="E44" s="148" t="n">
        <f aca="false">SUMIFS(tabela_registros[VALOR],tabela_registros[MÊS],$AE$1,tabela_registros[DIA],outtotal3059718395107119131143[[#Headers],[1]],tabela_registros[REGISTRO],DADOS!$N$4,tabela_registros[TIPO],DADOS!$P$3,tabela_registros[CATEGORIA],despesafixaconsolidadoout[[#This Row],[DESPESA FIXA]])</f>
        <v>0</v>
      </c>
      <c r="F44" s="119" t="n">
        <f aca="false">SUMIFS(tabela_registros[VALOR],tabela_registros[MÊS],$AE$1,tabela_registros[DIA],outtotal3059718395107119131143[[#Headers],[2]],tabela_registros[REGISTRO],DADOS!$N$4,tabela_registros[TIPO],DADOS!$P$3,tabela_registros[CATEGORIA],despesafixaconsolidadoout[[#This Row],[DESPESA FIXA]])</f>
        <v>0</v>
      </c>
      <c r="G44" s="119" t="n">
        <f aca="false">SUMIFS(tabela_registros[VALOR],tabela_registros[MÊS],$AE$1,tabela_registros[DIA],outtotal3059718395107119131143[[#Headers],[3]],tabela_registros[REGISTRO],DADOS!$N$4,tabela_registros[TIPO],DADOS!$P$3,tabela_registros[CATEGORIA],despesafixaconsolidadoout[[#This Row],[DESPESA FIXA]])</f>
        <v>0</v>
      </c>
      <c r="H44" s="119" t="n">
        <f aca="false">SUMIFS(tabela_registros[VALOR],tabela_registros[MÊS],$AE$1,tabela_registros[DIA],outtotal3059718395107119131143[[#Headers],[4]],tabela_registros[REGISTRO],DADOS!$N$4,tabela_registros[TIPO],DADOS!$P$3,tabela_registros[CATEGORIA],despesafixaconsolidadoout[[#This Row],[DESPESA FIXA]])</f>
        <v>0</v>
      </c>
      <c r="I44" s="119" t="n">
        <f aca="false">SUMIFS(tabela_registros[VALOR],tabela_registros[MÊS],$AE$1,tabela_registros[DIA],outtotal3059718395107119131143[[#Headers],[5]],tabela_registros[REGISTRO],DADOS!$N$4,tabela_registros[TIPO],DADOS!$P$3,tabela_registros[CATEGORIA],despesafixaconsolidadoout[[#This Row],[DESPESA FIXA]])</f>
        <v>0</v>
      </c>
      <c r="J44" s="119" t="n">
        <f aca="false">SUMIFS(tabela_registros[VALOR],tabela_registros[MÊS],$AE$1,tabela_registros[DIA],outtotal3059718395107119131143[[#Headers],[6]],tabela_registros[REGISTRO],DADOS!$N$4,tabela_registros[TIPO],DADOS!$P$3,tabela_registros[CATEGORIA],despesafixaconsolidadoout[[#This Row],[DESPESA FIXA]])</f>
        <v>0</v>
      </c>
      <c r="K44" s="119" t="n">
        <f aca="false">SUMIFS(tabela_registros[VALOR],tabela_registros[MÊS],$AE$1,tabela_registros[DIA],outtotal3059718395107119131143[[#Headers],[7]],tabela_registros[REGISTRO],DADOS!$N$4,tabela_registros[TIPO],DADOS!$P$3,tabela_registros[CATEGORIA],despesafixaconsolidadoout[[#This Row],[DESPESA FIXA]])</f>
        <v>0</v>
      </c>
      <c r="L44" s="119" t="n">
        <f aca="false">SUMIFS(tabela_registros[VALOR],tabela_registros[MÊS],$AE$1,tabela_registros[DIA],outtotal3059718395107119131143[[#Headers],[8]],tabela_registros[REGISTRO],DADOS!$N$4,tabela_registros[TIPO],DADOS!$P$3,tabela_registros[CATEGORIA],despesafixaconsolidadoout[[#This Row],[DESPESA FIXA]])</f>
        <v>0</v>
      </c>
      <c r="M44" s="119" t="n">
        <f aca="false">SUMIFS(tabela_registros[VALOR],tabela_registros[MÊS],$AE$1,tabela_registros[DIA],outtotal3059718395107119131143[[#Headers],[9]],tabela_registros[REGISTRO],DADOS!$N$4,tabela_registros[TIPO],DADOS!$P$3,tabela_registros[CATEGORIA],despesafixaconsolidadoout[[#This Row],[DESPESA FIXA]])</f>
        <v>0</v>
      </c>
      <c r="N44" s="119" t="n">
        <f aca="false">SUMIFS(tabela_registros[VALOR],tabela_registros[MÊS],$AE$1,tabela_registros[DIA],outtotal3059718395107119131143[[#Headers],[10]],tabela_registros[REGISTRO],DADOS!$N$4,tabela_registros[TIPO],DADOS!$P$3,tabela_registros[CATEGORIA],despesafixaconsolidadoout[[#This Row],[DESPESA FIXA]])</f>
        <v>0</v>
      </c>
      <c r="O44" s="119" t="n">
        <f aca="false">SUMIFS(tabela_registros[VALOR],tabela_registros[MÊS],$AE$1,tabela_registros[DIA],outtotal3059718395107119131143[[#Headers],[11]],tabela_registros[REGISTRO],DADOS!$N$4,tabela_registros[TIPO],DADOS!$P$3,tabela_registros[CATEGORIA],despesafixaconsolidadoout[[#This Row],[DESPESA FIXA]])</f>
        <v>0</v>
      </c>
      <c r="P44" s="119" t="n">
        <f aca="false">SUMIFS(tabela_registros[VALOR],tabela_registros[MÊS],$AE$1,tabela_registros[DIA],outtotal3059718395107119131143[[#Headers],[12]],tabela_registros[REGISTRO],DADOS!$N$4,tabela_registros[TIPO],DADOS!$P$3,tabela_registros[CATEGORIA],despesafixaconsolidadoout[[#This Row],[DESPESA FIXA]])</f>
        <v>0</v>
      </c>
      <c r="Q44" s="119" t="n">
        <f aca="false">SUMIFS(tabela_registros[VALOR],tabela_registros[MÊS],$AE$1,tabela_registros[DIA],outtotal3059718395107119131143[[#Headers],[13]],tabela_registros[REGISTRO],DADOS!$N$4,tabela_registros[TIPO],DADOS!$P$3,tabela_registros[CATEGORIA],despesafixaconsolidadoout[[#This Row],[DESPESA FIXA]])</f>
        <v>0</v>
      </c>
      <c r="R44" s="119" t="n">
        <f aca="false">SUMIFS(tabela_registros[VALOR],tabela_registros[MÊS],$AE$1,tabela_registros[DIA],outtotal3059718395107119131143[[#Headers],[14]],tabela_registros[REGISTRO],DADOS!$N$4,tabela_registros[TIPO],DADOS!$P$3,tabela_registros[CATEGORIA],despesafixaconsolidadoout[[#This Row],[DESPESA FIXA]])</f>
        <v>0</v>
      </c>
      <c r="S44" s="119" t="n">
        <f aca="false">SUMIFS(tabela_registros[VALOR],tabela_registros[MÊS],$AE$1,tabela_registros[DIA],outtotal3059718395107119131143[[#Headers],[15]],tabela_registros[REGISTRO],DADOS!$N$4,tabela_registros[TIPO],DADOS!$P$3,tabela_registros[CATEGORIA],despesafixaconsolidadoout[[#This Row],[DESPESA FIXA]])</f>
        <v>0</v>
      </c>
      <c r="T44" s="119" t="n">
        <f aca="false">SUMIFS(tabela_registros[VALOR],tabela_registros[MÊS],$AE$1,tabela_registros[DIA],outtotal3059718395107119131143[[#Headers],[16]],tabela_registros[REGISTRO],DADOS!$N$4,tabela_registros[TIPO],DADOS!$P$3,tabela_registros[CATEGORIA],despesafixaconsolidadoout[[#This Row],[DESPESA FIXA]])</f>
        <v>0</v>
      </c>
      <c r="U44" s="119" t="n">
        <f aca="false">SUMIFS(tabela_registros[VALOR],tabela_registros[MÊS],$AE$1,tabela_registros[DIA],outtotal3059718395107119131143[[#Headers],[17]],tabela_registros[REGISTRO],DADOS!$N$4,tabela_registros[TIPO],DADOS!$P$3,tabela_registros[CATEGORIA],despesafixaconsolidadoout[[#This Row],[DESPESA FIXA]])</f>
        <v>0</v>
      </c>
      <c r="V44" s="119" t="n">
        <f aca="false">SUMIFS(tabela_registros[VALOR],tabela_registros[MÊS],$AE$1,tabela_registros[DIA],outtotal3059718395107119131143[[#Headers],[18]],tabela_registros[REGISTRO],DADOS!$N$4,tabela_registros[TIPO],DADOS!$P$3,tabela_registros[CATEGORIA],despesafixaconsolidadoout[[#This Row],[DESPESA FIXA]])</f>
        <v>0</v>
      </c>
      <c r="W44" s="119" t="n">
        <f aca="false">SUMIFS(tabela_registros[VALOR],tabela_registros[MÊS],$AE$1,tabela_registros[DIA],outtotal3059718395107119131143[[#Headers],[19]],tabela_registros[REGISTRO],DADOS!$N$4,tabela_registros[TIPO],DADOS!$P$3,tabela_registros[CATEGORIA],despesafixaconsolidadoout[[#This Row],[DESPESA FIXA]])</f>
        <v>0</v>
      </c>
      <c r="X44" s="119" t="n">
        <f aca="false">SUMIFS(tabela_registros[VALOR],tabela_registros[MÊS],$AE$1,tabela_registros[DIA],outtotal3059718395107119131143[[#Headers],[20]],tabela_registros[REGISTRO],DADOS!$N$4,tabela_registros[TIPO],DADOS!$P$3,tabela_registros[CATEGORIA],despesafixaconsolidadoout[[#This Row],[DESPESA FIXA]])</f>
        <v>0</v>
      </c>
      <c r="Y44" s="119" t="n">
        <f aca="false">SUMIFS(tabela_registros[VALOR],tabela_registros[MÊS],$AE$1,tabela_registros[DIA],outtotal3059718395107119131143[[#Headers],[21]],tabela_registros[REGISTRO],DADOS!$N$4,tabela_registros[TIPO],DADOS!$P$3,tabela_registros[CATEGORIA],despesafixaconsolidadoout[[#This Row],[DESPESA FIXA]])</f>
        <v>0</v>
      </c>
      <c r="Z44" s="119" t="n">
        <f aca="false">SUMIFS(tabela_registros[VALOR],tabela_registros[MÊS],$AE$1,tabela_registros[DIA],outtotal3059718395107119131143[[#Headers],[22]],tabela_registros[REGISTRO],DADOS!$N$4,tabela_registros[TIPO],DADOS!$P$3,tabela_registros[CATEGORIA],despesafixaconsolidadoout[[#This Row],[DESPESA FIXA]])</f>
        <v>0</v>
      </c>
      <c r="AA44" s="119" t="n">
        <f aca="false">SUMIFS(tabela_registros[VALOR],tabela_registros[MÊS],$AE$1,tabela_registros[DIA],outtotal3059718395107119131143[[#Headers],[23]],tabela_registros[REGISTRO],DADOS!$N$4,tabela_registros[TIPO],DADOS!$P$3,tabela_registros[CATEGORIA],despesafixaconsolidadoout[[#This Row],[DESPESA FIXA]])</f>
        <v>0</v>
      </c>
      <c r="AB44" s="119" t="n">
        <f aca="false">SUMIFS(tabela_registros[VALOR],tabela_registros[MÊS],$AE$1,tabela_registros[DIA],outtotal3059718395107119131143[[#Headers],[24]],tabela_registros[REGISTRO],DADOS!$N$4,tabela_registros[TIPO],DADOS!$P$3,tabela_registros[CATEGORIA],despesafixaconsolidadoout[[#This Row],[DESPESA FIXA]])</f>
        <v>0</v>
      </c>
      <c r="AC44" s="119" t="n">
        <f aca="false">SUMIFS(tabela_registros[VALOR],tabela_registros[MÊS],$AE$1,tabela_registros[DIA],outtotal3059718395107119131143[[#Headers],[25]],tabela_registros[REGISTRO],DADOS!$N$4,tabela_registros[TIPO],DADOS!$P$3,tabela_registros[CATEGORIA],despesafixaconsolidadoout[[#This Row],[DESPESA FIXA]])</f>
        <v>0</v>
      </c>
      <c r="AD44" s="119" t="n">
        <f aca="false">SUMIFS(tabela_registros[VALOR],tabela_registros[MÊS],$AE$1,tabela_registros[DIA],outtotal3059718395107119131143[[#Headers],[26]],tabela_registros[REGISTRO],DADOS!$N$4,tabela_registros[TIPO],DADOS!$P$3,tabela_registros[CATEGORIA],despesafixaconsolidadoout[[#This Row],[DESPESA FIXA]])</f>
        <v>0</v>
      </c>
      <c r="AE44" s="119" t="n">
        <f aca="false">SUMIFS(tabela_registros[VALOR],tabela_registros[MÊS],$AE$1,tabela_registros[DIA],outtotal3059718395107119131143[[#Headers],[27]],tabela_registros[REGISTRO],DADOS!$N$4,tabela_registros[TIPO],DADOS!$P$3,tabela_registros[CATEGORIA],despesafixaconsolidadoout[[#This Row],[DESPESA FIXA]])</f>
        <v>0</v>
      </c>
      <c r="AF44" s="119" t="n">
        <f aca="false">SUMIFS(tabela_registros[VALOR],tabela_registros[MÊS],$AE$1,tabela_registros[DIA],outtotal3059718395107119131143[[#Headers],[28]],tabela_registros[REGISTRO],DADOS!$N$4,tabela_registros[TIPO],DADOS!$P$3,tabela_registros[CATEGORIA],despesafixaconsolidadoout[[#This Row],[DESPESA FIXA]])</f>
        <v>0</v>
      </c>
      <c r="AG44" s="119" t="n">
        <f aca="false">SUMIFS(tabela_registros[VALOR],tabela_registros[MÊS],$AE$1,tabela_registros[DIA],outtotal3059718395107119131143[[#Headers],[29]],tabela_registros[REGISTRO],DADOS!$N$4,tabela_registros[TIPO],DADOS!$P$3,tabela_registros[CATEGORIA],despesafixaconsolidadoout[[#This Row],[DESPESA FIXA]])</f>
        <v>0</v>
      </c>
      <c r="AH44" s="119" t="n">
        <f aca="false">SUMIFS(tabela_registros[VALOR],tabela_registros[MÊS],$AE$1,tabela_registros[DIA],outtotal3059718395107119131143[[#Headers],[30]],tabela_registros[REGISTRO],DADOS!$N$4,tabela_registros[TIPO],DADOS!$P$3,tabela_registros[CATEGORIA],despesafixaconsolidadoout[[#This Row],[DESPESA FIXA]])</f>
        <v>0</v>
      </c>
      <c r="AI44" s="217" t="n">
        <f aca="false">SUMIFS(tabela_registros[VALOR],tabela_registros[MÊS],$AE$1,tabela_registros[DIA],outtotal3059718395107119131143[[#Headers],[31]],tabela_registros[REGISTRO],DADOS!$N$4,tabela_registros[TIPO],DADOS!$P$3,tabela_registros[CATEGORIA],despesafixaconsolidadoout[[#This Row],[DESPESA FIXA]])</f>
        <v>0</v>
      </c>
      <c r="AJ44" s="149" t="n">
        <f aca="false">SUM(despesafixaconsolidadoout[[#This Row],[1]:[31]])</f>
        <v>0</v>
      </c>
      <c r="AK44" s="143"/>
    </row>
    <row r="45" customFormat="false" ht="18" hidden="false" customHeight="true" outlineLevel="0" collapsed="false">
      <c r="B45" s="143"/>
      <c r="C45" s="144" t="str">
        <f aca="false">DADOS!$R$11</f>
        <v>🔢 IMPOSTOS</v>
      </c>
      <c r="D45" s="145" t="str">
        <f aca="false">IF(despesafixaconsolidadoout[[#This Row],[TOTAL]]=0,"",IF(OR(despesafixaconsolidadoout[[#This Row],[TOTAL]]=LARGE($AJ$37:$AJ$50,1),despesafixaconsolidadoout[[#This Row],[TOTAL]]=LARGE($AJ$37:$AJ$50,2),despesafixaconsolidadoout[[#This Row],[TOTAL]]=LARGE($AJ$37:$AJ$50,3),despesafixaconsolidadoout[[#This Row],[TOTAL]]=LARGE($AJ$37:$AJ$50,4),despesafixaconsolidadoout[[#This Row],[TOTAL]]=LARGE($AJ$37:$AJ$50,5)),DADOS!$I$8,""))</f>
        <v/>
      </c>
      <c r="E45" s="148" t="n">
        <f aca="false">SUMIFS(tabela_registros[VALOR],tabela_registros[MÊS],$AE$1,tabela_registros[DIA],outtotal3059718395107119131143[[#Headers],[1]],tabela_registros[REGISTRO],DADOS!$N$4,tabela_registros[TIPO],DADOS!$P$3,tabela_registros[CATEGORIA],despesafixaconsolidadoout[[#This Row],[DESPESA FIXA]])</f>
        <v>0</v>
      </c>
      <c r="F45" s="119" t="n">
        <f aca="false">SUMIFS(tabela_registros[VALOR],tabela_registros[MÊS],$AE$1,tabela_registros[DIA],outtotal3059718395107119131143[[#Headers],[2]],tabela_registros[REGISTRO],DADOS!$N$4,tabela_registros[TIPO],DADOS!$P$3,tabela_registros[CATEGORIA],despesafixaconsolidadoout[[#This Row],[DESPESA FIXA]])</f>
        <v>0</v>
      </c>
      <c r="G45" s="119" t="n">
        <f aca="false">SUMIFS(tabela_registros[VALOR],tabela_registros[MÊS],$AE$1,tabela_registros[DIA],outtotal3059718395107119131143[[#Headers],[3]],tabela_registros[REGISTRO],DADOS!$N$4,tabela_registros[TIPO],DADOS!$P$3,tabela_registros[CATEGORIA],despesafixaconsolidadoout[[#This Row],[DESPESA FIXA]])</f>
        <v>0</v>
      </c>
      <c r="H45" s="119" t="n">
        <f aca="false">SUMIFS(tabela_registros[VALOR],tabela_registros[MÊS],$AE$1,tabela_registros[DIA],outtotal3059718395107119131143[[#Headers],[4]],tabela_registros[REGISTRO],DADOS!$N$4,tabela_registros[TIPO],DADOS!$P$3,tabela_registros[CATEGORIA],despesafixaconsolidadoout[[#This Row],[DESPESA FIXA]])</f>
        <v>0</v>
      </c>
      <c r="I45" s="119" t="n">
        <f aca="false">SUMIFS(tabela_registros[VALOR],tabela_registros[MÊS],$AE$1,tabela_registros[DIA],outtotal3059718395107119131143[[#Headers],[5]],tabela_registros[REGISTRO],DADOS!$N$4,tabela_registros[TIPO],DADOS!$P$3,tabela_registros[CATEGORIA],despesafixaconsolidadoout[[#This Row],[DESPESA FIXA]])</f>
        <v>0</v>
      </c>
      <c r="J45" s="119" t="n">
        <f aca="false">SUMIFS(tabela_registros[VALOR],tabela_registros[MÊS],$AE$1,tabela_registros[DIA],outtotal3059718395107119131143[[#Headers],[6]],tabela_registros[REGISTRO],DADOS!$N$4,tabela_registros[TIPO],DADOS!$P$3,tabela_registros[CATEGORIA],despesafixaconsolidadoout[[#This Row],[DESPESA FIXA]])</f>
        <v>0</v>
      </c>
      <c r="K45" s="119" t="n">
        <f aca="false">SUMIFS(tabela_registros[VALOR],tabela_registros[MÊS],$AE$1,tabela_registros[DIA],outtotal3059718395107119131143[[#Headers],[7]],tabela_registros[REGISTRO],DADOS!$N$4,tabela_registros[TIPO],DADOS!$P$3,tabela_registros[CATEGORIA],despesafixaconsolidadoout[[#This Row],[DESPESA FIXA]])</f>
        <v>0</v>
      </c>
      <c r="L45" s="119" t="n">
        <f aca="false">SUMIFS(tabela_registros[VALOR],tabela_registros[MÊS],$AE$1,tabela_registros[DIA],outtotal3059718395107119131143[[#Headers],[8]],tabela_registros[REGISTRO],DADOS!$N$4,tabela_registros[TIPO],DADOS!$P$3,tabela_registros[CATEGORIA],despesafixaconsolidadoout[[#This Row],[DESPESA FIXA]])</f>
        <v>0</v>
      </c>
      <c r="M45" s="119" t="n">
        <f aca="false">SUMIFS(tabela_registros[VALOR],tabela_registros[MÊS],$AE$1,tabela_registros[DIA],outtotal3059718395107119131143[[#Headers],[9]],tabela_registros[REGISTRO],DADOS!$N$4,tabela_registros[TIPO],DADOS!$P$3,tabela_registros[CATEGORIA],despesafixaconsolidadoout[[#This Row],[DESPESA FIXA]])</f>
        <v>0</v>
      </c>
      <c r="N45" s="119" t="n">
        <f aca="false">SUMIFS(tabela_registros[VALOR],tabela_registros[MÊS],$AE$1,tabela_registros[DIA],outtotal3059718395107119131143[[#Headers],[10]],tabela_registros[REGISTRO],DADOS!$N$4,tabela_registros[TIPO],DADOS!$P$3,tabela_registros[CATEGORIA],despesafixaconsolidadoout[[#This Row],[DESPESA FIXA]])</f>
        <v>0</v>
      </c>
      <c r="O45" s="119" t="n">
        <f aca="false">SUMIFS(tabela_registros[VALOR],tabela_registros[MÊS],$AE$1,tabela_registros[DIA],outtotal3059718395107119131143[[#Headers],[11]],tabela_registros[REGISTRO],DADOS!$N$4,tabela_registros[TIPO],DADOS!$P$3,tabela_registros[CATEGORIA],despesafixaconsolidadoout[[#This Row],[DESPESA FIXA]])</f>
        <v>0</v>
      </c>
      <c r="P45" s="119" t="n">
        <f aca="false">SUMIFS(tabela_registros[VALOR],tabela_registros[MÊS],$AE$1,tabela_registros[DIA],outtotal3059718395107119131143[[#Headers],[12]],tabela_registros[REGISTRO],DADOS!$N$4,tabela_registros[TIPO],DADOS!$P$3,tabela_registros[CATEGORIA],despesafixaconsolidadoout[[#This Row],[DESPESA FIXA]])</f>
        <v>0</v>
      </c>
      <c r="Q45" s="119" t="n">
        <f aca="false">SUMIFS(tabela_registros[VALOR],tabela_registros[MÊS],$AE$1,tabela_registros[DIA],outtotal3059718395107119131143[[#Headers],[13]],tabela_registros[REGISTRO],DADOS!$N$4,tabela_registros[TIPO],DADOS!$P$3,tabela_registros[CATEGORIA],despesafixaconsolidadoout[[#This Row],[DESPESA FIXA]])</f>
        <v>0</v>
      </c>
      <c r="R45" s="119" t="n">
        <f aca="false">SUMIFS(tabela_registros[VALOR],tabela_registros[MÊS],$AE$1,tabela_registros[DIA],outtotal3059718395107119131143[[#Headers],[14]],tabela_registros[REGISTRO],DADOS!$N$4,tabela_registros[TIPO],DADOS!$P$3,tabela_registros[CATEGORIA],despesafixaconsolidadoout[[#This Row],[DESPESA FIXA]])</f>
        <v>0</v>
      </c>
      <c r="S45" s="119" t="n">
        <f aca="false">SUMIFS(tabela_registros[VALOR],tabela_registros[MÊS],$AE$1,tabela_registros[DIA],outtotal3059718395107119131143[[#Headers],[15]],tabela_registros[REGISTRO],DADOS!$N$4,tabela_registros[TIPO],DADOS!$P$3,tabela_registros[CATEGORIA],despesafixaconsolidadoout[[#This Row],[DESPESA FIXA]])</f>
        <v>0</v>
      </c>
      <c r="T45" s="119" t="n">
        <f aca="false">SUMIFS(tabela_registros[VALOR],tabela_registros[MÊS],$AE$1,tabela_registros[DIA],outtotal3059718395107119131143[[#Headers],[16]],tabela_registros[REGISTRO],DADOS!$N$4,tabela_registros[TIPO],DADOS!$P$3,tabela_registros[CATEGORIA],despesafixaconsolidadoout[[#This Row],[DESPESA FIXA]])</f>
        <v>0</v>
      </c>
      <c r="U45" s="119" t="n">
        <f aca="false">SUMIFS(tabela_registros[VALOR],tabela_registros[MÊS],$AE$1,tabela_registros[DIA],outtotal3059718395107119131143[[#Headers],[17]],tabela_registros[REGISTRO],DADOS!$N$4,tabela_registros[TIPO],DADOS!$P$3,tabela_registros[CATEGORIA],despesafixaconsolidadoout[[#This Row],[DESPESA FIXA]])</f>
        <v>0</v>
      </c>
      <c r="V45" s="119" t="n">
        <f aca="false">SUMIFS(tabela_registros[VALOR],tabela_registros[MÊS],$AE$1,tabela_registros[DIA],outtotal3059718395107119131143[[#Headers],[18]],tabela_registros[REGISTRO],DADOS!$N$4,tabela_registros[TIPO],DADOS!$P$3,tabela_registros[CATEGORIA],despesafixaconsolidadoout[[#This Row],[DESPESA FIXA]])</f>
        <v>0</v>
      </c>
      <c r="W45" s="119" t="n">
        <f aca="false">SUMIFS(tabela_registros[VALOR],tabela_registros[MÊS],$AE$1,tabela_registros[DIA],outtotal3059718395107119131143[[#Headers],[19]],tabela_registros[REGISTRO],DADOS!$N$4,tabela_registros[TIPO],DADOS!$P$3,tabela_registros[CATEGORIA],despesafixaconsolidadoout[[#This Row],[DESPESA FIXA]])</f>
        <v>0</v>
      </c>
      <c r="X45" s="119" t="n">
        <f aca="false">SUMIFS(tabela_registros[VALOR],tabela_registros[MÊS],$AE$1,tabela_registros[DIA],outtotal3059718395107119131143[[#Headers],[20]],tabela_registros[REGISTRO],DADOS!$N$4,tabela_registros[TIPO],DADOS!$P$3,tabela_registros[CATEGORIA],despesafixaconsolidadoout[[#This Row],[DESPESA FIXA]])</f>
        <v>0</v>
      </c>
      <c r="Y45" s="119" t="n">
        <f aca="false">SUMIFS(tabela_registros[VALOR],tabela_registros[MÊS],$AE$1,tabela_registros[DIA],outtotal3059718395107119131143[[#Headers],[21]],tabela_registros[REGISTRO],DADOS!$N$4,tabela_registros[TIPO],DADOS!$P$3,tabela_registros[CATEGORIA],despesafixaconsolidadoout[[#This Row],[DESPESA FIXA]])</f>
        <v>0</v>
      </c>
      <c r="Z45" s="119" t="n">
        <f aca="false">SUMIFS(tabela_registros[VALOR],tabela_registros[MÊS],$AE$1,tabela_registros[DIA],outtotal3059718395107119131143[[#Headers],[22]],tabela_registros[REGISTRO],DADOS!$N$4,tabela_registros[TIPO],DADOS!$P$3,tabela_registros[CATEGORIA],despesafixaconsolidadoout[[#This Row],[DESPESA FIXA]])</f>
        <v>0</v>
      </c>
      <c r="AA45" s="119" t="n">
        <f aca="false">SUMIFS(tabela_registros[VALOR],tabela_registros[MÊS],$AE$1,tabela_registros[DIA],outtotal3059718395107119131143[[#Headers],[23]],tabela_registros[REGISTRO],DADOS!$N$4,tabela_registros[TIPO],DADOS!$P$3,tabela_registros[CATEGORIA],despesafixaconsolidadoout[[#This Row],[DESPESA FIXA]])</f>
        <v>0</v>
      </c>
      <c r="AB45" s="119" t="n">
        <f aca="false">SUMIFS(tabela_registros[VALOR],tabela_registros[MÊS],$AE$1,tabela_registros[DIA],outtotal3059718395107119131143[[#Headers],[24]],tabela_registros[REGISTRO],DADOS!$N$4,tabela_registros[TIPO],DADOS!$P$3,tabela_registros[CATEGORIA],despesafixaconsolidadoout[[#This Row],[DESPESA FIXA]])</f>
        <v>0</v>
      </c>
      <c r="AC45" s="119" t="n">
        <f aca="false">SUMIFS(tabela_registros[VALOR],tabela_registros[MÊS],$AE$1,tabela_registros[DIA],outtotal3059718395107119131143[[#Headers],[25]],tabela_registros[REGISTRO],DADOS!$N$4,tabela_registros[TIPO],DADOS!$P$3,tabela_registros[CATEGORIA],despesafixaconsolidadoout[[#This Row],[DESPESA FIXA]])</f>
        <v>0</v>
      </c>
      <c r="AD45" s="119" t="n">
        <f aca="false">SUMIFS(tabela_registros[VALOR],tabela_registros[MÊS],$AE$1,tabela_registros[DIA],outtotal3059718395107119131143[[#Headers],[26]],tabela_registros[REGISTRO],DADOS!$N$4,tabela_registros[TIPO],DADOS!$P$3,tabela_registros[CATEGORIA],despesafixaconsolidadoout[[#This Row],[DESPESA FIXA]])</f>
        <v>0</v>
      </c>
      <c r="AE45" s="119" t="n">
        <f aca="false">SUMIFS(tabela_registros[VALOR],tabela_registros[MÊS],$AE$1,tabela_registros[DIA],outtotal3059718395107119131143[[#Headers],[27]],tabela_registros[REGISTRO],DADOS!$N$4,tabela_registros[TIPO],DADOS!$P$3,tabela_registros[CATEGORIA],despesafixaconsolidadoout[[#This Row],[DESPESA FIXA]])</f>
        <v>0</v>
      </c>
      <c r="AF45" s="119" t="n">
        <f aca="false">SUMIFS(tabela_registros[VALOR],tabela_registros[MÊS],$AE$1,tabela_registros[DIA],outtotal3059718395107119131143[[#Headers],[28]],tabela_registros[REGISTRO],DADOS!$N$4,tabela_registros[TIPO],DADOS!$P$3,tabela_registros[CATEGORIA],despesafixaconsolidadoout[[#This Row],[DESPESA FIXA]])</f>
        <v>0</v>
      </c>
      <c r="AG45" s="119" t="n">
        <f aca="false">SUMIFS(tabela_registros[VALOR],tabela_registros[MÊS],$AE$1,tabela_registros[DIA],outtotal3059718395107119131143[[#Headers],[29]],tabela_registros[REGISTRO],DADOS!$N$4,tabela_registros[TIPO],DADOS!$P$3,tabela_registros[CATEGORIA],despesafixaconsolidadoout[[#This Row],[DESPESA FIXA]])</f>
        <v>0</v>
      </c>
      <c r="AH45" s="119" t="n">
        <f aca="false">SUMIFS(tabela_registros[VALOR],tabela_registros[MÊS],$AE$1,tabela_registros[DIA],outtotal3059718395107119131143[[#Headers],[30]],tabela_registros[REGISTRO],DADOS!$N$4,tabela_registros[TIPO],DADOS!$P$3,tabela_registros[CATEGORIA],despesafixaconsolidadoout[[#This Row],[DESPESA FIXA]])</f>
        <v>0</v>
      </c>
      <c r="AI45" s="217" t="n">
        <f aca="false">SUMIFS(tabela_registros[VALOR],tabela_registros[MÊS],$AE$1,tabela_registros[DIA],outtotal3059718395107119131143[[#Headers],[31]],tabela_registros[REGISTRO],DADOS!$N$4,tabela_registros[TIPO],DADOS!$P$3,tabela_registros[CATEGORIA],despesafixaconsolidadoout[[#This Row],[DESPESA FIXA]])</f>
        <v>0</v>
      </c>
      <c r="AJ45" s="149" t="n">
        <f aca="false">SUM(despesafixaconsolidadoout[[#This Row],[1]:[31]])</f>
        <v>0</v>
      </c>
      <c r="AK45" s="143"/>
    </row>
    <row r="46" customFormat="false" ht="18" hidden="false" customHeight="true" outlineLevel="0" collapsed="false">
      <c r="B46" s="143"/>
      <c r="C46" s="144" t="str">
        <f aca="false">DADOS!$R$12</f>
        <v>🖱️ INTERNET</v>
      </c>
      <c r="D46" s="145" t="str">
        <f aca="false">IF(despesafixaconsolidadoout[[#This Row],[TOTAL]]=0,"",IF(OR(despesafixaconsolidadoout[[#This Row],[TOTAL]]=LARGE($AJ$37:$AJ$50,1),despesafixaconsolidadoout[[#This Row],[TOTAL]]=LARGE($AJ$37:$AJ$50,2),despesafixaconsolidadoout[[#This Row],[TOTAL]]=LARGE($AJ$37:$AJ$50,3),despesafixaconsolidadoout[[#This Row],[TOTAL]]=LARGE($AJ$37:$AJ$50,4),despesafixaconsolidadoout[[#This Row],[TOTAL]]=LARGE($AJ$37:$AJ$50,5)),DADOS!$I$8,""))</f>
        <v/>
      </c>
      <c r="E46" s="148" t="n">
        <f aca="false">SUMIFS(tabela_registros[VALOR],tabela_registros[MÊS],$AE$1,tabela_registros[DIA],outtotal3059718395107119131143[[#Headers],[1]],tabela_registros[REGISTRO],DADOS!$N$4,tabela_registros[TIPO],DADOS!$P$3,tabela_registros[CATEGORIA],despesafixaconsolidadoout[[#This Row],[DESPESA FIXA]])</f>
        <v>0</v>
      </c>
      <c r="F46" s="119" t="n">
        <f aca="false">SUMIFS(tabela_registros[VALOR],tabela_registros[MÊS],$AE$1,tabela_registros[DIA],outtotal3059718395107119131143[[#Headers],[2]],tabela_registros[REGISTRO],DADOS!$N$4,tabela_registros[TIPO],DADOS!$P$3,tabela_registros[CATEGORIA],despesafixaconsolidadoout[[#This Row],[DESPESA FIXA]])</f>
        <v>0</v>
      </c>
      <c r="G46" s="119" t="n">
        <f aca="false">SUMIFS(tabela_registros[VALOR],tabela_registros[MÊS],$AE$1,tabela_registros[DIA],outtotal3059718395107119131143[[#Headers],[3]],tabela_registros[REGISTRO],DADOS!$N$4,tabela_registros[TIPO],DADOS!$P$3,tabela_registros[CATEGORIA],despesafixaconsolidadoout[[#This Row],[DESPESA FIXA]])</f>
        <v>0</v>
      </c>
      <c r="H46" s="119" t="n">
        <f aca="false">SUMIFS(tabela_registros[VALOR],tabela_registros[MÊS],$AE$1,tabela_registros[DIA],outtotal3059718395107119131143[[#Headers],[4]],tabela_registros[REGISTRO],DADOS!$N$4,tabela_registros[TIPO],DADOS!$P$3,tabela_registros[CATEGORIA],despesafixaconsolidadoout[[#This Row],[DESPESA FIXA]])</f>
        <v>0</v>
      </c>
      <c r="I46" s="119" t="n">
        <f aca="false">SUMIFS(tabela_registros[VALOR],tabela_registros[MÊS],$AE$1,tabela_registros[DIA],outtotal3059718395107119131143[[#Headers],[5]],tabela_registros[REGISTRO],DADOS!$N$4,tabela_registros[TIPO],DADOS!$P$3,tabela_registros[CATEGORIA],despesafixaconsolidadoout[[#This Row],[DESPESA FIXA]])</f>
        <v>0</v>
      </c>
      <c r="J46" s="119" t="n">
        <f aca="false">SUMIFS(tabela_registros[VALOR],tabela_registros[MÊS],$AE$1,tabela_registros[DIA],outtotal3059718395107119131143[[#Headers],[6]],tabela_registros[REGISTRO],DADOS!$N$4,tabela_registros[TIPO],DADOS!$P$3,tabela_registros[CATEGORIA],despesafixaconsolidadoout[[#This Row],[DESPESA FIXA]])</f>
        <v>0</v>
      </c>
      <c r="K46" s="119" t="n">
        <f aca="false">SUMIFS(tabela_registros[VALOR],tabela_registros[MÊS],$AE$1,tabela_registros[DIA],outtotal3059718395107119131143[[#Headers],[7]],tabela_registros[REGISTRO],DADOS!$N$4,tabela_registros[TIPO],DADOS!$P$3,tabela_registros[CATEGORIA],despesafixaconsolidadoout[[#This Row],[DESPESA FIXA]])</f>
        <v>0</v>
      </c>
      <c r="L46" s="119" t="n">
        <f aca="false">SUMIFS(tabela_registros[VALOR],tabela_registros[MÊS],$AE$1,tabela_registros[DIA],outtotal3059718395107119131143[[#Headers],[8]],tabela_registros[REGISTRO],DADOS!$N$4,tabela_registros[TIPO],DADOS!$P$3,tabela_registros[CATEGORIA],despesafixaconsolidadoout[[#This Row],[DESPESA FIXA]])</f>
        <v>0</v>
      </c>
      <c r="M46" s="119" t="n">
        <f aca="false">SUMIFS(tabela_registros[VALOR],tabela_registros[MÊS],$AE$1,tabela_registros[DIA],outtotal3059718395107119131143[[#Headers],[9]],tabela_registros[REGISTRO],DADOS!$N$4,tabela_registros[TIPO],DADOS!$P$3,tabela_registros[CATEGORIA],despesafixaconsolidadoout[[#This Row],[DESPESA FIXA]])</f>
        <v>0</v>
      </c>
      <c r="N46" s="119" t="n">
        <f aca="false">SUMIFS(tabela_registros[VALOR],tabela_registros[MÊS],$AE$1,tabela_registros[DIA],outtotal3059718395107119131143[[#Headers],[10]],tabela_registros[REGISTRO],DADOS!$N$4,tabela_registros[TIPO],DADOS!$P$3,tabela_registros[CATEGORIA],despesafixaconsolidadoout[[#This Row],[DESPESA FIXA]])</f>
        <v>0</v>
      </c>
      <c r="O46" s="119" t="n">
        <f aca="false">SUMIFS(tabela_registros[VALOR],tabela_registros[MÊS],$AE$1,tabela_registros[DIA],outtotal3059718395107119131143[[#Headers],[11]],tabela_registros[REGISTRO],DADOS!$N$4,tabela_registros[TIPO],DADOS!$P$3,tabela_registros[CATEGORIA],despesafixaconsolidadoout[[#This Row],[DESPESA FIXA]])</f>
        <v>0</v>
      </c>
      <c r="P46" s="119" t="n">
        <f aca="false">SUMIFS(tabela_registros[VALOR],tabela_registros[MÊS],$AE$1,tabela_registros[DIA],outtotal3059718395107119131143[[#Headers],[12]],tabela_registros[REGISTRO],DADOS!$N$4,tabela_registros[TIPO],DADOS!$P$3,tabela_registros[CATEGORIA],despesafixaconsolidadoout[[#This Row],[DESPESA FIXA]])</f>
        <v>0</v>
      </c>
      <c r="Q46" s="119" t="n">
        <f aca="false">SUMIFS(tabela_registros[VALOR],tabela_registros[MÊS],$AE$1,tabela_registros[DIA],outtotal3059718395107119131143[[#Headers],[13]],tabela_registros[REGISTRO],DADOS!$N$4,tabela_registros[TIPO],DADOS!$P$3,tabela_registros[CATEGORIA],despesafixaconsolidadoout[[#This Row],[DESPESA FIXA]])</f>
        <v>0</v>
      </c>
      <c r="R46" s="119" t="n">
        <f aca="false">SUMIFS(tabela_registros[VALOR],tabela_registros[MÊS],$AE$1,tabela_registros[DIA],outtotal3059718395107119131143[[#Headers],[14]],tabela_registros[REGISTRO],DADOS!$N$4,tabela_registros[TIPO],DADOS!$P$3,tabela_registros[CATEGORIA],despesafixaconsolidadoout[[#This Row],[DESPESA FIXA]])</f>
        <v>0</v>
      </c>
      <c r="S46" s="119" t="n">
        <f aca="false">SUMIFS(tabela_registros[VALOR],tabela_registros[MÊS],$AE$1,tabela_registros[DIA],outtotal3059718395107119131143[[#Headers],[15]],tabela_registros[REGISTRO],DADOS!$N$4,tabela_registros[TIPO],DADOS!$P$3,tabela_registros[CATEGORIA],despesafixaconsolidadoout[[#This Row],[DESPESA FIXA]])</f>
        <v>0</v>
      </c>
      <c r="T46" s="119" t="n">
        <f aca="false">SUMIFS(tabela_registros[VALOR],tabela_registros[MÊS],$AE$1,tabela_registros[DIA],outtotal3059718395107119131143[[#Headers],[16]],tabela_registros[REGISTRO],DADOS!$N$4,tabela_registros[TIPO],DADOS!$P$3,tabela_registros[CATEGORIA],despesafixaconsolidadoout[[#This Row],[DESPESA FIXA]])</f>
        <v>0</v>
      </c>
      <c r="U46" s="119" t="n">
        <f aca="false">SUMIFS(tabela_registros[VALOR],tabela_registros[MÊS],$AE$1,tabela_registros[DIA],outtotal3059718395107119131143[[#Headers],[17]],tabela_registros[REGISTRO],DADOS!$N$4,tabela_registros[TIPO],DADOS!$P$3,tabela_registros[CATEGORIA],despesafixaconsolidadoout[[#This Row],[DESPESA FIXA]])</f>
        <v>0</v>
      </c>
      <c r="V46" s="119" t="n">
        <f aca="false">SUMIFS(tabela_registros[VALOR],tabela_registros[MÊS],$AE$1,tabela_registros[DIA],outtotal3059718395107119131143[[#Headers],[18]],tabela_registros[REGISTRO],DADOS!$N$4,tabela_registros[TIPO],DADOS!$P$3,tabela_registros[CATEGORIA],despesafixaconsolidadoout[[#This Row],[DESPESA FIXA]])</f>
        <v>0</v>
      </c>
      <c r="W46" s="119" t="n">
        <f aca="false">SUMIFS(tabela_registros[VALOR],tabela_registros[MÊS],$AE$1,tabela_registros[DIA],outtotal3059718395107119131143[[#Headers],[19]],tabela_registros[REGISTRO],DADOS!$N$4,tabela_registros[TIPO],DADOS!$P$3,tabela_registros[CATEGORIA],despesafixaconsolidadoout[[#This Row],[DESPESA FIXA]])</f>
        <v>0</v>
      </c>
      <c r="X46" s="119" t="n">
        <f aca="false">SUMIFS(tabela_registros[VALOR],tabela_registros[MÊS],$AE$1,tabela_registros[DIA],outtotal3059718395107119131143[[#Headers],[20]],tabela_registros[REGISTRO],DADOS!$N$4,tabela_registros[TIPO],DADOS!$P$3,tabela_registros[CATEGORIA],despesafixaconsolidadoout[[#This Row],[DESPESA FIXA]])</f>
        <v>0</v>
      </c>
      <c r="Y46" s="119" t="n">
        <f aca="false">SUMIFS(tabela_registros[VALOR],tabela_registros[MÊS],$AE$1,tabela_registros[DIA],outtotal3059718395107119131143[[#Headers],[21]],tabela_registros[REGISTRO],DADOS!$N$4,tabela_registros[TIPO],DADOS!$P$3,tabela_registros[CATEGORIA],despesafixaconsolidadoout[[#This Row],[DESPESA FIXA]])</f>
        <v>0</v>
      </c>
      <c r="Z46" s="119" t="n">
        <f aca="false">SUMIFS(tabela_registros[VALOR],tabela_registros[MÊS],$AE$1,tabela_registros[DIA],outtotal3059718395107119131143[[#Headers],[22]],tabela_registros[REGISTRO],DADOS!$N$4,tabela_registros[TIPO],DADOS!$P$3,tabela_registros[CATEGORIA],despesafixaconsolidadoout[[#This Row],[DESPESA FIXA]])</f>
        <v>0</v>
      </c>
      <c r="AA46" s="119" t="n">
        <f aca="false">SUMIFS(tabela_registros[VALOR],tabela_registros[MÊS],$AE$1,tabela_registros[DIA],outtotal3059718395107119131143[[#Headers],[23]],tabela_registros[REGISTRO],DADOS!$N$4,tabela_registros[TIPO],DADOS!$P$3,tabela_registros[CATEGORIA],despesafixaconsolidadoout[[#This Row],[DESPESA FIXA]])</f>
        <v>0</v>
      </c>
      <c r="AB46" s="119" t="n">
        <f aca="false">SUMIFS(tabela_registros[VALOR],tabela_registros[MÊS],$AE$1,tabela_registros[DIA],outtotal3059718395107119131143[[#Headers],[24]],tabela_registros[REGISTRO],DADOS!$N$4,tabela_registros[TIPO],DADOS!$P$3,tabela_registros[CATEGORIA],despesafixaconsolidadoout[[#This Row],[DESPESA FIXA]])</f>
        <v>0</v>
      </c>
      <c r="AC46" s="119" t="n">
        <f aca="false">SUMIFS(tabela_registros[VALOR],tabela_registros[MÊS],$AE$1,tabela_registros[DIA],outtotal3059718395107119131143[[#Headers],[25]],tabela_registros[REGISTRO],DADOS!$N$4,tabela_registros[TIPO],DADOS!$P$3,tabela_registros[CATEGORIA],despesafixaconsolidadoout[[#This Row],[DESPESA FIXA]])</f>
        <v>0</v>
      </c>
      <c r="AD46" s="119" t="n">
        <f aca="false">SUMIFS(tabela_registros[VALOR],tabela_registros[MÊS],$AE$1,tabela_registros[DIA],outtotal3059718395107119131143[[#Headers],[26]],tabela_registros[REGISTRO],DADOS!$N$4,tabela_registros[TIPO],DADOS!$P$3,tabela_registros[CATEGORIA],despesafixaconsolidadoout[[#This Row],[DESPESA FIXA]])</f>
        <v>0</v>
      </c>
      <c r="AE46" s="119" t="n">
        <f aca="false">SUMIFS(tabela_registros[VALOR],tabela_registros[MÊS],$AE$1,tabela_registros[DIA],outtotal3059718395107119131143[[#Headers],[27]],tabela_registros[REGISTRO],DADOS!$N$4,tabela_registros[TIPO],DADOS!$P$3,tabela_registros[CATEGORIA],despesafixaconsolidadoout[[#This Row],[DESPESA FIXA]])</f>
        <v>0</v>
      </c>
      <c r="AF46" s="119" t="n">
        <f aca="false">SUMIFS(tabela_registros[VALOR],tabela_registros[MÊS],$AE$1,tabela_registros[DIA],outtotal3059718395107119131143[[#Headers],[28]],tabela_registros[REGISTRO],DADOS!$N$4,tabela_registros[TIPO],DADOS!$P$3,tabela_registros[CATEGORIA],despesafixaconsolidadoout[[#This Row],[DESPESA FIXA]])</f>
        <v>0</v>
      </c>
      <c r="AG46" s="119" t="n">
        <f aca="false">SUMIFS(tabela_registros[VALOR],tabela_registros[MÊS],$AE$1,tabela_registros[DIA],outtotal3059718395107119131143[[#Headers],[29]],tabela_registros[REGISTRO],DADOS!$N$4,tabela_registros[TIPO],DADOS!$P$3,tabela_registros[CATEGORIA],despesafixaconsolidadoout[[#This Row],[DESPESA FIXA]])</f>
        <v>0</v>
      </c>
      <c r="AH46" s="119" t="n">
        <f aca="false">SUMIFS(tabela_registros[VALOR],tabela_registros[MÊS],$AE$1,tabela_registros[DIA],outtotal3059718395107119131143[[#Headers],[30]],tabela_registros[REGISTRO],DADOS!$N$4,tabela_registros[TIPO],DADOS!$P$3,tabela_registros[CATEGORIA],despesafixaconsolidadoout[[#This Row],[DESPESA FIXA]])</f>
        <v>0</v>
      </c>
      <c r="AI46" s="217" t="n">
        <f aca="false">SUMIFS(tabela_registros[VALOR],tabela_registros[MÊS],$AE$1,tabela_registros[DIA],outtotal3059718395107119131143[[#Headers],[31]],tabela_registros[REGISTRO],DADOS!$N$4,tabela_registros[TIPO],DADOS!$P$3,tabela_registros[CATEGORIA],despesafixaconsolidadoout[[#This Row],[DESPESA FIXA]])</f>
        <v>0</v>
      </c>
      <c r="AJ46" s="149" t="n">
        <f aca="false">SUM(despesafixaconsolidadoout[[#This Row],[1]:[31]])</f>
        <v>0</v>
      </c>
      <c r="AK46" s="143"/>
    </row>
    <row r="47" customFormat="false" ht="18" hidden="false" customHeight="true" outlineLevel="0" collapsed="false">
      <c r="B47" s="143"/>
      <c r="C47" s="144" t="str">
        <f aca="false">DADOS!$R$13</f>
        <v>🏠 MORADIA</v>
      </c>
      <c r="D47" s="145" t="str">
        <f aca="false">IF(despesafixaconsolidadoout[[#This Row],[TOTAL]]=0,"",IF(OR(despesafixaconsolidadoout[[#This Row],[TOTAL]]=LARGE($AJ$37:$AJ$50,1),despesafixaconsolidadoout[[#This Row],[TOTAL]]=LARGE($AJ$37:$AJ$50,2),despesafixaconsolidadoout[[#This Row],[TOTAL]]=LARGE($AJ$37:$AJ$50,3),despesafixaconsolidadoout[[#This Row],[TOTAL]]=LARGE($AJ$37:$AJ$50,4),despesafixaconsolidadoout[[#This Row],[TOTAL]]=LARGE($AJ$37:$AJ$50,5)),DADOS!$I$8,""))</f>
        <v/>
      </c>
      <c r="E47" s="148" t="n">
        <f aca="false">SUMIFS(tabela_registros[VALOR],tabela_registros[MÊS],$AE$1,tabela_registros[DIA],outtotal3059718395107119131143[[#Headers],[1]],tabela_registros[REGISTRO],DADOS!$N$4,tabela_registros[TIPO],DADOS!$P$3,tabela_registros[CATEGORIA],despesafixaconsolidadoout[[#This Row],[DESPESA FIXA]])</f>
        <v>0</v>
      </c>
      <c r="F47" s="119" t="n">
        <f aca="false">SUMIFS(tabela_registros[VALOR],tabela_registros[MÊS],$AE$1,tabela_registros[DIA],outtotal3059718395107119131143[[#Headers],[2]],tabela_registros[REGISTRO],DADOS!$N$4,tabela_registros[TIPO],DADOS!$P$3,tabela_registros[CATEGORIA],despesafixaconsolidadoout[[#This Row],[DESPESA FIXA]])</f>
        <v>0</v>
      </c>
      <c r="G47" s="119" t="n">
        <f aca="false">SUMIFS(tabela_registros[VALOR],tabela_registros[MÊS],$AE$1,tabela_registros[DIA],outtotal3059718395107119131143[[#Headers],[3]],tabela_registros[REGISTRO],DADOS!$N$4,tabela_registros[TIPO],DADOS!$P$3,tabela_registros[CATEGORIA],despesafixaconsolidadoout[[#This Row],[DESPESA FIXA]])</f>
        <v>0</v>
      </c>
      <c r="H47" s="119" t="n">
        <f aca="false">SUMIFS(tabela_registros[VALOR],tabela_registros[MÊS],$AE$1,tabela_registros[DIA],outtotal3059718395107119131143[[#Headers],[4]],tabela_registros[REGISTRO],DADOS!$N$4,tabela_registros[TIPO],DADOS!$P$3,tabela_registros[CATEGORIA],despesafixaconsolidadoout[[#This Row],[DESPESA FIXA]])</f>
        <v>0</v>
      </c>
      <c r="I47" s="119" t="n">
        <f aca="false">SUMIFS(tabela_registros[VALOR],tabela_registros[MÊS],$AE$1,tabela_registros[DIA],outtotal3059718395107119131143[[#Headers],[5]],tabela_registros[REGISTRO],DADOS!$N$4,tabela_registros[TIPO],DADOS!$P$3,tabela_registros[CATEGORIA],despesafixaconsolidadoout[[#This Row],[DESPESA FIXA]])</f>
        <v>0</v>
      </c>
      <c r="J47" s="119" t="n">
        <f aca="false">SUMIFS(tabela_registros[VALOR],tabela_registros[MÊS],$AE$1,tabela_registros[DIA],outtotal3059718395107119131143[[#Headers],[6]],tabela_registros[REGISTRO],DADOS!$N$4,tabela_registros[TIPO],DADOS!$P$3,tabela_registros[CATEGORIA],despesafixaconsolidadoout[[#This Row],[DESPESA FIXA]])</f>
        <v>0</v>
      </c>
      <c r="K47" s="119" t="n">
        <f aca="false">SUMIFS(tabela_registros[VALOR],tabela_registros[MÊS],$AE$1,tabela_registros[DIA],outtotal3059718395107119131143[[#Headers],[7]],tabela_registros[REGISTRO],DADOS!$N$4,tabela_registros[TIPO],DADOS!$P$3,tabela_registros[CATEGORIA],despesafixaconsolidadoout[[#This Row],[DESPESA FIXA]])</f>
        <v>0</v>
      </c>
      <c r="L47" s="119" t="n">
        <f aca="false">SUMIFS(tabela_registros[VALOR],tabela_registros[MÊS],$AE$1,tabela_registros[DIA],outtotal3059718395107119131143[[#Headers],[8]],tabela_registros[REGISTRO],DADOS!$N$4,tabela_registros[TIPO],DADOS!$P$3,tabela_registros[CATEGORIA],despesafixaconsolidadoout[[#This Row],[DESPESA FIXA]])</f>
        <v>0</v>
      </c>
      <c r="M47" s="119" t="n">
        <f aca="false">SUMIFS(tabela_registros[VALOR],tabela_registros[MÊS],$AE$1,tabela_registros[DIA],outtotal3059718395107119131143[[#Headers],[9]],tabela_registros[REGISTRO],DADOS!$N$4,tabela_registros[TIPO],DADOS!$P$3,tabela_registros[CATEGORIA],despesafixaconsolidadoout[[#This Row],[DESPESA FIXA]])</f>
        <v>0</v>
      </c>
      <c r="N47" s="119" t="n">
        <f aca="false">SUMIFS(tabela_registros[VALOR],tabela_registros[MÊS],$AE$1,tabela_registros[DIA],outtotal3059718395107119131143[[#Headers],[10]],tabela_registros[REGISTRO],DADOS!$N$4,tabela_registros[TIPO],DADOS!$P$3,tabela_registros[CATEGORIA],despesafixaconsolidadoout[[#This Row],[DESPESA FIXA]])</f>
        <v>0</v>
      </c>
      <c r="O47" s="119" t="n">
        <f aca="false">SUMIFS(tabela_registros[VALOR],tabela_registros[MÊS],$AE$1,tabela_registros[DIA],outtotal3059718395107119131143[[#Headers],[11]],tabela_registros[REGISTRO],DADOS!$N$4,tabela_registros[TIPO],DADOS!$P$3,tabela_registros[CATEGORIA],despesafixaconsolidadoout[[#This Row],[DESPESA FIXA]])</f>
        <v>0</v>
      </c>
      <c r="P47" s="119" t="n">
        <f aca="false">SUMIFS(tabela_registros[VALOR],tabela_registros[MÊS],$AE$1,tabela_registros[DIA],outtotal3059718395107119131143[[#Headers],[12]],tabela_registros[REGISTRO],DADOS!$N$4,tabela_registros[TIPO],DADOS!$P$3,tabela_registros[CATEGORIA],despesafixaconsolidadoout[[#This Row],[DESPESA FIXA]])</f>
        <v>0</v>
      </c>
      <c r="Q47" s="119" t="n">
        <f aca="false">SUMIFS(tabela_registros[VALOR],tabela_registros[MÊS],$AE$1,tabela_registros[DIA],outtotal3059718395107119131143[[#Headers],[13]],tabela_registros[REGISTRO],DADOS!$N$4,tabela_registros[TIPO],DADOS!$P$3,tabela_registros[CATEGORIA],despesafixaconsolidadoout[[#This Row],[DESPESA FIXA]])</f>
        <v>0</v>
      </c>
      <c r="R47" s="119" t="n">
        <f aca="false">SUMIFS(tabela_registros[VALOR],tabela_registros[MÊS],$AE$1,tabela_registros[DIA],outtotal3059718395107119131143[[#Headers],[14]],tabela_registros[REGISTRO],DADOS!$N$4,tabela_registros[TIPO],DADOS!$P$3,tabela_registros[CATEGORIA],despesafixaconsolidadoout[[#This Row],[DESPESA FIXA]])</f>
        <v>0</v>
      </c>
      <c r="S47" s="119" t="n">
        <f aca="false">SUMIFS(tabela_registros[VALOR],tabela_registros[MÊS],$AE$1,tabela_registros[DIA],outtotal3059718395107119131143[[#Headers],[15]],tabela_registros[REGISTRO],DADOS!$N$4,tabela_registros[TIPO],DADOS!$P$3,tabela_registros[CATEGORIA],despesafixaconsolidadoout[[#This Row],[DESPESA FIXA]])</f>
        <v>0</v>
      </c>
      <c r="T47" s="119" t="n">
        <f aca="false">SUMIFS(tabela_registros[VALOR],tabela_registros[MÊS],$AE$1,tabela_registros[DIA],outtotal3059718395107119131143[[#Headers],[16]],tabela_registros[REGISTRO],DADOS!$N$4,tabela_registros[TIPO],DADOS!$P$3,tabela_registros[CATEGORIA],despesafixaconsolidadoout[[#This Row],[DESPESA FIXA]])</f>
        <v>0</v>
      </c>
      <c r="U47" s="119" t="n">
        <f aca="false">SUMIFS(tabela_registros[VALOR],tabela_registros[MÊS],$AE$1,tabela_registros[DIA],outtotal3059718395107119131143[[#Headers],[17]],tabela_registros[REGISTRO],DADOS!$N$4,tabela_registros[TIPO],DADOS!$P$3,tabela_registros[CATEGORIA],despesafixaconsolidadoout[[#This Row],[DESPESA FIXA]])</f>
        <v>0</v>
      </c>
      <c r="V47" s="119" t="n">
        <f aca="false">SUMIFS(tabela_registros[VALOR],tabela_registros[MÊS],$AE$1,tabela_registros[DIA],outtotal3059718395107119131143[[#Headers],[18]],tabela_registros[REGISTRO],DADOS!$N$4,tabela_registros[TIPO],DADOS!$P$3,tabela_registros[CATEGORIA],despesafixaconsolidadoout[[#This Row],[DESPESA FIXA]])</f>
        <v>0</v>
      </c>
      <c r="W47" s="119" t="n">
        <f aca="false">SUMIFS(tabela_registros[VALOR],tabela_registros[MÊS],$AE$1,tabela_registros[DIA],outtotal3059718395107119131143[[#Headers],[19]],tabela_registros[REGISTRO],DADOS!$N$4,tabela_registros[TIPO],DADOS!$P$3,tabela_registros[CATEGORIA],despesafixaconsolidadoout[[#This Row],[DESPESA FIXA]])</f>
        <v>0</v>
      </c>
      <c r="X47" s="119" t="n">
        <f aca="false">SUMIFS(tabela_registros[VALOR],tabela_registros[MÊS],$AE$1,tabela_registros[DIA],outtotal3059718395107119131143[[#Headers],[20]],tabela_registros[REGISTRO],DADOS!$N$4,tabela_registros[TIPO],DADOS!$P$3,tabela_registros[CATEGORIA],despesafixaconsolidadoout[[#This Row],[DESPESA FIXA]])</f>
        <v>0</v>
      </c>
      <c r="Y47" s="119" t="n">
        <f aca="false">SUMIFS(tabela_registros[VALOR],tabela_registros[MÊS],$AE$1,tabela_registros[DIA],outtotal3059718395107119131143[[#Headers],[21]],tabela_registros[REGISTRO],DADOS!$N$4,tabela_registros[TIPO],DADOS!$P$3,tabela_registros[CATEGORIA],despesafixaconsolidadoout[[#This Row],[DESPESA FIXA]])</f>
        <v>0</v>
      </c>
      <c r="Z47" s="119" t="n">
        <f aca="false">SUMIFS(tabela_registros[VALOR],tabela_registros[MÊS],$AE$1,tabela_registros[DIA],outtotal3059718395107119131143[[#Headers],[22]],tabela_registros[REGISTRO],DADOS!$N$4,tabela_registros[TIPO],DADOS!$P$3,tabela_registros[CATEGORIA],despesafixaconsolidadoout[[#This Row],[DESPESA FIXA]])</f>
        <v>0</v>
      </c>
      <c r="AA47" s="119" t="n">
        <f aca="false">SUMIFS(tabela_registros[VALOR],tabela_registros[MÊS],$AE$1,tabela_registros[DIA],outtotal3059718395107119131143[[#Headers],[23]],tabela_registros[REGISTRO],DADOS!$N$4,tabela_registros[TIPO],DADOS!$P$3,tabela_registros[CATEGORIA],despesafixaconsolidadoout[[#This Row],[DESPESA FIXA]])</f>
        <v>0</v>
      </c>
      <c r="AB47" s="119" t="n">
        <f aca="false">SUMIFS(tabela_registros[VALOR],tabela_registros[MÊS],$AE$1,tabela_registros[DIA],outtotal3059718395107119131143[[#Headers],[24]],tabela_registros[REGISTRO],DADOS!$N$4,tabela_registros[TIPO],DADOS!$P$3,tabela_registros[CATEGORIA],despesafixaconsolidadoout[[#This Row],[DESPESA FIXA]])</f>
        <v>0</v>
      </c>
      <c r="AC47" s="119" t="n">
        <f aca="false">SUMIFS(tabela_registros[VALOR],tabela_registros[MÊS],$AE$1,tabela_registros[DIA],outtotal3059718395107119131143[[#Headers],[25]],tabela_registros[REGISTRO],DADOS!$N$4,tabela_registros[TIPO],DADOS!$P$3,tabela_registros[CATEGORIA],despesafixaconsolidadoout[[#This Row],[DESPESA FIXA]])</f>
        <v>0</v>
      </c>
      <c r="AD47" s="119" t="n">
        <f aca="false">SUMIFS(tabela_registros[VALOR],tabela_registros[MÊS],$AE$1,tabela_registros[DIA],outtotal3059718395107119131143[[#Headers],[26]],tabela_registros[REGISTRO],DADOS!$N$4,tabela_registros[TIPO],DADOS!$P$3,tabela_registros[CATEGORIA],despesafixaconsolidadoout[[#This Row],[DESPESA FIXA]])</f>
        <v>0</v>
      </c>
      <c r="AE47" s="119" t="n">
        <f aca="false">SUMIFS(tabela_registros[VALOR],tabela_registros[MÊS],$AE$1,tabela_registros[DIA],outtotal3059718395107119131143[[#Headers],[27]],tabela_registros[REGISTRO],DADOS!$N$4,tabela_registros[TIPO],DADOS!$P$3,tabela_registros[CATEGORIA],despesafixaconsolidadoout[[#This Row],[DESPESA FIXA]])</f>
        <v>0</v>
      </c>
      <c r="AF47" s="119" t="n">
        <f aca="false">SUMIFS(tabela_registros[VALOR],tabela_registros[MÊS],$AE$1,tabela_registros[DIA],outtotal3059718395107119131143[[#Headers],[28]],tabela_registros[REGISTRO],DADOS!$N$4,tabela_registros[TIPO],DADOS!$P$3,tabela_registros[CATEGORIA],despesafixaconsolidadoout[[#This Row],[DESPESA FIXA]])</f>
        <v>0</v>
      </c>
      <c r="AG47" s="119" t="n">
        <f aca="false">SUMIFS(tabela_registros[VALOR],tabela_registros[MÊS],$AE$1,tabela_registros[DIA],outtotal3059718395107119131143[[#Headers],[29]],tabela_registros[REGISTRO],DADOS!$N$4,tabela_registros[TIPO],DADOS!$P$3,tabela_registros[CATEGORIA],despesafixaconsolidadoout[[#This Row],[DESPESA FIXA]])</f>
        <v>0</v>
      </c>
      <c r="AH47" s="119" t="n">
        <f aca="false">SUMIFS(tabela_registros[VALOR],tabela_registros[MÊS],$AE$1,tabela_registros[DIA],outtotal3059718395107119131143[[#Headers],[30]],tabela_registros[REGISTRO],DADOS!$N$4,tabela_registros[TIPO],DADOS!$P$3,tabela_registros[CATEGORIA],despesafixaconsolidadoout[[#This Row],[DESPESA FIXA]])</f>
        <v>0</v>
      </c>
      <c r="AI47" s="217" t="n">
        <f aca="false">SUMIFS(tabela_registros[VALOR],tabela_registros[MÊS],$AE$1,tabela_registros[DIA],outtotal3059718395107119131143[[#Headers],[31]],tabela_registros[REGISTRO],DADOS!$N$4,tabela_registros[TIPO],DADOS!$P$3,tabela_registros[CATEGORIA],despesafixaconsolidadoout[[#This Row],[DESPESA FIXA]])</f>
        <v>0</v>
      </c>
      <c r="AJ47" s="149" t="n">
        <f aca="false">SUM(despesafixaconsolidadoout[[#This Row],[1]:[31]])</f>
        <v>0</v>
      </c>
      <c r="AK47" s="143"/>
    </row>
    <row r="48" customFormat="false" ht="18" hidden="false" customHeight="true" outlineLevel="0" collapsed="false">
      <c r="B48" s="143"/>
      <c r="C48" s="144" t="str">
        <f aca="false">DADOS!$R$14</f>
        <v>💊 SAÚDE</v>
      </c>
      <c r="D48" s="145" t="str">
        <f aca="false">IF(despesafixaconsolidadoout[[#This Row],[TOTAL]]=0,"",IF(OR(despesafixaconsolidadoout[[#This Row],[TOTAL]]=LARGE($AJ$37:$AJ$50,1),despesafixaconsolidadoout[[#This Row],[TOTAL]]=LARGE($AJ$37:$AJ$50,2),despesafixaconsolidadoout[[#This Row],[TOTAL]]=LARGE($AJ$37:$AJ$50,3),despesafixaconsolidadoout[[#This Row],[TOTAL]]=LARGE($AJ$37:$AJ$50,4),despesafixaconsolidadoout[[#This Row],[TOTAL]]=LARGE($AJ$37:$AJ$50,5)),DADOS!$I$8,""))</f>
        <v/>
      </c>
      <c r="E48" s="148" t="n">
        <f aca="false">SUMIFS(tabela_registros[VALOR],tabela_registros[MÊS],$AE$1,tabela_registros[DIA],outtotal3059718395107119131143[[#Headers],[1]],tabela_registros[REGISTRO],DADOS!$N$4,tabela_registros[TIPO],DADOS!$P$3,tabela_registros[CATEGORIA],despesafixaconsolidadoout[[#This Row],[DESPESA FIXA]])</f>
        <v>0</v>
      </c>
      <c r="F48" s="119" t="n">
        <f aca="false">SUMIFS(tabela_registros[VALOR],tabela_registros[MÊS],$AE$1,tabela_registros[DIA],outtotal3059718395107119131143[[#Headers],[2]],tabela_registros[REGISTRO],DADOS!$N$4,tabela_registros[TIPO],DADOS!$P$3,tabela_registros[CATEGORIA],despesafixaconsolidadoout[[#This Row],[DESPESA FIXA]])</f>
        <v>0</v>
      </c>
      <c r="G48" s="119" t="n">
        <f aca="false">SUMIFS(tabela_registros[VALOR],tabela_registros[MÊS],$AE$1,tabela_registros[DIA],outtotal3059718395107119131143[[#Headers],[3]],tabela_registros[REGISTRO],DADOS!$N$4,tabela_registros[TIPO],DADOS!$P$3,tabela_registros[CATEGORIA],despesafixaconsolidadoout[[#This Row],[DESPESA FIXA]])</f>
        <v>0</v>
      </c>
      <c r="H48" s="119" t="n">
        <f aca="false">SUMIFS(tabela_registros[VALOR],tabela_registros[MÊS],$AE$1,tabela_registros[DIA],outtotal3059718395107119131143[[#Headers],[4]],tabela_registros[REGISTRO],DADOS!$N$4,tabela_registros[TIPO],DADOS!$P$3,tabela_registros[CATEGORIA],despesafixaconsolidadoout[[#This Row],[DESPESA FIXA]])</f>
        <v>0</v>
      </c>
      <c r="I48" s="119" t="n">
        <f aca="false">SUMIFS(tabela_registros[VALOR],tabela_registros[MÊS],$AE$1,tabela_registros[DIA],outtotal3059718395107119131143[[#Headers],[5]],tabela_registros[REGISTRO],DADOS!$N$4,tabela_registros[TIPO],DADOS!$P$3,tabela_registros[CATEGORIA],despesafixaconsolidadoout[[#This Row],[DESPESA FIXA]])</f>
        <v>0</v>
      </c>
      <c r="J48" s="119" t="n">
        <f aca="false">SUMIFS(tabela_registros[VALOR],tabela_registros[MÊS],$AE$1,tabela_registros[DIA],outtotal3059718395107119131143[[#Headers],[6]],tabela_registros[REGISTRO],DADOS!$N$4,tabela_registros[TIPO],DADOS!$P$3,tabela_registros[CATEGORIA],despesafixaconsolidadoout[[#This Row],[DESPESA FIXA]])</f>
        <v>0</v>
      </c>
      <c r="K48" s="119" t="n">
        <f aca="false">SUMIFS(tabela_registros[VALOR],tabela_registros[MÊS],$AE$1,tabela_registros[DIA],outtotal3059718395107119131143[[#Headers],[7]],tabela_registros[REGISTRO],DADOS!$N$4,tabela_registros[TIPO],DADOS!$P$3,tabela_registros[CATEGORIA],despesafixaconsolidadoout[[#This Row],[DESPESA FIXA]])</f>
        <v>0</v>
      </c>
      <c r="L48" s="119" t="n">
        <f aca="false">SUMIFS(tabela_registros[VALOR],tabela_registros[MÊS],$AE$1,tabela_registros[DIA],outtotal3059718395107119131143[[#Headers],[8]],tabela_registros[REGISTRO],DADOS!$N$4,tabela_registros[TIPO],DADOS!$P$3,tabela_registros[CATEGORIA],despesafixaconsolidadoout[[#This Row],[DESPESA FIXA]])</f>
        <v>0</v>
      </c>
      <c r="M48" s="119" t="n">
        <f aca="false">SUMIFS(tabela_registros[VALOR],tabela_registros[MÊS],$AE$1,tabela_registros[DIA],outtotal3059718395107119131143[[#Headers],[9]],tabela_registros[REGISTRO],DADOS!$N$4,tabela_registros[TIPO],DADOS!$P$3,tabela_registros[CATEGORIA],despesafixaconsolidadoout[[#This Row],[DESPESA FIXA]])</f>
        <v>0</v>
      </c>
      <c r="N48" s="119" t="n">
        <f aca="false">SUMIFS(tabela_registros[VALOR],tabela_registros[MÊS],$AE$1,tabela_registros[DIA],outtotal3059718395107119131143[[#Headers],[10]],tabela_registros[REGISTRO],DADOS!$N$4,tabela_registros[TIPO],DADOS!$P$3,tabela_registros[CATEGORIA],despesafixaconsolidadoout[[#This Row],[DESPESA FIXA]])</f>
        <v>0</v>
      </c>
      <c r="O48" s="119" t="n">
        <f aca="false">SUMIFS(tabela_registros[VALOR],tabela_registros[MÊS],$AE$1,tabela_registros[DIA],outtotal3059718395107119131143[[#Headers],[11]],tabela_registros[REGISTRO],DADOS!$N$4,tabela_registros[TIPO],DADOS!$P$3,tabela_registros[CATEGORIA],despesafixaconsolidadoout[[#This Row],[DESPESA FIXA]])</f>
        <v>0</v>
      </c>
      <c r="P48" s="119" t="n">
        <f aca="false">SUMIFS(tabela_registros[VALOR],tabela_registros[MÊS],$AE$1,tabela_registros[DIA],outtotal3059718395107119131143[[#Headers],[12]],tabela_registros[REGISTRO],DADOS!$N$4,tabela_registros[TIPO],DADOS!$P$3,tabela_registros[CATEGORIA],despesafixaconsolidadoout[[#This Row],[DESPESA FIXA]])</f>
        <v>0</v>
      </c>
      <c r="Q48" s="119" t="n">
        <f aca="false">SUMIFS(tabela_registros[VALOR],tabela_registros[MÊS],$AE$1,tabela_registros[DIA],outtotal3059718395107119131143[[#Headers],[13]],tabela_registros[REGISTRO],DADOS!$N$4,tabela_registros[TIPO],DADOS!$P$3,tabela_registros[CATEGORIA],despesafixaconsolidadoout[[#This Row],[DESPESA FIXA]])</f>
        <v>0</v>
      </c>
      <c r="R48" s="119" t="n">
        <f aca="false">SUMIFS(tabela_registros[VALOR],tabela_registros[MÊS],$AE$1,tabela_registros[DIA],outtotal3059718395107119131143[[#Headers],[14]],tabela_registros[REGISTRO],DADOS!$N$4,tabela_registros[TIPO],DADOS!$P$3,tabela_registros[CATEGORIA],despesafixaconsolidadoout[[#This Row],[DESPESA FIXA]])</f>
        <v>0</v>
      </c>
      <c r="S48" s="119" t="n">
        <f aca="false">SUMIFS(tabela_registros[VALOR],tabela_registros[MÊS],$AE$1,tabela_registros[DIA],outtotal3059718395107119131143[[#Headers],[15]],tabela_registros[REGISTRO],DADOS!$N$4,tabela_registros[TIPO],DADOS!$P$3,tabela_registros[CATEGORIA],despesafixaconsolidadoout[[#This Row],[DESPESA FIXA]])</f>
        <v>0</v>
      </c>
      <c r="T48" s="119" t="n">
        <f aca="false">SUMIFS(tabela_registros[VALOR],tabela_registros[MÊS],$AE$1,tabela_registros[DIA],outtotal3059718395107119131143[[#Headers],[16]],tabela_registros[REGISTRO],DADOS!$N$4,tabela_registros[TIPO],DADOS!$P$3,tabela_registros[CATEGORIA],despesafixaconsolidadoout[[#This Row],[DESPESA FIXA]])</f>
        <v>0</v>
      </c>
      <c r="U48" s="119" t="n">
        <f aca="false">SUMIFS(tabela_registros[VALOR],tabela_registros[MÊS],$AE$1,tabela_registros[DIA],outtotal3059718395107119131143[[#Headers],[17]],tabela_registros[REGISTRO],DADOS!$N$4,tabela_registros[TIPO],DADOS!$P$3,tabela_registros[CATEGORIA],despesafixaconsolidadoout[[#This Row],[DESPESA FIXA]])</f>
        <v>0</v>
      </c>
      <c r="V48" s="119" t="n">
        <f aca="false">SUMIFS(tabela_registros[VALOR],tabela_registros[MÊS],$AE$1,tabela_registros[DIA],outtotal3059718395107119131143[[#Headers],[18]],tabela_registros[REGISTRO],DADOS!$N$4,tabela_registros[TIPO],DADOS!$P$3,tabela_registros[CATEGORIA],despesafixaconsolidadoout[[#This Row],[DESPESA FIXA]])</f>
        <v>0</v>
      </c>
      <c r="W48" s="119" t="n">
        <f aca="false">SUMIFS(tabela_registros[VALOR],tabela_registros[MÊS],$AE$1,tabela_registros[DIA],outtotal3059718395107119131143[[#Headers],[19]],tabela_registros[REGISTRO],DADOS!$N$4,tabela_registros[TIPO],DADOS!$P$3,tabela_registros[CATEGORIA],despesafixaconsolidadoout[[#This Row],[DESPESA FIXA]])</f>
        <v>0</v>
      </c>
      <c r="X48" s="119" t="n">
        <f aca="false">SUMIFS(tabela_registros[VALOR],tabela_registros[MÊS],$AE$1,tabela_registros[DIA],outtotal3059718395107119131143[[#Headers],[20]],tabela_registros[REGISTRO],DADOS!$N$4,tabela_registros[TIPO],DADOS!$P$3,tabela_registros[CATEGORIA],despesafixaconsolidadoout[[#This Row],[DESPESA FIXA]])</f>
        <v>0</v>
      </c>
      <c r="Y48" s="119" t="n">
        <f aca="false">SUMIFS(tabela_registros[VALOR],tabela_registros[MÊS],$AE$1,tabela_registros[DIA],outtotal3059718395107119131143[[#Headers],[21]],tabela_registros[REGISTRO],DADOS!$N$4,tabela_registros[TIPO],DADOS!$P$3,tabela_registros[CATEGORIA],despesafixaconsolidadoout[[#This Row],[DESPESA FIXA]])</f>
        <v>0</v>
      </c>
      <c r="Z48" s="119" t="n">
        <f aca="false">SUMIFS(tabela_registros[VALOR],tabela_registros[MÊS],$AE$1,tabela_registros[DIA],outtotal3059718395107119131143[[#Headers],[22]],tabela_registros[REGISTRO],DADOS!$N$4,tabela_registros[TIPO],DADOS!$P$3,tabela_registros[CATEGORIA],despesafixaconsolidadoout[[#This Row],[DESPESA FIXA]])</f>
        <v>0</v>
      </c>
      <c r="AA48" s="119" t="n">
        <f aca="false">SUMIFS(tabela_registros[VALOR],tabela_registros[MÊS],$AE$1,tabela_registros[DIA],outtotal3059718395107119131143[[#Headers],[23]],tabela_registros[REGISTRO],DADOS!$N$4,tabela_registros[TIPO],DADOS!$P$3,tabela_registros[CATEGORIA],despesafixaconsolidadoout[[#This Row],[DESPESA FIXA]])</f>
        <v>0</v>
      </c>
      <c r="AB48" s="119" t="n">
        <f aca="false">SUMIFS(tabela_registros[VALOR],tabela_registros[MÊS],$AE$1,tabela_registros[DIA],outtotal3059718395107119131143[[#Headers],[24]],tabela_registros[REGISTRO],DADOS!$N$4,tabela_registros[TIPO],DADOS!$P$3,tabela_registros[CATEGORIA],despesafixaconsolidadoout[[#This Row],[DESPESA FIXA]])</f>
        <v>0</v>
      </c>
      <c r="AC48" s="119" t="n">
        <f aca="false">SUMIFS(tabela_registros[VALOR],tabela_registros[MÊS],$AE$1,tabela_registros[DIA],outtotal3059718395107119131143[[#Headers],[25]],tabela_registros[REGISTRO],DADOS!$N$4,tabela_registros[TIPO],DADOS!$P$3,tabela_registros[CATEGORIA],despesafixaconsolidadoout[[#This Row],[DESPESA FIXA]])</f>
        <v>0</v>
      </c>
      <c r="AD48" s="119" t="n">
        <f aca="false">SUMIFS(tabela_registros[VALOR],tabela_registros[MÊS],$AE$1,tabela_registros[DIA],outtotal3059718395107119131143[[#Headers],[26]],tabela_registros[REGISTRO],DADOS!$N$4,tabela_registros[TIPO],DADOS!$P$3,tabela_registros[CATEGORIA],despesafixaconsolidadoout[[#This Row],[DESPESA FIXA]])</f>
        <v>0</v>
      </c>
      <c r="AE48" s="119" t="n">
        <f aca="false">SUMIFS(tabela_registros[VALOR],tabela_registros[MÊS],$AE$1,tabela_registros[DIA],outtotal3059718395107119131143[[#Headers],[27]],tabela_registros[REGISTRO],DADOS!$N$4,tabela_registros[TIPO],DADOS!$P$3,tabela_registros[CATEGORIA],despesafixaconsolidadoout[[#This Row],[DESPESA FIXA]])</f>
        <v>0</v>
      </c>
      <c r="AF48" s="119" t="n">
        <f aca="false">SUMIFS(tabela_registros[VALOR],tabela_registros[MÊS],$AE$1,tabela_registros[DIA],outtotal3059718395107119131143[[#Headers],[28]],tabela_registros[REGISTRO],DADOS!$N$4,tabela_registros[TIPO],DADOS!$P$3,tabela_registros[CATEGORIA],despesafixaconsolidadoout[[#This Row],[DESPESA FIXA]])</f>
        <v>0</v>
      </c>
      <c r="AG48" s="119" t="n">
        <f aca="false">SUMIFS(tabela_registros[VALOR],tabela_registros[MÊS],$AE$1,tabela_registros[DIA],outtotal3059718395107119131143[[#Headers],[29]],tabela_registros[REGISTRO],DADOS!$N$4,tabela_registros[TIPO],DADOS!$P$3,tabela_registros[CATEGORIA],despesafixaconsolidadoout[[#This Row],[DESPESA FIXA]])</f>
        <v>0</v>
      </c>
      <c r="AH48" s="119" t="n">
        <f aca="false">SUMIFS(tabela_registros[VALOR],tabela_registros[MÊS],$AE$1,tabela_registros[DIA],outtotal3059718395107119131143[[#Headers],[30]],tabela_registros[REGISTRO],DADOS!$N$4,tabela_registros[TIPO],DADOS!$P$3,tabela_registros[CATEGORIA],despesafixaconsolidadoout[[#This Row],[DESPESA FIXA]])</f>
        <v>0</v>
      </c>
      <c r="AI48" s="217" t="n">
        <f aca="false">SUMIFS(tabela_registros[VALOR],tabela_registros[MÊS],$AE$1,tabela_registros[DIA],outtotal3059718395107119131143[[#Headers],[31]],tabela_registros[REGISTRO],DADOS!$N$4,tabela_registros[TIPO],DADOS!$P$3,tabela_registros[CATEGORIA],despesafixaconsolidadoout[[#This Row],[DESPESA FIXA]])</f>
        <v>0</v>
      </c>
      <c r="AJ48" s="149" t="n">
        <f aca="false">SUM(despesafixaconsolidadoout[[#This Row],[1]:[31]])</f>
        <v>0</v>
      </c>
      <c r="AK48" s="143"/>
    </row>
    <row r="49" customFormat="false" ht="18" hidden="false" customHeight="true" outlineLevel="0" collapsed="false">
      <c r="B49" s="143"/>
      <c r="C49" s="144" t="str">
        <f aca="false">DADOS!$R$15</f>
        <v>📞 TELEFONE</v>
      </c>
      <c r="D49" s="145" t="str">
        <f aca="false">IF(despesafixaconsolidadoout[[#This Row],[TOTAL]]=0,"",IF(OR(despesafixaconsolidadoout[[#This Row],[TOTAL]]=LARGE($AJ$37:$AJ$50,1),despesafixaconsolidadoout[[#This Row],[TOTAL]]=LARGE($AJ$37:$AJ$50,2),despesafixaconsolidadoout[[#This Row],[TOTAL]]=LARGE($AJ$37:$AJ$50,3),despesafixaconsolidadoout[[#This Row],[TOTAL]]=LARGE($AJ$37:$AJ$50,4),despesafixaconsolidadoout[[#This Row],[TOTAL]]=LARGE($AJ$37:$AJ$50,5)),DADOS!$I$8,""))</f>
        <v/>
      </c>
      <c r="E49" s="148" t="n">
        <f aca="false">SUMIFS(tabela_registros[VALOR],tabela_registros[MÊS],$AE$1,tabela_registros[DIA],outtotal3059718395107119131143[[#Headers],[1]],tabela_registros[REGISTRO],DADOS!$N$4,tabela_registros[TIPO],DADOS!$P$3,tabela_registros[CATEGORIA],despesafixaconsolidadoout[[#This Row],[DESPESA FIXA]])</f>
        <v>0</v>
      </c>
      <c r="F49" s="119" t="n">
        <f aca="false">SUMIFS(tabela_registros[VALOR],tabela_registros[MÊS],$AE$1,tabela_registros[DIA],outtotal3059718395107119131143[[#Headers],[2]],tabela_registros[REGISTRO],DADOS!$N$4,tabela_registros[TIPO],DADOS!$P$3,tabela_registros[CATEGORIA],despesafixaconsolidadoout[[#This Row],[DESPESA FIXA]])</f>
        <v>0</v>
      </c>
      <c r="G49" s="119" t="n">
        <f aca="false">SUMIFS(tabela_registros[VALOR],tabela_registros[MÊS],$AE$1,tabela_registros[DIA],outtotal3059718395107119131143[[#Headers],[3]],tabela_registros[REGISTRO],DADOS!$N$4,tabela_registros[TIPO],DADOS!$P$3,tabela_registros[CATEGORIA],despesafixaconsolidadoout[[#This Row],[DESPESA FIXA]])</f>
        <v>0</v>
      </c>
      <c r="H49" s="119" t="n">
        <f aca="false">SUMIFS(tabela_registros[VALOR],tabela_registros[MÊS],$AE$1,tabela_registros[DIA],outtotal3059718395107119131143[[#Headers],[4]],tabela_registros[REGISTRO],DADOS!$N$4,tabela_registros[TIPO],DADOS!$P$3,tabela_registros[CATEGORIA],despesafixaconsolidadoout[[#This Row],[DESPESA FIXA]])</f>
        <v>0</v>
      </c>
      <c r="I49" s="119" t="n">
        <f aca="false">SUMIFS(tabela_registros[VALOR],tabela_registros[MÊS],$AE$1,tabela_registros[DIA],outtotal3059718395107119131143[[#Headers],[5]],tabela_registros[REGISTRO],DADOS!$N$4,tabela_registros[TIPO],DADOS!$P$3,tabela_registros[CATEGORIA],despesafixaconsolidadoout[[#This Row],[DESPESA FIXA]])</f>
        <v>0</v>
      </c>
      <c r="J49" s="119" t="n">
        <f aca="false">SUMIFS(tabela_registros[VALOR],tabela_registros[MÊS],$AE$1,tabela_registros[DIA],outtotal3059718395107119131143[[#Headers],[6]],tabela_registros[REGISTRO],DADOS!$N$4,tabela_registros[TIPO],DADOS!$P$3,tabela_registros[CATEGORIA],despesafixaconsolidadoout[[#This Row],[DESPESA FIXA]])</f>
        <v>0</v>
      </c>
      <c r="K49" s="119" t="n">
        <f aca="false">SUMIFS(tabela_registros[VALOR],tabela_registros[MÊS],$AE$1,tabela_registros[DIA],outtotal3059718395107119131143[[#Headers],[7]],tabela_registros[REGISTRO],DADOS!$N$4,tabela_registros[TIPO],DADOS!$P$3,tabela_registros[CATEGORIA],despesafixaconsolidadoout[[#This Row],[DESPESA FIXA]])</f>
        <v>0</v>
      </c>
      <c r="L49" s="119" t="n">
        <f aca="false">SUMIFS(tabela_registros[VALOR],tabela_registros[MÊS],$AE$1,tabela_registros[DIA],outtotal3059718395107119131143[[#Headers],[8]],tabela_registros[REGISTRO],DADOS!$N$4,tabela_registros[TIPO],DADOS!$P$3,tabela_registros[CATEGORIA],despesafixaconsolidadoout[[#This Row],[DESPESA FIXA]])</f>
        <v>0</v>
      </c>
      <c r="M49" s="119" t="n">
        <f aca="false">SUMIFS(tabela_registros[VALOR],tabela_registros[MÊS],$AE$1,tabela_registros[DIA],outtotal3059718395107119131143[[#Headers],[9]],tabela_registros[REGISTRO],DADOS!$N$4,tabela_registros[TIPO],DADOS!$P$3,tabela_registros[CATEGORIA],despesafixaconsolidadoout[[#This Row],[DESPESA FIXA]])</f>
        <v>0</v>
      </c>
      <c r="N49" s="119" t="n">
        <f aca="false">SUMIFS(tabela_registros[VALOR],tabela_registros[MÊS],$AE$1,tabela_registros[DIA],outtotal3059718395107119131143[[#Headers],[10]],tabela_registros[REGISTRO],DADOS!$N$4,tabela_registros[TIPO],DADOS!$P$3,tabela_registros[CATEGORIA],despesafixaconsolidadoout[[#This Row],[DESPESA FIXA]])</f>
        <v>0</v>
      </c>
      <c r="O49" s="119" t="n">
        <f aca="false">SUMIFS(tabela_registros[VALOR],tabela_registros[MÊS],$AE$1,tabela_registros[DIA],outtotal3059718395107119131143[[#Headers],[11]],tabela_registros[REGISTRO],DADOS!$N$4,tabela_registros[TIPO],DADOS!$P$3,tabela_registros[CATEGORIA],despesafixaconsolidadoout[[#This Row],[DESPESA FIXA]])</f>
        <v>0</v>
      </c>
      <c r="P49" s="119" t="n">
        <f aca="false">SUMIFS(tabela_registros[VALOR],tabela_registros[MÊS],$AE$1,tabela_registros[DIA],outtotal3059718395107119131143[[#Headers],[12]],tabela_registros[REGISTRO],DADOS!$N$4,tabela_registros[TIPO],DADOS!$P$3,tabela_registros[CATEGORIA],despesafixaconsolidadoout[[#This Row],[DESPESA FIXA]])</f>
        <v>0</v>
      </c>
      <c r="Q49" s="119" t="n">
        <f aca="false">SUMIFS(tabela_registros[VALOR],tabela_registros[MÊS],$AE$1,tabela_registros[DIA],outtotal3059718395107119131143[[#Headers],[13]],tabela_registros[REGISTRO],DADOS!$N$4,tabela_registros[TIPO],DADOS!$P$3,tabela_registros[CATEGORIA],despesafixaconsolidadoout[[#This Row],[DESPESA FIXA]])</f>
        <v>0</v>
      </c>
      <c r="R49" s="119" t="n">
        <f aca="false">SUMIFS(tabela_registros[VALOR],tabela_registros[MÊS],$AE$1,tabela_registros[DIA],outtotal3059718395107119131143[[#Headers],[14]],tabela_registros[REGISTRO],DADOS!$N$4,tabela_registros[TIPO],DADOS!$P$3,tabela_registros[CATEGORIA],despesafixaconsolidadoout[[#This Row],[DESPESA FIXA]])</f>
        <v>0</v>
      </c>
      <c r="S49" s="119" t="n">
        <f aca="false">SUMIFS(tabela_registros[VALOR],tabela_registros[MÊS],$AE$1,tabela_registros[DIA],outtotal3059718395107119131143[[#Headers],[15]],tabela_registros[REGISTRO],DADOS!$N$4,tabela_registros[TIPO],DADOS!$P$3,tabela_registros[CATEGORIA],despesafixaconsolidadoout[[#This Row],[DESPESA FIXA]])</f>
        <v>0</v>
      </c>
      <c r="T49" s="119" t="n">
        <f aca="false">SUMIFS(tabela_registros[VALOR],tabela_registros[MÊS],$AE$1,tabela_registros[DIA],outtotal3059718395107119131143[[#Headers],[16]],tabela_registros[REGISTRO],DADOS!$N$4,tabela_registros[TIPO],DADOS!$P$3,tabela_registros[CATEGORIA],despesafixaconsolidadoout[[#This Row],[DESPESA FIXA]])</f>
        <v>0</v>
      </c>
      <c r="U49" s="119" t="n">
        <f aca="false">SUMIFS(tabela_registros[VALOR],tabela_registros[MÊS],$AE$1,tabela_registros[DIA],outtotal3059718395107119131143[[#Headers],[17]],tabela_registros[REGISTRO],DADOS!$N$4,tabela_registros[TIPO],DADOS!$P$3,tabela_registros[CATEGORIA],despesafixaconsolidadoout[[#This Row],[DESPESA FIXA]])</f>
        <v>0</v>
      </c>
      <c r="V49" s="119" t="n">
        <f aca="false">SUMIFS(tabela_registros[VALOR],tabela_registros[MÊS],$AE$1,tabela_registros[DIA],outtotal3059718395107119131143[[#Headers],[18]],tabela_registros[REGISTRO],DADOS!$N$4,tabela_registros[TIPO],DADOS!$P$3,tabela_registros[CATEGORIA],despesafixaconsolidadoout[[#This Row],[DESPESA FIXA]])</f>
        <v>0</v>
      </c>
      <c r="W49" s="119" t="n">
        <f aca="false">SUMIFS(tabela_registros[VALOR],tabela_registros[MÊS],$AE$1,tabela_registros[DIA],outtotal3059718395107119131143[[#Headers],[19]],tabela_registros[REGISTRO],DADOS!$N$4,tabela_registros[TIPO],DADOS!$P$3,tabela_registros[CATEGORIA],despesafixaconsolidadoout[[#This Row],[DESPESA FIXA]])</f>
        <v>0</v>
      </c>
      <c r="X49" s="119" t="n">
        <f aca="false">SUMIFS(tabela_registros[VALOR],tabela_registros[MÊS],$AE$1,tabela_registros[DIA],outtotal3059718395107119131143[[#Headers],[20]],tabela_registros[REGISTRO],DADOS!$N$4,tabela_registros[TIPO],DADOS!$P$3,tabela_registros[CATEGORIA],despesafixaconsolidadoout[[#This Row],[DESPESA FIXA]])</f>
        <v>0</v>
      </c>
      <c r="Y49" s="119" t="n">
        <f aca="false">SUMIFS(tabela_registros[VALOR],tabela_registros[MÊS],$AE$1,tabela_registros[DIA],outtotal3059718395107119131143[[#Headers],[21]],tabela_registros[REGISTRO],DADOS!$N$4,tabela_registros[TIPO],DADOS!$P$3,tabela_registros[CATEGORIA],despesafixaconsolidadoout[[#This Row],[DESPESA FIXA]])</f>
        <v>0</v>
      </c>
      <c r="Z49" s="119" t="n">
        <f aca="false">SUMIFS(tabela_registros[VALOR],tabela_registros[MÊS],$AE$1,tabela_registros[DIA],outtotal3059718395107119131143[[#Headers],[22]],tabela_registros[REGISTRO],DADOS!$N$4,tabela_registros[TIPO],DADOS!$P$3,tabela_registros[CATEGORIA],despesafixaconsolidadoout[[#This Row],[DESPESA FIXA]])</f>
        <v>0</v>
      </c>
      <c r="AA49" s="119" t="n">
        <f aca="false">SUMIFS(tabela_registros[VALOR],tabela_registros[MÊS],$AE$1,tabela_registros[DIA],outtotal3059718395107119131143[[#Headers],[23]],tabela_registros[REGISTRO],DADOS!$N$4,tabela_registros[TIPO],DADOS!$P$3,tabela_registros[CATEGORIA],despesafixaconsolidadoout[[#This Row],[DESPESA FIXA]])</f>
        <v>0</v>
      </c>
      <c r="AB49" s="119" t="n">
        <f aca="false">SUMIFS(tabela_registros[VALOR],tabela_registros[MÊS],$AE$1,tabela_registros[DIA],outtotal3059718395107119131143[[#Headers],[24]],tabela_registros[REGISTRO],DADOS!$N$4,tabela_registros[TIPO],DADOS!$P$3,tabela_registros[CATEGORIA],despesafixaconsolidadoout[[#This Row],[DESPESA FIXA]])</f>
        <v>0</v>
      </c>
      <c r="AC49" s="119" t="n">
        <f aca="false">SUMIFS(tabela_registros[VALOR],tabela_registros[MÊS],$AE$1,tabela_registros[DIA],outtotal3059718395107119131143[[#Headers],[25]],tabela_registros[REGISTRO],DADOS!$N$4,tabela_registros[TIPO],DADOS!$P$3,tabela_registros[CATEGORIA],despesafixaconsolidadoout[[#This Row],[DESPESA FIXA]])</f>
        <v>0</v>
      </c>
      <c r="AD49" s="119" t="n">
        <f aca="false">SUMIFS(tabela_registros[VALOR],tabela_registros[MÊS],$AE$1,tabela_registros[DIA],outtotal3059718395107119131143[[#Headers],[26]],tabela_registros[REGISTRO],DADOS!$N$4,tabela_registros[TIPO],DADOS!$P$3,tabela_registros[CATEGORIA],despesafixaconsolidadoout[[#This Row],[DESPESA FIXA]])</f>
        <v>0</v>
      </c>
      <c r="AE49" s="119" t="n">
        <f aca="false">SUMIFS(tabela_registros[VALOR],tabela_registros[MÊS],$AE$1,tabela_registros[DIA],outtotal3059718395107119131143[[#Headers],[27]],tabela_registros[REGISTRO],DADOS!$N$4,tabela_registros[TIPO],DADOS!$P$3,tabela_registros[CATEGORIA],despesafixaconsolidadoout[[#This Row],[DESPESA FIXA]])</f>
        <v>0</v>
      </c>
      <c r="AF49" s="119" t="n">
        <f aca="false">SUMIFS(tabela_registros[VALOR],tabela_registros[MÊS],$AE$1,tabela_registros[DIA],outtotal3059718395107119131143[[#Headers],[28]],tabela_registros[REGISTRO],DADOS!$N$4,tabela_registros[TIPO],DADOS!$P$3,tabela_registros[CATEGORIA],despesafixaconsolidadoout[[#This Row],[DESPESA FIXA]])</f>
        <v>0</v>
      </c>
      <c r="AG49" s="119" t="n">
        <f aca="false">SUMIFS(tabela_registros[VALOR],tabela_registros[MÊS],$AE$1,tabela_registros[DIA],outtotal3059718395107119131143[[#Headers],[29]],tabela_registros[REGISTRO],DADOS!$N$4,tabela_registros[TIPO],DADOS!$P$3,tabela_registros[CATEGORIA],despesafixaconsolidadoout[[#This Row],[DESPESA FIXA]])</f>
        <v>0</v>
      </c>
      <c r="AH49" s="119" t="n">
        <f aca="false">SUMIFS(tabela_registros[VALOR],tabela_registros[MÊS],$AE$1,tabela_registros[DIA],outtotal3059718395107119131143[[#Headers],[30]],tabela_registros[REGISTRO],DADOS!$N$4,tabela_registros[TIPO],DADOS!$P$3,tabela_registros[CATEGORIA],despesafixaconsolidadoout[[#This Row],[DESPESA FIXA]])</f>
        <v>0</v>
      </c>
      <c r="AI49" s="217" t="n">
        <f aca="false">SUMIFS(tabela_registros[VALOR],tabela_registros[MÊS],$AE$1,tabela_registros[DIA],outtotal3059718395107119131143[[#Headers],[31]],tabela_registros[REGISTRO],DADOS!$N$4,tabela_registros[TIPO],DADOS!$P$3,tabela_registros[CATEGORIA],despesafixaconsolidadoout[[#This Row],[DESPESA FIXA]])</f>
        <v>0</v>
      </c>
      <c r="AJ49" s="149" t="n">
        <f aca="false">SUM(despesafixaconsolidadoout[[#This Row],[1]:[31]])</f>
        <v>0</v>
      </c>
      <c r="AK49" s="143"/>
    </row>
    <row r="50" customFormat="false" ht="18" hidden="false" customHeight="true" outlineLevel="0" collapsed="false">
      <c r="B50" s="143"/>
      <c r="C50" s="144" t="str">
        <f aca="false">DADOS!$R$16</f>
        <v>📎 OUTROS</v>
      </c>
      <c r="D50" s="145" t="str">
        <f aca="false">IF(despesafixaconsolidadoout[[#This Row],[TOTAL]]=0,"",IF(OR(despesafixaconsolidadoout[[#This Row],[TOTAL]]=LARGE($AJ$37:$AJ$50,1),despesafixaconsolidadoout[[#This Row],[TOTAL]]=LARGE($AJ$37:$AJ$50,2),despesafixaconsolidadoout[[#This Row],[TOTAL]]=LARGE($AJ$37:$AJ$50,3),despesafixaconsolidadoout[[#This Row],[TOTAL]]=LARGE($AJ$37:$AJ$50,4),despesafixaconsolidadoout[[#This Row],[TOTAL]]=LARGE($AJ$37:$AJ$50,5)),DADOS!$I$8,""))</f>
        <v/>
      </c>
      <c r="E50" s="150" t="n">
        <f aca="false">SUMIFS(tabela_registros[VALOR],tabela_registros[MÊS],$AE$1,tabela_registros[DIA],outtotal3059718395107119131143[[#Headers],[1]],tabela_registros[REGISTRO],DADOS!$N$4,tabela_registros[TIPO],DADOS!$P$3,tabela_registros[CATEGORIA],despesafixaconsolidadoout[[#This Row],[DESPESA FIXA]])</f>
        <v>0</v>
      </c>
      <c r="F50" s="151" t="n">
        <f aca="false">SUMIFS(tabela_registros[VALOR],tabela_registros[MÊS],$AE$1,tabela_registros[DIA],outtotal3059718395107119131143[[#Headers],[2]],tabela_registros[REGISTRO],DADOS!$N$4,tabela_registros[TIPO],DADOS!$P$3,tabela_registros[CATEGORIA],despesafixaconsolidadoout[[#This Row],[DESPESA FIXA]])</f>
        <v>0</v>
      </c>
      <c r="G50" s="151" t="n">
        <f aca="false">SUMIFS(tabela_registros[VALOR],tabela_registros[MÊS],$AE$1,tabela_registros[DIA],outtotal3059718395107119131143[[#Headers],[3]],tabela_registros[REGISTRO],DADOS!$N$4,tabela_registros[TIPO],DADOS!$P$3,tabela_registros[CATEGORIA],despesafixaconsolidadoout[[#This Row],[DESPESA FIXA]])</f>
        <v>0</v>
      </c>
      <c r="H50" s="151" t="n">
        <f aca="false">SUMIFS(tabela_registros[VALOR],tabela_registros[MÊS],$AE$1,tabela_registros[DIA],outtotal3059718395107119131143[[#Headers],[4]],tabela_registros[REGISTRO],DADOS!$N$4,tabela_registros[TIPO],DADOS!$P$3,tabela_registros[CATEGORIA],despesafixaconsolidadoout[[#This Row],[DESPESA FIXA]])</f>
        <v>0</v>
      </c>
      <c r="I50" s="151" t="n">
        <f aca="false">SUMIFS(tabela_registros[VALOR],tabela_registros[MÊS],$AE$1,tabela_registros[DIA],outtotal3059718395107119131143[[#Headers],[5]],tabela_registros[REGISTRO],DADOS!$N$4,tabela_registros[TIPO],DADOS!$P$3,tabela_registros[CATEGORIA],despesafixaconsolidadoout[[#This Row],[DESPESA FIXA]])</f>
        <v>0</v>
      </c>
      <c r="J50" s="151" t="n">
        <f aca="false">SUMIFS(tabela_registros[VALOR],tabela_registros[MÊS],$AE$1,tabela_registros[DIA],outtotal3059718395107119131143[[#Headers],[6]],tabela_registros[REGISTRO],DADOS!$N$4,tabela_registros[TIPO],DADOS!$P$3,tabela_registros[CATEGORIA],despesafixaconsolidadoout[[#This Row],[DESPESA FIXA]])</f>
        <v>0</v>
      </c>
      <c r="K50" s="151" t="n">
        <f aca="false">SUMIFS(tabela_registros[VALOR],tabela_registros[MÊS],$AE$1,tabela_registros[DIA],outtotal3059718395107119131143[[#Headers],[7]],tabela_registros[REGISTRO],DADOS!$N$4,tabela_registros[TIPO],DADOS!$P$3,tabela_registros[CATEGORIA],despesafixaconsolidadoout[[#This Row],[DESPESA FIXA]])</f>
        <v>0</v>
      </c>
      <c r="L50" s="151" t="n">
        <f aca="false">SUMIFS(tabela_registros[VALOR],tabela_registros[MÊS],$AE$1,tabela_registros[DIA],outtotal3059718395107119131143[[#Headers],[8]],tabela_registros[REGISTRO],DADOS!$N$4,tabela_registros[TIPO],DADOS!$P$3,tabela_registros[CATEGORIA],despesafixaconsolidadoout[[#This Row],[DESPESA FIXA]])</f>
        <v>0</v>
      </c>
      <c r="M50" s="151" t="n">
        <f aca="false">SUMIFS(tabela_registros[VALOR],tabela_registros[MÊS],$AE$1,tabela_registros[DIA],outtotal3059718395107119131143[[#Headers],[9]],tabela_registros[REGISTRO],DADOS!$N$4,tabela_registros[TIPO],DADOS!$P$3,tabela_registros[CATEGORIA],despesafixaconsolidadoout[[#This Row],[DESPESA FIXA]])</f>
        <v>0</v>
      </c>
      <c r="N50" s="151" t="n">
        <f aca="false">SUMIFS(tabela_registros[VALOR],tabela_registros[MÊS],$AE$1,tabela_registros[DIA],outtotal3059718395107119131143[[#Headers],[10]],tabela_registros[REGISTRO],DADOS!$N$4,tabela_registros[TIPO],DADOS!$P$3,tabela_registros[CATEGORIA],despesafixaconsolidadoout[[#This Row],[DESPESA FIXA]])</f>
        <v>0</v>
      </c>
      <c r="O50" s="151" t="n">
        <f aca="false">SUMIFS(tabela_registros[VALOR],tabela_registros[MÊS],$AE$1,tabela_registros[DIA],outtotal3059718395107119131143[[#Headers],[11]],tabela_registros[REGISTRO],DADOS!$N$4,tabela_registros[TIPO],DADOS!$P$3,tabela_registros[CATEGORIA],despesafixaconsolidadoout[[#This Row],[DESPESA FIXA]])</f>
        <v>0</v>
      </c>
      <c r="P50" s="151" t="n">
        <f aca="false">SUMIFS(tabela_registros[VALOR],tabela_registros[MÊS],$AE$1,tabela_registros[DIA],outtotal3059718395107119131143[[#Headers],[12]],tabela_registros[REGISTRO],DADOS!$N$4,tabela_registros[TIPO],DADOS!$P$3,tabela_registros[CATEGORIA],despesafixaconsolidadoout[[#This Row],[DESPESA FIXA]])</f>
        <v>0</v>
      </c>
      <c r="Q50" s="151" t="n">
        <f aca="false">SUMIFS(tabela_registros[VALOR],tabela_registros[MÊS],$AE$1,tabela_registros[DIA],outtotal3059718395107119131143[[#Headers],[13]],tabela_registros[REGISTRO],DADOS!$N$4,tabela_registros[TIPO],DADOS!$P$3,tabela_registros[CATEGORIA],despesafixaconsolidadoout[[#This Row],[DESPESA FIXA]])</f>
        <v>0</v>
      </c>
      <c r="R50" s="151" t="n">
        <f aca="false">SUMIFS(tabela_registros[VALOR],tabela_registros[MÊS],$AE$1,tabela_registros[DIA],outtotal3059718395107119131143[[#Headers],[14]],tabela_registros[REGISTRO],DADOS!$N$4,tabela_registros[TIPO],DADOS!$P$3,tabela_registros[CATEGORIA],despesafixaconsolidadoout[[#This Row],[DESPESA FIXA]])</f>
        <v>0</v>
      </c>
      <c r="S50" s="151" t="n">
        <f aca="false">SUMIFS(tabela_registros[VALOR],tabela_registros[MÊS],$AE$1,tabela_registros[DIA],outtotal3059718395107119131143[[#Headers],[15]],tabela_registros[REGISTRO],DADOS!$N$4,tabela_registros[TIPO],DADOS!$P$3,tabela_registros[CATEGORIA],despesafixaconsolidadoout[[#This Row],[DESPESA FIXA]])</f>
        <v>0</v>
      </c>
      <c r="T50" s="151" t="n">
        <f aca="false">SUMIFS(tabela_registros[VALOR],tabela_registros[MÊS],$AE$1,tabela_registros[DIA],outtotal3059718395107119131143[[#Headers],[16]],tabela_registros[REGISTRO],DADOS!$N$4,tabela_registros[TIPO],DADOS!$P$3,tabela_registros[CATEGORIA],despesafixaconsolidadoout[[#This Row],[DESPESA FIXA]])</f>
        <v>0</v>
      </c>
      <c r="U50" s="151" t="n">
        <f aca="false">SUMIFS(tabela_registros[VALOR],tabela_registros[MÊS],$AE$1,tabela_registros[DIA],outtotal3059718395107119131143[[#Headers],[17]],tabela_registros[REGISTRO],DADOS!$N$4,tabela_registros[TIPO],DADOS!$P$3,tabela_registros[CATEGORIA],despesafixaconsolidadoout[[#This Row],[DESPESA FIXA]])</f>
        <v>0</v>
      </c>
      <c r="V50" s="151" t="n">
        <f aca="false">SUMIFS(tabela_registros[VALOR],tabela_registros[MÊS],$AE$1,tabela_registros[DIA],outtotal3059718395107119131143[[#Headers],[18]],tabela_registros[REGISTRO],DADOS!$N$4,tabela_registros[TIPO],DADOS!$P$3,tabela_registros[CATEGORIA],despesafixaconsolidadoout[[#This Row],[DESPESA FIXA]])</f>
        <v>0</v>
      </c>
      <c r="W50" s="151" t="n">
        <f aca="false">SUMIFS(tabela_registros[VALOR],tabela_registros[MÊS],$AE$1,tabela_registros[DIA],outtotal3059718395107119131143[[#Headers],[19]],tabela_registros[REGISTRO],DADOS!$N$4,tabela_registros[TIPO],DADOS!$P$3,tabela_registros[CATEGORIA],despesafixaconsolidadoout[[#This Row],[DESPESA FIXA]])</f>
        <v>0</v>
      </c>
      <c r="X50" s="151" t="n">
        <f aca="false">SUMIFS(tabela_registros[VALOR],tabela_registros[MÊS],$AE$1,tabela_registros[DIA],outtotal3059718395107119131143[[#Headers],[20]],tabela_registros[REGISTRO],DADOS!$N$4,tabela_registros[TIPO],DADOS!$P$3,tabela_registros[CATEGORIA],despesafixaconsolidadoout[[#This Row],[DESPESA FIXA]])</f>
        <v>0</v>
      </c>
      <c r="Y50" s="151" t="n">
        <f aca="false">SUMIFS(tabela_registros[VALOR],tabela_registros[MÊS],$AE$1,tabela_registros[DIA],outtotal3059718395107119131143[[#Headers],[21]],tabela_registros[REGISTRO],DADOS!$N$4,tabela_registros[TIPO],DADOS!$P$3,tabela_registros[CATEGORIA],despesafixaconsolidadoout[[#This Row],[DESPESA FIXA]])</f>
        <v>0</v>
      </c>
      <c r="Z50" s="151" t="n">
        <f aca="false">SUMIFS(tabela_registros[VALOR],tabela_registros[MÊS],$AE$1,tabela_registros[DIA],outtotal3059718395107119131143[[#Headers],[22]],tabela_registros[REGISTRO],DADOS!$N$4,tabela_registros[TIPO],DADOS!$P$3,tabela_registros[CATEGORIA],despesafixaconsolidadoout[[#This Row],[DESPESA FIXA]])</f>
        <v>0</v>
      </c>
      <c r="AA50" s="151" t="n">
        <f aca="false">SUMIFS(tabela_registros[VALOR],tabela_registros[MÊS],$AE$1,tabela_registros[DIA],outtotal3059718395107119131143[[#Headers],[23]],tabela_registros[REGISTRO],DADOS!$N$4,tabela_registros[TIPO],DADOS!$P$3,tabela_registros[CATEGORIA],despesafixaconsolidadoout[[#This Row],[DESPESA FIXA]])</f>
        <v>0</v>
      </c>
      <c r="AB50" s="151" t="n">
        <f aca="false">SUMIFS(tabela_registros[VALOR],tabela_registros[MÊS],$AE$1,tabela_registros[DIA],outtotal3059718395107119131143[[#Headers],[24]],tabela_registros[REGISTRO],DADOS!$N$4,tabela_registros[TIPO],DADOS!$P$3,tabela_registros[CATEGORIA],despesafixaconsolidadoout[[#This Row],[DESPESA FIXA]])</f>
        <v>0</v>
      </c>
      <c r="AC50" s="151" t="n">
        <f aca="false">SUMIFS(tabela_registros[VALOR],tabela_registros[MÊS],$AE$1,tabela_registros[DIA],outtotal3059718395107119131143[[#Headers],[25]],tabela_registros[REGISTRO],DADOS!$N$4,tabela_registros[TIPO],DADOS!$P$3,tabela_registros[CATEGORIA],despesafixaconsolidadoout[[#This Row],[DESPESA FIXA]])</f>
        <v>0</v>
      </c>
      <c r="AD50" s="151" t="n">
        <f aca="false">SUMIFS(tabela_registros[VALOR],tabela_registros[MÊS],$AE$1,tabela_registros[DIA],outtotal3059718395107119131143[[#Headers],[26]],tabela_registros[REGISTRO],DADOS!$N$4,tabela_registros[TIPO],DADOS!$P$3,tabela_registros[CATEGORIA],despesafixaconsolidadoout[[#This Row],[DESPESA FIXA]])</f>
        <v>0</v>
      </c>
      <c r="AE50" s="151" t="n">
        <f aca="false">SUMIFS(tabela_registros[VALOR],tabela_registros[MÊS],$AE$1,tabela_registros[DIA],outtotal3059718395107119131143[[#Headers],[27]],tabela_registros[REGISTRO],DADOS!$N$4,tabela_registros[TIPO],DADOS!$P$3,tabela_registros[CATEGORIA],despesafixaconsolidadoout[[#This Row],[DESPESA FIXA]])</f>
        <v>0</v>
      </c>
      <c r="AF50" s="151" t="n">
        <f aca="false">SUMIFS(tabela_registros[VALOR],tabela_registros[MÊS],$AE$1,tabela_registros[DIA],outtotal3059718395107119131143[[#Headers],[28]],tabela_registros[REGISTRO],DADOS!$N$4,tabela_registros[TIPO],DADOS!$P$3,tabela_registros[CATEGORIA],despesafixaconsolidadoout[[#This Row],[DESPESA FIXA]])</f>
        <v>0</v>
      </c>
      <c r="AG50" s="151" t="n">
        <f aca="false">SUMIFS(tabela_registros[VALOR],tabela_registros[MÊS],$AE$1,tabela_registros[DIA],outtotal3059718395107119131143[[#Headers],[29]],tabela_registros[REGISTRO],DADOS!$N$4,tabela_registros[TIPO],DADOS!$P$3,tabela_registros[CATEGORIA],despesafixaconsolidadoout[[#This Row],[DESPESA FIXA]])</f>
        <v>0</v>
      </c>
      <c r="AH50" s="151" t="n">
        <f aca="false">SUMIFS(tabela_registros[VALOR],tabela_registros[MÊS],$AE$1,tabela_registros[DIA],outtotal3059718395107119131143[[#Headers],[30]],tabela_registros[REGISTRO],DADOS!$N$4,tabela_registros[TIPO],DADOS!$P$3,tabela_registros[CATEGORIA],despesafixaconsolidadoout[[#This Row],[DESPESA FIXA]])</f>
        <v>0</v>
      </c>
      <c r="AI50" s="218" t="n">
        <f aca="false">SUMIFS(tabela_registros[VALOR],tabela_registros[MÊS],$AE$1,tabela_registros[DIA],outtotal3059718395107119131143[[#Headers],[31]],tabela_registros[REGISTRO],DADOS!$N$4,tabela_registros[TIPO],DADOS!$P$3,tabela_registros[CATEGORIA],despesafixaconsolidadoout[[#This Row],[DESPESA FIXA]])</f>
        <v>0</v>
      </c>
      <c r="AJ50" s="219" t="n">
        <f aca="false">SUM(despesafixaconsolidadoout[[#This Row],[1]:[31]])</f>
        <v>0</v>
      </c>
      <c r="AK50" s="143"/>
    </row>
    <row r="51" s="122" customFormat="true" ht="21" hidden="false" customHeight="true" outlineLevel="0" collapsed="false">
      <c r="B51" s="152"/>
      <c r="C51" s="153" t="s">
        <v>2</v>
      </c>
      <c r="D51" s="154" t="str">
        <f aca="false">IF(despesafixaconsolidadoout[[#This Row],[TOTAL]]=0,"",IF(OR(despesafixaconsolidadoout[[#This Row],[TOTAL]]=SMALL($AJ$37:$AJ$50,1),despesafixaconsolidadoout[[#This Row],[TOTAL]]=SMALL($AJ$37:$AJ$50,2),despesafixaconsolidadoout[[#This Row],[TOTAL]]=SMALL($AJ$37:$AJ$50,3),despesafixaconsolidadoout[[#This Row],[TOTAL]]=SMALL($AJ$37:$AJ$50,4),despesafixaconsolidadoout[[#This Row],[TOTAL]]=SMALL($AJ$37:$AJ$50,5)),DADOS!$I$8,""))</f>
        <v/>
      </c>
      <c r="E51" s="155" t="n">
        <f aca="false">SUM(E37:E50)</f>
        <v>0</v>
      </c>
      <c r="F51" s="156" t="n">
        <f aca="false">SUM(F37:F50)+despesafixaconsolidadoout[[#This Row],[1]]</f>
        <v>0</v>
      </c>
      <c r="G51" s="156" t="n">
        <f aca="false">SUM(G37:G50)+despesafixaconsolidadoout[[#This Row],[2]]</f>
        <v>0</v>
      </c>
      <c r="H51" s="156" t="n">
        <f aca="false">SUM(H37:H50)+despesafixaconsolidadoout[[#This Row],[3]]</f>
        <v>0</v>
      </c>
      <c r="I51" s="156" t="n">
        <f aca="false">SUM(I37:I50)+despesafixaconsolidadoout[[#This Row],[4]]</f>
        <v>0</v>
      </c>
      <c r="J51" s="156" t="n">
        <f aca="false">SUM(J37:J50)+despesafixaconsolidadoout[[#This Row],[5]]</f>
        <v>0</v>
      </c>
      <c r="K51" s="156" t="n">
        <f aca="false">SUM(K37:K50)+despesafixaconsolidadoout[[#This Row],[6]]</f>
        <v>0</v>
      </c>
      <c r="L51" s="156" t="n">
        <f aca="false">SUM(L37:L50)+despesafixaconsolidadoout[[#This Row],[7]]</f>
        <v>0</v>
      </c>
      <c r="M51" s="156" t="n">
        <f aca="false">SUM(M37:M50)+despesafixaconsolidadoout[[#This Row],[8]]</f>
        <v>0</v>
      </c>
      <c r="N51" s="156" t="n">
        <f aca="false">SUM(N37:N50)+despesafixaconsolidadoout[[#This Row],[9]]</f>
        <v>0</v>
      </c>
      <c r="O51" s="156" t="n">
        <f aca="false">SUM(O37:O50)+despesafixaconsolidadoout[[#This Row],[10]]</f>
        <v>0</v>
      </c>
      <c r="P51" s="156" t="n">
        <f aca="false">SUM(P37:P50)+despesafixaconsolidadoout[[#This Row],[11]]</f>
        <v>0</v>
      </c>
      <c r="Q51" s="156" t="n">
        <f aca="false">SUM(Q37:Q50)+despesafixaconsolidadoout[[#This Row],[12]]</f>
        <v>0</v>
      </c>
      <c r="R51" s="156" t="n">
        <f aca="false">SUM(R37:R50)+despesafixaconsolidadoout[[#This Row],[13]]</f>
        <v>0</v>
      </c>
      <c r="S51" s="156" t="n">
        <f aca="false">SUM(S37:S50)+despesafixaconsolidadoout[[#This Row],[14]]</f>
        <v>0</v>
      </c>
      <c r="T51" s="156" t="n">
        <f aca="false">SUM(T37:T50)+despesafixaconsolidadoout[[#This Row],[15]]</f>
        <v>0</v>
      </c>
      <c r="U51" s="156" t="n">
        <f aca="false">SUM(U37:U50)+despesafixaconsolidadoout[[#This Row],[16]]</f>
        <v>0</v>
      </c>
      <c r="V51" s="156" t="n">
        <f aca="false">SUM(V37:V50)+despesafixaconsolidadoout[[#This Row],[17]]</f>
        <v>0</v>
      </c>
      <c r="W51" s="156" t="n">
        <f aca="false">SUM(W37:W50)+despesafixaconsolidadoout[[#This Row],[18]]</f>
        <v>0</v>
      </c>
      <c r="X51" s="156" t="n">
        <f aca="false">SUM(X37:X50)+despesafixaconsolidadoout[[#This Row],[19]]</f>
        <v>0</v>
      </c>
      <c r="Y51" s="156" t="n">
        <f aca="false">SUM(Y37:Y50)+despesafixaconsolidadoout[[#This Row],[20]]</f>
        <v>0</v>
      </c>
      <c r="Z51" s="156" t="n">
        <f aca="false">SUM(Z37:Z50)+despesafixaconsolidadoout[[#This Row],[21]]</f>
        <v>0</v>
      </c>
      <c r="AA51" s="156" t="n">
        <f aca="false">SUM(AA37:AA50)+despesafixaconsolidadoout[[#This Row],[22]]</f>
        <v>0</v>
      </c>
      <c r="AB51" s="156" t="n">
        <f aca="false">SUM(AB37:AB50)+despesafixaconsolidadoout[[#This Row],[23]]</f>
        <v>0</v>
      </c>
      <c r="AC51" s="156" t="n">
        <f aca="false">SUM(AC37:AC50)+despesafixaconsolidadoout[[#This Row],[24]]</f>
        <v>0</v>
      </c>
      <c r="AD51" s="156" t="n">
        <f aca="false">SUM(AD37:AD50)+despesafixaconsolidadoout[[#This Row],[25]]</f>
        <v>0</v>
      </c>
      <c r="AE51" s="156" t="n">
        <f aca="false">SUM(AE37:AE50)+despesafixaconsolidadoout[[#This Row],[26]]</f>
        <v>0</v>
      </c>
      <c r="AF51" s="156" t="n">
        <f aca="false">SUM(AF37:AF50)+despesafixaconsolidadoout[[#This Row],[27]]</f>
        <v>0</v>
      </c>
      <c r="AG51" s="156" t="n">
        <f aca="false">SUM(AG37:AG50)+despesafixaconsolidadoout[[#This Row],[28]]</f>
        <v>0</v>
      </c>
      <c r="AH51" s="156" t="n">
        <f aca="false">SUM(AH37:AH50)+despesafixaconsolidadoout[[#This Row],[29]]</f>
        <v>0</v>
      </c>
      <c r="AI51" s="223" t="n">
        <f aca="false">SUM(AI37:AI50)+despesafixaconsolidadoout[[#This Row],[30]]</f>
        <v>0</v>
      </c>
      <c r="AJ51" s="157" t="n">
        <f aca="false">despesafixaconsolidadoout[[#This Row],[31]]</f>
        <v>0</v>
      </c>
      <c r="AK51" s="158"/>
    </row>
    <row r="52" customFormat="false" ht="6.75" hidden="false" customHeight="true" outlineLevel="0" collapsed="false">
      <c r="B52" s="97"/>
      <c r="C52" s="159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227"/>
      <c r="AJ52" s="97"/>
      <c r="AK52" s="244"/>
    </row>
    <row r="53" customFormat="false" ht="12.75" hidden="false" customHeight="false" outlineLevel="0" collapsed="false">
      <c r="C53" s="133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K53" s="100"/>
    </row>
    <row r="54" customFormat="false" ht="12" hidden="false" customHeight="false" outlineLevel="0" collapsed="false">
      <c r="C54" s="133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</row>
    <row r="55" customFormat="false" ht="12" hidden="false" customHeight="false" outlineLevel="0" collapsed="false">
      <c r="C55" s="133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</row>
    <row r="56" customFormat="false" ht="39.75" hidden="false" customHeight="true" outlineLevel="0" collapsed="false">
      <c r="C56" s="133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3" t="s">
        <v>2</v>
      </c>
    </row>
    <row r="57" s="78" customFormat="true" ht="11.25" hidden="false" customHeight="true" outlineLevel="0" collapsed="false">
      <c r="C57" s="101"/>
      <c r="AJ57" s="106" t="s">
        <v>64</v>
      </c>
    </row>
    <row r="58" customFormat="false" ht="6.75" hidden="false" customHeight="true" outlineLevel="0" collapsed="false">
      <c r="B58" s="139"/>
      <c r="C58" s="140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212"/>
      <c r="AK58" s="139"/>
    </row>
    <row r="59" customFormat="false" ht="12.75" hidden="true" customHeight="false" outlineLevel="0" collapsed="false">
      <c r="B59" s="86"/>
      <c r="C59" s="109" t="s">
        <v>79</v>
      </c>
      <c r="D59" s="110" t="s">
        <v>69</v>
      </c>
      <c r="E59" s="110" t="s">
        <v>30</v>
      </c>
      <c r="F59" s="110" t="s">
        <v>31</v>
      </c>
      <c r="G59" s="110" t="s">
        <v>32</v>
      </c>
      <c r="H59" s="110" t="s">
        <v>33</v>
      </c>
      <c r="I59" s="110" t="s">
        <v>34</v>
      </c>
      <c r="J59" s="110" t="s">
        <v>35</v>
      </c>
      <c r="K59" s="110" t="s">
        <v>36</v>
      </c>
      <c r="L59" s="110" t="s">
        <v>37</v>
      </c>
      <c r="M59" s="110" t="s">
        <v>38</v>
      </c>
      <c r="N59" s="110" t="s">
        <v>39</v>
      </c>
      <c r="O59" s="110" t="s">
        <v>40</v>
      </c>
      <c r="P59" s="110" t="s">
        <v>41</v>
      </c>
      <c r="Q59" s="110" t="s">
        <v>81</v>
      </c>
      <c r="R59" s="110" t="s">
        <v>82</v>
      </c>
      <c r="S59" s="110" t="s">
        <v>83</v>
      </c>
      <c r="T59" s="110" t="s">
        <v>84</v>
      </c>
      <c r="U59" s="110" t="s">
        <v>85</v>
      </c>
      <c r="V59" s="110" t="s">
        <v>86</v>
      </c>
      <c r="W59" s="110" t="s">
        <v>87</v>
      </c>
      <c r="X59" s="110" t="s">
        <v>88</v>
      </c>
      <c r="Y59" s="110" t="s">
        <v>89</v>
      </c>
      <c r="Z59" s="110" t="s">
        <v>90</v>
      </c>
      <c r="AA59" s="110" t="s">
        <v>91</v>
      </c>
      <c r="AB59" s="110" t="s">
        <v>92</v>
      </c>
      <c r="AC59" s="110" t="s">
        <v>93</v>
      </c>
      <c r="AD59" s="110" t="s">
        <v>94</v>
      </c>
      <c r="AE59" s="110" t="s">
        <v>95</v>
      </c>
      <c r="AF59" s="110" t="s">
        <v>96</v>
      </c>
      <c r="AG59" s="110" t="s">
        <v>97</v>
      </c>
      <c r="AH59" s="110" t="s">
        <v>98</v>
      </c>
      <c r="AI59" s="110" t="s">
        <v>99</v>
      </c>
      <c r="AJ59" s="142" t="s">
        <v>2</v>
      </c>
      <c r="AK59" s="86" t="s">
        <v>75</v>
      </c>
    </row>
    <row r="60" customFormat="false" ht="19.5" hidden="false" customHeight="true" outlineLevel="0" collapsed="false">
      <c r="B60" s="143"/>
      <c r="C60" s="144" t="str">
        <f aca="false">DADOS!$T$3</f>
        <v>🍕 ALIMENTAÇÃO</v>
      </c>
      <c r="D60" s="145" t="str">
        <f aca="false">IF(despesavariávelconsolidadoout[[#This Row],[TOTAL]]=0,"",IF(OR(despesavariávelconsolidadoout[[#This Row],[TOTAL]]=LARGE($AJ$60:$AJ$72,1),despesavariávelconsolidadoout[[#This Row],[TOTAL]]=LARGE($AJ$60:$AJ$72,2),despesavariávelconsolidadoout[[#This Row],[TOTAL]]=LARGE($AJ$60:$AJ$72,3),despesavariávelconsolidadoout[[#This Row],[TOTAL]]=LARGE($AJ$60:$AJ$72,4),despesavariávelconsolidadoout[[#This Row],[TOTAL]]=LARGE($AJ$60:$AJ$72,5)),DADOS!$I$8,""))</f>
        <v/>
      </c>
      <c r="E60" s="146" t="n">
        <f aca="false">SUMIFS(tabela_registros[VALOR],tabela_registros[MÊS],$AE$1,tabela_registros[DIA],outtotal3059718395107119131143[[#Headers],[1]],tabela_registros[REGISTRO],DADOS!$N$4,tabela_registros[TIPO],DADOS!$P$4,tabela_registros[CATEGORIA],despesavariávelconsolidadoout[[#This Row],[DESPESA VARIÁVEL]])</f>
        <v>0</v>
      </c>
      <c r="F60" s="114" t="n">
        <f aca="false">SUMIFS(tabela_registros[VALOR],tabela_registros[MÊS],$AE$1,tabela_registros[DIA],outtotal3059718395107119131143[[#Headers],[2]],tabela_registros[REGISTRO],DADOS!$N$4,tabela_registros[TIPO],DADOS!$P$4,tabela_registros[CATEGORIA],despesavariávelconsolidadoout[[#This Row],[DESPESA VARIÁVEL]])</f>
        <v>0</v>
      </c>
      <c r="G60" s="114" t="n">
        <f aca="false">SUMIFS(tabela_registros[VALOR],tabela_registros[MÊS],$AE$1,tabela_registros[DIA],outtotal3059718395107119131143[[#Headers],[3]],tabela_registros[REGISTRO],DADOS!$N$4,tabela_registros[TIPO],DADOS!$P$4,tabela_registros[CATEGORIA],despesavariávelconsolidadoout[[#This Row],[DESPESA VARIÁVEL]])</f>
        <v>0</v>
      </c>
      <c r="H60" s="114" t="n">
        <f aca="false">SUMIFS(tabela_registros[VALOR],tabela_registros[MÊS],$AE$1,tabela_registros[DIA],outtotal3059718395107119131143[[#Headers],[4]],tabela_registros[REGISTRO],DADOS!$N$4,tabela_registros[TIPO],DADOS!$P$4,tabela_registros[CATEGORIA],despesavariávelconsolidadoout[[#This Row],[DESPESA VARIÁVEL]])</f>
        <v>0</v>
      </c>
      <c r="I60" s="114" t="n">
        <f aca="false">SUMIFS(tabela_registros[VALOR],tabela_registros[MÊS],$AE$1,tabela_registros[DIA],outtotal3059718395107119131143[[#Headers],[5]],tabela_registros[REGISTRO],DADOS!$N$4,tabela_registros[TIPO],DADOS!$P$4,tabela_registros[CATEGORIA],despesavariávelconsolidadoout[[#This Row],[DESPESA VARIÁVEL]])</f>
        <v>0</v>
      </c>
      <c r="J60" s="114" t="n">
        <f aca="false">SUMIFS(tabela_registros[VALOR],tabela_registros[MÊS],$AE$1,tabela_registros[DIA],outtotal3059718395107119131143[[#Headers],[6]],tabela_registros[REGISTRO],DADOS!$N$4,tabela_registros[TIPO],DADOS!$P$4,tabela_registros[CATEGORIA],despesavariávelconsolidadoout[[#This Row],[DESPESA VARIÁVEL]])</f>
        <v>0</v>
      </c>
      <c r="K60" s="114" t="n">
        <f aca="false">SUMIFS(tabela_registros[VALOR],tabela_registros[MÊS],$AE$1,tabela_registros[DIA],outtotal3059718395107119131143[[#Headers],[7]],tabela_registros[REGISTRO],DADOS!$N$4,tabela_registros[TIPO],DADOS!$P$4,tabela_registros[CATEGORIA],despesavariávelconsolidadoout[[#This Row],[DESPESA VARIÁVEL]])</f>
        <v>0</v>
      </c>
      <c r="L60" s="114" t="n">
        <f aca="false">SUMIFS(tabela_registros[VALOR],tabela_registros[MÊS],$AE$1,tabela_registros[DIA],outtotal3059718395107119131143[[#Headers],[8]],tabela_registros[REGISTRO],DADOS!$N$4,tabela_registros[TIPO],DADOS!$P$4,tabela_registros[CATEGORIA],despesavariávelconsolidadoout[[#This Row],[DESPESA VARIÁVEL]])</f>
        <v>0</v>
      </c>
      <c r="M60" s="114" t="n">
        <f aca="false">SUMIFS(tabela_registros[VALOR],tabela_registros[MÊS],$AE$1,tabela_registros[DIA],outtotal3059718395107119131143[[#Headers],[9]],tabela_registros[REGISTRO],DADOS!$N$4,tabela_registros[TIPO],DADOS!$P$4,tabela_registros[CATEGORIA],despesavariávelconsolidadoout[[#This Row],[DESPESA VARIÁVEL]])</f>
        <v>0</v>
      </c>
      <c r="N60" s="114" t="n">
        <f aca="false">SUMIFS(tabela_registros[VALOR],tabela_registros[MÊS],$AE$1,tabela_registros[DIA],outtotal3059718395107119131143[[#Headers],[10]],tabela_registros[REGISTRO],DADOS!$N$4,tabela_registros[TIPO],DADOS!$P$4,tabela_registros[CATEGORIA],despesavariávelconsolidadoout[[#This Row],[DESPESA VARIÁVEL]])</f>
        <v>0</v>
      </c>
      <c r="O60" s="114" t="n">
        <f aca="false">SUMIFS(tabela_registros[VALOR],tabela_registros[MÊS],$AE$1,tabela_registros[DIA],outtotal3059718395107119131143[[#Headers],[11]],tabela_registros[REGISTRO],DADOS!$N$4,tabela_registros[TIPO],DADOS!$P$4,tabela_registros[CATEGORIA],despesavariávelconsolidadoout[[#This Row],[DESPESA VARIÁVEL]])</f>
        <v>0</v>
      </c>
      <c r="P60" s="114" t="n">
        <f aca="false">SUMIFS(tabela_registros[VALOR],tabela_registros[MÊS],$AE$1,tabela_registros[DIA],outtotal3059718395107119131143[[#Headers],[12]],tabela_registros[REGISTRO],DADOS!$N$4,tabela_registros[TIPO],DADOS!$P$4,tabela_registros[CATEGORIA],despesavariávelconsolidadoout[[#This Row],[DESPESA VARIÁVEL]])</f>
        <v>0</v>
      </c>
      <c r="Q60" s="114" t="n">
        <f aca="false">SUMIFS(tabela_registros[VALOR],tabela_registros[MÊS],$AE$1,tabela_registros[DIA],outtotal3059718395107119131143[[#Headers],[13]],tabela_registros[REGISTRO],DADOS!$N$4,tabela_registros[TIPO],DADOS!$P$4,tabela_registros[CATEGORIA],despesavariávelconsolidadoout[[#This Row],[DESPESA VARIÁVEL]])</f>
        <v>0</v>
      </c>
      <c r="R60" s="114" t="n">
        <f aca="false">SUMIFS(tabela_registros[VALOR],tabela_registros[MÊS],$AE$1,tabela_registros[DIA],outtotal3059718395107119131143[[#Headers],[14]],tabela_registros[REGISTRO],DADOS!$N$4,tabela_registros[TIPO],DADOS!$P$4,tabela_registros[CATEGORIA],despesavariávelconsolidadoout[[#This Row],[DESPESA VARIÁVEL]])</f>
        <v>0</v>
      </c>
      <c r="S60" s="114" t="n">
        <f aca="false">SUMIFS(tabela_registros[VALOR],tabela_registros[MÊS],$AE$1,tabela_registros[DIA],outtotal3059718395107119131143[[#Headers],[15]],tabela_registros[REGISTRO],DADOS!$N$4,tabela_registros[TIPO],DADOS!$P$4,tabela_registros[CATEGORIA],despesavariávelconsolidadoout[[#This Row],[DESPESA VARIÁVEL]])</f>
        <v>0</v>
      </c>
      <c r="T60" s="114" t="n">
        <f aca="false">SUMIFS(tabela_registros[VALOR],tabela_registros[MÊS],$AE$1,tabela_registros[DIA],outtotal3059718395107119131143[[#Headers],[16]],tabela_registros[REGISTRO],DADOS!$N$4,tabela_registros[TIPO],DADOS!$P$4,tabela_registros[CATEGORIA],despesavariávelconsolidadoout[[#This Row],[DESPESA VARIÁVEL]])</f>
        <v>0</v>
      </c>
      <c r="U60" s="114" t="n">
        <f aca="false">SUMIFS(tabela_registros[VALOR],tabela_registros[MÊS],$AE$1,tabela_registros[DIA],outtotal3059718395107119131143[[#Headers],[17]],tabela_registros[REGISTRO],DADOS!$N$4,tabela_registros[TIPO],DADOS!$P$4,tabela_registros[CATEGORIA],despesavariávelconsolidadoout[[#This Row],[DESPESA VARIÁVEL]])</f>
        <v>0</v>
      </c>
      <c r="V60" s="114" t="n">
        <f aca="false">SUMIFS(tabela_registros[VALOR],tabela_registros[MÊS],$AE$1,tabela_registros[DIA],outtotal3059718395107119131143[[#Headers],[18]],tabela_registros[REGISTRO],DADOS!$N$4,tabela_registros[TIPO],DADOS!$P$4,tabela_registros[CATEGORIA],despesavariávelconsolidadoout[[#This Row],[DESPESA VARIÁVEL]])</f>
        <v>0</v>
      </c>
      <c r="W60" s="114" t="n">
        <f aca="false">SUMIFS(tabela_registros[VALOR],tabela_registros[MÊS],$AE$1,tabela_registros[DIA],outtotal3059718395107119131143[[#Headers],[19]],tabela_registros[REGISTRO],DADOS!$N$4,tabela_registros[TIPO],DADOS!$P$4,tabela_registros[CATEGORIA],despesavariávelconsolidadoout[[#This Row],[DESPESA VARIÁVEL]])</f>
        <v>0</v>
      </c>
      <c r="X60" s="114" t="n">
        <f aca="false">SUMIFS(tabela_registros[VALOR],tabela_registros[MÊS],$AE$1,tabela_registros[DIA],outtotal3059718395107119131143[[#Headers],[20]],tabela_registros[REGISTRO],DADOS!$N$4,tabela_registros[TIPO],DADOS!$P$4,tabela_registros[CATEGORIA],despesavariávelconsolidadoout[[#This Row],[DESPESA VARIÁVEL]])</f>
        <v>0</v>
      </c>
      <c r="Y60" s="114" t="n">
        <f aca="false">SUMIFS(tabela_registros[VALOR],tabela_registros[MÊS],$AE$1,tabela_registros[DIA],outtotal3059718395107119131143[[#Headers],[21]],tabela_registros[REGISTRO],DADOS!$N$4,tabela_registros[TIPO],DADOS!$P$4,tabela_registros[CATEGORIA],despesavariávelconsolidadoout[[#This Row],[DESPESA VARIÁVEL]])</f>
        <v>0</v>
      </c>
      <c r="Z60" s="114" t="n">
        <f aca="false">SUMIFS(tabela_registros[VALOR],tabela_registros[MÊS],$AE$1,tabela_registros[DIA],outtotal3059718395107119131143[[#Headers],[22]],tabela_registros[REGISTRO],DADOS!$N$4,tabela_registros[TIPO],DADOS!$P$4,tabela_registros[CATEGORIA],despesavariávelconsolidadoout[[#This Row],[DESPESA VARIÁVEL]])</f>
        <v>0</v>
      </c>
      <c r="AA60" s="114" t="n">
        <f aca="false">SUMIFS(tabela_registros[VALOR],tabela_registros[MÊS],$AE$1,tabela_registros[DIA],outtotal3059718395107119131143[[#Headers],[23]],tabela_registros[REGISTRO],DADOS!$N$4,tabela_registros[TIPO],DADOS!$P$4,tabela_registros[CATEGORIA],despesavariávelconsolidadoout[[#This Row],[DESPESA VARIÁVEL]])</f>
        <v>0</v>
      </c>
      <c r="AB60" s="114" t="n">
        <f aca="false">SUMIFS(tabela_registros[VALOR],tabela_registros[MÊS],$AE$1,tabela_registros[DIA],outtotal3059718395107119131143[[#Headers],[24]],tabela_registros[REGISTRO],DADOS!$N$4,tabela_registros[TIPO],DADOS!$P$4,tabela_registros[CATEGORIA],despesavariávelconsolidadoout[[#This Row],[DESPESA VARIÁVEL]])</f>
        <v>0</v>
      </c>
      <c r="AC60" s="114" t="n">
        <f aca="false">SUMIFS(tabela_registros[VALOR],tabela_registros[MÊS],$AE$1,tabela_registros[DIA],outtotal3059718395107119131143[[#Headers],[25]],tabela_registros[REGISTRO],DADOS!$N$4,tabela_registros[TIPO],DADOS!$P$4,tabela_registros[CATEGORIA],despesavariávelconsolidadoout[[#This Row],[DESPESA VARIÁVEL]])</f>
        <v>0</v>
      </c>
      <c r="AD60" s="114" t="n">
        <f aca="false">SUMIFS(tabela_registros[VALOR],tabela_registros[MÊS],$AE$1,tabela_registros[DIA],outtotal3059718395107119131143[[#Headers],[26]],tabela_registros[REGISTRO],DADOS!$N$4,tabela_registros[TIPO],DADOS!$P$4,tabela_registros[CATEGORIA],despesavariávelconsolidadoout[[#This Row],[DESPESA VARIÁVEL]])</f>
        <v>0</v>
      </c>
      <c r="AE60" s="114" t="n">
        <f aca="false">SUMIFS(tabela_registros[VALOR],tabela_registros[MÊS],$AE$1,tabela_registros[DIA],outtotal3059718395107119131143[[#Headers],[27]],tabela_registros[REGISTRO],DADOS!$N$4,tabela_registros[TIPO],DADOS!$P$4,tabela_registros[CATEGORIA],despesavariávelconsolidadoout[[#This Row],[DESPESA VARIÁVEL]])</f>
        <v>0</v>
      </c>
      <c r="AF60" s="114" t="n">
        <f aca="false">SUMIFS(tabela_registros[VALOR],tabela_registros[MÊS],$AE$1,tabela_registros[DIA],outtotal3059718395107119131143[[#Headers],[28]],tabela_registros[REGISTRO],DADOS!$N$4,tabela_registros[TIPO],DADOS!$P$4,tabela_registros[CATEGORIA],despesavariávelconsolidadoout[[#This Row],[DESPESA VARIÁVEL]])</f>
        <v>0</v>
      </c>
      <c r="AG60" s="114" t="n">
        <f aca="false">SUMIFS(tabela_registros[VALOR],tabela_registros[MÊS],$AE$1,tabela_registros[DIA],outtotal3059718395107119131143[[#Headers],[29]],tabela_registros[REGISTRO],DADOS!$N$4,tabela_registros[TIPO],DADOS!$P$4,tabela_registros[CATEGORIA],despesavariávelconsolidadoout[[#This Row],[DESPESA VARIÁVEL]])</f>
        <v>0</v>
      </c>
      <c r="AH60" s="114" t="n">
        <f aca="false">SUMIFS(tabela_registros[VALOR],tabela_registros[MÊS],$AE$1,tabela_registros[DIA],outtotal3059718395107119131143[[#Headers],[30]],tabela_registros[REGISTRO],DADOS!$N$4,tabela_registros[TIPO],DADOS!$P$4,tabela_registros[CATEGORIA],despesavariávelconsolidadoout[[#This Row],[DESPESA VARIÁVEL]])</f>
        <v>0</v>
      </c>
      <c r="AI60" s="216" t="n">
        <f aca="false">SUMIFS(tabela_registros[VALOR],tabela_registros[MÊS],$AE$1,tabela_registros[DIA],outtotal3059718395107119131143[[#Headers],[31]],tabela_registros[REGISTRO],DADOS!$N$4,tabela_registros[TIPO],DADOS!$P$4,tabela_registros[CATEGORIA],despesavariávelconsolidadoout[[#This Row],[DESPESA VARIÁVEL]])</f>
        <v>0</v>
      </c>
      <c r="AJ60" s="147" t="n">
        <f aca="false">SUM(despesavariávelconsolidadoout[[#This Row],[1]:[31]])</f>
        <v>0</v>
      </c>
      <c r="AK60" s="143"/>
    </row>
    <row r="61" customFormat="false" ht="18" hidden="false" customHeight="true" outlineLevel="0" collapsed="false">
      <c r="B61" s="143"/>
      <c r="C61" s="144" t="str">
        <f aca="false">DADOS!$T$4</f>
        <v>💳 CARTÃO DE CRÉDITO</v>
      </c>
      <c r="D61" s="145" t="str">
        <f aca="false">IF(despesavariávelconsolidadoout[[#This Row],[TOTAL]]=0,"",IF(OR(despesavariávelconsolidadoout[[#This Row],[TOTAL]]=LARGE($AJ$60:$AJ$72,1),despesavariávelconsolidadoout[[#This Row],[TOTAL]]=LARGE($AJ$60:$AJ$72,2),despesavariávelconsolidadoout[[#This Row],[TOTAL]]=LARGE($AJ$60:$AJ$72,3),despesavariávelconsolidadoout[[#This Row],[TOTAL]]=LARGE($AJ$60:$AJ$72,4),despesavariávelconsolidadoout[[#This Row],[TOTAL]]=LARGE($AJ$60:$AJ$72,5)),DADOS!$I$8,""))</f>
        <v/>
      </c>
      <c r="E61" s="148" t="n">
        <f aca="false">SUMIFS(tabela_registros[VALOR],tabela_registros[MÊS],$AE$1,tabela_registros[DIA],outtotal3059718395107119131143[[#Headers],[1]],tabela_registros[REGISTRO],DADOS!$N$4,tabela_registros[TIPO],DADOS!$P$4,tabela_registros[CATEGORIA],despesavariávelconsolidadoout[[#This Row],[DESPESA VARIÁVEL]])</f>
        <v>0</v>
      </c>
      <c r="F61" s="119" t="n">
        <f aca="false">SUMIFS(tabela_registros[VALOR],tabela_registros[MÊS],$AE$1,tabela_registros[DIA],outtotal3059718395107119131143[[#Headers],[2]],tabela_registros[REGISTRO],DADOS!$N$4,tabela_registros[TIPO],DADOS!$P$4,tabela_registros[CATEGORIA],despesavariávelconsolidadoout[[#This Row],[DESPESA VARIÁVEL]])</f>
        <v>0</v>
      </c>
      <c r="G61" s="119" t="n">
        <f aca="false">SUMIFS(tabela_registros[VALOR],tabela_registros[MÊS],$AE$1,tabela_registros[DIA],outtotal3059718395107119131143[[#Headers],[3]],tabela_registros[REGISTRO],DADOS!$N$4,tabela_registros[TIPO],DADOS!$P$4,tabela_registros[CATEGORIA],despesavariávelconsolidadoout[[#This Row],[DESPESA VARIÁVEL]])</f>
        <v>0</v>
      </c>
      <c r="H61" s="119" t="n">
        <f aca="false">SUMIFS(tabela_registros[VALOR],tabela_registros[MÊS],$AE$1,tabela_registros[DIA],outtotal3059718395107119131143[[#Headers],[4]],tabela_registros[REGISTRO],DADOS!$N$4,tabela_registros[TIPO],DADOS!$P$4,tabela_registros[CATEGORIA],despesavariávelconsolidadoout[[#This Row],[DESPESA VARIÁVEL]])</f>
        <v>0</v>
      </c>
      <c r="I61" s="119" t="n">
        <f aca="false">SUMIFS(tabela_registros[VALOR],tabela_registros[MÊS],$AE$1,tabela_registros[DIA],outtotal3059718395107119131143[[#Headers],[5]],tabela_registros[REGISTRO],DADOS!$N$4,tabela_registros[TIPO],DADOS!$P$4,tabela_registros[CATEGORIA],despesavariávelconsolidadoout[[#This Row],[DESPESA VARIÁVEL]])</f>
        <v>0</v>
      </c>
      <c r="J61" s="119" t="n">
        <f aca="false">SUMIFS(tabela_registros[VALOR],tabela_registros[MÊS],$AE$1,tabela_registros[DIA],outtotal3059718395107119131143[[#Headers],[6]],tabela_registros[REGISTRO],DADOS!$N$4,tabela_registros[TIPO],DADOS!$P$4,tabela_registros[CATEGORIA],despesavariávelconsolidadoout[[#This Row],[DESPESA VARIÁVEL]])</f>
        <v>0</v>
      </c>
      <c r="K61" s="119" t="n">
        <f aca="false">SUMIFS(tabela_registros[VALOR],tabela_registros[MÊS],$AE$1,tabela_registros[DIA],outtotal3059718395107119131143[[#Headers],[7]],tabela_registros[REGISTRO],DADOS!$N$4,tabela_registros[TIPO],DADOS!$P$4,tabela_registros[CATEGORIA],despesavariávelconsolidadoout[[#This Row],[DESPESA VARIÁVEL]])</f>
        <v>0</v>
      </c>
      <c r="L61" s="119" t="n">
        <f aca="false">SUMIFS(tabela_registros[VALOR],tabela_registros[MÊS],$AE$1,tabela_registros[DIA],outtotal3059718395107119131143[[#Headers],[8]],tabela_registros[REGISTRO],DADOS!$N$4,tabela_registros[TIPO],DADOS!$P$4,tabela_registros[CATEGORIA],despesavariávelconsolidadoout[[#This Row],[DESPESA VARIÁVEL]])</f>
        <v>0</v>
      </c>
      <c r="M61" s="119" t="n">
        <f aca="false">SUMIFS(tabela_registros[VALOR],tabela_registros[MÊS],$AE$1,tabela_registros[DIA],outtotal3059718395107119131143[[#Headers],[9]],tabela_registros[REGISTRO],DADOS!$N$4,tabela_registros[TIPO],DADOS!$P$4,tabela_registros[CATEGORIA],despesavariávelconsolidadoout[[#This Row],[DESPESA VARIÁVEL]])</f>
        <v>0</v>
      </c>
      <c r="N61" s="119" t="n">
        <f aca="false">SUMIFS(tabela_registros[VALOR],tabela_registros[MÊS],$AE$1,tabela_registros[DIA],outtotal3059718395107119131143[[#Headers],[10]],tabela_registros[REGISTRO],DADOS!$N$4,tabela_registros[TIPO],DADOS!$P$4,tabela_registros[CATEGORIA],despesavariávelconsolidadoout[[#This Row],[DESPESA VARIÁVEL]])</f>
        <v>0</v>
      </c>
      <c r="O61" s="119" t="n">
        <f aca="false">SUMIFS(tabela_registros[VALOR],tabela_registros[MÊS],$AE$1,tabela_registros[DIA],outtotal3059718395107119131143[[#Headers],[11]],tabela_registros[REGISTRO],DADOS!$N$4,tabela_registros[TIPO],DADOS!$P$4,tabela_registros[CATEGORIA],despesavariávelconsolidadoout[[#This Row],[DESPESA VARIÁVEL]])</f>
        <v>0</v>
      </c>
      <c r="P61" s="119" t="n">
        <f aca="false">SUMIFS(tabela_registros[VALOR],tabela_registros[MÊS],$AE$1,tabela_registros[DIA],outtotal3059718395107119131143[[#Headers],[12]],tabela_registros[REGISTRO],DADOS!$N$4,tabela_registros[TIPO],DADOS!$P$4,tabela_registros[CATEGORIA],despesavariávelconsolidadoout[[#This Row],[DESPESA VARIÁVEL]])</f>
        <v>0</v>
      </c>
      <c r="Q61" s="119" t="n">
        <f aca="false">SUMIFS(tabela_registros[VALOR],tabela_registros[MÊS],$AE$1,tabela_registros[DIA],outtotal3059718395107119131143[[#Headers],[13]],tabela_registros[REGISTRO],DADOS!$N$4,tabela_registros[TIPO],DADOS!$P$4,tabela_registros[CATEGORIA],despesavariávelconsolidadoout[[#This Row],[DESPESA VARIÁVEL]])</f>
        <v>0</v>
      </c>
      <c r="R61" s="119" t="n">
        <f aca="false">SUMIFS(tabela_registros[VALOR],tabela_registros[MÊS],$AE$1,tabela_registros[DIA],outtotal3059718395107119131143[[#Headers],[14]],tabela_registros[REGISTRO],DADOS!$N$4,tabela_registros[TIPO],DADOS!$P$4,tabela_registros[CATEGORIA],despesavariávelconsolidadoout[[#This Row],[DESPESA VARIÁVEL]])</f>
        <v>0</v>
      </c>
      <c r="S61" s="119" t="n">
        <f aca="false">SUMIFS(tabela_registros[VALOR],tabela_registros[MÊS],$AE$1,tabela_registros[DIA],outtotal3059718395107119131143[[#Headers],[15]],tabela_registros[REGISTRO],DADOS!$N$4,tabela_registros[TIPO],DADOS!$P$4,tabela_registros[CATEGORIA],despesavariávelconsolidadoout[[#This Row],[DESPESA VARIÁVEL]])</f>
        <v>0</v>
      </c>
      <c r="T61" s="119" t="n">
        <f aca="false">SUMIFS(tabela_registros[VALOR],tabela_registros[MÊS],$AE$1,tabela_registros[DIA],outtotal3059718395107119131143[[#Headers],[16]],tabela_registros[REGISTRO],DADOS!$N$4,tabela_registros[TIPO],DADOS!$P$4,tabela_registros[CATEGORIA],despesavariávelconsolidadoout[[#This Row],[DESPESA VARIÁVEL]])</f>
        <v>0</v>
      </c>
      <c r="U61" s="119" t="n">
        <f aca="false">SUMIFS(tabela_registros[VALOR],tabela_registros[MÊS],$AE$1,tabela_registros[DIA],outtotal3059718395107119131143[[#Headers],[17]],tabela_registros[REGISTRO],DADOS!$N$4,tabela_registros[TIPO],DADOS!$P$4,tabela_registros[CATEGORIA],despesavariávelconsolidadoout[[#This Row],[DESPESA VARIÁVEL]])</f>
        <v>0</v>
      </c>
      <c r="V61" s="119" t="n">
        <f aca="false">SUMIFS(tabela_registros[VALOR],tabela_registros[MÊS],$AE$1,tabela_registros[DIA],outtotal3059718395107119131143[[#Headers],[18]],tabela_registros[REGISTRO],DADOS!$N$4,tabela_registros[TIPO],DADOS!$P$4,tabela_registros[CATEGORIA],despesavariávelconsolidadoout[[#This Row],[DESPESA VARIÁVEL]])</f>
        <v>0</v>
      </c>
      <c r="W61" s="119" t="n">
        <f aca="false">SUMIFS(tabela_registros[VALOR],tabela_registros[MÊS],$AE$1,tabela_registros[DIA],outtotal3059718395107119131143[[#Headers],[19]],tabela_registros[REGISTRO],DADOS!$N$4,tabela_registros[TIPO],DADOS!$P$4,tabela_registros[CATEGORIA],despesavariávelconsolidadoout[[#This Row],[DESPESA VARIÁVEL]])</f>
        <v>0</v>
      </c>
      <c r="X61" s="119" t="n">
        <f aca="false">SUMIFS(tabela_registros[VALOR],tabela_registros[MÊS],$AE$1,tabela_registros[DIA],outtotal3059718395107119131143[[#Headers],[20]],tabela_registros[REGISTRO],DADOS!$N$4,tabela_registros[TIPO],DADOS!$P$4,tabela_registros[CATEGORIA],despesavariávelconsolidadoout[[#This Row],[DESPESA VARIÁVEL]])</f>
        <v>0</v>
      </c>
      <c r="Y61" s="119" t="n">
        <f aca="false">SUMIFS(tabela_registros[VALOR],tabela_registros[MÊS],$AE$1,tabela_registros[DIA],outtotal3059718395107119131143[[#Headers],[21]],tabela_registros[REGISTRO],DADOS!$N$4,tabela_registros[TIPO],DADOS!$P$4,tabela_registros[CATEGORIA],despesavariávelconsolidadoout[[#This Row],[DESPESA VARIÁVEL]])</f>
        <v>0</v>
      </c>
      <c r="Z61" s="119" t="n">
        <f aca="false">SUMIFS(tabela_registros[VALOR],tabela_registros[MÊS],$AE$1,tabela_registros[DIA],outtotal3059718395107119131143[[#Headers],[22]],tabela_registros[REGISTRO],DADOS!$N$4,tabela_registros[TIPO],DADOS!$P$4,tabela_registros[CATEGORIA],despesavariávelconsolidadoout[[#This Row],[DESPESA VARIÁVEL]])</f>
        <v>0</v>
      </c>
      <c r="AA61" s="119" t="n">
        <f aca="false">SUMIFS(tabela_registros[VALOR],tabela_registros[MÊS],$AE$1,tabela_registros[DIA],outtotal3059718395107119131143[[#Headers],[23]],tabela_registros[REGISTRO],DADOS!$N$4,tabela_registros[TIPO],DADOS!$P$4,tabela_registros[CATEGORIA],despesavariávelconsolidadoout[[#This Row],[DESPESA VARIÁVEL]])</f>
        <v>0</v>
      </c>
      <c r="AB61" s="119" t="n">
        <f aca="false">SUMIFS(tabela_registros[VALOR],tabela_registros[MÊS],$AE$1,tabela_registros[DIA],outtotal3059718395107119131143[[#Headers],[24]],tabela_registros[REGISTRO],DADOS!$N$4,tabela_registros[TIPO],DADOS!$P$4,tabela_registros[CATEGORIA],despesavariávelconsolidadoout[[#This Row],[DESPESA VARIÁVEL]])</f>
        <v>0</v>
      </c>
      <c r="AC61" s="119" t="n">
        <f aca="false">SUMIFS(tabela_registros[VALOR],tabela_registros[MÊS],$AE$1,tabela_registros[DIA],outtotal3059718395107119131143[[#Headers],[25]],tabela_registros[REGISTRO],DADOS!$N$4,tabela_registros[TIPO],DADOS!$P$4,tabela_registros[CATEGORIA],despesavariávelconsolidadoout[[#This Row],[DESPESA VARIÁVEL]])</f>
        <v>0</v>
      </c>
      <c r="AD61" s="119" t="n">
        <f aca="false">SUMIFS(tabela_registros[VALOR],tabela_registros[MÊS],$AE$1,tabela_registros[DIA],outtotal3059718395107119131143[[#Headers],[26]],tabela_registros[REGISTRO],DADOS!$N$4,tabela_registros[TIPO],DADOS!$P$4,tabela_registros[CATEGORIA],despesavariávelconsolidadoout[[#This Row],[DESPESA VARIÁVEL]])</f>
        <v>0</v>
      </c>
      <c r="AE61" s="119" t="n">
        <f aca="false">SUMIFS(tabela_registros[VALOR],tabela_registros[MÊS],$AE$1,tabela_registros[DIA],outtotal3059718395107119131143[[#Headers],[27]],tabela_registros[REGISTRO],DADOS!$N$4,tabela_registros[TIPO],DADOS!$P$4,tabela_registros[CATEGORIA],despesavariávelconsolidadoout[[#This Row],[DESPESA VARIÁVEL]])</f>
        <v>0</v>
      </c>
      <c r="AF61" s="119" t="n">
        <f aca="false">SUMIFS(tabela_registros[VALOR],tabela_registros[MÊS],$AE$1,tabela_registros[DIA],outtotal3059718395107119131143[[#Headers],[28]],tabela_registros[REGISTRO],DADOS!$N$4,tabela_registros[TIPO],DADOS!$P$4,tabela_registros[CATEGORIA],despesavariávelconsolidadoout[[#This Row],[DESPESA VARIÁVEL]])</f>
        <v>0</v>
      </c>
      <c r="AG61" s="119" t="n">
        <f aca="false">SUMIFS(tabela_registros[VALOR],tabela_registros[MÊS],$AE$1,tabela_registros[DIA],outtotal3059718395107119131143[[#Headers],[29]],tabela_registros[REGISTRO],DADOS!$N$4,tabela_registros[TIPO],DADOS!$P$4,tabela_registros[CATEGORIA],despesavariávelconsolidadoout[[#This Row],[DESPESA VARIÁVEL]])</f>
        <v>0</v>
      </c>
      <c r="AH61" s="119" t="n">
        <f aca="false">SUMIFS(tabela_registros[VALOR],tabela_registros[MÊS],$AE$1,tabela_registros[DIA],outtotal3059718395107119131143[[#Headers],[30]],tabela_registros[REGISTRO],DADOS!$N$4,tabela_registros[TIPO],DADOS!$P$4,tabela_registros[CATEGORIA],despesavariávelconsolidadoout[[#This Row],[DESPESA VARIÁVEL]])</f>
        <v>0</v>
      </c>
      <c r="AI61" s="217" t="n">
        <f aca="false">SUMIFS(tabela_registros[VALOR],tabela_registros[MÊS],$AE$1,tabela_registros[DIA],outtotal3059718395107119131143[[#Headers],[31]],tabela_registros[REGISTRO],DADOS!$N$4,tabela_registros[TIPO],DADOS!$P$4,tabela_registros[CATEGORIA],despesavariávelconsolidadoout[[#This Row],[DESPESA VARIÁVEL]])</f>
        <v>0</v>
      </c>
      <c r="AJ61" s="149" t="n">
        <f aca="false">SUM(despesavariávelconsolidadoout[[#This Row],[1]:[31]])</f>
        <v>0</v>
      </c>
      <c r="AK61" s="143"/>
    </row>
    <row r="62" customFormat="false" ht="18" hidden="false" customHeight="true" outlineLevel="0" collapsed="false">
      <c r="B62" s="143"/>
      <c r="C62" s="144" t="str">
        <f aca="false">DADOS!$T$5</f>
        <v>✍️ CHEQUE ESPECIAL</v>
      </c>
      <c r="D62" s="145" t="str">
        <f aca="false">IF(despesavariávelconsolidadoout[[#This Row],[TOTAL]]=0,"",IF(OR(despesavariávelconsolidadoout[[#This Row],[TOTAL]]=LARGE($AJ$60:$AJ$72,1),despesavariávelconsolidadoout[[#This Row],[TOTAL]]=LARGE($AJ$60:$AJ$72,2),despesavariávelconsolidadoout[[#This Row],[TOTAL]]=LARGE($AJ$60:$AJ$72,3),despesavariávelconsolidadoout[[#This Row],[TOTAL]]=LARGE($AJ$60:$AJ$72,4),despesavariávelconsolidadoout[[#This Row],[TOTAL]]=LARGE($AJ$60:$AJ$72,5)),DADOS!$I$8,""))</f>
        <v/>
      </c>
      <c r="E62" s="148" t="n">
        <f aca="false">SUMIFS(tabela_registros[VALOR],tabela_registros[MÊS],$AE$1,tabela_registros[DIA],outtotal3059718395107119131143[[#Headers],[1]],tabela_registros[REGISTRO],DADOS!$N$4,tabela_registros[TIPO],DADOS!$P$4,tabela_registros[CATEGORIA],despesavariávelconsolidadoout[[#This Row],[DESPESA VARIÁVEL]])</f>
        <v>0</v>
      </c>
      <c r="F62" s="119" t="n">
        <f aca="false">SUMIFS(tabela_registros[VALOR],tabela_registros[MÊS],$AE$1,tabela_registros[DIA],outtotal3059718395107119131143[[#Headers],[2]],tabela_registros[REGISTRO],DADOS!$N$4,tabela_registros[TIPO],DADOS!$P$4,tabela_registros[CATEGORIA],despesavariávelconsolidadoout[[#This Row],[DESPESA VARIÁVEL]])</f>
        <v>0</v>
      </c>
      <c r="G62" s="119" t="n">
        <f aca="false">SUMIFS(tabela_registros[VALOR],tabela_registros[MÊS],$AE$1,tabela_registros[DIA],outtotal3059718395107119131143[[#Headers],[3]],tabela_registros[REGISTRO],DADOS!$N$4,tabela_registros[TIPO],DADOS!$P$4,tabela_registros[CATEGORIA],despesavariávelconsolidadoout[[#This Row],[DESPESA VARIÁVEL]])</f>
        <v>0</v>
      </c>
      <c r="H62" s="119" t="n">
        <f aca="false">SUMIFS(tabela_registros[VALOR],tabela_registros[MÊS],$AE$1,tabela_registros[DIA],outtotal3059718395107119131143[[#Headers],[4]],tabela_registros[REGISTRO],DADOS!$N$4,tabela_registros[TIPO],DADOS!$P$4,tabela_registros[CATEGORIA],despesavariávelconsolidadoout[[#This Row],[DESPESA VARIÁVEL]])</f>
        <v>0</v>
      </c>
      <c r="I62" s="119" t="n">
        <f aca="false">SUMIFS(tabela_registros[VALOR],tabela_registros[MÊS],$AE$1,tabela_registros[DIA],outtotal3059718395107119131143[[#Headers],[5]],tabela_registros[REGISTRO],DADOS!$N$4,tabela_registros[TIPO],DADOS!$P$4,tabela_registros[CATEGORIA],despesavariávelconsolidadoout[[#This Row],[DESPESA VARIÁVEL]])</f>
        <v>0</v>
      </c>
      <c r="J62" s="119" t="n">
        <f aca="false">SUMIFS(tabela_registros[VALOR],tabela_registros[MÊS],$AE$1,tabela_registros[DIA],outtotal3059718395107119131143[[#Headers],[6]],tabela_registros[REGISTRO],DADOS!$N$4,tabela_registros[TIPO],DADOS!$P$4,tabela_registros[CATEGORIA],despesavariávelconsolidadoout[[#This Row],[DESPESA VARIÁVEL]])</f>
        <v>0</v>
      </c>
      <c r="K62" s="119" t="n">
        <f aca="false">SUMIFS(tabela_registros[VALOR],tabela_registros[MÊS],$AE$1,tabela_registros[DIA],outtotal3059718395107119131143[[#Headers],[7]],tabela_registros[REGISTRO],DADOS!$N$4,tabela_registros[TIPO],DADOS!$P$4,tabela_registros[CATEGORIA],despesavariávelconsolidadoout[[#This Row],[DESPESA VARIÁVEL]])</f>
        <v>0</v>
      </c>
      <c r="L62" s="119" t="n">
        <f aca="false">SUMIFS(tabela_registros[VALOR],tabela_registros[MÊS],$AE$1,tabela_registros[DIA],outtotal3059718395107119131143[[#Headers],[8]],tabela_registros[REGISTRO],DADOS!$N$4,tabela_registros[TIPO],DADOS!$P$4,tabela_registros[CATEGORIA],despesavariávelconsolidadoout[[#This Row],[DESPESA VARIÁVEL]])</f>
        <v>0</v>
      </c>
      <c r="M62" s="119" t="n">
        <f aca="false">SUMIFS(tabela_registros[VALOR],tabela_registros[MÊS],$AE$1,tabela_registros[DIA],outtotal3059718395107119131143[[#Headers],[9]],tabela_registros[REGISTRO],DADOS!$N$4,tabela_registros[TIPO],DADOS!$P$4,tabela_registros[CATEGORIA],despesavariávelconsolidadoout[[#This Row],[DESPESA VARIÁVEL]])</f>
        <v>0</v>
      </c>
      <c r="N62" s="119" t="n">
        <f aca="false">SUMIFS(tabela_registros[VALOR],tabela_registros[MÊS],$AE$1,tabela_registros[DIA],outtotal3059718395107119131143[[#Headers],[10]],tabela_registros[REGISTRO],DADOS!$N$4,tabela_registros[TIPO],DADOS!$P$4,tabela_registros[CATEGORIA],despesavariávelconsolidadoout[[#This Row],[DESPESA VARIÁVEL]])</f>
        <v>0</v>
      </c>
      <c r="O62" s="119" t="n">
        <f aca="false">SUMIFS(tabela_registros[VALOR],tabela_registros[MÊS],$AE$1,tabela_registros[DIA],outtotal3059718395107119131143[[#Headers],[11]],tabela_registros[REGISTRO],DADOS!$N$4,tabela_registros[TIPO],DADOS!$P$4,tabela_registros[CATEGORIA],despesavariávelconsolidadoout[[#This Row],[DESPESA VARIÁVEL]])</f>
        <v>0</v>
      </c>
      <c r="P62" s="119" t="n">
        <f aca="false">SUMIFS(tabela_registros[VALOR],tabela_registros[MÊS],$AE$1,tabela_registros[DIA],outtotal3059718395107119131143[[#Headers],[12]],tabela_registros[REGISTRO],DADOS!$N$4,tabela_registros[TIPO],DADOS!$P$4,tabela_registros[CATEGORIA],despesavariávelconsolidadoout[[#This Row],[DESPESA VARIÁVEL]])</f>
        <v>0</v>
      </c>
      <c r="Q62" s="119" t="n">
        <f aca="false">SUMIFS(tabela_registros[VALOR],tabela_registros[MÊS],$AE$1,tabela_registros[DIA],outtotal3059718395107119131143[[#Headers],[13]],tabela_registros[REGISTRO],DADOS!$N$4,tabela_registros[TIPO],DADOS!$P$4,tabela_registros[CATEGORIA],despesavariávelconsolidadoout[[#This Row],[DESPESA VARIÁVEL]])</f>
        <v>0</v>
      </c>
      <c r="R62" s="119" t="n">
        <f aca="false">SUMIFS(tabela_registros[VALOR],tabela_registros[MÊS],$AE$1,tabela_registros[DIA],outtotal3059718395107119131143[[#Headers],[14]],tabela_registros[REGISTRO],DADOS!$N$4,tabela_registros[TIPO],DADOS!$P$4,tabela_registros[CATEGORIA],despesavariávelconsolidadoout[[#This Row],[DESPESA VARIÁVEL]])</f>
        <v>0</v>
      </c>
      <c r="S62" s="119" t="n">
        <f aca="false">SUMIFS(tabela_registros[VALOR],tabela_registros[MÊS],$AE$1,tabela_registros[DIA],outtotal3059718395107119131143[[#Headers],[15]],tabela_registros[REGISTRO],DADOS!$N$4,tabela_registros[TIPO],DADOS!$P$4,tabela_registros[CATEGORIA],despesavariávelconsolidadoout[[#This Row],[DESPESA VARIÁVEL]])</f>
        <v>0</v>
      </c>
      <c r="T62" s="119" t="n">
        <f aca="false">SUMIFS(tabela_registros[VALOR],tabela_registros[MÊS],$AE$1,tabela_registros[DIA],outtotal3059718395107119131143[[#Headers],[16]],tabela_registros[REGISTRO],DADOS!$N$4,tabela_registros[TIPO],DADOS!$P$4,tabela_registros[CATEGORIA],despesavariávelconsolidadoout[[#This Row],[DESPESA VARIÁVEL]])</f>
        <v>0</v>
      </c>
      <c r="U62" s="119" t="n">
        <f aca="false">SUMIFS(tabela_registros[VALOR],tabela_registros[MÊS],$AE$1,tabela_registros[DIA],outtotal3059718395107119131143[[#Headers],[17]],tabela_registros[REGISTRO],DADOS!$N$4,tabela_registros[TIPO],DADOS!$P$4,tabela_registros[CATEGORIA],despesavariávelconsolidadoout[[#This Row],[DESPESA VARIÁVEL]])</f>
        <v>0</v>
      </c>
      <c r="V62" s="119" t="n">
        <f aca="false">SUMIFS(tabela_registros[VALOR],tabela_registros[MÊS],$AE$1,tabela_registros[DIA],outtotal3059718395107119131143[[#Headers],[18]],tabela_registros[REGISTRO],DADOS!$N$4,tabela_registros[TIPO],DADOS!$P$4,tabela_registros[CATEGORIA],despesavariávelconsolidadoout[[#This Row],[DESPESA VARIÁVEL]])</f>
        <v>0</v>
      </c>
      <c r="W62" s="119" t="n">
        <f aca="false">SUMIFS(tabela_registros[VALOR],tabela_registros[MÊS],$AE$1,tabela_registros[DIA],outtotal3059718395107119131143[[#Headers],[19]],tabela_registros[REGISTRO],DADOS!$N$4,tabela_registros[TIPO],DADOS!$P$4,tabela_registros[CATEGORIA],despesavariávelconsolidadoout[[#This Row],[DESPESA VARIÁVEL]])</f>
        <v>0</v>
      </c>
      <c r="X62" s="119" t="n">
        <f aca="false">SUMIFS(tabela_registros[VALOR],tabela_registros[MÊS],$AE$1,tabela_registros[DIA],outtotal3059718395107119131143[[#Headers],[20]],tabela_registros[REGISTRO],DADOS!$N$4,tabela_registros[TIPO],DADOS!$P$4,tabela_registros[CATEGORIA],despesavariávelconsolidadoout[[#This Row],[DESPESA VARIÁVEL]])</f>
        <v>0</v>
      </c>
      <c r="Y62" s="119" t="n">
        <f aca="false">SUMIFS(tabela_registros[VALOR],tabela_registros[MÊS],$AE$1,tabela_registros[DIA],outtotal3059718395107119131143[[#Headers],[21]],tabela_registros[REGISTRO],DADOS!$N$4,tabela_registros[TIPO],DADOS!$P$4,tabela_registros[CATEGORIA],despesavariávelconsolidadoout[[#This Row],[DESPESA VARIÁVEL]])</f>
        <v>0</v>
      </c>
      <c r="Z62" s="119" t="n">
        <f aca="false">SUMIFS(tabela_registros[VALOR],tabela_registros[MÊS],$AE$1,tabela_registros[DIA],outtotal3059718395107119131143[[#Headers],[22]],tabela_registros[REGISTRO],DADOS!$N$4,tabela_registros[TIPO],DADOS!$P$4,tabela_registros[CATEGORIA],despesavariávelconsolidadoout[[#This Row],[DESPESA VARIÁVEL]])</f>
        <v>0</v>
      </c>
      <c r="AA62" s="119" t="n">
        <f aca="false">SUMIFS(tabela_registros[VALOR],tabela_registros[MÊS],$AE$1,tabela_registros[DIA],outtotal3059718395107119131143[[#Headers],[23]],tabela_registros[REGISTRO],DADOS!$N$4,tabela_registros[TIPO],DADOS!$P$4,tabela_registros[CATEGORIA],despesavariávelconsolidadoout[[#This Row],[DESPESA VARIÁVEL]])</f>
        <v>0</v>
      </c>
      <c r="AB62" s="119" t="n">
        <f aca="false">SUMIFS(tabela_registros[VALOR],tabela_registros[MÊS],$AE$1,tabela_registros[DIA],outtotal3059718395107119131143[[#Headers],[24]],tabela_registros[REGISTRO],DADOS!$N$4,tabela_registros[TIPO],DADOS!$P$4,tabela_registros[CATEGORIA],despesavariávelconsolidadoout[[#This Row],[DESPESA VARIÁVEL]])</f>
        <v>0</v>
      </c>
      <c r="AC62" s="119" t="n">
        <f aca="false">SUMIFS(tabela_registros[VALOR],tabela_registros[MÊS],$AE$1,tabela_registros[DIA],outtotal3059718395107119131143[[#Headers],[25]],tabela_registros[REGISTRO],DADOS!$N$4,tabela_registros[TIPO],DADOS!$P$4,tabela_registros[CATEGORIA],despesavariávelconsolidadoout[[#This Row],[DESPESA VARIÁVEL]])</f>
        <v>0</v>
      </c>
      <c r="AD62" s="119" t="n">
        <f aca="false">SUMIFS(tabela_registros[VALOR],tabela_registros[MÊS],$AE$1,tabela_registros[DIA],outtotal3059718395107119131143[[#Headers],[26]],tabela_registros[REGISTRO],DADOS!$N$4,tabela_registros[TIPO],DADOS!$P$4,tabela_registros[CATEGORIA],despesavariávelconsolidadoout[[#This Row],[DESPESA VARIÁVEL]])</f>
        <v>0</v>
      </c>
      <c r="AE62" s="119" t="n">
        <f aca="false">SUMIFS(tabela_registros[VALOR],tabela_registros[MÊS],$AE$1,tabela_registros[DIA],outtotal3059718395107119131143[[#Headers],[27]],tabela_registros[REGISTRO],DADOS!$N$4,tabela_registros[TIPO],DADOS!$P$4,tabela_registros[CATEGORIA],despesavariávelconsolidadoout[[#This Row],[DESPESA VARIÁVEL]])</f>
        <v>0</v>
      </c>
      <c r="AF62" s="119" t="n">
        <f aca="false">SUMIFS(tabela_registros[VALOR],tabela_registros[MÊS],$AE$1,tabela_registros[DIA],outtotal3059718395107119131143[[#Headers],[28]],tabela_registros[REGISTRO],DADOS!$N$4,tabela_registros[TIPO],DADOS!$P$4,tabela_registros[CATEGORIA],despesavariávelconsolidadoout[[#This Row],[DESPESA VARIÁVEL]])</f>
        <v>0</v>
      </c>
      <c r="AG62" s="119" t="n">
        <f aca="false">SUMIFS(tabela_registros[VALOR],tabela_registros[MÊS],$AE$1,tabela_registros[DIA],outtotal3059718395107119131143[[#Headers],[29]],tabela_registros[REGISTRO],DADOS!$N$4,tabela_registros[TIPO],DADOS!$P$4,tabela_registros[CATEGORIA],despesavariávelconsolidadoout[[#This Row],[DESPESA VARIÁVEL]])</f>
        <v>0</v>
      </c>
      <c r="AH62" s="119" t="n">
        <f aca="false">SUMIFS(tabela_registros[VALOR],tabela_registros[MÊS],$AE$1,tabela_registros[DIA],outtotal3059718395107119131143[[#Headers],[30]],tabela_registros[REGISTRO],DADOS!$N$4,tabela_registros[TIPO],DADOS!$P$4,tabela_registros[CATEGORIA],despesavariávelconsolidadoout[[#This Row],[DESPESA VARIÁVEL]])</f>
        <v>0</v>
      </c>
      <c r="AI62" s="217" t="n">
        <f aca="false">SUMIFS(tabela_registros[VALOR],tabela_registros[MÊS],$AE$1,tabela_registros[DIA],outtotal3059718395107119131143[[#Headers],[31]],tabela_registros[REGISTRO],DADOS!$N$4,tabela_registros[TIPO],DADOS!$P$4,tabela_registros[CATEGORIA],despesavariávelconsolidadoout[[#This Row],[DESPESA VARIÁVEL]])</f>
        <v>0</v>
      </c>
      <c r="AJ62" s="149" t="n">
        <f aca="false">SUM(despesavariávelconsolidadoout[[#This Row],[1]:[31]])</f>
        <v>0</v>
      </c>
      <c r="AK62" s="143"/>
    </row>
    <row r="63" customFormat="false" ht="18" hidden="false" customHeight="true" outlineLevel="0" collapsed="false">
      <c r="B63" s="143"/>
      <c r="C63" s="144" t="str">
        <f aca="false">DADOS!$T$6</f>
        <v>💄 CUIDADOS PESSOAIS</v>
      </c>
      <c r="D63" s="145" t="str">
        <f aca="false">IF(despesavariávelconsolidadoout[[#This Row],[TOTAL]]=0,"",IF(OR(despesavariávelconsolidadoout[[#This Row],[TOTAL]]=LARGE($AJ$60:$AJ$72,1),despesavariávelconsolidadoout[[#This Row],[TOTAL]]=LARGE($AJ$60:$AJ$72,2),despesavariávelconsolidadoout[[#This Row],[TOTAL]]=LARGE($AJ$60:$AJ$72,3),despesavariávelconsolidadoout[[#This Row],[TOTAL]]=LARGE($AJ$60:$AJ$72,4),despesavariávelconsolidadoout[[#This Row],[TOTAL]]=LARGE($AJ$60:$AJ$72,5)),DADOS!$I$8,""))</f>
        <v/>
      </c>
      <c r="E63" s="148" t="n">
        <f aca="false">SUMIFS(tabela_registros[VALOR],tabela_registros[MÊS],$AE$1,tabela_registros[DIA],outtotal3059718395107119131143[[#Headers],[1]],tabela_registros[REGISTRO],DADOS!$N$4,tabela_registros[TIPO],DADOS!$P$4,tabela_registros[CATEGORIA],despesavariávelconsolidadoout[[#This Row],[DESPESA VARIÁVEL]])</f>
        <v>0</v>
      </c>
      <c r="F63" s="119" t="n">
        <f aca="false">SUMIFS(tabela_registros[VALOR],tabela_registros[MÊS],$AE$1,tabela_registros[DIA],outtotal3059718395107119131143[[#Headers],[2]],tabela_registros[REGISTRO],DADOS!$N$4,tabela_registros[TIPO],DADOS!$P$4,tabela_registros[CATEGORIA],despesavariávelconsolidadoout[[#This Row],[DESPESA VARIÁVEL]])</f>
        <v>0</v>
      </c>
      <c r="G63" s="119" t="n">
        <f aca="false">SUMIFS(tabela_registros[VALOR],tabela_registros[MÊS],$AE$1,tabela_registros[DIA],outtotal3059718395107119131143[[#Headers],[3]],tabela_registros[REGISTRO],DADOS!$N$4,tabela_registros[TIPO],DADOS!$P$4,tabela_registros[CATEGORIA],despesavariávelconsolidadoout[[#This Row],[DESPESA VARIÁVEL]])</f>
        <v>0</v>
      </c>
      <c r="H63" s="119" t="n">
        <f aca="false">SUMIFS(tabela_registros[VALOR],tabela_registros[MÊS],$AE$1,tabela_registros[DIA],outtotal3059718395107119131143[[#Headers],[4]],tabela_registros[REGISTRO],DADOS!$N$4,tabela_registros[TIPO],DADOS!$P$4,tabela_registros[CATEGORIA],despesavariávelconsolidadoout[[#This Row],[DESPESA VARIÁVEL]])</f>
        <v>0</v>
      </c>
      <c r="I63" s="119" t="n">
        <f aca="false">SUMIFS(tabela_registros[VALOR],tabela_registros[MÊS],$AE$1,tabela_registros[DIA],outtotal3059718395107119131143[[#Headers],[5]],tabela_registros[REGISTRO],DADOS!$N$4,tabela_registros[TIPO],DADOS!$P$4,tabela_registros[CATEGORIA],despesavariávelconsolidadoout[[#This Row],[DESPESA VARIÁVEL]])</f>
        <v>0</v>
      </c>
      <c r="J63" s="119" t="n">
        <f aca="false">SUMIFS(tabela_registros[VALOR],tabela_registros[MÊS],$AE$1,tabela_registros[DIA],outtotal3059718395107119131143[[#Headers],[6]],tabela_registros[REGISTRO],DADOS!$N$4,tabela_registros[TIPO],DADOS!$P$4,tabela_registros[CATEGORIA],despesavariávelconsolidadoout[[#This Row],[DESPESA VARIÁVEL]])</f>
        <v>0</v>
      </c>
      <c r="K63" s="119" t="n">
        <f aca="false">SUMIFS(tabela_registros[VALOR],tabela_registros[MÊS],$AE$1,tabela_registros[DIA],outtotal3059718395107119131143[[#Headers],[7]],tabela_registros[REGISTRO],DADOS!$N$4,tabela_registros[TIPO],DADOS!$P$4,tabela_registros[CATEGORIA],despesavariávelconsolidadoout[[#This Row],[DESPESA VARIÁVEL]])</f>
        <v>0</v>
      </c>
      <c r="L63" s="119" t="n">
        <f aca="false">SUMIFS(tabela_registros[VALOR],tabela_registros[MÊS],$AE$1,tabela_registros[DIA],outtotal3059718395107119131143[[#Headers],[8]],tabela_registros[REGISTRO],DADOS!$N$4,tabela_registros[TIPO],DADOS!$P$4,tabela_registros[CATEGORIA],despesavariávelconsolidadoout[[#This Row],[DESPESA VARIÁVEL]])</f>
        <v>0</v>
      </c>
      <c r="M63" s="119" t="n">
        <f aca="false">SUMIFS(tabela_registros[VALOR],tabela_registros[MÊS],$AE$1,tabela_registros[DIA],outtotal3059718395107119131143[[#Headers],[9]],tabela_registros[REGISTRO],DADOS!$N$4,tabela_registros[TIPO],DADOS!$P$4,tabela_registros[CATEGORIA],despesavariávelconsolidadoout[[#This Row],[DESPESA VARIÁVEL]])</f>
        <v>0</v>
      </c>
      <c r="N63" s="119" t="n">
        <f aca="false">SUMIFS(tabela_registros[VALOR],tabela_registros[MÊS],$AE$1,tabela_registros[DIA],outtotal3059718395107119131143[[#Headers],[10]],tabela_registros[REGISTRO],DADOS!$N$4,tabela_registros[TIPO],DADOS!$P$4,tabela_registros[CATEGORIA],despesavariávelconsolidadoout[[#This Row],[DESPESA VARIÁVEL]])</f>
        <v>0</v>
      </c>
      <c r="O63" s="119" t="n">
        <f aca="false">SUMIFS(tabela_registros[VALOR],tabela_registros[MÊS],$AE$1,tabela_registros[DIA],outtotal3059718395107119131143[[#Headers],[11]],tabela_registros[REGISTRO],DADOS!$N$4,tabela_registros[TIPO],DADOS!$P$4,tabela_registros[CATEGORIA],despesavariávelconsolidadoout[[#This Row],[DESPESA VARIÁVEL]])</f>
        <v>0</v>
      </c>
      <c r="P63" s="119" t="n">
        <f aca="false">SUMIFS(tabela_registros[VALOR],tabela_registros[MÊS],$AE$1,tabela_registros[DIA],outtotal3059718395107119131143[[#Headers],[12]],tabela_registros[REGISTRO],DADOS!$N$4,tabela_registros[TIPO],DADOS!$P$4,tabela_registros[CATEGORIA],despesavariávelconsolidadoout[[#This Row],[DESPESA VARIÁVEL]])</f>
        <v>0</v>
      </c>
      <c r="Q63" s="119" t="n">
        <f aca="false">SUMIFS(tabela_registros[VALOR],tabela_registros[MÊS],$AE$1,tabela_registros[DIA],outtotal3059718395107119131143[[#Headers],[13]],tabela_registros[REGISTRO],DADOS!$N$4,tabela_registros[TIPO],DADOS!$P$4,tabela_registros[CATEGORIA],despesavariávelconsolidadoout[[#This Row],[DESPESA VARIÁVEL]])</f>
        <v>0</v>
      </c>
      <c r="R63" s="119" t="n">
        <f aca="false">SUMIFS(tabela_registros[VALOR],tabela_registros[MÊS],$AE$1,tabela_registros[DIA],outtotal3059718395107119131143[[#Headers],[14]],tabela_registros[REGISTRO],DADOS!$N$4,tabela_registros[TIPO],DADOS!$P$4,tabela_registros[CATEGORIA],despesavariávelconsolidadoout[[#This Row],[DESPESA VARIÁVEL]])</f>
        <v>0</v>
      </c>
      <c r="S63" s="119" t="n">
        <f aca="false">SUMIFS(tabela_registros[VALOR],tabela_registros[MÊS],$AE$1,tabela_registros[DIA],outtotal3059718395107119131143[[#Headers],[15]],tabela_registros[REGISTRO],DADOS!$N$4,tabela_registros[TIPO],DADOS!$P$4,tabela_registros[CATEGORIA],despesavariávelconsolidadoout[[#This Row],[DESPESA VARIÁVEL]])</f>
        <v>0</v>
      </c>
      <c r="T63" s="119" t="n">
        <f aca="false">SUMIFS(tabela_registros[VALOR],tabela_registros[MÊS],$AE$1,tabela_registros[DIA],outtotal3059718395107119131143[[#Headers],[16]],tabela_registros[REGISTRO],DADOS!$N$4,tabela_registros[TIPO],DADOS!$P$4,tabela_registros[CATEGORIA],despesavariávelconsolidadoout[[#This Row],[DESPESA VARIÁVEL]])</f>
        <v>0</v>
      </c>
      <c r="U63" s="119" t="n">
        <f aca="false">SUMIFS(tabela_registros[VALOR],tabela_registros[MÊS],$AE$1,tabela_registros[DIA],outtotal3059718395107119131143[[#Headers],[17]],tabela_registros[REGISTRO],DADOS!$N$4,tabela_registros[TIPO],DADOS!$P$4,tabela_registros[CATEGORIA],despesavariávelconsolidadoout[[#This Row],[DESPESA VARIÁVEL]])</f>
        <v>0</v>
      </c>
      <c r="V63" s="119" t="n">
        <f aca="false">SUMIFS(tabela_registros[VALOR],tabela_registros[MÊS],$AE$1,tabela_registros[DIA],outtotal3059718395107119131143[[#Headers],[18]],tabela_registros[REGISTRO],DADOS!$N$4,tabela_registros[TIPO],DADOS!$P$4,tabela_registros[CATEGORIA],despesavariávelconsolidadoout[[#This Row],[DESPESA VARIÁVEL]])</f>
        <v>0</v>
      </c>
      <c r="W63" s="119" t="n">
        <f aca="false">SUMIFS(tabela_registros[VALOR],tabela_registros[MÊS],$AE$1,tabela_registros[DIA],outtotal3059718395107119131143[[#Headers],[19]],tabela_registros[REGISTRO],DADOS!$N$4,tabela_registros[TIPO],DADOS!$P$4,tabela_registros[CATEGORIA],despesavariávelconsolidadoout[[#This Row],[DESPESA VARIÁVEL]])</f>
        <v>0</v>
      </c>
      <c r="X63" s="119" t="n">
        <f aca="false">SUMIFS(tabela_registros[VALOR],tabela_registros[MÊS],$AE$1,tabela_registros[DIA],outtotal3059718395107119131143[[#Headers],[20]],tabela_registros[REGISTRO],DADOS!$N$4,tabela_registros[TIPO],DADOS!$P$4,tabela_registros[CATEGORIA],despesavariávelconsolidadoout[[#This Row],[DESPESA VARIÁVEL]])</f>
        <v>0</v>
      </c>
      <c r="Y63" s="119" t="n">
        <f aca="false">SUMIFS(tabela_registros[VALOR],tabela_registros[MÊS],$AE$1,tabela_registros[DIA],outtotal3059718395107119131143[[#Headers],[21]],tabela_registros[REGISTRO],DADOS!$N$4,tabela_registros[TIPO],DADOS!$P$4,tabela_registros[CATEGORIA],despesavariávelconsolidadoout[[#This Row],[DESPESA VARIÁVEL]])</f>
        <v>0</v>
      </c>
      <c r="Z63" s="119" t="n">
        <f aca="false">SUMIFS(tabela_registros[VALOR],tabela_registros[MÊS],$AE$1,tabela_registros[DIA],outtotal3059718395107119131143[[#Headers],[22]],tabela_registros[REGISTRO],DADOS!$N$4,tabela_registros[TIPO],DADOS!$P$4,tabela_registros[CATEGORIA],despesavariávelconsolidadoout[[#This Row],[DESPESA VARIÁVEL]])</f>
        <v>0</v>
      </c>
      <c r="AA63" s="119" t="n">
        <f aca="false">SUMIFS(tabela_registros[VALOR],tabela_registros[MÊS],$AE$1,tabela_registros[DIA],outtotal3059718395107119131143[[#Headers],[23]],tabela_registros[REGISTRO],DADOS!$N$4,tabela_registros[TIPO],DADOS!$P$4,tabela_registros[CATEGORIA],despesavariávelconsolidadoout[[#This Row],[DESPESA VARIÁVEL]])</f>
        <v>0</v>
      </c>
      <c r="AB63" s="119" t="n">
        <f aca="false">SUMIFS(tabela_registros[VALOR],tabela_registros[MÊS],$AE$1,tabela_registros[DIA],outtotal3059718395107119131143[[#Headers],[24]],tabela_registros[REGISTRO],DADOS!$N$4,tabela_registros[TIPO],DADOS!$P$4,tabela_registros[CATEGORIA],despesavariávelconsolidadoout[[#This Row],[DESPESA VARIÁVEL]])</f>
        <v>0</v>
      </c>
      <c r="AC63" s="119" t="n">
        <f aca="false">SUMIFS(tabela_registros[VALOR],tabela_registros[MÊS],$AE$1,tabela_registros[DIA],outtotal3059718395107119131143[[#Headers],[25]],tabela_registros[REGISTRO],DADOS!$N$4,tabela_registros[TIPO],DADOS!$P$4,tabela_registros[CATEGORIA],despesavariávelconsolidadoout[[#This Row],[DESPESA VARIÁVEL]])</f>
        <v>0</v>
      </c>
      <c r="AD63" s="119" t="n">
        <f aca="false">SUMIFS(tabela_registros[VALOR],tabela_registros[MÊS],$AE$1,tabela_registros[DIA],outtotal3059718395107119131143[[#Headers],[26]],tabela_registros[REGISTRO],DADOS!$N$4,tabela_registros[TIPO],DADOS!$P$4,tabela_registros[CATEGORIA],despesavariávelconsolidadoout[[#This Row],[DESPESA VARIÁVEL]])</f>
        <v>0</v>
      </c>
      <c r="AE63" s="119" t="n">
        <f aca="false">SUMIFS(tabela_registros[VALOR],tabela_registros[MÊS],$AE$1,tabela_registros[DIA],outtotal3059718395107119131143[[#Headers],[27]],tabela_registros[REGISTRO],DADOS!$N$4,tabela_registros[TIPO],DADOS!$P$4,tabela_registros[CATEGORIA],despesavariávelconsolidadoout[[#This Row],[DESPESA VARIÁVEL]])</f>
        <v>0</v>
      </c>
      <c r="AF63" s="119" t="n">
        <f aca="false">SUMIFS(tabela_registros[VALOR],tabela_registros[MÊS],$AE$1,tabela_registros[DIA],outtotal3059718395107119131143[[#Headers],[28]],tabela_registros[REGISTRO],DADOS!$N$4,tabela_registros[TIPO],DADOS!$P$4,tabela_registros[CATEGORIA],despesavariávelconsolidadoout[[#This Row],[DESPESA VARIÁVEL]])</f>
        <v>0</v>
      </c>
      <c r="AG63" s="119" t="n">
        <f aca="false">SUMIFS(tabela_registros[VALOR],tabela_registros[MÊS],$AE$1,tabela_registros[DIA],outtotal3059718395107119131143[[#Headers],[29]],tabela_registros[REGISTRO],DADOS!$N$4,tabela_registros[TIPO],DADOS!$P$4,tabela_registros[CATEGORIA],despesavariávelconsolidadoout[[#This Row],[DESPESA VARIÁVEL]])</f>
        <v>0</v>
      </c>
      <c r="AH63" s="119" t="n">
        <f aca="false">SUMIFS(tabela_registros[VALOR],tabela_registros[MÊS],$AE$1,tabela_registros[DIA],outtotal3059718395107119131143[[#Headers],[30]],tabela_registros[REGISTRO],DADOS!$N$4,tabela_registros[TIPO],DADOS!$P$4,tabela_registros[CATEGORIA],despesavariávelconsolidadoout[[#This Row],[DESPESA VARIÁVEL]])</f>
        <v>0</v>
      </c>
      <c r="AI63" s="217" t="n">
        <f aca="false">SUMIFS(tabela_registros[VALOR],tabela_registros[MÊS],$AE$1,tabela_registros[DIA],outtotal3059718395107119131143[[#Headers],[31]],tabela_registros[REGISTRO],DADOS!$N$4,tabela_registros[TIPO],DADOS!$P$4,tabela_registros[CATEGORIA],despesavariávelconsolidadoout[[#This Row],[DESPESA VARIÁVEL]])</f>
        <v>0</v>
      </c>
      <c r="AJ63" s="149" t="n">
        <f aca="false">SUM(despesavariávelconsolidadoout[[#This Row],[1]:[31]])</f>
        <v>0</v>
      </c>
      <c r="AK63" s="143"/>
    </row>
    <row r="64" customFormat="false" ht="18" hidden="false" customHeight="true" outlineLevel="0" collapsed="false">
      <c r="B64" s="143"/>
      <c r="C64" s="144" t="str">
        <f aca="false">DADOS!$T$7</f>
        <v>🤝 DOAÇÃO</v>
      </c>
      <c r="D64" s="145" t="str">
        <f aca="false">IF(despesavariávelconsolidadoout[[#This Row],[TOTAL]]=0,"",IF(OR(despesavariávelconsolidadoout[[#This Row],[TOTAL]]=LARGE($AJ$60:$AJ$72,1),despesavariávelconsolidadoout[[#This Row],[TOTAL]]=LARGE($AJ$60:$AJ$72,2),despesavariávelconsolidadoout[[#This Row],[TOTAL]]=LARGE($AJ$60:$AJ$72,3),despesavariávelconsolidadoout[[#This Row],[TOTAL]]=LARGE($AJ$60:$AJ$72,4),despesavariávelconsolidadoout[[#This Row],[TOTAL]]=LARGE($AJ$60:$AJ$72,5)),DADOS!$I$8,""))</f>
        <v/>
      </c>
      <c r="E64" s="148" t="n">
        <f aca="false">SUMIFS(tabela_registros[VALOR],tabela_registros[MÊS],$AE$1,tabela_registros[DIA],outtotal3059718395107119131143[[#Headers],[1]],tabela_registros[REGISTRO],DADOS!$N$4,tabela_registros[TIPO],DADOS!$P$4,tabela_registros[CATEGORIA],despesavariávelconsolidadoout[[#This Row],[DESPESA VARIÁVEL]])</f>
        <v>0</v>
      </c>
      <c r="F64" s="119" t="n">
        <f aca="false">SUMIFS(tabela_registros[VALOR],tabela_registros[MÊS],$AE$1,tabela_registros[DIA],outtotal3059718395107119131143[[#Headers],[2]],tabela_registros[REGISTRO],DADOS!$N$4,tabela_registros[TIPO],DADOS!$P$4,tabela_registros[CATEGORIA],despesavariávelconsolidadoout[[#This Row],[DESPESA VARIÁVEL]])</f>
        <v>0</v>
      </c>
      <c r="G64" s="119" t="n">
        <f aca="false">SUMIFS(tabela_registros[VALOR],tabela_registros[MÊS],$AE$1,tabela_registros[DIA],outtotal3059718395107119131143[[#Headers],[3]],tabela_registros[REGISTRO],DADOS!$N$4,tabela_registros[TIPO],DADOS!$P$4,tabela_registros[CATEGORIA],despesavariávelconsolidadoout[[#This Row],[DESPESA VARIÁVEL]])</f>
        <v>0</v>
      </c>
      <c r="H64" s="119" t="n">
        <f aca="false">SUMIFS(tabela_registros[VALOR],tabela_registros[MÊS],$AE$1,tabela_registros[DIA],outtotal3059718395107119131143[[#Headers],[4]],tabela_registros[REGISTRO],DADOS!$N$4,tabela_registros[TIPO],DADOS!$P$4,tabela_registros[CATEGORIA],despesavariávelconsolidadoout[[#This Row],[DESPESA VARIÁVEL]])</f>
        <v>0</v>
      </c>
      <c r="I64" s="119" t="n">
        <f aca="false">SUMIFS(tabela_registros[VALOR],tabela_registros[MÊS],$AE$1,tabela_registros[DIA],outtotal3059718395107119131143[[#Headers],[5]],tabela_registros[REGISTRO],DADOS!$N$4,tabela_registros[TIPO],DADOS!$P$4,tabela_registros[CATEGORIA],despesavariávelconsolidadoout[[#This Row],[DESPESA VARIÁVEL]])</f>
        <v>0</v>
      </c>
      <c r="J64" s="119" t="n">
        <f aca="false">SUMIFS(tabela_registros[VALOR],tabela_registros[MÊS],$AE$1,tabela_registros[DIA],outtotal3059718395107119131143[[#Headers],[6]],tabela_registros[REGISTRO],DADOS!$N$4,tabela_registros[TIPO],DADOS!$P$4,tabela_registros[CATEGORIA],despesavariávelconsolidadoout[[#This Row],[DESPESA VARIÁVEL]])</f>
        <v>0</v>
      </c>
      <c r="K64" s="119" t="n">
        <f aca="false">SUMIFS(tabela_registros[VALOR],tabela_registros[MÊS],$AE$1,tabela_registros[DIA],outtotal3059718395107119131143[[#Headers],[7]],tabela_registros[REGISTRO],DADOS!$N$4,tabela_registros[TIPO],DADOS!$P$4,tabela_registros[CATEGORIA],despesavariávelconsolidadoout[[#This Row],[DESPESA VARIÁVEL]])</f>
        <v>0</v>
      </c>
      <c r="L64" s="119" t="n">
        <f aca="false">SUMIFS(tabela_registros[VALOR],tabela_registros[MÊS],$AE$1,tabela_registros[DIA],outtotal3059718395107119131143[[#Headers],[8]],tabela_registros[REGISTRO],DADOS!$N$4,tabela_registros[TIPO],DADOS!$P$4,tabela_registros[CATEGORIA],despesavariávelconsolidadoout[[#This Row],[DESPESA VARIÁVEL]])</f>
        <v>0</v>
      </c>
      <c r="M64" s="119" t="n">
        <f aca="false">SUMIFS(tabela_registros[VALOR],tabela_registros[MÊS],$AE$1,tabela_registros[DIA],outtotal3059718395107119131143[[#Headers],[9]],tabela_registros[REGISTRO],DADOS!$N$4,tabela_registros[TIPO],DADOS!$P$4,tabela_registros[CATEGORIA],despesavariávelconsolidadoout[[#This Row],[DESPESA VARIÁVEL]])</f>
        <v>0</v>
      </c>
      <c r="N64" s="119" t="n">
        <f aca="false">SUMIFS(tabela_registros[VALOR],tabela_registros[MÊS],$AE$1,tabela_registros[DIA],outtotal3059718395107119131143[[#Headers],[10]],tabela_registros[REGISTRO],DADOS!$N$4,tabela_registros[TIPO],DADOS!$P$4,tabela_registros[CATEGORIA],despesavariávelconsolidadoout[[#This Row],[DESPESA VARIÁVEL]])</f>
        <v>0</v>
      </c>
      <c r="O64" s="119" t="n">
        <f aca="false">SUMIFS(tabela_registros[VALOR],tabela_registros[MÊS],$AE$1,tabela_registros[DIA],outtotal3059718395107119131143[[#Headers],[11]],tabela_registros[REGISTRO],DADOS!$N$4,tabela_registros[TIPO],DADOS!$P$4,tabela_registros[CATEGORIA],despesavariávelconsolidadoout[[#This Row],[DESPESA VARIÁVEL]])</f>
        <v>0</v>
      </c>
      <c r="P64" s="119" t="n">
        <f aca="false">SUMIFS(tabela_registros[VALOR],tabela_registros[MÊS],$AE$1,tabela_registros[DIA],outtotal3059718395107119131143[[#Headers],[12]],tabela_registros[REGISTRO],DADOS!$N$4,tabela_registros[TIPO],DADOS!$P$4,tabela_registros[CATEGORIA],despesavariávelconsolidadoout[[#This Row],[DESPESA VARIÁVEL]])</f>
        <v>0</v>
      </c>
      <c r="Q64" s="119" t="n">
        <f aca="false">SUMIFS(tabela_registros[VALOR],tabela_registros[MÊS],$AE$1,tabela_registros[DIA],outtotal3059718395107119131143[[#Headers],[13]],tabela_registros[REGISTRO],DADOS!$N$4,tabela_registros[TIPO],DADOS!$P$4,tabela_registros[CATEGORIA],despesavariávelconsolidadoout[[#This Row],[DESPESA VARIÁVEL]])</f>
        <v>0</v>
      </c>
      <c r="R64" s="119" t="n">
        <f aca="false">SUMIFS(tabela_registros[VALOR],tabela_registros[MÊS],$AE$1,tabela_registros[DIA],outtotal3059718395107119131143[[#Headers],[14]],tabela_registros[REGISTRO],DADOS!$N$4,tabela_registros[TIPO],DADOS!$P$4,tabela_registros[CATEGORIA],despesavariávelconsolidadoout[[#This Row],[DESPESA VARIÁVEL]])</f>
        <v>0</v>
      </c>
      <c r="S64" s="119" t="n">
        <f aca="false">SUMIFS(tabela_registros[VALOR],tabela_registros[MÊS],$AE$1,tabela_registros[DIA],outtotal3059718395107119131143[[#Headers],[15]],tabela_registros[REGISTRO],DADOS!$N$4,tabela_registros[TIPO],DADOS!$P$4,tabela_registros[CATEGORIA],despesavariávelconsolidadoout[[#This Row],[DESPESA VARIÁVEL]])</f>
        <v>0</v>
      </c>
      <c r="T64" s="119" t="n">
        <f aca="false">SUMIFS(tabela_registros[VALOR],tabela_registros[MÊS],$AE$1,tabela_registros[DIA],outtotal3059718395107119131143[[#Headers],[16]],tabela_registros[REGISTRO],DADOS!$N$4,tabela_registros[TIPO],DADOS!$P$4,tabela_registros[CATEGORIA],despesavariávelconsolidadoout[[#This Row],[DESPESA VARIÁVEL]])</f>
        <v>0</v>
      </c>
      <c r="U64" s="119" t="n">
        <f aca="false">SUMIFS(tabela_registros[VALOR],tabela_registros[MÊS],$AE$1,tabela_registros[DIA],outtotal3059718395107119131143[[#Headers],[17]],tabela_registros[REGISTRO],DADOS!$N$4,tabela_registros[TIPO],DADOS!$P$4,tabela_registros[CATEGORIA],despesavariávelconsolidadoout[[#This Row],[DESPESA VARIÁVEL]])</f>
        <v>0</v>
      </c>
      <c r="V64" s="119" t="n">
        <f aca="false">SUMIFS(tabela_registros[VALOR],tabela_registros[MÊS],$AE$1,tabela_registros[DIA],outtotal3059718395107119131143[[#Headers],[18]],tabela_registros[REGISTRO],DADOS!$N$4,tabela_registros[TIPO],DADOS!$P$4,tabela_registros[CATEGORIA],despesavariávelconsolidadoout[[#This Row],[DESPESA VARIÁVEL]])</f>
        <v>0</v>
      </c>
      <c r="W64" s="119" t="n">
        <f aca="false">SUMIFS(tabela_registros[VALOR],tabela_registros[MÊS],$AE$1,tabela_registros[DIA],outtotal3059718395107119131143[[#Headers],[19]],tabela_registros[REGISTRO],DADOS!$N$4,tabela_registros[TIPO],DADOS!$P$4,tabela_registros[CATEGORIA],despesavariávelconsolidadoout[[#This Row],[DESPESA VARIÁVEL]])</f>
        <v>0</v>
      </c>
      <c r="X64" s="119" t="n">
        <f aca="false">SUMIFS(tabela_registros[VALOR],tabela_registros[MÊS],$AE$1,tabela_registros[DIA],outtotal3059718395107119131143[[#Headers],[20]],tabela_registros[REGISTRO],DADOS!$N$4,tabela_registros[TIPO],DADOS!$P$4,tabela_registros[CATEGORIA],despesavariávelconsolidadoout[[#This Row],[DESPESA VARIÁVEL]])</f>
        <v>0</v>
      </c>
      <c r="Y64" s="119" t="n">
        <f aca="false">SUMIFS(tabela_registros[VALOR],tabela_registros[MÊS],$AE$1,tabela_registros[DIA],outtotal3059718395107119131143[[#Headers],[21]],tabela_registros[REGISTRO],DADOS!$N$4,tabela_registros[TIPO],DADOS!$P$4,tabela_registros[CATEGORIA],despesavariávelconsolidadoout[[#This Row],[DESPESA VARIÁVEL]])</f>
        <v>0</v>
      </c>
      <c r="Z64" s="119" t="n">
        <f aca="false">SUMIFS(tabela_registros[VALOR],tabela_registros[MÊS],$AE$1,tabela_registros[DIA],outtotal3059718395107119131143[[#Headers],[22]],tabela_registros[REGISTRO],DADOS!$N$4,tabela_registros[TIPO],DADOS!$P$4,tabela_registros[CATEGORIA],despesavariávelconsolidadoout[[#This Row],[DESPESA VARIÁVEL]])</f>
        <v>0</v>
      </c>
      <c r="AA64" s="119" t="n">
        <f aca="false">SUMIFS(tabela_registros[VALOR],tabela_registros[MÊS],$AE$1,tabela_registros[DIA],outtotal3059718395107119131143[[#Headers],[23]],tabela_registros[REGISTRO],DADOS!$N$4,tabela_registros[TIPO],DADOS!$P$4,tabela_registros[CATEGORIA],despesavariávelconsolidadoout[[#This Row],[DESPESA VARIÁVEL]])</f>
        <v>0</v>
      </c>
      <c r="AB64" s="119" t="n">
        <f aca="false">SUMIFS(tabela_registros[VALOR],tabela_registros[MÊS],$AE$1,tabela_registros[DIA],outtotal3059718395107119131143[[#Headers],[24]],tabela_registros[REGISTRO],DADOS!$N$4,tabela_registros[TIPO],DADOS!$P$4,tabela_registros[CATEGORIA],despesavariávelconsolidadoout[[#This Row],[DESPESA VARIÁVEL]])</f>
        <v>0</v>
      </c>
      <c r="AC64" s="119" t="n">
        <f aca="false">SUMIFS(tabela_registros[VALOR],tabela_registros[MÊS],$AE$1,tabela_registros[DIA],outtotal3059718395107119131143[[#Headers],[25]],tabela_registros[REGISTRO],DADOS!$N$4,tabela_registros[TIPO],DADOS!$P$4,tabela_registros[CATEGORIA],despesavariávelconsolidadoout[[#This Row],[DESPESA VARIÁVEL]])</f>
        <v>0</v>
      </c>
      <c r="AD64" s="119" t="n">
        <f aca="false">SUMIFS(tabela_registros[VALOR],tabela_registros[MÊS],$AE$1,tabela_registros[DIA],outtotal3059718395107119131143[[#Headers],[26]],tabela_registros[REGISTRO],DADOS!$N$4,tabela_registros[TIPO],DADOS!$P$4,tabela_registros[CATEGORIA],despesavariávelconsolidadoout[[#This Row],[DESPESA VARIÁVEL]])</f>
        <v>0</v>
      </c>
      <c r="AE64" s="119" t="n">
        <f aca="false">SUMIFS(tabela_registros[VALOR],tabela_registros[MÊS],$AE$1,tabela_registros[DIA],outtotal3059718395107119131143[[#Headers],[27]],tabela_registros[REGISTRO],DADOS!$N$4,tabela_registros[TIPO],DADOS!$P$4,tabela_registros[CATEGORIA],despesavariávelconsolidadoout[[#This Row],[DESPESA VARIÁVEL]])</f>
        <v>0</v>
      </c>
      <c r="AF64" s="119" t="n">
        <f aca="false">SUMIFS(tabela_registros[VALOR],tabela_registros[MÊS],$AE$1,tabela_registros[DIA],outtotal3059718395107119131143[[#Headers],[28]],tabela_registros[REGISTRO],DADOS!$N$4,tabela_registros[TIPO],DADOS!$P$4,tabela_registros[CATEGORIA],despesavariávelconsolidadoout[[#This Row],[DESPESA VARIÁVEL]])</f>
        <v>0</v>
      </c>
      <c r="AG64" s="119" t="n">
        <f aca="false">SUMIFS(tabela_registros[VALOR],tabela_registros[MÊS],$AE$1,tabela_registros[DIA],outtotal3059718395107119131143[[#Headers],[29]],tabela_registros[REGISTRO],DADOS!$N$4,tabela_registros[TIPO],DADOS!$P$4,tabela_registros[CATEGORIA],despesavariávelconsolidadoout[[#This Row],[DESPESA VARIÁVEL]])</f>
        <v>0</v>
      </c>
      <c r="AH64" s="119" t="n">
        <f aca="false">SUMIFS(tabela_registros[VALOR],tabela_registros[MÊS],$AE$1,tabela_registros[DIA],outtotal3059718395107119131143[[#Headers],[30]],tabela_registros[REGISTRO],DADOS!$N$4,tabela_registros[TIPO],DADOS!$P$4,tabela_registros[CATEGORIA],despesavariávelconsolidadoout[[#This Row],[DESPESA VARIÁVEL]])</f>
        <v>0</v>
      </c>
      <c r="AI64" s="217" t="n">
        <f aca="false">SUMIFS(tabela_registros[VALOR],tabela_registros[MÊS],$AE$1,tabela_registros[DIA],outtotal3059718395107119131143[[#Headers],[31]],tabela_registros[REGISTRO],DADOS!$N$4,tabela_registros[TIPO],DADOS!$P$4,tabela_registros[CATEGORIA],despesavariávelconsolidadoout[[#This Row],[DESPESA VARIÁVEL]])</f>
        <v>0</v>
      </c>
      <c r="AJ64" s="149" t="n">
        <f aca="false">SUM(despesavariávelconsolidadoout[[#This Row],[1]:[31]])</f>
        <v>0</v>
      </c>
      <c r="AK64" s="143"/>
    </row>
    <row r="65" customFormat="false" ht="18" hidden="false" customHeight="true" outlineLevel="0" collapsed="false">
      <c r="B65" s="143"/>
      <c r="C65" s="144" t="str">
        <f aca="false">DADOS!$T$8</f>
        <v>📖 EDUCAÇÃO</v>
      </c>
      <c r="D65" s="145" t="str">
        <f aca="false">IF(despesavariávelconsolidadoout[[#This Row],[TOTAL]]=0,"",IF(OR(despesavariávelconsolidadoout[[#This Row],[TOTAL]]=LARGE($AJ$60:$AJ$72,1),despesavariávelconsolidadoout[[#This Row],[TOTAL]]=LARGE($AJ$60:$AJ$72,2),despesavariávelconsolidadoout[[#This Row],[TOTAL]]=LARGE($AJ$60:$AJ$72,3),despesavariávelconsolidadoout[[#This Row],[TOTAL]]=LARGE($AJ$60:$AJ$72,4),despesavariávelconsolidadoout[[#This Row],[TOTAL]]=LARGE($AJ$60:$AJ$72,5)),DADOS!$I$8,""))</f>
        <v/>
      </c>
      <c r="E65" s="148" t="n">
        <f aca="false">SUMIFS(tabela_registros[VALOR],tabela_registros[MÊS],$AE$1,tabela_registros[DIA],outtotal3059718395107119131143[[#Headers],[1]],tabela_registros[REGISTRO],DADOS!$N$4,tabela_registros[TIPO],DADOS!$P$4,tabela_registros[CATEGORIA],despesavariávelconsolidadoout[[#This Row],[DESPESA VARIÁVEL]])</f>
        <v>0</v>
      </c>
      <c r="F65" s="119" t="n">
        <f aca="false">SUMIFS(tabela_registros[VALOR],tabela_registros[MÊS],$AE$1,tabela_registros[DIA],outtotal3059718395107119131143[[#Headers],[2]],tabela_registros[REGISTRO],DADOS!$N$4,tabela_registros[TIPO],DADOS!$P$4,tabela_registros[CATEGORIA],despesavariávelconsolidadoout[[#This Row],[DESPESA VARIÁVEL]])</f>
        <v>0</v>
      </c>
      <c r="G65" s="119" t="n">
        <f aca="false">SUMIFS(tabela_registros[VALOR],tabela_registros[MÊS],$AE$1,tabela_registros[DIA],outtotal3059718395107119131143[[#Headers],[3]],tabela_registros[REGISTRO],DADOS!$N$4,tabela_registros[TIPO],DADOS!$P$4,tabela_registros[CATEGORIA],despesavariávelconsolidadoout[[#This Row],[DESPESA VARIÁVEL]])</f>
        <v>0</v>
      </c>
      <c r="H65" s="119" t="n">
        <f aca="false">SUMIFS(tabela_registros[VALOR],tabela_registros[MÊS],$AE$1,tabela_registros[DIA],outtotal3059718395107119131143[[#Headers],[4]],tabela_registros[REGISTRO],DADOS!$N$4,tabela_registros[TIPO],DADOS!$P$4,tabela_registros[CATEGORIA],despesavariávelconsolidadoout[[#This Row],[DESPESA VARIÁVEL]])</f>
        <v>0</v>
      </c>
      <c r="I65" s="119" t="n">
        <f aca="false">SUMIFS(tabela_registros[VALOR],tabela_registros[MÊS],$AE$1,tabela_registros[DIA],outtotal3059718395107119131143[[#Headers],[5]],tabela_registros[REGISTRO],DADOS!$N$4,tabela_registros[TIPO],DADOS!$P$4,tabela_registros[CATEGORIA],despesavariávelconsolidadoout[[#This Row],[DESPESA VARIÁVEL]])</f>
        <v>0</v>
      </c>
      <c r="J65" s="119" t="n">
        <f aca="false">SUMIFS(tabela_registros[VALOR],tabela_registros[MÊS],$AE$1,tabela_registros[DIA],outtotal3059718395107119131143[[#Headers],[6]],tabela_registros[REGISTRO],DADOS!$N$4,tabela_registros[TIPO],DADOS!$P$4,tabela_registros[CATEGORIA],despesavariávelconsolidadoout[[#This Row],[DESPESA VARIÁVEL]])</f>
        <v>0</v>
      </c>
      <c r="K65" s="119" t="n">
        <f aca="false">SUMIFS(tabela_registros[VALOR],tabela_registros[MÊS],$AE$1,tabela_registros[DIA],outtotal3059718395107119131143[[#Headers],[7]],tabela_registros[REGISTRO],DADOS!$N$4,tabela_registros[TIPO],DADOS!$P$4,tabela_registros[CATEGORIA],despesavariávelconsolidadoout[[#This Row],[DESPESA VARIÁVEL]])</f>
        <v>0</v>
      </c>
      <c r="L65" s="119" t="n">
        <f aca="false">SUMIFS(tabela_registros[VALOR],tabela_registros[MÊS],$AE$1,tabela_registros[DIA],outtotal3059718395107119131143[[#Headers],[8]],tabela_registros[REGISTRO],DADOS!$N$4,tabela_registros[TIPO],DADOS!$P$4,tabela_registros[CATEGORIA],despesavariávelconsolidadoout[[#This Row],[DESPESA VARIÁVEL]])</f>
        <v>0</v>
      </c>
      <c r="M65" s="119" t="n">
        <f aca="false">SUMIFS(tabela_registros[VALOR],tabela_registros[MÊS],$AE$1,tabela_registros[DIA],outtotal3059718395107119131143[[#Headers],[9]],tabela_registros[REGISTRO],DADOS!$N$4,tabela_registros[TIPO],DADOS!$P$4,tabela_registros[CATEGORIA],despesavariávelconsolidadoout[[#This Row],[DESPESA VARIÁVEL]])</f>
        <v>0</v>
      </c>
      <c r="N65" s="119" t="n">
        <f aca="false">SUMIFS(tabela_registros[VALOR],tabela_registros[MÊS],$AE$1,tabela_registros[DIA],outtotal3059718395107119131143[[#Headers],[10]],tabela_registros[REGISTRO],DADOS!$N$4,tabela_registros[TIPO],DADOS!$P$4,tabela_registros[CATEGORIA],despesavariávelconsolidadoout[[#This Row],[DESPESA VARIÁVEL]])</f>
        <v>0</v>
      </c>
      <c r="O65" s="119" t="n">
        <f aca="false">SUMIFS(tabela_registros[VALOR],tabela_registros[MÊS],$AE$1,tabela_registros[DIA],outtotal3059718395107119131143[[#Headers],[11]],tabela_registros[REGISTRO],DADOS!$N$4,tabela_registros[TIPO],DADOS!$P$4,tabela_registros[CATEGORIA],despesavariávelconsolidadoout[[#This Row],[DESPESA VARIÁVEL]])</f>
        <v>0</v>
      </c>
      <c r="P65" s="119" t="n">
        <f aca="false">SUMIFS(tabela_registros[VALOR],tabela_registros[MÊS],$AE$1,tabela_registros[DIA],outtotal3059718395107119131143[[#Headers],[12]],tabela_registros[REGISTRO],DADOS!$N$4,tabela_registros[TIPO],DADOS!$P$4,tabela_registros[CATEGORIA],despesavariávelconsolidadoout[[#This Row],[DESPESA VARIÁVEL]])</f>
        <v>0</v>
      </c>
      <c r="Q65" s="119" t="n">
        <f aca="false">SUMIFS(tabela_registros[VALOR],tabela_registros[MÊS],$AE$1,tabela_registros[DIA],outtotal3059718395107119131143[[#Headers],[13]],tabela_registros[REGISTRO],DADOS!$N$4,tabela_registros[TIPO],DADOS!$P$4,tabela_registros[CATEGORIA],despesavariávelconsolidadoout[[#This Row],[DESPESA VARIÁVEL]])</f>
        <v>0</v>
      </c>
      <c r="R65" s="119" t="n">
        <f aca="false">SUMIFS(tabela_registros[VALOR],tabela_registros[MÊS],$AE$1,tabela_registros[DIA],outtotal3059718395107119131143[[#Headers],[14]],tabela_registros[REGISTRO],DADOS!$N$4,tabela_registros[TIPO],DADOS!$P$4,tabela_registros[CATEGORIA],despesavariávelconsolidadoout[[#This Row],[DESPESA VARIÁVEL]])</f>
        <v>0</v>
      </c>
      <c r="S65" s="119" t="n">
        <f aca="false">SUMIFS(tabela_registros[VALOR],tabela_registros[MÊS],$AE$1,tabela_registros[DIA],outtotal3059718395107119131143[[#Headers],[15]],tabela_registros[REGISTRO],DADOS!$N$4,tabela_registros[TIPO],DADOS!$P$4,tabela_registros[CATEGORIA],despesavariávelconsolidadoout[[#This Row],[DESPESA VARIÁVEL]])</f>
        <v>0</v>
      </c>
      <c r="T65" s="119" t="n">
        <f aca="false">SUMIFS(tabela_registros[VALOR],tabela_registros[MÊS],$AE$1,tabela_registros[DIA],outtotal3059718395107119131143[[#Headers],[16]],tabela_registros[REGISTRO],DADOS!$N$4,tabela_registros[TIPO],DADOS!$P$4,tabela_registros[CATEGORIA],despesavariávelconsolidadoout[[#This Row],[DESPESA VARIÁVEL]])</f>
        <v>0</v>
      </c>
      <c r="U65" s="119" t="n">
        <f aca="false">SUMIFS(tabela_registros[VALOR],tabela_registros[MÊS],$AE$1,tabela_registros[DIA],outtotal3059718395107119131143[[#Headers],[17]],tabela_registros[REGISTRO],DADOS!$N$4,tabela_registros[TIPO],DADOS!$P$4,tabela_registros[CATEGORIA],despesavariávelconsolidadoout[[#This Row],[DESPESA VARIÁVEL]])</f>
        <v>0</v>
      </c>
      <c r="V65" s="119" t="n">
        <f aca="false">SUMIFS(tabela_registros[VALOR],tabela_registros[MÊS],$AE$1,tabela_registros[DIA],outtotal3059718395107119131143[[#Headers],[18]],tabela_registros[REGISTRO],DADOS!$N$4,tabela_registros[TIPO],DADOS!$P$4,tabela_registros[CATEGORIA],despesavariávelconsolidadoout[[#This Row],[DESPESA VARIÁVEL]])</f>
        <v>0</v>
      </c>
      <c r="W65" s="119" t="n">
        <f aca="false">SUMIFS(tabela_registros[VALOR],tabela_registros[MÊS],$AE$1,tabela_registros[DIA],outtotal3059718395107119131143[[#Headers],[19]],tabela_registros[REGISTRO],DADOS!$N$4,tabela_registros[TIPO],DADOS!$P$4,tabela_registros[CATEGORIA],despesavariávelconsolidadoout[[#This Row],[DESPESA VARIÁVEL]])</f>
        <v>0</v>
      </c>
      <c r="X65" s="119" t="n">
        <f aca="false">SUMIFS(tabela_registros[VALOR],tabela_registros[MÊS],$AE$1,tabela_registros[DIA],outtotal3059718395107119131143[[#Headers],[20]],tabela_registros[REGISTRO],DADOS!$N$4,tabela_registros[TIPO],DADOS!$P$4,tabela_registros[CATEGORIA],despesavariávelconsolidadoout[[#This Row],[DESPESA VARIÁVEL]])</f>
        <v>0</v>
      </c>
      <c r="Y65" s="119" t="n">
        <f aca="false">SUMIFS(tabela_registros[VALOR],tabela_registros[MÊS],$AE$1,tabela_registros[DIA],outtotal3059718395107119131143[[#Headers],[21]],tabela_registros[REGISTRO],DADOS!$N$4,tabela_registros[TIPO],DADOS!$P$4,tabela_registros[CATEGORIA],despesavariávelconsolidadoout[[#This Row],[DESPESA VARIÁVEL]])</f>
        <v>0</v>
      </c>
      <c r="Z65" s="119" t="n">
        <f aca="false">SUMIFS(tabela_registros[VALOR],tabela_registros[MÊS],$AE$1,tabela_registros[DIA],outtotal3059718395107119131143[[#Headers],[22]],tabela_registros[REGISTRO],DADOS!$N$4,tabela_registros[TIPO],DADOS!$P$4,tabela_registros[CATEGORIA],despesavariávelconsolidadoout[[#This Row],[DESPESA VARIÁVEL]])</f>
        <v>0</v>
      </c>
      <c r="AA65" s="119" t="n">
        <f aca="false">SUMIFS(tabela_registros[VALOR],tabela_registros[MÊS],$AE$1,tabela_registros[DIA],outtotal3059718395107119131143[[#Headers],[23]],tabela_registros[REGISTRO],DADOS!$N$4,tabela_registros[TIPO],DADOS!$P$4,tabela_registros[CATEGORIA],despesavariávelconsolidadoout[[#This Row],[DESPESA VARIÁVEL]])</f>
        <v>0</v>
      </c>
      <c r="AB65" s="119" t="n">
        <f aca="false">SUMIFS(tabela_registros[VALOR],tabela_registros[MÊS],$AE$1,tabela_registros[DIA],outtotal3059718395107119131143[[#Headers],[24]],tabela_registros[REGISTRO],DADOS!$N$4,tabela_registros[TIPO],DADOS!$P$4,tabela_registros[CATEGORIA],despesavariávelconsolidadoout[[#This Row],[DESPESA VARIÁVEL]])</f>
        <v>0</v>
      </c>
      <c r="AC65" s="119" t="n">
        <f aca="false">SUMIFS(tabela_registros[VALOR],tabela_registros[MÊS],$AE$1,tabela_registros[DIA],outtotal3059718395107119131143[[#Headers],[25]],tabela_registros[REGISTRO],DADOS!$N$4,tabela_registros[TIPO],DADOS!$P$4,tabela_registros[CATEGORIA],despesavariávelconsolidadoout[[#This Row],[DESPESA VARIÁVEL]])</f>
        <v>0</v>
      </c>
      <c r="AD65" s="119" t="n">
        <f aca="false">SUMIFS(tabela_registros[VALOR],tabela_registros[MÊS],$AE$1,tabela_registros[DIA],outtotal3059718395107119131143[[#Headers],[26]],tabela_registros[REGISTRO],DADOS!$N$4,tabela_registros[TIPO],DADOS!$P$4,tabela_registros[CATEGORIA],despesavariávelconsolidadoout[[#This Row],[DESPESA VARIÁVEL]])</f>
        <v>0</v>
      </c>
      <c r="AE65" s="119" t="n">
        <f aca="false">SUMIFS(tabela_registros[VALOR],tabela_registros[MÊS],$AE$1,tabela_registros[DIA],outtotal3059718395107119131143[[#Headers],[27]],tabela_registros[REGISTRO],DADOS!$N$4,tabela_registros[TIPO],DADOS!$P$4,tabela_registros[CATEGORIA],despesavariávelconsolidadoout[[#This Row],[DESPESA VARIÁVEL]])</f>
        <v>0</v>
      </c>
      <c r="AF65" s="119" t="n">
        <f aca="false">SUMIFS(tabela_registros[VALOR],tabela_registros[MÊS],$AE$1,tabela_registros[DIA],outtotal3059718395107119131143[[#Headers],[28]],tabela_registros[REGISTRO],DADOS!$N$4,tabela_registros[TIPO],DADOS!$P$4,tabela_registros[CATEGORIA],despesavariávelconsolidadoout[[#This Row],[DESPESA VARIÁVEL]])</f>
        <v>0</v>
      </c>
      <c r="AG65" s="119" t="n">
        <f aca="false">SUMIFS(tabela_registros[VALOR],tabela_registros[MÊS],$AE$1,tabela_registros[DIA],outtotal3059718395107119131143[[#Headers],[29]],tabela_registros[REGISTRO],DADOS!$N$4,tabela_registros[TIPO],DADOS!$P$4,tabela_registros[CATEGORIA],despesavariávelconsolidadoout[[#This Row],[DESPESA VARIÁVEL]])</f>
        <v>0</v>
      </c>
      <c r="AH65" s="119" t="n">
        <f aca="false">SUMIFS(tabela_registros[VALOR],tabela_registros[MÊS],$AE$1,tabela_registros[DIA],outtotal3059718395107119131143[[#Headers],[30]],tabela_registros[REGISTRO],DADOS!$N$4,tabela_registros[TIPO],DADOS!$P$4,tabela_registros[CATEGORIA],despesavariávelconsolidadoout[[#This Row],[DESPESA VARIÁVEL]])</f>
        <v>0</v>
      </c>
      <c r="AI65" s="217" t="n">
        <f aca="false">SUMIFS(tabela_registros[VALOR],tabela_registros[MÊS],$AE$1,tabela_registros[DIA],outtotal3059718395107119131143[[#Headers],[31]],tabela_registros[REGISTRO],DADOS!$N$4,tabela_registros[TIPO],DADOS!$P$4,tabela_registros[CATEGORIA],despesavariávelconsolidadoout[[#This Row],[DESPESA VARIÁVEL]])</f>
        <v>0</v>
      </c>
      <c r="AJ65" s="149" t="n">
        <f aca="false">SUM(despesavariávelconsolidadoout[[#This Row],[1]:[31]])</f>
        <v>0</v>
      </c>
      <c r="AK65" s="143"/>
    </row>
    <row r="66" customFormat="false" ht="18" hidden="false" customHeight="true" outlineLevel="0" collapsed="false">
      <c r="B66" s="143"/>
      <c r="C66" s="144" t="str">
        <f aca="false">DADOS!$T$9</f>
        <v>🎭 LAZER</v>
      </c>
      <c r="D66" s="145" t="str">
        <f aca="false">IF(despesavariávelconsolidadoout[[#This Row],[TOTAL]]=0,"",IF(OR(despesavariávelconsolidadoout[[#This Row],[TOTAL]]=LARGE($AJ$60:$AJ$72,1),despesavariávelconsolidadoout[[#This Row],[TOTAL]]=LARGE($AJ$60:$AJ$72,2),despesavariávelconsolidadoout[[#This Row],[TOTAL]]=LARGE($AJ$60:$AJ$72,3),despesavariávelconsolidadoout[[#This Row],[TOTAL]]=LARGE($AJ$60:$AJ$72,4),despesavariávelconsolidadoout[[#This Row],[TOTAL]]=LARGE($AJ$60:$AJ$72,5)),DADOS!$I$8,""))</f>
        <v/>
      </c>
      <c r="E66" s="148" t="n">
        <f aca="false">SUMIFS(tabela_registros[VALOR],tabela_registros[MÊS],$AE$1,tabela_registros[DIA],outtotal3059718395107119131143[[#Headers],[1]],tabela_registros[REGISTRO],DADOS!$N$4,tabela_registros[TIPO],DADOS!$P$4,tabela_registros[CATEGORIA],despesavariávelconsolidadoout[[#This Row],[DESPESA VARIÁVEL]])</f>
        <v>0</v>
      </c>
      <c r="F66" s="119" t="n">
        <f aca="false">SUMIFS(tabela_registros[VALOR],tabela_registros[MÊS],$AE$1,tabela_registros[DIA],outtotal3059718395107119131143[[#Headers],[2]],tabela_registros[REGISTRO],DADOS!$N$4,tabela_registros[TIPO],DADOS!$P$4,tabela_registros[CATEGORIA],despesavariávelconsolidadoout[[#This Row],[DESPESA VARIÁVEL]])</f>
        <v>0</v>
      </c>
      <c r="G66" s="119" t="n">
        <f aca="false">SUMIFS(tabela_registros[VALOR],tabela_registros[MÊS],$AE$1,tabela_registros[DIA],outtotal3059718395107119131143[[#Headers],[3]],tabela_registros[REGISTRO],DADOS!$N$4,tabela_registros[TIPO],DADOS!$P$4,tabela_registros[CATEGORIA],despesavariávelconsolidadoout[[#This Row],[DESPESA VARIÁVEL]])</f>
        <v>0</v>
      </c>
      <c r="H66" s="119" t="n">
        <f aca="false">SUMIFS(tabela_registros[VALOR],tabela_registros[MÊS],$AE$1,tabela_registros[DIA],outtotal3059718395107119131143[[#Headers],[4]],tabela_registros[REGISTRO],DADOS!$N$4,tabela_registros[TIPO],DADOS!$P$4,tabela_registros[CATEGORIA],despesavariávelconsolidadoout[[#This Row],[DESPESA VARIÁVEL]])</f>
        <v>0</v>
      </c>
      <c r="I66" s="119" t="n">
        <f aca="false">SUMIFS(tabela_registros[VALOR],tabela_registros[MÊS],$AE$1,tabela_registros[DIA],outtotal3059718395107119131143[[#Headers],[5]],tabela_registros[REGISTRO],DADOS!$N$4,tabela_registros[TIPO],DADOS!$P$4,tabela_registros[CATEGORIA],despesavariávelconsolidadoout[[#This Row],[DESPESA VARIÁVEL]])</f>
        <v>0</v>
      </c>
      <c r="J66" s="119" t="n">
        <f aca="false">SUMIFS(tabela_registros[VALOR],tabela_registros[MÊS],$AE$1,tabela_registros[DIA],outtotal3059718395107119131143[[#Headers],[6]],tabela_registros[REGISTRO],DADOS!$N$4,tabela_registros[TIPO],DADOS!$P$4,tabela_registros[CATEGORIA],despesavariávelconsolidadoout[[#This Row],[DESPESA VARIÁVEL]])</f>
        <v>0</v>
      </c>
      <c r="K66" s="119" t="n">
        <f aca="false">SUMIFS(tabela_registros[VALOR],tabela_registros[MÊS],$AE$1,tabela_registros[DIA],outtotal3059718395107119131143[[#Headers],[7]],tabela_registros[REGISTRO],DADOS!$N$4,tabela_registros[TIPO],DADOS!$P$4,tabela_registros[CATEGORIA],despesavariávelconsolidadoout[[#This Row],[DESPESA VARIÁVEL]])</f>
        <v>0</v>
      </c>
      <c r="L66" s="119" t="n">
        <f aca="false">SUMIFS(tabela_registros[VALOR],tabela_registros[MÊS],$AE$1,tabela_registros[DIA],outtotal3059718395107119131143[[#Headers],[8]],tabela_registros[REGISTRO],DADOS!$N$4,tabela_registros[TIPO],DADOS!$P$4,tabela_registros[CATEGORIA],despesavariávelconsolidadoout[[#This Row],[DESPESA VARIÁVEL]])</f>
        <v>0</v>
      </c>
      <c r="M66" s="119" t="n">
        <f aca="false">SUMIFS(tabela_registros[VALOR],tabela_registros[MÊS],$AE$1,tabela_registros[DIA],outtotal3059718395107119131143[[#Headers],[9]],tabela_registros[REGISTRO],DADOS!$N$4,tabela_registros[TIPO],DADOS!$P$4,tabela_registros[CATEGORIA],despesavariávelconsolidadoout[[#This Row],[DESPESA VARIÁVEL]])</f>
        <v>0</v>
      </c>
      <c r="N66" s="119" t="n">
        <f aca="false">SUMIFS(tabela_registros[VALOR],tabela_registros[MÊS],$AE$1,tabela_registros[DIA],outtotal3059718395107119131143[[#Headers],[10]],tabela_registros[REGISTRO],DADOS!$N$4,tabela_registros[TIPO],DADOS!$P$4,tabela_registros[CATEGORIA],despesavariávelconsolidadoout[[#This Row],[DESPESA VARIÁVEL]])</f>
        <v>0</v>
      </c>
      <c r="O66" s="119" t="n">
        <f aca="false">SUMIFS(tabela_registros[VALOR],tabela_registros[MÊS],$AE$1,tabela_registros[DIA],outtotal3059718395107119131143[[#Headers],[11]],tabela_registros[REGISTRO],DADOS!$N$4,tabela_registros[TIPO],DADOS!$P$4,tabela_registros[CATEGORIA],despesavariávelconsolidadoout[[#This Row],[DESPESA VARIÁVEL]])</f>
        <v>0</v>
      </c>
      <c r="P66" s="119" t="n">
        <f aca="false">SUMIFS(tabela_registros[VALOR],tabela_registros[MÊS],$AE$1,tabela_registros[DIA],outtotal3059718395107119131143[[#Headers],[12]],tabela_registros[REGISTRO],DADOS!$N$4,tabela_registros[TIPO],DADOS!$P$4,tabela_registros[CATEGORIA],despesavariávelconsolidadoout[[#This Row],[DESPESA VARIÁVEL]])</f>
        <v>0</v>
      </c>
      <c r="Q66" s="119" t="n">
        <f aca="false">SUMIFS(tabela_registros[VALOR],tabela_registros[MÊS],$AE$1,tabela_registros[DIA],outtotal3059718395107119131143[[#Headers],[13]],tabela_registros[REGISTRO],DADOS!$N$4,tabela_registros[TIPO],DADOS!$P$4,tabela_registros[CATEGORIA],despesavariávelconsolidadoout[[#This Row],[DESPESA VARIÁVEL]])</f>
        <v>0</v>
      </c>
      <c r="R66" s="119" t="n">
        <f aca="false">SUMIFS(tabela_registros[VALOR],tabela_registros[MÊS],$AE$1,tabela_registros[DIA],outtotal3059718395107119131143[[#Headers],[14]],tabela_registros[REGISTRO],DADOS!$N$4,tabela_registros[TIPO],DADOS!$P$4,tabela_registros[CATEGORIA],despesavariávelconsolidadoout[[#This Row],[DESPESA VARIÁVEL]])</f>
        <v>0</v>
      </c>
      <c r="S66" s="119" t="n">
        <f aca="false">SUMIFS(tabela_registros[VALOR],tabela_registros[MÊS],$AE$1,tabela_registros[DIA],outtotal3059718395107119131143[[#Headers],[15]],tabela_registros[REGISTRO],DADOS!$N$4,tabela_registros[TIPO],DADOS!$P$4,tabela_registros[CATEGORIA],despesavariávelconsolidadoout[[#This Row],[DESPESA VARIÁVEL]])</f>
        <v>0</v>
      </c>
      <c r="T66" s="119" t="n">
        <f aca="false">SUMIFS(tabela_registros[VALOR],tabela_registros[MÊS],$AE$1,tabela_registros[DIA],outtotal3059718395107119131143[[#Headers],[16]],tabela_registros[REGISTRO],DADOS!$N$4,tabela_registros[TIPO],DADOS!$P$4,tabela_registros[CATEGORIA],despesavariávelconsolidadoout[[#This Row],[DESPESA VARIÁVEL]])</f>
        <v>0</v>
      </c>
      <c r="U66" s="119" t="n">
        <f aca="false">SUMIFS(tabela_registros[VALOR],tabela_registros[MÊS],$AE$1,tabela_registros[DIA],outtotal3059718395107119131143[[#Headers],[17]],tabela_registros[REGISTRO],DADOS!$N$4,tabela_registros[TIPO],DADOS!$P$4,tabela_registros[CATEGORIA],despesavariávelconsolidadoout[[#This Row],[DESPESA VARIÁVEL]])</f>
        <v>0</v>
      </c>
      <c r="V66" s="119" t="n">
        <f aca="false">SUMIFS(tabela_registros[VALOR],tabela_registros[MÊS],$AE$1,tabela_registros[DIA],outtotal3059718395107119131143[[#Headers],[18]],tabela_registros[REGISTRO],DADOS!$N$4,tabela_registros[TIPO],DADOS!$P$4,tabela_registros[CATEGORIA],despesavariávelconsolidadoout[[#This Row],[DESPESA VARIÁVEL]])</f>
        <v>0</v>
      </c>
      <c r="W66" s="119" t="n">
        <f aca="false">SUMIFS(tabela_registros[VALOR],tabela_registros[MÊS],$AE$1,tabela_registros[DIA],outtotal3059718395107119131143[[#Headers],[19]],tabela_registros[REGISTRO],DADOS!$N$4,tabela_registros[TIPO],DADOS!$P$4,tabela_registros[CATEGORIA],despesavariávelconsolidadoout[[#This Row],[DESPESA VARIÁVEL]])</f>
        <v>0</v>
      </c>
      <c r="X66" s="119" t="n">
        <f aca="false">SUMIFS(tabela_registros[VALOR],tabela_registros[MÊS],$AE$1,tabela_registros[DIA],outtotal3059718395107119131143[[#Headers],[20]],tabela_registros[REGISTRO],DADOS!$N$4,tabela_registros[TIPO],DADOS!$P$4,tabela_registros[CATEGORIA],despesavariávelconsolidadoout[[#This Row],[DESPESA VARIÁVEL]])</f>
        <v>0</v>
      </c>
      <c r="Y66" s="119" t="n">
        <f aca="false">SUMIFS(tabela_registros[VALOR],tabela_registros[MÊS],$AE$1,tabela_registros[DIA],outtotal3059718395107119131143[[#Headers],[21]],tabela_registros[REGISTRO],DADOS!$N$4,tabela_registros[TIPO],DADOS!$P$4,tabela_registros[CATEGORIA],despesavariávelconsolidadoout[[#This Row],[DESPESA VARIÁVEL]])</f>
        <v>0</v>
      </c>
      <c r="Z66" s="119" t="n">
        <f aca="false">SUMIFS(tabela_registros[VALOR],tabela_registros[MÊS],$AE$1,tabela_registros[DIA],outtotal3059718395107119131143[[#Headers],[22]],tabela_registros[REGISTRO],DADOS!$N$4,tabela_registros[TIPO],DADOS!$P$4,tabela_registros[CATEGORIA],despesavariávelconsolidadoout[[#This Row],[DESPESA VARIÁVEL]])</f>
        <v>0</v>
      </c>
      <c r="AA66" s="119" t="n">
        <f aca="false">SUMIFS(tabela_registros[VALOR],tabela_registros[MÊS],$AE$1,tabela_registros[DIA],outtotal3059718395107119131143[[#Headers],[23]],tabela_registros[REGISTRO],DADOS!$N$4,tabela_registros[TIPO],DADOS!$P$4,tabela_registros[CATEGORIA],despesavariávelconsolidadoout[[#This Row],[DESPESA VARIÁVEL]])</f>
        <v>0</v>
      </c>
      <c r="AB66" s="119" t="n">
        <f aca="false">SUMIFS(tabela_registros[VALOR],tabela_registros[MÊS],$AE$1,tabela_registros[DIA],outtotal3059718395107119131143[[#Headers],[24]],tabela_registros[REGISTRO],DADOS!$N$4,tabela_registros[TIPO],DADOS!$P$4,tabela_registros[CATEGORIA],despesavariávelconsolidadoout[[#This Row],[DESPESA VARIÁVEL]])</f>
        <v>0</v>
      </c>
      <c r="AC66" s="119" t="n">
        <f aca="false">SUMIFS(tabela_registros[VALOR],tabela_registros[MÊS],$AE$1,tabela_registros[DIA],outtotal3059718395107119131143[[#Headers],[25]],tabela_registros[REGISTRO],DADOS!$N$4,tabela_registros[TIPO],DADOS!$P$4,tabela_registros[CATEGORIA],despesavariávelconsolidadoout[[#This Row],[DESPESA VARIÁVEL]])</f>
        <v>0</v>
      </c>
      <c r="AD66" s="119" t="n">
        <f aca="false">SUMIFS(tabela_registros[VALOR],tabela_registros[MÊS],$AE$1,tabela_registros[DIA],outtotal3059718395107119131143[[#Headers],[26]],tabela_registros[REGISTRO],DADOS!$N$4,tabela_registros[TIPO],DADOS!$P$4,tabela_registros[CATEGORIA],despesavariávelconsolidadoout[[#This Row],[DESPESA VARIÁVEL]])</f>
        <v>0</v>
      </c>
      <c r="AE66" s="119" t="n">
        <f aca="false">SUMIFS(tabela_registros[VALOR],tabela_registros[MÊS],$AE$1,tabela_registros[DIA],outtotal3059718395107119131143[[#Headers],[27]],tabela_registros[REGISTRO],DADOS!$N$4,tabela_registros[TIPO],DADOS!$P$4,tabela_registros[CATEGORIA],despesavariávelconsolidadoout[[#This Row],[DESPESA VARIÁVEL]])</f>
        <v>0</v>
      </c>
      <c r="AF66" s="119" t="n">
        <f aca="false">SUMIFS(tabela_registros[VALOR],tabela_registros[MÊS],$AE$1,tabela_registros[DIA],outtotal3059718395107119131143[[#Headers],[28]],tabela_registros[REGISTRO],DADOS!$N$4,tabela_registros[TIPO],DADOS!$P$4,tabela_registros[CATEGORIA],despesavariávelconsolidadoout[[#This Row],[DESPESA VARIÁVEL]])</f>
        <v>0</v>
      </c>
      <c r="AG66" s="119" t="n">
        <f aca="false">SUMIFS(tabela_registros[VALOR],tabela_registros[MÊS],$AE$1,tabela_registros[DIA],outtotal3059718395107119131143[[#Headers],[29]],tabela_registros[REGISTRO],DADOS!$N$4,tabela_registros[TIPO],DADOS!$P$4,tabela_registros[CATEGORIA],despesavariávelconsolidadoout[[#This Row],[DESPESA VARIÁVEL]])</f>
        <v>0</v>
      </c>
      <c r="AH66" s="119" t="n">
        <f aca="false">SUMIFS(tabela_registros[VALOR],tabela_registros[MÊS],$AE$1,tabela_registros[DIA],outtotal3059718395107119131143[[#Headers],[30]],tabela_registros[REGISTRO],DADOS!$N$4,tabela_registros[TIPO],DADOS!$P$4,tabela_registros[CATEGORIA],despesavariávelconsolidadoout[[#This Row],[DESPESA VARIÁVEL]])</f>
        <v>0</v>
      </c>
      <c r="AI66" s="217" t="n">
        <f aca="false">SUMIFS(tabela_registros[VALOR],tabela_registros[MÊS],$AE$1,tabela_registros[DIA],outtotal3059718395107119131143[[#Headers],[31]],tabela_registros[REGISTRO],DADOS!$N$4,tabela_registros[TIPO],DADOS!$P$4,tabela_registros[CATEGORIA],despesavariávelconsolidadoout[[#This Row],[DESPESA VARIÁVEL]])</f>
        <v>0</v>
      </c>
      <c r="AJ66" s="149" t="n">
        <f aca="false">SUM(despesavariávelconsolidadoout[[#This Row],[1]:[31]])</f>
        <v>0</v>
      </c>
      <c r="AK66" s="143"/>
    </row>
    <row r="67" customFormat="false" ht="18" hidden="false" customHeight="true" outlineLevel="0" collapsed="false">
      <c r="B67" s="143"/>
      <c r="C67" s="144" t="str">
        <f aca="false">DADOS!$T$10</f>
        <v>🛒 MERCADO</v>
      </c>
      <c r="D67" s="145" t="str">
        <f aca="false">IF(despesavariávelconsolidadoout[[#This Row],[TOTAL]]=0,"",IF(OR(despesavariávelconsolidadoout[[#This Row],[TOTAL]]=LARGE($AJ$60:$AJ$72,1),despesavariávelconsolidadoout[[#This Row],[TOTAL]]=LARGE($AJ$60:$AJ$72,2),despesavariávelconsolidadoout[[#This Row],[TOTAL]]=LARGE($AJ$60:$AJ$72,3),despesavariávelconsolidadoout[[#This Row],[TOTAL]]=LARGE($AJ$60:$AJ$72,4),despesavariávelconsolidadoout[[#This Row],[TOTAL]]=LARGE($AJ$60:$AJ$72,5)),DADOS!$I$8,""))</f>
        <v/>
      </c>
      <c r="E67" s="148" t="n">
        <f aca="false">SUMIFS(tabela_registros[VALOR],tabela_registros[MÊS],$AE$1,tabela_registros[DIA],outtotal3059718395107119131143[[#Headers],[1]],tabela_registros[REGISTRO],DADOS!$N$4,tabela_registros[TIPO],DADOS!$P$4,tabela_registros[CATEGORIA],despesavariávelconsolidadoout[[#This Row],[DESPESA VARIÁVEL]])</f>
        <v>0</v>
      </c>
      <c r="F67" s="119" t="n">
        <f aca="false">SUMIFS(tabela_registros[VALOR],tabela_registros[MÊS],$AE$1,tabela_registros[DIA],outtotal3059718395107119131143[[#Headers],[2]],tabela_registros[REGISTRO],DADOS!$N$4,tabela_registros[TIPO],DADOS!$P$4,tabela_registros[CATEGORIA],despesavariávelconsolidadoout[[#This Row],[DESPESA VARIÁVEL]])</f>
        <v>0</v>
      </c>
      <c r="G67" s="119" t="n">
        <f aca="false">SUMIFS(tabela_registros[VALOR],tabela_registros[MÊS],$AE$1,tabela_registros[DIA],outtotal3059718395107119131143[[#Headers],[3]],tabela_registros[REGISTRO],DADOS!$N$4,tabela_registros[TIPO],DADOS!$P$4,tabela_registros[CATEGORIA],despesavariávelconsolidadoout[[#This Row],[DESPESA VARIÁVEL]])</f>
        <v>0</v>
      </c>
      <c r="H67" s="119" t="n">
        <f aca="false">SUMIFS(tabela_registros[VALOR],tabela_registros[MÊS],$AE$1,tabela_registros[DIA],outtotal3059718395107119131143[[#Headers],[4]],tabela_registros[REGISTRO],DADOS!$N$4,tabela_registros[TIPO],DADOS!$P$4,tabela_registros[CATEGORIA],despesavariávelconsolidadoout[[#This Row],[DESPESA VARIÁVEL]])</f>
        <v>0</v>
      </c>
      <c r="I67" s="119" t="n">
        <f aca="false">SUMIFS(tabela_registros[VALOR],tabela_registros[MÊS],$AE$1,tabela_registros[DIA],outtotal3059718395107119131143[[#Headers],[5]],tabela_registros[REGISTRO],DADOS!$N$4,tabela_registros[TIPO],DADOS!$P$4,tabela_registros[CATEGORIA],despesavariávelconsolidadoout[[#This Row],[DESPESA VARIÁVEL]])</f>
        <v>0</v>
      </c>
      <c r="J67" s="119" t="n">
        <f aca="false">SUMIFS(tabela_registros[VALOR],tabela_registros[MÊS],$AE$1,tabela_registros[DIA],outtotal3059718395107119131143[[#Headers],[6]],tabela_registros[REGISTRO],DADOS!$N$4,tabela_registros[TIPO],DADOS!$P$4,tabela_registros[CATEGORIA],despesavariávelconsolidadoout[[#This Row],[DESPESA VARIÁVEL]])</f>
        <v>0</v>
      </c>
      <c r="K67" s="119" t="n">
        <f aca="false">SUMIFS(tabela_registros[VALOR],tabela_registros[MÊS],$AE$1,tabela_registros[DIA],outtotal3059718395107119131143[[#Headers],[7]],tabela_registros[REGISTRO],DADOS!$N$4,tabela_registros[TIPO],DADOS!$P$4,tabela_registros[CATEGORIA],despesavariávelconsolidadoout[[#This Row],[DESPESA VARIÁVEL]])</f>
        <v>0</v>
      </c>
      <c r="L67" s="119" t="n">
        <f aca="false">SUMIFS(tabela_registros[VALOR],tabela_registros[MÊS],$AE$1,tabela_registros[DIA],outtotal3059718395107119131143[[#Headers],[8]],tabela_registros[REGISTRO],DADOS!$N$4,tabela_registros[TIPO],DADOS!$P$4,tabela_registros[CATEGORIA],despesavariávelconsolidadoout[[#This Row],[DESPESA VARIÁVEL]])</f>
        <v>0</v>
      </c>
      <c r="M67" s="119" t="n">
        <f aca="false">SUMIFS(tabela_registros[VALOR],tabela_registros[MÊS],$AE$1,tabela_registros[DIA],outtotal3059718395107119131143[[#Headers],[9]],tabela_registros[REGISTRO],DADOS!$N$4,tabela_registros[TIPO],DADOS!$P$4,tabela_registros[CATEGORIA],despesavariávelconsolidadoout[[#This Row],[DESPESA VARIÁVEL]])</f>
        <v>0</v>
      </c>
      <c r="N67" s="119" t="n">
        <f aca="false">SUMIFS(tabela_registros[VALOR],tabela_registros[MÊS],$AE$1,tabela_registros[DIA],outtotal3059718395107119131143[[#Headers],[10]],tabela_registros[REGISTRO],DADOS!$N$4,tabela_registros[TIPO],DADOS!$P$4,tabela_registros[CATEGORIA],despesavariávelconsolidadoout[[#This Row],[DESPESA VARIÁVEL]])</f>
        <v>0</v>
      </c>
      <c r="O67" s="119" t="n">
        <f aca="false">SUMIFS(tabela_registros[VALOR],tabela_registros[MÊS],$AE$1,tabela_registros[DIA],outtotal3059718395107119131143[[#Headers],[11]],tabela_registros[REGISTRO],DADOS!$N$4,tabela_registros[TIPO],DADOS!$P$4,tabela_registros[CATEGORIA],despesavariávelconsolidadoout[[#This Row],[DESPESA VARIÁVEL]])</f>
        <v>0</v>
      </c>
      <c r="P67" s="119" t="n">
        <f aca="false">SUMIFS(tabela_registros[VALOR],tabela_registros[MÊS],$AE$1,tabela_registros[DIA],outtotal3059718395107119131143[[#Headers],[12]],tabela_registros[REGISTRO],DADOS!$N$4,tabela_registros[TIPO],DADOS!$P$4,tabela_registros[CATEGORIA],despesavariávelconsolidadoout[[#This Row],[DESPESA VARIÁVEL]])</f>
        <v>0</v>
      </c>
      <c r="Q67" s="119" t="n">
        <f aca="false">SUMIFS(tabela_registros[VALOR],tabela_registros[MÊS],$AE$1,tabela_registros[DIA],outtotal3059718395107119131143[[#Headers],[13]],tabela_registros[REGISTRO],DADOS!$N$4,tabela_registros[TIPO],DADOS!$P$4,tabela_registros[CATEGORIA],despesavariávelconsolidadoout[[#This Row],[DESPESA VARIÁVEL]])</f>
        <v>0</v>
      </c>
      <c r="R67" s="119" t="n">
        <f aca="false">SUMIFS(tabela_registros[VALOR],tabela_registros[MÊS],$AE$1,tabela_registros[DIA],outtotal3059718395107119131143[[#Headers],[14]],tabela_registros[REGISTRO],DADOS!$N$4,tabela_registros[TIPO],DADOS!$P$4,tabela_registros[CATEGORIA],despesavariávelconsolidadoout[[#This Row],[DESPESA VARIÁVEL]])</f>
        <v>0</v>
      </c>
      <c r="S67" s="119" t="n">
        <f aca="false">SUMIFS(tabela_registros[VALOR],tabela_registros[MÊS],$AE$1,tabela_registros[DIA],outtotal3059718395107119131143[[#Headers],[15]],tabela_registros[REGISTRO],DADOS!$N$4,tabela_registros[TIPO],DADOS!$P$4,tabela_registros[CATEGORIA],despesavariávelconsolidadoout[[#This Row],[DESPESA VARIÁVEL]])</f>
        <v>0</v>
      </c>
      <c r="T67" s="119" t="n">
        <f aca="false">SUMIFS(tabela_registros[VALOR],tabela_registros[MÊS],$AE$1,tabela_registros[DIA],outtotal3059718395107119131143[[#Headers],[16]],tabela_registros[REGISTRO],DADOS!$N$4,tabela_registros[TIPO],DADOS!$P$4,tabela_registros[CATEGORIA],despesavariávelconsolidadoout[[#This Row],[DESPESA VARIÁVEL]])</f>
        <v>0</v>
      </c>
      <c r="U67" s="119" t="n">
        <f aca="false">SUMIFS(tabela_registros[VALOR],tabela_registros[MÊS],$AE$1,tabela_registros[DIA],outtotal3059718395107119131143[[#Headers],[17]],tabela_registros[REGISTRO],DADOS!$N$4,tabela_registros[TIPO],DADOS!$P$4,tabela_registros[CATEGORIA],despesavariávelconsolidadoout[[#This Row],[DESPESA VARIÁVEL]])</f>
        <v>0</v>
      </c>
      <c r="V67" s="119" t="n">
        <f aca="false">SUMIFS(tabela_registros[VALOR],tabela_registros[MÊS],$AE$1,tabela_registros[DIA],outtotal3059718395107119131143[[#Headers],[18]],tabela_registros[REGISTRO],DADOS!$N$4,tabela_registros[TIPO],DADOS!$P$4,tabela_registros[CATEGORIA],despesavariávelconsolidadoout[[#This Row],[DESPESA VARIÁVEL]])</f>
        <v>0</v>
      </c>
      <c r="W67" s="119" t="n">
        <f aca="false">SUMIFS(tabela_registros[VALOR],tabela_registros[MÊS],$AE$1,tabela_registros[DIA],outtotal3059718395107119131143[[#Headers],[19]],tabela_registros[REGISTRO],DADOS!$N$4,tabela_registros[TIPO],DADOS!$P$4,tabela_registros[CATEGORIA],despesavariávelconsolidadoout[[#This Row],[DESPESA VARIÁVEL]])</f>
        <v>0</v>
      </c>
      <c r="X67" s="119" t="n">
        <f aca="false">SUMIFS(tabela_registros[VALOR],tabela_registros[MÊS],$AE$1,tabela_registros[DIA],outtotal3059718395107119131143[[#Headers],[20]],tabela_registros[REGISTRO],DADOS!$N$4,tabela_registros[TIPO],DADOS!$P$4,tabela_registros[CATEGORIA],despesavariávelconsolidadoout[[#This Row],[DESPESA VARIÁVEL]])</f>
        <v>0</v>
      </c>
      <c r="Y67" s="119" t="n">
        <f aca="false">SUMIFS(tabela_registros[VALOR],tabela_registros[MÊS],$AE$1,tabela_registros[DIA],outtotal3059718395107119131143[[#Headers],[21]],tabela_registros[REGISTRO],DADOS!$N$4,tabela_registros[TIPO],DADOS!$P$4,tabela_registros[CATEGORIA],despesavariávelconsolidadoout[[#This Row],[DESPESA VARIÁVEL]])</f>
        <v>0</v>
      </c>
      <c r="Z67" s="119" t="n">
        <f aca="false">SUMIFS(tabela_registros[VALOR],tabela_registros[MÊS],$AE$1,tabela_registros[DIA],outtotal3059718395107119131143[[#Headers],[22]],tabela_registros[REGISTRO],DADOS!$N$4,tabela_registros[TIPO],DADOS!$P$4,tabela_registros[CATEGORIA],despesavariávelconsolidadoout[[#This Row],[DESPESA VARIÁVEL]])</f>
        <v>0</v>
      </c>
      <c r="AA67" s="119" t="n">
        <f aca="false">SUMIFS(tabela_registros[VALOR],tabela_registros[MÊS],$AE$1,tabela_registros[DIA],outtotal3059718395107119131143[[#Headers],[23]],tabela_registros[REGISTRO],DADOS!$N$4,tabela_registros[TIPO],DADOS!$P$4,tabela_registros[CATEGORIA],despesavariávelconsolidadoout[[#This Row],[DESPESA VARIÁVEL]])</f>
        <v>0</v>
      </c>
      <c r="AB67" s="119" t="n">
        <f aca="false">SUMIFS(tabela_registros[VALOR],tabela_registros[MÊS],$AE$1,tabela_registros[DIA],outtotal3059718395107119131143[[#Headers],[24]],tabela_registros[REGISTRO],DADOS!$N$4,tabela_registros[TIPO],DADOS!$P$4,tabela_registros[CATEGORIA],despesavariávelconsolidadoout[[#This Row],[DESPESA VARIÁVEL]])</f>
        <v>0</v>
      </c>
      <c r="AC67" s="119" t="n">
        <f aca="false">SUMIFS(tabela_registros[VALOR],tabela_registros[MÊS],$AE$1,tabela_registros[DIA],outtotal3059718395107119131143[[#Headers],[25]],tabela_registros[REGISTRO],DADOS!$N$4,tabela_registros[TIPO],DADOS!$P$4,tabela_registros[CATEGORIA],despesavariávelconsolidadoout[[#This Row],[DESPESA VARIÁVEL]])</f>
        <v>0</v>
      </c>
      <c r="AD67" s="119" t="n">
        <f aca="false">SUMIFS(tabela_registros[VALOR],tabela_registros[MÊS],$AE$1,tabela_registros[DIA],outtotal3059718395107119131143[[#Headers],[26]],tabela_registros[REGISTRO],DADOS!$N$4,tabela_registros[TIPO],DADOS!$P$4,tabela_registros[CATEGORIA],despesavariávelconsolidadoout[[#This Row],[DESPESA VARIÁVEL]])</f>
        <v>0</v>
      </c>
      <c r="AE67" s="119" t="n">
        <f aca="false">SUMIFS(tabela_registros[VALOR],tabela_registros[MÊS],$AE$1,tabela_registros[DIA],outtotal3059718395107119131143[[#Headers],[27]],tabela_registros[REGISTRO],DADOS!$N$4,tabela_registros[TIPO],DADOS!$P$4,tabela_registros[CATEGORIA],despesavariávelconsolidadoout[[#This Row],[DESPESA VARIÁVEL]])</f>
        <v>0</v>
      </c>
      <c r="AF67" s="119" t="n">
        <f aca="false">SUMIFS(tabela_registros[VALOR],tabela_registros[MÊS],$AE$1,tabela_registros[DIA],outtotal3059718395107119131143[[#Headers],[28]],tabela_registros[REGISTRO],DADOS!$N$4,tabela_registros[TIPO],DADOS!$P$4,tabela_registros[CATEGORIA],despesavariávelconsolidadoout[[#This Row],[DESPESA VARIÁVEL]])</f>
        <v>0</v>
      </c>
      <c r="AG67" s="119" t="n">
        <f aca="false">SUMIFS(tabela_registros[VALOR],tabela_registros[MÊS],$AE$1,tabela_registros[DIA],outtotal3059718395107119131143[[#Headers],[29]],tabela_registros[REGISTRO],DADOS!$N$4,tabela_registros[TIPO],DADOS!$P$4,tabela_registros[CATEGORIA],despesavariávelconsolidadoout[[#This Row],[DESPESA VARIÁVEL]])</f>
        <v>0</v>
      </c>
      <c r="AH67" s="119" t="n">
        <f aca="false">SUMIFS(tabela_registros[VALOR],tabela_registros[MÊS],$AE$1,tabela_registros[DIA],outtotal3059718395107119131143[[#Headers],[30]],tabela_registros[REGISTRO],DADOS!$N$4,tabela_registros[TIPO],DADOS!$P$4,tabela_registros[CATEGORIA],despesavariávelconsolidadoout[[#This Row],[DESPESA VARIÁVEL]])</f>
        <v>0</v>
      </c>
      <c r="AI67" s="217" t="n">
        <f aca="false">SUMIFS(tabela_registros[VALOR],tabela_registros[MÊS],$AE$1,tabela_registros[DIA],outtotal3059718395107119131143[[#Headers],[31]],tabela_registros[REGISTRO],DADOS!$N$4,tabela_registros[TIPO],DADOS!$P$4,tabela_registros[CATEGORIA],despesavariávelconsolidadoout[[#This Row],[DESPESA VARIÁVEL]])</f>
        <v>0</v>
      </c>
      <c r="AJ67" s="149" t="n">
        <f aca="false">SUM(despesavariávelconsolidadoout[[#This Row],[1]:[31]])</f>
        <v>0</v>
      </c>
      <c r="AK67" s="143"/>
    </row>
    <row r="68" customFormat="false" ht="18" hidden="false" customHeight="true" outlineLevel="0" collapsed="false">
      <c r="B68" s="143"/>
      <c r="C68" s="144" t="str">
        <f aca="false">DADOS!$T$11</f>
        <v>🎁 PRESENTES</v>
      </c>
      <c r="D68" s="145" t="str">
        <f aca="false">IF(despesavariávelconsolidadoout[[#This Row],[TOTAL]]=0,"",IF(OR(despesavariávelconsolidadoout[[#This Row],[TOTAL]]=LARGE($AJ$60:$AJ$72,1),despesavariávelconsolidadoout[[#This Row],[TOTAL]]=LARGE($AJ$60:$AJ$72,2),despesavariávelconsolidadoout[[#This Row],[TOTAL]]=LARGE($AJ$60:$AJ$72,3),despesavariávelconsolidadoout[[#This Row],[TOTAL]]=LARGE($AJ$60:$AJ$72,4),despesavariávelconsolidadoout[[#This Row],[TOTAL]]=LARGE($AJ$60:$AJ$72,5)),DADOS!$I$8,""))</f>
        <v/>
      </c>
      <c r="E68" s="148" t="n">
        <f aca="false">SUMIFS(tabela_registros[VALOR],tabela_registros[MÊS],$AE$1,tabela_registros[DIA],outtotal3059718395107119131143[[#Headers],[1]],tabela_registros[REGISTRO],DADOS!$N$4,tabela_registros[TIPO],DADOS!$P$4,tabela_registros[CATEGORIA],despesavariávelconsolidadoout[[#This Row],[DESPESA VARIÁVEL]])</f>
        <v>0</v>
      </c>
      <c r="F68" s="119" t="n">
        <f aca="false">SUMIFS(tabela_registros[VALOR],tabela_registros[MÊS],$AE$1,tabela_registros[DIA],outtotal3059718395107119131143[[#Headers],[2]],tabela_registros[REGISTRO],DADOS!$N$4,tabela_registros[TIPO],DADOS!$P$4,tabela_registros[CATEGORIA],despesavariávelconsolidadoout[[#This Row],[DESPESA VARIÁVEL]])</f>
        <v>0</v>
      </c>
      <c r="G68" s="119" t="n">
        <f aca="false">SUMIFS(tabela_registros[VALOR],tabela_registros[MÊS],$AE$1,tabela_registros[DIA],outtotal3059718395107119131143[[#Headers],[3]],tabela_registros[REGISTRO],DADOS!$N$4,tabela_registros[TIPO],DADOS!$P$4,tabela_registros[CATEGORIA],despesavariávelconsolidadoout[[#This Row],[DESPESA VARIÁVEL]])</f>
        <v>0</v>
      </c>
      <c r="H68" s="119" t="n">
        <f aca="false">SUMIFS(tabela_registros[VALOR],tabela_registros[MÊS],$AE$1,tabela_registros[DIA],outtotal3059718395107119131143[[#Headers],[4]],tabela_registros[REGISTRO],DADOS!$N$4,tabela_registros[TIPO],DADOS!$P$4,tabela_registros[CATEGORIA],despesavariávelconsolidadoout[[#This Row],[DESPESA VARIÁVEL]])</f>
        <v>0</v>
      </c>
      <c r="I68" s="119" t="n">
        <f aca="false">SUMIFS(tabela_registros[VALOR],tabela_registros[MÊS],$AE$1,tabela_registros[DIA],outtotal3059718395107119131143[[#Headers],[5]],tabela_registros[REGISTRO],DADOS!$N$4,tabela_registros[TIPO],DADOS!$P$4,tabela_registros[CATEGORIA],despesavariávelconsolidadoout[[#This Row],[DESPESA VARIÁVEL]])</f>
        <v>0</v>
      </c>
      <c r="J68" s="119" t="n">
        <f aca="false">SUMIFS(tabela_registros[VALOR],tabela_registros[MÊS],$AE$1,tabela_registros[DIA],outtotal3059718395107119131143[[#Headers],[6]],tabela_registros[REGISTRO],DADOS!$N$4,tabela_registros[TIPO],DADOS!$P$4,tabela_registros[CATEGORIA],despesavariávelconsolidadoout[[#This Row],[DESPESA VARIÁVEL]])</f>
        <v>0</v>
      </c>
      <c r="K68" s="119" t="n">
        <f aca="false">SUMIFS(tabela_registros[VALOR],tabela_registros[MÊS],$AE$1,tabela_registros[DIA],outtotal3059718395107119131143[[#Headers],[7]],tabela_registros[REGISTRO],DADOS!$N$4,tabela_registros[TIPO],DADOS!$P$4,tabela_registros[CATEGORIA],despesavariávelconsolidadoout[[#This Row],[DESPESA VARIÁVEL]])</f>
        <v>0</v>
      </c>
      <c r="L68" s="119" t="n">
        <f aca="false">SUMIFS(tabela_registros[VALOR],tabela_registros[MÊS],$AE$1,tabela_registros[DIA],outtotal3059718395107119131143[[#Headers],[8]],tabela_registros[REGISTRO],DADOS!$N$4,tabela_registros[TIPO],DADOS!$P$4,tabela_registros[CATEGORIA],despesavariávelconsolidadoout[[#This Row],[DESPESA VARIÁVEL]])</f>
        <v>0</v>
      </c>
      <c r="M68" s="119" t="n">
        <f aca="false">SUMIFS(tabela_registros[VALOR],tabela_registros[MÊS],$AE$1,tabela_registros[DIA],outtotal3059718395107119131143[[#Headers],[9]],tabela_registros[REGISTRO],DADOS!$N$4,tabela_registros[TIPO],DADOS!$P$4,tabela_registros[CATEGORIA],despesavariávelconsolidadoout[[#This Row],[DESPESA VARIÁVEL]])</f>
        <v>0</v>
      </c>
      <c r="N68" s="119" t="n">
        <f aca="false">SUMIFS(tabela_registros[VALOR],tabela_registros[MÊS],$AE$1,tabela_registros[DIA],outtotal3059718395107119131143[[#Headers],[10]],tabela_registros[REGISTRO],DADOS!$N$4,tabela_registros[TIPO],DADOS!$P$4,tabela_registros[CATEGORIA],despesavariávelconsolidadoout[[#This Row],[DESPESA VARIÁVEL]])</f>
        <v>0</v>
      </c>
      <c r="O68" s="119" t="n">
        <f aca="false">SUMIFS(tabela_registros[VALOR],tabela_registros[MÊS],$AE$1,tabela_registros[DIA],outtotal3059718395107119131143[[#Headers],[11]],tabela_registros[REGISTRO],DADOS!$N$4,tabela_registros[TIPO],DADOS!$P$4,tabela_registros[CATEGORIA],despesavariávelconsolidadoout[[#This Row],[DESPESA VARIÁVEL]])</f>
        <v>0</v>
      </c>
      <c r="P68" s="119" t="n">
        <f aca="false">SUMIFS(tabela_registros[VALOR],tabela_registros[MÊS],$AE$1,tabela_registros[DIA],outtotal3059718395107119131143[[#Headers],[12]],tabela_registros[REGISTRO],DADOS!$N$4,tabela_registros[TIPO],DADOS!$P$4,tabela_registros[CATEGORIA],despesavariávelconsolidadoout[[#This Row],[DESPESA VARIÁVEL]])</f>
        <v>0</v>
      </c>
      <c r="Q68" s="119" t="n">
        <f aca="false">SUMIFS(tabela_registros[VALOR],tabela_registros[MÊS],$AE$1,tabela_registros[DIA],outtotal3059718395107119131143[[#Headers],[13]],tabela_registros[REGISTRO],DADOS!$N$4,tabela_registros[TIPO],DADOS!$P$4,tabela_registros[CATEGORIA],despesavariávelconsolidadoout[[#This Row],[DESPESA VARIÁVEL]])</f>
        <v>0</v>
      </c>
      <c r="R68" s="119" t="n">
        <f aca="false">SUMIFS(tabela_registros[VALOR],tabela_registros[MÊS],$AE$1,tabela_registros[DIA],outtotal3059718395107119131143[[#Headers],[14]],tabela_registros[REGISTRO],DADOS!$N$4,tabela_registros[TIPO],DADOS!$P$4,tabela_registros[CATEGORIA],despesavariávelconsolidadoout[[#This Row],[DESPESA VARIÁVEL]])</f>
        <v>0</v>
      </c>
      <c r="S68" s="119" t="n">
        <f aca="false">SUMIFS(tabela_registros[VALOR],tabela_registros[MÊS],$AE$1,tabela_registros[DIA],outtotal3059718395107119131143[[#Headers],[15]],tabela_registros[REGISTRO],DADOS!$N$4,tabela_registros[TIPO],DADOS!$P$4,tabela_registros[CATEGORIA],despesavariávelconsolidadoout[[#This Row],[DESPESA VARIÁVEL]])</f>
        <v>0</v>
      </c>
      <c r="T68" s="119" t="n">
        <f aca="false">SUMIFS(tabela_registros[VALOR],tabela_registros[MÊS],$AE$1,tabela_registros[DIA],outtotal3059718395107119131143[[#Headers],[16]],tabela_registros[REGISTRO],DADOS!$N$4,tabela_registros[TIPO],DADOS!$P$4,tabela_registros[CATEGORIA],despesavariávelconsolidadoout[[#This Row],[DESPESA VARIÁVEL]])</f>
        <v>0</v>
      </c>
      <c r="U68" s="119" t="n">
        <f aca="false">SUMIFS(tabela_registros[VALOR],tabela_registros[MÊS],$AE$1,tabela_registros[DIA],outtotal3059718395107119131143[[#Headers],[17]],tabela_registros[REGISTRO],DADOS!$N$4,tabela_registros[TIPO],DADOS!$P$4,tabela_registros[CATEGORIA],despesavariávelconsolidadoout[[#This Row],[DESPESA VARIÁVEL]])</f>
        <v>0</v>
      </c>
      <c r="V68" s="119" t="n">
        <f aca="false">SUMIFS(tabela_registros[VALOR],tabela_registros[MÊS],$AE$1,tabela_registros[DIA],outtotal3059718395107119131143[[#Headers],[18]],tabela_registros[REGISTRO],DADOS!$N$4,tabela_registros[TIPO],DADOS!$P$4,tabela_registros[CATEGORIA],despesavariávelconsolidadoout[[#This Row],[DESPESA VARIÁVEL]])</f>
        <v>0</v>
      </c>
      <c r="W68" s="119" t="n">
        <f aca="false">SUMIFS(tabela_registros[VALOR],tabela_registros[MÊS],$AE$1,tabela_registros[DIA],outtotal3059718395107119131143[[#Headers],[19]],tabela_registros[REGISTRO],DADOS!$N$4,tabela_registros[TIPO],DADOS!$P$4,tabela_registros[CATEGORIA],despesavariávelconsolidadoout[[#This Row],[DESPESA VARIÁVEL]])</f>
        <v>0</v>
      </c>
      <c r="X68" s="119" t="n">
        <f aca="false">SUMIFS(tabela_registros[VALOR],tabela_registros[MÊS],$AE$1,tabela_registros[DIA],outtotal3059718395107119131143[[#Headers],[20]],tabela_registros[REGISTRO],DADOS!$N$4,tabela_registros[TIPO],DADOS!$P$4,tabela_registros[CATEGORIA],despesavariávelconsolidadoout[[#This Row],[DESPESA VARIÁVEL]])</f>
        <v>0</v>
      </c>
      <c r="Y68" s="119" t="n">
        <f aca="false">SUMIFS(tabela_registros[VALOR],tabela_registros[MÊS],$AE$1,tabela_registros[DIA],outtotal3059718395107119131143[[#Headers],[21]],tabela_registros[REGISTRO],DADOS!$N$4,tabela_registros[TIPO],DADOS!$P$4,tabela_registros[CATEGORIA],despesavariávelconsolidadoout[[#This Row],[DESPESA VARIÁVEL]])</f>
        <v>0</v>
      </c>
      <c r="Z68" s="119" t="n">
        <f aca="false">SUMIFS(tabela_registros[VALOR],tabela_registros[MÊS],$AE$1,tabela_registros[DIA],outtotal3059718395107119131143[[#Headers],[22]],tabela_registros[REGISTRO],DADOS!$N$4,tabela_registros[TIPO],DADOS!$P$4,tabela_registros[CATEGORIA],despesavariávelconsolidadoout[[#This Row],[DESPESA VARIÁVEL]])</f>
        <v>0</v>
      </c>
      <c r="AA68" s="119" t="n">
        <f aca="false">SUMIFS(tabela_registros[VALOR],tabela_registros[MÊS],$AE$1,tabela_registros[DIA],outtotal3059718395107119131143[[#Headers],[23]],tabela_registros[REGISTRO],DADOS!$N$4,tabela_registros[TIPO],DADOS!$P$4,tabela_registros[CATEGORIA],despesavariávelconsolidadoout[[#This Row],[DESPESA VARIÁVEL]])</f>
        <v>0</v>
      </c>
      <c r="AB68" s="119" t="n">
        <f aca="false">SUMIFS(tabela_registros[VALOR],tabela_registros[MÊS],$AE$1,tabela_registros[DIA],outtotal3059718395107119131143[[#Headers],[24]],tabela_registros[REGISTRO],DADOS!$N$4,tabela_registros[TIPO],DADOS!$P$4,tabela_registros[CATEGORIA],despesavariávelconsolidadoout[[#This Row],[DESPESA VARIÁVEL]])</f>
        <v>0</v>
      </c>
      <c r="AC68" s="119" t="n">
        <f aca="false">SUMIFS(tabela_registros[VALOR],tabela_registros[MÊS],$AE$1,tabela_registros[DIA],outtotal3059718395107119131143[[#Headers],[25]],tabela_registros[REGISTRO],DADOS!$N$4,tabela_registros[TIPO],DADOS!$P$4,tabela_registros[CATEGORIA],despesavariávelconsolidadoout[[#This Row],[DESPESA VARIÁVEL]])</f>
        <v>0</v>
      </c>
      <c r="AD68" s="119" t="n">
        <f aca="false">SUMIFS(tabela_registros[VALOR],tabela_registros[MÊS],$AE$1,tabela_registros[DIA],outtotal3059718395107119131143[[#Headers],[26]],tabela_registros[REGISTRO],DADOS!$N$4,tabela_registros[TIPO],DADOS!$P$4,tabela_registros[CATEGORIA],despesavariávelconsolidadoout[[#This Row],[DESPESA VARIÁVEL]])</f>
        <v>0</v>
      </c>
      <c r="AE68" s="119" t="n">
        <f aca="false">SUMIFS(tabela_registros[VALOR],tabela_registros[MÊS],$AE$1,tabela_registros[DIA],outtotal3059718395107119131143[[#Headers],[27]],tabela_registros[REGISTRO],DADOS!$N$4,tabela_registros[TIPO],DADOS!$P$4,tabela_registros[CATEGORIA],despesavariávelconsolidadoout[[#This Row],[DESPESA VARIÁVEL]])</f>
        <v>0</v>
      </c>
      <c r="AF68" s="119" t="n">
        <f aca="false">SUMIFS(tabela_registros[VALOR],tabela_registros[MÊS],$AE$1,tabela_registros[DIA],outtotal3059718395107119131143[[#Headers],[28]],tabela_registros[REGISTRO],DADOS!$N$4,tabela_registros[TIPO],DADOS!$P$4,tabela_registros[CATEGORIA],despesavariávelconsolidadoout[[#This Row],[DESPESA VARIÁVEL]])</f>
        <v>0</v>
      </c>
      <c r="AG68" s="119" t="n">
        <f aca="false">SUMIFS(tabela_registros[VALOR],tabela_registros[MÊS],$AE$1,tabela_registros[DIA],outtotal3059718395107119131143[[#Headers],[29]],tabela_registros[REGISTRO],DADOS!$N$4,tabela_registros[TIPO],DADOS!$P$4,tabela_registros[CATEGORIA],despesavariávelconsolidadoout[[#This Row],[DESPESA VARIÁVEL]])</f>
        <v>0</v>
      </c>
      <c r="AH68" s="119" t="n">
        <f aca="false">SUMIFS(tabela_registros[VALOR],tabela_registros[MÊS],$AE$1,tabela_registros[DIA],outtotal3059718395107119131143[[#Headers],[30]],tabela_registros[REGISTRO],DADOS!$N$4,tabela_registros[TIPO],DADOS!$P$4,tabela_registros[CATEGORIA],despesavariávelconsolidadoout[[#This Row],[DESPESA VARIÁVEL]])</f>
        <v>0</v>
      </c>
      <c r="AI68" s="217" t="n">
        <f aca="false">SUMIFS(tabela_registros[VALOR],tabela_registros[MÊS],$AE$1,tabela_registros[DIA],outtotal3059718395107119131143[[#Headers],[31]],tabela_registros[REGISTRO],DADOS!$N$4,tabela_registros[TIPO],DADOS!$P$4,tabela_registros[CATEGORIA],despesavariávelconsolidadoout[[#This Row],[DESPESA VARIÁVEL]])</f>
        <v>0</v>
      </c>
      <c r="AJ68" s="149" t="n">
        <f aca="false">SUM(despesavariávelconsolidadoout[[#This Row],[1]:[31]])</f>
        <v>0</v>
      </c>
      <c r="AK68" s="143"/>
    </row>
    <row r="69" customFormat="false" ht="18" hidden="false" customHeight="true" outlineLevel="0" collapsed="false">
      <c r="B69" s="143"/>
      <c r="C69" s="144" t="str">
        <f aca="false">DADOS!$T$12</f>
        <v>💊 SAÚDE</v>
      </c>
      <c r="D69" s="145" t="str">
        <f aca="false">IF(despesavariávelconsolidadoout[[#This Row],[TOTAL]]=0,"",IF(OR(despesavariávelconsolidadoout[[#This Row],[TOTAL]]=LARGE($AJ$60:$AJ$72,1),despesavariávelconsolidadoout[[#This Row],[TOTAL]]=LARGE($AJ$60:$AJ$72,2),despesavariávelconsolidadoout[[#This Row],[TOTAL]]=LARGE($AJ$60:$AJ$72,3),despesavariávelconsolidadoout[[#This Row],[TOTAL]]=LARGE($AJ$60:$AJ$72,4),despesavariávelconsolidadoout[[#This Row],[TOTAL]]=LARGE($AJ$60:$AJ$72,5)),DADOS!$I$8,""))</f>
        <v/>
      </c>
      <c r="E69" s="148" t="n">
        <f aca="false">SUMIFS(tabela_registros[VALOR],tabela_registros[MÊS],$AE$1,tabela_registros[DIA],outtotal3059718395107119131143[[#Headers],[1]],tabela_registros[REGISTRO],DADOS!$N$4,tabela_registros[TIPO],DADOS!$P$4,tabela_registros[CATEGORIA],despesavariávelconsolidadoout[[#This Row],[DESPESA VARIÁVEL]])</f>
        <v>0</v>
      </c>
      <c r="F69" s="119" t="n">
        <f aca="false">SUMIFS(tabela_registros[VALOR],tabela_registros[MÊS],$AE$1,tabela_registros[DIA],outtotal3059718395107119131143[[#Headers],[2]],tabela_registros[REGISTRO],DADOS!$N$4,tabela_registros[TIPO],DADOS!$P$4,tabela_registros[CATEGORIA],despesavariávelconsolidadoout[[#This Row],[DESPESA VARIÁVEL]])</f>
        <v>0</v>
      </c>
      <c r="G69" s="119" t="n">
        <f aca="false">SUMIFS(tabela_registros[VALOR],tabela_registros[MÊS],$AE$1,tabela_registros[DIA],outtotal3059718395107119131143[[#Headers],[3]],tabela_registros[REGISTRO],DADOS!$N$4,tabela_registros[TIPO],DADOS!$P$4,tabela_registros[CATEGORIA],despesavariávelconsolidadoout[[#This Row],[DESPESA VARIÁVEL]])</f>
        <v>0</v>
      </c>
      <c r="H69" s="119" t="n">
        <f aca="false">SUMIFS(tabela_registros[VALOR],tabela_registros[MÊS],$AE$1,tabela_registros[DIA],outtotal3059718395107119131143[[#Headers],[4]],tabela_registros[REGISTRO],DADOS!$N$4,tabela_registros[TIPO],DADOS!$P$4,tabela_registros[CATEGORIA],despesavariávelconsolidadoout[[#This Row],[DESPESA VARIÁVEL]])</f>
        <v>0</v>
      </c>
      <c r="I69" s="119" t="n">
        <f aca="false">SUMIFS(tabela_registros[VALOR],tabela_registros[MÊS],$AE$1,tabela_registros[DIA],outtotal3059718395107119131143[[#Headers],[5]],tabela_registros[REGISTRO],DADOS!$N$4,tabela_registros[TIPO],DADOS!$P$4,tabela_registros[CATEGORIA],despesavariávelconsolidadoout[[#This Row],[DESPESA VARIÁVEL]])</f>
        <v>0</v>
      </c>
      <c r="J69" s="119" t="n">
        <f aca="false">SUMIFS(tabela_registros[VALOR],tabela_registros[MÊS],$AE$1,tabela_registros[DIA],outtotal3059718395107119131143[[#Headers],[6]],tabela_registros[REGISTRO],DADOS!$N$4,tabela_registros[TIPO],DADOS!$P$4,tabela_registros[CATEGORIA],despesavariávelconsolidadoout[[#This Row],[DESPESA VARIÁVEL]])</f>
        <v>0</v>
      </c>
      <c r="K69" s="119" t="n">
        <f aca="false">SUMIFS(tabela_registros[VALOR],tabela_registros[MÊS],$AE$1,tabela_registros[DIA],outtotal3059718395107119131143[[#Headers],[7]],tabela_registros[REGISTRO],DADOS!$N$4,tabela_registros[TIPO],DADOS!$P$4,tabela_registros[CATEGORIA],despesavariávelconsolidadoout[[#This Row],[DESPESA VARIÁVEL]])</f>
        <v>0</v>
      </c>
      <c r="L69" s="119" t="n">
        <f aca="false">SUMIFS(tabela_registros[VALOR],tabela_registros[MÊS],$AE$1,tabela_registros[DIA],outtotal3059718395107119131143[[#Headers],[8]],tabela_registros[REGISTRO],DADOS!$N$4,tabela_registros[TIPO],DADOS!$P$4,tabela_registros[CATEGORIA],despesavariávelconsolidadoout[[#This Row],[DESPESA VARIÁVEL]])</f>
        <v>0</v>
      </c>
      <c r="M69" s="119" t="n">
        <f aca="false">SUMIFS(tabela_registros[VALOR],tabela_registros[MÊS],$AE$1,tabela_registros[DIA],outtotal3059718395107119131143[[#Headers],[9]],tabela_registros[REGISTRO],DADOS!$N$4,tabela_registros[TIPO],DADOS!$P$4,tabela_registros[CATEGORIA],despesavariávelconsolidadoout[[#This Row],[DESPESA VARIÁVEL]])</f>
        <v>0</v>
      </c>
      <c r="N69" s="119" t="n">
        <f aca="false">SUMIFS(tabela_registros[VALOR],tabela_registros[MÊS],$AE$1,tabela_registros[DIA],outtotal3059718395107119131143[[#Headers],[10]],tabela_registros[REGISTRO],DADOS!$N$4,tabela_registros[TIPO],DADOS!$P$4,tabela_registros[CATEGORIA],despesavariávelconsolidadoout[[#This Row],[DESPESA VARIÁVEL]])</f>
        <v>0</v>
      </c>
      <c r="O69" s="119" t="n">
        <f aca="false">SUMIFS(tabela_registros[VALOR],tabela_registros[MÊS],$AE$1,tabela_registros[DIA],outtotal3059718395107119131143[[#Headers],[11]],tabela_registros[REGISTRO],DADOS!$N$4,tabela_registros[TIPO],DADOS!$P$4,tabela_registros[CATEGORIA],despesavariávelconsolidadoout[[#This Row],[DESPESA VARIÁVEL]])</f>
        <v>0</v>
      </c>
      <c r="P69" s="119" t="n">
        <f aca="false">SUMIFS(tabela_registros[VALOR],tabela_registros[MÊS],$AE$1,tabela_registros[DIA],outtotal3059718395107119131143[[#Headers],[12]],tabela_registros[REGISTRO],DADOS!$N$4,tabela_registros[TIPO],DADOS!$P$4,tabela_registros[CATEGORIA],despesavariávelconsolidadoout[[#This Row],[DESPESA VARIÁVEL]])</f>
        <v>0</v>
      </c>
      <c r="Q69" s="119" t="n">
        <f aca="false">SUMIFS(tabela_registros[VALOR],tabela_registros[MÊS],$AE$1,tabela_registros[DIA],outtotal3059718395107119131143[[#Headers],[13]],tabela_registros[REGISTRO],DADOS!$N$4,tabela_registros[TIPO],DADOS!$P$4,tabela_registros[CATEGORIA],despesavariávelconsolidadoout[[#This Row],[DESPESA VARIÁVEL]])</f>
        <v>0</v>
      </c>
      <c r="R69" s="119" t="n">
        <f aca="false">SUMIFS(tabela_registros[VALOR],tabela_registros[MÊS],$AE$1,tabela_registros[DIA],outtotal3059718395107119131143[[#Headers],[14]],tabela_registros[REGISTRO],DADOS!$N$4,tabela_registros[TIPO],DADOS!$P$4,tabela_registros[CATEGORIA],despesavariávelconsolidadoout[[#This Row],[DESPESA VARIÁVEL]])</f>
        <v>0</v>
      </c>
      <c r="S69" s="119" t="n">
        <f aca="false">SUMIFS(tabela_registros[VALOR],tabela_registros[MÊS],$AE$1,tabela_registros[DIA],outtotal3059718395107119131143[[#Headers],[15]],tabela_registros[REGISTRO],DADOS!$N$4,tabela_registros[TIPO],DADOS!$P$4,tabela_registros[CATEGORIA],despesavariávelconsolidadoout[[#This Row],[DESPESA VARIÁVEL]])</f>
        <v>0</v>
      </c>
      <c r="T69" s="119" t="n">
        <f aca="false">SUMIFS(tabela_registros[VALOR],tabela_registros[MÊS],$AE$1,tabela_registros[DIA],outtotal3059718395107119131143[[#Headers],[16]],tabela_registros[REGISTRO],DADOS!$N$4,tabela_registros[TIPO],DADOS!$P$4,tabela_registros[CATEGORIA],despesavariávelconsolidadoout[[#This Row],[DESPESA VARIÁVEL]])</f>
        <v>0</v>
      </c>
      <c r="U69" s="119" t="n">
        <f aca="false">SUMIFS(tabela_registros[VALOR],tabela_registros[MÊS],$AE$1,tabela_registros[DIA],outtotal3059718395107119131143[[#Headers],[17]],tabela_registros[REGISTRO],DADOS!$N$4,tabela_registros[TIPO],DADOS!$P$4,tabela_registros[CATEGORIA],despesavariávelconsolidadoout[[#This Row],[DESPESA VARIÁVEL]])</f>
        <v>0</v>
      </c>
      <c r="V69" s="119" t="n">
        <f aca="false">SUMIFS(tabela_registros[VALOR],tabela_registros[MÊS],$AE$1,tabela_registros[DIA],outtotal3059718395107119131143[[#Headers],[18]],tabela_registros[REGISTRO],DADOS!$N$4,tabela_registros[TIPO],DADOS!$P$4,tabela_registros[CATEGORIA],despesavariávelconsolidadoout[[#This Row],[DESPESA VARIÁVEL]])</f>
        <v>0</v>
      </c>
      <c r="W69" s="119" t="n">
        <f aca="false">SUMIFS(tabela_registros[VALOR],tabela_registros[MÊS],$AE$1,tabela_registros[DIA],outtotal3059718395107119131143[[#Headers],[19]],tabela_registros[REGISTRO],DADOS!$N$4,tabela_registros[TIPO],DADOS!$P$4,tabela_registros[CATEGORIA],despesavariávelconsolidadoout[[#This Row],[DESPESA VARIÁVEL]])</f>
        <v>0</v>
      </c>
      <c r="X69" s="119" t="n">
        <f aca="false">SUMIFS(tabela_registros[VALOR],tabela_registros[MÊS],$AE$1,tabela_registros[DIA],outtotal3059718395107119131143[[#Headers],[20]],tabela_registros[REGISTRO],DADOS!$N$4,tabela_registros[TIPO],DADOS!$P$4,tabela_registros[CATEGORIA],despesavariávelconsolidadoout[[#This Row],[DESPESA VARIÁVEL]])</f>
        <v>0</v>
      </c>
      <c r="Y69" s="119" t="n">
        <f aca="false">SUMIFS(tabela_registros[VALOR],tabela_registros[MÊS],$AE$1,tabela_registros[DIA],outtotal3059718395107119131143[[#Headers],[21]],tabela_registros[REGISTRO],DADOS!$N$4,tabela_registros[TIPO],DADOS!$P$4,tabela_registros[CATEGORIA],despesavariávelconsolidadoout[[#This Row],[DESPESA VARIÁVEL]])</f>
        <v>0</v>
      </c>
      <c r="Z69" s="119" t="n">
        <f aca="false">SUMIFS(tabela_registros[VALOR],tabela_registros[MÊS],$AE$1,tabela_registros[DIA],outtotal3059718395107119131143[[#Headers],[22]],tabela_registros[REGISTRO],DADOS!$N$4,tabela_registros[TIPO],DADOS!$P$4,tabela_registros[CATEGORIA],despesavariávelconsolidadoout[[#This Row],[DESPESA VARIÁVEL]])</f>
        <v>0</v>
      </c>
      <c r="AA69" s="119" t="n">
        <f aca="false">SUMIFS(tabela_registros[VALOR],tabela_registros[MÊS],$AE$1,tabela_registros[DIA],outtotal3059718395107119131143[[#Headers],[23]],tabela_registros[REGISTRO],DADOS!$N$4,tabela_registros[TIPO],DADOS!$P$4,tabela_registros[CATEGORIA],despesavariávelconsolidadoout[[#This Row],[DESPESA VARIÁVEL]])</f>
        <v>0</v>
      </c>
      <c r="AB69" s="119" t="n">
        <f aca="false">SUMIFS(tabela_registros[VALOR],tabela_registros[MÊS],$AE$1,tabela_registros[DIA],outtotal3059718395107119131143[[#Headers],[24]],tabela_registros[REGISTRO],DADOS!$N$4,tabela_registros[TIPO],DADOS!$P$4,tabela_registros[CATEGORIA],despesavariávelconsolidadoout[[#This Row],[DESPESA VARIÁVEL]])</f>
        <v>0</v>
      </c>
      <c r="AC69" s="119" t="n">
        <f aca="false">SUMIFS(tabela_registros[VALOR],tabela_registros[MÊS],$AE$1,tabela_registros[DIA],outtotal3059718395107119131143[[#Headers],[25]],tabela_registros[REGISTRO],DADOS!$N$4,tabela_registros[TIPO],DADOS!$P$4,tabela_registros[CATEGORIA],despesavariávelconsolidadoout[[#This Row],[DESPESA VARIÁVEL]])</f>
        <v>0</v>
      </c>
      <c r="AD69" s="119" t="n">
        <f aca="false">SUMIFS(tabela_registros[VALOR],tabela_registros[MÊS],$AE$1,tabela_registros[DIA],outtotal3059718395107119131143[[#Headers],[26]],tabela_registros[REGISTRO],DADOS!$N$4,tabela_registros[TIPO],DADOS!$P$4,tabela_registros[CATEGORIA],despesavariávelconsolidadoout[[#This Row],[DESPESA VARIÁVEL]])</f>
        <v>0</v>
      </c>
      <c r="AE69" s="119" t="n">
        <f aca="false">SUMIFS(tabela_registros[VALOR],tabela_registros[MÊS],$AE$1,tabela_registros[DIA],outtotal3059718395107119131143[[#Headers],[27]],tabela_registros[REGISTRO],DADOS!$N$4,tabela_registros[TIPO],DADOS!$P$4,tabela_registros[CATEGORIA],despesavariávelconsolidadoout[[#This Row],[DESPESA VARIÁVEL]])</f>
        <v>0</v>
      </c>
      <c r="AF69" s="119" t="n">
        <f aca="false">SUMIFS(tabela_registros[VALOR],tabela_registros[MÊS],$AE$1,tabela_registros[DIA],outtotal3059718395107119131143[[#Headers],[28]],tabela_registros[REGISTRO],DADOS!$N$4,tabela_registros[TIPO],DADOS!$P$4,tabela_registros[CATEGORIA],despesavariávelconsolidadoout[[#This Row],[DESPESA VARIÁVEL]])</f>
        <v>0</v>
      </c>
      <c r="AG69" s="119" t="n">
        <f aca="false">SUMIFS(tabela_registros[VALOR],tabela_registros[MÊS],$AE$1,tabela_registros[DIA],outtotal3059718395107119131143[[#Headers],[29]],tabela_registros[REGISTRO],DADOS!$N$4,tabela_registros[TIPO],DADOS!$P$4,tabela_registros[CATEGORIA],despesavariávelconsolidadoout[[#This Row],[DESPESA VARIÁVEL]])</f>
        <v>0</v>
      </c>
      <c r="AH69" s="119" t="n">
        <f aca="false">SUMIFS(tabela_registros[VALOR],tabela_registros[MÊS],$AE$1,tabela_registros[DIA],outtotal3059718395107119131143[[#Headers],[30]],tabela_registros[REGISTRO],DADOS!$N$4,tabela_registros[TIPO],DADOS!$P$4,tabela_registros[CATEGORIA],despesavariávelconsolidadoout[[#This Row],[DESPESA VARIÁVEL]])</f>
        <v>0</v>
      </c>
      <c r="AI69" s="217" t="n">
        <f aca="false">SUMIFS(tabela_registros[VALOR],tabela_registros[MÊS],$AE$1,tabela_registros[DIA],outtotal3059718395107119131143[[#Headers],[31]],tabela_registros[REGISTRO],DADOS!$N$4,tabela_registros[TIPO],DADOS!$P$4,tabela_registros[CATEGORIA],despesavariávelconsolidadoout[[#This Row],[DESPESA VARIÁVEL]])</f>
        <v>0</v>
      </c>
      <c r="AJ69" s="149" t="n">
        <f aca="false">SUM(despesavariávelconsolidadoout[[#This Row],[1]:[31]])</f>
        <v>0</v>
      </c>
      <c r="AK69" s="143"/>
    </row>
    <row r="70" customFormat="false" ht="18" hidden="false" customHeight="true" outlineLevel="0" collapsed="false">
      <c r="B70" s="143"/>
      <c r="C70" s="144" t="str">
        <f aca="false">DADOS!$T$13</f>
        <v>🚍 TRANSPORTE</v>
      </c>
      <c r="D70" s="145" t="str">
        <f aca="false">IF(despesavariávelconsolidadoout[[#This Row],[TOTAL]]=0,"",IF(OR(despesavariávelconsolidadoout[[#This Row],[TOTAL]]=LARGE($AJ$60:$AJ$72,1),despesavariávelconsolidadoout[[#This Row],[TOTAL]]=LARGE($AJ$60:$AJ$72,2),despesavariávelconsolidadoout[[#This Row],[TOTAL]]=LARGE($AJ$60:$AJ$72,3),despesavariávelconsolidadoout[[#This Row],[TOTAL]]=LARGE($AJ$60:$AJ$72,4),despesavariávelconsolidadoout[[#This Row],[TOTAL]]=LARGE($AJ$60:$AJ$72,5)),DADOS!$I$8,""))</f>
        <v/>
      </c>
      <c r="E70" s="148" t="n">
        <f aca="false">SUMIFS(tabela_registros[VALOR],tabela_registros[MÊS],$AE$1,tabela_registros[DIA],outtotal3059718395107119131143[[#Headers],[1]],tabela_registros[REGISTRO],DADOS!$N$4,tabela_registros[TIPO],DADOS!$P$4,tabela_registros[CATEGORIA],despesavariávelconsolidadoout[[#This Row],[DESPESA VARIÁVEL]])</f>
        <v>0</v>
      </c>
      <c r="F70" s="119" t="n">
        <f aca="false">SUMIFS(tabela_registros[VALOR],tabela_registros[MÊS],$AE$1,tabela_registros[DIA],outtotal3059718395107119131143[[#Headers],[2]],tabela_registros[REGISTRO],DADOS!$N$4,tabela_registros[TIPO],DADOS!$P$4,tabela_registros[CATEGORIA],despesavariávelconsolidadoout[[#This Row],[DESPESA VARIÁVEL]])</f>
        <v>0</v>
      </c>
      <c r="G70" s="119" t="n">
        <f aca="false">SUMIFS(tabela_registros[VALOR],tabela_registros[MÊS],$AE$1,tabela_registros[DIA],outtotal3059718395107119131143[[#Headers],[3]],tabela_registros[REGISTRO],DADOS!$N$4,tabela_registros[TIPO],DADOS!$P$4,tabela_registros[CATEGORIA],despesavariávelconsolidadoout[[#This Row],[DESPESA VARIÁVEL]])</f>
        <v>0</v>
      </c>
      <c r="H70" s="119" t="n">
        <f aca="false">SUMIFS(tabela_registros[VALOR],tabela_registros[MÊS],$AE$1,tabela_registros[DIA],outtotal3059718395107119131143[[#Headers],[4]],tabela_registros[REGISTRO],DADOS!$N$4,tabela_registros[TIPO],DADOS!$P$4,tabela_registros[CATEGORIA],despesavariávelconsolidadoout[[#This Row],[DESPESA VARIÁVEL]])</f>
        <v>0</v>
      </c>
      <c r="I70" s="119" t="n">
        <f aca="false">SUMIFS(tabela_registros[VALOR],tabela_registros[MÊS],$AE$1,tabela_registros[DIA],outtotal3059718395107119131143[[#Headers],[5]],tabela_registros[REGISTRO],DADOS!$N$4,tabela_registros[TIPO],DADOS!$P$4,tabela_registros[CATEGORIA],despesavariávelconsolidadoout[[#This Row],[DESPESA VARIÁVEL]])</f>
        <v>0</v>
      </c>
      <c r="J70" s="119" t="n">
        <f aca="false">SUMIFS(tabela_registros[VALOR],tabela_registros[MÊS],$AE$1,tabela_registros[DIA],outtotal3059718395107119131143[[#Headers],[6]],tabela_registros[REGISTRO],DADOS!$N$4,tabela_registros[TIPO],DADOS!$P$4,tabela_registros[CATEGORIA],despesavariávelconsolidadoout[[#This Row],[DESPESA VARIÁVEL]])</f>
        <v>0</v>
      </c>
      <c r="K70" s="119" t="n">
        <f aca="false">SUMIFS(tabela_registros[VALOR],tabela_registros[MÊS],$AE$1,tabela_registros[DIA],outtotal3059718395107119131143[[#Headers],[7]],tabela_registros[REGISTRO],DADOS!$N$4,tabela_registros[TIPO],DADOS!$P$4,tabela_registros[CATEGORIA],despesavariávelconsolidadoout[[#This Row],[DESPESA VARIÁVEL]])</f>
        <v>0</v>
      </c>
      <c r="L70" s="119" t="n">
        <f aca="false">SUMIFS(tabela_registros[VALOR],tabela_registros[MÊS],$AE$1,tabela_registros[DIA],outtotal3059718395107119131143[[#Headers],[8]],tabela_registros[REGISTRO],DADOS!$N$4,tabela_registros[TIPO],DADOS!$P$4,tabela_registros[CATEGORIA],despesavariávelconsolidadoout[[#This Row],[DESPESA VARIÁVEL]])</f>
        <v>0</v>
      </c>
      <c r="M70" s="119" t="n">
        <f aca="false">SUMIFS(tabela_registros[VALOR],tabela_registros[MÊS],$AE$1,tabela_registros[DIA],outtotal3059718395107119131143[[#Headers],[9]],tabela_registros[REGISTRO],DADOS!$N$4,tabela_registros[TIPO],DADOS!$P$4,tabela_registros[CATEGORIA],despesavariávelconsolidadoout[[#This Row],[DESPESA VARIÁVEL]])</f>
        <v>0</v>
      </c>
      <c r="N70" s="119" t="n">
        <f aca="false">SUMIFS(tabela_registros[VALOR],tabela_registros[MÊS],$AE$1,tabela_registros[DIA],outtotal3059718395107119131143[[#Headers],[10]],tabela_registros[REGISTRO],DADOS!$N$4,tabela_registros[TIPO],DADOS!$P$4,tabela_registros[CATEGORIA],despesavariávelconsolidadoout[[#This Row],[DESPESA VARIÁVEL]])</f>
        <v>0</v>
      </c>
      <c r="O70" s="119" t="n">
        <f aca="false">SUMIFS(tabela_registros[VALOR],tabela_registros[MÊS],$AE$1,tabela_registros[DIA],outtotal3059718395107119131143[[#Headers],[11]],tabela_registros[REGISTRO],DADOS!$N$4,tabela_registros[TIPO],DADOS!$P$4,tabela_registros[CATEGORIA],despesavariávelconsolidadoout[[#This Row],[DESPESA VARIÁVEL]])</f>
        <v>0</v>
      </c>
      <c r="P70" s="119" t="n">
        <f aca="false">SUMIFS(tabela_registros[VALOR],tabela_registros[MÊS],$AE$1,tabela_registros[DIA],outtotal3059718395107119131143[[#Headers],[12]],tabela_registros[REGISTRO],DADOS!$N$4,tabela_registros[TIPO],DADOS!$P$4,tabela_registros[CATEGORIA],despesavariávelconsolidadoout[[#This Row],[DESPESA VARIÁVEL]])</f>
        <v>0</v>
      </c>
      <c r="Q70" s="119" t="n">
        <f aca="false">SUMIFS(tabela_registros[VALOR],tabela_registros[MÊS],$AE$1,tabela_registros[DIA],outtotal3059718395107119131143[[#Headers],[13]],tabela_registros[REGISTRO],DADOS!$N$4,tabela_registros[TIPO],DADOS!$P$4,tabela_registros[CATEGORIA],despesavariávelconsolidadoout[[#This Row],[DESPESA VARIÁVEL]])</f>
        <v>0</v>
      </c>
      <c r="R70" s="119" t="n">
        <f aca="false">SUMIFS(tabela_registros[VALOR],tabela_registros[MÊS],$AE$1,tabela_registros[DIA],outtotal3059718395107119131143[[#Headers],[14]],tabela_registros[REGISTRO],DADOS!$N$4,tabela_registros[TIPO],DADOS!$P$4,tabela_registros[CATEGORIA],despesavariávelconsolidadoout[[#This Row],[DESPESA VARIÁVEL]])</f>
        <v>0</v>
      </c>
      <c r="S70" s="119" t="n">
        <f aca="false">SUMIFS(tabela_registros[VALOR],tabela_registros[MÊS],$AE$1,tabela_registros[DIA],outtotal3059718395107119131143[[#Headers],[15]],tabela_registros[REGISTRO],DADOS!$N$4,tabela_registros[TIPO],DADOS!$P$4,tabela_registros[CATEGORIA],despesavariávelconsolidadoout[[#This Row],[DESPESA VARIÁVEL]])</f>
        <v>0</v>
      </c>
      <c r="T70" s="119" t="n">
        <f aca="false">SUMIFS(tabela_registros[VALOR],tabela_registros[MÊS],$AE$1,tabela_registros[DIA],outtotal3059718395107119131143[[#Headers],[16]],tabela_registros[REGISTRO],DADOS!$N$4,tabela_registros[TIPO],DADOS!$P$4,tabela_registros[CATEGORIA],despesavariávelconsolidadoout[[#This Row],[DESPESA VARIÁVEL]])</f>
        <v>0</v>
      </c>
      <c r="U70" s="119" t="n">
        <f aca="false">SUMIFS(tabela_registros[VALOR],tabela_registros[MÊS],$AE$1,tabela_registros[DIA],outtotal3059718395107119131143[[#Headers],[17]],tabela_registros[REGISTRO],DADOS!$N$4,tabela_registros[TIPO],DADOS!$P$4,tabela_registros[CATEGORIA],despesavariávelconsolidadoout[[#This Row],[DESPESA VARIÁVEL]])</f>
        <v>0</v>
      </c>
      <c r="V70" s="119" t="n">
        <f aca="false">SUMIFS(tabela_registros[VALOR],tabela_registros[MÊS],$AE$1,tabela_registros[DIA],outtotal3059718395107119131143[[#Headers],[18]],tabela_registros[REGISTRO],DADOS!$N$4,tabela_registros[TIPO],DADOS!$P$4,tabela_registros[CATEGORIA],despesavariávelconsolidadoout[[#This Row],[DESPESA VARIÁVEL]])</f>
        <v>0</v>
      </c>
      <c r="W70" s="119" t="n">
        <f aca="false">SUMIFS(tabela_registros[VALOR],tabela_registros[MÊS],$AE$1,tabela_registros[DIA],outtotal3059718395107119131143[[#Headers],[19]],tabela_registros[REGISTRO],DADOS!$N$4,tabela_registros[TIPO],DADOS!$P$4,tabela_registros[CATEGORIA],despesavariávelconsolidadoout[[#This Row],[DESPESA VARIÁVEL]])</f>
        <v>0</v>
      </c>
      <c r="X70" s="119" t="n">
        <f aca="false">SUMIFS(tabela_registros[VALOR],tabela_registros[MÊS],$AE$1,tabela_registros[DIA],outtotal3059718395107119131143[[#Headers],[20]],tabela_registros[REGISTRO],DADOS!$N$4,tabela_registros[TIPO],DADOS!$P$4,tabela_registros[CATEGORIA],despesavariávelconsolidadoout[[#This Row],[DESPESA VARIÁVEL]])</f>
        <v>0</v>
      </c>
      <c r="Y70" s="119" t="n">
        <f aca="false">SUMIFS(tabela_registros[VALOR],tabela_registros[MÊS],$AE$1,tabela_registros[DIA],outtotal3059718395107119131143[[#Headers],[21]],tabela_registros[REGISTRO],DADOS!$N$4,tabela_registros[TIPO],DADOS!$P$4,tabela_registros[CATEGORIA],despesavariávelconsolidadoout[[#This Row],[DESPESA VARIÁVEL]])</f>
        <v>0</v>
      </c>
      <c r="Z70" s="119" t="n">
        <f aca="false">SUMIFS(tabela_registros[VALOR],tabela_registros[MÊS],$AE$1,tabela_registros[DIA],outtotal3059718395107119131143[[#Headers],[22]],tabela_registros[REGISTRO],DADOS!$N$4,tabela_registros[TIPO],DADOS!$P$4,tabela_registros[CATEGORIA],despesavariávelconsolidadoout[[#This Row],[DESPESA VARIÁVEL]])</f>
        <v>0</v>
      </c>
      <c r="AA70" s="119" t="n">
        <f aca="false">SUMIFS(tabela_registros[VALOR],tabela_registros[MÊS],$AE$1,tabela_registros[DIA],outtotal3059718395107119131143[[#Headers],[23]],tabela_registros[REGISTRO],DADOS!$N$4,tabela_registros[TIPO],DADOS!$P$4,tabela_registros[CATEGORIA],despesavariávelconsolidadoout[[#This Row],[DESPESA VARIÁVEL]])</f>
        <v>0</v>
      </c>
      <c r="AB70" s="119" t="n">
        <f aca="false">SUMIFS(tabela_registros[VALOR],tabela_registros[MÊS],$AE$1,tabela_registros[DIA],outtotal3059718395107119131143[[#Headers],[24]],tabela_registros[REGISTRO],DADOS!$N$4,tabela_registros[TIPO],DADOS!$P$4,tabela_registros[CATEGORIA],despesavariávelconsolidadoout[[#This Row],[DESPESA VARIÁVEL]])</f>
        <v>0</v>
      </c>
      <c r="AC70" s="119" t="n">
        <f aca="false">SUMIFS(tabela_registros[VALOR],tabela_registros[MÊS],$AE$1,tabela_registros[DIA],outtotal3059718395107119131143[[#Headers],[25]],tabela_registros[REGISTRO],DADOS!$N$4,tabela_registros[TIPO],DADOS!$P$4,tabela_registros[CATEGORIA],despesavariávelconsolidadoout[[#This Row],[DESPESA VARIÁVEL]])</f>
        <v>0</v>
      </c>
      <c r="AD70" s="119" t="n">
        <f aca="false">SUMIFS(tabela_registros[VALOR],tabela_registros[MÊS],$AE$1,tabela_registros[DIA],outtotal3059718395107119131143[[#Headers],[26]],tabela_registros[REGISTRO],DADOS!$N$4,tabela_registros[TIPO],DADOS!$P$4,tabela_registros[CATEGORIA],despesavariávelconsolidadoout[[#This Row],[DESPESA VARIÁVEL]])</f>
        <v>0</v>
      </c>
      <c r="AE70" s="119" t="n">
        <f aca="false">SUMIFS(tabela_registros[VALOR],tabela_registros[MÊS],$AE$1,tabela_registros[DIA],outtotal3059718395107119131143[[#Headers],[27]],tabela_registros[REGISTRO],DADOS!$N$4,tabela_registros[TIPO],DADOS!$P$4,tabela_registros[CATEGORIA],despesavariávelconsolidadoout[[#This Row],[DESPESA VARIÁVEL]])</f>
        <v>0</v>
      </c>
      <c r="AF70" s="119" t="n">
        <f aca="false">SUMIFS(tabela_registros[VALOR],tabela_registros[MÊS],$AE$1,tabela_registros[DIA],outtotal3059718395107119131143[[#Headers],[28]],tabela_registros[REGISTRO],DADOS!$N$4,tabela_registros[TIPO],DADOS!$P$4,tabela_registros[CATEGORIA],despesavariávelconsolidadoout[[#This Row],[DESPESA VARIÁVEL]])</f>
        <v>0</v>
      </c>
      <c r="AG70" s="119" t="n">
        <f aca="false">SUMIFS(tabela_registros[VALOR],tabela_registros[MÊS],$AE$1,tabela_registros[DIA],outtotal3059718395107119131143[[#Headers],[29]],tabela_registros[REGISTRO],DADOS!$N$4,tabela_registros[TIPO],DADOS!$P$4,tabela_registros[CATEGORIA],despesavariávelconsolidadoout[[#This Row],[DESPESA VARIÁVEL]])</f>
        <v>0</v>
      </c>
      <c r="AH70" s="119" t="n">
        <f aca="false">SUMIFS(tabela_registros[VALOR],tabela_registros[MÊS],$AE$1,tabela_registros[DIA],outtotal3059718395107119131143[[#Headers],[30]],tabela_registros[REGISTRO],DADOS!$N$4,tabela_registros[TIPO],DADOS!$P$4,tabela_registros[CATEGORIA],despesavariávelconsolidadoout[[#This Row],[DESPESA VARIÁVEL]])</f>
        <v>0</v>
      </c>
      <c r="AI70" s="217" t="n">
        <f aca="false">SUMIFS(tabela_registros[VALOR],tabela_registros[MÊS],$AE$1,tabela_registros[DIA],outtotal3059718395107119131143[[#Headers],[31]],tabela_registros[REGISTRO],DADOS!$N$4,tabela_registros[TIPO],DADOS!$P$4,tabela_registros[CATEGORIA],despesavariávelconsolidadoout[[#This Row],[DESPESA VARIÁVEL]])</f>
        <v>0</v>
      </c>
      <c r="AJ70" s="149" t="n">
        <f aca="false">SUM(despesavariávelconsolidadoout[[#This Row],[1]:[31]])</f>
        <v>0</v>
      </c>
      <c r="AK70" s="143"/>
    </row>
    <row r="71" customFormat="false" ht="18" hidden="false" customHeight="true" outlineLevel="0" collapsed="false">
      <c r="B71" s="143"/>
      <c r="C71" s="144" t="str">
        <f aca="false">DADOS!$T$14</f>
        <v>🛍️ VESTUÁRIO</v>
      </c>
      <c r="D71" s="145" t="str">
        <f aca="false">IF(despesavariávelconsolidadoout[[#This Row],[TOTAL]]=0,"",IF(OR(despesavariávelconsolidadoout[[#This Row],[TOTAL]]=LARGE($AJ$60:$AJ$72,1),despesavariávelconsolidadoout[[#This Row],[TOTAL]]=LARGE($AJ$60:$AJ$72,2),despesavariávelconsolidadoout[[#This Row],[TOTAL]]=LARGE($AJ$60:$AJ$72,3),despesavariávelconsolidadoout[[#This Row],[TOTAL]]=LARGE($AJ$60:$AJ$72,4),despesavariávelconsolidadoout[[#This Row],[TOTAL]]=LARGE($AJ$60:$AJ$72,5)),DADOS!$I$8,""))</f>
        <v/>
      </c>
      <c r="E71" s="148" t="n">
        <f aca="false">SUMIFS(tabela_registros[VALOR],tabela_registros[MÊS],$AE$1,tabela_registros[DIA],outtotal3059718395107119131143[[#Headers],[1]],tabela_registros[REGISTRO],DADOS!$N$4,tabela_registros[TIPO],DADOS!$P$4,tabela_registros[CATEGORIA],despesavariávelconsolidadoout[[#This Row],[DESPESA VARIÁVEL]])</f>
        <v>0</v>
      </c>
      <c r="F71" s="119" t="n">
        <f aca="false">SUMIFS(tabela_registros[VALOR],tabela_registros[MÊS],$AE$1,tabela_registros[DIA],outtotal3059718395107119131143[[#Headers],[2]],tabela_registros[REGISTRO],DADOS!$N$4,tabela_registros[TIPO],DADOS!$P$4,tabela_registros[CATEGORIA],despesavariávelconsolidadoout[[#This Row],[DESPESA VARIÁVEL]])</f>
        <v>0</v>
      </c>
      <c r="G71" s="119" t="n">
        <f aca="false">SUMIFS(tabela_registros[VALOR],tabela_registros[MÊS],$AE$1,tabela_registros[DIA],outtotal3059718395107119131143[[#Headers],[3]],tabela_registros[REGISTRO],DADOS!$N$4,tabela_registros[TIPO],DADOS!$P$4,tabela_registros[CATEGORIA],despesavariávelconsolidadoout[[#This Row],[DESPESA VARIÁVEL]])</f>
        <v>0</v>
      </c>
      <c r="H71" s="119" t="n">
        <f aca="false">SUMIFS(tabela_registros[VALOR],tabela_registros[MÊS],$AE$1,tabela_registros[DIA],outtotal3059718395107119131143[[#Headers],[4]],tabela_registros[REGISTRO],DADOS!$N$4,tabela_registros[TIPO],DADOS!$P$4,tabela_registros[CATEGORIA],despesavariávelconsolidadoout[[#This Row],[DESPESA VARIÁVEL]])</f>
        <v>0</v>
      </c>
      <c r="I71" s="119" t="n">
        <f aca="false">SUMIFS(tabela_registros[VALOR],tabela_registros[MÊS],$AE$1,tabela_registros[DIA],outtotal3059718395107119131143[[#Headers],[5]],tabela_registros[REGISTRO],DADOS!$N$4,tabela_registros[TIPO],DADOS!$P$4,tabela_registros[CATEGORIA],despesavariávelconsolidadoout[[#This Row],[DESPESA VARIÁVEL]])</f>
        <v>0</v>
      </c>
      <c r="J71" s="119" t="n">
        <f aca="false">SUMIFS(tabela_registros[VALOR],tabela_registros[MÊS],$AE$1,tabela_registros[DIA],outtotal3059718395107119131143[[#Headers],[6]],tabela_registros[REGISTRO],DADOS!$N$4,tabela_registros[TIPO],DADOS!$P$4,tabela_registros[CATEGORIA],despesavariávelconsolidadoout[[#This Row],[DESPESA VARIÁVEL]])</f>
        <v>0</v>
      </c>
      <c r="K71" s="119" t="n">
        <f aca="false">SUMIFS(tabela_registros[VALOR],tabela_registros[MÊS],$AE$1,tabela_registros[DIA],outtotal3059718395107119131143[[#Headers],[7]],tabela_registros[REGISTRO],DADOS!$N$4,tabela_registros[TIPO],DADOS!$P$4,tabela_registros[CATEGORIA],despesavariávelconsolidadoout[[#This Row],[DESPESA VARIÁVEL]])</f>
        <v>0</v>
      </c>
      <c r="L71" s="119" t="n">
        <f aca="false">SUMIFS(tabela_registros[VALOR],tabela_registros[MÊS],$AE$1,tabela_registros[DIA],outtotal3059718395107119131143[[#Headers],[8]],tabela_registros[REGISTRO],DADOS!$N$4,tabela_registros[TIPO],DADOS!$P$4,tabela_registros[CATEGORIA],despesavariávelconsolidadoout[[#This Row],[DESPESA VARIÁVEL]])</f>
        <v>0</v>
      </c>
      <c r="M71" s="119" t="n">
        <f aca="false">SUMIFS(tabela_registros[VALOR],tabela_registros[MÊS],$AE$1,tabela_registros[DIA],outtotal3059718395107119131143[[#Headers],[9]],tabela_registros[REGISTRO],DADOS!$N$4,tabela_registros[TIPO],DADOS!$P$4,tabela_registros[CATEGORIA],despesavariávelconsolidadoout[[#This Row],[DESPESA VARIÁVEL]])</f>
        <v>0</v>
      </c>
      <c r="N71" s="119" t="n">
        <f aca="false">SUMIFS(tabela_registros[VALOR],tabela_registros[MÊS],$AE$1,tabela_registros[DIA],outtotal3059718395107119131143[[#Headers],[10]],tabela_registros[REGISTRO],DADOS!$N$4,tabela_registros[TIPO],DADOS!$P$4,tabela_registros[CATEGORIA],despesavariávelconsolidadoout[[#This Row],[DESPESA VARIÁVEL]])</f>
        <v>0</v>
      </c>
      <c r="O71" s="119" t="n">
        <f aca="false">SUMIFS(tabela_registros[VALOR],tabela_registros[MÊS],$AE$1,tabela_registros[DIA],outtotal3059718395107119131143[[#Headers],[11]],tabela_registros[REGISTRO],DADOS!$N$4,tabela_registros[TIPO],DADOS!$P$4,tabela_registros[CATEGORIA],despesavariávelconsolidadoout[[#This Row],[DESPESA VARIÁVEL]])</f>
        <v>0</v>
      </c>
      <c r="P71" s="119" t="n">
        <f aca="false">SUMIFS(tabela_registros[VALOR],tabela_registros[MÊS],$AE$1,tabela_registros[DIA],outtotal3059718395107119131143[[#Headers],[12]],tabela_registros[REGISTRO],DADOS!$N$4,tabela_registros[TIPO],DADOS!$P$4,tabela_registros[CATEGORIA],despesavariávelconsolidadoout[[#This Row],[DESPESA VARIÁVEL]])</f>
        <v>0</v>
      </c>
      <c r="Q71" s="119" t="n">
        <f aca="false">SUMIFS(tabela_registros[VALOR],tabela_registros[MÊS],$AE$1,tabela_registros[DIA],outtotal3059718395107119131143[[#Headers],[13]],tabela_registros[REGISTRO],DADOS!$N$4,tabela_registros[TIPO],DADOS!$P$4,tabela_registros[CATEGORIA],despesavariávelconsolidadoout[[#This Row],[DESPESA VARIÁVEL]])</f>
        <v>0</v>
      </c>
      <c r="R71" s="119" t="n">
        <f aca="false">SUMIFS(tabela_registros[VALOR],tabela_registros[MÊS],$AE$1,tabela_registros[DIA],outtotal3059718395107119131143[[#Headers],[14]],tabela_registros[REGISTRO],DADOS!$N$4,tabela_registros[TIPO],DADOS!$P$4,tabela_registros[CATEGORIA],despesavariávelconsolidadoout[[#This Row],[DESPESA VARIÁVEL]])</f>
        <v>0</v>
      </c>
      <c r="S71" s="119" t="n">
        <f aca="false">SUMIFS(tabela_registros[VALOR],tabela_registros[MÊS],$AE$1,tabela_registros[DIA],outtotal3059718395107119131143[[#Headers],[15]],tabela_registros[REGISTRO],DADOS!$N$4,tabela_registros[TIPO],DADOS!$P$4,tabela_registros[CATEGORIA],despesavariávelconsolidadoout[[#This Row],[DESPESA VARIÁVEL]])</f>
        <v>0</v>
      </c>
      <c r="T71" s="119" t="n">
        <f aca="false">SUMIFS(tabela_registros[VALOR],tabela_registros[MÊS],$AE$1,tabela_registros[DIA],outtotal3059718395107119131143[[#Headers],[16]],tabela_registros[REGISTRO],DADOS!$N$4,tabela_registros[TIPO],DADOS!$P$4,tabela_registros[CATEGORIA],despesavariávelconsolidadoout[[#This Row],[DESPESA VARIÁVEL]])</f>
        <v>0</v>
      </c>
      <c r="U71" s="119" t="n">
        <f aca="false">SUMIFS(tabela_registros[VALOR],tabela_registros[MÊS],$AE$1,tabela_registros[DIA],outtotal3059718395107119131143[[#Headers],[17]],tabela_registros[REGISTRO],DADOS!$N$4,tabela_registros[TIPO],DADOS!$P$4,tabela_registros[CATEGORIA],despesavariávelconsolidadoout[[#This Row],[DESPESA VARIÁVEL]])</f>
        <v>0</v>
      </c>
      <c r="V71" s="119" t="n">
        <f aca="false">SUMIFS(tabela_registros[VALOR],tabela_registros[MÊS],$AE$1,tabela_registros[DIA],outtotal3059718395107119131143[[#Headers],[18]],tabela_registros[REGISTRO],DADOS!$N$4,tabela_registros[TIPO],DADOS!$P$4,tabela_registros[CATEGORIA],despesavariávelconsolidadoout[[#This Row],[DESPESA VARIÁVEL]])</f>
        <v>0</v>
      </c>
      <c r="W71" s="119" t="n">
        <f aca="false">SUMIFS(tabela_registros[VALOR],tabela_registros[MÊS],$AE$1,tabela_registros[DIA],outtotal3059718395107119131143[[#Headers],[19]],tabela_registros[REGISTRO],DADOS!$N$4,tabela_registros[TIPO],DADOS!$P$4,tabela_registros[CATEGORIA],despesavariávelconsolidadoout[[#This Row],[DESPESA VARIÁVEL]])</f>
        <v>0</v>
      </c>
      <c r="X71" s="119" t="n">
        <f aca="false">SUMIFS(tabela_registros[VALOR],tabela_registros[MÊS],$AE$1,tabela_registros[DIA],outtotal3059718395107119131143[[#Headers],[20]],tabela_registros[REGISTRO],DADOS!$N$4,tabela_registros[TIPO],DADOS!$P$4,tabela_registros[CATEGORIA],despesavariávelconsolidadoout[[#This Row],[DESPESA VARIÁVEL]])</f>
        <v>0</v>
      </c>
      <c r="Y71" s="119" t="n">
        <f aca="false">SUMIFS(tabela_registros[VALOR],tabela_registros[MÊS],$AE$1,tabela_registros[DIA],outtotal3059718395107119131143[[#Headers],[21]],tabela_registros[REGISTRO],DADOS!$N$4,tabela_registros[TIPO],DADOS!$P$4,tabela_registros[CATEGORIA],despesavariávelconsolidadoout[[#This Row],[DESPESA VARIÁVEL]])</f>
        <v>0</v>
      </c>
      <c r="Z71" s="119" t="n">
        <f aca="false">SUMIFS(tabela_registros[VALOR],tabela_registros[MÊS],$AE$1,tabela_registros[DIA],outtotal3059718395107119131143[[#Headers],[22]],tabela_registros[REGISTRO],DADOS!$N$4,tabela_registros[TIPO],DADOS!$P$4,tabela_registros[CATEGORIA],despesavariávelconsolidadoout[[#This Row],[DESPESA VARIÁVEL]])</f>
        <v>0</v>
      </c>
      <c r="AA71" s="119" t="n">
        <f aca="false">SUMIFS(tabela_registros[VALOR],tabela_registros[MÊS],$AE$1,tabela_registros[DIA],outtotal3059718395107119131143[[#Headers],[23]],tabela_registros[REGISTRO],DADOS!$N$4,tabela_registros[TIPO],DADOS!$P$4,tabela_registros[CATEGORIA],despesavariávelconsolidadoout[[#This Row],[DESPESA VARIÁVEL]])</f>
        <v>0</v>
      </c>
      <c r="AB71" s="119" t="n">
        <f aca="false">SUMIFS(tabela_registros[VALOR],tabela_registros[MÊS],$AE$1,tabela_registros[DIA],outtotal3059718395107119131143[[#Headers],[24]],tabela_registros[REGISTRO],DADOS!$N$4,tabela_registros[TIPO],DADOS!$P$4,tabela_registros[CATEGORIA],despesavariávelconsolidadoout[[#This Row],[DESPESA VARIÁVEL]])</f>
        <v>0</v>
      </c>
      <c r="AC71" s="119" t="n">
        <f aca="false">SUMIFS(tabela_registros[VALOR],tabela_registros[MÊS],$AE$1,tabela_registros[DIA],outtotal3059718395107119131143[[#Headers],[25]],tabela_registros[REGISTRO],DADOS!$N$4,tabela_registros[TIPO],DADOS!$P$4,tabela_registros[CATEGORIA],despesavariávelconsolidadoout[[#This Row],[DESPESA VARIÁVEL]])</f>
        <v>0</v>
      </c>
      <c r="AD71" s="119" t="n">
        <f aca="false">SUMIFS(tabela_registros[VALOR],tabela_registros[MÊS],$AE$1,tabela_registros[DIA],outtotal3059718395107119131143[[#Headers],[26]],tabela_registros[REGISTRO],DADOS!$N$4,tabela_registros[TIPO],DADOS!$P$4,tabela_registros[CATEGORIA],despesavariávelconsolidadoout[[#This Row],[DESPESA VARIÁVEL]])</f>
        <v>0</v>
      </c>
      <c r="AE71" s="119" t="n">
        <f aca="false">SUMIFS(tabela_registros[VALOR],tabela_registros[MÊS],$AE$1,tabela_registros[DIA],outtotal3059718395107119131143[[#Headers],[27]],tabela_registros[REGISTRO],DADOS!$N$4,tabela_registros[TIPO],DADOS!$P$4,tabela_registros[CATEGORIA],despesavariávelconsolidadoout[[#This Row],[DESPESA VARIÁVEL]])</f>
        <v>0</v>
      </c>
      <c r="AF71" s="119" t="n">
        <f aca="false">SUMIFS(tabela_registros[VALOR],tabela_registros[MÊS],$AE$1,tabela_registros[DIA],outtotal3059718395107119131143[[#Headers],[28]],tabela_registros[REGISTRO],DADOS!$N$4,tabela_registros[TIPO],DADOS!$P$4,tabela_registros[CATEGORIA],despesavariávelconsolidadoout[[#This Row],[DESPESA VARIÁVEL]])</f>
        <v>0</v>
      </c>
      <c r="AG71" s="119" t="n">
        <f aca="false">SUMIFS(tabela_registros[VALOR],tabela_registros[MÊS],$AE$1,tabela_registros[DIA],outtotal3059718395107119131143[[#Headers],[29]],tabela_registros[REGISTRO],DADOS!$N$4,tabela_registros[TIPO],DADOS!$P$4,tabela_registros[CATEGORIA],despesavariávelconsolidadoout[[#This Row],[DESPESA VARIÁVEL]])</f>
        <v>0</v>
      </c>
      <c r="AH71" s="119" t="n">
        <f aca="false">SUMIFS(tabela_registros[VALOR],tabela_registros[MÊS],$AE$1,tabela_registros[DIA],outtotal3059718395107119131143[[#Headers],[30]],tabela_registros[REGISTRO],DADOS!$N$4,tabela_registros[TIPO],DADOS!$P$4,tabela_registros[CATEGORIA],despesavariávelconsolidadoout[[#This Row],[DESPESA VARIÁVEL]])</f>
        <v>0</v>
      </c>
      <c r="AI71" s="217" t="n">
        <f aca="false">SUMIFS(tabela_registros[VALOR],tabela_registros[MÊS],$AE$1,tabela_registros[DIA],outtotal3059718395107119131143[[#Headers],[31]],tabela_registros[REGISTRO],DADOS!$N$4,tabela_registros[TIPO],DADOS!$P$4,tabela_registros[CATEGORIA],despesavariávelconsolidadoout[[#This Row],[DESPESA VARIÁVEL]])</f>
        <v>0</v>
      </c>
      <c r="AJ71" s="149" t="n">
        <f aca="false">SUM(despesavariávelconsolidadoout[[#This Row],[1]:[31]])</f>
        <v>0</v>
      </c>
      <c r="AK71" s="143"/>
    </row>
    <row r="72" customFormat="false" ht="18" hidden="false" customHeight="true" outlineLevel="0" collapsed="false">
      <c r="B72" s="143"/>
      <c r="C72" s="144" t="str">
        <f aca="false">DADOS!$T$15</f>
        <v>📎 OUTROS</v>
      </c>
      <c r="D72" s="145" t="str">
        <f aca="false">IF(despesavariávelconsolidadoout[[#This Row],[TOTAL]]=0,"",IF(OR(despesavariávelconsolidadoout[[#This Row],[TOTAL]]=LARGE($AJ$60:$AJ$72,1),despesavariávelconsolidadoout[[#This Row],[TOTAL]]=LARGE($AJ$60:$AJ$72,2),despesavariávelconsolidadoout[[#This Row],[TOTAL]]=LARGE($AJ$60:$AJ$72,3),despesavariávelconsolidadoout[[#This Row],[TOTAL]]=LARGE($AJ$60:$AJ$72,4),despesavariávelconsolidadoout[[#This Row],[TOTAL]]=LARGE($AJ$60:$AJ$72,5)),DADOS!$I$8,""))</f>
        <v/>
      </c>
      <c r="E72" s="148" t="n">
        <f aca="false">SUMIFS(tabela_registros[VALOR],tabela_registros[MÊS],$AE$1,tabela_registros[DIA],outtotal3059718395107119131143[[#Headers],[1]],tabela_registros[REGISTRO],DADOS!$N$4,tabela_registros[TIPO],DADOS!$P$4,tabela_registros[CATEGORIA],despesavariávelconsolidadoout[[#This Row],[DESPESA VARIÁVEL]])</f>
        <v>0</v>
      </c>
      <c r="F72" s="119" t="n">
        <f aca="false">SUMIFS(tabela_registros[VALOR],tabela_registros[MÊS],$AE$1,tabela_registros[DIA],outtotal3059718395107119131143[[#Headers],[2]],tabela_registros[REGISTRO],DADOS!$N$4,tabela_registros[TIPO],DADOS!$P$4,tabela_registros[CATEGORIA],despesavariávelconsolidadoout[[#This Row],[DESPESA VARIÁVEL]])</f>
        <v>0</v>
      </c>
      <c r="G72" s="119" t="n">
        <f aca="false">SUMIFS(tabela_registros[VALOR],tabela_registros[MÊS],$AE$1,tabela_registros[DIA],outtotal3059718395107119131143[[#Headers],[3]],tabela_registros[REGISTRO],DADOS!$N$4,tabela_registros[TIPO],DADOS!$P$4,tabela_registros[CATEGORIA],despesavariávelconsolidadoout[[#This Row],[DESPESA VARIÁVEL]])</f>
        <v>0</v>
      </c>
      <c r="H72" s="119" t="n">
        <f aca="false">SUMIFS(tabela_registros[VALOR],tabela_registros[MÊS],$AE$1,tabela_registros[DIA],outtotal3059718395107119131143[[#Headers],[4]],tabela_registros[REGISTRO],DADOS!$N$4,tabela_registros[TIPO],DADOS!$P$4,tabela_registros[CATEGORIA],despesavariávelconsolidadoout[[#This Row],[DESPESA VARIÁVEL]])</f>
        <v>0</v>
      </c>
      <c r="I72" s="119" t="n">
        <f aca="false">SUMIFS(tabela_registros[VALOR],tabela_registros[MÊS],$AE$1,tabela_registros[DIA],outtotal3059718395107119131143[[#Headers],[5]],tabela_registros[REGISTRO],DADOS!$N$4,tabela_registros[TIPO],DADOS!$P$4,tabela_registros[CATEGORIA],despesavariávelconsolidadoout[[#This Row],[DESPESA VARIÁVEL]])</f>
        <v>0</v>
      </c>
      <c r="J72" s="119" t="n">
        <f aca="false">SUMIFS(tabela_registros[VALOR],tabela_registros[MÊS],$AE$1,tabela_registros[DIA],outtotal3059718395107119131143[[#Headers],[6]],tabela_registros[REGISTRO],DADOS!$N$4,tabela_registros[TIPO],DADOS!$P$4,tabela_registros[CATEGORIA],despesavariávelconsolidadoout[[#This Row],[DESPESA VARIÁVEL]])</f>
        <v>0</v>
      </c>
      <c r="K72" s="119" t="n">
        <f aca="false">SUMIFS(tabela_registros[VALOR],tabela_registros[MÊS],$AE$1,tabela_registros[DIA],outtotal3059718395107119131143[[#Headers],[7]],tabela_registros[REGISTRO],DADOS!$N$4,tabela_registros[TIPO],DADOS!$P$4,tabela_registros[CATEGORIA],despesavariávelconsolidadoout[[#This Row],[DESPESA VARIÁVEL]])</f>
        <v>0</v>
      </c>
      <c r="L72" s="119" t="n">
        <f aca="false">SUMIFS(tabela_registros[VALOR],tabela_registros[MÊS],$AE$1,tabela_registros[DIA],outtotal3059718395107119131143[[#Headers],[8]],tabela_registros[REGISTRO],DADOS!$N$4,tabela_registros[TIPO],DADOS!$P$4,tabela_registros[CATEGORIA],despesavariávelconsolidadoout[[#This Row],[DESPESA VARIÁVEL]])</f>
        <v>0</v>
      </c>
      <c r="M72" s="119" t="n">
        <f aca="false">SUMIFS(tabela_registros[VALOR],tabela_registros[MÊS],$AE$1,tabela_registros[DIA],outtotal3059718395107119131143[[#Headers],[9]],tabela_registros[REGISTRO],DADOS!$N$4,tabela_registros[TIPO],DADOS!$P$4,tabela_registros[CATEGORIA],despesavariávelconsolidadoout[[#This Row],[DESPESA VARIÁVEL]])</f>
        <v>0</v>
      </c>
      <c r="N72" s="119" t="n">
        <f aca="false">SUMIFS(tabela_registros[VALOR],tabela_registros[MÊS],$AE$1,tabela_registros[DIA],outtotal3059718395107119131143[[#Headers],[10]],tabela_registros[REGISTRO],DADOS!$N$4,tabela_registros[TIPO],DADOS!$P$4,tabela_registros[CATEGORIA],despesavariávelconsolidadoout[[#This Row],[DESPESA VARIÁVEL]])</f>
        <v>0</v>
      </c>
      <c r="O72" s="119" t="n">
        <f aca="false">SUMIFS(tabela_registros[VALOR],tabela_registros[MÊS],$AE$1,tabela_registros[DIA],outtotal3059718395107119131143[[#Headers],[11]],tabela_registros[REGISTRO],DADOS!$N$4,tabela_registros[TIPO],DADOS!$P$4,tabela_registros[CATEGORIA],despesavariávelconsolidadoout[[#This Row],[DESPESA VARIÁVEL]])</f>
        <v>0</v>
      </c>
      <c r="P72" s="119" t="n">
        <f aca="false">SUMIFS(tabela_registros[VALOR],tabela_registros[MÊS],$AE$1,tabela_registros[DIA],outtotal3059718395107119131143[[#Headers],[12]],tabela_registros[REGISTRO],DADOS!$N$4,tabela_registros[TIPO],DADOS!$P$4,tabela_registros[CATEGORIA],despesavariávelconsolidadoout[[#This Row],[DESPESA VARIÁVEL]])</f>
        <v>0</v>
      </c>
      <c r="Q72" s="119" t="n">
        <f aca="false">SUMIFS(tabela_registros[VALOR],tabela_registros[MÊS],$AE$1,tabela_registros[DIA],outtotal3059718395107119131143[[#Headers],[13]],tabela_registros[REGISTRO],DADOS!$N$4,tabela_registros[TIPO],DADOS!$P$4,tabela_registros[CATEGORIA],despesavariávelconsolidadoout[[#This Row],[DESPESA VARIÁVEL]])</f>
        <v>0</v>
      </c>
      <c r="R72" s="119" t="n">
        <f aca="false">SUMIFS(tabela_registros[VALOR],tabela_registros[MÊS],$AE$1,tabela_registros[DIA],outtotal3059718395107119131143[[#Headers],[14]],tabela_registros[REGISTRO],DADOS!$N$4,tabela_registros[TIPO],DADOS!$P$4,tabela_registros[CATEGORIA],despesavariávelconsolidadoout[[#This Row],[DESPESA VARIÁVEL]])</f>
        <v>0</v>
      </c>
      <c r="S72" s="119" t="n">
        <f aca="false">SUMIFS(tabela_registros[VALOR],tabela_registros[MÊS],$AE$1,tabela_registros[DIA],outtotal3059718395107119131143[[#Headers],[15]],tabela_registros[REGISTRO],DADOS!$N$4,tabela_registros[TIPO],DADOS!$P$4,tabela_registros[CATEGORIA],despesavariávelconsolidadoout[[#This Row],[DESPESA VARIÁVEL]])</f>
        <v>0</v>
      </c>
      <c r="T72" s="119" t="n">
        <f aca="false">SUMIFS(tabela_registros[VALOR],tabela_registros[MÊS],$AE$1,tabela_registros[DIA],outtotal3059718395107119131143[[#Headers],[16]],tabela_registros[REGISTRO],DADOS!$N$4,tabela_registros[TIPO],DADOS!$P$4,tabela_registros[CATEGORIA],despesavariávelconsolidadoout[[#This Row],[DESPESA VARIÁVEL]])</f>
        <v>0</v>
      </c>
      <c r="U72" s="119" t="n">
        <f aca="false">SUMIFS(tabela_registros[VALOR],tabela_registros[MÊS],$AE$1,tabela_registros[DIA],outtotal3059718395107119131143[[#Headers],[17]],tabela_registros[REGISTRO],DADOS!$N$4,tabela_registros[TIPO],DADOS!$P$4,tabela_registros[CATEGORIA],despesavariávelconsolidadoout[[#This Row],[DESPESA VARIÁVEL]])</f>
        <v>0</v>
      </c>
      <c r="V72" s="119" t="n">
        <f aca="false">SUMIFS(tabela_registros[VALOR],tabela_registros[MÊS],$AE$1,tabela_registros[DIA],outtotal3059718395107119131143[[#Headers],[18]],tabela_registros[REGISTRO],DADOS!$N$4,tabela_registros[TIPO],DADOS!$P$4,tabela_registros[CATEGORIA],despesavariávelconsolidadoout[[#This Row],[DESPESA VARIÁVEL]])</f>
        <v>0</v>
      </c>
      <c r="W72" s="119" t="n">
        <f aca="false">SUMIFS(tabela_registros[VALOR],tabela_registros[MÊS],$AE$1,tabela_registros[DIA],outtotal3059718395107119131143[[#Headers],[19]],tabela_registros[REGISTRO],DADOS!$N$4,tabela_registros[TIPO],DADOS!$P$4,tabela_registros[CATEGORIA],despesavariávelconsolidadoout[[#This Row],[DESPESA VARIÁVEL]])</f>
        <v>0</v>
      </c>
      <c r="X72" s="119" t="n">
        <f aca="false">SUMIFS(tabela_registros[VALOR],tabela_registros[MÊS],$AE$1,tabela_registros[DIA],outtotal3059718395107119131143[[#Headers],[20]],tabela_registros[REGISTRO],DADOS!$N$4,tabela_registros[TIPO],DADOS!$P$4,tabela_registros[CATEGORIA],despesavariávelconsolidadoout[[#This Row],[DESPESA VARIÁVEL]])</f>
        <v>0</v>
      </c>
      <c r="Y72" s="119" t="n">
        <f aca="false">SUMIFS(tabela_registros[VALOR],tabela_registros[MÊS],$AE$1,tabela_registros[DIA],outtotal3059718395107119131143[[#Headers],[21]],tabela_registros[REGISTRO],DADOS!$N$4,tabela_registros[TIPO],DADOS!$P$4,tabela_registros[CATEGORIA],despesavariávelconsolidadoout[[#This Row],[DESPESA VARIÁVEL]])</f>
        <v>0</v>
      </c>
      <c r="Z72" s="119" t="n">
        <f aca="false">SUMIFS(tabela_registros[VALOR],tabela_registros[MÊS],$AE$1,tabela_registros[DIA],outtotal3059718395107119131143[[#Headers],[22]],tabela_registros[REGISTRO],DADOS!$N$4,tabela_registros[TIPO],DADOS!$P$4,tabela_registros[CATEGORIA],despesavariávelconsolidadoout[[#This Row],[DESPESA VARIÁVEL]])</f>
        <v>0</v>
      </c>
      <c r="AA72" s="119" t="n">
        <f aca="false">SUMIFS(tabela_registros[VALOR],tabela_registros[MÊS],$AE$1,tabela_registros[DIA],outtotal3059718395107119131143[[#Headers],[23]],tabela_registros[REGISTRO],DADOS!$N$4,tabela_registros[TIPO],DADOS!$P$4,tabela_registros[CATEGORIA],despesavariávelconsolidadoout[[#This Row],[DESPESA VARIÁVEL]])</f>
        <v>0</v>
      </c>
      <c r="AB72" s="119" t="n">
        <f aca="false">SUMIFS(tabela_registros[VALOR],tabela_registros[MÊS],$AE$1,tabela_registros[DIA],outtotal3059718395107119131143[[#Headers],[24]],tabela_registros[REGISTRO],DADOS!$N$4,tabela_registros[TIPO],DADOS!$P$4,tabela_registros[CATEGORIA],despesavariávelconsolidadoout[[#This Row],[DESPESA VARIÁVEL]])</f>
        <v>0</v>
      </c>
      <c r="AC72" s="119" t="n">
        <f aca="false">SUMIFS(tabela_registros[VALOR],tabela_registros[MÊS],$AE$1,tabela_registros[DIA],outtotal3059718395107119131143[[#Headers],[25]],tabela_registros[REGISTRO],DADOS!$N$4,tabela_registros[TIPO],DADOS!$P$4,tabela_registros[CATEGORIA],despesavariávelconsolidadoout[[#This Row],[DESPESA VARIÁVEL]])</f>
        <v>0</v>
      </c>
      <c r="AD72" s="119" t="n">
        <f aca="false">SUMIFS(tabela_registros[VALOR],tabela_registros[MÊS],$AE$1,tabela_registros[DIA],outtotal3059718395107119131143[[#Headers],[26]],tabela_registros[REGISTRO],DADOS!$N$4,tabela_registros[TIPO],DADOS!$P$4,tabela_registros[CATEGORIA],despesavariávelconsolidadoout[[#This Row],[DESPESA VARIÁVEL]])</f>
        <v>0</v>
      </c>
      <c r="AE72" s="119" t="n">
        <f aca="false">SUMIFS(tabela_registros[VALOR],tabela_registros[MÊS],$AE$1,tabela_registros[DIA],outtotal3059718395107119131143[[#Headers],[27]],tabela_registros[REGISTRO],DADOS!$N$4,tabela_registros[TIPO],DADOS!$P$4,tabela_registros[CATEGORIA],despesavariávelconsolidadoout[[#This Row],[DESPESA VARIÁVEL]])</f>
        <v>0</v>
      </c>
      <c r="AF72" s="119" t="n">
        <f aca="false">SUMIFS(tabela_registros[VALOR],tabela_registros[MÊS],$AE$1,tabela_registros[DIA],outtotal3059718395107119131143[[#Headers],[28]],tabela_registros[REGISTRO],DADOS!$N$4,tabela_registros[TIPO],DADOS!$P$4,tabela_registros[CATEGORIA],despesavariávelconsolidadoout[[#This Row],[DESPESA VARIÁVEL]])</f>
        <v>0</v>
      </c>
      <c r="AG72" s="119" t="n">
        <f aca="false">SUMIFS(tabela_registros[VALOR],tabela_registros[MÊS],$AE$1,tabela_registros[DIA],outtotal3059718395107119131143[[#Headers],[29]],tabela_registros[REGISTRO],DADOS!$N$4,tabela_registros[TIPO],DADOS!$P$4,tabela_registros[CATEGORIA],despesavariávelconsolidadoout[[#This Row],[DESPESA VARIÁVEL]])</f>
        <v>0</v>
      </c>
      <c r="AH72" s="119" t="n">
        <f aca="false">SUMIFS(tabela_registros[VALOR],tabela_registros[MÊS],$AE$1,tabela_registros[DIA],outtotal3059718395107119131143[[#Headers],[30]],tabela_registros[REGISTRO],DADOS!$N$4,tabela_registros[TIPO],DADOS!$P$4,tabela_registros[CATEGORIA],despesavariávelconsolidadoout[[#This Row],[DESPESA VARIÁVEL]])</f>
        <v>0</v>
      </c>
      <c r="AI72" s="218" t="n">
        <f aca="false">SUMIFS(tabela_registros[VALOR],tabela_registros[MÊS],$AE$1,tabela_registros[DIA],outtotal3059718395107119131143[[#Headers],[31]],tabela_registros[REGISTRO],DADOS!$N$4,tabela_registros[TIPO],DADOS!$P$4,tabela_registros[CATEGORIA],despesavariávelconsolidadoout[[#This Row],[DESPESA VARIÁVEL]])</f>
        <v>0</v>
      </c>
      <c r="AJ72" s="149" t="n">
        <f aca="false">SUM(despesavariávelconsolidadoout[[#This Row],[1]:[31]])</f>
        <v>0</v>
      </c>
      <c r="AK72" s="143"/>
    </row>
    <row r="73" s="122" customFormat="true" ht="21" hidden="false" customHeight="true" outlineLevel="0" collapsed="false">
      <c r="B73" s="152"/>
      <c r="C73" s="153" t="s">
        <v>2</v>
      </c>
      <c r="D73" s="154" t="str">
        <f aca="false">IF(despesavariávelconsolidadoout[[#This Row],[TOTAL]]=0,"",IF(OR(despesavariávelconsolidadoout[[#This Row],[TOTAL]]=SMALL(despesavariávelconsolidadoout[TOTAL],1),despesavariávelconsolidadoout[[#This Row],[TOTAL]]=SMALL(despesavariávelconsolidadoout[TOTAL],2),despesavariávelconsolidadoout[[#This Row],[TOTAL]]=SMALL(despesavariávelconsolidadoout[TOTAL],3),despesavariávelconsolidadoout[[#This Row],[TOTAL]]=SMALL(despesavariávelconsolidadoout[TOTAL],4),despesavariávelconsolidadoout[[#This Row],[TOTAL]]=SMALL(despesavariávelconsolidadoout[TOTAL],5)),DADOS!$I$8,""))</f>
        <v/>
      </c>
      <c r="E73" s="155" t="n">
        <f aca="false">SUM(E60:E72)</f>
        <v>0</v>
      </c>
      <c r="F73" s="156" t="n">
        <f aca="false">SUM(F60:F72)+despesavariávelconsolidadoout[[#This Row],[1]]</f>
        <v>0</v>
      </c>
      <c r="G73" s="156" t="n">
        <f aca="false">SUM(G60:G72)+despesavariávelconsolidadoout[[#This Row],[2]]</f>
        <v>0</v>
      </c>
      <c r="H73" s="156" t="n">
        <f aca="false">SUM(H60:H72)+despesavariávelconsolidadoout[[#This Row],[3]]</f>
        <v>0</v>
      </c>
      <c r="I73" s="156" t="n">
        <f aca="false">SUM(I60:I72)+despesavariávelconsolidadoout[[#This Row],[4]]</f>
        <v>0</v>
      </c>
      <c r="J73" s="156" t="n">
        <f aca="false">SUM(J60:J72)+despesavariávelconsolidadoout[[#This Row],[5]]</f>
        <v>0</v>
      </c>
      <c r="K73" s="156" t="n">
        <f aca="false">SUM(K60:K72)+despesavariávelconsolidadoout[[#This Row],[6]]</f>
        <v>0</v>
      </c>
      <c r="L73" s="156" t="n">
        <f aca="false">SUM(L60:L72)+despesavariávelconsolidadoout[[#This Row],[7]]</f>
        <v>0</v>
      </c>
      <c r="M73" s="156" t="n">
        <f aca="false">SUM(M60:M72)+despesavariávelconsolidadoout[[#This Row],[8]]</f>
        <v>0</v>
      </c>
      <c r="N73" s="156" t="n">
        <f aca="false">SUM(N60:N72)+despesavariávelconsolidadoout[[#This Row],[9]]</f>
        <v>0</v>
      </c>
      <c r="O73" s="156" t="n">
        <f aca="false">SUM(O60:O72)+despesavariávelconsolidadoout[[#This Row],[10]]</f>
        <v>0</v>
      </c>
      <c r="P73" s="156" t="n">
        <f aca="false">SUM(P60:P72)+despesavariávelconsolidadoout[[#This Row],[11]]</f>
        <v>0</v>
      </c>
      <c r="Q73" s="156" t="n">
        <f aca="false">SUM(Q60:Q72)+despesavariávelconsolidadoout[[#This Row],[12]]</f>
        <v>0</v>
      </c>
      <c r="R73" s="156" t="n">
        <f aca="false">SUM(R60:R72)+despesavariávelconsolidadoout[[#This Row],[13]]</f>
        <v>0</v>
      </c>
      <c r="S73" s="156" t="n">
        <f aca="false">SUM(S60:S72)+despesavariávelconsolidadoout[[#This Row],[14]]</f>
        <v>0</v>
      </c>
      <c r="T73" s="156" t="n">
        <f aca="false">SUM(T60:T72)+despesavariávelconsolidadoout[[#This Row],[15]]</f>
        <v>0</v>
      </c>
      <c r="U73" s="156" t="n">
        <f aca="false">SUM(U60:U72)+despesavariávelconsolidadoout[[#This Row],[16]]</f>
        <v>0</v>
      </c>
      <c r="V73" s="156" t="n">
        <f aca="false">SUM(V60:V72)+despesavariávelconsolidadoout[[#This Row],[17]]</f>
        <v>0</v>
      </c>
      <c r="W73" s="156" t="n">
        <f aca="false">SUM(W60:W72)+despesavariávelconsolidadoout[[#This Row],[18]]</f>
        <v>0</v>
      </c>
      <c r="X73" s="156" t="n">
        <f aca="false">SUM(X60:X72)+despesavariávelconsolidadoout[[#This Row],[19]]</f>
        <v>0</v>
      </c>
      <c r="Y73" s="156" t="n">
        <f aca="false">SUM(Y60:Y72)+despesavariávelconsolidadoout[[#This Row],[20]]</f>
        <v>0</v>
      </c>
      <c r="Z73" s="156" t="n">
        <f aca="false">SUM(Z60:Z72)+despesavariávelconsolidadoout[[#This Row],[21]]</f>
        <v>0</v>
      </c>
      <c r="AA73" s="156" t="n">
        <f aca="false">SUM(AA60:AA72)+despesavariávelconsolidadoout[[#This Row],[22]]</f>
        <v>0</v>
      </c>
      <c r="AB73" s="156" t="n">
        <f aca="false">SUM(AB60:AB72)+despesavariávelconsolidadoout[[#This Row],[23]]</f>
        <v>0</v>
      </c>
      <c r="AC73" s="156" t="n">
        <f aca="false">SUM(AC60:AC72)+despesavariávelconsolidadoout[[#This Row],[24]]</f>
        <v>0</v>
      </c>
      <c r="AD73" s="156" t="n">
        <f aca="false">SUM(AD60:AD72)+despesavariávelconsolidadoout[[#This Row],[25]]</f>
        <v>0</v>
      </c>
      <c r="AE73" s="156" t="n">
        <f aca="false">SUM(AE60:AE72)+despesavariávelconsolidadoout[[#This Row],[26]]</f>
        <v>0</v>
      </c>
      <c r="AF73" s="156" t="n">
        <f aca="false">SUM(AF60:AF72)+despesavariávelconsolidadoout[[#This Row],[27]]</f>
        <v>0</v>
      </c>
      <c r="AG73" s="156" t="n">
        <f aca="false">SUM(AG60:AG72)+despesavariávelconsolidadoout[[#This Row],[28]]</f>
        <v>0</v>
      </c>
      <c r="AH73" s="156" t="n">
        <f aca="false">SUM(AH60:AH72)+despesavariávelconsolidadoout[[#This Row],[29]]</f>
        <v>0</v>
      </c>
      <c r="AI73" s="223" t="n">
        <f aca="false">SUM(AI60:AI72)+despesavariávelconsolidadoout[[#This Row],[30]]</f>
        <v>0</v>
      </c>
      <c r="AJ73" s="157" t="n">
        <f aca="false">despesavariávelconsolidadoout[[#This Row],[31]]</f>
        <v>0</v>
      </c>
      <c r="AK73" s="158"/>
    </row>
    <row r="74" customFormat="false" ht="6.75" hidden="false" customHeight="true" outlineLevel="0" collapsed="false">
      <c r="B74" s="97"/>
      <c r="C74" s="159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229"/>
      <c r="AJ74" s="97"/>
      <c r="AK74" s="244"/>
    </row>
    <row r="75" s="78" customFormat="true" ht="12.75" hidden="false" customHeight="false" outlineLevel="0" collapsed="false">
      <c r="E75" s="100"/>
    </row>
    <row r="76" s="78" customFormat="true" ht="12" hidden="false" customHeight="false" outlineLevel="0" collapsed="false"/>
    <row r="77" s="78" customFormat="true" ht="12" hidden="false" customHeight="false" outlineLevel="0" collapsed="false"/>
    <row r="78" customFormat="false" ht="39.75" hidden="false" customHeight="true" outlineLevel="0" collapsed="false">
      <c r="C78" s="101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3" t="s">
        <v>2</v>
      </c>
    </row>
    <row r="79" s="78" customFormat="true" ht="12.75" hidden="false" customHeight="false" outlineLevel="0" collapsed="false">
      <c r="B79" s="161"/>
      <c r="AJ79" s="106" t="s">
        <v>64</v>
      </c>
    </row>
    <row r="80" customFormat="false" ht="6.75" hidden="false" customHeight="true" outlineLevel="0" collapsed="false">
      <c r="B80" s="86"/>
      <c r="C80" s="162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233"/>
      <c r="AK80" s="139"/>
    </row>
    <row r="81" customFormat="false" ht="13.5" hidden="true" customHeight="false" outlineLevel="0" collapsed="false">
      <c r="B81" s="86"/>
      <c r="C81" s="109" t="s">
        <v>68</v>
      </c>
      <c r="D81" s="110" t="s">
        <v>69</v>
      </c>
      <c r="E81" s="110" t="s">
        <v>30</v>
      </c>
      <c r="F81" s="110" t="s">
        <v>31</v>
      </c>
      <c r="G81" s="110" t="s">
        <v>32</v>
      </c>
      <c r="H81" s="110" t="s">
        <v>33</v>
      </c>
      <c r="I81" s="110" t="s">
        <v>34</v>
      </c>
      <c r="J81" s="110" t="s">
        <v>35</v>
      </c>
      <c r="K81" s="110" t="s">
        <v>36</v>
      </c>
      <c r="L81" s="110" t="s">
        <v>37</v>
      </c>
      <c r="M81" s="110" t="s">
        <v>38</v>
      </c>
      <c r="N81" s="110" t="s">
        <v>39</v>
      </c>
      <c r="O81" s="110" t="s">
        <v>40</v>
      </c>
      <c r="P81" s="110" t="s">
        <v>41</v>
      </c>
      <c r="Q81" s="110" t="s">
        <v>81</v>
      </c>
      <c r="R81" s="110" t="s">
        <v>82</v>
      </c>
      <c r="S81" s="110" t="s">
        <v>83</v>
      </c>
      <c r="T81" s="110" t="s">
        <v>84</v>
      </c>
      <c r="U81" s="110" t="s">
        <v>85</v>
      </c>
      <c r="V81" s="110" t="s">
        <v>86</v>
      </c>
      <c r="W81" s="110" t="s">
        <v>87</v>
      </c>
      <c r="X81" s="110" t="s">
        <v>88</v>
      </c>
      <c r="Y81" s="110" t="s">
        <v>89</v>
      </c>
      <c r="Z81" s="110" t="s">
        <v>90</v>
      </c>
      <c r="AA81" s="110" t="s">
        <v>91</v>
      </c>
      <c r="AB81" s="110" t="s">
        <v>92</v>
      </c>
      <c r="AC81" s="110" t="s">
        <v>93</v>
      </c>
      <c r="AD81" s="110" t="s">
        <v>94</v>
      </c>
      <c r="AE81" s="110" t="s">
        <v>95</v>
      </c>
      <c r="AF81" s="110" t="s">
        <v>96</v>
      </c>
      <c r="AG81" s="110" t="s">
        <v>97</v>
      </c>
      <c r="AH81" s="110" t="s">
        <v>98</v>
      </c>
      <c r="AI81" s="110" t="s">
        <v>99</v>
      </c>
      <c r="AJ81" s="111" t="s">
        <v>70</v>
      </c>
      <c r="AK81" s="86"/>
    </row>
    <row r="82" customFormat="false" ht="19.5" hidden="false" customHeight="true" outlineLevel="0" collapsed="false">
      <c r="B82" s="143"/>
      <c r="C82" s="144" t="str">
        <f aca="false">DADOS!$X$3</f>
        <v>💵 ALUGUEL</v>
      </c>
      <c r="D82" s="145" t="str">
        <f aca="false">IF(receitasfixasconsolidadoout[[#This Row],[TOTAL (R$)]]=0,"",IF(OR(receitasfixasconsolidadoout[[#This Row],[TOTAL (R$)]]=LARGE($AJ$82:$AJ$86,1),receitasfixasconsolidadoout[[#This Row],[TOTAL (R$)]]=LARGE($AJ$82:$AJ$86,2)),DADOS!$I$9,""))</f>
        <v/>
      </c>
      <c r="E82" s="146" t="n">
        <f aca="false">SUMIFS(tabela_registros[VALOR],tabela_registros[MÊS],$AE$1,tabela_registros[DIA],receitasfixasconsolidadoout[[#Headers],[1]],tabela_registros[REGISTRO],DADOS!$N$3,tabela_registros[TIPO],DADOS!$V$3,tabela_registros[CATEGORIA],receitasfixasconsolidadoout[[#This Row],[ATUAL]])</f>
        <v>0</v>
      </c>
      <c r="F82" s="114" t="n">
        <f aca="false">SUMIFS(tabela_registros[VALOR],tabela_registros[MÊS],$AE$1,tabela_registros[DIA],receitasfixasconsolidadoout[[#Headers],[2]],tabela_registros[REGISTRO],DADOS!$N$3,tabela_registros[TIPO],DADOS!$V$3,tabela_registros[CATEGORIA],receitasfixasconsolidadoout[[#This Row],[ATUAL]])</f>
        <v>0</v>
      </c>
      <c r="G82" s="114" t="n">
        <f aca="false">SUMIFS(tabela_registros[VALOR],tabela_registros[MÊS],$AE$1,tabela_registros[DIA],receitasfixasconsolidadoout[[#Headers],[3]],tabela_registros[REGISTRO],DADOS!$N$3,tabela_registros[TIPO],DADOS!$V$3,tabela_registros[CATEGORIA],receitasfixasconsolidadoout[[#This Row],[ATUAL]])</f>
        <v>0</v>
      </c>
      <c r="H82" s="114" t="n">
        <f aca="false">SUMIFS(tabela_registros[VALOR],tabela_registros[MÊS],$AE$1,tabela_registros[DIA],receitasfixasconsolidadoout[[#Headers],[4]],tabela_registros[REGISTRO],DADOS!$N$3,tabela_registros[TIPO],DADOS!$V$3,tabela_registros[CATEGORIA],receitasfixasconsolidadoout[[#This Row],[ATUAL]])</f>
        <v>0</v>
      </c>
      <c r="I82" s="114" t="n">
        <f aca="false">SUMIFS(tabela_registros[VALOR],tabela_registros[MÊS],$AE$1,tabela_registros[DIA],receitasfixasconsolidadoout[[#Headers],[5]],tabela_registros[REGISTRO],DADOS!$N$3,tabela_registros[TIPO],DADOS!$V$3,tabela_registros[CATEGORIA],receitasfixasconsolidadoout[[#This Row],[ATUAL]])</f>
        <v>0</v>
      </c>
      <c r="J82" s="114" t="n">
        <f aca="false">SUMIFS(tabela_registros[VALOR],tabela_registros[MÊS],$AE$1,tabela_registros[DIA],receitasfixasconsolidadoout[[#Headers],[6]],tabela_registros[REGISTRO],DADOS!$N$3,tabela_registros[TIPO],DADOS!$V$3,tabela_registros[CATEGORIA],receitasfixasconsolidadoout[[#This Row],[ATUAL]])</f>
        <v>0</v>
      </c>
      <c r="K82" s="114" t="n">
        <f aca="false">SUMIFS(tabela_registros[VALOR],tabela_registros[MÊS],$AE$1,tabela_registros[DIA],receitasfixasconsolidadoout[[#Headers],[7]],tabela_registros[REGISTRO],DADOS!$N$3,tabela_registros[TIPO],DADOS!$V$3,tabela_registros[CATEGORIA],receitasfixasconsolidadoout[[#This Row],[ATUAL]])</f>
        <v>0</v>
      </c>
      <c r="L82" s="114" t="n">
        <f aca="false">SUMIFS(tabela_registros[VALOR],tabela_registros[MÊS],$AE$1,tabela_registros[DIA],receitasfixasconsolidadoout[[#Headers],[8]],tabela_registros[REGISTRO],DADOS!$N$3,tabela_registros[TIPO],DADOS!$V$3,tabela_registros[CATEGORIA],receitasfixasconsolidadoout[[#This Row],[ATUAL]])</f>
        <v>0</v>
      </c>
      <c r="M82" s="114" t="n">
        <f aca="false">SUMIFS(tabela_registros[VALOR],tabela_registros[MÊS],$AE$1,tabela_registros[DIA],receitasfixasconsolidadoout[[#Headers],[9]],tabela_registros[REGISTRO],DADOS!$N$3,tabela_registros[TIPO],DADOS!$V$3,tabela_registros[CATEGORIA],receitasfixasconsolidadoout[[#This Row],[ATUAL]])</f>
        <v>0</v>
      </c>
      <c r="N82" s="114" t="n">
        <f aca="false">SUMIFS(tabela_registros[VALOR],tabela_registros[MÊS],$AE$1,tabela_registros[DIA],receitasfixasconsolidadoout[[#Headers],[10]],tabela_registros[REGISTRO],DADOS!$N$3,tabela_registros[TIPO],DADOS!$V$3,tabela_registros[CATEGORIA],receitasfixasconsolidadoout[[#This Row],[ATUAL]])</f>
        <v>0</v>
      </c>
      <c r="O82" s="114" t="n">
        <f aca="false">SUMIFS(tabela_registros[VALOR],tabela_registros[MÊS],$AE$1,tabela_registros[DIA],receitasfixasconsolidadoout[[#Headers],[11]],tabela_registros[REGISTRO],DADOS!$N$3,tabela_registros[TIPO],DADOS!$V$3,tabela_registros[CATEGORIA],receitasfixasconsolidadoout[[#This Row],[ATUAL]])</f>
        <v>0</v>
      </c>
      <c r="P82" s="114" t="n">
        <f aca="false">SUMIFS(tabela_registros[VALOR],tabela_registros[MÊS],$AE$1,tabela_registros[DIA],receitasfixasconsolidadoout[[#Headers],[12]],tabela_registros[REGISTRO],DADOS!$N$3,tabela_registros[TIPO],DADOS!$V$3,tabela_registros[CATEGORIA],receitasfixasconsolidadoout[[#This Row],[ATUAL]])</f>
        <v>0</v>
      </c>
      <c r="Q82" s="114" t="n">
        <f aca="false">SUMIFS(tabela_registros[VALOR],tabela_registros[MÊS],$AE$1,tabela_registros[DIA],receitasfixasconsolidadoout[[#Headers],[13]],tabela_registros[REGISTRO],DADOS!$N$3,tabela_registros[TIPO],DADOS!$V$3,tabela_registros[CATEGORIA],receitasfixasconsolidadoout[[#This Row],[ATUAL]])</f>
        <v>0</v>
      </c>
      <c r="R82" s="114" t="n">
        <f aca="false">SUMIFS(tabela_registros[VALOR],tabela_registros[MÊS],$AE$1,tabela_registros[DIA],receitasfixasconsolidadoout[[#Headers],[14]],tabela_registros[REGISTRO],DADOS!$N$3,tabela_registros[TIPO],DADOS!$V$3,tabela_registros[CATEGORIA],receitasfixasconsolidadoout[[#This Row],[ATUAL]])</f>
        <v>0</v>
      </c>
      <c r="S82" s="114" t="n">
        <f aca="false">SUMIFS(tabela_registros[VALOR],tabela_registros[MÊS],$AE$1,tabela_registros[DIA],receitasfixasconsolidadoout[[#Headers],[15]],tabela_registros[REGISTRO],DADOS!$N$3,tabela_registros[TIPO],DADOS!$V$3,tabela_registros[CATEGORIA],receitasfixasconsolidadoout[[#This Row],[ATUAL]])</f>
        <v>0</v>
      </c>
      <c r="T82" s="114" t="n">
        <f aca="false">SUMIFS(tabela_registros[VALOR],tabela_registros[MÊS],$AE$1,tabela_registros[DIA],receitasfixasconsolidadoout[[#Headers],[16]],tabela_registros[REGISTRO],DADOS!$N$3,tabela_registros[TIPO],DADOS!$V$3,tabela_registros[CATEGORIA],receitasfixasconsolidadoout[[#This Row],[ATUAL]])</f>
        <v>0</v>
      </c>
      <c r="U82" s="114" t="n">
        <f aca="false">SUMIFS(tabela_registros[VALOR],tabela_registros[MÊS],$AE$1,tabela_registros[DIA],receitasfixasconsolidadoout[[#Headers],[17]],tabela_registros[REGISTRO],DADOS!$N$3,tabela_registros[TIPO],DADOS!$V$3,tabela_registros[CATEGORIA],receitasfixasconsolidadoout[[#This Row],[ATUAL]])</f>
        <v>0</v>
      </c>
      <c r="V82" s="114" t="n">
        <f aca="false">SUMIFS(tabela_registros[VALOR],tabela_registros[MÊS],$AE$1,tabela_registros[DIA],receitasfixasconsolidadoout[[#Headers],[18]],tabela_registros[REGISTRO],DADOS!$N$3,tabela_registros[TIPO],DADOS!$V$3,tabela_registros[CATEGORIA],receitasfixasconsolidadoout[[#This Row],[ATUAL]])</f>
        <v>0</v>
      </c>
      <c r="W82" s="114" t="n">
        <f aca="false">SUMIFS(tabela_registros[VALOR],tabela_registros[MÊS],$AE$1,tabela_registros[DIA],receitasfixasconsolidadoout[[#Headers],[19]],tabela_registros[REGISTRO],DADOS!$N$3,tabela_registros[TIPO],DADOS!$V$3,tabela_registros[CATEGORIA],receitasfixasconsolidadoout[[#This Row],[ATUAL]])</f>
        <v>0</v>
      </c>
      <c r="X82" s="114" t="n">
        <f aca="false">SUMIFS(tabela_registros[VALOR],tabela_registros[MÊS],$AE$1,tabela_registros[DIA],receitasfixasconsolidadoout[[#Headers],[20]],tabela_registros[REGISTRO],DADOS!$N$3,tabela_registros[TIPO],DADOS!$V$3,tabela_registros[CATEGORIA],receitasfixasconsolidadoout[[#This Row],[ATUAL]])</f>
        <v>0</v>
      </c>
      <c r="Y82" s="114" t="n">
        <f aca="false">SUMIFS(tabela_registros[VALOR],tabela_registros[MÊS],$AE$1,tabela_registros[DIA],receitasfixasconsolidadoout[[#Headers],[21]],tabela_registros[REGISTRO],DADOS!$N$3,tabela_registros[TIPO],DADOS!$V$3,tabela_registros[CATEGORIA],receitasfixasconsolidadoout[[#This Row],[ATUAL]])</f>
        <v>0</v>
      </c>
      <c r="Z82" s="114" t="n">
        <f aca="false">SUMIFS(tabela_registros[VALOR],tabela_registros[MÊS],$AE$1,tabela_registros[DIA],receitasfixasconsolidadoout[[#Headers],[22]],tabela_registros[REGISTRO],DADOS!$N$3,tabela_registros[TIPO],DADOS!$V$3,tabela_registros[CATEGORIA],receitasfixasconsolidadoout[[#This Row],[ATUAL]])</f>
        <v>0</v>
      </c>
      <c r="AA82" s="114" t="n">
        <f aca="false">SUMIFS(tabela_registros[VALOR],tabela_registros[MÊS],$AE$1,tabela_registros[DIA],receitasfixasconsolidadoout[[#Headers],[23]],tabela_registros[REGISTRO],DADOS!$N$3,tabela_registros[TIPO],DADOS!$V$3,tabela_registros[CATEGORIA],receitasfixasconsolidadoout[[#This Row],[ATUAL]])</f>
        <v>0</v>
      </c>
      <c r="AB82" s="114" t="n">
        <f aca="false">SUMIFS(tabela_registros[VALOR],tabela_registros[MÊS],$AE$1,tabela_registros[DIA],receitasfixasconsolidadoout[[#Headers],[24]],tabela_registros[REGISTRO],DADOS!$N$3,tabela_registros[TIPO],DADOS!$V$3,tabela_registros[CATEGORIA],receitasfixasconsolidadoout[[#This Row],[ATUAL]])</f>
        <v>0</v>
      </c>
      <c r="AC82" s="114" t="n">
        <f aca="false">SUMIFS(tabela_registros[VALOR],tabela_registros[MÊS],$AE$1,tabela_registros[DIA],receitasfixasconsolidadoout[[#Headers],[25]],tabela_registros[REGISTRO],DADOS!$N$3,tabela_registros[TIPO],DADOS!$V$3,tabela_registros[CATEGORIA],receitasfixasconsolidadoout[[#This Row],[ATUAL]])</f>
        <v>0</v>
      </c>
      <c r="AD82" s="114" t="n">
        <f aca="false">SUMIFS(tabela_registros[VALOR],tabela_registros[MÊS],$AE$1,tabela_registros[DIA],receitasfixasconsolidadoout[[#Headers],[26]],tabela_registros[REGISTRO],DADOS!$N$3,tabela_registros[TIPO],DADOS!$V$3,tabela_registros[CATEGORIA],receitasfixasconsolidadoout[[#This Row],[ATUAL]])</f>
        <v>0</v>
      </c>
      <c r="AE82" s="114" t="n">
        <f aca="false">SUMIFS(tabela_registros[VALOR],tabela_registros[MÊS],$AE$1,tabela_registros[DIA],receitasfixasconsolidadoout[[#Headers],[27]],tabela_registros[REGISTRO],DADOS!$N$3,tabela_registros[TIPO],DADOS!$V$3,tabela_registros[CATEGORIA],receitasfixasconsolidadoout[[#This Row],[ATUAL]])</f>
        <v>0</v>
      </c>
      <c r="AF82" s="114" t="n">
        <f aca="false">SUMIFS(tabela_registros[VALOR],tabela_registros[MÊS],$AE$1,tabela_registros[DIA],receitasfixasconsolidadoout[[#Headers],[28]],tabela_registros[REGISTRO],DADOS!$N$3,tabela_registros[TIPO],DADOS!$V$3,tabela_registros[CATEGORIA],receitasfixasconsolidadoout[[#This Row],[ATUAL]])</f>
        <v>0</v>
      </c>
      <c r="AG82" s="114" t="n">
        <f aca="false">SUMIFS(tabela_registros[VALOR],tabela_registros[MÊS],$AE$1,tabela_registros[DIA],receitasfixasconsolidadoout[[#Headers],[29]],tabela_registros[REGISTRO],DADOS!$N$3,tabela_registros[TIPO],DADOS!$V$3,tabela_registros[CATEGORIA],receitasfixasconsolidadoout[[#This Row],[ATUAL]])</f>
        <v>0</v>
      </c>
      <c r="AH82" s="114" t="n">
        <f aca="false">SUMIFS(tabela_registros[VALOR],tabela_registros[MÊS],$AE$1,tabela_registros[DIA],receitasfixasconsolidadoout[[#Headers],[30]],tabela_registros[REGISTRO],DADOS!$N$3,tabela_registros[TIPO],DADOS!$V$3,tabela_registros[CATEGORIA],receitasfixasconsolidadoout[[#This Row],[ATUAL]])</f>
        <v>0</v>
      </c>
      <c r="AI82" s="216" t="n">
        <f aca="false">SUMIFS(tabela_registros[VALOR],tabela_registros[MÊS],$AE$1,tabela_registros[DIA],receitasfixasconsolidadoout[[#Headers],[31]],tabela_registros[REGISTRO],DADOS!$N$3,tabela_registros[TIPO],DADOS!$V$3,tabela_registros[CATEGORIA],receitasfixasconsolidadoout[[#This Row],[ATUAL]])</f>
        <v>0</v>
      </c>
      <c r="AJ82" s="149" t="n">
        <f aca="false">SUM(receitasfixasconsolidadoout[[#This Row],[1]:[31]])</f>
        <v>0</v>
      </c>
      <c r="AK82" s="165"/>
    </row>
    <row r="83" customFormat="false" ht="19.5" hidden="false" customHeight="true" outlineLevel="0" collapsed="false">
      <c r="B83" s="143"/>
      <c r="C83" s="144" t="str">
        <f aca="false">DADOS!$X$4</f>
        <v>💸APOSENTADORIA</v>
      </c>
      <c r="D83" s="145" t="str">
        <f aca="false">IF(receitasfixasconsolidadoout[[#This Row],[TOTAL (R$)]]=0,"",IF(OR(receitasfixasconsolidadoout[[#This Row],[TOTAL (R$)]]=LARGE($AJ$82:$AJ$86,1),receitasfixasconsolidadoout[[#This Row],[TOTAL (R$)]]=LARGE($AJ$82:$AJ$86,2)),DADOS!$I$9,""))</f>
        <v/>
      </c>
      <c r="E83" s="148" t="n">
        <f aca="false">SUMIFS(tabela_registros[VALOR],tabela_registros[MÊS],$AE$1,tabela_registros[DIA],receitasfixasconsolidadoout[[#Headers],[1]],tabela_registros[REGISTRO],DADOS!$N$3,tabela_registros[TIPO],DADOS!$V$3,tabela_registros[CATEGORIA],receitasfixasconsolidadoout[[#This Row],[ATUAL]])</f>
        <v>0</v>
      </c>
      <c r="F83" s="119" t="n">
        <f aca="false">SUMIFS(tabela_registros[VALOR],tabela_registros[MÊS],$AE$1,tabela_registros[DIA],receitasfixasconsolidadoout[[#Headers],[2]],tabela_registros[REGISTRO],DADOS!$N$3,tabela_registros[TIPO],DADOS!$V$3,tabela_registros[CATEGORIA],receitasfixasconsolidadoout[[#This Row],[ATUAL]])</f>
        <v>0</v>
      </c>
      <c r="G83" s="119" t="n">
        <f aca="false">SUMIFS(tabela_registros[VALOR],tabela_registros[MÊS],$AE$1,tabela_registros[DIA],receitasfixasconsolidadoout[[#Headers],[3]],tabela_registros[REGISTRO],DADOS!$N$3,tabela_registros[TIPO],DADOS!$V$3,tabela_registros[CATEGORIA],receitasfixasconsolidadoout[[#This Row],[ATUAL]])</f>
        <v>0</v>
      </c>
      <c r="H83" s="119" t="n">
        <f aca="false">SUMIFS(tabela_registros[VALOR],tabela_registros[MÊS],$AE$1,tabela_registros[DIA],receitasfixasconsolidadoout[[#Headers],[4]],tabela_registros[REGISTRO],DADOS!$N$3,tabela_registros[TIPO],DADOS!$V$3,tabela_registros[CATEGORIA],receitasfixasconsolidadoout[[#This Row],[ATUAL]])</f>
        <v>0</v>
      </c>
      <c r="I83" s="119" t="n">
        <f aca="false">SUMIFS(tabela_registros[VALOR],tabela_registros[MÊS],$AE$1,tabela_registros[DIA],receitasfixasconsolidadoout[[#Headers],[5]],tabela_registros[REGISTRO],DADOS!$N$3,tabela_registros[TIPO],DADOS!$V$3,tabela_registros[CATEGORIA],receitasfixasconsolidadoout[[#This Row],[ATUAL]])</f>
        <v>0</v>
      </c>
      <c r="J83" s="119" t="n">
        <f aca="false">SUMIFS(tabela_registros[VALOR],tabela_registros[MÊS],$AE$1,tabela_registros[DIA],receitasfixasconsolidadoout[[#Headers],[6]],tabela_registros[REGISTRO],DADOS!$N$3,tabela_registros[TIPO],DADOS!$V$3,tabela_registros[CATEGORIA],receitasfixasconsolidadoout[[#This Row],[ATUAL]])</f>
        <v>0</v>
      </c>
      <c r="K83" s="119" t="n">
        <f aca="false">SUMIFS(tabela_registros[VALOR],tabela_registros[MÊS],$AE$1,tabela_registros[DIA],receitasfixasconsolidadoout[[#Headers],[7]],tabela_registros[REGISTRO],DADOS!$N$3,tabela_registros[TIPO],DADOS!$V$3,tabela_registros[CATEGORIA],receitasfixasconsolidadoout[[#This Row],[ATUAL]])</f>
        <v>0</v>
      </c>
      <c r="L83" s="119" t="n">
        <f aca="false">SUMIFS(tabela_registros[VALOR],tabela_registros[MÊS],$AE$1,tabela_registros[DIA],receitasfixasconsolidadoout[[#Headers],[8]],tabela_registros[REGISTRO],DADOS!$N$3,tabela_registros[TIPO],DADOS!$V$3,tabela_registros[CATEGORIA],receitasfixasconsolidadoout[[#This Row],[ATUAL]])</f>
        <v>0</v>
      </c>
      <c r="M83" s="119" t="n">
        <f aca="false">SUMIFS(tabela_registros[VALOR],tabela_registros[MÊS],$AE$1,tabela_registros[DIA],receitasfixasconsolidadoout[[#Headers],[9]],tabela_registros[REGISTRO],DADOS!$N$3,tabela_registros[TIPO],DADOS!$V$3,tabela_registros[CATEGORIA],receitasfixasconsolidadoout[[#This Row],[ATUAL]])</f>
        <v>0</v>
      </c>
      <c r="N83" s="119" t="n">
        <f aca="false">SUMIFS(tabela_registros[VALOR],tabela_registros[MÊS],$AE$1,tabela_registros[DIA],receitasfixasconsolidadoout[[#Headers],[10]],tabela_registros[REGISTRO],DADOS!$N$3,tabela_registros[TIPO],DADOS!$V$3,tabela_registros[CATEGORIA],receitasfixasconsolidadoout[[#This Row],[ATUAL]])</f>
        <v>0</v>
      </c>
      <c r="O83" s="119" t="n">
        <f aca="false">SUMIFS(tabela_registros[VALOR],tabela_registros[MÊS],$AE$1,tabela_registros[DIA],receitasfixasconsolidadoout[[#Headers],[11]],tabela_registros[REGISTRO],DADOS!$N$3,tabela_registros[TIPO],DADOS!$V$3,tabela_registros[CATEGORIA],receitasfixasconsolidadoout[[#This Row],[ATUAL]])</f>
        <v>0</v>
      </c>
      <c r="P83" s="119" t="n">
        <f aca="false">SUMIFS(tabela_registros[VALOR],tabela_registros[MÊS],$AE$1,tabela_registros[DIA],receitasfixasconsolidadoout[[#Headers],[12]],tabela_registros[REGISTRO],DADOS!$N$3,tabela_registros[TIPO],DADOS!$V$3,tabela_registros[CATEGORIA],receitasfixasconsolidadoout[[#This Row],[ATUAL]])</f>
        <v>0</v>
      </c>
      <c r="Q83" s="119" t="n">
        <f aca="false">SUMIFS(tabela_registros[VALOR],tabela_registros[MÊS],$AE$1,tabela_registros[DIA],receitasfixasconsolidadoout[[#Headers],[13]],tabela_registros[REGISTRO],DADOS!$N$3,tabela_registros[TIPO],DADOS!$V$3,tabela_registros[CATEGORIA],receitasfixasconsolidadoout[[#This Row],[ATUAL]])</f>
        <v>0</v>
      </c>
      <c r="R83" s="119" t="n">
        <f aca="false">SUMIFS(tabela_registros[VALOR],tabela_registros[MÊS],$AE$1,tabela_registros[DIA],receitasfixasconsolidadoout[[#Headers],[14]],tabela_registros[REGISTRO],DADOS!$N$3,tabela_registros[TIPO],DADOS!$V$3,tabela_registros[CATEGORIA],receitasfixasconsolidadoout[[#This Row],[ATUAL]])</f>
        <v>0</v>
      </c>
      <c r="S83" s="119" t="n">
        <f aca="false">SUMIFS(tabela_registros[VALOR],tabela_registros[MÊS],$AE$1,tabela_registros[DIA],receitasfixasconsolidadoout[[#Headers],[15]],tabela_registros[REGISTRO],DADOS!$N$3,tabela_registros[TIPO],DADOS!$V$3,tabela_registros[CATEGORIA],receitasfixasconsolidadoout[[#This Row],[ATUAL]])</f>
        <v>0</v>
      </c>
      <c r="T83" s="119" t="n">
        <f aca="false">SUMIFS(tabela_registros[VALOR],tabela_registros[MÊS],$AE$1,tabela_registros[DIA],receitasfixasconsolidadoout[[#Headers],[16]],tabela_registros[REGISTRO],DADOS!$N$3,tabela_registros[TIPO],DADOS!$V$3,tabela_registros[CATEGORIA],receitasfixasconsolidadoout[[#This Row],[ATUAL]])</f>
        <v>0</v>
      </c>
      <c r="U83" s="119" t="n">
        <f aca="false">SUMIFS(tabela_registros[VALOR],tabela_registros[MÊS],$AE$1,tabela_registros[DIA],receitasfixasconsolidadoout[[#Headers],[17]],tabela_registros[REGISTRO],DADOS!$N$3,tabela_registros[TIPO],DADOS!$V$3,tabela_registros[CATEGORIA],receitasfixasconsolidadoout[[#This Row],[ATUAL]])</f>
        <v>0</v>
      </c>
      <c r="V83" s="119" t="n">
        <f aca="false">SUMIFS(tabela_registros[VALOR],tabela_registros[MÊS],$AE$1,tabela_registros[DIA],receitasfixasconsolidadoout[[#Headers],[18]],tabela_registros[REGISTRO],DADOS!$N$3,tabela_registros[TIPO],DADOS!$V$3,tabela_registros[CATEGORIA],receitasfixasconsolidadoout[[#This Row],[ATUAL]])</f>
        <v>0</v>
      </c>
      <c r="W83" s="119" t="n">
        <f aca="false">SUMIFS(tabela_registros[VALOR],tabela_registros[MÊS],$AE$1,tabela_registros[DIA],receitasfixasconsolidadoout[[#Headers],[19]],tabela_registros[REGISTRO],DADOS!$N$3,tabela_registros[TIPO],DADOS!$V$3,tabela_registros[CATEGORIA],receitasfixasconsolidadoout[[#This Row],[ATUAL]])</f>
        <v>0</v>
      </c>
      <c r="X83" s="119" t="n">
        <f aca="false">SUMIFS(tabela_registros[VALOR],tabela_registros[MÊS],$AE$1,tabela_registros[DIA],receitasfixasconsolidadoout[[#Headers],[20]],tabela_registros[REGISTRO],DADOS!$N$3,tabela_registros[TIPO],DADOS!$V$3,tabela_registros[CATEGORIA],receitasfixasconsolidadoout[[#This Row],[ATUAL]])</f>
        <v>0</v>
      </c>
      <c r="Y83" s="119" t="n">
        <f aca="false">SUMIFS(tabela_registros[VALOR],tabela_registros[MÊS],$AE$1,tabela_registros[DIA],receitasfixasconsolidadoout[[#Headers],[21]],tabela_registros[REGISTRO],DADOS!$N$3,tabela_registros[TIPO],DADOS!$V$3,tabela_registros[CATEGORIA],receitasfixasconsolidadoout[[#This Row],[ATUAL]])</f>
        <v>0</v>
      </c>
      <c r="Z83" s="119" t="n">
        <f aca="false">SUMIFS(tabela_registros[VALOR],tabela_registros[MÊS],$AE$1,tabela_registros[DIA],receitasfixasconsolidadoout[[#Headers],[22]],tabela_registros[REGISTRO],DADOS!$N$3,tabela_registros[TIPO],DADOS!$V$3,tabela_registros[CATEGORIA],receitasfixasconsolidadoout[[#This Row],[ATUAL]])</f>
        <v>0</v>
      </c>
      <c r="AA83" s="119" t="n">
        <f aca="false">SUMIFS(tabela_registros[VALOR],tabela_registros[MÊS],$AE$1,tabela_registros[DIA],receitasfixasconsolidadoout[[#Headers],[23]],tabela_registros[REGISTRO],DADOS!$N$3,tabela_registros[TIPO],DADOS!$V$3,tabela_registros[CATEGORIA],receitasfixasconsolidadoout[[#This Row],[ATUAL]])</f>
        <v>0</v>
      </c>
      <c r="AB83" s="119" t="n">
        <f aca="false">SUMIFS(tabela_registros[VALOR],tabela_registros[MÊS],$AE$1,tabela_registros[DIA],receitasfixasconsolidadoout[[#Headers],[24]],tabela_registros[REGISTRO],DADOS!$N$3,tabela_registros[TIPO],DADOS!$V$3,tabela_registros[CATEGORIA],receitasfixasconsolidadoout[[#This Row],[ATUAL]])</f>
        <v>0</v>
      </c>
      <c r="AC83" s="119" t="n">
        <f aca="false">SUMIFS(tabela_registros[VALOR],tabela_registros[MÊS],$AE$1,tabela_registros[DIA],receitasfixasconsolidadoout[[#Headers],[25]],tabela_registros[REGISTRO],DADOS!$N$3,tabela_registros[TIPO],DADOS!$V$3,tabela_registros[CATEGORIA],receitasfixasconsolidadoout[[#This Row],[ATUAL]])</f>
        <v>0</v>
      </c>
      <c r="AD83" s="119" t="n">
        <f aca="false">SUMIFS(tabela_registros[VALOR],tabela_registros[MÊS],$AE$1,tabela_registros[DIA],receitasfixasconsolidadoout[[#Headers],[26]],tabela_registros[REGISTRO],DADOS!$N$3,tabela_registros[TIPO],DADOS!$V$3,tabela_registros[CATEGORIA],receitasfixasconsolidadoout[[#This Row],[ATUAL]])</f>
        <v>0</v>
      </c>
      <c r="AE83" s="119" t="n">
        <f aca="false">SUMIFS(tabela_registros[VALOR],tabela_registros[MÊS],$AE$1,tabela_registros[DIA],receitasfixasconsolidadoout[[#Headers],[27]],tabela_registros[REGISTRO],DADOS!$N$3,tabela_registros[TIPO],DADOS!$V$3,tabela_registros[CATEGORIA],receitasfixasconsolidadoout[[#This Row],[ATUAL]])</f>
        <v>0</v>
      </c>
      <c r="AF83" s="119" t="n">
        <f aca="false">SUMIFS(tabela_registros[VALOR],tabela_registros[MÊS],$AE$1,tabela_registros[DIA],receitasfixasconsolidadoout[[#Headers],[28]],tabela_registros[REGISTRO],DADOS!$N$3,tabela_registros[TIPO],DADOS!$V$3,tabela_registros[CATEGORIA],receitasfixasconsolidadoout[[#This Row],[ATUAL]])</f>
        <v>0</v>
      </c>
      <c r="AG83" s="119" t="n">
        <f aca="false">SUMIFS(tabela_registros[VALOR],tabela_registros[MÊS],$AE$1,tabela_registros[DIA],receitasfixasconsolidadoout[[#Headers],[29]],tabela_registros[REGISTRO],DADOS!$N$3,tabela_registros[TIPO],DADOS!$V$3,tabela_registros[CATEGORIA],receitasfixasconsolidadoout[[#This Row],[ATUAL]])</f>
        <v>0</v>
      </c>
      <c r="AH83" s="119" t="n">
        <f aca="false">SUMIFS(tabela_registros[VALOR],tabela_registros[MÊS],$AE$1,tabela_registros[DIA],receitasfixasconsolidadoout[[#Headers],[30]],tabela_registros[REGISTRO],DADOS!$N$3,tabela_registros[TIPO],DADOS!$V$3,tabela_registros[CATEGORIA],receitasfixasconsolidadoout[[#This Row],[ATUAL]])</f>
        <v>0</v>
      </c>
      <c r="AI83" s="217" t="n">
        <f aca="false">SUMIFS(tabela_registros[VALOR],tabela_registros[MÊS],$AE$1,tabela_registros[DIA],receitasfixasconsolidadoout[[#Headers],[31]],tabela_registros[REGISTRO],DADOS!$N$3,tabela_registros[TIPO],DADOS!$V$3,tabela_registros[CATEGORIA],receitasfixasconsolidadoout[[#This Row],[ATUAL]])</f>
        <v>0</v>
      </c>
      <c r="AJ83" s="149" t="n">
        <f aca="false">SUM(receitasfixasconsolidadoout[[#This Row],[1]:[31]])</f>
        <v>0</v>
      </c>
      <c r="AK83" s="165"/>
    </row>
    <row r="84" customFormat="false" ht="19.5" hidden="false" customHeight="true" outlineLevel="0" collapsed="false">
      <c r="B84" s="143"/>
      <c r="C84" s="144" t="str">
        <f aca="false">DADOS!$X$5</f>
        <v>🎀 MESADA</v>
      </c>
      <c r="D84" s="145" t="str">
        <f aca="false">IF(receitasfixasconsolidadoout[[#This Row],[TOTAL (R$)]]=0,"",IF(OR(receitasfixasconsolidadoout[[#This Row],[TOTAL (R$)]]=LARGE($AJ$82:$AJ$86,1),receitasfixasconsolidadoout[[#This Row],[TOTAL (R$)]]=LARGE($AJ$82:$AJ$86,2)),DADOS!$I$9,""))</f>
        <v/>
      </c>
      <c r="E84" s="148" t="n">
        <f aca="false">SUMIFS(tabela_registros[VALOR],tabela_registros[MÊS],$AE$1,tabela_registros[DIA],receitasfixasconsolidadoout[[#Headers],[1]],tabela_registros[REGISTRO],DADOS!$N$3,tabela_registros[TIPO],DADOS!$V$3,tabela_registros[CATEGORIA],receitasfixasconsolidadoout[[#This Row],[ATUAL]])</f>
        <v>0</v>
      </c>
      <c r="F84" s="119" t="n">
        <f aca="false">SUMIFS(tabela_registros[VALOR],tabela_registros[MÊS],$AE$1,tabela_registros[DIA],receitasfixasconsolidadoout[[#Headers],[2]],tabela_registros[REGISTRO],DADOS!$N$3,tabela_registros[TIPO],DADOS!$V$3,tabela_registros[CATEGORIA],receitasfixasconsolidadoout[[#This Row],[ATUAL]])</f>
        <v>0</v>
      </c>
      <c r="G84" s="119" t="n">
        <f aca="false">SUMIFS(tabela_registros[VALOR],tabela_registros[MÊS],$AE$1,tabela_registros[DIA],receitasfixasconsolidadoout[[#Headers],[3]],tabela_registros[REGISTRO],DADOS!$N$3,tabela_registros[TIPO],DADOS!$V$3,tabela_registros[CATEGORIA],receitasfixasconsolidadoout[[#This Row],[ATUAL]])</f>
        <v>0</v>
      </c>
      <c r="H84" s="119" t="n">
        <f aca="false">SUMIFS(tabela_registros[VALOR],tabela_registros[MÊS],$AE$1,tabela_registros[DIA],receitasfixasconsolidadoout[[#Headers],[4]],tabela_registros[REGISTRO],DADOS!$N$3,tabela_registros[TIPO],DADOS!$V$3,tabela_registros[CATEGORIA],receitasfixasconsolidadoout[[#This Row],[ATUAL]])</f>
        <v>0</v>
      </c>
      <c r="I84" s="119" t="n">
        <f aca="false">SUMIFS(tabela_registros[VALOR],tabela_registros[MÊS],$AE$1,tabela_registros[DIA],receitasfixasconsolidadoout[[#Headers],[5]],tabela_registros[REGISTRO],DADOS!$N$3,tabela_registros[TIPO],DADOS!$V$3,tabela_registros[CATEGORIA],receitasfixasconsolidadoout[[#This Row],[ATUAL]])</f>
        <v>0</v>
      </c>
      <c r="J84" s="119" t="n">
        <f aca="false">SUMIFS(tabela_registros[VALOR],tabela_registros[MÊS],$AE$1,tabela_registros[DIA],receitasfixasconsolidadoout[[#Headers],[6]],tabela_registros[REGISTRO],DADOS!$N$3,tabela_registros[TIPO],DADOS!$V$3,tabela_registros[CATEGORIA],receitasfixasconsolidadoout[[#This Row],[ATUAL]])</f>
        <v>0</v>
      </c>
      <c r="K84" s="119" t="n">
        <f aca="false">SUMIFS(tabela_registros[VALOR],tabela_registros[MÊS],$AE$1,tabela_registros[DIA],receitasfixasconsolidadoout[[#Headers],[7]],tabela_registros[REGISTRO],DADOS!$N$3,tabela_registros[TIPO],DADOS!$V$3,tabela_registros[CATEGORIA],receitasfixasconsolidadoout[[#This Row],[ATUAL]])</f>
        <v>0</v>
      </c>
      <c r="L84" s="119" t="n">
        <f aca="false">SUMIFS(tabela_registros[VALOR],tabela_registros[MÊS],$AE$1,tabela_registros[DIA],receitasfixasconsolidadoout[[#Headers],[8]],tabela_registros[REGISTRO],DADOS!$N$3,tabela_registros[TIPO],DADOS!$V$3,tabela_registros[CATEGORIA],receitasfixasconsolidadoout[[#This Row],[ATUAL]])</f>
        <v>0</v>
      </c>
      <c r="M84" s="119" t="n">
        <f aca="false">SUMIFS(tabela_registros[VALOR],tabela_registros[MÊS],$AE$1,tabela_registros[DIA],receitasfixasconsolidadoout[[#Headers],[9]],tabela_registros[REGISTRO],DADOS!$N$3,tabela_registros[TIPO],DADOS!$V$3,tabela_registros[CATEGORIA],receitasfixasconsolidadoout[[#This Row],[ATUAL]])</f>
        <v>0</v>
      </c>
      <c r="N84" s="119" t="n">
        <f aca="false">SUMIFS(tabela_registros[VALOR],tabela_registros[MÊS],$AE$1,tabela_registros[DIA],receitasfixasconsolidadoout[[#Headers],[10]],tabela_registros[REGISTRO],DADOS!$N$3,tabela_registros[TIPO],DADOS!$V$3,tabela_registros[CATEGORIA],receitasfixasconsolidadoout[[#This Row],[ATUAL]])</f>
        <v>0</v>
      </c>
      <c r="O84" s="119" t="n">
        <f aca="false">SUMIFS(tabela_registros[VALOR],tabela_registros[MÊS],$AE$1,tabela_registros[DIA],receitasfixasconsolidadoout[[#Headers],[11]],tabela_registros[REGISTRO],DADOS!$N$3,tabela_registros[TIPO],DADOS!$V$3,tabela_registros[CATEGORIA],receitasfixasconsolidadoout[[#This Row],[ATUAL]])</f>
        <v>0</v>
      </c>
      <c r="P84" s="119" t="n">
        <f aca="false">SUMIFS(tabela_registros[VALOR],tabela_registros[MÊS],$AE$1,tabela_registros[DIA],receitasfixasconsolidadoout[[#Headers],[12]],tabela_registros[REGISTRO],DADOS!$N$3,tabela_registros[TIPO],DADOS!$V$3,tabela_registros[CATEGORIA],receitasfixasconsolidadoout[[#This Row],[ATUAL]])</f>
        <v>0</v>
      </c>
      <c r="Q84" s="119" t="n">
        <f aca="false">SUMIFS(tabela_registros[VALOR],tabela_registros[MÊS],$AE$1,tabela_registros[DIA],receitasfixasconsolidadoout[[#Headers],[13]],tabela_registros[REGISTRO],DADOS!$N$3,tabela_registros[TIPO],DADOS!$V$3,tabela_registros[CATEGORIA],receitasfixasconsolidadoout[[#This Row],[ATUAL]])</f>
        <v>0</v>
      </c>
      <c r="R84" s="119" t="n">
        <f aca="false">SUMIFS(tabela_registros[VALOR],tabela_registros[MÊS],$AE$1,tabela_registros[DIA],receitasfixasconsolidadoout[[#Headers],[14]],tabela_registros[REGISTRO],DADOS!$N$3,tabela_registros[TIPO],DADOS!$V$3,tabela_registros[CATEGORIA],receitasfixasconsolidadoout[[#This Row],[ATUAL]])</f>
        <v>0</v>
      </c>
      <c r="S84" s="119" t="n">
        <f aca="false">SUMIFS(tabela_registros[VALOR],tabela_registros[MÊS],$AE$1,tabela_registros[DIA],receitasfixasconsolidadoout[[#Headers],[15]],tabela_registros[REGISTRO],DADOS!$N$3,tabela_registros[TIPO],DADOS!$V$3,tabela_registros[CATEGORIA],receitasfixasconsolidadoout[[#This Row],[ATUAL]])</f>
        <v>0</v>
      </c>
      <c r="T84" s="119" t="n">
        <f aca="false">SUMIFS(tabela_registros[VALOR],tabela_registros[MÊS],$AE$1,tabela_registros[DIA],receitasfixasconsolidadoout[[#Headers],[16]],tabela_registros[REGISTRO],DADOS!$N$3,tabela_registros[TIPO],DADOS!$V$3,tabela_registros[CATEGORIA],receitasfixasconsolidadoout[[#This Row],[ATUAL]])</f>
        <v>0</v>
      </c>
      <c r="U84" s="119" t="n">
        <f aca="false">SUMIFS(tabela_registros[VALOR],tabela_registros[MÊS],$AE$1,tabela_registros[DIA],receitasfixasconsolidadoout[[#Headers],[17]],tabela_registros[REGISTRO],DADOS!$N$3,tabela_registros[TIPO],DADOS!$V$3,tabela_registros[CATEGORIA],receitasfixasconsolidadoout[[#This Row],[ATUAL]])</f>
        <v>0</v>
      </c>
      <c r="V84" s="119" t="n">
        <f aca="false">SUMIFS(tabela_registros[VALOR],tabela_registros[MÊS],$AE$1,tabela_registros[DIA],receitasfixasconsolidadoout[[#Headers],[18]],tabela_registros[REGISTRO],DADOS!$N$3,tabela_registros[TIPO],DADOS!$V$3,tabela_registros[CATEGORIA],receitasfixasconsolidadoout[[#This Row],[ATUAL]])</f>
        <v>0</v>
      </c>
      <c r="W84" s="119" t="n">
        <f aca="false">SUMIFS(tabela_registros[VALOR],tabela_registros[MÊS],$AE$1,tabela_registros[DIA],receitasfixasconsolidadoout[[#Headers],[19]],tabela_registros[REGISTRO],DADOS!$N$3,tabela_registros[TIPO],DADOS!$V$3,tabela_registros[CATEGORIA],receitasfixasconsolidadoout[[#This Row],[ATUAL]])</f>
        <v>0</v>
      </c>
      <c r="X84" s="119" t="n">
        <f aca="false">SUMIFS(tabela_registros[VALOR],tabela_registros[MÊS],$AE$1,tabela_registros[DIA],receitasfixasconsolidadoout[[#Headers],[20]],tabela_registros[REGISTRO],DADOS!$N$3,tabela_registros[TIPO],DADOS!$V$3,tabela_registros[CATEGORIA],receitasfixasconsolidadoout[[#This Row],[ATUAL]])</f>
        <v>0</v>
      </c>
      <c r="Y84" s="119" t="n">
        <f aca="false">SUMIFS(tabela_registros[VALOR],tabela_registros[MÊS],$AE$1,tabela_registros[DIA],receitasfixasconsolidadoout[[#Headers],[21]],tabela_registros[REGISTRO],DADOS!$N$3,tabela_registros[TIPO],DADOS!$V$3,tabela_registros[CATEGORIA],receitasfixasconsolidadoout[[#This Row],[ATUAL]])</f>
        <v>0</v>
      </c>
      <c r="Z84" s="119" t="n">
        <f aca="false">SUMIFS(tabela_registros[VALOR],tabela_registros[MÊS],$AE$1,tabela_registros[DIA],receitasfixasconsolidadoout[[#Headers],[22]],tabela_registros[REGISTRO],DADOS!$N$3,tabela_registros[TIPO],DADOS!$V$3,tabela_registros[CATEGORIA],receitasfixasconsolidadoout[[#This Row],[ATUAL]])</f>
        <v>0</v>
      </c>
      <c r="AA84" s="119" t="n">
        <f aca="false">SUMIFS(tabela_registros[VALOR],tabela_registros[MÊS],$AE$1,tabela_registros[DIA],receitasfixasconsolidadoout[[#Headers],[23]],tabela_registros[REGISTRO],DADOS!$N$3,tabela_registros[TIPO],DADOS!$V$3,tabela_registros[CATEGORIA],receitasfixasconsolidadoout[[#This Row],[ATUAL]])</f>
        <v>0</v>
      </c>
      <c r="AB84" s="119" t="n">
        <f aca="false">SUMIFS(tabela_registros[VALOR],tabela_registros[MÊS],$AE$1,tabela_registros[DIA],receitasfixasconsolidadoout[[#Headers],[24]],tabela_registros[REGISTRO],DADOS!$N$3,tabela_registros[TIPO],DADOS!$V$3,tabela_registros[CATEGORIA],receitasfixasconsolidadoout[[#This Row],[ATUAL]])</f>
        <v>0</v>
      </c>
      <c r="AC84" s="119" t="n">
        <f aca="false">SUMIFS(tabela_registros[VALOR],tabela_registros[MÊS],$AE$1,tabela_registros[DIA],receitasfixasconsolidadoout[[#Headers],[25]],tabela_registros[REGISTRO],DADOS!$N$3,tabela_registros[TIPO],DADOS!$V$3,tabela_registros[CATEGORIA],receitasfixasconsolidadoout[[#This Row],[ATUAL]])</f>
        <v>0</v>
      </c>
      <c r="AD84" s="119" t="n">
        <f aca="false">SUMIFS(tabela_registros[VALOR],tabela_registros[MÊS],$AE$1,tabela_registros[DIA],receitasfixasconsolidadoout[[#Headers],[26]],tabela_registros[REGISTRO],DADOS!$N$3,tabela_registros[TIPO],DADOS!$V$3,tabela_registros[CATEGORIA],receitasfixasconsolidadoout[[#This Row],[ATUAL]])</f>
        <v>0</v>
      </c>
      <c r="AE84" s="119" t="n">
        <f aca="false">SUMIFS(tabela_registros[VALOR],tabela_registros[MÊS],$AE$1,tabela_registros[DIA],receitasfixasconsolidadoout[[#Headers],[27]],tabela_registros[REGISTRO],DADOS!$N$3,tabela_registros[TIPO],DADOS!$V$3,tabela_registros[CATEGORIA],receitasfixasconsolidadoout[[#This Row],[ATUAL]])</f>
        <v>0</v>
      </c>
      <c r="AF84" s="119" t="n">
        <f aca="false">SUMIFS(tabela_registros[VALOR],tabela_registros[MÊS],$AE$1,tabela_registros[DIA],receitasfixasconsolidadoout[[#Headers],[28]],tabela_registros[REGISTRO],DADOS!$N$3,tabela_registros[TIPO],DADOS!$V$3,tabela_registros[CATEGORIA],receitasfixasconsolidadoout[[#This Row],[ATUAL]])</f>
        <v>0</v>
      </c>
      <c r="AG84" s="119" t="n">
        <f aca="false">SUMIFS(tabela_registros[VALOR],tabela_registros[MÊS],$AE$1,tabela_registros[DIA],receitasfixasconsolidadoout[[#Headers],[29]],tabela_registros[REGISTRO],DADOS!$N$3,tabela_registros[TIPO],DADOS!$V$3,tabela_registros[CATEGORIA],receitasfixasconsolidadoout[[#This Row],[ATUAL]])</f>
        <v>0</v>
      </c>
      <c r="AH84" s="119" t="n">
        <f aca="false">SUMIFS(tabela_registros[VALOR],tabela_registros[MÊS],$AE$1,tabela_registros[DIA],receitasfixasconsolidadoout[[#Headers],[30]],tabela_registros[REGISTRO],DADOS!$N$3,tabela_registros[TIPO],DADOS!$V$3,tabela_registros[CATEGORIA],receitasfixasconsolidadoout[[#This Row],[ATUAL]])</f>
        <v>0</v>
      </c>
      <c r="AI84" s="217" t="n">
        <f aca="false">SUMIFS(tabela_registros[VALOR],tabela_registros[MÊS],$AE$1,tabela_registros[DIA],receitasfixasconsolidadoout[[#Headers],[31]],tabela_registros[REGISTRO],DADOS!$N$3,tabela_registros[TIPO],DADOS!$V$3,tabela_registros[CATEGORIA],receitasfixasconsolidadoout[[#This Row],[ATUAL]])</f>
        <v>0</v>
      </c>
      <c r="AJ84" s="149" t="n">
        <f aca="false">SUM(receitasfixasconsolidadoout[[#This Row],[1]:[31]])</f>
        <v>0</v>
      </c>
      <c r="AK84" s="165"/>
    </row>
    <row r="85" customFormat="false" ht="19.5" hidden="false" customHeight="true" outlineLevel="0" collapsed="false">
      <c r="B85" s="143"/>
      <c r="C85" s="144" t="str">
        <f aca="false">DADOS!$X$6</f>
        <v>💰 SALÁRIO</v>
      </c>
      <c r="D85" s="145" t="str">
        <f aca="false">IF(receitasfixasconsolidadoout[[#This Row],[TOTAL (R$)]]=0,"",IF(OR(receitasfixasconsolidadoout[[#This Row],[TOTAL (R$)]]=LARGE($AJ$82:$AJ$86,1),receitasfixasconsolidadoout[[#This Row],[TOTAL (R$)]]=LARGE($AJ$82:$AJ$86,2)),DADOS!$I$9,""))</f>
        <v/>
      </c>
      <c r="E85" s="148" t="n">
        <f aca="false">SUMIFS(tabela_registros[VALOR],tabela_registros[MÊS],$AE$1,tabela_registros[DIA],receitasfixasconsolidadoout[[#Headers],[1]],tabela_registros[REGISTRO],DADOS!$N$3,tabela_registros[TIPO],DADOS!$V$3,tabela_registros[CATEGORIA],receitasfixasconsolidadoout[[#This Row],[ATUAL]])</f>
        <v>0</v>
      </c>
      <c r="F85" s="119" t="n">
        <f aca="false">SUMIFS(tabela_registros[VALOR],tabela_registros[MÊS],$AE$1,tabela_registros[DIA],receitasfixasconsolidadoout[[#Headers],[2]],tabela_registros[REGISTRO],DADOS!$N$3,tabela_registros[TIPO],DADOS!$V$3,tabela_registros[CATEGORIA],receitasfixasconsolidadoout[[#This Row],[ATUAL]])</f>
        <v>0</v>
      </c>
      <c r="G85" s="119" t="n">
        <f aca="false">SUMIFS(tabela_registros[VALOR],tabela_registros[MÊS],$AE$1,tabela_registros[DIA],receitasfixasconsolidadoout[[#Headers],[3]],tabela_registros[REGISTRO],DADOS!$N$3,tabela_registros[TIPO],DADOS!$V$3,tabela_registros[CATEGORIA],receitasfixasconsolidadoout[[#This Row],[ATUAL]])</f>
        <v>0</v>
      </c>
      <c r="H85" s="119" t="n">
        <f aca="false">SUMIFS(tabela_registros[VALOR],tabela_registros[MÊS],$AE$1,tabela_registros[DIA],receitasfixasconsolidadoout[[#Headers],[4]],tabela_registros[REGISTRO],DADOS!$N$3,tabela_registros[TIPO],DADOS!$V$3,tabela_registros[CATEGORIA],receitasfixasconsolidadoout[[#This Row],[ATUAL]])</f>
        <v>0</v>
      </c>
      <c r="I85" s="119" t="n">
        <f aca="false">SUMIFS(tabela_registros[VALOR],tabela_registros[MÊS],$AE$1,tabela_registros[DIA],receitasfixasconsolidadoout[[#Headers],[5]],tabela_registros[REGISTRO],DADOS!$N$3,tabela_registros[TIPO],DADOS!$V$3,tabela_registros[CATEGORIA],receitasfixasconsolidadoout[[#This Row],[ATUAL]])</f>
        <v>0</v>
      </c>
      <c r="J85" s="119" t="n">
        <f aca="false">SUMIFS(tabela_registros[VALOR],tabela_registros[MÊS],$AE$1,tabela_registros[DIA],receitasfixasconsolidadoout[[#Headers],[6]],tabela_registros[REGISTRO],DADOS!$N$3,tabela_registros[TIPO],DADOS!$V$3,tabela_registros[CATEGORIA],receitasfixasconsolidadoout[[#This Row],[ATUAL]])</f>
        <v>0</v>
      </c>
      <c r="K85" s="119" t="n">
        <f aca="false">SUMIFS(tabela_registros[VALOR],tabela_registros[MÊS],$AE$1,tabela_registros[DIA],receitasfixasconsolidadoout[[#Headers],[7]],tabela_registros[REGISTRO],DADOS!$N$3,tabela_registros[TIPO],DADOS!$V$3,tabela_registros[CATEGORIA],receitasfixasconsolidadoout[[#This Row],[ATUAL]])</f>
        <v>0</v>
      </c>
      <c r="L85" s="119" t="n">
        <f aca="false">SUMIFS(tabela_registros[VALOR],tabela_registros[MÊS],$AE$1,tabela_registros[DIA],receitasfixasconsolidadoout[[#Headers],[8]],tabela_registros[REGISTRO],DADOS!$N$3,tabela_registros[TIPO],DADOS!$V$3,tabela_registros[CATEGORIA],receitasfixasconsolidadoout[[#This Row],[ATUAL]])</f>
        <v>0</v>
      </c>
      <c r="M85" s="119" t="n">
        <f aca="false">SUMIFS(tabela_registros[VALOR],tabela_registros[MÊS],$AE$1,tabela_registros[DIA],receitasfixasconsolidadoout[[#Headers],[9]],tabela_registros[REGISTRO],DADOS!$N$3,tabela_registros[TIPO],DADOS!$V$3,tabela_registros[CATEGORIA],receitasfixasconsolidadoout[[#This Row],[ATUAL]])</f>
        <v>0</v>
      </c>
      <c r="N85" s="119" t="n">
        <f aca="false">SUMIFS(tabela_registros[VALOR],tabela_registros[MÊS],$AE$1,tabela_registros[DIA],receitasfixasconsolidadoout[[#Headers],[10]],tabela_registros[REGISTRO],DADOS!$N$3,tabela_registros[TIPO],DADOS!$V$3,tabela_registros[CATEGORIA],receitasfixasconsolidadoout[[#This Row],[ATUAL]])</f>
        <v>0</v>
      </c>
      <c r="O85" s="119" t="n">
        <f aca="false">SUMIFS(tabela_registros[VALOR],tabela_registros[MÊS],$AE$1,tabela_registros[DIA],receitasfixasconsolidadoout[[#Headers],[11]],tabela_registros[REGISTRO],DADOS!$N$3,tabela_registros[TIPO],DADOS!$V$3,tabela_registros[CATEGORIA],receitasfixasconsolidadoout[[#This Row],[ATUAL]])</f>
        <v>0</v>
      </c>
      <c r="P85" s="119" t="n">
        <f aca="false">SUMIFS(tabela_registros[VALOR],tabela_registros[MÊS],$AE$1,tabela_registros[DIA],receitasfixasconsolidadoout[[#Headers],[12]],tabela_registros[REGISTRO],DADOS!$N$3,tabela_registros[TIPO],DADOS!$V$3,tabela_registros[CATEGORIA],receitasfixasconsolidadoout[[#This Row],[ATUAL]])</f>
        <v>0</v>
      </c>
      <c r="Q85" s="119" t="n">
        <f aca="false">SUMIFS(tabela_registros[VALOR],tabela_registros[MÊS],$AE$1,tabela_registros[DIA],receitasfixasconsolidadoout[[#Headers],[13]],tabela_registros[REGISTRO],DADOS!$N$3,tabela_registros[TIPO],DADOS!$V$3,tabela_registros[CATEGORIA],receitasfixasconsolidadoout[[#This Row],[ATUAL]])</f>
        <v>0</v>
      </c>
      <c r="R85" s="119" t="n">
        <f aca="false">SUMIFS(tabela_registros[VALOR],tabela_registros[MÊS],$AE$1,tabela_registros[DIA],receitasfixasconsolidadoout[[#Headers],[14]],tabela_registros[REGISTRO],DADOS!$N$3,tabela_registros[TIPO],DADOS!$V$3,tabela_registros[CATEGORIA],receitasfixasconsolidadoout[[#This Row],[ATUAL]])</f>
        <v>0</v>
      </c>
      <c r="S85" s="119" t="n">
        <f aca="false">SUMIFS(tabela_registros[VALOR],tabela_registros[MÊS],$AE$1,tabela_registros[DIA],receitasfixasconsolidadoout[[#Headers],[15]],tabela_registros[REGISTRO],DADOS!$N$3,tabela_registros[TIPO],DADOS!$V$3,tabela_registros[CATEGORIA],receitasfixasconsolidadoout[[#This Row],[ATUAL]])</f>
        <v>0</v>
      </c>
      <c r="T85" s="119" t="n">
        <f aca="false">SUMIFS(tabela_registros[VALOR],tabela_registros[MÊS],$AE$1,tabela_registros[DIA],receitasfixasconsolidadoout[[#Headers],[16]],tabela_registros[REGISTRO],DADOS!$N$3,tabela_registros[TIPO],DADOS!$V$3,tabela_registros[CATEGORIA],receitasfixasconsolidadoout[[#This Row],[ATUAL]])</f>
        <v>0</v>
      </c>
      <c r="U85" s="119" t="n">
        <f aca="false">SUMIFS(tabela_registros[VALOR],tabela_registros[MÊS],$AE$1,tabela_registros[DIA],receitasfixasconsolidadoout[[#Headers],[17]],tabela_registros[REGISTRO],DADOS!$N$3,tabela_registros[TIPO],DADOS!$V$3,tabela_registros[CATEGORIA],receitasfixasconsolidadoout[[#This Row],[ATUAL]])</f>
        <v>0</v>
      </c>
      <c r="V85" s="119" t="n">
        <f aca="false">SUMIFS(tabela_registros[VALOR],tabela_registros[MÊS],$AE$1,tabela_registros[DIA],receitasfixasconsolidadoout[[#Headers],[18]],tabela_registros[REGISTRO],DADOS!$N$3,tabela_registros[TIPO],DADOS!$V$3,tabela_registros[CATEGORIA],receitasfixasconsolidadoout[[#This Row],[ATUAL]])</f>
        <v>0</v>
      </c>
      <c r="W85" s="119" t="n">
        <f aca="false">SUMIFS(tabela_registros[VALOR],tabela_registros[MÊS],$AE$1,tabela_registros[DIA],receitasfixasconsolidadoout[[#Headers],[19]],tabela_registros[REGISTRO],DADOS!$N$3,tabela_registros[TIPO],DADOS!$V$3,tabela_registros[CATEGORIA],receitasfixasconsolidadoout[[#This Row],[ATUAL]])</f>
        <v>0</v>
      </c>
      <c r="X85" s="119" t="n">
        <f aca="false">SUMIFS(tabela_registros[VALOR],tabela_registros[MÊS],$AE$1,tabela_registros[DIA],receitasfixasconsolidadoout[[#Headers],[20]],tabela_registros[REGISTRO],DADOS!$N$3,tabela_registros[TIPO],DADOS!$V$3,tabela_registros[CATEGORIA],receitasfixasconsolidadoout[[#This Row],[ATUAL]])</f>
        <v>0</v>
      </c>
      <c r="Y85" s="119" t="n">
        <f aca="false">SUMIFS(tabela_registros[VALOR],tabela_registros[MÊS],$AE$1,tabela_registros[DIA],receitasfixasconsolidadoout[[#Headers],[21]],tabela_registros[REGISTRO],DADOS!$N$3,tabela_registros[TIPO],DADOS!$V$3,tabela_registros[CATEGORIA],receitasfixasconsolidadoout[[#This Row],[ATUAL]])</f>
        <v>0</v>
      </c>
      <c r="Z85" s="119" t="n">
        <f aca="false">SUMIFS(tabela_registros[VALOR],tabela_registros[MÊS],$AE$1,tabela_registros[DIA],receitasfixasconsolidadoout[[#Headers],[22]],tabela_registros[REGISTRO],DADOS!$N$3,tabela_registros[TIPO],DADOS!$V$3,tabela_registros[CATEGORIA],receitasfixasconsolidadoout[[#This Row],[ATUAL]])</f>
        <v>0</v>
      </c>
      <c r="AA85" s="119" t="n">
        <f aca="false">SUMIFS(tabela_registros[VALOR],tabela_registros[MÊS],$AE$1,tabela_registros[DIA],receitasfixasconsolidadoout[[#Headers],[23]],tabela_registros[REGISTRO],DADOS!$N$3,tabela_registros[TIPO],DADOS!$V$3,tabela_registros[CATEGORIA],receitasfixasconsolidadoout[[#This Row],[ATUAL]])</f>
        <v>0</v>
      </c>
      <c r="AB85" s="119" t="n">
        <f aca="false">SUMIFS(tabela_registros[VALOR],tabela_registros[MÊS],$AE$1,tabela_registros[DIA],receitasfixasconsolidadoout[[#Headers],[24]],tabela_registros[REGISTRO],DADOS!$N$3,tabela_registros[TIPO],DADOS!$V$3,tabela_registros[CATEGORIA],receitasfixasconsolidadoout[[#This Row],[ATUAL]])</f>
        <v>0</v>
      </c>
      <c r="AC85" s="119" t="n">
        <f aca="false">SUMIFS(tabela_registros[VALOR],tabela_registros[MÊS],$AE$1,tabela_registros[DIA],receitasfixasconsolidadoout[[#Headers],[25]],tabela_registros[REGISTRO],DADOS!$N$3,tabela_registros[TIPO],DADOS!$V$3,tabela_registros[CATEGORIA],receitasfixasconsolidadoout[[#This Row],[ATUAL]])</f>
        <v>0</v>
      </c>
      <c r="AD85" s="119" t="n">
        <f aca="false">SUMIFS(tabela_registros[VALOR],tabela_registros[MÊS],$AE$1,tabela_registros[DIA],receitasfixasconsolidadoout[[#Headers],[26]],tabela_registros[REGISTRO],DADOS!$N$3,tabela_registros[TIPO],DADOS!$V$3,tabela_registros[CATEGORIA],receitasfixasconsolidadoout[[#This Row],[ATUAL]])</f>
        <v>0</v>
      </c>
      <c r="AE85" s="119" t="n">
        <f aca="false">SUMIFS(tabela_registros[VALOR],tabela_registros[MÊS],$AE$1,tabela_registros[DIA],receitasfixasconsolidadoout[[#Headers],[27]],tabela_registros[REGISTRO],DADOS!$N$3,tabela_registros[TIPO],DADOS!$V$3,tabela_registros[CATEGORIA],receitasfixasconsolidadoout[[#This Row],[ATUAL]])</f>
        <v>0</v>
      </c>
      <c r="AF85" s="119" t="n">
        <f aca="false">SUMIFS(tabela_registros[VALOR],tabela_registros[MÊS],$AE$1,tabela_registros[DIA],receitasfixasconsolidadoout[[#Headers],[28]],tabela_registros[REGISTRO],DADOS!$N$3,tabela_registros[TIPO],DADOS!$V$3,tabela_registros[CATEGORIA],receitasfixasconsolidadoout[[#This Row],[ATUAL]])</f>
        <v>0</v>
      </c>
      <c r="AG85" s="119" t="n">
        <f aca="false">SUMIFS(tabela_registros[VALOR],tabela_registros[MÊS],$AE$1,tabela_registros[DIA],receitasfixasconsolidadoout[[#Headers],[29]],tabela_registros[REGISTRO],DADOS!$N$3,tabela_registros[TIPO],DADOS!$V$3,tabela_registros[CATEGORIA],receitasfixasconsolidadoout[[#This Row],[ATUAL]])</f>
        <v>0</v>
      </c>
      <c r="AH85" s="119" t="n">
        <f aca="false">SUMIFS(tabela_registros[VALOR],tabela_registros[MÊS],$AE$1,tabela_registros[DIA],receitasfixasconsolidadoout[[#Headers],[30]],tabela_registros[REGISTRO],DADOS!$N$3,tabela_registros[TIPO],DADOS!$V$3,tabela_registros[CATEGORIA],receitasfixasconsolidadoout[[#This Row],[ATUAL]])</f>
        <v>0</v>
      </c>
      <c r="AI85" s="217" t="n">
        <f aca="false">SUMIFS(tabela_registros[VALOR],tabela_registros[MÊS],$AE$1,tabela_registros[DIA],receitasfixasconsolidadoout[[#Headers],[31]],tabela_registros[REGISTRO],DADOS!$N$3,tabela_registros[TIPO],DADOS!$V$3,tabela_registros[CATEGORIA],receitasfixasconsolidadoout[[#This Row],[ATUAL]])</f>
        <v>0</v>
      </c>
      <c r="AJ85" s="149" t="n">
        <f aca="false">SUM(receitasfixasconsolidadoout[[#This Row],[1]:[31]])</f>
        <v>0</v>
      </c>
      <c r="AK85" s="165"/>
    </row>
    <row r="86" customFormat="false" ht="18" hidden="false" customHeight="true" outlineLevel="0" collapsed="false">
      <c r="B86" s="143"/>
      <c r="C86" s="144" t="str">
        <f aca="false">DADOS!$X$7</f>
        <v>📎 OUTROS</v>
      </c>
      <c r="D86" s="145" t="str">
        <f aca="false">IF(receitasfixasconsolidadoout[[#This Row],[TOTAL (R$)]]=0,"",IF(OR(receitasfixasconsolidadoout[[#This Row],[TOTAL (R$)]]=LARGE($AJ$82:$AJ$86,1),receitasfixasconsolidadoout[[#This Row],[TOTAL (R$)]]=LARGE($AJ$82:$AJ$86,2)),DADOS!$I$9,""))</f>
        <v/>
      </c>
      <c r="E86" s="148" t="n">
        <f aca="false">SUMIFS(tabela_registros[VALOR],tabela_registros[MÊS],$AE$1,tabela_registros[DIA],receitasfixasconsolidadoout[[#Headers],[1]],tabela_registros[REGISTRO],DADOS!$N$3,tabela_registros[TIPO],DADOS!$V$3,tabela_registros[CATEGORIA],receitasfixasconsolidadoout[[#This Row],[ATUAL]])</f>
        <v>0</v>
      </c>
      <c r="F86" s="119" t="n">
        <f aca="false">SUMIFS(tabela_registros[VALOR],tabela_registros[MÊS],$AE$1,tabela_registros[DIA],receitasfixasconsolidadoout[[#Headers],[2]],tabela_registros[REGISTRO],DADOS!$N$3,tabela_registros[TIPO],DADOS!$V$3,tabela_registros[CATEGORIA],receitasfixasconsolidadoout[[#This Row],[ATUAL]])</f>
        <v>0</v>
      </c>
      <c r="G86" s="119" t="n">
        <f aca="false">SUMIFS(tabela_registros[VALOR],tabela_registros[MÊS],$AE$1,tabela_registros[DIA],receitasfixasconsolidadoout[[#Headers],[3]],tabela_registros[REGISTRO],DADOS!$N$3,tabela_registros[TIPO],DADOS!$V$3,tabela_registros[CATEGORIA],receitasfixasconsolidadoout[[#This Row],[ATUAL]])</f>
        <v>0</v>
      </c>
      <c r="H86" s="119" t="n">
        <f aca="false">SUMIFS(tabela_registros[VALOR],tabela_registros[MÊS],$AE$1,tabela_registros[DIA],receitasfixasconsolidadoout[[#Headers],[4]],tabela_registros[REGISTRO],DADOS!$N$3,tabela_registros[TIPO],DADOS!$V$3,tabela_registros[CATEGORIA],receitasfixasconsolidadoout[[#This Row],[ATUAL]])</f>
        <v>0</v>
      </c>
      <c r="I86" s="119" t="n">
        <f aca="false">SUMIFS(tabela_registros[VALOR],tabela_registros[MÊS],$AE$1,tabela_registros[DIA],receitasfixasconsolidadoout[[#Headers],[5]],tabela_registros[REGISTRO],DADOS!$N$3,tabela_registros[TIPO],DADOS!$V$3,tabela_registros[CATEGORIA],receitasfixasconsolidadoout[[#This Row],[ATUAL]])</f>
        <v>0</v>
      </c>
      <c r="J86" s="119" t="n">
        <f aca="false">SUMIFS(tabela_registros[VALOR],tabela_registros[MÊS],$AE$1,tabela_registros[DIA],receitasfixasconsolidadoout[[#Headers],[6]],tabela_registros[REGISTRO],DADOS!$N$3,tabela_registros[TIPO],DADOS!$V$3,tabela_registros[CATEGORIA],receitasfixasconsolidadoout[[#This Row],[ATUAL]])</f>
        <v>0</v>
      </c>
      <c r="K86" s="119" t="n">
        <f aca="false">SUMIFS(tabela_registros[VALOR],tabela_registros[MÊS],$AE$1,tabela_registros[DIA],receitasfixasconsolidadoout[[#Headers],[7]],tabela_registros[REGISTRO],DADOS!$N$3,tabela_registros[TIPO],DADOS!$V$3,tabela_registros[CATEGORIA],receitasfixasconsolidadoout[[#This Row],[ATUAL]])</f>
        <v>0</v>
      </c>
      <c r="L86" s="119" t="n">
        <f aca="false">SUMIFS(tabela_registros[VALOR],tabela_registros[MÊS],$AE$1,tabela_registros[DIA],receitasfixasconsolidadoout[[#Headers],[8]],tabela_registros[REGISTRO],DADOS!$N$3,tabela_registros[TIPO],DADOS!$V$3,tabela_registros[CATEGORIA],receitasfixasconsolidadoout[[#This Row],[ATUAL]])</f>
        <v>0</v>
      </c>
      <c r="M86" s="119" t="n">
        <f aca="false">SUMIFS(tabela_registros[VALOR],tabela_registros[MÊS],$AE$1,tabela_registros[DIA],receitasfixasconsolidadoout[[#Headers],[9]],tabela_registros[REGISTRO],DADOS!$N$3,tabela_registros[TIPO],DADOS!$V$3,tabela_registros[CATEGORIA],receitasfixasconsolidadoout[[#This Row],[ATUAL]])</f>
        <v>0</v>
      </c>
      <c r="N86" s="119" t="n">
        <f aca="false">SUMIFS(tabela_registros[VALOR],tabela_registros[MÊS],$AE$1,tabela_registros[DIA],receitasfixasconsolidadoout[[#Headers],[10]],tabela_registros[REGISTRO],DADOS!$N$3,tabela_registros[TIPO],DADOS!$V$3,tabela_registros[CATEGORIA],receitasfixasconsolidadoout[[#This Row],[ATUAL]])</f>
        <v>0</v>
      </c>
      <c r="O86" s="119" t="n">
        <f aca="false">SUMIFS(tabela_registros[VALOR],tabela_registros[MÊS],$AE$1,tabela_registros[DIA],receitasfixasconsolidadoout[[#Headers],[11]],tabela_registros[REGISTRO],DADOS!$N$3,tabela_registros[TIPO],DADOS!$V$3,tabela_registros[CATEGORIA],receitasfixasconsolidadoout[[#This Row],[ATUAL]])</f>
        <v>0</v>
      </c>
      <c r="P86" s="119" t="n">
        <f aca="false">SUMIFS(tabela_registros[VALOR],tabela_registros[MÊS],$AE$1,tabela_registros[DIA],receitasfixasconsolidadoout[[#Headers],[12]],tabela_registros[REGISTRO],DADOS!$N$3,tabela_registros[TIPO],DADOS!$V$3,tabela_registros[CATEGORIA],receitasfixasconsolidadoout[[#This Row],[ATUAL]])</f>
        <v>0</v>
      </c>
      <c r="Q86" s="119" t="n">
        <f aca="false">SUMIFS(tabela_registros[VALOR],tabela_registros[MÊS],$AE$1,tabela_registros[DIA],receitasfixasconsolidadoout[[#Headers],[13]],tabela_registros[REGISTRO],DADOS!$N$3,tabela_registros[TIPO],DADOS!$V$3,tabela_registros[CATEGORIA],receitasfixasconsolidadoout[[#This Row],[ATUAL]])</f>
        <v>0</v>
      </c>
      <c r="R86" s="119" t="n">
        <f aca="false">SUMIFS(tabela_registros[VALOR],tabela_registros[MÊS],$AE$1,tabela_registros[DIA],receitasfixasconsolidadoout[[#Headers],[14]],tabela_registros[REGISTRO],DADOS!$N$3,tabela_registros[TIPO],DADOS!$V$3,tabela_registros[CATEGORIA],receitasfixasconsolidadoout[[#This Row],[ATUAL]])</f>
        <v>0</v>
      </c>
      <c r="S86" s="119" t="n">
        <f aca="false">SUMIFS(tabela_registros[VALOR],tabela_registros[MÊS],$AE$1,tabela_registros[DIA],receitasfixasconsolidadoout[[#Headers],[15]],tabela_registros[REGISTRO],DADOS!$N$3,tabela_registros[TIPO],DADOS!$V$3,tabela_registros[CATEGORIA],receitasfixasconsolidadoout[[#This Row],[ATUAL]])</f>
        <v>0</v>
      </c>
      <c r="T86" s="119" t="n">
        <f aca="false">SUMIFS(tabela_registros[VALOR],tabela_registros[MÊS],$AE$1,tabela_registros[DIA],receitasfixasconsolidadoout[[#Headers],[16]],tabela_registros[REGISTRO],DADOS!$N$3,tabela_registros[TIPO],DADOS!$V$3,tabela_registros[CATEGORIA],receitasfixasconsolidadoout[[#This Row],[ATUAL]])</f>
        <v>0</v>
      </c>
      <c r="U86" s="119" t="n">
        <f aca="false">SUMIFS(tabela_registros[VALOR],tabela_registros[MÊS],$AE$1,tabela_registros[DIA],receitasfixasconsolidadoout[[#Headers],[17]],tabela_registros[REGISTRO],DADOS!$N$3,tabela_registros[TIPO],DADOS!$V$3,tabela_registros[CATEGORIA],receitasfixasconsolidadoout[[#This Row],[ATUAL]])</f>
        <v>0</v>
      </c>
      <c r="V86" s="119" t="n">
        <f aca="false">SUMIFS(tabela_registros[VALOR],tabela_registros[MÊS],$AE$1,tabela_registros[DIA],receitasfixasconsolidadoout[[#Headers],[18]],tabela_registros[REGISTRO],DADOS!$N$3,tabela_registros[TIPO],DADOS!$V$3,tabela_registros[CATEGORIA],receitasfixasconsolidadoout[[#This Row],[ATUAL]])</f>
        <v>0</v>
      </c>
      <c r="W86" s="119" t="n">
        <f aca="false">SUMIFS(tabela_registros[VALOR],tabela_registros[MÊS],$AE$1,tabela_registros[DIA],receitasfixasconsolidadoout[[#Headers],[19]],tabela_registros[REGISTRO],DADOS!$N$3,tabela_registros[TIPO],DADOS!$V$3,tabela_registros[CATEGORIA],receitasfixasconsolidadoout[[#This Row],[ATUAL]])</f>
        <v>0</v>
      </c>
      <c r="X86" s="119" t="n">
        <f aca="false">SUMIFS(tabela_registros[VALOR],tabela_registros[MÊS],$AE$1,tabela_registros[DIA],receitasfixasconsolidadoout[[#Headers],[20]],tabela_registros[REGISTRO],DADOS!$N$3,tabela_registros[TIPO],DADOS!$V$3,tabela_registros[CATEGORIA],receitasfixasconsolidadoout[[#This Row],[ATUAL]])</f>
        <v>0</v>
      </c>
      <c r="Y86" s="119" t="n">
        <f aca="false">SUMIFS(tabela_registros[VALOR],tabela_registros[MÊS],$AE$1,tabela_registros[DIA],receitasfixasconsolidadoout[[#Headers],[21]],tabela_registros[REGISTRO],DADOS!$N$3,tabela_registros[TIPO],DADOS!$V$3,tabela_registros[CATEGORIA],receitasfixasconsolidadoout[[#This Row],[ATUAL]])</f>
        <v>0</v>
      </c>
      <c r="Z86" s="119" t="n">
        <f aca="false">SUMIFS(tabela_registros[VALOR],tabela_registros[MÊS],$AE$1,tabela_registros[DIA],receitasfixasconsolidadoout[[#Headers],[22]],tabela_registros[REGISTRO],DADOS!$N$3,tabela_registros[TIPO],DADOS!$V$3,tabela_registros[CATEGORIA],receitasfixasconsolidadoout[[#This Row],[ATUAL]])</f>
        <v>0</v>
      </c>
      <c r="AA86" s="119" t="n">
        <f aca="false">SUMIFS(tabela_registros[VALOR],tabela_registros[MÊS],$AE$1,tabela_registros[DIA],receitasfixasconsolidadoout[[#Headers],[23]],tabela_registros[REGISTRO],DADOS!$N$3,tabela_registros[TIPO],DADOS!$V$3,tabela_registros[CATEGORIA],receitasfixasconsolidadoout[[#This Row],[ATUAL]])</f>
        <v>0</v>
      </c>
      <c r="AB86" s="119" t="n">
        <f aca="false">SUMIFS(tabela_registros[VALOR],tabela_registros[MÊS],$AE$1,tabela_registros[DIA],receitasfixasconsolidadoout[[#Headers],[24]],tabela_registros[REGISTRO],DADOS!$N$3,tabela_registros[TIPO],DADOS!$V$3,tabela_registros[CATEGORIA],receitasfixasconsolidadoout[[#This Row],[ATUAL]])</f>
        <v>0</v>
      </c>
      <c r="AC86" s="119" t="n">
        <f aca="false">SUMIFS(tabela_registros[VALOR],tabela_registros[MÊS],$AE$1,tabela_registros[DIA],receitasfixasconsolidadoout[[#Headers],[25]],tabela_registros[REGISTRO],DADOS!$N$3,tabela_registros[TIPO],DADOS!$V$3,tabela_registros[CATEGORIA],receitasfixasconsolidadoout[[#This Row],[ATUAL]])</f>
        <v>0</v>
      </c>
      <c r="AD86" s="119" t="n">
        <f aca="false">SUMIFS(tabela_registros[VALOR],tabela_registros[MÊS],$AE$1,tabela_registros[DIA],receitasfixasconsolidadoout[[#Headers],[26]],tabela_registros[REGISTRO],DADOS!$N$3,tabela_registros[TIPO],DADOS!$V$3,tabela_registros[CATEGORIA],receitasfixasconsolidadoout[[#This Row],[ATUAL]])</f>
        <v>0</v>
      </c>
      <c r="AE86" s="119" t="n">
        <f aca="false">SUMIFS(tabela_registros[VALOR],tabela_registros[MÊS],$AE$1,tabela_registros[DIA],receitasfixasconsolidadoout[[#Headers],[27]],tabela_registros[REGISTRO],DADOS!$N$3,tabela_registros[TIPO],DADOS!$V$3,tabela_registros[CATEGORIA],receitasfixasconsolidadoout[[#This Row],[ATUAL]])</f>
        <v>0</v>
      </c>
      <c r="AF86" s="119" t="n">
        <f aca="false">SUMIFS(tabela_registros[VALOR],tabela_registros[MÊS],$AE$1,tabela_registros[DIA],receitasfixasconsolidadoout[[#Headers],[28]],tabela_registros[REGISTRO],DADOS!$N$3,tabela_registros[TIPO],DADOS!$V$3,tabela_registros[CATEGORIA],receitasfixasconsolidadoout[[#This Row],[ATUAL]])</f>
        <v>0</v>
      </c>
      <c r="AG86" s="119" t="n">
        <f aca="false">SUMIFS(tabela_registros[VALOR],tabela_registros[MÊS],$AE$1,tabela_registros[DIA],receitasfixasconsolidadoout[[#Headers],[29]],tabela_registros[REGISTRO],DADOS!$N$3,tabela_registros[TIPO],DADOS!$V$3,tabela_registros[CATEGORIA],receitasfixasconsolidadoout[[#This Row],[ATUAL]])</f>
        <v>0</v>
      </c>
      <c r="AH86" s="119" t="n">
        <f aca="false">SUMIFS(tabela_registros[VALOR],tabela_registros[MÊS],$AE$1,tabela_registros[DIA],receitasfixasconsolidadoout[[#Headers],[30]],tabela_registros[REGISTRO],DADOS!$N$3,tabela_registros[TIPO],DADOS!$V$3,tabela_registros[CATEGORIA],receitasfixasconsolidadoout[[#This Row],[ATUAL]])</f>
        <v>0</v>
      </c>
      <c r="AI86" s="218" t="n">
        <f aca="false">SUMIFS(tabela_registros[VALOR],tabela_registros[MÊS],$AE$1,tabela_registros[DIA],receitasfixasconsolidadoout[[#Headers],[31]],tabela_registros[REGISTRO],DADOS!$N$3,tabela_registros[TIPO],DADOS!$V$3,tabela_registros[CATEGORIA],receitasfixasconsolidadoout[[#This Row],[ATUAL]])</f>
        <v>0</v>
      </c>
      <c r="AJ86" s="219" t="n">
        <f aca="false">SUM(receitasfixasconsolidadoout[[#This Row],[1]:[31]])</f>
        <v>0</v>
      </c>
      <c r="AK86" s="165"/>
    </row>
    <row r="87" s="122" customFormat="true" ht="21" hidden="false" customHeight="true" outlineLevel="0" collapsed="false">
      <c r="B87" s="152"/>
      <c r="C87" s="153" t="s">
        <v>2</v>
      </c>
      <c r="D87" s="166"/>
      <c r="E87" s="155" t="n">
        <f aca="false">SUM(E82:E86)</f>
        <v>0</v>
      </c>
      <c r="F87" s="156" t="n">
        <f aca="false">SUM(F82:F86)+receitasfixasconsolidadoout[[#This Row],[1]]</f>
        <v>0</v>
      </c>
      <c r="G87" s="156" t="n">
        <f aca="false">SUM(G82:G86)+receitasfixasconsolidadoout[[#This Row],[2]]</f>
        <v>0</v>
      </c>
      <c r="H87" s="156" t="n">
        <f aca="false">SUM(H82:H86)+receitasfixasconsolidadoout[[#This Row],[3]]</f>
        <v>0</v>
      </c>
      <c r="I87" s="156" t="n">
        <f aca="false">SUM(I82:I86)+receitasfixasconsolidadoout[[#This Row],[4]]</f>
        <v>0</v>
      </c>
      <c r="J87" s="156" t="n">
        <f aca="false">SUM(J82:J86)+receitasfixasconsolidadoout[[#This Row],[5]]</f>
        <v>0</v>
      </c>
      <c r="K87" s="156" t="n">
        <f aca="false">SUM(K82:K86)+receitasfixasconsolidadoout[[#This Row],[6]]</f>
        <v>0</v>
      </c>
      <c r="L87" s="156" t="n">
        <f aca="false">SUM(L82:L86)+receitasfixasconsolidadoout[[#This Row],[7]]</f>
        <v>0</v>
      </c>
      <c r="M87" s="156" t="n">
        <f aca="false">SUM(M82:M86)+receitasfixasconsolidadoout[[#This Row],[8]]</f>
        <v>0</v>
      </c>
      <c r="N87" s="156" t="n">
        <f aca="false">SUM(N82:N86)+receitasfixasconsolidadoout[[#This Row],[9]]</f>
        <v>0</v>
      </c>
      <c r="O87" s="156" t="n">
        <f aca="false">SUM(O82:O86)+receitasfixasconsolidadoout[[#This Row],[10]]</f>
        <v>0</v>
      </c>
      <c r="P87" s="156" t="n">
        <f aca="false">SUM(P82:P86)+receitasfixasconsolidadoout[[#This Row],[11]]</f>
        <v>0</v>
      </c>
      <c r="Q87" s="156" t="n">
        <f aca="false">SUM(Q82:Q86)+receitasfixasconsolidadoout[[#This Row],[12]]</f>
        <v>0</v>
      </c>
      <c r="R87" s="156" t="n">
        <f aca="false">SUM(R82:R86)+receitasfixasconsolidadoout[[#This Row],[13]]</f>
        <v>0</v>
      </c>
      <c r="S87" s="156" t="n">
        <f aca="false">SUM(S82:S86)+receitasfixasconsolidadoout[[#This Row],[14]]</f>
        <v>0</v>
      </c>
      <c r="T87" s="156" t="n">
        <f aca="false">SUM(T82:T86)+receitasfixasconsolidadoout[[#This Row],[15]]</f>
        <v>0</v>
      </c>
      <c r="U87" s="156" t="n">
        <f aca="false">SUM(U82:U86)+receitasfixasconsolidadoout[[#This Row],[16]]</f>
        <v>0</v>
      </c>
      <c r="V87" s="156" t="n">
        <f aca="false">SUM(V82:V86)+receitasfixasconsolidadoout[[#This Row],[17]]</f>
        <v>0</v>
      </c>
      <c r="W87" s="156" t="n">
        <f aca="false">SUM(W82:W86)+receitasfixasconsolidadoout[[#This Row],[18]]</f>
        <v>0</v>
      </c>
      <c r="X87" s="156" t="n">
        <f aca="false">SUM(X82:X86)+receitasfixasconsolidadoout[[#This Row],[19]]</f>
        <v>0</v>
      </c>
      <c r="Y87" s="156" t="n">
        <f aca="false">SUM(Y82:Y86)+receitasfixasconsolidadoout[[#This Row],[20]]</f>
        <v>0</v>
      </c>
      <c r="Z87" s="156" t="n">
        <f aca="false">SUM(Z82:Z86)+receitasfixasconsolidadoout[[#This Row],[21]]</f>
        <v>0</v>
      </c>
      <c r="AA87" s="156" t="n">
        <f aca="false">SUM(AA82:AA86)+receitasfixasconsolidadoout[[#This Row],[22]]</f>
        <v>0</v>
      </c>
      <c r="AB87" s="156" t="n">
        <f aca="false">SUM(AB82:AB86)+receitasfixasconsolidadoout[[#This Row],[23]]</f>
        <v>0</v>
      </c>
      <c r="AC87" s="156" t="n">
        <f aca="false">SUM(AC82:AC86)+receitasfixasconsolidadoout[[#This Row],[24]]</f>
        <v>0</v>
      </c>
      <c r="AD87" s="156" t="n">
        <f aca="false">SUM(AD82:AD86)+receitasfixasconsolidadoout[[#This Row],[25]]</f>
        <v>0</v>
      </c>
      <c r="AE87" s="156" t="n">
        <f aca="false">SUM(AE82:AE86)+receitasfixasconsolidadoout[[#This Row],[26]]</f>
        <v>0</v>
      </c>
      <c r="AF87" s="156" t="n">
        <f aca="false">SUM(AF82:AF86)+receitasfixasconsolidadoout[[#This Row],[27]]</f>
        <v>0</v>
      </c>
      <c r="AG87" s="156" t="n">
        <f aca="false">SUM(AG82:AG86)+receitasfixasconsolidadoout[[#This Row],[28]]</f>
        <v>0</v>
      </c>
      <c r="AH87" s="156" t="n">
        <f aca="false">SUM(AH82:AH86)+receitasfixasconsolidadoout[[#This Row],[29]]</f>
        <v>0</v>
      </c>
      <c r="AI87" s="223" t="n">
        <f aca="false">SUM(AI82:AI86)+receitasfixasconsolidadoout[[#This Row],[30]]</f>
        <v>0</v>
      </c>
      <c r="AJ87" s="157" t="n">
        <f aca="false">receitasfixasconsolidadoout[[#This Row],[31]]</f>
        <v>0</v>
      </c>
      <c r="AK87" s="158"/>
    </row>
    <row r="88" customFormat="false" ht="6.75" hidden="false" customHeight="true" outlineLevel="0" collapsed="false">
      <c r="B88" s="97"/>
      <c r="C88" s="162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233"/>
      <c r="AJ88" s="164"/>
      <c r="AK88" s="244"/>
    </row>
    <row r="89" s="78" customFormat="true" ht="12.75" hidden="false" customHeight="false" outlineLevel="0" collapsed="false">
      <c r="E89" s="100"/>
    </row>
    <row r="90" s="78" customFormat="true" ht="12" hidden="false" customHeight="false" outlineLevel="0" collapsed="false"/>
    <row r="91" s="78" customFormat="true" ht="12" hidden="false" customHeight="false" outlineLevel="0" collapsed="false"/>
    <row r="92" customFormat="false" ht="39.75" hidden="false" customHeight="true" outlineLevel="0" collapsed="false">
      <c r="C92" s="101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3" t="s">
        <v>2</v>
      </c>
    </row>
    <row r="93" s="78" customFormat="true" ht="12.75" hidden="false" customHeight="false" outlineLevel="0" collapsed="false">
      <c r="B93" s="161"/>
      <c r="AJ93" s="106" t="s">
        <v>64</v>
      </c>
    </row>
    <row r="94" customFormat="false" ht="6.75" hidden="false" customHeight="true" outlineLevel="0" collapsed="false">
      <c r="B94" s="86"/>
      <c r="C94" s="162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233"/>
      <c r="AK94" s="139"/>
    </row>
    <row r="95" customFormat="false" ht="13.5" hidden="true" customHeight="false" outlineLevel="0" collapsed="false">
      <c r="B95" s="86"/>
      <c r="C95" s="109" t="s">
        <v>68</v>
      </c>
      <c r="D95" s="110" t="s">
        <v>69</v>
      </c>
      <c r="E95" s="110" t="s">
        <v>30</v>
      </c>
      <c r="F95" s="110" t="s">
        <v>31</v>
      </c>
      <c r="G95" s="110" t="s">
        <v>32</v>
      </c>
      <c r="H95" s="110" t="s">
        <v>33</v>
      </c>
      <c r="I95" s="110" t="s">
        <v>34</v>
      </c>
      <c r="J95" s="110" t="s">
        <v>35</v>
      </c>
      <c r="K95" s="110" t="s">
        <v>36</v>
      </c>
      <c r="L95" s="110" t="s">
        <v>37</v>
      </c>
      <c r="M95" s="110" t="s">
        <v>38</v>
      </c>
      <c r="N95" s="110" t="s">
        <v>39</v>
      </c>
      <c r="O95" s="110" t="s">
        <v>40</v>
      </c>
      <c r="P95" s="110" t="s">
        <v>41</v>
      </c>
      <c r="Q95" s="110" t="s">
        <v>81</v>
      </c>
      <c r="R95" s="110" t="s">
        <v>82</v>
      </c>
      <c r="S95" s="110" t="s">
        <v>83</v>
      </c>
      <c r="T95" s="110" t="s">
        <v>84</v>
      </c>
      <c r="U95" s="110" t="s">
        <v>85</v>
      </c>
      <c r="V95" s="110" t="s">
        <v>86</v>
      </c>
      <c r="W95" s="110" t="s">
        <v>87</v>
      </c>
      <c r="X95" s="110" t="s">
        <v>88</v>
      </c>
      <c r="Y95" s="110" t="s">
        <v>89</v>
      </c>
      <c r="Z95" s="110" t="s">
        <v>90</v>
      </c>
      <c r="AA95" s="110" t="s">
        <v>91</v>
      </c>
      <c r="AB95" s="110" t="s">
        <v>92</v>
      </c>
      <c r="AC95" s="110" t="s">
        <v>93</v>
      </c>
      <c r="AD95" s="110" t="s">
        <v>94</v>
      </c>
      <c r="AE95" s="110" t="s">
        <v>95</v>
      </c>
      <c r="AF95" s="110" t="s">
        <v>96</v>
      </c>
      <c r="AG95" s="110" t="s">
        <v>97</v>
      </c>
      <c r="AH95" s="110" t="s">
        <v>98</v>
      </c>
      <c r="AI95" s="110" t="s">
        <v>99</v>
      </c>
      <c r="AJ95" s="111" t="s">
        <v>70</v>
      </c>
      <c r="AK95" s="86"/>
    </row>
    <row r="96" customFormat="false" ht="19.5" hidden="false" customHeight="true" outlineLevel="0" collapsed="false">
      <c r="B96" s="143"/>
      <c r="C96" s="144" t="str">
        <f aca="false">DADOS!$Z$3</f>
        <v>🏅 BÔNUS</v>
      </c>
      <c r="D96" s="145" t="str">
        <f aca="false">IF(receitasvariáveisconsolidadoout[[#This Row],[TOTAL (R$)]]=0,"",IF(OR(receitasvariáveisconsolidadoout[[#This Row],[TOTAL (R$)]]=LARGE($AJ$96:$AJ$103,1),receitasvariáveisconsolidadoout[[#This Row],[TOTAL (R$)]]=LARGE($AJ$96:$AJ$103,2)),DADOS!$I$9,""))</f>
        <v/>
      </c>
      <c r="E96" s="148" t="n">
        <f aca="false">SUMIFS(tabela_registros[VALOR],tabela_registros[MÊS],$AE$1,tabela_registros[DIA],receitasvariáveisconsolidadoout[[#Headers],[1]],tabela_registros[REGISTRO],DADOS!$N$3,tabela_registros[TIPO],DADOS!$V$4,tabela_registros[CATEGORIA],receitasvariáveisconsolidadoout[[#This Row],[ATUAL]])</f>
        <v>0</v>
      </c>
      <c r="F96" s="119" t="n">
        <f aca="false">SUMIFS(tabela_registros[VALOR],tabela_registros[MÊS],$AE$1,tabela_registros[DIA],receitasvariáveisconsolidadoout[[#Headers],[2]],tabela_registros[REGISTRO],DADOS!$N$3,tabela_registros[TIPO],DADOS!$V$4,tabela_registros[CATEGORIA],receitasvariáveisconsolidadoout[[#This Row],[ATUAL]])</f>
        <v>0</v>
      </c>
      <c r="G96" s="119" t="n">
        <f aca="false">SUMIFS(tabela_registros[VALOR],tabela_registros[MÊS],$AE$1,tabela_registros[DIA],receitasvariáveisconsolidadoout[[#Headers],[3]],tabela_registros[REGISTRO],DADOS!$N$3,tabela_registros[TIPO],DADOS!$V$4,tabela_registros[CATEGORIA],receitasvariáveisconsolidadoout[[#This Row],[ATUAL]])</f>
        <v>0</v>
      </c>
      <c r="H96" s="119" t="n">
        <f aca="false">SUMIFS(tabela_registros[VALOR],tabela_registros[MÊS],$AE$1,tabela_registros[DIA],receitasvariáveisconsolidadoout[[#Headers],[4]],tabela_registros[REGISTRO],DADOS!$N$3,tabela_registros[TIPO],DADOS!$V$4,tabela_registros[CATEGORIA],receitasvariáveisconsolidadoout[[#This Row],[ATUAL]])</f>
        <v>0</v>
      </c>
      <c r="I96" s="119" t="n">
        <f aca="false">SUMIFS(tabela_registros[VALOR],tabela_registros[MÊS],$AE$1,tabela_registros[DIA],receitasvariáveisconsolidadoout[[#Headers],[5]],tabela_registros[REGISTRO],DADOS!$N$3,tabela_registros[TIPO],DADOS!$V$4,tabela_registros[CATEGORIA],receitasvariáveisconsolidadoout[[#This Row],[ATUAL]])</f>
        <v>0</v>
      </c>
      <c r="J96" s="119" t="n">
        <f aca="false">SUMIFS(tabela_registros[VALOR],tabela_registros[MÊS],$AE$1,tabela_registros[DIA],receitasvariáveisconsolidadoout[[#Headers],[6]],tabela_registros[REGISTRO],DADOS!$N$3,tabela_registros[TIPO],DADOS!$V$4,tabela_registros[CATEGORIA],receitasvariáveisconsolidadoout[[#This Row],[ATUAL]])</f>
        <v>0</v>
      </c>
      <c r="K96" s="119" t="n">
        <f aca="false">SUMIFS(tabela_registros[VALOR],tabela_registros[MÊS],$AE$1,tabela_registros[DIA],receitasvariáveisconsolidadoout[[#Headers],[7]],tabela_registros[REGISTRO],DADOS!$N$3,tabela_registros[TIPO],DADOS!$V$4,tabela_registros[CATEGORIA],receitasvariáveisconsolidadoout[[#This Row],[ATUAL]])</f>
        <v>0</v>
      </c>
      <c r="L96" s="119" t="n">
        <f aca="false">SUMIFS(tabela_registros[VALOR],tabela_registros[MÊS],$AE$1,tabela_registros[DIA],receitasvariáveisconsolidadoout[[#Headers],[8]],tabela_registros[REGISTRO],DADOS!$N$3,tabela_registros[TIPO],DADOS!$V$4,tabela_registros[CATEGORIA],receitasvariáveisconsolidadoout[[#This Row],[ATUAL]])</f>
        <v>0</v>
      </c>
      <c r="M96" s="119" t="n">
        <f aca="false">SUMIFS(tabela_registros[VALOR],tabela_registros[MÊS],$AE$1,tabela_registros[DIA],receitasvariáveisconsolidadoout[[#Headers],[9]],tabela_registros[REGISTRO],DADOS!$N$3,tabela_registros[TIPO],DADOS!$V$4,tabela_registros[CATEGORIA],receitasvariáveisconsolidadoout[[#This Row],[ATUAL]])</f>
        <v>0</v>
      </c>
      <c r="N96" s="119" t="n">
        <f aca="false">SUMIFS(tabela_registros[VALOR],tabela_registros[MÊS],$AE$1,tabela_registros[DIA],receitasvariáveisconsolidadoout[[#Headers],[10]],tabela_registros[REGISTRO],DADOS!$N$3,tabela_registros[TIPO],DADOS!$V$4,tabela_registros[CATEGORIA],receitasvariáveisconsolidadoout[[#This Row],[ATUAL]])</f>
        <v>0</v>
      </c>
      <c r="O96" s="119" t="n">
        <f aca="false">SUMIFS(tabela_registros[VALOR],tabela_registros[MÊS],$AE$1,tabela_registros[DIA],receitasvariáveisconsolidadoout[[#Headers],[11]],tabela_registros[REGISTRO],DADOS!$N$3,tabela_registros[TIPO],DADOS!$V$4,tabela_registros[CATEGORIA],receitasvariáveisconsolidadoout[[#This Row],[ATUAL]])</f>
        <v>0</v>
      </c>
      <c r="P96" s="119" t="n">
        <f aca="false">SUMIFS(tabela_registros[VALOR],tabela_registros[MÊS],$AE$1,tabela_registros[DIA],receitasvariáveisconsolidadoout[[#Headers],[12]],tabela_registros[REGISTRO],DADOS!$N$3,tabela_registros[TIPO],DADOS!$V$4,tabela_registros[CATEGORIA],receitasvariáveisconsolidadoout[[#This Row],[ATUAL]])</f>
        <v>0</v>
      </c>
      <c r="Q96" s="119" t="n">
        <f aca="false">SUMIFS(tabela_registros[VALOR],tabela_registros[MÊS],$AE$1,tabela_registros[DIA],receitasvariáveisconsolidadoout[[#Headers],[13]],tabela_registros[REGISTRO],DADOS!$N$3,tabela_registros[TIPO],DADOS!$V$4,tabela_registros[CATEGORIA],receitasvariáveisconsolidadoout[[#This Row],[ATUAL]])</f>
        <v>0</v>
      </c>
      <c r="R96" s="119" t="n">
        <f aca="false">SUMIFS(tabela_registros[VALOR],tabela_registros[MÊS],$AE$1,tabela_registros[DIA],receitasvariáveisconsolidadoout[[#Headers],[14]],tabela_registros[REGISTRO],DADOS!$N$3,tabela_registros[TIPO],DADOS!$V$4,tabela_registros[CATEGORIA],receitasvariáveisconsolidadoout[[#This Row],[ATUAL]])</f>
        <v>0</v>
      </c>
      <c r="S96" s="119" t="n">
        <f aca="false">SUMIFS(tabela_registros[VALOR],tabela_registros[MÊS],$AE$1,tabela_registros[DIA],receitasvariáveisconsolidadoout[[#Headers],[15]],tabela_registros[REGISTRO],DADOS!$N$3,tabela_registros[TIPO],DADOS!$V$4,tabela_registros[CATEGORIA],receitasvariáveisconsolidadoout[[#This Row],[ATUAL]])</f>
        <v>0</v>
      </c>
      <c r="T96" s="119" t="n">
        <f aca="false">SUMIFS(tabela_registros[VALOR],tabela_registros[MÊS],$AE$1,tabela_registros[DIA],receitasvariáveisconsolidadoout[[#Headers],[16]],tabela_registros[REGISTRO],DADOS!$N$3,tabela_registros[TIPO],DADOS!$V$4,tabela_registros[CATEGORIA],receitasvariáveisconsolidadoout[[#This Row],[ATUAL]])</f>
        <v>0</v>
      </c>
      <c r="U96" s="119" t="n">
        <f aca="false">SUMIFS(tabela_registros[VALOR],tabela_registros[MÊS],$AE$1,tabela_registros[DIA],receitasvariáveisconsolidadoout[[#Headers],[17]],tabela_registros[REGISTRO],DADOS!$N$3,tabela_registros[TIPO],DADOS!$V$4,tabela_registros[CATEGORIA],receitasvariáveisconsolidadoout[[#This Row],[ATUAL]])</f>
        <v>0</v>
      </c>
      <c r="V96" s="119" t="n">
        <f aca="false">SUMIFS(tabela_registros[VALOR],tabela_registros[MÊS],$AE$1,tabela_registros[DIA],receitasvariáveisconsolidadoout[[#Headers],[18]],tabela_registros[REGISTRO],DADOS!$N$3,tabela_registros[TIPO],DADOS!$V$4,tabela_registros[CATEGORIA],receitasvariáveisconsolidadoout[[#This Row],[ATUAL]])</f>
        <v>0</v>
      </c>
      <c r="W96" s="119" t="n">
        <f aca="false">SUMIFS(tabela_registros[VALOR],tabela_registros[MÊS],$AE$1,tabela_registros[DIA],receitasvariáveisconsolidadoout[[#Headers],[19]],tabela_registros[REGISTRO],DADOS!$N$3,tabela_registros[TIPO],DADOS!$V$4,tabela_registros[CATEGORIA],receitasvariáveisconsolidadoout[[#This Row],[ATUAL]])</f>
        <v>0</v>
      </c>
      <c r="X96" s="119" t="n">
        <f aca="false">SUMIFS(tabela_registros[VALOR],tabela_registros[MÊS],$AE$1,tabela_registros[DIA],receitasvariáveisconsolidadoout[[#Headers],[20]],tabela_registros[REGISTRO],DADOS!$N$3,tabela_registros[TIPO],DADOS!$V$4,tabela_registros[CATEGORIA],receitasvariáveisconsolidadoout[[#This Row],[ATUAL]])</f>
        <v>0</v>
      </c>
      <c r="Y96" s="119" t="n">
        <f aca="false">SUMIFS(tabela_registros[VALOR],tabela_registros[MÊS],$AE$1,tabela_registros[DIA],receitasvariáveisconsolidadoout[[#Headers],[21]],tabela_registros[REGISTRO],DADOS!$N$3,tabela_registros[TIPO],DADOS!$V$4,tabela_registros[CATEGORIA],receitasvariáveisconsolidadoout[[#This Row],[ATUAL]])</f>
        <v>0</v>
      </c>
      <c r="Z96" s="119" t="n">
        <f aca="false">SUMIFS(tabela_registros[VALOR],tabela_registros[MÊS],$AE$1,tabela_registros[DIA],receitasvariáveisconsolidadoout[[#Headers],[22]],tabela_registros[REGISTRO],DADOS!$N$3,tabela_registros[TIPO],DADOS!$V$4,tabela_registros[CATEGORIA],receitasvariáveisconsolidadoout[[#This Row],[ATUAL]])</f>
        <v>0</v>
      </c>
      <c r="AA96" s="119" t="n">
        <f aca="false">SUMIFS(tabela_registros[VALOR],tabela_registros[MÊS],$AE$1,tabela_registros[DIA],receitasvariáveisconsolidadoout[[#Headers],[23]],tabela_registros[REGISTRO],DADOS!$N$3,tabela_registros[TIPO],DADOS!$V$4,tabela_registros[CATEGORIA],receitasvariáveisconsolidadoout[[#This Row],[ATUAL]])</f>
        <v>0</v>
      </c>
      <c r="AB96" s="119" t="n">
        <f aca="false">SUMIFS(tabela_registros[VALOR],tabela_registros[MÊS],$AE$1,tabela_registros[DIA],receitasvariáveisconsolidadoout[[#Headers],[24]],tabela_registros[REGISTRO],DADOS!$N$3,tabela_registros[TIPO],DADOS!$V$4,tabela_registros[CATEGORIA],receitasvariáveisconsolidadoout[[#This Row],[ATUAL]])</f>
        <v>0</v>
      </c>
      <c r="AC96" s="119" t="n">
        <f aca="false">SUMIFS(tabela_registros[VALOR],tabela_registros[MÊS],$AE$1,tabela_registros[DIA],receitasvariáveisconsolidadoout[[#Headers],[25]],tabela_registros[REGISTRO],DADOS!$N$3,tabela_registros[TIPO],DADOS!$V$4,tabela_registros[CATEGORIA],receitasvariáveisconsolidadoout[[#This Row],[ATUAL]])</f>
        <v>0</v>
      </c>
      <c r="AD96" s="119" t="n">
        <f aca="false">SUMIFS(tabela_registros[VALOR],tabela_registros[MÊS],$AE$1,tabela_registros[DIA],receitasvariáveisconsolidadoout[[#Headers],[26]],tabela_registros[REGISTRO],DADOS!$N$3,tabela_registros[TIPO],DADOS!$V$4,tabela_registros[CATEGORIA],receitasvariáveisconsolidadoout[[#This Row],[ATUAL]])</f>
        <v>0</v>
      </c>
      <c r="AE96" s="119" t="n">
        <f aca="false">SUMIFS(tabela_registros[VALOR],tabela_registros[MÊS],$AE$1,tabela_registros[DIA],receitasvariáveisconsolidadoout[[#Headers],[27]],tabela_registros[REGISTRO],DADOS!$N$3,tabela_registros[TIPO],DADOS!$V$4,tabela_registros[CATEGORIA],receitasvariáveisconsolidadoout[[#This Row],[ATUAL]])</f>
        <v>0</v>
      </c>
      <c r="AF96" s="119" t="n">
        <f aca="false">SUMIFS(tabela_registros[VALOR],tabela_registros[MÊS],$AE$1,tabela_registros[DIA],receitasvariáveisconsolidadoout[[#Headers],[28]],tabela_registros[REGISTRO],DADOS!$N$3,tabela_registros[TIPO],DADOS!$V$4,tabela_registros[CATEGORIA],receitasvariáveisconsolidadoout[[#This Row],[ATUAL]])</f>
        <v>0</v>
      </c>
      <c r="AG96" s="119" t="n">
        <f aca="false">SUMIFS(tabela_registros[VALOR],tabela_registros[MÊS],$AE$1,tabela_registros[DIA],receitasvariáveisconsolidadoout[[#Headers],[29]],tabela_registros[REGISTRO],DADOS!$N$3,tabela_registros[TIPO],DADOS!$V$4,tabela_registros[CATEGORIA],receitasvariáveisconsolidadoout[[#This Row],[ATUAL]])</f>
        <v>0</v>
      </c>
      <c r="AH96" s="119" t="n">
        <f aca="false">SUMIFS(tabela_registros[VALOR],tabela_registros[MÊS],$AE$1,tabela_registros[DIA],receitasvariáveisconsolidadoout[[#Headers],[30]],tabela_registros[REGISTRO],DADOS!$N$3,tabela_registros[TIPO],DADOS!$V$4,tabela_registros[CATEGORIA],receitasvariáveisconsolidadoout[[#This Row],[ATUAL]])</f>
        <v>0</v>
      </c>
      <c r="AI96" s="217" t="n">
        <f aca="false">SUMIFS(tabela_registros[VALOR],tabela_registros[MÊS],$AE$1,tabela_registros[DIA],receitasvariáveisconsolidadoout[[#Headers],[31]],tabela_registros[REGISTRO],DADOS!$N$3,tabela_registros[TIPO],DADOS!$V$4,tabela_registros[CATEGORIA],receitasvariáveisconsolidadoout[[#This Row],[ATUAL]])</f>
        <v>0</v>
      </c>
      <c r="AJ96" s="149" t="n">
        <f aca="false">SUM(receitasvariáveisconsolidadoout[[#This Row],[1]:[31]])</f>
        <v>0</v>
      </c>
      <c r="AK96" s="165"/>
    </row>
    <row r="97" customFormat="false" ht="19.5" hidden="false" customHeight="true" outlineLevel="0" collapsed="false">
      <c r="B97" s="143"/>
      <c r="C97" s="144" t="str">
        <f aca="false">DADOS!$Z$4</f>
        <v>🤑 COMISSÃO</v>
      </c>
      <c r="D97" s="145" t="str">
        <f aca="false">IF(receitasvariáveisconsolidadoout[[#This Row],[TOTAL (R$)]]=0,"",IF(OR(receitasvariáveisconsolidadoout[[#This Row],[TOTAL (R$)]]=LARGE($AJ$96:$AJ$103,1),receitasvariáveisconsolidadoout[[#This Row],[TOTAL (R$)]]=LARGE($AJ$96:$AJ$103,2)),DADOS!$I$9,""))</f>
        <v/>
      </c>
      <c r="E97" s="148" t="n">
        <f aca="false">SUMIFS(tabela_registros[VALOR],tabela_registros[MÊS],$AE$1,tabela_registros[DIA],receitasvariáveisconsolidadoout[[#Headers],[1]],tabela_registros[REGISTRO],DADOS!$N$3,tabela_registros[TIPO],DADOS!$V$4,tabela_registros[CATEGORIA],receitasvariáveisconsolidadoout[[#This Row],[ATUAL]])</f>
        <v>0</v>
      </c>
      <c r="F97" s="119" t="n">
        <f aca="false">SUMIFS(tabela_registros[VALOR],tabela_registros[MÊS],$AE$1,tabela_registros[DIA],receitasvariáveisconsolidadoout[[#Headers],[2]],tabela_registros[REGISTRO],DADOS!$N$3,tabela_registros[TIPO],DADOS!$V$4,tabela_registros[CATEGORIA],receitasvariáveisconsolidadoout[[#This Row],[ATUAL]])</f>
        <v>0</v>
      </c>
      <c r="G97" s="119" t="n">
        <f aca="false">SUMIFS(tabela_registros[VALOR],tabela_registros[MÊS],$AE$1,tabela_registros[DIA],receitasvariáveisconsolidadoout[[#Headers],[3]],tabela_registros[REGISTRO],DADOS!$N$3,tabela_registros[TIPO],DADOS!$V$4,tabela_registros[CATEGORIA],receitasvariáveisconsolidadoout[[#This Row],[ATUAL]])</f>
        <v>0</v>
      </c>
      <c r="H97" s="119" t="n">
        <f aca="false">SUMIFS(tabela_registros[VALOR],tabela_registros[MÊS],$AE$1,tabela_registros[DIA],receitasvariáveisconsolidadoout[[#Headers],[4]],tabela_registros[REGISTRO],DADOS!$N$3,tabela_registros[TIPO],DADOS!$V$4,tabela_registros[CATEGORIA],receitasvariáveisconsolidadoout[[#This Row],[ATUAL]])</f>
        <v>0</v>
      </c>
      <c r="I97" s="119" t="n">
        <f aca="false">SUMIFS(tabela_registros[VALOR],tabela_registros[MÊS],$AE$1,tabela_registros[DIA],receitasvariáveisconsolidadoout[[#Headers],[5]],tabela_registros[REGISTRO],DADOS!$N$3,tabela_registros[TIPO],DADOS!$V$4,tabela_registros[CATEGORIA],receitasvariáveisconsolidadoout[[#This Row],[ATUAL]])</f>
        <v>0</v>
      </c>
      <c r="J97" s="119" t="n">
        <f aca="false">SUMIFS(tabela_registros[VALOR],tabela_registros[MÊS],$AE$1,tabela_registros[DIA],receitasvariáveisconsolidadoout[[#Headers],[6]],tabela_registros[REGISTRO],DADOS!$N$3,tabela_registros[TIPO],DADOS!$V$4,tabela_registros[CATEGORIA],receitasvariáveisconsolidadoout[[#This Row],[ATUAL]])</f>
        <v>0</v>
      </c>
      <c r="K97" s="119" t="n">
        <f aca="false">SUMIFS(tabela_registros[VALOR],tabela_registros[MÊS],$AE$1,tabela_registros[DIA],receitasvariáveisconsolidadoout[[#Headers],[7]],tabela_registros[REGISTRO],DADOS!$N$3,tabela_registros[TIPO],DADOS!$V$4,tabela_registros[CATEGORIA],receitasvariáveisconsolidadoout[[#This Row],[ATUAL]])</f>
        <v>0</v>
      </c>
      <c r="L97" s="119" t="n">
        <f aca="false">SUMIFS(tabela_registros[VALOR],tabela_registros[MÊS],$AE$1,tabela_registros[DIA],receitasvariáveisconsolidadoout[[#Headers],[8]],tabela_registros[REGISTRO],DADOS!$N$3,tabela_registros[TIPO],DADOS!$V$4,tabela_registros[CATEGORIA],receitasvariáveisconsolidadoout[[#This Row],[ATUAL]])</f>
        <v>0</v>
      </c>
      <c r="M97" s="119" t="n">
        <f aca="false">SUMIFS(tabela_registros[VALOR],tabela_registros[MÊS],$AE$1,tabela_registros[DIA],receitasvariáveisconsolidadoout[[#Headers],[9]],tabela_registros[REGISTRO],DADOS!$N$3,tabela_registros[TIPO],DADOS!$V$4,tabela_registros[CATEGORIA],receitasvariáveisconsolidadoout[[#This Row],[ATUAL]])</f>
        <v>0</v>
      </c>
      <c r="N97" s="119" t="n">
        <f aca="false">SUMIFS(tabela_registros[VALOR],tabela_registros[MÊS],$AE$1,tabela_registros[DIA],receitasvariáveisconsolidadoout[[#Headers],[10]],tabela_registros[REGISTRO],DADOS!$N$3,tabela_registros[TIPO],DADOS!$V$4,tabela_registros[CATEGORIA],receitasvariáveisconsolidadoout[[#This Row],[ATUAL]])</f>
        <v>0</v>
      </c>
      <c r="O97" s="119" t="n">
        <f aca="false">SUMIFS(tabela_registros[VALOR],tabela_registros[MÊS],$AE$1,tabela_registros[DIA],receitasvariáveisconsolidadoout[[#Headers],[11]],tabela_registros[REGISTRO],DADOS!$N$3,tabela_registros[TIPO],DADOS!$V$4,tabela_registros[CATEGORIA],receitasvariáveisconsolidadoout[[#This Row],[ATUAL]])</f>
        <v>0</v>
      </c>
      <c r="P97" s="119" t="n">
        <f aca="false">SUMIFS(tabela_registros[VALOR],tabela_registros[MÊS],$AE$1,tabela_registros[DIA],receitasvariáveisconsolidadoout[[#Headers],[12]],tabela_registros[REGISTRO],DADOS!$N$3,tabela_registros[TIPO],DADOS!$V$4,tabela_registros[CATEGORIA],receitasvariáveisconsolidadoout[[#This Row],[ATUAL]])</f>
        <v>0</v>
      </c>
      <c r="Q97" s="119" t="n">
        <f aca="false">SUMIFS(tabela_registros[VALOR],tabela_registros[MÊS],$AE$1,tabela_registros[DIA],receitasvariáveisconsolidadoout[[#Headers],[13]],tabela_registros[REGISTRO],DADOS!$N$3,tabela_registros[TIPO],DADOS!$V$4,tabela_registros[CATEGORIA],receitasvariáveisconsolidadoout[[#This Row],[ATUAL]])</f>
        <v>0</v>
      </c>
      <c r="R97" s="119" t="n">
        <f aca="false">SUMIFS(tabela_registros[VALOR],tabela_registros[MÊS],$AE$1,tabela_registros[DIA],receitasvariáveisconsolidadoout[[#Headers],[14]],tabela_registros[REGISTRO],DADOS!$N$3,tabela_registros[TIPO],DADOS!$V$4,tabela_registros[CATEGORIA],receitasvariáveisconsolidadoout[[#This Row],[ATUAL]])</f>
        <v>0</v>
      </c>
      <c r="S97" s="119" t="n">
        <f aca="false">SUMIFS(tabela_registros[VALOR],tabela_registros[MÊS],$AE$1,tabela_registros[DIA],receitasvariáveisconsolidadoout[[#Headers],[15]],tabela_registros[REGISTRO],DADOS!$N$3,tabela_registros[TIPO],DADOS!$V$4,tabela_registros[CATEGORIA],receitasvariáveisconsolidadoout[[#This Row],[ATUAL]])</f>
        <v>0</v>
      </c>
      <c r="T97" s="119" t="n">
        <f aca="false">SUMIFS(tabela_registros[VALOR],tabela_registros[MÊS],$AE$1,tabela_registros[DIA],receitasvariáveisconsolidadoout[[#Headers],[16]],tabela_registros[REGISTRO],DADOS!$N$3,tabela_registros[TIPO],DADOS!$V$4,tabela_registros[CATEGORIA],receitasvariáveisconsolidadoout[[#This Row],[ATUAL]])</f>
        <v>0</v>
      </c>
      <c r="U97" s="119" t="n">
        <f aca="false">SUMIFS(tabela_registros[VALOR],tabela_registros[MÊS],$AE$1,tabela_registros[DIA],receitasvariáveisconsolidadoout[[#Headers],[17]],tabela_registros[REGISTRO],DADOS!$N$3,tabela_registros[TIPO],DADOS!$V$4,tabela_registros[CATEGORIA],receitasvariáveisconsolidadoout[[#This Row],[ATUAL]])</f>
        <v>0</v>
      </c>
      <c r="V97" s="119" t="n">
        <f aca="false">SUMIFS(tabela_registros[VALOR],tabela_registros[MÊS],$AE$1,tabela_registros[DIA],receitasvariáveisconsolidadoout[[#Headers],[18]],tabela_registros[REGISTRO],DADOS!$N$3,tabela_registros[TIPO],DADOS!$V$4,tabela_registros[CATEGORIA],receitasvariáveisconsolidadoout[[#This Row],[ATUAL]])</f>
        <v>0</v>
      </c>
      <c r="W97" s="119" t="n">
        <f aca="false">SUMIFS(tabela_registros[VALOR],tabela_registros[MÊS],$AE$1,tabela_registros[DIA],receitasvariáveisconsolidadoout[[#Headers],[19]],tabela_registros[REGISTRO],DADOS!$N$3,tabela_registros[TIPO],DADOS!$V$4,tabela_registros[CATEGORIA],receitasvariáveisconsolidadoout[[#This Row],[ATUAL]])</f>
        <v>0</v>
      </c>
      <c r="X97" s="119" t="n">
        <f aca="false">SUMIFS(tabela_registros[VALOR],tabela_registros[MÊS],$AE$1,tabela_registros[DIA],receitasvariáveisconsolidadoout[[#Headers],[20]],tabela_registros[REGISTRO],DADOS!$N$3,tabela_registros[TIPO],DADOS!$V$4,tabela_registros[CATEGORIA],receitasvariáveisconsolidadoout[[#This Row],[ATUAL]])</f>
        <v>0</v>
      </c>
      <c r="Y97" s="119" t="n">
        <f aca="false">SUMIFS(tabela_registros[VALOR],tabela_registros[MÊS],$AE$1,tabela_registros[DIA],receitasvariáveisconsolidadoout[[#Headers],[21]],tabela_registros[REGISTRO],DADOS!$N$3,tabela_registros[TIPO],DADOS!$V$4,tabela_registros[CATEGORIA],receitasvariáveisconsolidadoout[[#This Row],[ATUAL]])</f>
        <v>0</v>
      </c>
      <c r="Z97" s="119" t="n">
        <f aca="false">SUMIFS(tabela_registros[VALOR],tabela_registros[MÊS],$AE$1,tabela_registros[DIA],receitasvariáveisconsolidadoout[[#Headers],[22]],tabela_registros[REGISTRO],DADOS!$N$3,tabela_registros[TIPO],DADOS!$V$4,tabela_registros[CATEGORIA],receitasvariáveisconsolidadoout[[#This Row],[ATUAL]])</f>
        <v>0</v>
      </c>
      <c r="AA97" s="119" t="n">
        <f aca="false">SUMIFS(tabela_registros[VALOR],tabela_registros[MÊS],$AE$1,tabela_registros[DIA],receitasvariáveisconsolidadoout[[#Headers],[23]],tabela_registros[REGISTRO],DADOS!$N$3,tabela_registros[TIPO],DADOS!$V$4,tabela_registros[CATEGORIA],receitasvariáveisconsolidadoout[[#This Row],[ATUAL]])</f>
        <v>0</v>
      </c>
      <c r="AB97" s="119" t="n">
        <f aca="false">SUMIFS(tabela_registros[VALOR],tabela_registros[MÊS],$AE$1,tabela_registros[DIA],receitasvariáveisconsolidadoout[[#Headers],[24]],tabela_registros[REGISTRO],DADOS!$N$3,tabela_registros[TIPO],DADOS!$V$4,tabela_registros[CATEGORIA],receitasvariáveisconsolidadoout[[#This Row],[ATUAL]])</f>
        <v>0</v>
      </c>
      <c r="AC97" s="119" t="n">
        <f aca="false">SUMIFS(tabela_registros[VALOR],tabela_registros[MÊS],$AE$1,tabela_registros[DIA],receitasvariáveisconsolidadoout[[#Headers],[25]],tabela_registros[REGISTRO],DADOS!$N$3,tabela_registros[TIPO],DADOS!$V$4,tabela_registros[CATEGORIA],receitasvariáveisconsolidadoout[[#This Row],[ATUAL]])</f>
        <v>0</v>
      </c>
      <c r="AD97" s="119" t="n">
        <f aca="false">SUMIFS(tabela_registros[VALOR],tabela_registros[MÊS],$AE$1,tabela_registros[DIA],receitasvariáveisconsolidadoout[[#Headers],[26]],tabela_registros[REGISTRO],DADOS!$N$3,tabela_registros[TIPO],DADOS!$V$4,tabela_registros[CATEGORIA],receitasvariáveisconsolidadoout[[#This Row],[ATUAL]])</f>
        <v>0</v>
      </c>
      <c r="AE97" s="119" t="n">
        <f aca="false">SUMIFS(tabela_registros[VALOR],tabela_registros[MÊS],$AE$1,tabela_registros[DIA],receitasvariáveisconsolidadoout[[#Headers],[27]],tabela_registros[REGISTRO],DADOS!$N$3,tabela_registros[TIPO],DADOS!$V$4,tabela_registros[CATEGORIA],receitasvariáveisconsolidadoout[[#This Row],[ATUAL]])</f>
        <v>0</v>
      </c>
      <c r="AF97" s="119" t="n">
        <f aca="false">SUMIFS(tabela_registros[VALOR],tabela_registros[MÊS],$AE$1,tabela_registros[DIA],receitasvariáveisconsolidadoout[[#Headers],[28]],tabela_registros[REGISTRO],DADOS!$N$3,tabela_registros[TIPO],DADOS!$V$4,tabela_registros[CATEGORIA],receitasvariáveisconsolidadoout[[#This Row],[ATUAL]])</f>
        <v>0</v>
      </c>
      <c r="AG97" s="119" t="n">
        <f aca="false">SUMIFS(tabela_registros[VALOR],tabela_registros[MÊS],$AE$1,tabela_registros[DIA],receitasvariáveisconsolidadoout[[#Headers],[29]],tabela_registros[REGISTRO],DADOS!$N$3,tabela_registros[TIPO],DADOS!$V$4,tabela_registros[CATEGORIA],receitasvariáveisconsolidadoout[[#This Row],[ATUAL]])</f>
        <v>0</v>
      </c>
      <c r="AH97" s="119" t="n">
        <f aca="false">SUMIFS(tabela_registros[VALOR],tabela_registros[MÊS],$AE$1,tabela_registros[DIA],receitasvariáveisconsolidadoout[[#Headers],[30]],tabela_registros[REGISTRO],DADOS!$N$3,tabela_registros[TIPO],DADOS!$V$4,tabela_registros[CATEGORIA],receitasvariáveisconsolidadoout[[#This Row],[ATUAL]])</f>
        <v>0</v>
      </c>
      <c r="AI97" s="217" t="n">
        <f aca="false">SUMIFS(tabela_registros[VALOR],tabela_registros[MÊS],$AE$1,tabela_registros[DIA],receitasvariáveisconsolidadoout[[#Headers],[31]],tabela_registros[REGISTRO],DADOS!$N$3,tabela_registros[TIPO],DADOS!$V$4,tabela_registros[CATEGORIA],receitasvariáveisconsolidadoout[[#This Row],[ATUAL]])</f>
        <v>0</v>
      </c>
      <c r="AJ97" s="149" t="n">
        <f aca="false">SUM(receitasvariáveisconsolidadoout[[#This Row],[1]:[31]])</f>
        <v>0</v>
      </c>
      <c r="AK97" s="165"/>
    </row>
    <row r="98" customFormat="false" ht="19.5" hidden="false" customHeight="true" outlineLevel="0" collapsed="false">
      <c r="B98" s="143"/>
      <c r="C98" s="144" t="str">
        <f aca="false">DADOS!$Z$5</f>
        <v>🎗️ HERANÇA</v>
      </c>
      <c r="D98" s="145" t="str">
        <f aca="false">IF(receitasvariáveisconsolidadoout[[#This Row],[TOTAL (R$)]]=0,"",IF(OR(receitasvariáveisconsolidadoout[[#This Row],[TOTAL (R$)]]=LARGE($AJ$96:$AJ$103,1),receitasvariáveisconsolidadoout[[#This Row],[TOTAL (R$)]]=LARGE($AJ$96:$AJ$103,2)),DADOS!$I$9,""))</f>
        <v/>
      </c>
      <c r="E98" s="148" t="n">
        <f aca="false">SUMIFS(tabela_registros[VALOR],tabela_registros[MÊS],$AE$1,tabela_registros[DIA],receitasvariáveisconsolidadoout[[#Headers],[1]],tabela_registros[REGISTRO],DADOS!$N$3,tabela_registros[TIPO],DADOS!$V$4,tabela_registros[CATEGORIA],receitasvariáveisconsolidadoout[[#This Row],[ATUAL]])</f>
        <v>0</v>
      </c>
      <c r="F98" s="119" t="n">
        <f aca="false">SUMIFS(tabela_registros[VALOR],tabela_registros[MÊS],$AE$1,tabela_registros[DIA],receitasvariáveisconsolidadoout[[#Headers],[2]],tabela_registros[REGISTRO],DADOS!$N$3,tabela_registros[TIPO],DADOS!$V$4,tabela_registros[CATEGORIA],receitasvariáveisconsolidadoout[[#This Row],[ATUAL]])</f>
        <v>0</v>
      </c>
      <c r="G98" s="119" t="n">
        <f aca="false">SUMIFS(tabela_registros[VALOR],tabela_registros[MÊS],$AE$1,tabela_registros[DIA],receitasvariáveisconsolidadoout[[#Headers],[3]],tabela_registros[REGISTRO],DADOS!$N$3,tabela_registros[TIPO],DADOS!$V$4,tabela_registros[CATEGORIA],receitasvariáveisconsolidadoout[[#This Row],[ATUAL]])</f>
        <v>0</v>
      </c>
      <c r="H98" s="119" t="n">
        <f aca="false">SUMIFS(tabela_registros[VALOR],tabela_registros[MÊS],$AE$1,tabela_registros[DIA],receitasvariáveisconsolidadoout[[#Headers],[4]],tabela_registros[REGISTRO],DADOS!$N$3,tabela_registros[TIPO],DADOS!$V$4,tabela_registros[CATEGORIA],receitasvariáveisconsolidadoout[[#This Row],[ATUAL]])</f>
        <v>0</v>
      </c>
      <c r="I98" s="119" t="n">
        <f aca="false">SUMIFS(tabela_registros[VALOR],tabela_registros[MÊS],$AE$1,tabela_registros[DIA],receitasvariáveisconsolidadoout[[#Headers],[5]],tabela_registros[REGISTRO],DADOS!$N$3,tabela_registros[TIPO],DADOS!$V$4,tabela_registros[CATEGORIA],receitasvariáveisconsolidadoout[[#This Row],[ATUAL]])</f>
        <v>0</v>
      </c>
      <c r="J98" s="119" t="n">
        <f aca="false">SUMIFS(tabela_registros[VALOR],tabela_registros[MÊS],$AE$1,tabela_registros[DIA],receitasvariáveisconsolidadoout[[#Headers],[6]],tabela_registros[REGISTRO],DADOS!$N$3,tabela_registros[TIPO],DADOS!$V$4,tabela_registros[CATEGORIA],receitasvariáveisconsolidadoout[[#This Row],[ATUAL]])</f>
        <v>0</v>
      </c>
      <c r="K98" s="119" t="n">
        <f aca="false">SUMIFS(tabela_registros[VALOR],tabela_registros[MÊS],$AE$1,tabela_registros[DIA],receitasvariáveisconsolidadoout[[#Headers],[7]],tabela_registros[REGISTRO],DADOS!$N$3,tabela_registros[TIPO],DADOS!$V$4,tabela_registros[CATEGORIA],receitasvariáveisconsolidadoout[[#This Row],[ATUAL]])</f>
        <v>0</v>
      </c>
      <c r="L98" s="119" t="n">
        <f aca="false">SUMIFS(tabela_registros[VALOR],tabela_registros[MÊS],$AE$1,tabela_registros[DIA],receitasvariáveisconsolidadoout[[#Headers],[8]],tabela_registros[REGISTRO],DADOS!$N$3,tabela_registros[TIPO],DADOS!$V$4,tabela_registros[CATEGORIA],receitasvariáveisconsolidadoout[[#This Row],[ATUAL]])</f>
        <v>0</v>
      </c>
      <c r="M98" s="119" t="n">
        <f aca="false">SUMIFS(tabela_registros[VALOR],tabela_registros[MÊS],$AE$1,tabela_registros[DIA],receitasvariáveisconsolidadoout[[#Headers],[9]],tabela_registros[REGISTRO],DADOS!$N$3,tabela_registros[TIPO],DADOS!$V$4,tabela_registros[CATEGORIA],receitasvariáveisconsolidadoout[[#This Row],[ATUAL]])</f>
        <v>0</v>
      </c>
      <c r="N98" s="119" t="n">
        <f aca="false">SUMIFS(tabela_registros[VALOR],tabela_registros[MÊS],$AE$1,tabela_registros[DIA],receitasvariáveisconsolidadoout[[#Headers],[10]],tabela_registros[REGISTRO],DADOS!$N$3,tabela_registros[TIPO],DADOS!$V$4,tabela_registros[CATEGORIA],receitasvariáveisconsolidadoout[[#This Row],[ATUAL]])</f>
        <v>0</v>
      </c>
      <c r="O98" s="119" t="n">
        <f aca="false">SUMIFS(tabela_registros[VALOR],tabela_registros[MÊS],$AE$1,tabela_registros[DIA],receitasvariáveisconsolidadoout[[#Headers],[11]],tabela_registros[REGISTRO],DADOS!$N$3,tabela_registros[TIPO],DADOS!$V$4,tabela_registros[CATEGORIA],receitasvariáveisconsolidadoout[[#This Row],[ATUAL]])</f>
        <v>0</v>
      </c>
      <c r="P98" s="119" t="n">
        <f aca="false">SUMIFS(tabela_registros[VALOR],tabela_registros[MÊS],$AE$1,tabela_registros[DIA],receitasvariáveisconsolidadoout[[#Headers],[12]],tabela_registros[REGISTRO],DADOS!$N$3,tabela_registros[TIPO],DADOS!$V$4,tabela_registros[CATEGORIA],receitasvariáveisconsolidadoout[[#This Row],[ATUAL]])</f>
        <v>0</v>
      </c>
      <c r="Q98" s="119" t="n">
        <f aca="false">SUMIFS(tabela_registros[VALOR],tabela_registros[MÊS],$AE$1,tabela_registros[DIA],receitasvariáveisconsolidadoout[[#Headers],[13]],tabela_registros[REGISTRO],DADOS!$N$3,tabela_registros[TIPO],DADOS!$V$4,tabela_registros[CATEGORIA],receitasvariáveisconsolidadoout[[#This Row],[ATUAL]])</f>
        <v>0</v>
      </c>
      <c r="R98" s="119" t="n">
        <f aca="false">SUMIFS(tabela_registros[VALOR],tabela_registros[MÊS],$AE$1,tabela_registros[DIA],receitasvariáveisconsolidadoout[[#Headers],[14]],tabela_registros[REGISTRO],DADOS!$N$3,tabela_registros[TIPO],DADOS!$V$4,tabela_registros[CATEGORIA],receitasvariáveisconsolidadoout[[#This Row],[ATUAL]])</f>
        <v>0</v>
      </c>
      <c r="S98" s="119" t="n">
        <f aca="false">SUMIFS(tabela_registros[VALOR],tabela_registros[MÊS],$AE$1,tabela_registros[DIA],receitasvariáveisconsolidadoout[[#Headers],[15]],tabela_registros[REGISTRO],DADOS!$N$3,tabela_registros[TIPO],DADOS!$V$4,tabela_registros[CATEGORIA],receitasvariáveisconsolidadoout[[#This Row],[ATUAL]])</f>
        <v>0</v>
      </c>
      <c r="T98" s="119" t="n">
        <f aca="false">SUMIFS(tabela_registros[VALOR],tabela_registros[MÊS],$AE$1,tabela_registros[DIA],receitasvariáveisconsolidadoout[[#Headers],[16]],tabela_registros[REGISTRO],DADOS!$N$3,tabela_registros[TIPO],DADOS!$V$4,tabela_registros[CATEGORIA],receitasvariáveisconsolidadoout[[#This Row],[ATUAL]])</f>
        <v>0</v>
      </c>
      <c r="U98" s="119" t="n">
        <f aca="false">SUMIFS(tabela_registros[VALOR],tabela_registros[MÊS],$AE$1,tabela_registros[DIA],receitasvariáveisconsolidadoout[[#Headers],[17]],tabela_registros[REGISTRO],DADOS!$N$3,tabela_registros[TIPO],DADOS!$V$4,tabela_registros[CATEGORIA],receitasvariáveisconsolidadoout[[#This Row],[ATUAL]])</f>
        <v>0</v>
      </c>
      <c r="V98" s="119" t="n">
        <f aca="false">SUMIFS(tabela_registros[VALOR],tabela_registros[MÊS],$AE$1,tabela_registros[DIA],receitasvariáveisconsolidadoout[[#Headers],[18]],tabela_registros[REGISTRO],DADOS!$N$3,tabela_registros[TIPO],DADOS!$V$4,tabela_registros[CATEGORIA],receitasvariáveisconsolidadoout[[#This Row],[ATUAL]])</f>
        <v>0</v>
      </c>
      <c r="W98" s="119" t="n">
        <f aca="false">SUMIFS(tabela_registros[VALOR],tabela_registros[MÊS],$AE$1,tabela_registros[DIA],receitasvariáveisconsolidadoout[[#Headers],[19]],tabela_registros[REGISTRO],DADOS!$N$3,tabela_registros[TIPO],DADOS!$V$4,tabela_registros[CATEGORIA],receitasvariáveisconsolidadoout[[#This Row],[ATUAL]])</f>
        <v>0</v>
      </c>
      <c r="X98" s="119" t="n">
        <f aca="false">SUMIFS(tabela_registros[VALOR],tabela_registros[MÊS],$AE$1,tabela_registros[DIA],receitasvariáveisconsolidadoout[[#Headers],[20]],tabela_registros[REGISTRO],DADOS!$N$3,tabela_registros[TIPO],DADOS!$V$4,tabela_registros[CATEGORIA],receitasvariáveisconsolidadoout[[#This Row],[ATUAL]])</f>
        <v>0</v>
      </c>
      <c r="Y98" s="119" t="n">
        <f aca="false">SUMIFS(tabela_registros[VALOR],tabela_registros[MÊS],$AE$1,tabela_registros[DIA],receitasvariáveisconsolidadoout[[#Headers],[21]],tabela_registros[REGISTRO],DADOS!$N$3,tabela_registros[TIPO],DADOS!$V$4,tabela_registros[CATEGORIA],receitasvariáveisconsolidadoout[[#This Row],[ATUAL]])</f>
        <v>0</v>
      </c>
      <c r="Z98" s="119" t="n">
        <f aca="false">SUMIFS(tabela_registros[VALOR],tabela_registros[MÊS],$AE$1,tabela_registros[DIA],receitasvariáveisconsolidadoout[[#Headers],[22]],tabela_registros[REGISTRO],DADOS!$N$3,tabela_registros[TIPO],DADOS!$V$4,tabela_registros[CATEGORIA],receitasvariáveisconsolidadoout[[#This Row],[ATUAL]])</f>
        <v>0</v>
      </c>
      <c r="AA98" s="119" t="n">
        <f aca="false">SUMIFS(tabela_registros[VALOR],tabela_registros[MÊS],$AE$1,tabela_registros[DIA],receitasvariáveisconsolidadoout[[#Headers],[23]],tabela_registros[REGISTRO],DADOS!$N$3,tabela_registros[TIPO],DADOS!$V$4,tabela_registros[CATEGORIA],receitasvariáveisconsolidadoout[[#This Row],[ATUAL]])</f>
        <v>0</v>
      </c>
      <c r="AB98" s="119" t="n">
        <f aca="false">SUMIFS(tabela_registros[VALOR],tabela_registros[MÊS],$AE$1,tabela_registros[DIA],receitasvariáveisconsolidadoout[[#Headers],[24]],tabela_registros[REGISTRO],DADOS!$N$3,tabela_registros[TIPO],DADOS!$V$4,tabela_registros[CATEGORIA],receitasvariáveisconsolidadoout[[#This Row],[ATUAL]])</f>
        <v>0</v>
      </c>
      <c r="AC98" s="119" t="n">
        <f aca="false">SUMIFS(tabela_registros[VALOR],tabela_registros[MÊS],$AE$1,tabela_registros[DIA],receitasvariáveisconsolidadoout[[#Headers],[25]],tabela_registros[REGISTRO],DADOS!$N$3,tabela_registros[TIPO],DADOS!$V$4,tabela_registros[CATEGORIA],receitasvariáveisconsolidadoout[[#This Row],[ATUAL]])</f>
        <v>0</v>
      </c>
      <c r="AD98" s="119" t="n">
        <f aca="false">SUMIFS(tabela_registros[VALOR],tabela_registros[MÊS],$AE$1,tabela_registros[DIA],receitasvariáveisconsolidadoout[[#Headers],[26]],tabela_registros[REGISTRO],DADOS!$N$3,tabela_registros[TIPO],DADOS!$V$4,tabela_registros[CATEGORIA],receitasvariáveisconsolidadoout[[#This Row],[ATUAL]])</f>
        <v>0</v>
      </c>
      <c r="AE98" s="119" t="n">
        <f aca="false">SUMIFS(tabela_registros[VALOR],tabela_registros[MÊS],$AE$1,tabela_registros[DIA],receitasvariáveisconsolidadoout[[#Headers],[27]],tabela_registros[REGISTRO],DADOS!$N$3,tabela_registros[TIPO],DADOS!$V$4,tabela_registros[CATEGORIA],receitasvariáveisconsolidadoout[[#This Row],[ATUAL]])</f>
        <v>0</v>
      </c>
      <c r="AF98" s="119" t="n">
        <f aca="false">SUMIFS(tabela_registros[VALOR],tabela_registros[MÊS],$AE$1,tabela_registros[DIA],receitasvariáveisconsolidadoout[[#Headers],[28]],tabela_registros[REGISTRO],DADOS!$N$3,tabela_registros[TIPO],DADOS!$V$4,tabela_registros[CATEGORIA],receitasvariáveisconsolidadoout[[#This Row],[ATUAL]])</f>
        <v>0</v>
      </c>
      <c r="AG98" s="119" t="n">
        <f aca="false">SUMIFS(tabela_registros[VALOR],tabela_registros[MÊS],$AE$1,tabela_registros[DIA],receitasvariáveisconsolidadoout[[#Headers],[29]],tabela_registros[REGISTRO],DADOS!$N$3,tabela_registros[TIPO],DADOS!$V$4,tabela_registros[CATEGORIA],receitasvariáveisconsolidadoout[[#This Row],[ATUAL]])</f>
        <v>0</v>
      </c>
      <c r="AH98" s="119" t="n">
        <f aca="false">SUMIFS(tabela_registros[VALOR],tabela_registros[MÊS],$AE$1,tabela_registros[DIA],receitasvariáveisconsolidadoout[[#Headers],[30]],tabela_registros[REGISTRO],DADOS!$N$3,tabela_registros[TIPO],DADOS!$V$4,tabela_registros[CATEGORIA],receitasvariáveisconsolidadoout[[#This Row],[ATUAL]])</f>
        <v>0</v>
      </c>
      <c r="AI98" s="217" t="n">
        <f aca="false">SUMIFS(tabela_registros[VALOR],tabela_registros[MÊS],$AE$1,tabela_registros[DIA],receitasvariáveisconsolidadoout[[#Headers],[31]],tabela_registros[REGISTRO],DADOS!$N$3,tabela_registros[TIPO],DADOS!$V$4,tabela_registros[CATEGORIA],receitasvariáveisconsolidadoout[[#This Row],[ATUAL]])</f>
        <v>0</v>
      </c>
      <c r="AJ98" s="149" t="n">
        <f aca="false">SUM(receitasvariáveisconsolidadoout[[#This Row],[1]:[31]])</f>
        <v>0</v>
      </c>
      <c r="AK98" s="165"/>
    </row>
    <row r="99" customFormat="false" ht="19.5" hidden="false" customHeight="true" outlineLevel="0" collapsed="false">
      <c r="B99" s="143"/>
      <c r="C99" s="144" t="str">
        <f aca="false">DADOS!$Z$6</f>
        <v>💲 INVESTIMENTOS</v>
      </c>
      <c r="D99" s="145" t="str">
        <f aca="false">IF(receitasvariáveisconsolidadoout[[#This Row],[TOTAL (R$)]]=0,"",IF(OR(receitasvariáveisconsolidadoout[[#This Row],[TOTAL (R$)]]=LARGE($AJ$96:$AJ$103,1),receitasvariáveisconsolidadoout[[#This Row],[TOTAL (R$)]]=LARGE($AJ$96:$AJ$103,2)),DADOS!$I$9,""))</f>
        <v/>
      </c>
      <c r="E99" s="148" t="n">
        <f aca="false">SUMIFS(tabela_registros[VALOR],tabela_registros[MÊS],$AE$1,tabela_registros[DIA],receitasvariáveisconsolidadoout[[#Headers],[1]],tabela_registros[REGISTRO],DADOS!$N$3,tabela_registros[TIPO],DADOS!$V$4,tabela_registros[CATEGORIA],receitasvariáveisconsolidadoout[[#This Row],[ATUAL]])</f>
        <v>0</v>
      </c>
      <c r="F99" s="119" t="n">
        <f aca="false">SUMIFS(tabela_registros[VALOR],tabela_registros[MÊS],$AE$1,tabela_registros[DIA],receitasvariáveisconsolidadoout[[#Headers],[2]],tabela_registros[REGISTRO],DADOS!$N$3,tabela_registros[TIPO],DADOS!$V$4,tabela_registros[CATEGORIA],receitasvariáveisconsolidadoout[[#This Row],[ATUAL]])</f>
        <v>0</v>
      </c>
      <c r="G99" s="119" t="n">
        <f aca="false">SUMIFS(tabela_registros[VALOR],tabela_registros[MÊS],$AE$1,tabela_registros[DIA],receitasvariáveisconsolidadoout[[#Headers],[3]],tabela_registros[REGISTRO],DADOS!$N$3,tabela_registros[TIPO],DADOS!$V$4,tabela_registros[CATEGORIA],receitasvariáveisconsolidadoout[[#This Row],[ATUAL]])</f>
        <v>0</v>
      </c>
      <c r="H99" s="119" t="n">
        <f aca="false">SUMIFS(tabela_registros[VALOR],tabela_registros[MÊS],$AE$1,tabela_registros[DIA],receitasvariáveisconsolidadoout[[#Headers],[4]],tabela_registros[REGISTRO],DADOS!$N$3,tabela_registros[TIPO],DADOS!$V$4,tabela_registros[CATEGORIA],receitasvariáveisconsolidadoout[[#This Row],[ATUAL]])</f>
        <v>0</v>
      </c>
      <c r="I99" s="119" t="n">
        <f aca="false">SUMIFS(tabela_registros[VALOR],tabela_registros[MÊS],$AE$1,tabela_registros[DIA],receitasvariáveisconsolidadoout[[#Headers],[5]],tabela_registros[REGISTRO],DADOS!$N$3,tabela_registros[TIPO],DADOS!$V$4,tabela_registros[CATEGORIA],receitasvariáveisconsolidadoout[[#This Row],[ATUAL]])</f>
        <v>0</v>
      </c>
      <c r="J99" s="119" t="n">
        <f aca="false">SUMIFS(tabela_registros[VALOR],tabela_registros[MÊS],$AE$1,tabela_registros[DIA],receitasvariáveisconsolidadoout[[#Headers],[6]],tabela_registros[REGISTRO],DADOS!$N$3,tabela_registros[TIPO],DADOS!$V$4,tabela_registros[CATEGORIA],receitasvariáveisconsolidadoout[[#This Row],[ATUAL]])</f>
        <v>0</v>
      </c>
      <c r="K99" s="119" t="n">
        <f aca="false">SUMIFS(tabela_registros[VALOR],tabela_registros[MÊS],$AE$1,tabela_registros[DIA],receitasvariáveisconsolidadoout[[#Headers],[7]],tabela_registros[REGISTRO],DADOS!$N$3,tabela_registros[TIPO],DADOS!$V$4,tabela_registros[CATEGORIA],receitasvariáveisconsolidadoout[[#This Row],[ATUAL]])</f>
        <v>0</v>
      </c>
      <c r="L99" s="119" t="n">
        <f aca="false">SUMIFS(tabela_registros[VALOR],tabela_registros[MÊS],$AE$1,tabela_registros[DIA],receitasvariáveisconsolidadoout[[#Headers],[8]],tabela_registros[REGISTRO],DADOS!$N$3,tabela_registros[TIPO],DADOS!$V$4,tabela_registros[CATEGORIA],receitasvariáveisconsolidadoout[[#This Row],[ATUAL]])</f>
        <v>0</v>
      </c>
      <c r="M99" s="119" t="n">
        <f aca="false">SUMIFS(tabela_registros[VALOR],tabela_registros[MÊS],$AE$1,tabela_registros[DIA],receitasvariáveisconsolidadoout[[#Headers],[9]],tabela_registros[REGISTRO],DADOS!$N$3,tabela_registros[TIPO],DADOS!$V$4,tabela_registros[CATEGORIA],receitasvariáveisconsolidadoout[[#This Row],[ATUAL]])</f>
        <v>0</v>
      </c>
      <c r="N99" s="119" t="n">
        <f aca="false">SUMIFS(tabela_registros[VALOR],tabela_registros[MÊS],$AE$1,tabela_registros[DIA],receitasvariáveisconsolidadoout[[#Headers],[10]],tabela_registros[REGISTRO],DADOS!$N$3,tabela_registros[TIPO],DADOS!$V$4,tabela_registros[CATEGORIA],receitasvariáveisconsolidadoout[[#This Row],[ATUAL]])</f>
        <v>0</v>
      </c>
      <c r="O99" s="119" t="n">
        <f aca="false">SUMIFS(tabela_registros[VALOR],tabela_registros[MÊS],$AE$1,tabela_registros[DIA],receitasvariáveisconsolidadoout[[#Headers],[11]],tabela_registros[REGISTRO],DADOS!$N$3,tabela_registros[TIPO],DADOS!$V$4,tabela_registros[CATEGORIA],receitasvariáveisconsolidadoout[[#This Row],[ATUAL]])</f>
        <v>0</v>
      </c>
      <c r="P99" s="119" t="n">
        <f aca="false">SUMIFS(tabela_registros[VALOR],tabela_registros[MÊS],$AE$1,tabela_registros[DIA],receitasvariáveisconsolidadoout[[#Headers],[12]],tabela_registros[REGISTRO],DADOS!$N$3,tabela_registros[TIPO],DADOS!$V$4,tabela_registros[CATEGORIA],receitasvariáveisconsolidadoout[[#This Row],[ATUAL]])</f>
        <v>0</v>
      </c>
      <c r="Q99" s="119" t="n">
        <f aca="false">SUMIFS(tabela_registros[VALOR],tabela_registros[MÊS],$AE$1,tabela_registros[DIA],receitasvariáveisconsolidadoout[[#Headers],[13]],tabela_registros[REGISTRO],DADOS!$N$3,tabela_registros[TIPO],DADOS!$V$4,tabela_registros[CATEGORIA],receitasvariáveisconsolidadoout[[#This Row],[ATUAL]])</f>
        <v>0</v>
      </c>
      <c r="R99" s="119" t="n">
        <f aca="false">SUMIFS(tabela_registros[VALOR],tabela_registros[MÊS],$AE$1,tabela_registros[DIA],receitasvariáveisconsolidadoout[[#Headers],[14]],tabela_registros[REGISTRO],DADOS!$N$3,tabela_registros[TIPO],DADOS!$V$4,tabela_registros[CATEGORIA],receitasvariáveisconsolidadoout[[#This Row],[ATUAL]])</f>
        <v>0</v>
      </c>
      <c r="S99" s="119" t="n">
        <f aca="false">SUMIFS(tabela_registros[VALOR],tabela_registros[MÊS],$AE$1,tabela_registros[DIA],receitasvariáveisconsolidadoout[[#Headers],[15]],tabela_registros[REGISTRO],DADOS!$N$3,tabela_registros[TIPO],DADOS!$V$4,tabela_registros[CATEGORIA],receitasvariáveisconsolidadoout[[#This Row],[ATUAL]])</f>
        <v>0</v>
      </c>
      <c r="T99" s="119" t="n">
        <f aca="false">SUMIFS(tabela_registros[VALOR],tabela_registros[MÊS],$AE$1,tabela_registros[DIA],receitasvariáveisconsolidadoout[[#Headers],[16]],tabela_registros[REGISTRO],DADOS!$N$3,tabela_registros[TIPO],DADOS!$V$4,tabela_registros[CATEGORIA],receitasvariáveisconsolidadoout[[#This Row],[ATUAL]])</f>
        <v>0</v>
      </c>
      <c r="U99" s="119" t="n">
        <f aca="false">SUMIFS(tabela_registros[VALOR],tabela_registros[MÊS],$AE$1,tabela_registros[DIA],receitasvariáveisconsolidadoout[[#Headers],[17]],tabela_registros[REGISTRO],DADOS!$N$3,tabela_registros[TIPO],DADOS!$V$4,tabela_registros[CATEGORIA],receitasvariáveisconsolidadoout[[#This Row],[ATUAL]])</f>
        <v>0</v>
      </c>
      <c r="V99" s="119" t="n">
        <f aca="false">SUMIFS(tabela_registros[VALOR],tabela_registros[MÊS],$AE$1,tabela_registros[DIA],receitasvariáveisconsolidadoout[[#Headers],[18]],tabela_registros[REGISTRO],DADOS!$N$3,tabela_registros[TIPO],DADOS!$V$4,tabela_registros[CATEGORIA],receitasvariáveisconsolidadoout[[#This Row],[ATUAL]])</f>
        <v>0</v>
      </c>
      <c r="W99" s="119" t="n">
        <f aca="false">SUMIFS(tabela_registros[VALOR],tabela_registros[MÊS],$AE$1,tabela_registros[DIA],receitasvariáveisconsolidadoout[[#Headers],[19]],tabela_registros[REGISTRO],DADOS!$N$3,tabela_registros[TIPO],DADOS!$V$4,tabela_registros[CATEGORIA],receitasvariáveisconsolidadoout[[#This Row],[ATUAL]])</f>
        <v>0</v>
      </c>
      <c r="X99" s="119" t="n">
        <f aca="false">SUMIFS(tabela_registros[VALOR],tabela_registros[MÊS],$AE$1,tabela_registros[DIA],receitasvariáveisconsolidadoout[[#Headers],[20]],tabela_registros[REGISTRO],DADOS!$N$3,tabela_registros[TIPO],DADOS!$V$4,tabela_registros[CATEGORIA],receitasvariáveisconsolidadoout[[#This Row],[ATUAL]])</f>
        <v>0</v>
      </c>
      <c r="Y99" s="119" t="n">
        <f aca="false">SUMIFS(tabela_registros[VALOR],tabela_registros[MÊS],$AE$1,tabela_registros[DIA],receitasvariáveisconsolidadoout[[#Headers],[21]],tabela_registros[REGISTRO],DADOS!$N$3,tabela_registros[TIPO],DADOS!$V$4,tabela_registros[CATEGORIA],receitasvariáveisconsolidadoout[[#This Row],[ATUAL]])</f>
        <v>0</v>
      </c>
      <c r="Z99" s="119" t="n">
        <f aca="false">SUMIFS(tabela_registros[VALOR],tabela_registros[MÊS],$AE$1,tabela_registros[DIA],receitasvariáveisconsolidadoout[[#Headers],[22]],tabela_registros[REGISTRO],DADOS!$N$3,tabela_registros[TIPO],DADOS!$V$4,tabela_registros[CATEGORIA],receitasvariáveisconsolidadoout[[#This Row],[ATUAL]])</f>
        <v>0</v>
      </c>
      <c r="AA99" s="119" t="n">
        <f aca="false">SUMIFS(tabela_registros[VALOR],tabela_registros[MÊS],$AE$1,tabela_registros[DIA],receitasvariáveisconsolidadoout[[#Headers],[23]],tabela_registros[REGISTRO],DADOS!$N$3,tabela_registros[TIPO],DADOS!$V$4,tabela_registros[CATEGORIA],receitasvariáveisconsolidadoout[[#This Row],[ATUAL]])</f>
        <v>0</v>
      </c>
      <c r="AB99" s="119" t="n">
        <f aca="false">SUMIFS(tabela_registros[VALOR],tabela_registros[MÊS],$AE$1,tabela_registros[DIA],receitasvariáveisconsolidadoout[[#Headers],[24]],tabela_registros[REGISTRO],DADOS!$N$3,tabela_registros[TIPO],DADOS!$V$4,tabela_registros[CATEGORIA],receitasvariáveisconsolidadoout[[#This Row],[ATUAL]])</f>
        <v>0</v>
      </c>
      <c r="AC99" s="119" t="n">
        <f aca="false">SUMIFS(tabela_registros[VALOR],tabela_registros[MÊS],$AE$1,tabela_registros[DIA],receitasvariáveisconsolidadoout[[#Headers],[25]],tabela_registros[REGISTRO],DADOS!$N$3,tabela_registros[TIPO],DADOS!$V$4,tabela_registros[CATEGORIA],receitasvariáveisconsolidadoout[[#This Row],[ATUAL]])</f>
        <v>0</v>
      </c>
      <c r="AD99" s="119" t="n">
        <f aca="false">SUMIFS(tabela_registros[VALOR],tabela_registros[MÊS],$AE$1,tabela_registros[DIA],receitasvariáveisconsolidadoout[[#Headers],[26]],tabela_registros[REGISTRO],DADOS!$N$3,tabela_registros[TIPO],DADOS!$V$4,tabela_registros[CATEGORIA],receitasvariáveisconsolidadoout[[#This Row],[ATUAL]])</f>
        <v>0</v>
      </c>
      <c r="AE99" s="119" t="n">
        <f aca="false">SUMIFS(tabela_registros[VALOR],tabela_registros[MÊS],$AE$1,tabela_registros[DIA],receitasvariáveisconsolidadoout[[#Headers],[27]],tabela_registros[REGISTRO],DADOS!$N$3,tabela_registros[TIPO],DADOS!$V$4,tabela_registros[CATEGORIA],receitasvariáveisconsolidadoout[[#This Row],[ATUAL]])</f>
        <v>0</v>
      </c>
      <c r="AF99" s="119" t="n">
        <f aca="false">SUMIFS(tabela_registros[VALOR],tabela_registros[MÊS],$AE$1,tabela_registros[DIA],receitasvariáveisconsolidadoout[[#Headers],[28]],tabela_registros[REGISTRO],DADOS!$N$3,tabela_registros[TIPO],DADOS!$V$4,tabela_registros[CATEGORIA],receitasvariáveisconsolidadoout[[#This Row],[ATUAL]])</f>
        <v>0</v>
      </c>
      <c r="AG99" s="119" t="n">
        <f aca="false">SUMIFS(tabela_registros[VALOR],tabela_registros[MÊS],$AE$1,tabela_registros[DIA],receitasvariáveisconsolidadoout[[#Headers],[29]],tabela_registros[REGISTRO],DADOS!$N$3,tabela_registros[TIPO],DADOS!$V$4,tabela_registros[CATEGORIA],receitasvariáveisconsolidadoout[[#This Row],[ATUAL]])</f>
        <v>0</v>
      </c>
      <c r="AH99" s="119" t="n">
        <f aca="false">SUMIFS(tabela_registros[VALOR],tabela_registros[MÊS],$AE$1,tabela_registros[DIA],receitasvariáveisconsolidadoout[[#Headers],[30]],tabela_registros[REGISTRO],DADOS!$N$3,tabela_registros[TIPO],DADOS!$V$4,tabela_registros[CATEGORIA],receitasvariáveisconsolidadoout[[#This Row],[ATUAL]])</f>
        <v>0</v>
      </c>
      <c r="AI99" s="217" t="n">
        <f aca="false">SUMIFS(tabela_registros[VALOR],tabela_registros[MÊS],$AE$1,tabela_registros[DIA],receitasvariáveisconsolidadoout[[#Headers],[31]],tabela_registros[REGISTRO],DADOS!$N$3,tabela_registros[TIPO],DADOS!$V$4,tabela_registros[CATEGORIA],receitasvariáveisconsolidadoout[[#This Row],[ATUAL]])</f>
        <v>0</v>
      </c>
      <c r="AJ99" s="149" t="n">
        <f aca="false">SUM(receitasvariáveisconsolidadoout[[#This Row],[1]:[31]])</f>
        <v>0</v>
      </c>
      <c r="AK99" s="165"/>
    </row>
    <row r="100" customFormat="false" ht="19.5" hidden="false" customHeight="true" outlineLevel="0" collapsed="false">
      <c r="B100" s="143"/>
      <c r="C100" s="144" t="str">
        <f aca="false">DADOS!$Z$7</f>
        <v>🧾 NOTA DE SERVIÇO</v>
      </c>
      <c r="D100" s="145" t="str">
        <f aca="false">IF(receitasvariáveisconsolidadoout[[#This Row],[TOTAL (R$)]]=0,"",IF(OR(receitasvariáveisconsolidadoout[[#This Row],[TOTAL (R$)]]=LARGE($AJ$96:$AJ$103,1),receitasvariáveisconsolidadoout[[#This Row],[TOTAL (R$)]]=LARGE($AJ$96:$AJ$103,2)),DADOS!$I$9,""))</f>
        <v/>
      </c>
      <c r="E100" s="148" t="n">
        <f aca="false">SUMIFS(tabela_registros[VALOR],tabela_registros[MÊS],$AE$1,tabela_registros[DIA],receitasvariáveisconsolidadoout[[#Headers],[1]],tabela_registros[REGISTRO],DADOS!$N$3,tabela_registros[TIPO],DADOS!$V$4,tabela_registros[CATEGORIA],receitasvariáveisconsolidadoout[[#This Row],[ATUAL]])</f>
        <v>0</v>
      </c>
      <c r="F100" s="119" t="n">
        <f aca="false">SUMIFS(tabela_registros[VALOR],tabela_registros[MÊS],$AE$1,tabela_registros[DIA],receitasvariáveisconsolidadoout[[#Headers],[2]],tabela_registros[REGISTRO],DADOS!$N$3,tabela_registros[TIPO],DADOS!$V$4,tabela_registros[CATEGORIA],receitasvariáveisconsolidadoout[[#This Row],[ATUAL]])</f>
        <v>0</v>
      </c>
      <c r="G100" s="119" t="n">
        <f aca="false">SUMIFS(tabela_registros[VALOR],tabela_registros[MÊS],$AE$1,tabela_registros[DIA],receitasvariáveisconsolidadoout[[#Headers],[3]],tabela_registros[REGISTRO],DADOS!$N$3,tabela_registros[TIPO],DADOS!$V$4,tabela_registros[CATEGORIA],receitasvariáveisconsolidadoout[[#This Row],[ATUAL]])</f>
        <v>0</v>
      </c>
      <c r="H100" s="119" t="n">
        <f aca="false">SUMIFS(tabela_registros[VALOR],tabela_registros[MÊS],$AE$1,tabela_registros[DIA],receitasvariáveisconsolidadoout[[#Headers],[4]],tabela_registros[REGISTRO],DADOS!$N$3,tabela_registros[TIPO],DADOS!$V$4,tabela_registros[CATEGORIA],receitasvariáveisconsolidadoout[[#This Row],[ATUAL]])</f>
        <v>0</v>
      </c>
      <c r="I100" s="119" t="n">
        <f aca="false">SUMIFS(tabela_registros[VALOR],tabela_registros[MÊS],$AE$1,tabela_registros[DIA],receitasvariáveisconsolidadoout[[#Headers],[5]],tabela_registros[REGISTRO],DADOS!$N$3,tabela_registros[TIPO],DADOS!$V$4,tabela_registros[CATEGORIA],receitasvariáveisconsolidadoout[[#This Row],[ATUAL]])</f>
        <v>0</v>
      </c>
      <c r="J100" s="119" t="n">
        <f aca="false">SUMIFS(tabela_registros[VALOR],tabela_registros[MÊS],$AE$1,tabela_registros[DIA],receitasvariáveisconsolidadoout[[#Headers],[6]],tabela_registros[REGISTRO],DADOS!$N$3,tabela_registros[TIPO],DADOS!$V$4,tabela_registros[CATEGORIA],receitasvariáveisconsolidadoout[[#This Row],[ATUAL]])</f>
        <v>0</v>
      </c>
      <c r="K100" s="119" t="n">
        <f aca="false">SUMIFS(tabela_registros[VALOR],tabela_registros[MÊS],$AE$1,tabela_registros[DIA],receitasvariáveisconsolidadoout[[#Headers],[7]],tabela_registros[REGISTRO],DADOS!$N$3,tabela_registros[TIPO],DADOS!$V$4,tabela_registros[CATEGORIA],receitasvariáveisconsolidadoout[[#This Row],[ATUAL]])</f>
        <v>0</v>
      </c>
      <c r="L100" s="119" t="n">
        <f aca="false">SUMIFS(tabela_registros[VALOR],tabela_registros[MÊS],$AE$1,tabela_registros[DIA],receitasvariáveisconsolidadoout[[#Headers],[8]],tabela_registros[REGISTRO],DADOS!$N$3,tabela_registros[TIPO],DADOS!$V$4,tabela_registros[CATEGORIA],receitasvariáveisconsolidadoout[[#This Row],[ATUAL]])</f>
        <v>0</v>
      </c>
      <c r="M100" s="119" t="n">
        <f aca="false">SUMIFS(tabela_registros[VALOR],tabela_registros[MÊS],$AE$1,tabela_registros[DIA],receitasvariáveisconsolidadoout[[#Headers],[9]],tabela_registros[REGISTRO],DADOS!$N$3,tabela_registros[TIPO],DADOS!$V$4,tabela_registros[CATEGORIA],receitasvariáveisconsolidadoout[[#This Row],[ATUAL]])</f>
        <v>0</v>
      </c>
      <c r="N100" s="119" t="n">
        <f aca="false">SUMIFS(tabela_registros[VALOR],tabela_registros[MÊS],$AE$1,tabela_registros[DIA],receitasvariáveisconsolidadoout[[#Headers],[10]],tabela_registros[REGISTRO],DADOS!$N$3,tabela_registros[TIPO],DADOS!$V$4,tabela_registros[CATEGORIA],receitasvariáveisconsolidadoout[[#This Row],[ATUAL]])</f>
        <v>0</v>
      </c>
      <c r="O100" s="119" t="n">
        <f aca="false">SUMIFS(tabela_registros[VALOR],tabela_registros[MÊS],$AE$1,tabela_registros[DIA],receitasvariáveisconsolidadoout[[#Headers],[11]],tabela_registros[REGISTRO],DADOS!$N$3,tabela_registros[TIPO],DADOS!$V$4,tabela_registros[CATEGORIA],receitasvariáveisconsolidadoout[[#This Row],[ATUAL]])</f>
        <v>0</v>
      </c>
      <c r="P100" s="119" t="n">
        <f aca="false">SUMIFS(tabela_registros[VALOR],tabela_registros[MÊS],$AE$1,tabela_registros[DIA],receitasvariáveisconsolidadoout[[#Headers],[12]],tabela_registros[REGISTRO],DADOS!$N$3,tabela_registros[TIPO],DADOS!$V$4,tabela_registros[CATEGORIA],receitasvariáveisconsolidadoout[[#This Row],[ATUAL]])</f>
        <v>0</v>
      </c>
      <c r="Q100" s="119" t="n">
        <f aca="false">SUMIFS(tabela_registros[VALOR],tabela_registros[MÊS],$AE$1,tabela_registros[DIA],receitasvariáveisconsolidadoout[[#Headers],[13]],tabela_registros[REGISTRO],DADOS!$N$3,tabela_registros[TIPO],DADOS!$V$4,tabela_registros[CATEGORIA],receitasvariáveisconsolidadoout[[#This Row],[ATUAL]])</f>
        <v>0</v>
      </c>
      <c r="R100" s="119" t="n">
        <f aca="false">SUMIFS(tabela_registros[VALOR],tabela_registros[MÊS],$AE$1,tabela_registros[DIA],receitasvariáveisconsolidadoout[[#Headers],[14]],tabela_registros[REGISTRO],DADOS!$N$3,tabela_registros[TIPO],DADOS!$V$4,tabela_registros[CATEGORIA],receitasvariáveisconsolidadoout[[#This Row],[ATUAL]])</f>
        <v>0</v>
      </c>
      <c r="S100" s="119" t="n">
        <f aca="false">SUMIFS(tabela_registros[VALOR],tabela_registros[MÊS],$AE$1,tabela_registros[DIA],receitasvariáveisconsolidadoout[[#Headers],[15]],tabela_registros[REGISTRO],DADOS!$N$3,tabela_registros[TIPO],DADOS!$V$4,tabela_registros[CATEGORIA],receitasvariáveisconsolidadoout[[#This Row],[ATUAL]])</f>
        <v>0</v>
      </c>
      <c r="T100" s="119" t="n">
        <f aca="false">SUMIFS(tabela_registros[VALOR],tabela_registros[MÊS],$AE$1,tabela_registros[DIA],receitasvariáveisconsolidadoout[[#Headers],[16]],tabela_registros[REGISTRO],DADOS!$N$3,tabela_registros[TIPO],DADOS!$V$4,tabela_registros[CATEGORIA],receitasvariáveisconsolidadoout[[#This Row],[ATUAL]])</f>
        <v>0</v>
      </c>
      <c r="U100" s="119" t="n">
        <f aca="false">SUMIFS(tabela_registros[VALOR],tabela_registros[MÊS],$AE$1,tabela_registros[DIA],receitasvariáveisconsolidadoout[[#Headers],[17]],tabela_registros[REGISTRO],DADOS!$N$3,tabela_registros[TIPO],DADOS!$V$4,tabela_registros[CATEGORIA],receitasvariáveisconsolidadoout[[#This Row],[ATUAL]])</f>
        <v>0</v>
      </c>
      <c r="V100" s="119" t="n">
        <f aca="false">SUMIFS(tabela_registros[VALOR],tabela_registros[MÊS],$AE$1,tabela_registros[DIA],receitasvariáveisconsolidadoout[[#Headers],[18]],tabela_registros[REGISTRO],DADOS!$N$3,tabela_registros[TIPO],DADOS!$V$4,tabela_registros[CATEGORIA],receitasvariáveisconsolidadoout[[#This Row],[ATUAL]])</f>
        <v>0</v>
      </c>
      <c r="W100" s="119" t="n">
        <f aca="false">SUMIFS(tabela_registros[VALOR],tabela_registros[MÊS],$AE$1,tabela_registros[DIA],receitasvariáveisconsolidadoout[[#Headers],[19]],tabela_registros[REGISTRO],DADOS!$N$3,tabela_registros[TIPO],DADOS!$V$4,tabela_registros[CATEGORIA],receitasvariáveisconsolidadoout[[#This Row],[ATUAL]])</f>
        <v>0</v>
      </c>
      <c r="X100" s="119" t="n">
        <f aca="false">SUMIFS(tabela_registros[VALOR],tabela_registros[MÊS],$AE$1,tabela_registros[DIA],receitasvariáveisconsolidadoout[[#Headers],[20]],tabela_registros[REGISTRO],DADOS!$N$3,tabela_registros[TIPO],DADOS!$V$4,tabela_registros[CATEGORIA],receitasvariáveisconsolidadoout[[#This Row],[ATUAL]])</f>
        <v>0</v>
      </c>
      <c r="Y100" s="119" t="n">
        <f aca="false">SUMIFS(tabela_registros[VALOR],tabela_registros[MÊS],$AE$1,tabela_registros[DIA],receitasvariáveisconsolidadoout[[#Headers],[21]],tabela_registros[REGISTRO],DADOS!$N$3,tabela_registros[TIPO],DADOS!$V$4,tabela_registros[CATEGORIA],receitasvariáveisconsolidadoout[[#This Row],[ATUAL]])</f>
        <v>0</v>
      </c>
      <c r="Z100" s="119" t="n">
        <f aca="false">SUMIFS(tabela_registros[VALOR],tabela_registros[MÊS],$AE$1,tabela_registros[DIA],receitasvariáveisconsolidadoout[[#Headers],[22]],tabela_registros[REGISTRO],DADOS!$N$3,tabela_registros[TIPO],DADOS!$V$4,tabela_registros[CATEGORIA],receitasvariáveisconsolidadoout[[#This Row],[ATUAL]])</f>
        <v>0</v>
      </c>
      <c r="AA100" s="119" t="n">
        <f aca="false">SUMIFS(tabela_registros[VALOR],tabela_registros[MÊS],$AE$1,tabela_registros[DIA],receitasvariáveisconsolidadoout[[#Headers],[23]],tabela_registros[REGISTRO],DADOS!$N$3,tabela_registros[TIPO],DADOS!$V$4,tabela_registros[CATEGORIA],receitasvariáveisconsolidadoout[[#This Row],[ATUAL]])</f>
        <v>0</v>
      </c>
      <c r="AB100" s="119" t="n">
        <f aca="false">SUMIFS(tabela_registros[VALOR],tabela_registros[MÊS],$AE$1,tabela_registros[DIA],receitasvariáveisconsolidadoout[[#Headers],[24]],tabela_registros[REGISTRO],DADOS!$N$3,tabela_registros[TIPO],DADOS!$V$4,tabela_registros[CATEGORIA],receitasvariáveisconsolidadoout[[#This Row],[ATUAL]])</f>
        <v>0</v>
      </c>
      <c r="AC100" s="119" t="n">
        <f aca="false">SUMIFS(tabela_registros[VALOR],tabela_registros[MÊS],$AE$1,tabela_registros[DIA],receitasvariáveisconsolidadoout[[#Headers],[25]],tabela_registros[REGISTRO],DADOS!$N$3,tabela_registros[TIPO],DADOS!$V$4,tabela_registros[CATEGORIA],receitasvariáveisconsolidadoout[[#This Row],[ATUAL]])</f>
        <v>0</v>
      </c>
      <c r="AD100" s="119" t="n">
        <f aca="false">SUMIFS(tabela_registros[VALOR],tabela_registros[MÊS],$AE$1,tabela_registros[DIA],receitasvariáveisconsolidadoout[[#Headers],[26]],tabela_registros[REGISTRO],DADOS!$N$3,tabela_registros[TIPO],DADOS!$V$4,tabela_registros[CATEGORIA],receitasvariáveisconsolidadoout[[#This Row],[ATUAL]])</f>
        <v>0</v>
      </c>
      <c r="AE100" s="119" t="n">
        <f aca="false">SUMIFS(tabela_registros[VALOR],tabela_registros[MÊS],$AE$1,tabela_registros[DIA],receitasvariáveisconsolidadoout[[#Headers],[27]],tabela_registros[REGISTRO],DADOS!$N$3,tabela_registros[TIPO],DADOS!$V$4,tabela_registros[CATEGORIA],receitasvariáveisconsolidadoout[[#This Row],[ATUAL]])</f>
        <v>0</v>
      </c>
      <c r="AF100" s="119" t="n">
        <f aca="false">SUMIFS(tabela_registros[VALOR],tabela_registros[MÊS],$AE$1,tabela_registros[DIA],receitasvariáveisconsolidadoout[[#Headers],[28]],tabela_registros[REGISTRO],DADOS!$N$3,tabela_registros[TIPO],DADOS!$V$4,tabela_registros[CATEGORIA],receitasvariáveisconsolidadoout[[#This Row],[ATUAL]])</f>
        <v>0</v>
      </c>
      <c r="AG100" s="119" t="n">
        <f aca="false">SUMIFS(tabela_registros[VALOR],tabela_registros[MÊS],$AE$1,tabela_registros[DIA],receitasvariáveisconsolidadoout[[#Headers],[29]],tabela_registros[REGISTRO],DADOS!$N$3,tabela_registros[TIPO],DADOS!$V$4,tabela_registros[CATEGORIA],receitasvariáveisconsolidadoout[[#This Row],[ATUAL]])</f>
        <v>0</v>
      </c>
      <c r="AH100" s="119" t="n">
        <f aca="false">SUMIFS(tabela_registros[VALOR],tabela_registros[MÊS],$AE$1,tabela_registros[DIA],receitasvariáveisconsolidadoout[[#Headers],[30]],tabela_registros[REGISTRO],DADOS!$N$3,tabela_registros[TIPO],DADOS!$V$4,tabela_registros[CATEGORIA],receitasvariáveisconsolidadoout[[#This Row],[ATUAL]])</f>
        <v>0</v>
      </c>
      <c r="AI100" s="217" t="n">
        <f aca="false">SUMIFS(tabela_registros[VALOR],tabela_registros[MÊS],$AE$1,tabela_registros[DIA],receitasvariáveisconsolidadoout[[#Headers],[31]],tabela_registros[REGISTRO],DADOS!$N$3,tabela_registros[TIPO],DADOS!$V$4,tabela_registros[CATEGORIA],receitasvariáveisconsolidadoout[[#This Row],[ATUAL]])</f>
        <v>0</v>
      </c>
      <c r="AJ100" s="237" t="n">
        <f aca="false">SUM(receitasvariáveisconsolidadoout[[#This Row],[1]:[31]])</f>
        <v>0</v>
      </c>
      <c r="AK100" s="165"/>
    </row>
    <row r="101" customFormat="false" ht="19.5" hidden="false" customHeight="true" outlineLevel="0" collapsed="false">
      <c r="B101" s="143"/>
      <c r="C101" s="144" t="str">
        <f aca="false">DADOS!$Z$8</f>
        <v>🎁 PRESENTE</v>
      </c>
      <c r="D101" s="145" t="str">
        <f aca="false">IF(receitasvariáveisconsolidadoout[[#This Row],[TOTAL (R$)]]=0,"",IF(OR(receitasvariáveisconsolidadoout[[#This Row],[TOTAL (R$)]]=LARGE($AJ$96:$AJ$103,1),receitasvariáveisconsolidadoout[[#This Row],[TOTAL (R$)]]=LARGE($AJ$96:$AJ$103,2)),DADOS!$I$9,""))</f>
        <v/>
      </c>
      <c r="E101" s="148" t="n">
        <f aca="false">SUMIFS(tabela_registros[VALOR],tabela_registros[MÊS],$AE$1,tabela_registros[DIA],receitasvariáveisconsolidadoout[[#Headers],[1]],tabela_registros[REGISTRO],DADOS!$N$3,tabela_registros[TIPO],DADOS!$V$4,tabela_registros[CATEGORIA],receitasvariáveisconsolidadoout[[#This Row],[ATUAL]])</f>
        <v>0</v>
      </c>
      <c r="F101" s="119" t="n">
        <f aca="false">SUMIFS(tabela_registros[VALOR],tabela_registros[MÊS],$AE$1,tabela_registros[DIA],receitasvariáveisconsolidadoout[[#Headers],[2]],tabela_registros[REGISTRO],DADOS!$N$3,tabela_registros[TIPO],DADOS!$V$4,tabela_registros[CATEGORIA],receitasvariáveisconsolidadoout[[#This Row],[ATUAL]])</f>
        <v>0</v>
      </c>
      <c r="G101" s="119" t="n">
        <f aca="false">SUMIFS(tabela_registros[VALOR],tabela_registros[MÊS],$AE$1,tabela_registros[DIA],receitasvariáveisconsolidadoout[[#Headers],[3]],tabela_registros[REGISTRO],DADOS!$N$3,tabela_registros[TIPO],DADOS!$V$4,tabela_registros[CATEGORIA],receitasvariáveisconsolidadoout[[#This Row],[ATUAL]])</f>
        <v>0</v>
      </c>
      <c r="H101" s="119" t="n">
        <f aca="false">SUMIFS(tabela_registros[VALOR],tabela_registros[MÊS],$AE$1,tabela_registros[DIA],receitasvariáveisconsolidadoout[[#Headers],[4]],tabela_registros[REGISTRO],DADOS!$N$3,tabela_registros[TIPO],DADOS!$V$4,tabela_registros[CATEGORIA],receitasvariáveisconsolidadoout[[#This Row],[ATUAL]])</f>
        <v>0</v>
      </c>
      <c r="I101" s="119" t="n">
        <f aca="false">SUMIFS(tabela_registros[VALOR],tabela_registros[MÊS],$AE$1,tabela_registros[DIA],receitasvariáveisconsolidadoout[[#Headers],[5]],tabela_registros[REGISTRO],DADOS!$N$3,tabela_registros[TIPO],DADOS!$V$4,tabela_registros[CATEGORIA],receitasvariáveisconsolidadoout[[#This Row],[ATUAL]])</f>
        <v>0</v>
      </c>
      <c r="J101" s="119" t="n">
        <f aca="false">SUMIFS(tabela_registros[VALOR],tabela_registros[MÊS],$AE$1,tabela_registros[DIA],receitasvariáveisconsolidadoout[[#Headers],[6]],tabela_registros[REGISTRO],DADOS!$N$3,tabela_registros[TIPO],DADOS!$V$4,tabela_registros[CATEGORIA],receitasvariáveisconsolidadoout[[#This Row],[ATUAL]])</f>
        <v>0</v>
      </c>
      <c r="K101" s="119" t="n">
        <f aca="false">SUMIFS(tabela_registros[VALOR],tabela_registros[MÊS],$AE$1,tabela_registros[DIA],receitasvariáveisconsolidadoout[[#Headers],[7]],tabela_registros[REGISTRO],DADOS!$N$3,tabela_registros[TIPO],DADOS!$V$4,tabela_registros[CATEGORIA],receitasvariáveisconsolidadoout[[#This Row],[ATUAL]])</f>
        <v>0</v>
      </c>
      <c r="L101" s="119" t="n">
        <f aca="false">SUMIFS(tabela_registros[VALOR],tabela_registros[MÊS],$AE$1,tabela_registros[DIA],receitasvariáveisconsolidadoout[[#Headers],[8]],tabela_registros[REGISTRO],DADOS!$N$3,tabela_registros[TIPO],DADOS!$V$4,tabela_registros[CATEGORIA],receitasvariáveisconsolidadoout[[#This Row],[ATUAL]])</f>
        <v>0</v>
      </c>
      <c r="M101" s="119" t="n">
        <f aca="false">SUMIFS(tabela_registros[VALOR],tabela_registros[MÊS],$AE$1,tabela_registros[DIA],receitasvariáveisconsolidadoout[[#Headers],[9]],tabela_registros[REGISTRO],DADOS!$N$3,tabela_registros[TIPO],DADOS!$V$4,tabela_registros[CATEGORIA],receitasvariáveisconsolidadoout[[#This Row],[ATUAL]])</f>
        <v>0</v>
      </c>
      <c r="N101" s="119" t="n">
        <f aca="false">SUMIFS(tabela_registros[VALOR],tabela_registros[MÊS],$AE$1,tabela_registros[DIA],receitasvariáveisconsolidadoout[[#Headers],[10]],tabela_registros[REGISTRO],DADOS!$N$3,tabela_registros[TIPO],DADOS!$V$4,tabela_registros[CATEGORIA],receitasvariáveisconsolidadoout[[#This Row],[ATUAL]])</f>
        <v>0</v>
      </c>
      <c r="O101" s="119" t="n">
        <f aca="false">SUMIFS(tabela_registros[VALOR],tabela_registros[MÊS],$AE$1,tabela_registros[DIA],receitasvariáveisconsolidadoout[[#Headers],[11]],tabela_registros[REGISTRO],DADOS!$N$3,tabela_registros[TIPO],DADOS!$V$4,tabela_registros[CATEGORIA],receitasvariáveisconsolidadoout[[#This Row],[ATUAL]])</f>
        <v>0</v>
      </c>
      <c r="P101" s="119" t="n">
        <f aca="false">SUMIFS(tabela_registros[VALOR],tabela_registros[MÊS],$AE$1,tabela_registros[DIA],receitasvariáveisconsolidadoout[[#Headers],[12]],tabela_registros[REGISTRO],DADOS!$N$3,tabela_registros[TIPO],DADOS!$V$4,tabela_registros[CATEGORIA],receitasvariáveisconsolidadoout[[#This Row],[ATUAL]])</f>
        <v>0</v>
      </c>
      <c r="Q101" s="119" t="n">
        <f aca="false">SUMIFS(tabela_registros[VALOR],tabela_registros[MÊS],$AE$1,tabela_registros[DIA],receitasvariáveisconsolidadoout[[#Headers],[13]],tabela_registros[REGISTRO],DADOS!$N$3,tabela_registros[TIPO],DADOS!$V$4,tabela_registros[CATEGORIA],receitasvariáveisconsolidadoout[[#This Row],[ATUAL]])</f>
        <v>0</v>
      </c>
      <c r="R101" s="119" t="n">
        <f aca="false">SUMIFS(tabela_registros[VALOR],tabela_registros[MÊS],$AE$1,tabela_registros[DIA],receitasvariáveisconsolidadoout[[#Headers],[14]],tabela_registros[REGISTRO],DADOS!$N$3,tabela_registros[TIPO],DADOS!$V$4,tabela_registros[CATEGORIA],receitasvariáveisconsolidadoout[[#This Row],[ATUAL]])</f>
        <v>0</v>
      </c>
      <c r="S101" s="119" t="n">
        <f aca="false">SUMIFS(tabela_registros[VALOR],tabela_registros[MÊS],$AE$1,tabela_registros[DIA],receitasvariáveisconsolidadoout[[#Headers],[15]],tabela_registros[REGISTRO],DADOS!$N$3,tabela_registros[TIPO],DADOS!$V$4,tabela_registros[CATEGORIA],receitasvariáveisconsolidadoout[[#This Row],[ATUAL]])</f>
        <v>0</v>
      </c>
      <c r="T101" s="119" t="n">
        <f aca="false">SUMIFS(tabela_registros[VALOR],tabela_registros[MÊS],$AE$1,tabela_registros[DIA],receitasvariáveisconsolidadoout[[#Headers],[16]],tabela_registros[REGISTRO],DADOS!$N$3,tabela_registros[TIPO],DADOS!$V$4,tabela_registros[CATEGORIA],receitasvariáveisconsolidadoout[[#This Row],[ATUAL]])</f>
        <v>0</v>
      </c>
      <c r="U101" s="119" t="n">
        <f aca="false">SUMIFS(tabela_registros[VALOR],tabela_registros[MÊS],$AE$1,tabela_registros[DIA],receitasvariáveisconsolidadoout[[#Headers],[17]],tabela_registros[REGISTRO],DADOS!$N$3,tabela_registros[TIPO],DADOS!$V$4,tabela_registros[CATEGORIA],receitasvariáveisconsolidadoout[[#This Row],[ATUAL]])</f>
        <v>0</v>
      </c>
      <c r="V101" s="119" t="n">
        <f aca="false">SUMIFS(tabela_registros[VALOR],tabela_registros[MÊS],$AE$1,tabela_registros[DIA],receitasvariáveisconsolidadoout[[#Headers],[18]],tabela_registros[REGISTRO],DADOS!$N$3,tabela_registros[TIPO],DADOS!$V$4,tabela_registros[CATEGORIA],receitasvariáveisconsolidadoout[[#This Row],[ATUAL]])</f>
        <v>0</v>
      </c>
      <c r="W101" s="119" t="n">
        <f aca="false">SUMIFS(tabela_registros[VALOR],tabela_registros[MÊS],$AE$1,tabela_registros[DIA],receitasvariáveisconsolidadoout[[#Headers],[19]],tabela_registros[REGISTRO],DADOS!$N$3,tabela_registros[TIPO],DADOS!$V$4,tabela_registros[CATEGORIA],receitasvariáveisconsolidadoout[[#This Row],[ATUAL]])</f>
        <v>0</v>
      </c>
      <c r="X101" s="119" t="n">
        <f aca="false">SUMIFS(tabela_registros[VALOR],tabela_registros[MÊS],$AE$1,tabela_registros[DIA],receitasvariáveisconsolidadoout[[#Headers],[20]],tabela_registros[REGISTRO],DADOS!$N$3,tabela_registros[TIPO],DADOS!$V$4,tabela_registros[CATEGORIA],receitasvariáveisconsolidadoout[[#This Row],[ATUAL]])</f>
        <v>0</v>
      </c>
      <c r="Y101" s="119" t="n">
        <f aca="false">SUMIFS(tabela_registros[VALOR],tabela_registros[MÊS],$AE$1,tabela_registros[DIA],receitasvariáveisconsolidadoout[[#Headers],[21]],tabela_registros[REGISTRO],DADOS!$N$3,tabela_registros[TIPO],DADOS!$V$4,tabela_registros[CATEGORIA],receitasvariáveisconsolidadoout[[#This Row],[ATUAL]])</f>
        <v>0</v>
      </c>
      <c r="Z101" s="119" t="n">
        <f aca="false">SUMIFS(tabela_registros[VALOR],tabela_registros[MÊS],$AE$1,tabela_registros[DIA],receitasvariáveisconsolidadoout[[#Headers],[22]],tabela_registros[REGISTRO],DADOS!$N$3,tabela_registros[TIPO],DADOS!$V$4,tabela_registros[CATEGORIA],receitasvariáveisconsolidadoout[[#This Row],[ATUAL]])</f>
        <v>0</v>
      </c>
      <c r="AA101" s="119" t="n">
        <f aca="false">SUMIFS(tabela_registros[VALOR],tabela_registros[MÊS],$AE$1,tabela_registros[DIA],receitasvariáveisconsolidadoout[[#Headers],[23]],tabela_registros[REGISTRO],DADOS!$N$3,tabela_registros[TIPO],DADOS!$V$4,tabela_registros[CATEGORIA],receitasvariáveisconsolidadoout[[#This Row],[ATUAL]])</f>
        <v>0</v>
      </c>
      <c r="AB101" s="119" t="n">
        <f aca="false">SUMIFS(tabela_registros[VALOR],tabela_registros[MÊS],$AE$1,tabela_registros[DIA],receitasvariáveisconsolidadoout[[#Headers],[24]],tabela_registros[REGISTRO],DADOS!$N$3,tabela_registros[TIPO],DADOS!$V$4,tabela_registros[CATEGORIA],receitasvariáveisconsolidadoout[[#This Row],[ATUAL]])</f>
        <v>0</v>
      </c>
      <c r="AC101" s="119" t="n">
        <f aca="false">SUMIFS(tabela_registros[VALOR],tabela_registros[MÊS],$AE$1,tabela_registros[DIA],receitasvariáveisconsolidadoout[[#Headers],[25]],tabela_registros[REGISTRO],DADOS!$N$3,tabela_registros[TIPO],DADOS!$V$4,tabela_registros[CATEGORIA],receitasvariáveisconsolidadoout[[#This Row],[ATUAL]])</f>
        <v>0</v>
      </c>
      <c r="AD101" s="119" t="n">
        <f aca="false">SUMIFS(tabela_registros[VALOR],tabela_registros[MÊS],$AE$1,tabela_registros[DIA],receitasvariáveisconsolidadoout[[#Headers],[26]],tabela_registros[REGISTRO],DADOS!$N$3,tabela_registros[TIPO],DADOS!$V$4,tabela_registros[CATEGORIA],receitasvariáveisconsolidadoout[[#This Row],[ATUAL]])</f>
        <v>0</v>
      </c>
      <c r="AE101" s="119" t="n">
        <f aca="false">SUMIFS(tabela_registros[VALOR],tabela_registros[MÊS],$AE$1,tabela_registros[DIA],receitasvariáveisconsolidadoout[[#Headers],[27]],tabela_registros[REGISTRO],DADOS!$N$3,tabela_registros[TIPO],DADOS!$V$4,tabela_registros[CATEGORIA],receitasvariáveisconsolidadoout[[#This Row],[ATUAL]])</f>
        <v>0</v>
      </c>
      <c r="AF101" s="119" t="n">
        <f aca="false">SUMIFS(tabela_registros[VALOR],tabela_registros[MÊS],$AE$1,tabela_registros[DIA],receitasvariáveisconsolidadoout[[#Headers],[28]],tabela_registros[REGISTRO],DADOS!$N$3,tabela_registros[TIPO],DADOS!$V$4,tabela_registros[CATEGORIA],receitasvariáveisconsolidadoout[[#This Row],[ATUAL]])</f>
        <v>0</v>
      </c>
      <c r="AG101" s="119" t="n">
        <f aca="false">SUMIFS(tabela_registros[VALOR],tabela_registros[MÊS],$AE$1,tabela_registros[DIA],receitasvariáveisconsolidadoout[[#Headers],[29]],tabela_registros[REGISTRO],DADOS!$N$3,tabela_registros[TIPO],DADOS!$V$4,tabela_registros[CATEGORIA],receitasvariáveisconsolidadoout[[#This Row],[ATUAL]])</f>
        <v>0</v>
      </c>
      <c r="AH101" s="119" t="n">
        <f aca="false">SUMIFS(tabela_registros[VALOR],tabela_registros[MÊS],$AE$1,tabela_registros[DIA],receitasvariáveisconsolidadoout[[#Headers],[30]],tabela_registros[REGISTRO],DADOS!$N$3,tabela_registros[TIPO],DADOS!$V$4,tabela_registros[CATEGORIA],receitasvariáveisconsolidadoout[[#This Row],[ATUAL]])</f>
        <v>0</v>
      </c>
      <c r="AI101" s="217" t="n">
        <f aca="false">SUMIFS(tabela_registros[VALOR],tabela_registros[MÊS],$AE$1,tabela_registros[DIA],receitasvariáveisconsolidadoout[[#Headers],[31]],tabela_registros[REGISTRO],DADOS!$N$3,tabela_registros[TIPO],DADOS!$V$4,tabela_registros[CATEGORIA],receitasvariáveisconsolidadoout[[#This Row],[ATUAL]])</f>
        <v>0</v>
      </c>
      <c r="AJ101" s="237" t="n">
        <f aca="false">SUM(receitasvariáveisconsolidadoout[[#This Row],[1]:[31]])</f>
        <v>0</v>
      </c>
      <c r="AK101" s="165"/>
    </row>
    <row r="102" customFormat="false" ht="19.5" hidden="false" customHeight="true" outlineLevel="0" collapsed="false">
      <c r="B102" s="143"/>
      <c r="C102" s="144" t="str">
        <f aca="false">DADOS!$Z$9</f>
        <v>👷‍♀️ TRABALHO TEMPORÁRIO</v>
      </c>
      <c r="D102" s="145" t="str">
        <f aca="false">IF(receitasvariáveisconsolidadoout[[#This Row],[TOTAL (R$)]]=0,"",IF(OR(receitasvariáveisconsolidadoout[[#This Row],[TOTAL (R$)]]=LARGE($AJ$96:$AJ$103,1),receitasvariáveisconsolidadoout[[#This Row],[TOTAL (R$)]]=LARGE($AJ$96:$AJ$103,2)),DADOS!$I$9,""))</f>
        <v/>
      </c>
      <c r="E102" s="148" t="n">
        <f aca="false">SUMIFS(tabela_registros[VALOR],tabela_registros[MÊS],$AE$1,tabela_registros[DIA],receitasvariáveisconsolidadoout[[#Headers],[1]],tabela_registros[REGISTRO],DADOS!$N$3,tabela_registros[TIPO],DADOS!$V$4,tabela_registros[CATEGORIA],receitasvariáveisconsolidadoout[[#This Row],[ATUAL]])</f>
        <v>0</v>
      </c>
      <c r="F102" s="119" t="n">
        <f aca="false">SUMIFS(tabela_registros[VALOR],tabela_registros[MÊS],$AE$1,tabela_registros[DIA],receitasvariáveisconsolidadoout[[#Headers],[2]],tabela_registros[REGISTRO],DADOS!$N$3,tabela_registros[TIPO],DADOS!$V$4,tabela_registros[CATEGORIA],receitasvariáveisconsolidadoout[[#This Row],[ATUAL]])</f>
        <v>0</v>
      </c>
      <c r="G102" s="119" t="n">
        <f aca="false">SUMIFS(tabela_registros[VALOR],tabela_registros[MÊS],$AE$1,tabela_registros[DIA],receitasvariáveisconsolidadoout[[#Headers],[3]],tabela_registros[REGISTRO],DADOS!$N$3,tabela_registros[TIPO],DADOS!$V$4,tabela_registros[CATEGORIA],receitasvariáveisconsolidadoout[[#This Row],[ATUAL]])</f>
        <v>0</v>
      </c>
      <c r="H102" s="119" t="n">
        <f aca="false">SUMIFS(tabela_registros[VALOR],tabela_registros[MÊS],$AE$1,tabela_registros[DIA],receitasvariáveisconsolidadoout[[#Headers],[4]],tabela_registros[REGISTRO],DADOS!$N$3,tabela_registros[TIPO],DADOS!$V$4,tabela_registros[CATEGORIA],receitasvariáveisconsolidadoout[[#This Row],[ATUAL]])</f>
        <v>0</v>
      </c>
      <c r="I102" s="119" t="n">
        <f aca="false">SUMIFS(tabela_registros[VALOR],tabela_registros[MÊS],$AE$1,tabela_registros[DIA],receitasvariáveisconsolidadoout[[#Headers],[5]],tabela_registros[REGISTRO],DADOS!$N$3,tabela_registros[TIPO],DADOS!$V$4,tabela_registros[CATEGORIA],receitasvariáveisconsolidadoout[[#This Row],[ATUAL]])</f>
        <v>0</v>
      </c>
      <c r="J102" s="119" t="n">
        <f aca="false">SUMIFS(tabela_registros[VALOR],tabela_registros[MÊS],$AE$1,tabela_registros[DIA],receitasvariáveisconsolidadoout[[#Headers],[6]],tabela_registros[REGISTRO],DADOS!$N$3,tabela_registros[TIPO],DADOS!$V$4,tabela_registros[CATEGORIA],receitasvariáveisconsolidadoout[[#This Row],[ATUAL]])</f>
        <v>0</v>
      </c>
      <c r="K102" s="119" t="n">
        <f aca="false">SUMIFS(tabela_registros[VALOR],tabela_registros[MÊS],$AE$1,tabela_registros[DIA],receitasvariáveisconsolidadoout[[#Headers],[7]],tabela_registros[REGISTRO],DADOS!$N$3,tabela_registros[TIPO],DADOS!$V$4,tabela_registros[CATEGORIA],receitasvariáveisconsolidadoout[[#This Row],[ATUAL]])</f>
        <v>0</v>
      </c>
      <c r="L102" s="119" t="n">
        <f aca="false">SUMIFS(tabela_registros[VALOR],tabela_registros[MÊS],$AE$1,tabela_registros[DIA],receitasvariáveisconsolidadoout[[#Headers],[8]],tabela_registros[REGISTRO],DADOS!$N$3,tabela_registros[TIPO],DADOS!$V$4,tabela_registros[CATEGORIA],receitasvariáveisconsolidadoout[[#This Row],[ATUAL]])</f>
        <v>0</v>
      </c>
      <c r="M102" s="119" t="n">
        <f aca="false">SUMIFS(tabela_registros[VALOR],tabela_registros[MÊS],$AE$1,tabela_registros[DIA],receitasvariáveisconsolidadoout[[#Headers],[9]],tabela_registros[REGISTRO],DADOS!$N$3,tabela_registros[TIPO],DADOS!$V$4,tabela_registros[CATEGORIA],receitasvariáveisconsolidadoout[[#This Row],[ATUAL]])</f>
        <v>0</v>
      </c>
      <c r="N102" s="119" t="n">
        <f aca="false">SUMIFS(tabela_registros[VALOR],tabela_registros[MÊS],$AE$1,tabela_registros[DIA],receitasvariáveisconsolidadoout[[#Headers],[10]],tabela_registros[REGISTRO],DADOS!$N$3,tabela_registros[TIPO],DADOS!$V$4,tabela_registros[CATEGORIA],receitasvariáveisconsolidadoout[[#This Row],[ATUAL]])</f>
        <v>0</v>
      </c>
      <c r="O102" s="119" t="n">
        <f aca="false">SUMIFS(tabela_registros[VALOR],tabela_registros[MÊS],$AE$1,tabela_registros[DIA],receitasvariáveisconsolidadoout[[#Headers],[11]],tabela_registros[REGISTRO],DADOS!$N$3,tabela_registros[TIPO],DADOS!$V$4,tabela_registros[CATEGORIA],receitasvariáveisconsolidadoout[[#This Row],[ATUAL]])</f>
        <v>0</v>
      </c>
      <c r="P102" s="119" t="n">
        <f aca="false">SUMIFS(tabela_registros[VALOR],tabela_registros[MÊS],$AE$1,tabela_registros[DIA],receitasvariáveisconsolidadoout[[#Headers],[12]],tabela_registros[REGISTRO],DADOS!$N$3,tabela_registros[TIPO],DADOS!$V$4,tabela_registros[CATEGORIA],receitasvariáveisconsolidadoout[[#This Row],[ATUAL]])</f>
        <v>0</v>
      </c>
      <c r="Q102" s="119" t="n">
        <f aca="false">SUMIFS(tabela_registros[VALOR],tabela_registros[MÊS],$AE$1,tabela_registros[DIA],receitasvariáveisconsolidadoout[[#Headers],[13]],tabela_registros[REGISTRO],DADOS!$N$3,tabela_registros[TIPO],DADOS!$V$4,tabela_registros[CATEGORIA],receitasvariáveisconsolidadoout[[#This Row],[ATUAL]])</f>
        <v>0</v>
      </c>
      <c r="R102" s="119" t="n">
        <f aca="false">SUMIFS(tabela_registros[VALOR],tabela_registros[MÊS],$AE$1,tabela_registros[DIA],receitasvariáveisconsolidadoout[[#Headers],[14]],tabela_registros[REGISTRO],DADOS!$N$3,tabela_registros[TIPO],DADOS!$V$4,tabela_registros[CATEGORIA],receitasvariáveisconsolidadoout[[#This Row],[ATUAL]])</f>
        <v>0</v>
      </c>
      <c r="S102" s="119" t="n">
        <f aca="false">SUMIFS(tabela_registros[VALOR],tabela_registros[MÊS],$AE$1,tabela_registros[DIA],receitasvariáveisconsolidadoout[[#Headers],[15]],tabela_registros[REGISTRO],DADOS!$N$3,tabela_registros[TIPO],DADOS!$V$4,tabela_registros[CATEGORIA],receitasvariáveisconsolidadoout[[#This Row],[ATUAL]])</f>
        <v>0</v>
      </c>
      <c r="T102" s="119" t="n">
        <f aca="false">SUMIFS(tabela_registros[VALOR],tabela_registros[MÊS],$AE$1,tabela_registros[DIA],receitasvariáveisconsolidadoout[[#Headers],[16]],tabela_registros[REGISTRO],DADOS!$N$3,tabela_registros[TIPO],DADOS!$V$4,tabela_registros[CATEGORIA],receitasvariáveisconsolidadoout[[#This Row],[ATUAL]])</f>
        <v>0</v>
      </c>
      <c r="U102" s="119" t="n">
        <f aca="false">SUMIFS(tabela_registros[VALOR],tabela_registros[MÊS],$AE$1,tabela_registros[DIA],receitasvariáveisconsolidadoout[[#Headers],[17]],tabela_registros[REGISTRO],DADOS!$N$3,tabela_registros[TIPO],DADOS!$V$4,tabela_registros[CATEGORIA],receitasvariáveisconsolidadoout[[#This Row],[ATUAL]])</f>
        <v>0</v>
      </c>
      <c r="V102" s="119" t="n">
        <f aca="false">SUMIFS(tabela_registros[VALOR],tabela_registros[MÊS],$AE$1,tabela_registros[DIA],receitasvariáveisconsolidadoout[[#Headers],[18]],tabela_registros[REGISTRO],DADOS!$N$3,tabela_registros[TIPO],DADOS!$V$4,tabela_registros[CATEGORIA],receitasvariáveisconsolidadoout[[#This Row],[ATUAL]])</f>
        <v>0</v>
      </c>
      <c r="W102" s="119" t="n">
        <f aca="false">SUMIFS(tabela_registros[VALOR],tabela_registros[MÊS],$AE$1,tabela_registros[DIA],receitasvariáveisconsolidadoout[[#Headers],[19]],tabela_registros[REGISTRO],DADOS!$N$3,tabela_registros[TIPO],DADOS!$V$4,tabela_registros[CATEGORIA],receitasvariáveisconsolidadoout[[#This Row],[ATUAL]])</f>
        <v>0</v>
      </c>
      <c r="X102" s="119" t="n">
        <f aca="false">SUMIFS(tabela_registros[VALOR],tabela_registros[MÊS],$AE$1,tabela_registros[DIA],receitasvariáveisconsolidadoout[[#Headers],[20]],tabela_registros[REGISTRO],DADOS!$N$3,tabela_registros[TIPO],DADOS!$V$4,tabela_registros[CATEGORIA],receitasvariáveisconsolidadoout[[#This Row],[ATUAL]])</f>
        <v>0</v>
      </c>
      <c r="Y102" s="119" t="n">
        <f aca="false">SUMIFS(tabela_registros[VALOR],tabela_registros[MÊS],$AE$1,tabela_registros[DIA],receitasvariáveisconsolidadoout[[#Headers],[21]],tabela_registros[REGISTRO],DADOS!$N$3,tabela_registros[TIPO],DADOS!$V$4,tabela_registros[CATEGORIA],receitasvariáveisconsolidadoout[[#This Row],[ATUAL]])</f>
        <v>0</v>
      </c>
      <c r="Z102" s="119" t="n">
        <f aca="false">SUMIFS(tabela_registros[VALOR],tabela_registros[MÊS],$AE$1,tabela_registros[DIA],receitasvariáveisconsolidadoout[[#Headers],[22]],tabela_registros[REGISTRO],DADOS!$N$3,tabela_registros[TIPO],DADOS!$V$4,tabela_registros[CATEGORIA],receitasvariáveisconsolidadoout[[#This Row],[ATUAL]])</f>
        <v>0</v>
      </c>
      <c r="AA102" s="119" t="n">
        <f aca="false">SUMIFS(tabela_registros[VALOR],tabela_registros[MÊS],$AE$1,tabela_registros[DIA],receitasvariáveisconsolidadoout[[#Headers],[23]],tabela_registros[REGISTRO],DADOS!$N$3,tabela_registros[TIPO],DADOS!$V$4,tabela_registros[CATEGORIA],receitasvariáveisconsolidadoout[[#This Row],[ATUAL]])</f>
        <v>0</v>
      </c>
      <c r="AB102" s="119" t="n">
        <f aca="false">SUMIFS(tabela_registros[VALOR],tabela_registros[MÊS],$AE$1,tabela_registros[DIA],receitasvariáveisconsolidadoout[[#Headers],[24]],tabela_registros[REGISTRO],DADOS!$N$3,tabela_registros[TIPO],DADOS!$V$4,tabela_registros[CATEGORIA],receitasvariáveisconsolidadoout[[#This Row],[ATUAL]])</f>
        <v>0</v>
      </c>
      <c r="AC102" s="119" t="n">
        <f aca="false">SUMIFS(tabela_registros[VALOR],tabela_registros[MÊS],$AE$1,tabela_registros[DIA],receitasvariáveisconsolidadoout[[#Headers],[25]],tabela_registros[REGISTRO],DADOS!$N$3,tabela_registros[TIPO],DADOS!$V$4,tabela_registros[CATEGORIA],receitasvariáveisconsolidadoout[[#This Row],[ATUAL]])</f>
        <v>0</v>
      </c>
      <c r="AD102" s="119" t="n">
        <f aca="false">SUMIFS(tabela_registros[VALOR],tabela_registros[MÊS],$AE$1,tabela_registros[DIA],receitasvariáveisconsolidadoout[[#Headers],[26]],tabela_registros[REGISTRO],DADOS!$N$3,tabela_registros[TIPO],DADOS!$V$4,tabela_registros[CATEGORIA],receitasvariáveisconsolidadoout[[#This Row],[ATUAL]])</f>
        <v>0</v>
      </c>
      <c r="AE102" s="119" t="n">
        <f aca="false">SUMIFS(tabela_registros[VALOR],tabela_registros[MÊS],$AE$1,tabela_registros[DIA],receitasvariáveisconsolidadoout[[#Headers],[27]],tabela_registros[REGISTRO],DADOS!$N$3,tabela_registros[TIPO],DADOS!$V$4,tabela_registros[CATEGORIA],receitasvariáveisconsolidadoout[[#This Row],[ATUAL]])</f>
        <v>0</v>
      </c>
      <c r="AF102" s="119" t="n">
        <f aca="false">SUMIFS(tabela_registros[VALOR],tabela_registros[MÊS],$AE$1,tabela_registros[DIA],receitasvariáveisconsolidadoout[[#Headers],[28]],tabela_registros[REGISTRO],DADOS!$N$3,tabela_registros[TIPO],DADOS!$V$4,tabela_registros[CATEGORIA],receitasvariáveisconsolidadoout[[#This Row],[ATUAL]])</f>
        <v>0</v>
      </c>
      <c r="AG102" s="119" t="n">
        <f aca="false">SUMIFS(tabela_registros[VALOR],tabela_registros[MÊS],$AE$1,tabela_registros[DIA],receitasvariáveisconsolidadoout[[#Headers],[29]],tabela_registros[REGISTRO],DADOS!$N$3,tabela_registros[TIPO],DADOS!$V$4,tabela_registros[CATEGORIA],receitasvariáveisconsolidadoout[[#This Row],[ATUAL]])</f>
        <v>0</v>
      </c>
      <c r="AH102" s="119" t="n">
        <f aca="false">SUMIFS(tabela_registros[VALOR],tabela_registros[MÊS],$AE$1,tabela_registros[DIA],receitasvariáveisconsolidadoout[[#Headers],[30]],tabela_registros[REGISTRO],DADOS!$N$3,tabela_registros[TIPO],DADOS!$V$4,tabela_registros[CATEGORIA],receitasvariáveisconsolidadoout[[#This Row],[ATUAL]])</f>
        <v>0</v>
      </c>
      <c r="AI102" s="217" t="n">
        <f aca="false">SUMIFS(tabela_registros[VALOR],tabela_registros[MÊS],$AE$1,tabela_registros[DIA],receitasvariáveisconsolidadoout[[#Headers],[31]],tabela_registros[REGISTRO],DADOS!$N$3,tabela_registros[TIPO],DADOS!$V$4,tabela_registros[CATEGORIA],receitasvariáveisconsolidadoout[[#This Row],[ATUAL]])</f>
        <v>0</v>
      </c>
      <c r="AJ102" s="237" t="n">
        <f aca="false">SUM(receitasvariáveisconsolidadoout[[#This Row],[1]:[31]])</f>
        <v>0</v>
      </c>
      <c r="AK102" s="165"/>
    </row>
    <row r="103" customFormat="false" ht="18" hidden="false" customHeight="true" outlineLevel="0" collapsed="false">
      <c r="B103" s="143"/>
      <c r="C103" s="144" t="str">
        <f aca="false">DADOS!$Z$10</f>
        <v>📎 OUTROS</v>
      </c>
      <c r="D103" s="145" t="str">
        <f aca="false">IF(receitasvariáveisconsolidadoout[[#This Row],[TOTAL (R$)]]=0,"",IF(OR(receitasvariáveisconsolidadoout[[#This Row],[TOTAL (R$)]]=LARGE($AJ$96:$AJ$103,1),receitasvariáveisconsolidadoout[[#This Row],[TOTAL (R$)]]=LARGE($AJ$96:$AJ$103,2)),DADOS!$I$9,""))</f>
        <v/>
      </c>
      <c r="E103" s="148" t="n">
        <f aca="false">SUMIFS(tabela_registros[VALOR],tabela_registros[MÊS],$AE$1,tabela_registros[DIA],receitasvariáveisconsolidadoout[[#Headers],[1]],tabela_registros[REGISTRO],DADOS!$N$3,tabela_registros[TIPO],DADOS!$V$4,tabela_registros[CATEGORIA],receitasvariáveisconsolidadoout[[#This Row],[ATUAL]])</f>
        <v>0</v>
      </c>
      <c r="F103" s="119" t="n">
        <f aca="false">SUMIFS(tabela_registros[VALOR],tabela_registros[MÊS],$AE$1,tabela_registros[DIA],receitasvariáveisconsolidadoout[[#Headers],[2]],tabela_registros[REGISTRO],DADOS!$N$3,tabela_registros[TIPO],DADOS!$V$4,tabela_registros[CATEGORIA],receitasvariáveisconsolidadoout[[#This Row],[ATUAL]])</f>
        <v>0</v>
      </c>
      <c r="G103" s="119" t="n">
        <f aca="false">SUMIFS(tabela_registros[VALOR],tabela_registros[MÊS],$AE$1,tabela_registros[DIA],receitasvariáveisconsolidadoout[[#Headers],[3]],tabela_registros[REGISTRO],DADOS!$N$3,tabela_registros[TIPO],DADOS!$V$4,tabela_registros[CATEGORIA],receitasvariáveisconsolidadoout[[#This Row],[ATUAL]])</f>
        <v>0</v>
      </c>
      <c r="H103" s="119" t="n">
        <f aca="false">SUMIFS(tabela_registros[VALOR],tabela_registros[MÊS],$AE$1,tabela_registros[DIA],receitasvariáveisconsolidadoout[[#Headers],[4]],tabela_registros[REGISTRO],DADOS!$N$3,tabela_registros[TIPO],DADOS!$V$4,tabela_registros[CATEGORIA],receitasvariáveisconsolidadoout[[#This Row],[ATUAL]])</f>
        <v>0</v>
      </c>
      <c r="I103" s="119" t="n">
        <f aca="false">SUMIFS(tabela_registros[VALOR],tabela_registros[MÊS],$AE$1,tabela_registros[DIA],receitasvariáveisconsolidadoout[[#Headers],[5]],tabela_registros[REGISTRO],DADOS!$N$3,tabela_registros[TIPO],DADOS!$V$4,tabela_registros[CATEGORIA],receitasvariáveisconsolidadoout[[#This Row],[ATUAL]])</f>
        <v>0</v>
      </c>
      <c r="J103" s="119" t="n">
        <f aca="false">SUMIFS(tabela_registros[VALOR],tabela_registros[MÊS],$AE$1,tabela_registros[DIA],receitasvariáveisconsolidadoout[[#Headers],[6]],tabela_registros[REGISTRO],DADOS!$N$3,tabela_registros[TIPO],DADOS!$V$4,tabela_registros[CATEGORIA],receitasvariáveisconsolidadoout[[#This Row],[ATUAL]])</f>
        <v>0</v>
      </c>
      <c r="K103" s="119" t="n">
        <f aca="false">SUMIFS(tabela_registros[VALOR],tabela_registros[MÊS],$AE$1,tabela_registros[DIA],receitasvariáveisconsolidadoout[[#Headers],[7]],tabela_registros[REGISTRO],DADOS!$N$3,tabela_registros[TIPO],DADOS!$V$4,tabela_registros[CATEGORIA],receitasvariáveisconsolidadoout[[#This Row],[ATUAL]])</f>
        <v>0</v>
      </c>
      <c r="L103" s="119" t="n">
        <f aca="false">SUMIFS(tabela_registros[VALOR],tabela_registros[MÊS],$AE$1,tabela_registros[DIA],receitasvariáveisconsolidadoout[[#Headers],[8]],tabela_registros[REGISTRO],DADOS!$N$3,tabela_registros[TIPO],DADOS!$V$4,tabela_registros[CATEGORIA],receitasvariáveisconsolidadoout[[#This Row],[ATUAL]])</f>
        <v>0</v>
      </c>
      <c r="M103" s="119" t="n">
        <f aca="false">SUMIFS(tabela_registros[VALOR],tabela_registros[MÊS],$AE$1,tabela_registros[DIA],receitasvariáveisconsolidadoout[[#Headers],[9]],tabela_registros[REGISTRO],DADOS!$N$3,tabela_registros[TIPO],DADOS!$V$4,tabela_registros[CATEGORIA],receitasvariáveisconsolidadoout[[#This Row],[ATUAL]])</f>
        <v>0</v>
      </c>
      <c r="N103" s="119" t="n">
        <f aca="false">SUMIFS(tabela_registros[VALOR],tabela_registros[MÊS],$AE$1,tabela_registros[DIA],receitasvariáveisconsolidadoout[[#Headers],[10]],tabela_registros[REGISTRO],DADOS!$N$3,tabela_registros[TIPO],DADOS!$V$4,tabela_registros[CATEGORIA],receitasvariáveisconsolidadoout[[#This Row],[ATUAL]])</f>
        <v>0</v>
      </c>
      <c r="O103" s="119" t="n">
        <f aca="false">SUMIFS(tabela_registros[VALOR],tabela_registros[MÊS],$AE$1,tabela_registros[DIA],receitasvariáveisconsolidadoout[[#Headers],[11]],tabela_registros[REGISTRO],DADOS!$N$3,tabela_registros[TIPO],DADOS!$V$4,tabela_registros[CATEGORIA],receitasvariáveisconsolidadoout[[#This Row],[ATUAL]])</f>
        <v>0</v>
      </c>
      <c r="P103" s="119" t="n">
        <f aca="false">SUMIFS(tabela_registros[VALOR],tabela_registros[MÊS],$AE$1,tabela_registros[DIA],receitasvariáveisconsolidadoout[[#Headers],[12]],tabela_registros[REGISTRO],DADOS!$N$3,tabela_registros[TIPO],DADOS!$V$4,tabela_registros[CATEGORIA],receitasvariáveisconsolidadoout[[#This Row],[ATUAL]])</f>
        <v>0</v>
      </c>
      <c r="Q103" s="119" t="n">
        <f aca="false">SUMIFS(tabela_registros[VALOR],tabela_registros[MÊS],$AE$1,tabela_registros[DIA],receitasvariáveisconsolidadoout[[#Headers],[13]],tabela_registros[REGISTRO],DADOS!$N$3,tabela_registros[TIPO],DADOS!$V$4,tabela_registros[CATEGORIA],receitasvariáveisconsolidadoout[[#This Row],[ATUAL]])</f>
        <v>0</v>
      </c>
      <c r="R103" s="119" t="n">
        <f aca="false">SUMIFS(tabela_registros[VALOR],tabela_registros[MÊS],$AE$1,tabela_registros[DIA],receitasvariáveisconsolidadoout[[#Headers],[14]],tabela_registros[REGISTRO],DADOS!$N$3,tabela_registros[TIPO],DADOS!$V$4,tabela_registros[CATEGORIA],receitasvariáveisconsolidadoout[[#This Row],[ATUAL]])</f>
        <v>0</v>
      </c>
      <c r="S103" s="119" t="n">
        <f aca="false">SUMIFS(tabela_registros[VALOR],tabela_registros[MÊS],$AE$1,tabela_registros[DIA],receitasvariáveisconsolidadoout[[#Headers],[15]],tabela_registros[REGISTRO],DADOS!$N$3,tabela_registros[TIPO],DADOS!$V$4,tabela_registros[CATEGORIA],receitasvariáveisconsolidadoout[[#This Row],[ATUAL]])</f>
        <v>0</v>
      </c>
      <c r="T103" s="119" t="n">
        <f aca="false">SUMIFS(tabela_registros[VALOR],tabela_registros[MÊS],$AE$1,tabela_registros[DIA],receitasvariáveisconsolidadoout[[#Headers],[16]],tabela_registros[REGISTRO],DADOS!$N$3,tabela_registros[TIPO],DADOS!$V$4,tabela_registros[CATEGORIA],receitasvariáveisconsolidadoout[[#This Row],[ATUAL]])</f>
        <v>0</v>
      </c>
      <c r="U103" s="119" t="n">
        <f aca="false">SUMIFS(tabela_registros[VALOR],tabela_registros[MÊS],$AE$1,tabela_registros[DIA],receitasvariáveisconsolidadoout[[#Headers],[17]],tabela_registros[REGISTRO],DADOS!$N$3,tabela_registros[TIPO],DADOS!$V$4,tabela_registros[CATEGORIA],receitasvariáveisconsolidadoout[[#This Row],[ATUAL]])</f>
        <v>0</v>
      </c>
      <c r="V103" s="119" t="n">
        <f aca="false">SUMIFS(tabela_registros[VALOR],tabela_registros[MÊS],$AE$1,tabela_registros[DIA],receitasvariáveisconsolidadoout[[#Headers],[18]],tabela_registros[REGISTRO],DADOS!$N$3,tabela_registros[TIPO],DADOS!$V$4,tabela_registros[CATEGORIA],receitasvariáveisconsolidadoout[[#This Row],[ATUAL]])</f>
        <v>0</v>
      </c>
      <c r="W103" s="119" t="n">
        <f aca="false">SUMIFS(tabela_registros[VALOR],tabela_registros[MÊS],$AE$1,tabela_registros[DIA],receitasvariáveisconsolidadoout[[#Headers],[19]],tabela_registros[REGISTRO],DADOS!$N$3,tabela_registros[TIPO],DADOS!$V$4,tabela_registros[CATEGORIA],receitasvariáveisconsolidadoout[[#This Row],[ATUAL]])</f>
        <v>0</v>
      </c>
      <c r="X103" s="119" t="n">
        <f aca="false">SUMIFS(tabela_registros[VALOR],tabela_registros[MÊS],$AE$1,tabela_registros[DIA],receitasvariáveisconsolidadoout[[#Headers],[20]],tabela_registros[REGISTRO],DADOS!$N$3,tabela_registros[TIPO],DADOS!$V$4,tabela_registros[CATEGORIA],receitasvariáveisconsolidadoout[[#This Row],[ATUAL]])</f>
        <v>0</v>
      </c>
      <c r="Y103" s="119" t="n">
        <f aca="false">SUMIFS(tabela_registros[VALOR],tabela_registros[MÊS],$AE$1,tabela_registros[DIA],receitasvariáveisconsolidadoout[[#Headers],[21]],tabela_registros[REGISTRO],DADOS!$N$3,tabela_registros[TIPO],DADOS!$V$4,tabela_registros[CATEGORIA],receitasvariáveisconsolidadoout[[#This Row],[ATUAL]])</f>
        <v>0</v>
      </c>
      <c r="Z103" s="119" t="n">
        <f aca="false">SUMIFS(tabela_registros[VALOR],tabela_registros[MÊS],$AE$1,tabela_registros[DIA],receitasvariáveisconsolidadoout[[#Headers],[22]],tabela_registros[REGISTRO],DADOS!$N$3,tabela_registros[TIPO],DADOS!$V$4,tabela_registros[CATEGORIA],receitasvariáveisconsolidadoout[[#This Row],[ATUAL]])</f>
        <v>0</v>
      </c>
      <c r="AA103" s="119" t="n">
        <f aca="false">SUMIFS(tabela_registros[VALOR],tabela_registros[MÊS],$AE$1,tabela_registros[DIA],receitasvariáveisconsolidadoout[[#Headers],[23]],tabela_registros[REGISTRO],DADOS!$N$3,tabela_registros[TIPO],DADOS!$V$4,tabela_registros[CATEGORIA],receitasvariáveisconsolidadoout[[#This Row],[ATUAL]])</f>
        <v>0</v>
      </c>
      <c r="AB103" s="119" t="n">
        <f aca="false">SUMIFS(tabela_registros[VALOR],tabela_registros[MÊS],$AE$1,tabela_registros[DIA],receitasvariáveisconsolidadoout[[#Headers],[24]],tabela_registros[REGISTRO],DADOS!$N$3,tabela_registros[TIPO],DADOS!$V$4,tabela_registros[CATEGORIA],receitasvariáveisconsolidadoout[[#This Row],[ATUAL]])</f>
        <v>0</v>
      </c>
      <c r="AC103" s="119" t="n">
        <f aca="false">SUMIFS(tabela_registros[VALOR],tabela_registros[MÊS],$AE$1,tabela_registros[DIA],receitasvariáveisconsolidadoout[[#Headers],[25]],tabela_registros[REGISTRO],DADOS!$N$3,tabela_registros[TIPO],DADOS!$V$4,tabela_registros[CATEGORIA],receitasvariáveisconsolidadoout[[#This Row],[ATUAL]])</f>
        <v>0</v>
      </c>
      <c r="AD103" s="119" t="n">
        <f aca="false">SUMIFS(tabela_registros[VALOR],tabela_registros[MÊS],$AE$1,tabela_registros[DIA],receitasvariáveisconsolidadoout[[#Headers],[26]],tabela_registros[REGISTRO],DADOS!$N$3,tabela_registros[TIPO],DADOS!$V$4,tabela_registros[CATEGORIA],receitasvariáveisconsolidadoout[[#This Row],[ATUAL]])</f>
        <v>0</v>
      </c>
      <c r="AE103" s="119" t="n">
        <f aca="false">SUMIFS(tabela_registros[VALOR],tabela_registros[MÊS],$AE$1,tabela_registros[DIA],receitasvariáveisconsolidadoout[[#Headers],[27]],tabela_registros[REGISTRO],DADOS!$N$3,tabela_registros[TIPO],DADOS!$V$4,tabela_registros[CATEGORIA],receitasvariáveisconsolidadoout[[#This Row],[ATUAL]])</f>
        <v>0</v>
      </c>
      <c r="AF103" s="119" t="n">
        <f aca="false">SUMIFS(tabela_registros[VALOR],tabela_registros[MÊS],$AE$1,tabela_registros[DIA],receitasvariáveisconsolidadoout[[#Headers],[28]],tabela_registros[REGISTRO],DADOS!$N$3,tabela_registros[TIPO],DADOS!$V$4,tabela_registros[CATEGORIA],receitasvariáveisconsolidadoout[[#This Row],[ATUAL]])</f>
        <v>0</v>
      </c>
      <c r="AG103" s="119" t="n">
        <f aca="false">SUMIFS(tabela_registros[VALOR],tabela_registros[MÊS],$AE$1,tabela_registros[DIA],receitasvariáveisconsolidadoout[[#Headers],[29]],tabela_registros[REGISTRO],DADOS!$N$3,tabela_registros[TIPO],DADOS!$V$4,tabela_registros[CATEGORIA],receitasvariáveisconsolidadoout[[#This Row],[ATUAL]])</f>
        <v>0</v>
      </c>
      <c r="AH103" s="119" t="n">
        <f aca="false">SUMIFS(tabela_registros[VALOR],tabela_registros[MÊS],$AE$1,tabela_registros[DIA],receitasvariáveisconsolidadoout[[#Headers],[30]],tabela_registros[REGISTRO],DADOS!$N$3,tabela_registros[TIPO],DADOS!$V$4,tabela_registros[CATEGORIA],receitasvariáveisconsolidadoout[[#This Row],[ATUAL]])</f>
        <v>0</v>
      </c>
      <c r="AI103" s="218" t="n">
        <f aca="false">SUMIFS(tabela_registros[VALOR],tabela_registros[MÊS],$AE$1,tabela_registros[DIA],receitasvariáveisconsolidadoout[[#Headers],[31]],tabela_registros[REGISTRO],DADOS!$N$3,tabela_registros[TIPO],DADOS!$V$4,tabela_registros[CATEGORIA],receitasvariáveisconsolidadoout[[#This Row],[ATUAL]])</f>
        <v>0</v>
      </c>
      <c r="AJ103" s="219" t="n">
        <f aca="false">SUM(receitasvariáveisconsolidadoout[[#This Row],[1]:[31]])</f>
        <v>0</v>
      </c>
      <c r="AK103" s="165"/>
    </row>
    <row r="104" s="122" customFormat="true" ht="21" hidden="false" customHeight="true" outlineLevel="0" collapsed="false">
      <c r="B104" s="152"/>
      <c r="C104" s="153" t="s">
        <v>2</v>
      </c>
      <c r="D104" s="166"/>
      <c r="E104" s="155" t="n">
        <f aca="false">SUM(E96:E103)</f>
        <v>0</v>
      </c>
      <c r="F104" s="156" t="n">
        <f aca="false">SUM(F96:F103)+receitasvariáveisconsolidadoout[[#This Row],[1]]</f>
        <v>0</v>
      </c>
      <c r="G104" s="156" t="n">
        <f aca="false">SUM(G96:G103)+receitasvariáveisconsolidadoout[[#This Row],[2]]</f>
        <v>0</v>
      </c>
      <c r="H104" s="156" t="n">
        <f aca="false">SUM(H96:H103)+receitasvariáveisconsolidadoout[[#This Row],[3]]</f>
        <v>0</v>
      </c>
      <c r="I104" s="156" t="n">
        <f aca="false">SUM(I96:I103)+receitasvariáveisconsolidadoout[[#This Row],[4]]</f>
        <v>0</v>
      </c>
      <c r="J104" s="156" t="n">
        <f aca="false">SUM(J96:J103)+receitasvariáveisconsolidadoout[[#This Row],[5]]</f>
        <v>0</v>
      </c>
      <c r="K104" s="156" t="n">
        <f aca="false">SUM(K96:K103)+receitasvariáveisconsolidadoout[[#This Row],[6]]</f>
        <v>0</v>
      </c>
      <c r="L104" s="156" t="n">
        <f aca="false">SUM(L96:L103)+receitasvariáveisconsolidadoout[[#This Row],[7]]</f>
        <v>0</v>
      </c>
      <c r="M104" s="156" t="n">
        <f aca="false">SUM(M96:M103)+receitasvariáveisconsolidadoout[[#This Row],[8]]</f>
        <v>0</v>
      </c>
      <c r="N104" s="156" t="n">
        <f aca="false">SUM(N96:N103)+receitasvariáveisconsolidadoout[[#This Row],[9]]</f>
        <v>0</v>
      </c>
      <c r="O104" s="156" t="n">
        <f aca="false">SUM(O96:O103)+receitasvariáveisconsolidadoout[[#This Row],[10]]</f>
        <v>0</v>
      </c>
      <c r="P104" s="156" t="n">
        <f aca="false">SUM(P96:P103)+receitasvariáveisconsolidadoout[[#This Row],[11]]</f>
        <v>0</v>
      </c>
      <c r="Q104" s="156" t="n">
        <f aca="false">SUM(Q96:Q103)+receitasvariáveisconsolidadoout[[#This Row],[12]]</f>
        <v>0</v>
      </c>
      <c r="R104" s="156" t="n">
        <f aca="false">SUM(R96:R103)+receitasvariáveisconsolidadoout[[#This Row],[13]]</f>
        <v>0</v>
      </c>
      <c r="S104" s="156" t="n">
        <f aca="false">SUM(S96:S103)+receitasvariáveisconsolidadoout[[#This Row],[14]]</f>
        <v>0</v>
      </c>
      <c r="T104" s="156" t="n">
        <f aca="false">SUM(T96:T103)+receitasvariáveisconsolidadoout[[#This Row],[15]]</f>
        <v>0</v>
      </c>
      <c r="U104" s="156" t="n">
        <f aca="false">SUM(U96:U103)+receitasvariáveisconsolidadoout[[#This Row],[16]]</f>
        <v>0</v>
      </c>
      <c r="V104" s="156" t="n">
        <f aca="false">SUM(V96:V103)+receitasvariáveisconsolidadoout[[#This Row],[17]]</f>
        <v>0</v>
      </c>
      <c r="W104" s="156" t="n">
        <f aca="false">SUM(W96:W103)+receitasvariáveisconsolidadoout[[#This Row],[18]]</f>
        <v>0</v>
      </c>
      <c r="X104" s="156" t="n">
        <f aca="false">SUM(X96:X103)+receitasvariáveisconsolidadoout[[#This Row],[19]]</f>
        <v>0</v>
      </c>
      <c r="Y104" s="156" t="n">
        <f aca="false">SUM(Y96:Y103)+receitasvariáveisconsolidadoout[[#This Row],[20]]</f>
        <v>0</v>
      </c>
      <c r="Z104" s="156" t="n">
        <f aca="false">SUM(Z96:Z103)+receitasvariáveisconsolidadoout[[#This Row],[21]]</f>
        <v>0</v>
      </c>
      <c r="AA104" s="156" t="n">
        <f aca="false">SUM(AA96:AA103)+receitasvariáveisconsolidadoout[[#This Row],[22]]</f>
        <v>0</v>
      </c>
      <c r="AB104" s="156" t="n">
        <f aca="false">SUM(AB96:AB103)+receitasvariáveisconsolidadoout[[#This Row],[23]]</f>
        <v>0</v>
      </c>
      <c r="AC104" s="156" t="n">
        <f aca="false">SUM(AC96:AC103)+receitasvariáveisconsolidadoout[[#This Row],[24]]</f>
        <v>0</v>
      </c>
      <c r="AD104" s="156" t="n">
        <f aca="false">SUM(AD96:AD103)+receitasvariáveisconsolidadoout[[#This Row],[25]]</f>
        <v>0</v>
      </c>
      <c r="AE104" s="156" t="n">
        <f aca="false">SUM(AE96:AE103)+receitasvariáveisconsolidadoout[[#This Row],[26]]</f>
        <v>0</v>
      </c>
      <c r="AF104" s="156" t="n">
        <f aca="false">SUM(AF96:AF103)+receitasvariáveisconsolidadoout[[#This Row],[27]]</f>
        <v>0</v>
      </c>
      <c r="AG104" s="156" t="n">
        <f aca="false">SUM(AG96:AG103)+receitasvariáveisconsolidadoout[[#This Row],[28]]</f>
        <v>0</v>
      </c>
      <c r="AH104" s="156" t="n">
        <f aca="false">SUM(AH96:AH103)+receitasvariáveisconsolidadoout[[#This Row],[29]]</f>
        <v>0</v>
      </c>
      <c r="AI104" s="223" t="n">
        <f aca="false">SUM(AI96:AI103)+receitasvariáveisconsolidadoout[[#This Row],[30]]</f>
        <v>0</v>
      </c>
      <c r="AJ104" s="157" t="n">
        <f aca="false">receitasvariáveisconsolidadoout[[#This Row],[31]]</f>
        <v>0</v>
      </c>
      <c r="AK104" s="158"/>
    </row>
    <row r="105" customFormat="false" ht="6.75" hidden="false" customHeight="true" outlineLevel="0" collapsed="false">
      <c r="B105" s="97"/>
      <c r="C105" s="162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233"/>
      <c r="AJ105" s="164"/>
      <c r="AK105" s="244"/>
    </row>
    <row r="106" s="78" customFormat="true" ht="12.75" hidden="false" customHeight="false" outlineLevel="0" collapsed="false">
      <c r="E106" s="100"/>
    </row>
    <row r="107" s="78" customFormat="true" ht="12" hidden="false" customHeight="false" outlineLevel="0" collapsed="false"/>
    <row r="108" s="78" customFormat="true" ht="12" hidden="false" customHeight="false" outlineLevel="0" collapsed="false"/>
    <row r="109" customFormat="false" ht="39.75" hidden="false" customHeight="true" outlineLevel="0" collapsed="false">
      <c r="C109" s="101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3" t="s">
        <v>2</v>
      </c>
    </row>
    <row r="110" s="78" customFormat="true" ht="12.75" hidden="false" customHeight="false" outlineLevel="0" collapsed="false">
      <c r="B110" s="161"/>
      <c r="AJ110" s="106" t="s">
        <v>64</v>
      </c>
    </row>
    <row r="111" customFormat="false" ht="6.75" hidden="false" customHeight="true" outlineLevel="0" collapsed="false">
      <c r="B111" s="86"/>
      <c r="C111" s="162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233"/>
      <c r="AK111" s="139"/>
    </row>
    <row r="112" customFormat="false" ht="13.5" hidden="true" customHeight="false" outlineLevel="0" collapsed="false">
      <c r="B112" s="86"/>
      <c r="C112" s="109" t="s">
        <v>68</v>
      </c>
      <c r="D112" s="110" t="s">
        <v>69</v>
      </c>
      <c r="E112" s="110" t="s">
        <v>30</v>
      </c>
      <c r="F112" s="110" t="s">
        <v>31</v>
      </c>
      <c r="G112" s="110" t="s">
        <v>32</v>
      </c>
      <c r="H112" s="110" t="s">
        <v>33</v>
      </c>
      <c r="I112" s="110" t="s">
        <v>34</v>
      </c>
      <c r="J112" s="110" t="s">
        <v>35</v>
      </c>
      <c r="K112" s="110" t="s">
        <v>36</v>
      </c>
      <c r="L112" s="110" t="s">
        <v>37</v>
      </c>
      <c r="M112" s="110" t="s">
        <v>38</v>
      </c>
      <c r="N112" s="110" t="s">
        <v>39</v>
      </c>
      <c r="O112" s="110" t="s">
        <v>40</v>
      </c>
      <c r="P112" s="110" t="s">
        <v>41</v>
      </c>
      <c r="Q112" s="110" t="s">
        <v>81</v>
      </c>
      <c r="R112" s="110" t="s">
        <v>82</v>
      </c>
      <c r="S112" s="110" t="s">
        <v>83</v>
      </c>
      <c r="T112" s="110" t="s">
        <v>84</v>
      </c>
      <c r="U112" s="110" t="s">
        <v>85</v>
      </c>
      <c r="V112" s="110" t="s">
        <v>86</v>
      </c>
      <c r="W112" s="110" t="s">
        <v>87</v>
      </c>
      <c r="X112" s="110" t="s">
        <v>88</v>
      </c>
      <c r="Y112" s="110" t="s">
        <v>89</v>
      </c>
      <c r="Z112" s="110" t="s">
        <v>90</v>
      </c>
      <c r="AA112" s="110" t="s">
        <v>91</v>
      </c>
      <c r="AB112" s="110" t="s">
        <v>92</v>
      </c>
      <c r="AC112" s="110" t="s">
        <v>93</v>
      </c>
      <c r="AD112" s="110" t="s">
        <v>94</v>
      </c>
      <c r="AE112" s="110" t="s">
        <v>95</v>
      </c>
      <c r="AF112" s="110" t="s">
        <v>96</v>
      </c>
      <c r="AG112" s="110" t="s">
        <v>97</v>
      </c>
      <c r="AH112" s="110" t="s">
        <v>98</v>
      </c>
      <c r="AI112" s="110" t="s">
        <v>99</v>
      </c>
      <c r="AJ112" s="111" t="s">
        <v>70</v>
      </c>
      <c r="AK112" s="86"/>
    </row>
    <row r="113" customFormat="false" ht="19.5" hidden="false" customHeight="true" outlineLevel="0" collapsed="false">
      <c r="B113" s="143"/>
      <c r="C113" s="144" t="str">
        <f aca="false">DADOS!$AD$3</f>
        <v>📝 CDB</v>
      </c>
      <c r="D113" s="145" t="str">
        <f aca="false">IF(investirrendafixaconsolidadoout[[#This Row],[TOTAL (R$)]]=0,"",IF(OR(investirrendafixaconsolidadoout[[#This Row],[TOTAL (R$)]]=LARGE($AJ$113:$AJ$122,1),investirrendafixaconsolidadoout[[#This Row],[TOTAL (R$)]]=LARGE($AJ$113:$AJ$122,2)),DADOS!$I$10,""))</f>
        <v/>
      </c>
      <c r="E113" s="148" t="n">
        <f aca="false">SUMIFS(tabela_registros[VALOR],tabela_registros[MÊS],$AE$1,tabela_registros[DIA],investirrendafixaconsolidadoout[[#Headers],[1]],tabela_registros[REGISTRO],DADOS!$N$5,tabela_registros[TIPO],DADOS!$AB$3,tabela_registros[CATEGORIA],investirrendafixaconsolidadoout[[#This Row],[ATUAL]])</f>
        <v>0</v>
      </c>
      <c r="F113" s="119" t="n">
        <f aca="false">SUMIFS(tabela_registros[VALOR],tabela_registros[MÊS],$AE$1,tabela_registros[DIA],investirrendafixaconsolidadoout[[#Headers],[2]],tabela_registros[REGISTRO],DADOS!$N$5,tabela_registros[TIPO],DADOS!$AB$3,tabela_registros[CATEGORIA],investirrendafixaconsolidadoout[[#This Row],[ATUAL]])</f>
        <v>0</v>
      </c>
      <c r="G113" s="119" t="n">
        <f aca="false">SUMIFS(tabela_registros[VALOR],tabela_registros[MÊS],$AE$1,tabela_registros[DIA],investirrendafixaconsolidadoout[[#Headers],[3]],tabela_registros[REGISTRO],DADOS!$N$5,tabela_registros[TIPO],DADOS!$AB$3,tabela_registros[CATEGORIA],investirrendafixaconsolidadoout[[#This Row],[ATUAL]])</f>
        <v>0</v>
      </c>
      <c r="H113" s="119" t="n">
        <f aca="false">SUMIFS(tabela_registros[VALOR],tabela_registros[MÊS],$AE$1,tabela_registros[DIA],investirrendafixaconsolidadoout[[#Headers],[4]],tabela_registros[REGISTRO],DADOS!$N$5,tabela_registros[TIPO],DADOS!$AB$3,tabela_registros[CATEGORIA],investirrendafixaconsolidadoout[[#This Row],[ATUAL]])</f>
        <v>0</v>
      </c>
      <c r="I113" s="119" t="n">
        <f aca="false">SUMIFS(tabela_registros[VALOR],tabela_registros[MÊS],$AE$1,tabela_registros[DIA],investirrendafixaconsolidadoout[[#Headers],[5]],tabela_registros[REGISTRO],DADOS!$N$5,tabela_registros[TIPO],DADOS!$AB$3,tabela_registros[CATEGORIA],investirrendafixaconsolidadoout[[#This Row],[ATUAL]])</f>
        <v>0</v>
      </c>
      <c r="J113" s="119" t="n">
        <f aca="false">SUMIFS(tabela_registros[VALOR],tabela_registros[MÊS],$AE$1,tabela_registros[DIA],investirrendafixaconsolidadoout[[#Headers],[6]],tabela_registros[REGISTRO],DADOS!$N$5,tabela_registros[TIPO],DADOS!$AB$3,tabela_registros[CATEGORIA],investirrendafixaconsolidadoout[[#This Row],[ATUAL]])</f>
        <v>0</v>
      </c>
      <c r="K113" s="119" t="n">
        <f aca="false">SUMIFS(tabela_registros[VALOR],tabela_registros[MÊS],$AE$1,tabela_registros[DIA],investirrendafixaconsolidadoout[[#Headers],[7]],tabela_registros[REGISTRO],DADOS!$N$5,tabela_registros[TIPO],DADOS!$AB$3,tabela_registros[CATEGORIA],investirrendafixaconsolidadoout[[#This Row],[ATUAL]])</f>
        <v>0</v>
      </c>
      <c r="L113" s="119" t="n">
        <f aca="false">SUMIFS(tabela_registros[VALOR],tabela_registros[MÊS],$AE$1,tabela_registros[DIA],investirrendafixaconsolidadoout[[#Headers],[8]],tabela_registros[REGISTRO],DADOS!$N$5,tabela_registros[TIPO],DADOS!$AB$3,tabela_registros[CATEGORIA],investirrendafixaconsolidadoout[[#This Row],[ATUAL]])</f>
        <v>0</v>
      </c>
      <c r="M113" s="119" t="n">
        <f aca="false">SUMIFS(tabela_registros[VALOR],tabela_registros[MÊS],$AE$1,tabela_registros[DIA],investirrendafixaconsolidadoout[[#Headers],[9]],tabela_registros[REGISTRO],DADOS!$N$5,tabela_registros[TIPO],DADOS!$AB$3,tabela_registros[CATEGORIA],investirrendafixaconsolidadoout[[#This Row],[ATUAL]])</f>
        <v>0</v>
      </c>
      <c r="N113" s="119" t="n">
        <f aca="false">SUMIFS(tabela_registros[VALOR],tabela_registros[MÊS],$AE$1,tabela_registros[DIA],investirrendafixaconsolidadoout[[#Headers],[10]],tabela_registros[REGISTRO],DADOS!$N$5,tabela_registros[TIPO],DADOS!$AB$3,tabela_registros[CATEGORIA],investirrendafixaconsolidadoout[[#This Row],[ATUAL]])</f>
        <v>0</v>
      </c>
      <c r="O113" s="119" t="n">
        <f aca="false">SUMIFS(tabela_registros[VALOR],tabela_registros[MÊS],$AE$1,tabela_registros[DIA],investirrendafixaconsolidadoout[[#Headers],[11]],tabela_registros[REGISTRO],DADOS!$N$5,tabela_registros[TIPO],DADOS!$AB$3,tabela_registros[CATEGORIA],investirrendafixaconsolidadoout[[#This Row],[ATUAL]])</f>
        <v>0</v>
      </c>
      <c r="P113" s="119" t="n">
        <f aca="false">SUMIFS(tabela_registros[VALOR],tabela_registros[MÊS],$AE$1,tabela_registros[DIA],investirrendafixaconsolidadoout[[#Headers],[12]],tabela_registros[REGISTRO],DADOS!$N$5,tabela_registros[TIPO],DADOS!$AB$3,tabela_registros[CATEGORIA],investirrendafixaconsolidadoout[[#This Row],[ATUAL]])</f>
        <v>0</v>
      </c>
      <c r="Q113" s="119" t="n">
        <f aca="false">SUMIFS(tabela_registros[VALOR],tabela_registros[MÊS],$AE$1,tabela_registros[DIA],investirrendafixaconsolidadoout[[#Headers],[13]],tabela_registros[REGISTRO],DADOS!$N$5,tabela_registros[TIPO],DADOS!$AB$3,tabela_registros[CATEGORIA],investirrendafixaconsolidadoout[[#This Row],[ATUAL]])</f>
        <v>0</v>
      </c>
      <c r="R113" s="119" t="n">
        <f aca="false">SUMIFS(tabela_registros[VALOR],tabela_registros[MÊS],$AE$1,tabela_registros[DIA],investirrendafixaconsolidadoout[[#Headers],[14]],tabela_registros[REGISTRO],DADOS!$N$5,tabela_registros[TIPO],DADOS!$AB$3,tabela_registros[CATEGORIA],investirrendafixaconsolidadoout[[#This Row],[ATUAL]])</f>
        <v>0</v>
      </c>
      <c r="S113" s="119" t="n">
        <f aca="false">SUMIFS(tabela_registros[VALOR],tabela_registros[MÊS],$AE$1,tabela_registros[DIA],investirrendafixaconsolidadoout[[#Headers],[15]],tabela_registros[REGISTRO],DADOS!$N$5,tabela_registros[TIPO],DADOS!$AB$3,tabela_registros[CATEGORIA],investirrendafixaconsolidadoout[[#This Row],[ATUAL]])</f>
        <v>0</v>
      </c>
      <c r="T113" s="119" t="n">
        <f aca="false">SUMIFS(tabela_registros[VALOR],tabela_registros[MÊS],$AE$1,tabela_registros[DIA],investirrendafixaconsolidadoout[[#Headers],[16]],tabela_registros[REGISTRO],DADOS!$N$5,tabela_registros[TIPO],DADOS!$AB$3,tabela_registros[CATEGORIA],investirrendafixaconsolidadoout[[#This Row],[ATUAL]])</f>
        <v>0</v>
      </c>
      <c r="U113" s="119" t="n">
        <f aca="false">SUMIFS(tabela_registros[VALOR],tabela_registros[MÊS],$AE$1,tabela_registros[DIA],investirrendafixaconsolidadoout[[#Headers],[17]],tabela_registros[REGISTRO],DADOS!$N$5,tabela_registros[TIPO],DADOS!$AB$3,tabela_registros[CATEGORIA],investirrendafixaconsolidadoout[[#This Row],[ATUAL]])</f>
        <v>0</v>
      </c>
      <c r="V113" s="119" t="n">
        <f aca="false">SUMIFS(tabela_registros[VALOR],tabela_registros[MÊS],$AE$1,tabela_registros[DIA],investirrendafixaconsolidadoout[[#Headers],[18]],tabela_registros[REGISTRO],DADOS!$N$5,tabela_registros[TIPO],DADOS!$AB$3,tabela_registros[CATEGORIA],investirrendafixaconsolidadoout[[#This Row],[ATUAL]])</f>
        <v>0</v>
      </c>
      <c r="W113" s="119" t="n">
        <f aca="false">SUMIFS(tabela_registros[VALOR],tabela_registros[MÊS],$AE$1,tabela_registros[DIA],investirrendafixaconsolidadoout[[#Headers],[19]],tabela_registros[REGISTRO],DADOS!$N$5,tabela_registros[TIPO],DADOS!$AB$3,tabela_registros[CATEGORIA],investirrendafixaconsolidadoout[[#This Row],[ATUAL]])</f>
        <v>0</v>
      </c>
      <c r="X113" s="119" t="n">
        <f aca="false">SUMIFS(tabela_registros[VALOR],tabela_registros[MÊS],$AE$1,tabela_registros[DIA],investirrendafixaconsolidadoout[[#Headers],[20]],tabela_registros[REGISTRO],DADOS!$N$5,tabela_registros[TIPO],DADOS!$AB$3,tabela_registros[CATEGORIA],investirrendafixaconsolidadoout[[#This Row],[ATUAL]])</f>
        <v>0</v>
      </c>
      <c r="Y113" s="119" t="n">
        <f aca="false">SUMIFS(tabela_registros[VALOR],tabela_registros[MÊS],$AE$1,tabela_registros[DIA],investirrendafixaconsolidadoout[[#Headers],[21]],tabela_registros[REGISTRO],DADOS!$N$5,tabela_registros[TIPO],DADOS!$AB$3,tabela_registros[CATEGORIA],investirrendafixaconsolidadoout[[#This Row],[ATUAL]])</f>
        <v>0</v>
      </c>
      <c r="Z113" s="119" t="n">
        <f aca="false">SUMIFS(tabela_registros[VALOR],tabela_registros[MÊS],$AE$1,tabela_registros[DIA],investirrendafixaconsolidadoout[[#Headers],[22]],tabela_registros[REGISTRO],DADOS!$N$5,tabela_registros[TIPO],DADOS!$AB$3,tabela_registros[CATEGORIA],investirrendafixaconsolidadoout[[#This Row],[ATUAL]])</f>
        <v>0</v>
      </c>
      <c r="AA113" s="119" t="n">
        <f aca="false">SUMIFS(tabela_registros[VALOR],tabela_registros[MÊS],$AE$1,tabela_registros[DIA],investirrendafixaconsolidadoout[[#Headers],[23]],tabela_registros[REGISTRO],DADOS!$N$5,tabela_registros[TIPO],DADOS!$AB$3,tabela_registros[CATEGORIA],investirrendafixaconsolidadoout[[#This Row],[ATUAL]])</f>
        <v>0</v>
      </c>
      <c r="AB113" s="119" t="n">
        <f aca="false">SUMIFS(tabela_registros[VALOR],tabela_registros[MÊS],$AE$1,tabela_registros[DIA],investirrendafixaconsolidadoout[[#Headers],[24]],tabela_registros[REGISTRO],DADOS!$N$5,tabela_registros[TIPO],DADOS!$AB$3,tabela_registros[CATEGORIA],investirrendafixaconsolidadoout[[#This Row],[ATUAL]])</f>
        <v>0</v>
      </c>
      <c r="AC113" s="119" t="n">
        <f aca="false">SUMIFS(tabela_registros[VALOR],tabela_registros[MÊS],$AE$1,tabela_registros[DIA],investirrendafixaconsolidadoout[[#Headers],[25]],tabela_registros[REGISTRO],DADOS!$N$5,tabela_registros[TIPO],DADOS!$AB$3,tabela_registros[CATEGORIA],investirrendafixaconsolidadoout[[#This Row],[ATUAL]])</f>
        <v>0</v>
      </c>
      <c r="AD113" s="119" t="n">
        <f aca="false">SUMIFS(tabela_registros[VALOR],tabela_registros[MÊS],$AE$1,tabela_registros[DIA],investirrendafixaconsolidadoout[[#Headers],[26]],tabela_registros[REGISTRO],DADOS!$N$5,tabela_registros[TIPO],DADOS!$AB$3,tabela_registros[CATEGORIA],investirrendafixaconsolidadoout[[#This Row],[ATUAL]])</f>
        <v>0</v>
      </c>
      <c r="AE113" s="119" t="n">
        <f aca="false">SUMIFS(tabela_registros[VALOR],tabela_registros[MÊS],$AE$1,tabela_registros[DIA],investirrendafixaconsolidadoout[[#Headers],[27]],tabela_registros[REGISTRO],DADOS!$N$5,tabela_registros[TIPO],DADOS!$AB$3,tabela_registros[CATEGORIA],investirrendafixaconsolidadoout[[#This Row],[ATUAL]])</f>
        <v>0</v>
      </c>
      <c r="AF113" s="119" t="n">
        <f aca="false">SUMIFS(tabela_registros[VALOR],tabela_registros[MÊS],$AE$1,tabela_registros[DIA],investirrendafixaconsolidadoout[[#Headers],[28]],tabela_registros[REGISTRO],DADOS!$N$5,tabela_registros[TIPO],DADOS!$AB$3,tabela_registros[CATEGORIA],investirrendafixaconsolidadoout[[#This Row],[ATUAL]])</f>
        <v>0</v>
      </c>
      <c r="AG113" s="119" t="n">
        <f aca="false">SUMIFS(tabela_registros[VALOR],tabela_registros[MÊS],$AE$1,tabela_registros[DIA],investirrendafixaconsolidadoout[[#Headers],[29]],tabela_registros[REGISTRO],DADOS!$N$5,tabela_registros[TIPO],DADOS!$AB$3,tabela_registros[CATEGORIA],investirrendafixaconsolidadoout[[#This Row],[ATUAL]])</f>
        <v>0</v>
      </c>
      <c r="AH113" s="119" t="n">
        <f aca="false">SUMIFS(tabela_registros[VALOR],tabela_registros[MÊS],$AE$1,tabela_registros[DIA],investirrendafixaconsolidadoout[[#Headers],[30]],tabela_registros[REGISTRO],DADOS!$N$5,tabela_registros[TIPO],DADOS!$AB$3,tabela_registros[CATEGORIA],investirrendafixaconsolidadoout[[#This Row],[ATUAL]])</f>
        <v>0</v>
      </c>
      <c r="AI113" s="217" t="n">
        <f aca="false">SUMIFS(tabela_registros[VALOR],tabela_registros[MÊS],$AE$1,tabela_registros[DIA],investirrendafixaconsolidadoout[[#Headers],[31]],tabela_registros[REGISTRO],DADOS!$N$5,tabela_registros[TIPO],DADOS!$AB$3,tabela_registros[CATEGORIA],investirrendafixaconsolidadoout[[#This Row],[ATUAL]])</f>
        <v>0</v>
      </c>
      <c r="AJ113" s="149" t="n">
        <f aca="false">SUM(investirrendafixaconsolidadoout[[#This Row],[1]:[31]])</f>
        <v>0</v>
      </c>
      <c r="AK113" s="165"/>
    </row>
    <row r="114" customFormat="false" ht="19.5" hidden="false" customHeight="true" outlineLevel="0" collapsed="false">
      <c r="B114" s="143"/>
      <c r="C114" s="144" t="str">
        <f aca="false">DADOS!$AD$4</f>
        <v>📝 CRA</v>
      </c>
      <c r="D114" s="145" t="str">
        <f aca="false">IF(investirrendafixaconsolidadoout[[#This Row],[TOTAL (R$)]]=0,"",IF(OR(investirrendafixaconsolidadoout[[#This Row],[TOTAL (R$)]]=LARGE($AJ$113:$AJ$122,1),investirrendafixaconsolidadoout[[#This Row],[TOTAL (R$)]]=LARGE($AJ$113:$AJ$122,2)),DADOS!$I$10,""))</f>
        <v/>
      </c>
      <c r="E114" s="148" t="n">
        <f aca="false">SUMIFS(tabela_registros[VALOR],tabela_registros[MÊS],$AE$1,tabela_registros[DIA],investirrendafixaconsolidadoout[[#Headers],[1]],tabela_registros[REGISTRO],DADOS!$N$5,tabela_registros[TIPO],DADOS!$AB$3,tabela_registros[CATEGORIA],investirrendafixaconsolidadoout[[#This Row],[ATUAL]])</f>
        <v>0</v>
      </c>
      <c r="F114" s="119" t="n">
        <f aca="false">SUMIFS(tabela_registros[VALOR],tabela_registros[MÊS],$AE$1,tabela_registros[DIA],investirrendafixaconsolidadoout[[#Headers],[2]],tabela_registros[REGISTRO],DADOS!$N$5,tabela_registros[TIPO],DADOS!$AB$3,tabela_registros[CATEGORIA],investirrendafixaconsolidadoout[[#This Row],[ATUAL]])</f>
        <v>0</v>
      </c>
      <c r="G114" s="119" t="n">
        <f aca="false">SUMIFS(tabela_registros[VALOR],tabela_registros[MÊS],$AE$1,tabela_registros[DIA],investirrendafixaconsolidadoout[[#Headers],[3]],tabela_registros[REGISTRO],DADOS!$N$5,tabela_registros[TIPO],DADOS!$AB$3,tabela_registros[CATEGORIA],investirrendafixaconsolidadoout[[#This Row],[ATUAL]])</f>
        <v>0</v>
      </c>
      <c r="H114" s="119" t="n">
        <f aca="false">SUMIFS(tabela_registros[VALOR],tabela_registros[MÊS],$AE$1,tabela_registros[DIA],investirrendafixaconsolidadoout[[#Headers],[4]],tabela_registros[REGISTRO],DADOS!$N$5,tabela_registros[TIPO],DADOS!$AB$3,tabela_registros[CATEGORIA],investirrendafixaconsolidadoout[[#This Row],[ATUAL]])</f>
        <v>0</v>
      </c>
      <c r="I114" s="119" t="n">
        <f aca="false">SUMIFS(tabela_registros[VALOR],tabela_registros[MÊS],$AE$1,tabela_registros[DIA],investirrendafixaconsolidadoout[[#Headers],[5]],tabela_registros[REGISTRO],DADOS!$N$5,tabela_registros[TIPO],DADOS!$AB$3,tabela_registros[CATEGORIA],investirrendafixaconsolidadoout[[#This Row],[ATUAL]])</f>
        <v>0</v>
      </c>
      <c r="J114" s="119" t="n">
        <f aca="false">SUMIFS(tabela_registros[VALOR],tabela_registros[MÊS],$AE$1,tabela_registros[DIA],investirrendafixaconsolidadoout[[#Headers],[6]],tabela_registros[REGISTRO],DADOS!$N$5,tabela_registros[TIPO],DADOS!$AB$3,tabela_registros[CATEGORIA],investirrendafixaconsolidadoout[[#This Row],[ATUAL]])</f>
        <v>0</v>
      </c>
      <c r="K114" s="119" t="n">
        <f aca="false">SUMIFS(tabela_registros[VALOR],tabela_registros[MÊS],$AE$1,tabela_registros[DIA],investirrendafixaconsolidadoout[[#Headers],[7]],tabela_registros[REGISTRO],DADOS!$N$5,tabela_registros[TIPO],DADOS!$AB$3,tabela_registros[CATEGORIA],investirrendafixaconsolidadoout[[#This Row],[ATUAL]])</f>
        <v>0</v>
      </c>
      <c r="L114" s="119" t="n">
        <f aca="false">SUMIFS(tabela_registros[VALOR],tabela_registros[MÊS],$AE$1,tabela_registros[DIA],investirrendafixaconsolidadoout[[#Headers],[8]],tabela_registros[REGISTRO],DADOS!$N$5,tabela_registros[TIPO],DADOS!$AB$3,tabela_registros[CATEGORIA],investirrendafixaconsolidadoout[[#This Row],[ATUAL]])</f>
        <v>0</v>
      </c>
      <c r="M114" s="119" t="n">
        <f aca="false">SUMIFS(tabela_registros[VALOR],tabela_registros[MÊS],$AE$1,tabela_registros[DIA],investirrendafixaconsolidadoout[[#Headers],[9]],tabela_registros[REGISTRO],DADOS!$N$5,tabela_registros[TIPO],DADOS!$AB$3,tabela_registros[CATEGORIA],investirrendafixaconsolidadoout[[#This Row],[ATUAL]])</f>
        <v>0</v>
      </c>
      <c r="N114" s="119" t="n">
        <f aca="false">SUMIFS(tabela_registros[VALOR],tabela_registros[MÊS],$AE$1,tabela_registros[DIA],investirrendafixaconsolidadoout[[#Headers],[10]],tabela_registros[REGISTRO],DADOS!$N$5,tabela_registros[TIPO],DADOS!$AB$3,tabela_registros[CATEGORIA],investirrendafixaconsolidadoout[[#This Row],[ATUAL]])</f>
        <v>0</v>
      </c>
      <c r="O114" s="119" t="n">
        <f aca="false">SUMIFS(tabela_registros[VALOR],tabela_registros[MÊS],$AE$1,tabela_registros[DIA],investirrendafixaconsolidadoout[[#Headers],[11]],tabela_registros[REGISTRO],DADOS!$N$5,tabela_registros[TIPO],DADOS!$AB$3,tabela_registros[CATEGORIA],investirrendafixaconsolidadoout[[#This Row],[ATUAL]])</f>
        <v>0</v>
      </c>
      <c r="P114" s="119" t="n">
        <f aca="false">SUMIFS(tabela_registros[VALOR],tabela_registros[MÊS],$AE$1,tabela_registros[DIA],investirrendafixaconsolidadoout[[#Headers],[12]],tabela_registros[REGISTRO],DADOS!$N$5,tabela_registros[TIPO],DADOS!$AB$3,tabela_registros[CATEGORIA],investirrendafixaconsolidadoout[[#This Row],[ATUAL]])</f>
        <v>0</v>
      </c>
      <c r="Q114" s="119" t="n">
        <f aca="false">SUMIFS(tabela_registros[VALOR],tabela_registros[MÊS],$AE$1,tabela_registros[DIA],investirrendafixaconsolidadoout[[#Headers],[13]],tabela_registros[REGISTRO],DADOS!$N$5,tabela_registros[TIPO],DADOS!$AB$3,tabela_registros[CATEGORIA],investirrendafixaconsolidadoout[[#This Row],[ATUAL]])</f>
        <v>0</v>
      </c>
      <c r="R114" s="119" t="n">
        <f aca="false">SUMIFS(tabela_registros[VALOR],tabela_registros[MÊS],$AE$1,tabela_registros[DIA],investirrendafixaconsolidadoout[[#Headers],[14]],tabela_registros[REGISTRO],DADOS!$N$5,tabela_registros[TIPO],DADOS!$AB$3,tabela_registros[CATEGORIA],investirrendafixaconsolidadoout[[#This Row],[ATUAL]])</f>
        <v>0</v>
      </c>
      <c r="S114" s="119" t="n">
        <f aca="false">SUMIFS(tabela_registros[VALOR],tabela_registros[MÊS],$AE$1,tabela_registros[DIA],investirrendafixaconsolidadoout[[#Headers],[15]],tabela_registros[REGISTRO],DADOS!$N$5,tabela_registros[TIPO],DADOS!$AB$3,tabela_registros[CATEGORIA],investirrendafixaconsolidadoout[[#This Row],[ATUAL]])</f>
        <v>0</v>
      </c>
      <c r="T114" s="119" t="n">
        <f aca="false">SUMIFS(tabela_registros[VALOR],tabela_registros[MÊS],$AE$1,tabela_registros[DIA],investirrendafixaconsolidadoout[[#Headers],[16]],tabela_registros[REGISTRO],DADOS!$N$5,tabela_registros[TIPO],DADOS!$AB$3,tabela_registros[CATEGORIA],investirrendafixaconsolidadoout[[#This Row],[ATUAL]])</f>
        <v>0</v>
      </c>
      <c r="U114" s="119" t="n">
        <f aca="false">SUMIFS(tabela_registros[VALOR],tabela_registros[MÊS],$AE$1,tabela_registros[DIA],investirrendafixaconsolidadoout[[#Headers],[17]],tabela_registros[REGISTRO],DADOS!$N$5,tabela_registros[TIPO],DADOS!$AB$3,tabela_registros[CATEGORIA],investirrendafixaconsolidadoout[[#This Row],[ATUAL]])</f>
        <v>0</v>
      </c>
      <c r="V114" s="119" t="n">
        <f aca="false">SUMIFS(tabela_registros[VALOR],tabela_registros[MÊS],$AE$1,tabela_registros[DIA],investirrendafixaconsolidadoout[[#Headers],[18]],tabela_registros[REGISTRO],DADOS!$N$5,tabela_registros[TIPO],DADOS!$AB$3,tabela_registros[CATEGORIA],investirrendafixaconsolidadoout[[#This Row],[ATUAL]])</f>
        <v>0</v>
      </c>
      <c r="W114" s="119" t="n">
        <f aca="false">SUMIFS(tabela_registros[VALOR],tabela_registros[MÊS],$AE$1,tabela_registros[DIA],investirrendafixaconsolidadoout[[#Headers],[19]],tabela_registros[REGISTRO],DADOS!$N$5,tabela_registros[TIPO],DADOS!$AB$3,tabela_registros[CATEGORIA],investirrendafixaconsolidadoout[[#This Row],[ATUAL]])</f>
        <v>0</v>
      </c>
      <c r="X114" s="119" t="n">
        <f aca="false">SUMIFS(tabela_registros[VALOR],tabela_registros[MÊS],$AE$1,tabela_registros[DIA],investirrendafixaconsolidadoout[[#Headers],[20]],tabela_registros[REGISTRO],DADOS!$N$5,tabela_registros[TIPO],DADOS!$AB$3,tabela_registros[CATEGORIA],investirrendafixaconsolidadoout[[#This Row],[ATUAL]])</f>
        <v>0</v>
      </c>
      <c r="Y114" s="119" t="n">
        <f aca="false">SUMIFS(tabela_registros[VALOR],tabela_registros[MÊS],$AE$1,tabela_registros[DIA],investirrendafixaconsolidadoout[[#Headers],[21]],tabela_registros[REGISTRO],DADOS!$N$5,tabela_registros[TIPO],DADOS!$AB$3,tabela_registros[CATEGORIA],investirrendafixaconsolidadoout[[#This Row],[ATUAL]])</f>
        <v>0</v>
      </c>
      <c r="Z114" s="119" t="n">
        <f aca="false">SUMIFS(tabela_registros[VALOR],tabela_registros[MÊS],$AE$1,tabela_registros[DIA],investirrendafixaconsolidadoout[[#Headers],[22]],tabela_registros[REGISTRO],DADOS!$N$5,tabela_registros[TIPO],DADOS!$AB$3,tabela_registros[CATEGORIA],investirrendafixaconsolidadoout[[#This Row],[ATUAL]])</f>
        <v>0</v>
      </c>
      <c r="AA114" s="119" t="n">
        <f aca="false">SUMIFS(tabela_registros[VALOR],tabela_registros[MÊS],$AE$1,tabela_registros[DIA],investirrendafixaconsolidadoout[[#Headers],[23]],tabela_registros[REGISTRO],DADOS!$N$5,tabela_registros[TIPO],DADOS!$AB$3,tabela_registros[CATEGORIA],investirrendafixaconsolidadoout[[#This Row],[ATUAL]])</f>
        <v>0</v>
      </c>
      <c r="AB114" s="119" t="n">
        <f aca="false">SUMIFS(tabela_registros[VALOR],tabela_registros[MÊS],$AE$1,tabela_registros[DIA],investirrendafixaconsolidadoout[[#Headers],[24]],tabela_registros[REGISTRO],DADOS!$N$5,tabela_registros[TIPO],DADOS!$AB$3,tabela_registros[CATEGORIA],investirrendafixaconsolidadoout[[#This Row],[ATUAL]])</f>
        <v>0</v>
      </c>
      <c r="AC114" s="119" t="n">
        <f aca="false">SUMIFS(tabela_registros[VALOR],tabela_registros[MÊS],$AE$1,tabela_registros[DIA],investirrendafixaconsolidadoout[[#Headers],[25]],tabela_registros[REGISTRO],DADOS!$N$5,tabela_registros[TIPO],DADOS!$AB$3,tabela_registros[CATEGORIA],investirrendafixaconsolidadoout[[#This Row],[ATUAL]])</f>
        <v>0</v>
      </c>
      <c r="AD114" s="119" t="n">
        <f aca="false">SUMIFS(tabela_registros[VALOR],tabela_registros[MÊS],$AE$1,tabela_registros[DIA],investirrendafixaconsolidadoout[[#Headers],[26]],tabela_registros[REGISTRO],DADOS!$N$5,tabela_registros[TIPO],DADOS!$AB$3,tabela_registros[CATEGORIA],investirrendafixaconsolidadoout[[#This Row],[ATUAL]])</f>
        <v>0</v>
      </c>
      <c r="AE114" s="119" t="n">
        <f aca="false">SUMIFS(tabela_registros[VALOR],tabela_registros[MÊS],$AE$1,tabela_registros[DIA],investirrendafixaconsolidadoout[[#Headers],[27]],tabela_registros[REGISTRO],DADOS!$N$5,tabela_registros[TIPO],DADOS!$AB$3,tabela_registros[CATEGORIA],investirrendafixaconsolidadoout[[#This Row],[ATUAL]])</f>
        <v>0</v>
      </c>
      <c r="AF114" s="119" t="n">
        <f aca="false">SUMIFS(tabela_registros[VALOR],tabela_registros[MÊS],$AE$1,tabela_registros[DIA],investirrendafixaconsolidadoout[[#Headers],[28]],tabela_registros[REGISTRO],DADOS!$N$5,tabela_registros[TIPO],DADOS!$AB$3,tabela_registros[CATEGORIA],investirrendafixaconsolidadoout[[#This Row],[ATUAL]])</f>
        <v>0</v>
      </c>
      <c r="AG114" s="119" t="n">
        <f aca="false">SUMIFS(tabela_registros[VALOR],tabela_registros[MÊS],$AE$1,tabela_registros[DIA],investirrendafixaconsolidadoout[[#Headers],[29]],tabela_registros[REGISTRO],DADOS!$N$5,tabela_registros[TIPO],DADOS!$AB$3,tabela_registros[CATEGORIA],investirrendafixaconsolidadoout[[#This Row],[ATUAL]])</f>
        <v>0</v>
      </c>
      <c r="AH114" s="119" t="n">
        <f aca="false">SUMIFS(tabela_registros[VALOR],tabela_registros[MÊS],$AE$1,tabela_registros[DIA],investirrendafixaconsolidadoout[[#Headers],[30]],tabela_registros[REGISTRO],DADOS!$N$5,tabela_registros[TIPO],DADOS!$AB$3,tabela_registros[CATEGORIA],investirrendafixaconsolidadoout[[#This Row],[ATUAL]])</f>
        <v>0</v>
      </c>
      <c r="AI114" s="217" t="n">
        <f aca="false">SUMIFS(tabela_registros[VALOR],tabela_registros[MÊS],$AE$1,tabela_registros[DIA],investirrendafixaconsolidadoout[[#Headers],[31]],tabela_registros[REGISTRO],DADOS!$N$5,tabela_registros[TIPO],DADOS!$AB$3,tabela_registros[CATEGORIA],investirrendafixaconsolidadoout[[#This Row],[ATUAL]])</f>
        <v>0</v>
      </c>
      <c r="AJ114" s="149" t="n">
        <f aca="false">SUM(investirrendafixaconsolidadoout[[#This Row],[1]:[31]])</f>
        <v>0</v>
      </c>
      <c r="AK114" s="165"/>
    </row>
    <row r="115" customFormat="false" ht="19.5" hidden="false" customHeight="true" outlineLevel="0" collapsed="false">
      <c r="B115" s="143"/>
      <c r="C115" s="144" t="str">
        <f aca="false">DADOS!$AD$5</f>
        <v>📝 CRI</v>
      </c>
      <c r="D115" s="145" t="str">
        <f aca="false">IF(investirrendafixaconsolidadoout[[#This Row],[TOTAL (R$)]]=0,"",IF(OR(investirrendafixaconsolidadoout[[#This Row],[TOTAL (R$)]]=LARGE($AJ$113:$AJ$122,1),investirrendafixaconsolidadoout[[#This Row],[TOTAL (R$)]]=LARGE($AJ$113:$AJ$122,2)),DADOS!$I$10,""))</f>
        <v/>
      </c>
      <c r="E115" s="148" t="n">
        <f aca="false">SUMIFS(tabela_registros[VALOR],tabela_registros[MÊS],$AE$1,tabela_registros[DIA],investirrendafixaconsolidadoout[[#Headers],[1]],tabela_registros[REGISTRO],DADOS!$N$5,tabela_registros[TIPO],DADOS!$AB$3,tabela_registros[CATEGORIA],investirrendafixaconsolidadoout[[#This Row],[ATUAL]])</f>
        <v>0</v>
      </c>
      <c r="F115" s="119" t="n">
        <f aca="false">SUMIFS(tabela_registros[VALOR],tabela_registros[MÊS],$AE$1,tabela_registros[DIA],investirrendafixaconsolidadoout[[#Headers],[2]],tabela_registros[REGISTRO],DADOS!$N$5,tabela_registros[TIPO],DADOS!$AB$3,tabela_registros[CATEGORIA],investirrendafixaconsolidadoout[[#This Row],[ATUAL]])</f>
        <v>0</v>
      </c>
      <c r="G115" s="119" t="n">
        <f aca="false">SUMIFS(tabela_registros[VALOR],tabela_registros[MÊS],$AE$1,tabela_registros[DIA],investirrendafixaconsolidadoout[[#Headers],[3]],tabela_registros[REGISTRO],DADOS!$N$5,tabela_registros[TIPO],DADOS!$AB$3,tabela_registros[CATEGORIA],investirrendafixaconsolidadoout[[#This Row],[ATUAL]])</f>
        <v>0</v>
      </c>
      <c r="H115" s="119" t="n">
        <f aca="false">SUMIFS(tabela_registros[VALOR],tabela_registros[MÊS],$AE$1,tabela_registros[DIA],investirrendafixaconsolidadoout[[#Headers],[4]],tabela_registros[REGISTRO],DADOS!$N$5,tabela_registros[TIPO],DADOS!$AB$3,tabela_registros[CATEGORIA],investirrendafixaconsolidadoout[[#This Row],[ATUAL]])</f>
        <v>0</v>
      </c>
      <c r="I115" s="119" t="n">
        <f aca="false">SUMIFS(tabela_registros[VALOR],tabela_registros[MÊS],$AE$1,tabela_registros[DIA],investirrendafixaconsolidadoout[[#Headers],[5]],tabela_registros[REGISTRO],DADOS!$N$5,tabela_registros[TIPO],DADOS!$AB$3,tabela_registros[CATEGORIA],investirrendafixaconsolidadoout[[#This Row],[ATUAL]])</f>
        <v>0</v>
      </c>
      <c r="J115" s="119" t="n">
        <f aca="false">SUMIFS(tabela_registros[VALOR],tabela_registros[MÊS],$AE$1,tabela_registros[DIA],investirrendafixaconsolidadoout[[#Headers],[6]],tabela_registros[REGISTRO],DADOS!$N$5,tabela_registros[TIPO],DADOS!$AB$3,tabela_registros[CATEGORIA],investirrendafixaconsolidadoout[[#This Row],[ATUAL]])</f>
        <v>0</v>
      </c>
      <c r="K115" s="119" t="n">
        <f aca="false">SUMIFS(tabela_registros[VALOR],tabela_registros[MÊS],$AE$1,tabela_registros[DIA],investirrendafixaconsolidadoout[[#Headers],[7]],tabela_registros[REGISTRO],DADOS!$N$5,tabela_registros[TIPO],DADOS!$AB$3,tabela_registros[CATEGORIA],investirrendafixaconsolidadoout[[#This Row],[ATUAL]])</f>
        <v>0</v>
      </c>
      <c r="L115" s="119" t="n">
        <f aca="false">SUMIFS(tabela_registros[VALOR],tabela_registros[MÊS],$AE$1,tabela_registros[DIA],investirrendafixaconsolidadoout[[#Headers],[8]],tabela_registros[REGISTRO],DADOS!$N$5,tabela_registros[TIPO],DADOS!$AB$3,tabela_registros[CATEGORIA],investirrendafixaconsolidadoout[[#This Row],[ATUAL]])</f>
        <v>0</v>
      </c>
      <c r="M115" s="119" t="n">
        <f aca="false">SUMIFS(tabela_registros[VALOR],tabela_registros[MÊS],$AE$1,tabela_registros[DIA],investirrendafixaconsolidadoout[[#Headers],[9]],tabela_registros[REGISTRO],DADOS!$N$5,tabela_registros[TIPO],DADOS!$AB$3,tabela_registros[CATEGORIA],investirrendafixaconsolidadoout[[#This Row],[ATUAL]])</f>
        <v>0</v>
      </c>
      <c r="N115" s="119" t="n">
        <f aca="false">SUMIFS(tabela_registros[VALOR],tabela_registros[MÊS],$AE$1,tabela_registros[DIA],investirrendafixaconsolidadoout[[#Headers],[10]],tabela_registros[REGISTRO],DADOS!$N$5,tabela_registros[TIPO],DADOS!$AB$3,tabela_registros[CATEGORIA],investirrendafixaconsolidadoout[[#This Row],[ATUAL]])</f>
        <v>0</v>
      </c>
      <c r="O115" s="119" t="n">
        <f aca="false">SUMIFS(tabela_registros[VALOR],tabela_registros[MÊS],$AE$1,tabela_registros[DIA],investirrendafixaconsolidadoout[[#Headers],[11]],tabela_registros[REGISTRO],DADOS!$N$5,tabela_registros[TIPO],DADOS!$AB$3,tabela_registros[CATEGORIA],investirrendafixaconsolidadoout[[#This Row],[ATUAL]])</f>
        <v>0</v>
      </c>
      <c r="P115" s="119" t="n">
        <f aca="false">SUMIFS(tabela_registros[VALOR],tabela_registros[MÊS],$AE$1,tabela_registros[DIA],investirrendafixaconsolidadoout[[#Headers],[12]],tabela_registros[REGISTRO],DADOS!$N$5,tabela_registros[TIPO],DADOS!$AB$3,tabela_registros[CATEGORIA],investirrendafixaconsolidadoout[[#This Row],[ATUAL]])</f>
        <v>0</v>
      </c>
      <c r="Q115" s="119" t="n">
        <f aca="false">SUMIFS(tabela_registros[VALOR],tabela_registros[MÊS],$AE$1,tabela_registros[DIA],investirrendafixaconsolidadoout[[#Headers],[13]],tabela_registros[REGISTRO],DADOS!$N$5,tabela_registros[TIPO],DADOS!$AB$3,tabela_registros[CATEGORIA],investirrendafixaconsolidadoout[[#This Row],[ATUAL]])</f>
        <v>0</v>
      </c>
      <c r="R115" s="119" t="n">
        <f aca="false">SUMIFS(tabela_registros[VALOR],tabela_registros[MÊS],$AE$1,tabela_registros[DIA],investirrendafixaconsolidadoout[[#Headers],[14]],tabela_registros[REGISTRO],DADOS!$N$5,tabela_registros[TIPO],DADOS!$AB$3,tabela_registros[CATEGORIA],investirrendafixaconsolidadoout[[#This Row],[ATUAL]])</f>
        <v>0</v>
      </c>
      <c r="S115" s="119" t="n">
        <f aca="false">SUMIFS(tabela_registros[VALOR],tabela_registros[MÊS],$AE$1,tabela_registros[DIA],investirrendafixaconsolidadoout[[#Headers],[15]],tabela_registros[REGISTRO],DADOS!$N$5,tabela_registros[TIPO],DADOS!$AB$3,tabela_registros[CATEGORIA],investirrendafixaconsolidadoout[[#This Row],[ATUAL]])</f>
        <v>0</v>
      </c>
      <c r="T115" s="119" t="n">
        <f aca="false">SUMIFS(tabela_registros[VALOR],tabela_registros[MÊS],$AE$1,tabela_registros[DIA],investirrendafixaconsolidadoout[[#Headers],[16]],tabela_registros[REGISTRO],DADOS!$N$5,tabela_registros[TIPO],DADOS!$AB$3,tabela_registros[CATEGORIA],investirrendafixaconsolidadoout[[#This Row],[ATUAL]])</f>
        <v>0</v>
      </c>
      <c r="U115" s="119" t="n">
        <f aca="false">SUMIFS(tabela_registros[VALOR],tabela_registros[MÊS],$AE$1,tabela_registros[DIA],investirrendafixaconsolidadoout[[#Headers],[17]],tabela_registros[REGISTRO],DADOS!$N$5,tabela_registros[TIPO],DADOS!$AB$3,tabela_registros[CATEGORIA],investirrendafixaconsolidadoout[[#This Row],[ATUAL]])</f>
        <v>0</v>
      </c>
      <c r="V115" s="119" t="n">
        <f aca="false">SUMIFS(tabela_registros[VALOR],tabela_registros[MÊS],$AE$1,tabela_registros[DIA],investirrendafixaconsolidadoout[[#Headers],[18]],tabela_registros[REGISTRO],DADOS!$N$5,tabela_registros[TIPO],DADOS!$AB$3,tabela_registros[CATEGORIA],investirrendafixaconsolidadoout[[#This Row],[ATUAL]])</f>
        <v>0</v>
      </c>
      <c r="W115" s="119" t="n">
        <f aca="false">SUMIFS(tabela_registros[VALOR],tabela_registros[MÊS],$AE$1,tabela_registros[DIA],investirrendafixaconsolidadoout[[#Headers],[19]],tabela_registros[REGISTRO],DADOS!$N$5,tabela_registros[TIPO],DADOS!$AB$3,tabela_registros[CATEGORIA],investirrendafixaconsolidadoout[[#This Row],[ATUAL]])</f>
        <v>0</v>
      </c>
      <c r="X115" s="119" t="n">
        <f aca="false">SUMIFS(tabela_registros[VALOR],tabela_registros[MÊS],$AE$1,tabela_registros[DIA],investirrendafixaconsolidadoout[[#Headers],[20]],tabela_registros[REGISTRO],DADOS!$N$5,tabela_registros[TIPO],DADOS!$AB$3,tabela_registros[CATEGORIA],investirrendafixaconsolidadoout[[#This Row],[ATUAL]])</f>
        <v>0</v>
      </c>
      <c r="Y115" s="119" t="n">
        <f aca="false">SUMIFS(tabela_registros[VALOR],tabela_registros[MÊS],$AE$1,tabela_registros[DIA],investirrendafixaconsolidadoout[[#Headers],[21]],tabela_registros[REGISTRO],DADOS!$N$5,tabela_registros[TIPO],DADOS!$AB$3,tabela_registros[CATEGORIA],investirrendafixaconsolidadoout[[#This Row],[ATUAL]])</f>
        <v>0</v>
      </c>
      <c r="Z115" s="119" t="n">
        <f aca="false">SUMIFS(tabela_registros[VALOR],tabela_registros[MÊS],$AE$1,tabela_registros[DIA],investirrendafixaconsolidadoout[[#Headers],[22]],tabela_registros[REGISTRO],DADOS!$N$5,tabela_registros[TIPO],DADOS!$AB$3,tabela_registros[CATEGORIA],investirrendafixaconsolidadoout[[#This Row],[ATUAL]])</f>
        <v>0</v>
      </c>
      <c r="AA115" s="119" t="n">
        <f aca="false">SUMIFS(tabela_registros[VALOR],tabela_registros[MÊS],$AE$1,tabela_registros[DIA],investirrendafixaconsolidadoout[[#Headers],[23]],tabela_registros[REGISTRO],DADOS!$N$5,tabela_registros[TIPO],DADOS!$AB$3,tabela_registros[CATEGORIA],investirrendafixaconsolidadoout[[#This Row],[ATUAL]])</f>
        <v>0</v>
      </c>
      <c r="AB115" s="119" t="n">
        <f aca="false">SUMIFS(tabela_registros[VALOR],tabela_registros[MÊS],$AE$1,tabela_registros[DIA],investirrendafixaconsolidadoout[[#Headers],[24]],tabela_registros[REGISTRO],DADOS!$N$5,tabela_registros[TIPO],DADOS!$AB$3,tabela_registros[CATEGORIA],investirrendafixaconsolidadoout[[#This Row],[ATUAL]])</f>
        <v>0</v>
      </c>
      <c r="AC115" s="119" t="n">
        <f aca="false">SUMIFS(tabela_registros[VALOR],tabela_registros[MÊS],$AE$1,tabela_registros[DIA],investirrendafixaconsolidadoout[[#Headers],[25]],tabela_registros[REGISTRO],DADOS!$N$5,tabela_registros[TIPO],DADOS!$AB$3,tabela_registros[CATEGORIA],investirrendafixaconsolidadoout[[#This Row],[ATUAL]])</f>
        <v>0</v>
      </c>
      <c r="AD115" s="119" t="n">
        <f aca="false">SUMIFS(tabela_registros[VALOR],tabela_registros[MÊS],$AE$1,tabela_registros[DIA],investirrendafixaconsolidadoout[[#Headers],[26]],tabela_registros[REGISTRO],DADOS!$N$5,tabela_registros[TIPO],DADOS!$AB$3,tabela_registros[CATEGORIA],investirrendafixaconsolidadoout[[#This Row],[ATUAL]])</f>
        <v>0</v>
      </c>
      <c r="AE115" s="119" t="n">
        <f aca="false">SUMIFS(tabela_registros[VALOR],tabela_registros[MÊS],$AE$1,tabela_registros[DIA],investirrendafixaconsolidadoout[[#Headers],[27]],tabela_registros[REGISTRO],DADOS!$N$5,tabela_registros[TIPO],DADOS!$AB$3,tabela_registros[CATEGORIA],investirrendafixaconsolidadoout[[#This Row],[ATUAL]])</f>
        <v>0</v>
      </c>
      <c r="AF115" s="119" t="n">
        <f aca="false">SUMIFS(tabela_registros[VALOR],tabela_registros[MÊS],$AE$1,tabela_registros[DIA],investirrendafixaconsolidadoout[[#Headers],[28]],tabela_registros[REGISTRO],DADOS!$N$5,tabela_registros[TIPO],DADOS!$AB$3,tabela_registros[CATEGORIA],investirrendafixaconsolidadoout[[#This Row],[ATUAL]])</f>
        <v>0</v>
      </c>
      <c r="AG115" s="119" t="n">
        <f aca="false">SUMIFS(tabela_registros[VALOR],tabela_registros[MÊS],$AE$1,tabela_registros[DIA],investirrendafixaconsolidadoout[[#Headers],[29]],tabela_registros[REGISTRO],DADOS!$N$5,tabela_registros[TIPO],DADOS!$AB$3,tabela_registros[CATEGORIA],investirrendafixaconsolidadoout[[#This Row],[ATUAL]])</f>
        <v>0</v>
      </c>
      <c r="AH115" s="119" t="n">
        <f aca="false">SUMIFS(tabela_registros[VALOR],tabela_registros[MÊS],$AE$1,tabela_registros[DIA],investirrendafixaconsolidadoout[[#Headers],[30]],tabela_registros[REGISTRO],DADOS!$N$5,tabela_registros[TIPO],DADOS!$AB$3,tabela_registros[CATEGORIA],investirrendafixaconsolidadoout[[#This Row],[ATUAL]])</f>
        <v>0</v>
      </c>
      <c r="AI115" s="217" t="n">
        <f aca="false">SUMIFS(tabela_registros[VALOR],tabela_registros[MÊS],$AE$1,tabela_registros[DIA],investirrendafixaconsolidadoout[[#Headers],[31]],tabela_registros[REGISTRO],DADOS!$N$5,tabela_registros[TIPO],DADOS!$AB$3,tabela_registros[CATEGORIA],investirrendafixaconsolidadoout[[#This Row],[ATUAL]])</f>
        <v>0</v>
      </c>
      <c r="AJ115" s="149" t="n">
        <f aca="false">SUM(investirrendafixaconsolidadoout[[#This Row],[1]:[31]])</f>
        <v>0</v>
      </c>
      <c r="AK115" s="165"/>
    </row>
    <row r="116" customFormat="false" ht="19.5" hidden="false" customHeight="true" outlineLevel="0" collapsed="false">
      <c r="B116" s="143"/>
      <c r="C116" s="144" t="str">
        <f aca="false">DADOS!$AD$6</f>
        <v>📝 DEBÊNTURE</v>
      </c>
      <c r="D116" s="145" t="str">
        <f aca="false">IF(investirrendafixaconsolidadoout[[#This Row],[TOTAL (R$)]]=0,"",IF(OR(investirrendafixaconsolidadoout[[#This Row],[TOTAL (R$)]]=LARGE($AJ$113:$AJ$122,1),investirrendafixaconsolidadoout[[#This Row],[TOTAL (R$)]]=LARGE($AJ$113:$AJ$122,2)),DADOS!$I$10,""))</f>
        <v/>
      </c>
      <c r="E116" s="148" t="n">
        <f aca="false">SUMIFS(tabela_registros[VALOR],tabela_registros[MÊS],$AE$1,tabela_registros[DIA],investirrendafixaconsolidadoout[[#Headers],[1]],tabela_registros[REGISTRO],DADOS!$N$5,tabela_registros[TIPO],DADOS!$AB$3,tabela_registros[CATEGORIA],investirrendafixaconsolidadoout[[#This Row],[ATUAL]])</f>
        <v>0</v>
      </c>
      <c r="F116" s="119" t="n">
        <f aca="false">SUMIFS(tabela_registros[VALOR],tabela_registros[MÊS],$AE$1,tabela_registros[DIA],investirrendafixaconsolidadoout[[#Headers],[2]],tabela_registros[REGISTRO],DADOS!$N$5,tabela_registros[TIPO],DADOS!$AB$3,tabela_registros[CATEGORIA],investirrendafixaconsolidadoout[[#This Row],[ATUAL]])</f>
        <v>0</v>
      </c>
      <c r="G116" s="119" t="n">
        <f aca="false">SUMIFS(tabela_registros[VALOR],tabela_registros[MÊS],$AE$1,tabela_registros[DIA],investirrendafixaconsolidadoout[[#Headers],[3]],tabela_registros[REGISTRO],DADOS!$N$5,tabela_registros[TIPO],DADOS!$AB$3,tabela_registros[CATEGORIA],investirrendafixaconsolidadoout[[#This Row],[ATUAL]])</f>
        <v>0</v>
      </c>
      <c r="H116" s="119" t="n">
        <f aca="false">SUMIFS(tabela_registros[VALOR],tabela_registros[MÊS],$AE$1,tabela_registros[DIA],investirrendafixaconsolidadoout[[#Headers],[4]],tabela_registros[REGISTRO],DADOS!$N$5,tabela_registros[TIPO],DADOS!$AB$3,tabela_registros[CATEGORIA],investirrendafixaconsolidadoout[[#This Row],[ATUAL]])</f>
        <v>0</v>
      </c>
      <c r="I116" s="119" t="n">
        <f aca="false">SUMIFS(tabela_registros[VALOR],tabela_registros[MÊS],$AE$1,tabela_registros[DIA],investirrendafixaconsolidadoout[[#Headers],[5]],tabela_registros[REGISTRO],DADOS!$N$5,tabela_registros[TIPO],DADOS!$AB$3,tabela_registros[CATEGORIA],investirrendafixaconsolidadoout[[#This Row],[ATUAL]])</f>
        <v>0</v>
      </c>
      <c r="J116" s="119" t="n">
        <f aca="false">SUMIFS(tabela_registros[VALOR],tabela_registros[MÊS],$AE$1,tabela_registros[DIA],investirrendafixaconsolidadoout[[#Headers],[6]],tabela_registros[REGISTRO],DADOS!$N$5,tabela_registros[TIPO],DADOS!$AB$3,tabela_registros[CATEGORIA],investirrendafixaconsolidadoout[[#This Row],[ATUAL]])</f>
        <v>0</v>
      </c>
      <c r="K116" s="119" t="n">
        <f aca="false">SUMIFS(tabela_registros[VALOR],tabela_registros[MÊS],$AE$1,tabela_registros[DIA],investirrendafixaconsolidadoout[[#Headers],[7]],tabela_registros[REGISTRO],DADOS!$N$5,tabela_registros[TIPO],DADOS!$AB$3,tabela_registros[CATEGORIA],investirrendafixaconsolidadoout[[#This Row],[ATUAL]])</f>
        <v>0</v>
      </c>
      <c r="L116" s="119" t="n">
        <f aca="false">SUMIFS(tabela_registros[VALOR],tabela_registros[MÊS],$AE$1,tabela_registros[DIA],investirrendafixaconsolidadoout[[#Headers],[8]],tabela_registros[REGISTRO],DADOS!$N$5,tabela_registros[TIPO],DADOS!$AB$3,tabela_registros[CATEGORIA],investirrendafixaconsolidadoout[[#This Row],[ATUAL]])</f>
        <v>0</v>
      </c>
      <c r="M116" s="119" t="n">
        <f aca="false">SUMIFS(tabela_registros[VALOR],tabela_registros[MÊS],$AE$1,tabela_registros[DIA],investirrendafixaconsolidadoout[[#Headers],[9]],tabela_registros[REGISTRO],DADOS!$N$5,tabela_registros[TIPO],DADOS!$AB$3,tabela_registros[CATEGORIA],investirrendafixaconsolidadoout[[#This Row],[ATUAL]])</f>
        <v>0</v>
      </c>
      <c r="N116" s="119" t="n">
        <f aca="false">SUMIFS(tabela_registros[VALOR],tabela_registros[MÊS],$AE$1,tabela_registros[DIA],investirrendafixaconsolidadoout[[#Headers],[10]],tabela_registros[REGISTRO],DADOS!$N$5,tabela_registros[TIPO],DADOS!$AB$3,tabela_registros[CATEGORIA],investirrendafixaconsolidadoout[[#This Row],[ATUAL]])</f>
        <v>0</v>
      </c>
      <c r="O116" s="119" t="n">
        <f aca="false">SUMIFS(tabela_registros[VALOR],tabela_registros[MÊS],$AE$1,tabela_registros[DIA],investirrendafixaconsolidadoout[[#Headers],[11]],tabela_registros[REGISTRO],DADOS!$N$5,tabela_registros[TIPO],DADOS!$AB$3,tabela_registros[CATEGORIA],investirrendafixaconsolidadoout[[#This Row],[ATUAL]])</f>
        <v>0</v>
      </c>
      <c r="P116" s="119" t="n">
        <f aca="false">SUMIFS(tabela_registros[VALOR],tabela_registros[MÊS],$AE$1,tabela_registros[DIA],investirrendafixaconsolidadoout[[#Headers],[12]],tabela_registros[REGISTRO],DADOS!$N$5,tabela_registros[TIPO],DADOS!$AB$3,tabela_registros[CATEGORIA],investirrendafixaconsolidadoout[[#This Row],[ATUAL]])</f>
        <v>0</v>
      </c>
      <c r="Q116" s="119" t="n">
        <f aca="false">SUMIFS(tabela_registros[VALOR],tabela_registros[MÊS],$AE$1,tabela_registros[DIA],investirrendafixaconsolidadoout[[#Headers],[13]],tabela_registros[REGISTRO],DADOS!$N$5,tabela_registros[TIPO],DADOS!$AB$3,tabela_registros[CATEGORIA],investirrendafixaconsolidadoout[[#This Row],[ATUAL]])</f>
        <v>0</v>
      </c>
      <c r="R116" s="119" t="n">
        <f aca="false">SUMIFS(tabela_registros[VALOR],tabela_registros[MÊS],$AE$1,tabela_registros[DIA],investirrendafixaconsolidadoout[[#Headers],[14]],tabela_registros[REGISTRO],DADOS!$N$5,tabela_registros[TIPO],DADOS!$AB$3,tabela_registros[CATEGORIA],investirrendafixaconsolidadoout[[#This Row],[ATUAL]])</f>
        <v>0</v>
      </c>
      <c r="S116" s="119" t="n">
        <f aca="false">SUMIFS(tabela_registros[VALOR],tabela_registros[MÊS],$AE$1,tabela_registros[DIA],investirrendafixaconsolidadoout[[#Headers],[15]],tabela_registros[REGISTRO],DADOS!$N$5,tabela_registros[TIPO],DADOS!$AB$3,tabela_registros[CATEGORIA],investirrendafixaconsolidadoout[[#This Row],[ATUAL]])</f>
        <v>0</v>
      </c>
      <c r="T116" s="119" t="n">
        <f aca="false">SUMIFS(tabela_registros[VALOR],tabela_registros[MÊS],$AE$1,tabela_registros[DIA],investirrendafixaconsolidadoout[[#Headers],[16]],tabela_registros[REGISTRO],DADOS!$N$5,tabela_registros[TIPO],DADOS!$AB$3,tabela_registros[CATEGORIA],investirrendafixaconsolidadoout[[#This Row],[ATUAL]])</f>
        <v>0</v>
      </c>
      <c r="U116" s="119" t="n">
        <f aca="false">SUMIFS(tabela_registros[VALOR],tabela_registros[MÊS],$AE$1,tabela_registros[DIA],investirrendafixaconsolidadoout[[#Headers],[17]],tabela_registros[REGISTRO],DADOS!$N$5,tabela_registros[TIPO],DADOS!$AB$3,tabela_registros[CATEGORIA],investirrendafixaconsolidadoout[[#This Row],[ATUAL]])</f>
        <v>0</v>
      </c>
      <c r="V116" s="119" t="n">
        <f aca="false">SUMIFS(tabela_registros[VALOR],tabela_registros[MÊS],$AE$1,tabela_registros[DIA],investirrendafixaconsolidadoout[[#Headers],[18]],tabela_registros[REGISTRO],DADOS!$N$5,tabela_registros[TIPO],DADOS!$AB$3,tabela_registros[CATEGORIA],investirrendafixaconsolidadoout[[#This Row],[ATUAL]])</f>
        <v>0</v>
      </c>
      <c r="W116" s="119" t="n">
        <f aca="false">SUMIFS(tabela_registros[VALOR],tabela_registros[MÊS],$AE$1,tabela_registros[DIA],investirrendafixaconsolidadoout[[#Headers],[19]],tabela_registros[REGISTRO],DADOS!$N$5,tabela_registros[TIPO],DADOS!$AB$3,tabela_registros[CATEGORIA],investirrendafixaconsolidadoout[[#This Row],[ATUAL]])</f>
        <v>0</v>
      </c>
      <c r="X116" s="119" t="n">
        <f aca="false">SUMIFS(tabela_registros[VALOR],tabela_registros[MÊS],$AE$1,tabela_registros[DIA],investirrendafixaconsolidadoout[[#Headers],[20]],tabela_registros[REGISTRO],DADOS!$N$5,tabela_registros[TIPO],DADOS!$AB$3,tabela_registros[CATEGORIA],investirrendafixaconsolidadoout[[#This Row],[ATUAL]])</f>
        <v>0</v>
      </c>
      <c r="Y116" s="119" t="n">
        <f aca="false">SUMIFS(tabela_registros[VALOR],tabela_registros[MÊS],$AE$1,tabela_registros[DIA],investirrendafixaconsolidadoout[[#Headers],[21]],tabela_registros[REGISTRO],DADOS!$N$5,tabela_registros[TIPO],DADOS!$AB$3,tabela_registros[CATEGORIA],investirrendafixaconsolidadoout[[#This Row],[ATUAL]])</f>
        <v>0</v>
      </c>
      <c r="Z116" s="119" t="n">
        <f aca="false">SUMIFS(tabela_registros[VALOR],tabela_registros[MÊS],$AE$1,tabela_registros[DIA],investirrendafixaconsolidadoout[[#Headers],[22]],tabela_registros[REGISTRO],DADOS!$N$5,tabela_registros[TIPO],DADOS!$AB$3,tabela_registros[CATEGORIA],investirrendafixaconsolidadoout[[#This Row],[ATUAL]])</f>
        <v>0</v>
      </c>
      <c r="AA116" s="119" t="n">
        <f aca="false">SUMIFS(tabela_registros[VALOR],tabela_registros[MÊS],$AE$1,tabela_registros[DIA],investirrendafixaconsolidadoout[[#Headers],[23]],tabela_registros[REGISTRO],DADOS!$N$5,tabela_registros[TIPO],DADOS!$AB$3,tabela_registros[CATEGORIA],investirrendafixaconsolidadoout[[#This Row],[ATUAL]])</f>
        <v>0</v>
      </c>
      <c r="AB116" s="119" t="n">
        <f aca="false">SUMIFS(tabela_registros[VALOR],tabela_registros[MÊS],$AE$1,tabela_registros[DIA],investirrendafixaconsolidadoout[[#Headers],[24]],tabela_registros[REGISTRO],DADOS!$N$5,tabela_registros[TIPO],DADOS!$AB$3,tabela_registros[CATEGORIA],investirrendafixaconsolidadoout[[#This Row],[ATUAL]])</f>
        <v>0</v>
      </c>
      <c r="AC116" s="119" t="n">
        <f aca="false">SUMIFS(tabela_registros[VALOR],tabela_registros[MÊS],$AE$1,tabela_registros[DIA],investirrendafixaconsolidadoout[[#Headers],[25]],tabela_registros[REGISTRO],DADOS!$N$5,tabela_registros[TIPO],DADOS!$AB$3,tabela_registros[CATEGORIA],investirrendafixaconsolidadoout[[#This Row],[ATUAL]])</f>
        <v>0</v>
      </c>
      <c r="AD116" s="119" t="n">
        <f aca="false">SUMIFS(tabela_registros[VALOR],tabela_registros[MÊS],$AE$1,tabela_registros[DIA],investirrendafixaconsolidadoout[[#Headers],[26]],tabela_registros[REGISTRO],DADOS!$N$5,tabela_registros[TIPO],DADOS!$AB$3,tabela_registros[CATEGORIA],investirrendafixaconsolidadoout[[#This Row],[ATUAL]])</f>
        <v>0</v>
      </c>
      <c r="AE116" s="119" t="n">
        <f aca="false">SUMIFS(tabela_registros[VALOR],tabela_registros[MÊS],$AE$1,tabela_registros[DIA],investirrendafixaconsolidadoout[[#Headers],[27]],tabela_registros[REGISTRO],DADOS!$N$5,tabela_registros[TIPO],DADOS!$AB$3,tabela_registros[CATEGORIA],investirrendafixaconsolidadoout[[#This Row],[ATUAL]])</f>
        <v>0</v>
      </c>
      <c r="AF116" s="119" t="n">
        <f aca="false">SUMIFS(tabela_registros[VALOR],tabela_registros[MÊS],$AE$1,tabela_registros[DIA],investirrendafixaconsolidadoout[[#Headers],[28]],tabela_registros[REGISTRO],DADOS!$N$5,tabela_registros[TIPO],DADOS!$AB$3,tabela_registros[CATEGORIA],investirrendafixaconsolidadoout[[#This Row],[ATUAL]])</f>
        <v>0</v>
      </c>
      <c r="AG116" s="119" t="n">
        <f aca="false">SUMIFS(tabela_registros[VALOR],tabela_registros[MÊS],$AE$1,tabela_registros[DIA],investirrendafixaconsolidadoout[[#Headers],[29]],tabela_registros[REGISTRO],DADOS!$N$5,tabela_registros[TIPO],DADOS!$AB$3,tabela_registros[CATEGORIA],investirrendafixaconsolidadoout[[#This Row],[ATUAL]])</f>
        <v>0</v>
      </c>
      <c r="AH116" s="119" t="n">
        <f aca="false">SUMIFS(tabela_registros[VALOR],tabela_registros[MÊS],$AE$1,tabela_registros[DIA],investirrendafixaconsolidadoout[[#Headers],[30]],tabela_registros[REGISTRO],DADOS!$N$5,tabela_registros[TIPO],DADOS!$AB$3,tabela_registros[CATEGORIA],investirrendafixaconsolidadoout[[#This Row],[ATUAL]])</f>
        <v>0</v>
      </c>
      <c r="AI116" s="217" t="n">
        <f aca="false">SUMIFS(tabela_registros[VALOR],tabela_registros[MÊS],$AE$1,tabela_registros[DIA],investirrendafixaconsolidadoout[[#Headers],[31]],tabela_registros[REGISTRO],DADOS!$N$5,tabela_registros[TIPO],DADOS!$AB$3,tabela_registros[CATEGORIA],investirrendafixaconsolidadoout[[#This Row],[ATUAL]])</f>
        <v>0</v>
      </c>
      <c r="AJ116" s="149" t="n">
        <f aca="false">SUM(investirrendafixaconsolidadoout[[#This Row],[1]:[31]])</f>
        <v>0</v>
      </c>
      <c r="AK116" s="165"/>
    </row>
    <row r="117" customFormat="false" ht="19.5" hidden="false" customHeight="true" outlineLevel="0" collapsed="false">
      <c r="B117" s="143"/>
      <c r="C117" s="144" t="str">
        <f aca="false">DADOS!$AD$7</f>
        <v>📝 EXTERIOR</v>
      </c>
      <c r="D117" s="145" t="str">
        <f aca="false">IF(investirrendafixaconsolidadoout[[#This Row],[TOTAL (R$)]]=0,"",IF(OR(investirrendafixaconsolidadoout[[#This Row],[TOTAL (R$)]]=LARGE($AJ$113:$AJ$122,1),investirrendafixaconsolidadoout[[#This Row],[TOTAL (R$)]]=LARGE($AJ$113:$AJ$122,2)),DADOS!$I$10,""))</f>
        <v/>
      </c>
      <c r="E117" s="148" t="n">
        <f aca="false">SUMIFS(tabela_registros[VALOR],tabela_registros[MÊS],$AE$1,tabela_registros[DIA],investirrendafixaconsolidadoout[[#Headers],[1]],tabela_registros[REGISTRO],DADOS!$N$5,tabela_registros[TIPO],DADOS!$AB$3,tabela_registros[CATEGORIA],investirrendafixaconsolidadoout[[#This Row],[ATUAL]])</f>
        <v>0</v>
      </c>
      <c r="F117" s="119" t="n">
        <f aca="false">SUMIFS(tabela_registros[VALOR],tabela_registros[MÊS],$AE$1,tabela_registros[DIA],investirrendafixaconsolidadoout[[#Headers],[2]],tabela_registros[REGISTRO],DADOS!$N$5,tabela_registros[TIPO],DADOS!$AB$3,tabela_registros[CATEGORIA],investirrendafixaconsolidadoout[[#This Row],[ATUAL]])</f>
        <v>0</v>
      </c>
      <c r="G117" s="119" t="n">
        <f aca="false">SUMIFS(tabela_registros[VALOR],tabela_registros[MÊS],$AE$1,tabela_registros[DIA],investirrendafixaconsolidadoout[[#Headers],[3]],tabela_registros[REGISTRO],DADOS!$N$5,tabela_registros[TIPO],DADOS!$AB$3,tabela_registros[CATEGORIA],investirrendafixaconsolidadoout[[#This Row],[ATUAL]])</f>
        <v>0</v>
      </c>
      <c r="H117" s="119" t="n">
        <f aca="false">SUMIFS(tabela_registros[VALOR],tabela_registros[MÊS],$AE$1,tabela_registros[DIA],investirrendafixaconsolidadoout[[#Headers],[4]],tabela_registros[REGISTRO],DADOS!$N$5,tabela_registros[TIPO],DADOS!$AB$3,tabela_registros[CATEGORIA],investirrendafixaconsolidadoout[[#This Row],[ATUAL]])</f>
        <v>0</v>
      </c>
      <c r="I117" s="119" t="n">
        <f aca="false">SUMIFS(tabela_registros[VALOR],tabela_registros[MÊS],$AE$1,tabela_registros[DIA],investirrendafixaconsolidadoout[[#Headers],[5]],tabela_registros[REGISTRO],DADOS!$N$5,tabela_registros[TIPO],DADOS!$AB$3,tabela_registros[CATEGORIA],investirrendafixaconsolidadoout[[#This Row],[ATUAL]])</f>
        <v>0</v>
      </c>
      <c r="J117" s="119" t="n">
        <f aca="false">SUMIFS(tabela_registros[VALOR],tabela_registros[MÊS],$AE$1,tabela_registros[DIA],investirrendafixaconsolidadoout[[#Headers],[6]],tabela_registros[REGISTRO],DADOS!$N$5,tabela_registros[TIPO],DADOS!$AB$3,tabela_registros[CATEGORIA],investirrendafixaconsolidadoout[[#This Row],[ATUAL]])</f>
        <v>0</v>
      </c>
      <c r="K117" s="119" t="n">
        <f aca="false">SUMIFS(tabela_registros[VALOR],tabela_registros[MÊS],$AE$1,tabela_registros[DIA],investirrendafixaconsolidadoout[[#Headers],[7]],tabela_registros[REGISTRO],DADOS!$N$5,tabela_registros[TIPO],DADOS!$AB$3,tabela_registros[CATEGORIA],investirrendafixaconsolidadoout[[#This Row],[ATUAL]])</f>
        <v>0</v>
      </c>
      <c r="L117" s="119" t="n">
        <f aca="false">SUMIFS(tabela_registros[VALOR],tabela_registros[MÊS],$AE$1,tabela_registros[DIA],investirrendafixaconsolidadoout[[#Headers],[8]],tabela_registros[REGISTRO],DADOS!$N$5,tabela_registros[TIPO],DADOS!$AB$3,tabela_registros[CATEGORIA],investirrendafixaconsolidadoout[[#This Row],[ATUAL]])</f>
        <v>0</v>
      </c>
      <c r="M117" s="119" t="n">
        <f aca="false">SUMIFS(tabela_registros[VALOR],tabela_registros[MÊS],$AE$1,tabela_registros[DIA],investirrendafixaconsolidadoout[[#Headers],[9]],tabela_registros[REGISTRO],DADOS!$N$5,tabela_registros[TIPO],DADOS!$AB$3,tabela_registros[CATEGORIA],investirrendafixaconsolidadoout[[#This Row],[ATUAL]])</f>
        <v>0</v>
      </c>
      <c r="N117" s="119" t="n">
        <f aca="false">SUMIFS(tabela_registros[VALOR],tabela_registros[MÊS],$AE$1,tabela_registros[DIA],investirrendafixaconsolidadoout[[#Headers],[10]],tabela_registros[REGISTRO],DADOS!$N$5,tabela_registros[TIPO],DADOS!$AB$3,tabela_registros[CATEGORIA],investirrendafixaconsolidadoout[[#This Row],[ATUAL]])</f>
        <v>0</v>
      </c>
      <c r="O117" s="119" t="n">
        <f aca="false">SUMIFS(tabela_registros[VALOR],tabela_registros[MÊS],$AE$1,tabela_registros[DIA],investirrendafixaconsolidadoout[[#Headers],[11]],tabela_registros[REGISTRO],DADOS!$N$5,tabela_registros[TIPO],DADOS!$AB$3,tabela_registros[CATEGORIA],investirrendafixaconsolidadoout[[#This Row],[ATUAL]])</f>
        <v>0</v>
      </c>
      <c r="P117" s="119" t="n">
        <f aca="false">SUMIFS(tabela_registros[VALOR],tabela_registros[MÊS],$AE$1,tabela_registros[DIA],investirrendafixaconsolidadoout[[#Headers],[12]],tabela_registros[REGISTRO],DADOS!$N$5,tabela_registros[TIPO],DADOS!$AB$3,tabela_registros[CATEGORIA],investirrendafixaconsolidadoout[[#This Row],[ATUAL]])</f>
        <v>0</v>
      </c>
      <c r="Q117" s="119" t="n">
        <f aca="false">SUMIFS(tabela_registros[VALOR],tabela_registros[MÊS],$AE$1,tabela_registros[DIA],investirrendafixaconsolidadoout[[#Headers],[13]],tabela_registros[REGISTRO],DADOS!$N$5,tabela_registros[TIPO],DADOS!$AB$3,tabela_registros[CATEGORIA],investirrendafixaconsolidadoout[[#This Row],[ATUAL]])</f>
        <v>0</v>
      </c>
      <c r="R117" s="119" t="n">
        <f aca="false">SUMIFS(tabela_registros[VALOR],tabela_registros[MÊS],$AE$1,tabela_registros[DIA],investirrendafixaconsolidadoout[[#Headers],[14]],tabela_registros[REGISTRO],DADOS!$N$5,tabela_registros[TIPO],DADOS!$AB$3,tabela_registros[CATEGORIA],investirrendafixaconsolidadoout[[#This Row],[ATUAL]])</f>
        <v>0</v>
      </c>
      <c r="S117" s="119" t="n">
        <f aca="false">SUMIFS(tabela_registros[VALOR],tabela_registros[MÊS],$AE$1,tabela_registros[DIA],investirrendafixaconsolidadoout[[#Headers],[15]],tabela_registros[REGISTRO],DADOS!$N$5,tabela_registros[TIPO],DADOS!$AB$3,tabela_registros[CATEGORIA],investirrendafixaconsolidadoout[[#This Row],[ATUAL]])</f>
        <v>0</v>
      </c>
      <c r="T117" s="119" t="n">
        <f aca="false">SUMIFS(tabela_registros[VALOR],tabela_registros[MÊS],$AE$1,tabela_registros[DIA],investirrendafixaconsolidadoout[[#Headers],[16]],tabela_registros[REGISTRO],DADOS!$N$5,tabela_registros[TIPO],DADOS!$AB$3,tabela_registros[CATEGORIA],investirrendafixaconsolidadoout[[#This Row],[ATUAL]])</f>
        <v>0</v>
      </c>
      <c r="U117" s="119" t="n">
        <f aca="false">SUMIFS(tabela_registros[VALOR],tabela_registros[MÊS],$AE$1,tabela_registros[DIA],investirrendafixaconsolidadoout[[#Headers],[17]],tabela_registros[REGISTRO],DADOS!$N$5,tabela_registros[TIPO],DADOS!$AB$3,tabela_registros[CATEGORIA],investirrendafixaconsolidadoout[[#This Row],[ATUAL]])</f>
        <v>0</v>
      </c>
      <c r="V117" s="119" t="n">
        <f aca="false">SUMIFS(tabela_registros[VALOR],tabela_registros[MÊS],$AE$1,tabela_registros[DIA],investirrendafixaconsolidadoout[[#Headers],[18]],tabela_registros[REGISTRO],DADOS!$N$5,tabela_registros[TIPO],DADOS!$AB$3,tabela_registros[CATEGORIA],investirrendafixaconsolidadoout[[#This Row],[ATUAL]])</f>
        <v>0</v>
      </c>
      <c r="W117" s="119" t="n">
        <f aca="false">SUMIFS(tabela_registros[VALOR],tabela_registros[MÊS],$AE$1,tabela_registros[DIA],investirrendafixaconsolidadoout[[#Headers],[19]],tabela_registros[REGISTRO],DADOS!$N$5,tabela_registros[TIPO],DADOS!$AB$3,tabela_registros[CATEGORIA],investirrendafixaconsolidadoout[[#This Row],[ATUAL]])</f>
        <v>0</v>
      </c>
      <c r="X117" s="119" t="n">
        <f aca="false">SUMIFS(tabela_registros[VALOR],tabela_registros[MÊS],$AE$1,tabela_registros[DIA],investirrendafixaconsolidadoout[[#Headers],[20]],tabela_registros[REGISTRO],DADOS!$N$5,tabela_registros[TIPO],DADOS!$AB$3,tabela_registros[CATEGORIA],investirrendafixaconsolidadoout[[#This Row],[ATUAL]])</f>
        <v>0</v>
      </c>
      <c r="Y117" s="119" t="n">
        <f aca="false">SUMIFS(tabela_registros[VALOR],tabela_registros[MÊS],$AE$1,tabela_registros[DIA],investirrendafixaconsolidadoout[[#Headers],[21]],tabela_registros[REGISTRO],DADOS!$N$5,tabela_registros[TIPO],DADOS!$AB$3,tabela_registros[CATEGORIA],investirrendafixaconsolidadoout[[#This Row],[ATUAL]])</f>
        <v>0</v>
      </c>
      <c r="Z117" s="119" t="n">
        <f aca="false">SUMIFS(tabela_registros[VALOR],tabela_registros[MÊS],$AE$1,tabela_registros[DIA],investirrendafixaconsolidadoout[[#Headers],[22]],tabela_registros[REGISTRO],DADOS!$N$5,tabela_registros[TIPO],DADOS!$AB$3,tabela_registros[CATEGORIA],investirrendafixaconsolidadoout[[#This Row],[ATUAL]])</f>
        <v>0</v>
      </c>
      <c r="AA117" s="119" t="n">
        <f aca="false">SUMIFS(tabela_registros[VALOR],tabela_registros[MÊS],$AE$1,tabela_registros[DIA],investirrendafixaconsolidadoout[[#Headers],[23]],tabela_registros[REGISTRO],DADOS!$N$5,tabela_registros[TIPO],DADOS!$AB$3,tabela_registros[CATEGORIA],investirrendafixaconsolidadoout[[#This Row],[ATUAL]])</f>
        <v>0</v>
      </c>
      <c r="AB117" s="119" t="n">
        <f aca="false">SUMIFS(tabela_registros[VALOR],tabela_registros[MÊS],$AE$1,tabela_registros[DIA],investirrendafixaconsolidadoout[[#Headers],[24]],tabela_registros[REGISTRO],DADOS!$N$5,tabela_registros[TIPO],DADOS!$AB$3,tabela_registros[CATEGORIA],investirrendafixaconsolidadoout[[#This Row],[ATUAL]])</f>
        <v>0</v>
      </c>
      <c r="AC117" s="119" t="n">
        <f aca="false">SUMIFS(tabela_registros[VALOR],tabela_registros[MÊS],$AE$1,tabela_registros[DIA],investirrendafixaconsolidadoout[[#Headers],[25]],tabela_registros[REGISTRO],DADOS!$N$5,tabela_registros[TIPO],DADOS!$AB$3,tabela_registros[CATEGORIA],investirrendafixaconsolidadoout[[#This Row],[ATUAL]])</f>
        <v>0</v>
      </c>
      <c r="AD117" s="119" t="n">
        <f aca="false">SUMIFS(tabela_registros[VALOR],tabela_registros[MÊS],$AE$1,tabela_registros[DIA],investirrendafixaconsolidadoout[[#Headers],[26]],tabela_registros[REGISTRO],DADOS!$N$5,tabela_registros[TIPO],DADOS!$AB$3,tabela_registros[CATEGORIA],investirrendafixaconsolidadoout[[#This Row],[ATUAL]])</f>
        <v>0</v>
      </c>
      <c r="AE117" s="119" t="n">
        <f aca="false">SUMIFS(tabela_registros[VALOR],tabela_registros[MÊS],$AE$1,tabela_registros[DIA],investirrendafixaconsolidadoout[[#Headers],[27]],tabela_registros[REGISTRO],DADOS!$N$5,tabela_registros[TIPO],DADOS!$AB$3,tabela_registros[CATEGORIA],investirrendafixaconsolidadoout[[#This Row],[ATUAL]])</f>
        <v>0</v>
      </c>
      <c r="AF117" s="119" t="n">
        <f aca="false">SUMIFS(tabela_registros[VALOR],tabela_registros[MÊS],$AE$1,tabela_registros[DIA],investirrendafixaconsolidadoout[[#Headers],[28]],tabela_registros[REGISTRO],DADOS!$N$5,tabela_registros[TIPO],DADOS!$AB$3,tabela_registros[CATEGORIA],investirrendafixaconsolidadoout[[#This Row],[ATUAL]])</f>
        <v>0</v>
      </c>
      <c r="AG117" s="119" t="n">
        <f aca="false">SUMIFS(tabela_registros[VALOR],tabela_registros[MÊS],$AE$1,tabela_registros[DIA],investirrendafixaconsolidadoout[[#Headers],[29]],tabela_registros[REGISTRO],DADOS!$N$5,tabela_registros[TIPO],DADOS!$AB$3,tabela_registros[CATEGORIA],investirrendafixaconsolidadoout[[#This Row],[ATUAL]])</f>
        <v>0</v>
      </c>
      <c r="AH117" s="119" t="n">
        <f aca="false">SUMIFS(tabela_registros[VALOR],tabela_registros[MÊS],$AE$1,tabela_registros[DIA],investirrendafixaconsolidadoout[[#Headers],[30]],tabela_registros[REGISTRO],DADOS!$N$5,tabela_registros[TIPO],DADOS!$AB$3,tabela_registros[CATEGORIA],investirrendafixaconsolidadoout[[#This Row],[ATUAL]])</f>
        <v>0</v>
      </c>
      <c r="AI117" s="217" t="n">
        <f aca="false">SUMIFS(tabela_registros[VALOR],tabela_registros[MÊS],$AE$1,tabela_registros[DIA],investirrendafixaconsolidadoout[[#Headers],[31]],tabela_registros[REGISTRO],DADOS!$N$5,tabela_registros[TIPO],DADOS!$AB$3,tabela_registros[CATEGORIA],investirrendafixaconsolidadoout[[#This Row],[ATUAL]])</f>
        <v>0</v>
      </c>
      <c r="AJ117" s="149" t="n">
        <f aca="false">SUM(investirrendafixaconsolidadoout[[#This Row],[1]:[31]])</f>
        <v>0</v>
      </c>
      <c r="AK117" s="165"/>
    </row>
    <row r="118" customFormat="false" ht="19.5" hidden="false" customHeight="true" outlineLevel="0" collapsed="false">
      <c r="B118" s="143"/>
      <c r="C118" s="144" t="str">
        <f aca="false">DADOS!$AD$8</f>
        <v>📝 LC</v>
      </c>
      <c r="D118" s="145" t="str">
        <f aca="false">IF(investirrendafixaconsolidadoout[[#This Row],[TOTAL (R$)]]=0,"",IF(OR(investirrendafixaconsolidadoout[[#This Row],[TOTAL (R$)]]=LARGE($AJ$113:$AJ$122,1),investirrendafixaconsolidadoout[[#This Row],[TOTAL (R$)]]=LARGE($AJ$113:$AJ$122,2)),DADOS!$I$10,""))</f>
        <v/>
      </c>
      <c r="E118" s="148" t="n">
        <f aca="false">SUMIFS(tabela_registros[VALOR],tabela_registros[MÊS],$AE$1,tabela_registros[DIA],investirrendafixaconsolidadoout[[#Headers],[1]],tabela_registros[REGISTRO],DADOS!$N$5,tabela_registros[TIPO],DADOS!$AB$3,tabela_registros[CATEGORIA],investirrendafixaconsolidadoout[[#This Row],[ATUAL]])</f>
        <v>0</v>
      </c>
      <c r="F118" s="119" t="n">
        <f aca="false">SUMIFS(tabela_registros[VALOR],tabela_registros[MÊS],$AE$1,tabela_registros[DIA],investirrendafixaconsolidadoout[[#Headers],[2]],tabela_registros[REGISTRO],DADOS!$N$5,tabela_registros[TIPO],DADOS!$AB$3,tabela_registros[CATEGORIA],investirrendafixaconsolidadoout[[#This Row],[ATUAL]])</f>
        <v>0</v>
      </c>
      <c r="G118" s="119" t="n">
        <f aca="false">SUMIFS(tabela_registros[VALOR],tabela_registros[MÊS],$AE$1,tabela_registros[DIA],investirrendafixaconsolidadoout[[#Headers],[3]],tabela_registros[REGISTRO],DADOS!$N$5,tabela_registros[TIPO],DADOS!$AB$3,tabela_registros[CATEGORIA],investirrendafixaconsolidadoout[[#This Row],[ATUAL]])</f>
        <v>0</v>
      </c>
      <c r="H118" s="119" t="n">
        <f aca="false">SUMIFS(tabela_registros[VALOR],tabela_registros[MÊS],$AE$1,tabela_registros[DIA],investirrendafixaconsolidadoout[[#Headers],[4]],tabela_registros[REGISTRO],DADOS!$N$5,tabela_registros[TIPO],DADOS!$AB$3,tabela_registros[CATEGORIA],investirrendafixaconsolidadoout[[#This Row],[ATUAL]])</f>
        <v>0</v>
      </c>
      <c r="I118" s="119" t="n">
        <f aca="false">SUMIFS(tabela_registros[VALOR],tabela_registros[MÊS],$AE$1,tabela_registros[DIA],investirrendafixaconsolidadoout[[#Headers],[5]],tabela_registros[REGISTRO],DADOS!$N$5,tabela_registros[TIPO],DADOS!$AB$3,tabela_registros[CATEGORIA],investirrendafixaconsolidadoout[[#This Row],[ATUAL]])</f>
        <v>0</v>
      </c>
      <c r="J118" s="119" t="n">
        <f aca="false">SUMIFS(tabela_registros[VALOR],tabela_registros[MÊS],$AE$1,tabela_registros[DIA],investirrendafixaconsolidadoout[[#Headers],[6]],tabela_registros[REGISTRO],DADOS!$N$5,tabela_registros[TIPO],DADOS!$AB$3,tabela_registros[CATEGORIA],investirrendafixaconsolidadoout[[#This Row],[ATUAL]])</f>
        <v>0</v>
      </c>
      <c r="K118" s="119" t="n">
        <f aca="false">SUMIFS(tabela_registros[VALOR],tabela_registros[MÊS],$AE$1,tabela_registros[DIA],investirrendafixaconsolidadoout[[#Headers],[7]],tabela_registros[REGISTRO],DADOS!$N$5,tabela_registros[TIPO],DADOS!$AB$3,tabela_registros[CATEGORIA],investirrendafixaconsolidadoout[[#This Row],[ATUAL]])</f>
        <v>0</v>
      </c>
      <c r="L118" s="119" t="n">
        <f aca="false">SUMIFS(tabela_registros[VALOR],tabela_registros[MÊS],$AE$1,tabela_registros[DIA],investirrendafixaconsolidadoout[[#Headers],[8]],tabela_registros[REGISTRO],DADOS!$N$5,tabela_registros[TIPO],DADOS!$AB$3,tabela_registros[CATEGORIA],investirrendafixaconsolidadoout[[#This Row],[ATUAL]])</f>
        <v>0</v>
      </c>
      <c r="M118" s="119" t="n">
        <f aca="false">SUMIFS(tabela_registros[VALOR],tabela_registros[MÊS],$AE$1,tabela_registros[DIA],investirrendafixaconsolidadoout[[#Headers],[9]],tabela_registros[REGISTRO],DADOS!$N$5,tabela_registros[TIPO],DADOS!$AB$3,tabela_registros[CATEGORIA],investirrendafixaconsolidadoout[[#This Row],[ATUAL]])</f>
        <v>0</v>
      </c>
      <c r="N118" s="119" t="n">
        <f aca="false">SUMIFS(tabela_registros[VALOR],tabela_registros[MÊS],$AE$1,tabela_registros[DIA],investirrendafixaconsolidadoout[[#Headers],[10]],tabela_registros[REGISTRO],DADOS!$N$5,tabela_registros[TIPO],DADOS!$AB$3,tabela_registros[CATEGORIA],investirrendafixaconsolidadoout[[#This Row],[ATUAL]])</f>
        <v>0</v>
      </c>
      <c r="O118" s="119" t="n">
        <f aca="false">SUMIFS(tabela_registros[VALOR],tabela_registros[MÊS],$AE$1,tabela_registros[DIA],investirrendafixaconsolidadoout[[#Headers],[11]],tabela_registros[REGISTRO],DADOS!$N$5,tabela_registros[TIPO],DADOS!$AB$3,tabela_registros[CATEGORIA],investirrendafixaconsolidadoout[[#This Row],[ATUAL]])</f>
        <v>0</v>
      </c>
      <c r="P118" s="119" t="n">
        <f aca="false">SUMIFS(tabela_registros[VALOR],tabela_registros[MÊS],$AE$1,tabela_registros[DIA],investirrendafixaconsolidadoout[[#Headers],[12]],tabela_registros[REGISTRO],DADOS!$N$5,tabela_registros[TIPO],DADOS!$AB$3,tabela_registros[CATEGORIA],investirrendafixaconsolidadoout[[#This Row],[ATUAL]])</f>
        <v>0</v>
      </c>
      <c r="Q118" s="119" t="n">
        <f aca="false">SUMIFS(tabela_registros[VALOR],tabela_registros[MÊS],$AE$1,tabela_registros[DIA],investirrendafixaconsolidadoout[[#Headers],[13]],tabela_registros[REGISTRO],DADOS!$N$5,tabela_registros[TIPO],DADOS!$AB$3,tabela_registros[CATEGORIA],investirrendafixaconsolidadoout[[#This Row],[ATUAL]])</f>
        <v>0</v>
      </c>
      <c r="R118" s="119" t="n">
        <f aca="false">SUMIFS(tabela_registros[VALOR],tabela_registros[MÊS],$AE$1,tabela_registros[DIA],investirrendafixaconsolidadoout[[#Headers],[14]],tabela_registros[REGISTRO],DADOS!$N$5,tabela_registros[TIPO],DADOS!$AB$3,tabela_registros[CATEGORIA],investirrendafixaconsolidadoout[[#This Row],[ATUAL]])</f>
        <v>0</v>
      </c>
      <c r="S118" s="119" t="n">
        <f aca="false">SUMIFS(tabela_registros[VALOR],tabela_registros[MÊS],$AE$1,tabela_registros[DIA],investirrendafixaconsolidadoout[[#Headers],[15]],tabela_registros[REGISTRO],DADOS!$N$5,tabela_registros[TIPO],DADOS!$AB$3,tabela_registros[CATEGORIA],investirrendafixaconsolidadoout[[#This Row],[ATUAL]])</f>
        <v>0</v>
      </c>
      <c r="T118" s="119" t="n">
        <f aca="false">SUMIFS(tabela_registros[VALOR],tabela_registros[MÊS],$AE$1,tabela_registros[DIA],investirrendafixaconsolidadoout[[#Headers],[16]],tabela_registros[REGISTRO],DADOS!$N$5,tabela_registros[TIPO],DADOS!$AB$3,tabela_registros[CATEGORIA],investirrendafixaconsolidadoout[[#This Row],[ATUAL]])</f>
        <v>0</v>
      </c>
      <c r="U118" s="119" t="n">
        <f aca="false">SUMIFS(tabela_registros[VALOR],tabela_registros[MÊS],$AE$1,tabela_registros[DIA],investirrendafixaconsolidadoout[[#Headers],[17]],tabela_registros[REGISTRO],DADOS!$N$5,tabela_registros[TIPO],DADOS!$AB$3,tabela_registros[CATEGORIA],investirrendafixaconsolidadoout[[#This Row],[ATUAL]])</f>
        <v>0</v>
      </c>
      <c r="V118" s="119" t="n">
        <f aca="false">SUMIFS(tabela_registros[VALOR],tabela_registros[MÊS],$AE$1,tabela_registros[DIA],investirrendafixaconsolidadoout[[#Headers],[18]],tabela_registros[REGISTRO],DADOS!$N$5,tabela_registros[TIPO],DADOS!$AB$3,tabela_registros[CATEGORIA],investirrendafixaconsolidadoout[[#This Row],[ATUAL]])</f>
        <v>0</v>
      </c>
      <c r="W118" s="119" t="n">
        <f aca="false">SUMIFS(tabela_registros[VALOR],tabela_registros[MÊS],$AE$1,tabela_registros[DIA],investirrendafixaconsolidadoout[[#Headers],[19]],tabela_registros[REGISTRO],DADOS!$N$5,tabela_registros[TIPO],DADOS!$AB$3,tabela_registros[CATEGORIA],investirrendafixaconsolidadoout[[#This Row],[ATUAL]])</f>
        <v>0</v>
      </c>
      <c r="X118" s="119" t="n">
        <f aca="false">SUMIFS(tabela_registros[VALOR],tabela_registros[MÊS],$AE$1,tabela_registros[DIA],investirrendafixaconsolidadoout[[#Headers],[20]],tabela_registros[REGISTRO],DADOS!$N$5,tabela_registros[TIPO],DADOS!$AB$3,tabela_registros[CATEGORIA],investirrendafixaconsolidadoout[[#This Row],[ATUAL]])</f>
        <v>0</v>
      </c>
      <c r="Y118" s="119" t="n">
        <f aca="false">SUMIFS(tabela_registros[VALOR],tabela_registros[MÊS],$AE$1,tabela_registros[DIA],investirrendafixaconsolidadoout[[#Headers],[21]],tabela_registros[REGISTRO],DADOS!$N$5,tabela_registros[TIPO],DADOS!$AB$3,tabela_registros[CATEGORIA],investirrendafixaconsolidadoout[[#This Row],[ATUAL]])</f>
        <v>0</v>
      </c>
      <c r="Z118" s="119" t="n">
        <f aca="false">SUMIFS(tabela_registros[VALOR],tabela_registros[MÊS],$AE$1,tabela_registros[DIA],investirrendafixaconsolidadoout[[#Headers],[22]],tabela_registros[REGISTRO],DADOS!$N$5,tabela_registros[TIPO],DADOS!$AB$3,tabela_registros[CATEGORIA],investirrendafixaconsolidadoout[[#This Row],[ATUAL]])</f>
        <v>0</v>
      </c>
      <c r="AA118" s="119" t="n">
        <f aca="false">SUMIFS(tabela_registros[VALOR],tabela_registros[MÊS],$AE$1,tabela_registros[DIA],investirrendafixaconsolidadoout[[#Headers],[23]],tabela_registros[REGISTRO],DADOS!$N$5,tabela_registros[TIPO],DADOS!$AB$3,tabela_registros[CATEGORIA],investirrendafixaconsolidadoout[[#This Row],[ATUAL]])</f>
        <v>0</v>
      </c>
      <c r="AB118" s="119" t="n">
        <f aca="false">SUMIFS(tabela_registros[VALOR],tabela_registros[MÊS],$AE$1,tabela_registros[DIA],investirrendafixaconsolidadoout[[#Headers],[24]],tabela_registros[REGISTRO],DADOS!$N$5,tabela_registros[TIPO],DADOS!$AB$3,tabela_registros[CATEGORIA],investirrendafixaconsolidadoout[[#This Row],[ATUAL]])</f>
        <v>0</v>
      </c>
      <c r="AC118" s="119" t="n">
        <f aca="false">SUMIFS(tabela_registros[VALOR],tabela_registros[MÊS],$AE$1,tabela_registros[DIA],investirrendafixaconsolidadoout[[#Headers],[25]],tabela_registros[REGISTRO],DADOS!$N$5,tabela_registros[TIPO],DADOS!$AB$3,tabela_registros[CATEGORIA],investirrendafixaconsolidadoout[[#This Row],[ATUAL]])</f>
        <v>0</v>
      </c>
      <c r="AD118" s="119" t="n">
        <f aca="false">SUMIFS(tabela_registros[VALOR],tabela_registros[MÊS],$AE$1,tabela_registros[DIA],investirrendafixaconsolidadoout[[#Headers],[26]],tabela_registros[REGISTRO],DADOS!$N$5,tabela_registros[TIPO],DADOS!$AB$3,tabela_registros[CATEGORIA],investirrendafixaconsolidadoout[[#This Row],[ATUAL]])</f>
        <v>0</v>
      </c>
      <c r="AE118" s="119" t="n">
        <f aca="false">SUMIFS(tabela_registros[VALOR],tabela_registros[MÊS],$AE$1,tabela_registros[DIA],investirrendafixaconsolidadoout[[#Headers],[27]],tabela_registros[REGISTRO],DADOS!$N$5,tabela_registros[TIPO],DADOS!$AB$3,tabela_registros[CATEGORIA],investirrendafixaconsolidadoout[[#This Row],[ATUAL]])</f>
        <v>0</v>
      </c>
      <c r="AF118" s="119" t="n">
        <f aca="false">SUMIFS(tabela_registros[VALOR],tabela_registros[MÊS],$AE$1,tabela_registros[DIA],investirrendafixaconsolidadoout[[#Headers],[28]],tabela_registros[REGISTRO],DADOS!$N$5,tabela_registros[TIPO],DADOS!$AB$3,tabela_registros[CATEGORIA],investirrendafixaconsolidadoout[[#This Row],[ATUAL]])</f>
        <v>0</v>
      </c>
      <c r="AG118" s="119" t="n">
        <f aca="false">SUMIFS(tabela_registros[VALOR],tabela_registros[MÊS],$AE$1,tabela_registros[DIA],investirrendafixaconsolidadoout[[#Headers],[29]],tabela_registros[REGISTRO],DADOS!$N$5,tabela_registros[TIPO],DADOS!$AB$3,tabela_registros[CATEGORIA],investirrendafixaconsolidadoout[[#This Row],[ATUAL]])</f>
        <v>0</v>
      </c>
      <c r="AH118" s="119" t="n">
        <f aca="false">SUMIFS(tabela_registros[VALOR],tabela_registros[MÊS],$AE$1,tabela_registros[DIA],investirrendafixaconsolidadoout[[#Headers],[30]],tabela_registros[REGISTRO],DADOS!$N$5,tabela_registros[TIPO],DADOS!$AB$3,tabela_registros[CATEGORIA],investirrendafixaconsolidadoout[[#This Row],[ATUAL]])</f>
        <v>0</v>
      </c>
      <c r="AI118" s="217" t="n">
        <f aca="false">SUMIFS(tabela_registros[VALOR],tabela_registros[MÊS],$AE$1,tabela_registros[DIA],investirrendafixaconsolidadoout[[#Headers],[31]],tabela_registros[REGISTRO],DADOS!$N$5,tabela_registros[TIPO],DADOS!$AB$3,tabela_registros[CATEGORIA],investirrendafixaconsolidadoout[[#This Row],[ATUAL]])</f>
        <v>0</v>
      </c>
      <c r="AJ118" s="149" t="n">
        <f aca="false">SUM(investirrendafixaconsolidadoout[[#This Row],[1]:[31]])</f>
        <v>0</v>
      </c>
      <c r="AK118" s="165"/>
    </row>
    <row r="119" customFormat="false" ht="19.5" hidden="false" customHeight="true" outlineLevel="0" collapsed="false">
      <c r="B119" s="143"/>
      <c r="C119" s="144" t="str">
        <f aca="false">DADOS!$AD$9</f>
        <v>📝 LCA</v>
      </c>
      <c r="D119" s="145" t="str">
        <f aca="false">IF(investirrendafixaconsolidadoout[[#This Row],[TOTAL (R$)]]=0,"",IF(OR(investirrendafixaconsolidadoout[[#This Row],[TOTAL (R$)]]=LARGE($AJ$113:$AJ$122,1),investirrendafixaconsolidadoout[[#This Row],[TOTAL (R$)]]=LARGE($AJ$113:$AJ$122,2)),DADOS!$I$10,""))</f>
        <v/>
      </c>
      <c r="E119" s="148" t="n">
        <f aca="false">SUMIFS(tabela_registros[VALOR],tabela_registros[MÊS],$AE$1,tabela_registros[DIA],investirrendafixaconsolidadoout[[#Headers],[1]],tabela_registros[REGISTRO],DADOS!$N$5,tabela_registros[TIPO],DADOS!$AB$3,tabela_registros[CATEGORIA],investirrendafixaconsolidadoout[[#This Row],[ATUAL]])</f>
        <v>0</v>
      </c>
      <c r="F119" s="119" t="n">
        <f aca="false">SUMIFS(tabela_registros[VALOR],tabela_registros[MÊS],$AE$1,tabela_registros[DIA],investirrendafixaconsolidadoout[[#Headers],[2]],tabela_registros[REGISTRO],DADOS!$N$5,tabela_registros[TIPO],DADOS!$AB$3,tabela_registros[CATEGORIA],investirrendafixaconsolidadoout[[#This Row],[ATUAL]])</f>
        <v>0</v>
      </c>
      <c r="G119" s="119" t="n">
        <f aca="false">SUMIFS(tabela_registros[VALOR],tabela_registros[MÊS],$AE$1,tabela_registros[DIA],investirrendafixaconsolidadoout[[#Headers],[3]],tabela_registros[REGISTRO],DADOS!$N$5,tabela_registros[TIPO],DADOS!$AB$3,tabela_registros[CATEGORIA],investirrendafixaconsolidadoout[[#This Row],[ATUAL]])</f>
        <v>0</v>
      </c>
      <c r="H119" s="119" t="n">
        <f aca="false">SUMIFS(tabela_registros[VALOR],tabela_registros[MÊS],$AE$1,tabela_registros[DIA],investirrendafixaconsolidadoout[[#Headers],[4]],tabela_registros[REGISTRO],DADOS!$N$5,tabela_registros[TIPO],DADOS!$AB$3,tabela_registros[CATEGORIA],investirrendafixaconsolidadoout[[#This Row],[ATUAL]])</f>
        <v>0</v>
      </c>
      <c r="I119" s="119" t="n">
        <f aca="false">SUMIFS(tabela_registros[VALOR],tabela_registros[MÊS],$AE$1,tabela_registros[DIA],investirrendafixaconsolidadoout[[#Headers],[5]],tabela_registros[REGISTRO],DADOS!$N$5,tabela_registros[TIPO],DADOS!$AB$3,tabela_registros[CATEGORIA],investirrendafixaconsolidadoout[[#This Row],[ATUAL]])</f>
        <v>0</v>
      </c>
      <c r="J119" s="119" t="n">
        <f aca="false">SUMIFS(tabela_registros[VALOR],tabela_registros[MÊS],$AE$1,tabela_registros[DIA],investirrendafixaconsolidadoout[[#Headers],[6]],tabela_registros[REGISTRO],DADOS!$N$5,tabela_registros[TIPO],DADOS!$AB$3,tabela_registros[CATEGORIA],investirrendafixaconsolidadoout[[#This Row],[ATUAL]])</f>
        <v>0</v>
      </c>
      <c r="K119" s="119" t="n">
        <f aca="false">SUMIFS(tabela_registros[VALOR],tabela_registros[MÊS],$AE$1,tabela_registros[DIA],investirrendafixaconsolidadoout[[#Headers],[7]],tabela_registros[REGISTRO],DADOS!$N$5,tabela_registros[TIPO],DADOS!$AB$3,tabela_registros[CATEGORIA],investirrendafixaconsolidadoout[[#This Row],[ATUAL]])</f>
        <v>0</v>
      </c>
      <c r="L119" s="119" t="n">
        <f aca="false">SUMIFS(tabela_registros[VALOR],tabela_registros[MÊS],$AE$1,tabela_registros[DIA],investirrendafixaconsolidadoout[[#Headers],[8]],tabela_registros[REGISTRO],DADOS!$N$5,tabela_registros[TIPO],DADOS!$AB$3,tabela_registros[CATEGORIA],investirrendafixaconsolidadoout[[#This Row],[ATUAL]])</f>
        <v>0</v>
      </c>
      <c r="M119" s="119" t="n">
        <f aca="false">SUMIFS(tabela_registros[VALOR],tabela_registros[MÊS],$AE$1,tabela_registros[DIA],investirrendafixaconsolidadoout[[#Headers],[9]],tabela_registros[REGISTRO],DADOS!$N$5,tabela_registros[TIPO],DADOS!$AB$3,tabela_registros[CATEGORIA],investirrendafixaconsolidadoout[[#This Row],[ATUAL]])</f>
        <v>0</v>
      </c>
      <c r="N119" s="119" t="n">
        <f aca="false">SUMIFS(tabela_registros[VALOR],tabela_registros[MÊS],$AE$1,tabela_registros[DIA],investirrendafixaconsolidadoout[[#Headers],[10]],tabela_registros[REGISTRO],DADOS!$N$5,tabela_registros[TIPO],DADOS!$AB$3,tabela_registros[CATEGORIA],investirrendafixaconsolidadoout[[#This Row],[ATUAL]])</f>
        <v>0</v>
      </c>
      <c r="O119" s="119" t="n">
        <f aca="false">SUMIFS(tabela_registros[VALOR],tabela_registros[MÊS],$AE$1,tabela_registros[DIA],investirrendafixaconsolidadoout[[#Headers],[11]],tabela_registros[REGISTRO],DADOS!$N$5,tabela_registros[TIPO],DADOS!$AB$3,tabela_registros[CATEGORIA],investirrendafixaconsolidadoout[[#This Row],[ATUAL]])</f>
        <v>0</v>
      </c>
      <c r="P119" s="119" t="n">
        <f aca="false">SUMIFS(tabela_registros[VALOR],tabela_registros[MÊS],$AE$1,tabela_registros[DIA],investirrendafixaconsolidadoout[[#Headers],[12]],tabela_registros[REGISTRO],DADOS!$N$5,tabela_registros[TIPO],DADOS!$AB$3,tabela_registros[CATEGORIA],investirrendafixaconsolidadoout[[#This Row],[ATUAL]])</f>
        <v>0</v>
      </c>
      <c r="Q119" s="119" t="n">
        <f aca="false">SUMIFS(tabela_registros[VALOR],tabela_registros[MÊS],$AE$1,tabela_registros[DIA],investirrendafixaconsolidadoout[[#Headers],[13]],tabela_registros[REGISTRO],DADOS!$N$5,tabela_registros[TIPO],DADOS!$AB$3,tabela_registros[CATEGORIA],investirrendafixaconsolidadoout[[#This Row],[ATUAL]])</f>
        <v>0</v>
      </c>
      <c r="R119" s="119" t="n">
        <f aca="false">SUMIFS(tabela_registros[VALOR],tabela_registros[MÊS],$AE$1,tabela_registros[DIA],investirrendafixaconsolidadoout[[#Headers],[14]],tabela_registros[REGISTRO],DADOS!$N$5,tabela_registros[TIPO],DADOS!$AB$3,tabela_registros[CATEGORIA],investirrendafixaconsolidadoout[[#This Row],[ATUAL]])</f>
        <v>0</v>
      </c>
      <c r="S119" s="119" t="n">
        <f aca="false">SUMIFS(tabela_registros[VALOR],tabela_registros[MÊS],$AE$1,tabela_registros[DIA],investirrendafixaconsolidadoout[[#Headers],[15]],tabela_registros[REGISTRO],DADOS!$N$5,tabela_registros[TIPO],DADOS!$AB$3,tabela_registros[CATEGORIA],investirrendafixaconsolidadoout[[#This Row],[ATUAL]])</f>
        <v>0</v>
      </c>
      <c r="T119" s="119" t="n">
        <f aca="false">SUMIFS(tabela_registros[VALOR],tabela_registros[MÊS],$AE$1,tabela_registros[DIA],investirrendafixaconsolidadoout[[#Headers],[16]],tabela_registros[REGISTRO],DADOS!$N$5,tabela_registros[TIPO],DADOS!$AB$3,tabela_registros[CATEGORIA],investirrendafixaconsolidadoout[[#This Row],[ATUAL]])</f>
        <v>0</v>
      </c>
      <c r="U119" s="119" t="n">
        <f aca="false">SUMIFS(tabela_registros[VALOR],tabela_registros[MÊS],$AE$1,tabela_registros[DIA],investirrendafixaconsolidadoout[[#Headers],[17]],tabela_registros[REGISTRO],DADOS!$N$5,tabela_registros[TIPO],DADOS!$AB$3,tabela_registros[CATEGORIA],investirrendafixaconsolidadoout[[#This Row],[ATUAL]])</f>
        <v>0</v>
      </c>
      <c r="V119" s="119" t="n">
        <f aca="false">SUMIFS(tabela_registros[VALOR],tabela_registros[MÊS],$AE$1,tabela_registros[DIA],investirrendafixaconsolidadoout[[#Headers],[18]],tabela_registros[REGISTRO],DADOS!$N$5,tabela_registros[TIPO],DADOS!$AB$3,tabela_registros[CATEGORIA],investirrendafixaconsolidadoout[[#This Row],[ATUAL]])</f>
        <v>0</v>
      </c>
      <c r="W119" s="119" t="n">
        <f aca="false">SUMIFS(tabela_registros[VALOR],tabela_registros[MÊS],$AE$1,tabela_registros[DIA],investirrendafixaconsolidadoout[[#Headers],[19]],tabela_registros[REGISTRO],DADOS!$N$5,tabela_registros[TIPO],DADOS!$AB$3,tabela_registros[CATEGORIA],investirrendafixaconsolidadoout[[#This Row],[ATUAL]])</f>
        <v>0</v>
      </c>
      <c r="X119" s="119" t="n">
        <f aca="false">SUMIFS(tabela_registros[VALOR],tabela_registros[MÊS],$AE$1,tabela_registros[DIA],investirrendafixaconsolidadoout[[#Headers],[20]],tabela_registros[REGISTRO],DADOS!$N$5,tabela_registros[TIPO],DADOS!$AB$3,tabela_registros[CATEGORIA],investirrendafixaconsolidadoout[[#This Row],[ATUAL]])</f>
        <v>0</v>
      </c>
      <c r="Y119" s="119" t="n">
        <f aca="false">SUMIFS(tabela_registros[VALOR],tabela_registros[MÊS],$AE$1,tabela_registros[DIA],investirrendafixaconsolidadoout[[#Headers],[21]],tabela_registros[REGISTRO],DADOS!$N$5,tabela_registros[TIPO],DADOS!$AB$3,tabela_registros[CATEGORIA],investirrendafixaconsolidadoout[[#This Row],[ATUAL]])</f>
        <v>0</v>
      </c>
      <c r="Z119" s="119" t="n">
        <f aca="false">SUMIFS(tabela_registros[VALOR],tabela_registros[MÊS],$AE$1,tabela_registros[DIA],investirrendafixaconsolidadoout[[#Headers],[22]],tabela_registros[REGISTRO],DADOS!$N$5,tabela_registros[TIPO],DADOS!$AB$3,tabela_registros[CATEGORIA],investirrendafixaconsolidadoout[[#This Row],[ATUAL]])</f>
        <v>0</v>
      </c>
      <c r="AA119" s="119" t="n">
        <f aca="false">SUMIFS(tabela_registros[VALOR],tabela_registros[MÊS],$AE$1,tabela_registros[DIA],investirrendafixaconsolidadoout[[#Headers],[23]],tabela_registros[REGISTRO],DADOS!$N$5,tabela_registros[TIPO],DADOS!$AB$3,tabela_registros[CATEGORIA],investirrendafixaconsolidadoout[[#This Row],[ATUAL]])</f>
        <v>0</v>
      </c>
      <c r="AB119" s="119" t="n">
        <f aca="false">SUMIFS(tabela_registros[VALOR],tabela_registros[MÊS],$AE$1,tabela_registros[DIA],investirrendafixaconsolidadoout[[#Headers],[24]],tabela_registros[REGISTRO],DADOS!$N$5,tabela_registros[TIPO],DADOS!$AB$3,tabela_registros[CATEGORIA],investirrendafixaconsolidadoout[[#This Row],[ATUAL]])</f>
        <v>0</v>
      </c>
      <c r="AC119" s="119" t="n">
        <f aca="false">SUMIFS(tabela_registros[VALOR],tabela_registros[MÊS],$AE$1,tabela_registros[DIA],investirrendafixaconsolidadoout[[#Headers],[25]],tabela_registros[REGISTRO],DADOS!$N$5,tabela_registros[TIPO],DADOS!$AB$3,tabela_registros[CATEGORIA],investirrendafixaconsolidadoout[[#This Row],[ATUAL]])</f>
        <v>0</v>
      </c>
      <c r="AD119" s="119" t="n">
        <f aca="false">SUMIFS(tabela_registros[VALOR],tabela_registros[MÊS],$AE$1,tabela_registros[DIA],investirrendafixaconsolidadoout[[#Headers],[26]],tabela_registros[REGISTRO],DADOS!$N$5,tabela_registros[TIPO],DADOS!$AB$3,tabela_registros[CATEGORIA],investirrendafixaconsolidadoout[[#This Row],[ATUAL]])</f>
        <v>0</v>
      </c>
      <c r="AE119" s="119" t="n">
        <f aca="false">SUMIFS(tabela_registros[VALOR],tabela_registros[MÊS],$AE$1,tabela_registros[DIA],investirrendafixaconsolidadoout[[#Headers],[27]],tabela_registros[REGISTRO],DADOS!$N$5,tabela_registros[TIPO],DADOS!$AB$3,tabela_registros[CATEGORIA],investirrendafixaconsolidadoout[[#This Row],[ATUAL]])</f>
        <v>0</v>
      </c>
      <c r="AF119" s="119" t="n">
        <f aca="false">SUMIFS(tabela_registros[VALOR],tabela_registros[MÊS],$AE$1,tabela_registros[DIA],investirrendafixaconsolidadoout[[#Headers],[28]],tabela_registros[REGISTRO],DADOS!$N$5,tabela_registros[TIPO],DADOS!$AB$3,tabela_registros[CATEGORIA],investirrendafixaconsolidadoout[[#This Row],[ATUAL]])</f>
        <v>0</v>
      </c>
      <c r="AG119" s="119" t="n">
        <f aca="false">SUMIFS(tabela_registros[VALOR],tabela_registros[MÊS],$AE$1,tabela_registros[DIA],investirrendafixaconsolidadoout[[#Headers],[29]],tabela_registros[REGISTRO],DADOS!$N$5,tabela_registros[TIPO],DADOS!$AB$3,tabela_registros[CATEGORIA],investirrendafixaconsolidadoout[[#This Row],[ATUAL]])</f>
        <v>0</v>
      </c>
      <c r="AH119" s="119" t="n">
        <f aca="false">SUMIFS(tabela_registros[VALOR],tabela_registros[MÊS],$AE$1,tabela_registros[DIA],investirrendafixaconsolidadoout[[#Headers],[30]],tabela_registros[REGISTRO],DADOS!$N$5,tabela_registros[TIPO],DADOS!$AB$3,tabela_registros[CATEGORIA],investirrendafixaconsolidadoout[[#This Row],[ATUAL]])</f>
        <v>0</v>
      </c>
      <c r="AI119" s="217" t="n">
        <f aca="false">SUMIFS(tabela_registros[VALOR],tabela_registros[MÊS],$AE$1,tabela_registros[DIA],investirrendafixaconsolidadoout[[#Headers],[31]],tabela_registros[REGISTRO],DADOS!$N$5,tabela_registros[TIPO],DADOS!$AB$3,tabela_registros[CATEGORIA],investirrendafixaconsolidadoout[[#This Row],[ATUAL]])</f>
        <v>0</v>
      </c>
      <c r="AJ119" s="149" t="n">
        <f aca="false">SUM(investirrendafixaconsolidadoout[[#This Row],[1]:[31]])</f>
        <v>0</v>
      </c>
      <c r="AK119" s="165"/>
    </row>
    <row r="120" customFormat="false" ht="19.5" hidden="false" customHeight="true" outlineLevel="0" collapsed="false">
      <c r="B120" s="143"/>
      <c r="C120" s="144" t="str">
        <f aca="false">DADOS!$AD$10</f>
        <v>📝 LCI</v>
      </c>
      <c r="D120" s="145" t="str">
        <f aca="false">IF(investirrendafixaconsolidadoout[[#This Row],[TOTAL (R$)]]=0,"",IF(OR(investirrendafixaconsolidadoout[[#This Row],[TOTAL (R$)]]=LARGE($AJ$113:$AJ$122,1),investirrendafixaconsolidadoout[[#This Row],[TOTAL (R$)]]=LARGE($AJ$113:$AJ$122,2)),DADOS!$I$10,""))</f>
        <v/>
      </c>
      <c r="E120" s="148" t="n">
        <f aca="false">SUMIFS(tabela_registros[VALOR],tabela_registros[MÊS],$AE$1,tabela_registros[DIA],investirrendafixaconsolidadoout[[#Headers],[1]],tabela_registros[REGISTRO],DADOS!$N$5,tabela_registros[TIPO],DADOS!$AB$3,tabela_registros[CATEGORIA],investirrendafixaconsolidadoout[[#This Row],[ATUAL]])</f>
        <v>0</v>
      </c>
      <c r="F120" s="119" t="n">
        <f aca="false">SUMIFS(tabela_registros[VALOR],tabela_registros[MÊS],$AE$1,tabela_registros[DIA],investirrendafixaconsolidadoout[[#Headers],[2]],tabela_registros[REGISTRO],DADOS!$N$5,tabela_registros[TIPO],DADOS!$AB$3,tabela_registros[CATEGORIA],investirrendafixaconsolidadoout[[#This Row],[ATUAL]])</f>
        <v>0</v>
      </c>
      <c r="G120" s="119" t="n">
        <f aca="false">SUMIFS(tabela_registros[VALOR],tabela_registros[MÊS],$AE$1,tabela_registros[DIA],investirrendafixaconsolidadoout[[#Headers],[3]],tabela_registros[REGISTRO],DADOS!$N$5,tabela_registros[TIPO],DADOS!$AB$3,tabela_registros[CATEGORIA],investirrendafixaconsolidadoout[[#This Row],[ATUAL]])</f>
        <v>0</v>
      </c>
      <c r="H120" s="119" t="n">
        <f aca="false">SUMIFS(tabela_registros[VALOR],tabela_registros[MÊS],$AE$1,tabela_registros[DIA],investirrendafixaconsolidadoout[[#Headers],[4]],tabela_registros[REGISTRO],DADOS!$N$5,tabela_registros[TIPO],DADOS!$AB$3,tabela_registros[CATEGORIA],investirrendafixaconsolidadoout[[#This Row],[ATUAL]])</f>
        <v>0</v>
      </c>
      <c r="I120" s="119" t="n">
        <f aca="false">SUMIFS(tabela_registros[VALOR],tabela_registros[MÊS],$AE$1,tabela_registros[DIA],investirrendafixaconsolidadoout[[#Headers],[5]],tabela_registros[REGISTRO],DADOS!$N$5,tabela_registros[TIPO],DADOS!$AB$3,tabela_registros[CATEGORIA],investirrendafixaconsolidadoout[[#This Row],[ATUAL]])</f>
        <v>0</v>
      </c>
      <c r="J120" s="119" t="n">
        <f aca="false">SUMIFS(tabela_registros[VALOR],tabela_registros[MÊS],$AE$1,tabela_registros[DIA],investirrendafixaconsolidadoout[[#Headers],[6]],tabela_registros[REGISTRO],DADOS!$N$5,tabela_registros[TIPO],DADOS!$AB$3,tabela_registros[CATEGORIA],investirrendafixaconsolidadoout[[#This Row],[ATUAL]])</f>
        <v>0</v>
      </c>
      <c r="K120" s="119" t="n">
        <f aca="false">SUMIFS(tabela_registros[VALOR],tabela_registros[MÊS],$AE$1,tabela_registros[DIA],investirrendafixaconsolidadoout[[#Headers],[7]],tabela_registros[REGISTRO],DADOS!$N$5,tabela_registros[TIPO],DADOS!$AB$3,tabela_registros[CATEGORIA],investirrendafixaconsolidadoout[[#This Row],[ATUAL]])</f>
        <v>0</v>
      </c>
      <c r="L120" s="119" t="n">
        <f aca="false">SUMIFS(tabela_registros[VALOR],tabela_registros[MÊS],$AE$1,tabela_registros[DIA],investirrendafixaconsolidadoout[[#Headers],[8]],tabela_registros[REGISTRO],DADOS!$N$5,tabela_registros[TIPO],DADOS!$AB$3,tabela_registros[CATEGORIA],investirrendafixaconsolidadoout[[#This Row],[ATUAL]])</f>
        <v>0</v>
      </c>
      <c r="M120" s="119" t="n">
        <f aca="false">SUMIFS(tabela_registros[VALOR],tabela_registros[MÊS],$AE$1,tabela_registros[DIA],investirrendafixaconsolidadoout[[#Headers],[9]],tabela_registros[REGISTRO],DADOS!$N$5,tabela_registros[TIPO],DADOS!$AB$3,tabela_registros[CATEGORIA],investirrendafixaconsolidadoout[[#This Row],[ATUAL]])</f>
        <v>0</v>
      </c>
      <c r="N120" s="119" t="n">
        <f aca="false">SUMIFS(tabela_registros[VALOR],tabela_registros[MÊS],$AE$1,tabela_registros[DIA],investirrendafixaconsolidadoout[[#Headers],[10]],tabela_registros[REGISTRO],DADOS!$N$5,tabela_registros[TIPO],DADOS!$AB$3,tabela_registros[CATEGORIA],investirrendafixaconsolidadoout[[#This Row],[ATUAL]])</f>
        <v>0</v>
      </c>
      <c r="O120" s="119" t="n">
        <f aca="false">SUMIFS(tabela_registros[VALOR],tabela_registros[MÊS],$AE$1,tabela_registros[DIA],investirrendafixaconsolidadoout[[#Headers],[11]],tabela_registros[REGISTRO],DADOS!$N$5,tabela_registros[TIPO],DADOS!$AB$3,tabela_registros[CATEGORIA],investirrendafixaconsolidadoout[[#This Row],[ATUAL]])</f>
        <v>0</v>
      </c>
      <c r="P120" s="119" t="n">
        <f aca="false">SUMIFS(tabela_registros[VALOR],tabela_registros[MÊS],$AE$1,tabela_registros[DIA],investirrendafixaconsolidadoout[[#Headers],[12]],tabela_registros[REGISTRO],DADOS!$N$5,tabela_registros[TIPO],DADOS!$AB$3,tabela_registros[CATEGORIA],investirrendafixaconsolidadoout[[#This Row],[ATUAL]])</f>
        <v>0</v>
      </c>
      <c r="Q120" s="119" t="n">
        <f aca="false">SUMIFS(tabela_registros[VALOR],tabela_registros[MÊS],$AE$1,tabela_registros[DIA],investirrendafixaconsolidadoout[[#Headers],[13]],tabela_registros[REGISTRO],DADOS!$N$5,tabela_registros[TIPO],DADOS!$AB$3,tabela_registros[CATEGORIA],investirrendafixaconsolidadoout[[#This Row],[ATUAL]])</f>
        <v>0</v>
      </c>
      <c r="R120" s="119" t="n">
        <f aca="false">SUMIFS(tabela_registros[VALOR],tabela_registros[MÊS],$AE$1,tabela_registros[DIA],investirrendafixaconsolidadoout[[#Headers],[14]],tabela_registros[REGISTRO],DADOS!$N$5,tabela_registros[TIPO],DADOS!$AB$3,tabela_registros[CATEGORIA],investirrendafixaconsolidadoout[[#This Row],[ATUAL]])</f>
        <v>0</v>
      </c>
      <c r="S120" s="119" t="n">
        <f aca="false">SUMIFS(tabela_registros[VALOR],tabela_registros[MÊS],$AE$1,tabela_registros[DIA],investirrendafixaconsolidadoout[[#Headers],[15]],tabela_registros[REGISTRO],DADOS!$N$5,tabela_registros[TIPO],DADOS!$AB$3,tabela_registros[CATEGORIA],investirrendafixaconsolidadoout[[#This Row],[ATUAL]])</f>
        <v>0</v>
      </c>
      <c r="T120" s="119" t="n">
        <f aca="false">SUMIFS(tabela_registros[VALOR],tabela_registros[MÊS],$AE$1,tabela_registros[DIA],investirrendafixaconsolidadoout[[#Headers],[16]],tabela_registros[REGISTRO],DADOS!$N$5,tabela_registros[TIPO],DADOS!$AB$3,tabela_registros[CATEGORIA],investirrendafixaconsolidadoout[[#This Row],[ATUAL]])</f>
        <v>0</v>
      </c>
      <c r="U120" s="119" t="n">
        <f aca="false">SUMIFS(tabela_registros[VALOR],tabela_registros[MÊS],$AE$1,tabela_registros[DIA],investirrendafixaconsolidadoout[[#Headers],[17]],tabela_registros[REGISTRO],DADOS!$N$5,tabela_registros[TIPO],DADOS!$AB$3,tabela_registros[CATEGORIA],investirrendafixaconsolidadoout[[#This Row],[ATUAL]])</f>
        <v>0</v>
      </c>
      <c r="V120" s="119" t="n">
        <f aca="false">SUMIFS(tabela_registros[VALOR],tabela_registros[MÊS],$AE$1,tabela_registros[DIA],investirrendafixaconsolidadoout[[#Headers],[18]],tabela_registros[REGISTRO],DADOS!$N$5,tabela_registros[TIPO],DADOS!$AB$3,tabela_registros[CATEGORIA],investirrendafixaconsolidadoout[[#This Row],[ATUAL]])</f>
        <v>0</v>
      </c>
      <c r="W120" s="119" t="n">
        <f aca="false">SUMIFS(tabela_registros[VALOR],tabela_registros[MÊS],$AE$1,tabela_registros[DIA],investirrendafixaconsolidadoout[[#Headers],[19]],tabela_registros[REGISTRO],DADOS!$N$5,tabela_registros[TIPO],DADOS!$AB$3,tabela_registros[CATEGORIA],investirrendafixaconsolidadoout[[#This Row],[ATUAL]])</f>
        <v>0</v>
      </c>
      <c r="X120" s="119" t="n">
        <f aca="false">SUMIFS(tabela_registros[VALOR],tabela_registros[MÊS],$AE$1,tabela_registros[DIA],investirrendafixaconsolidadoout[[#Headers],[20]],tabela_registros[REGISTRO],DADOS!$N$5,tabela_registros[TIPO],DADOS!$AB$3,tabela_registros[CATEGORIA],investirrendafixaconsolidadoout[[#This Row],[ATUAL]])</f>
        <v>0</v>
      </c>
      <c r="Y120" s="119" t="n">
        <f aca="false">SUMIFS(tabela_registros[VALOR],tabela_registros[MÊS],$AE$1,tabela_registros[DIA],investirrendafixaconsolidadoout[[#Headers],[21]],tabela_registros[REGISTRO],DADOS!$N$5,tabela_registros[TIPO],DADOS!$AB$3,tabela_registros[CATEGORIA],investirrendafixaconsolidadoout[[#This Row],[ATUAL]])</f>
        <v>0</v>
      </c>
      <c r="Z120" s="119" t="n">
        <f aca="false">SUMIFS(tabela_registros[VALOR],tabela_registros[MÊS],$AE$1,tabela_registros[DIA],investirrendafixaconsolidadoout[[#Headers],[22]],tabela_registros[REGISTRO],DADOS!$N$5,tabela_registros[TIPO],DADOS!$AB$3,tabela_registros[CATEGORIA],investirrendafixaconsolidadoout[[#This Row],[ATUAL]])</f>
        <v>0</v>
      </c>
      <c r="AA120" s="119" t="n">
        <f aca="false">SUMIFS(tabela_registros[VALOR],tabela_registros[MÊS],$AE$1,tabela_registros[DIA],investirrendafixaconsolidadoout[[#Headers],[23]],tabela_registros[REGISTRO],DADOS!$N$5,tabela_registros[TIPO],DADOS!$AB$3,tabela_registros[CATEGORIA],investirrendafixaconsolidadoout[[#This Row],[ATUAL]])</f>
        <v>0</v>
      </c>
      <c r="AB120" s="119" t="n">
        <f aca="false">SUMIFS(tabela_registros[VALOR],tabela_registros[MÊS],$AE$1,tabela_registros[DIA],investirrendafixaconsolidadoout[[#Headers],[24]],tabela_registros[REGISTRO],DADOS!$N$5,tabela_registros[TIPO],DADOS!$AB$3,tabela_registros[CATEGORIA],investirrendafixaconsolidadoout[[#This Row],[ATUAL]])</f>
        <v>0</v>
      </c>
      <c r="AC120" s="119" t="n">
        <f aca="false">SUMIFS(tabela_registros[VALOR],tabela_registros[MÊS],$AE$1,tabela_registros[DIA],investirrendafixaconsolidadoout[[#Headers],[25]],tabela_registros[REGISTRO],DADOS!$N$5,tabela_registros[TIPO],DADOS!$AB$3,tabela_registros[CATEGORIA],investirrendafixaconsolidadoout[[#This Row],[ATUAL]])</f>
        <v>0</v>
      </c>
      <c r="AD120" s="119" t="n">
        <f aca="false">SUMIFS(tabela_registros[VALOR],tabela_registros[MÊS],$AE$1,tabela_registros[DIA],investirrendafixaconsolidadoout[[#Headers],[26]],tabela_registros[REGISTRO],DADOS!$N$5,tabela_registros[TIPO],DADOS!$AB$3,tabela_registros[CATEGORIA],investirrendafixaconsolidadoout[[#This Row],[ATUAL]])</f>
        <v>0</v>
      </c>
      <c r="AE120" s="119" t="n">
        <f aca="false">SUMIFS(tabela_registros[VALOR],tabela_registros[MÊS],$AE$1,tabela_registros[DIA],investirrendafixaconsolidadoout[[#Headers],[27]],tabela_registros[REGISTRO],DADOS!$N$5,tabela_registros[TIPO],DADOS!$AB$3,tabela_registros[CATEGORIA],investirrendafixaconsolidadoout[[#This Row],[ATUAL]])</f>
        <v>0</v>
      </c>
      <c r="AF120" s="119" t="n">
        <f aca="false">SUMIFS(tabela_registros[VALOR],tabela_registros[MÊS],$AE$1,tabela_registros[DIA],investirrendafixaconsolidadoout[[#Headers],[28]],tabela_registros[REGISTRO],DADOS!$N$5,tabela_registros[TIPO],DADOS!$AB$3,tabela_registros[CATEGORIA],investirrendafixaconsolidadoout[[#This Row],[ATUAL]])</f>
        <v>0</v>
      </c>
      <c r="AG120" s="119" t="n">
        <f aca="false">SUMIFS(tabela_registros[VALOR],tabela_registros[MÊS],$AE$1,tabela_registros[DIA],investirrendafixaconsolidadoout[[#Headers],[29]],tabela_registros[REGISTRO],DADOS!$N$5,tabela_registros[TIPO],DADOS!$AB$3,tabela_registros[CATEGORIA],investirrendafixaconsolidadoout[[#This Row],[ATUAL]])</f>
        <v>0</v>
      </c>
      <c r="AH120" s="119" t="n">
        <f aca="false">SUMIFS(tabela_registros[VALOR],tabela_registros[MÊS],$AE$1,tabela_registros[DIA],investirrendafixaconsolidadoout[[#Headers],[30]],tabela_registros[REGISTRO],DADOS!$N$5,tabela_registros[TIPO],DADOS!$AB$3,tabela_registros[CATEGORIA],investirrendafixaconsolidadoout[[#This Row],[ATUAL]])</f>
        <v>0</v>
      </c>
      <c r="AI120" s="217" t="n">
        <f aca="false">SUMIFS(tabela_registros[VALOR],tabela_registros[MÊS],$AE$1,tabela_registros[DIA],investirrendafixaconsolidadoout[[#Headers],[31]],tabela_registros[REGISTRO],DADOS!$N$5,tabela_registros[TIPO],DADOS!$AB$3,tabela_registros[CATEGORIA],investirrendafixaconsolidadoout[[#This Row],[ATUAL]])</f>
        <v>0</v>
      </c>
      <c r="AJ120" s="149" t="n">
        <f aca="false">SUM(investirrendafixaconsolidadoout[[#This Row],[1]:[31]])</f>
        <v>0</v>
      </c>
      <c r="AK120" s="165"/>
    </row>
    <row r="121" customFormat="false" ht="19.5" hidden="false" customHeight="true" outlineLevel="0" collapsed="false">
      <c r="B121" s="143"/>
      <c r="C121" s="144" t="str">
        <f aca="false">DADOS!$AD$11</f>
        <v>📝 TESOURO DIRETO</v>
      </c>
      <c r="D121" s="145" t="str">
        <f aca="false">IF(investirrendafixaconsolidadoout[[#This Row],[TOTAL (R$)]]=0,"",IF(OR(investirrendafixaconsolidadoout[[#This Row],[TOTAL (R$)]]=LARGE($AJ$113:$AJ$122,1),investirrendafixaconsolidadoout[[#This Row],[TOTAL (R$)]]=LARGE($AJ$113:$AJ$122,2)),DADOS!$I$10,""))</f>
        <v/>
      </c>
      <c r="E121" s="148" t="n">
        <f aca="false">SUMIFS(tabela_registros[VALOR],tabela_registros[MÊS],$AE$1,tabela_registros[DIA],investirrendafixaconsolidadoout[[#Headers],[1]],tabela_registros[REGISTRO],DADOS!$N$5,tabela_registros[TIPO],DADOS!$AB$3,tabela_registros[CATEGORIA],investirrendafixaconsolidadoout[[#This Row],[ATUAL]])</f>
        <v>0</v>
      </c>
      <c r="F121" s="119" t="n">
        <f aca="false">SUMIFS(tabela_registros[VALOR],tabela_registros[MÊS],$AE$1,tabela_registros[DIA],investirrendafixaconsolidadoout[[#Headers],[2]],tabela_registros[REGISTRO],DADOS!$N$5,tabela_registros[TIPO],DADOS!$AB$3,tabela_registros[CATEGORIA],investirrendafixaconsolidadoout[[#This Row],[ATUAL]])</f>
        <v>0</v>
      </c>
      <c r="G121" s="119" t="n">
        <f aca="false">SUMIFS(tabela_registros[VALOR],tabela_registros[MÊS],$AE$1,tabela_registros[DIA],investirrendafixaconsolidadoout[[#Headers],[3]],tabela_registros[REGISTRO],DADOS!$N$5,tabela_registros[TIPO],DADOS!$AB$3,tabela_registros[CATEGORIA],investirrendafixaconsolidadoout[[#This Row],[ATUAL]])</f>
        <v>0</v>
      </c>
      <c r="H121" s="119" t="n">
        <f aca="false">SUMIFS(tabela_registros[VALOR],tabela_registros[MÊS],$AE$1,tabela_registros[DIA],investirrendafixaconsolidadoout[[#Headers],[4]],tabela_registros[REGISTRO],DADOS!$N$5,tabela_registros[TIPO],DADOS!$AB$3,tabela_registros[CATEGORIA],investirrendafixaconsolidadoout[[#This Row],[ATUAL]])</f>
        <v>0</v>
      </c>
      <c r="I121" s="119" t="n">
        <f aca="false">SUMIFS(tabela_registros[VALOR],tabela_registros[MÊS],$AE$1,tabela_registros[DIA],investirrendafixaconsolidadoout[[#Headers],[5]],tabela_registros[REGISTRO],DADOS!$N$5,tabela_registros[TIPO],DADOS!$AB$3,tabela_registros[CATEGORIA],investirrendafixaconsolidadoout[[#This Row],[ATUAL]])</f>
        <v>0</v>
      </c>
      <c r="J121" s="119" t="n">
        <f aca="false">SUMIFS(tabela_registros[VALOR],tabela_registros[MÊS],$AE$1,tabela_registros[DIA],investirrendafixaconsolidadoout[[#Headers],[6]],tabela_registros[REGISTRO],DADOS!$N$5,tabela_registros[TIPO],DADOS!$AB$3,tabela_registros[CATEGORIA],investirrendafixaconsolidadoout[[#This Row],[ATUAL]])</f>
        <v>0</v>
      </c>
      <c r="K121" s="119" t="n">
        <f aca="false">SUMIFS(tabela_registros[VALOR],tabela_registros[MÊS],$AE$1,tabela_registros[DIA],investirrendafixaconsolidadoout[[#Headers],[7]],tabela_registros[REGISTRO],DADOS!$N$5,tabela_registros[TIPO],DADOS!$AB$3,tabela_registros[CATEGORIA],investirrendafixaconsolidadoout[[#This Row],[ATUAL]])</f>
        <v>0</v>
      </c>
      <c r="L121" s="119" t="n">
        <f aca="false">SUMIFS(tabela_registros[VALOR],tabela_registros[MÊS],$AE$1,tabela_registros[DIA],investirrendafixaconsolidadoout[[#Headers],[8]],tabela_registros[REGISTRO],DADOS!$N$5,tabela_registros[TIPO],DADOS!$AB$3,tabela_registros[CATEGORIA],investirrendafixaconsolidadoout[[#This Row],[ATUAL]])</f>
        <v>0</v>
      </c>
      <c r="M121" s="119" t="n">
        <f aca="false">SUMIFS(tabela_registros[VALOR],tabela_registros[MÊS],$AE$1,tabela_registros[DIA],investirrendafixaconsolidadoout[[#Headers],[9]],tabela_registros[REGISTRO],DADOS!$N$5,tabela_registros[TIPO],DADOS!$AB$3,tabela_registros[CATEGORIA],investirrendafixaconsolidadoout[[#This Row],[ATUAL]])</f>
        <v>0</v>
      </c>
      <c r="N121" s="119" t="n">
        <f aca="false">SUMIFS(tabela_registros[VALOR],tabela_registros[MÊS],$AE$1,tabela_registros[DIA],investirrendafixaconsolidadoout[[#Headers],[10]],tabela_registros[REGISTRO],DADOS!$N$5,tabela_registros[TIPO],DADOS!$AB$3,tabela_registros[CATEGORIA],investirrendafixaconsolidadoout[[#This Row],[ATUAL]])</f>
        <v>0</v>
      </c>
      <c r="O121" s="119" t="n">
        <f aca="false">SUMIFS(tabela_registros[VALOR],tabela_registros[MÊS],$AE$1,tabela_registros[DIA],investirrendafixaconsolidadoout[[#Headers],[11]],tabela_registros[REGISTRO],DADOS!$N$5,tabela_registros[TIPO],DADOS!$AB$3,tabela_registros[CATEGORIA],investirrendafixaconsolidadoout[[#This Row],[ATUAL]])</f>
        <v>0</v>
      </c>
      <c r="P121" s="119" t="n">
        <f aca="false">SUMIFS(tabela_registros[VALOR],tabela_registros[MÊS],$AE$1,tabela_registros[DIA],investirrendafixaconsolidadoout[[#Headers],[12]],tabela_registros[REGISTRO],DADOS!$N$5,tabela_registros[TIPO],DADOS!$AB$3,tabela_registros[CATEGORIA],investirrendafixaconsolidadoout[[#This Row],[ATUAL]])</f>
        <v>0</v>
      </c>
      <c r="Q121" s="119" t="n">
        <f aca="false">SUMIFS(tabela_registros[VALOR],tabela_registros[MÊS],$AE$1,tabela_registros[DIA],investirrendafixaconsolidadoout[[#Headers],[13]],tabela_registros[REGISTRO],DADOS!$N$5,tabela_registros[TIPO],DADOS!$AB$3,tabela_registros[CATEGORIA],investirrendafixaconsolidadoout[[#This Row],[ATUAL]])</f>
        <v>0</v>
      </c>
      <c r="R121" s="119" t="n">
        <f aca="false">SUMIFS(tabela_registros[VALOR],tabela_registros[MÊS],$AE$1,tabela_registros[DIA],investirrendafixaconsolidadoout[[#Headers],[14]],tabela_registros[REGISTRO],DADOS!$N$5,tabela_registros[TIPO],DADOS!$AB$3,tabela_registros[CATEGORIA],investirrendafixaconsolidadoout[[#This Row],[ATUAL]])</f>
        <v>0</v>
      </c>
      <c r="S121" s="119" t="n">
        <f aca="false">SUMIFS(tabela_registros[VALOR],tabela_registros[MÊS],$AE$1,tabela_registros[DIA],investirrendafixaconsolidadoout[[#Headers],[15]],tabela_registros[REGISTRO],DADOS!$N$5,tabela_registros[TIPO],DADOS!$AB$3,tabela_registros[CATEGORIA],investirrendafixaconsolidadoout[[#This Row],[ATUAL]])</f>
        <v>0</v>
      </c>
      <c r="T121" s="119" t="n">
        <f aca="false">SUMIFS(tabela_registros[VALOR],tabela_registros[MÊS],$AE$1,tabela_registros[DIA],investirrendafixaconsolidadoout[[#Headers],[16]],tabela_registros[REGISTRO],DADOS!$N$5,tabela_registros[TIPO],DADOS!$AB$3,tabela_registros[CATEGORIA],investirrendafixaconsolidadoout[[#This Row],[ATUAL]])</f>
        <v>0</v>
      </c>
      <c r="U121" s="119" t="n">
        <f aca="false">SUMIFS(tabela_registros[VALOR],tabela_registros[MÊS],$AE$1,tabela_registros[DIA],investirrendafixaconsolidadoout[[#Headers],[17]],tabela_registros[REGISTRO],DADOS!$N$5,tabela_registros[TIPO],DADOS!$AB$3,tabela_registros[CATEGORIA],investirrendafixaconsolidadoout[[#This Row],[ATUAL]])</f>
        <v>0</v>
      </c>
      <c r="V121" s="119" t="n">
        <f aca="false">SUMIFS(tabela_registros[VALOR],tabela_registros[MÊS],$AE$1,tabela_registros[DIA],investirrendafixaconsolidadoout[[#Headers],[18]],tabela_registros[REGISTRO],DADOS!$N$5,tabela_registros[TIPO],DADOS!$AB$3,tabela_registros[CATEGORIA],investirrendafixaconsolidadoout[[#This Row],[ATUAL]])</f>
        <v>0</v>
      </c>
      <c r="W121" s="119" t="n">
        <f aca="false">SUMIFS(tabela_registros[VALOR],tabela_registros[MÊS],$AE$1,tabela_registros[DIA],investirrendafixaconsolidadoout[[#Headers],[19]],tabela_registros[REGISTRO],DADOS!$N$5,tabela_registros[TIPO],DADOS!$AB$3,tabela_registros[CATEGORIA],investirrendafixaconsolidadoout[[#This Row],[ATUAL]])</f>
        <v>0</v>
      </c>
      <c r="X121" s="119" t="n">
        <f aca="false">SUMIFS(tabela_registros[VALOR],tabela_registros[MÊS],$AE$1,tabela_registros[DIA],investirrendafixaconsolidadoout[[#Headers],[20]],tabela_registros[REGISTRO],DADOS!$N$5,tabela_registros[TIPO],DADOS!$AB$3,tabela_registros[CATEGORIA],investirrendafixaconsolidadoout[[#This Row],[ATUAL]])</f>
        <v>0</v>
      </c>
      <c r="Y121" s="119" t="n">
        <f aca="false">SUMIFS(tabela_registros[VALOR],tabela_registros[MÊS],$AE$1,tabela_registros[DIA],investirrendafixaconsolidadoout[[#Headers],[21]],tabela_registros[REGISTRO],DADOS!$N$5,tabela_registros[TIPO],DADOS!$AB$3,tabela_registros[CATEGORIA],investirrendafixaconsolidadoout[[#This Row],[ATUAL]])</f>
        <v>0</v>
      </c>
      <c r="Z121" s="119" t="n">
        <f aca="false">SUMIFS(tabela_registros[VALOR],tabela_registros[MÊS],$AE$1,tabela_registros[DIA],investirrendafixaconsolidadoout[[#Headers],[22]],tabela_registros[REGISTRO],DADOS!$N$5,tabela_registros[TIPO],DADOS!$AB$3,tabela_registros[CATEGORIA],investirrendafixaconsolidadoout[[#This Row],[ATUAL]])</f>
        <v>0</v>
      </c>
      <c r="AA121" s="119" t="n">
        <f aca="false">SUMIFS(tabela_registros[VALOR],tabela_registros[MÊS],$AE$1,tabela_registros[DIA],investirrendafixaconsolidadoout[[#Headers],[23]],tabela_registros[REGISTRO],DADOS!$N$5,tabela_registros[TIPO],DADOS!$AB$3,tabela_registros[CATEGORIA],investirrendafixaconsolidadoout[[#This Row],[ATUAL]])</f>
        <v>0</v>
      </c>
      <c r="AB121" s="119" t="n">
        <f aca="false">SUMIFS(tabela_registros[VALOR],tabela_registros[MÊS],$AE$1,tabela_registros[DIA],investirrendafixaconsolidadoout[[#Headers],[24]],tabela_registros[REGISTRO],DADOS!$N$5,tabela_registros[TIPO],DADOS!$AB$3,tabela_registros[CATEGORIA],investirrendafixaconsolidadoout[[#This Row],[ATUAL]])</f>
        <v>0</v>
      </c>
      <c r="AC121" s="119" t="n">
        <f aca="false">SUMIFS(tabela_registros[VALOR],tabela_registros[MÊS],$AE$1,tabela_registros[DIA],investirrendafixaconsolidadoout[[#Headers],[25]],tabela_registros[REGISTRO],DADOS!$N$5,tabela_registros[TIPO],DADOS!$AB$3,tabela_registros[CATEGORIA],investirrendafixaconsolidadoout[[#This Row],[ATUAL]])</f>
        <v>0</v>
      </c>
      <c r="AD121" s="119" t="n">
        <f aca="false">SUMIFS(tabela_registros[VALOR],tabela_registros[MÊS],$AE$1,tabela_registros[DIA],investirrendafixaconsolidadoout[[#Headers],[26]],tabela_registros[REGISTRO],DADOS!$N$5,tabela_registros[TIPO],DADOS!$AB$3,tabela_registros[CATEGORIA],investirrendafixaconsolidadoout[[#This Row],[ATUAL]])</f>
        <v>0</v>
      </c>
      <c r="AE121" s="119" t="n">
        <f aca="false">SUMIFS(tabela_registros[VALOR],tabela_registros[MÊS],$AE$1,tabela_registros[DIA],investirrendafixaconsolidadoout[[#Headers],[27]],tabela_registros[REGISTRO],DADOS!$N$5,tabela_registros[TIPO],DADOS!$AB$3,tabela_registros[CATEGORIA],investirrendafixaconsolidadoout[[#This Row],[ATUAL]])</f>
        <v>0</v>
      </c>
      <c r="AF121" s="119" t="n">
        <f aca="false">SUMIFS(tabela_registros[VALOR],tabela_registros[MÊS],$AE$1,tabela_registros[DIA],investirrendafixaconsolidadoout[[#Headers],[28]],tabela_registros[REGISTRO],DADOS!$N$5,tabela_registros[TIPO],DADOS!$AB$3,tabela_registros[CATEGORIA],investirrendafixaconsolidadoout[[#This Row],[ATUAL]])</f>
        <v>0</v>
      </c>
      <c r="AG121" s="119" t="n">
        <f aca="false">SUMIFS(tabela_registros[VALOR],tabela_registros[MÊS],$AE$1,tabela_registros[DIA],investirrendafixaconsolidadoout[[#Headers],[29]],tabela_registros[REGISTRO],DADOS!$N$5,tabela_registros[TIPO],DADOS!$AB$3,tabela_registros[CATEGORIA],investirrendafixaconsolidadoout[[#This Row],[ATUAL]])</f>
        <v>0</v>
      </c>
      <c r="AH121" s="119" t="n">
        <f aca="false">SUMIFS(tabela_registros[VALOR],tabela_registros[MÊS],$AE$1,tabela_registros[DIA],investirrendafixaconsolidadoout[[#Headers],[30]],tabela_registros[REGISTRO],DADOS!$N$5,tabela_registros[TIPO],DADOS!$AB$3,tabela_registros[CATEGORIA],investirrendafixaconsolidadoout[[#This Row],[ATUAL]])</f>
        <v>0</v>
      </c>
      <c r="AI121" s="217" t="n">
        <f aca="false">SUMIFS(tabela_registros[VALOR],tabela_registros[MÊS],$AE$1,tabela_registros[DIA],investirrendafixaconsolidadoout[[#Headers],[31]],tabela_registros[REGISTRO],DADOS!$N$5,tabela_registros[TIPO],DADOS!$AB$3,tabela_registros[CATEGORIA],investirrendafixaconsolidadoout[[#This Row],[ATUAL]])</f>
        <v>0</v>
      </c>
      <c r="AJ121" s="149" t="n">
        <f aca="false">SUM(investirrendafixaconsolidadoout[[#This Row],[1]:[31]])</f>
        <v>0</v>
      </c>
      <c r="AK121" s="165"/>
    </row>
    <row r="122" customFormat="false" ht="19.5" hidden="false" customHeight="true" outlineLevel="0" collapsed="false">
      <c r="B122" s="143"/>
      <c r="C122" s="144" t="str">
        <f aca="false">DADOS!$AD$12</f>
        <v>📎 OUTROS</v>
      </c>
      <c r="D122" s="145" t="str">
        <f aca="false">IF(investirrendafixaconsolidadoout[[#This Row],[TOTAL (R$)]]=0,"",IF(OR(investirrendafixaconsolidadoout[[#This Row],[TOTAL (R$)]]=LARGE($AJ$113:$AJ$122,1),investirrendafixaconsolidadoout[[#This Row],[TOTAL (R$)]]=LARGE($AJ$113:$AJ$122,2)),DADOS!$I$10,""))</f>
        <v/>
      </c>
      <c r="E122" s="148" t="n">
        <f aca="false">SUMIFS(tabela_registros[VALOR],tabela_registros[MÊS],$AE$1,tabela_registros[DIA],investirrendafixaconsolidadoout[[#Headers],[1]],tabela_registros[REGISTRO],DADOS!$N$5,tabela_registros[TIPO],DADOS!$AB$3,tabela_registros[CATEGORIA],investirrendafixaconsolidadoout[[#This Row],[ATUAL]])</f>
        <v>0</v>
      </c>
      <c r="F122" s="119" t="n">
        <f aca="false">SUMIFS(tabela_registros[VALOR],tabela_registros[MÊS],$AE$1,tabela_registros[DIA],investirrendafixaconsolidadoout[[#Headers],[2]],tabela_registros[REGISTRO],DADOS!$N$5,tabela_registros[TIPO],DADOS!$AB$3,tabela_registros[CATEGORIA],investirrendafixaconsolidadoout[[#This Row],[ATUAL]])</f>
        <v>0</v>
      </c>
      <c r="G122" s="119" t="n">
        <f aca="false">SUMIFS(tabela_registros[VALOR],tabela_registros[MÊS],$AE$1,tabela_registros[DIA],investirrendafixaconsolidadoout[[#Headers],[3]],tabela_registros[REGISTRO],DADOS!$N$5,tabela_registros[TIPO],DADOS!$AB$3,tabela_registros[CATEGORIA],investirrendafixaconsolidadoout[[#This Row],[ATUAL]])</f>
        <v>0</v>
      </c>
      <c r="H122" s="119" t="n">
        <f aca="false">SUMIFS(tabela_registros[VALOR],tabela_registros[MÊS],$AE$1,tabela_registros[DIA],investirrendafixaconsolidadoout[[#Headers],[4]],tabela_registros[REGISTRO],DADOS!$N$5,tabela_registros[TIPO],DADOS!$AB$3,tabela_registros[CATEGORIA],investirrendafixaconsolidadoout[[#This Row],[ATUAL]])</f>
        <v>0</v>
      </c>
      <c r="I122" s="119" t="n">
        <f aca="false">SUMIFS(tabela_registros[VALOR],tabela_registros[MÊS],$AE$1,tabela_registros[DIA],investirrendafixaconsolidadoout[[#Headers],[5]],tabela_registros[REGISTRO],DADOS!$N$5,tabela_registros[TIPO],DADOS!$AB$3,tabela_registros[CATEGORIA],investirrendafixaconsolidadoout[[#This Row],[ATUAL]])</f>
        <v>0</v>
      </c>
      <c r="J122" s="119" t="n">
        <f aca="false">SUMIFS(tabela_registros[VALOR],tabela_registros[MÊS],$AE$1,tabela_registros[DIA],investirrendafixaconsolidadoout[[#Headers],[6]],tabela_registros[REGISTRO],DADOS!$N$5,tabela_registros[TIPO],DADOS!$AB$3,tabela_registros[CATEGORIA],investirrendafixaconsolidadoout[[#This Row],[ATUAL]])</f>
        <v>0</v>
      </c>
      <c r="K122" s="119" t="n">
        <f aca="false">SUMIFS(tabela_registros[VALOR],tabela_registros[MÊS],$AE$1,tabela_registros[DIA],investirrendafixaconsolidadoout[[#Headers],[7]],tabela_registros[REGISTRO],DADOS!$N$5,tabela_registros[TIPO],DADOS!$AB$3,tabela_registros[CATEGORIA],investirrendafixaconsolidadoout[[#This Row],[ATUAL]])</f>
        <v>0</v>
      </c>
      <c r="L122" s="119" t="n">
        <f aca="false">SUMIFS(tabela_registros[VALOR],tabela_registros[MÊS],$AE$1,tabela_registros[DIA],investirrendafixaconsolidadoout[[#Headers],[8]],tabela_registros[REGISTRO],DADOS!$N$5,tabela_registros[TIPO],DADOS!$AB$3,tabela_registros[CATEGORIA],investirrendafixaconsolidadoout[[#This Row],[ATUAL]])</f>
        <v>0</v>
      </c>
      <c r="M122" s="119" t="n">
        <f aca="false">SUMIFS(tabela_registros[VALOR],tabela_registros[MÊS],$AE$1,tabela_registros[DIA],investirrendafixaconsolidadoout[[#Headers],[9]],tabela_registros[REGISTRO],DADOS!$N$5,tabela_registros[TIPO],DADOS!$AB$3,tabela_registros[CATEGORIA],investirrendafixaconsolidadoout[[#This Row],[ATUAL]])</f>
        <v>0</v>
      </c>
      <c r="N122" s="119" t="n">
        <f aca="false">SUMIFS(tabela_registros[VALOR],tabela_registros[MÊS],$AE$1,tabela_registros[DIA],investirrendafixaconsolidadoout[[#Headers],[10]],tabela_registros[REGISTRO],DADOS!$N$5,tabela_registros[TIPO],DADOS!$AB$3,tabela_registros[CATEGORIA],investirrendafixaconsolidadoout[[#This Row],[ATUAL]])</f>
        <v>0</v>
      </c>
      <c r="O122" s="119" t="n">
        <f aca="false">SUMIFS(tabela_registros[VALOR],tabela_registros[MÊS],$AE$1,tabela_registros[DIA],investirrendafixaconsolidadoout[[#Headers],[11]],tabela_registros[REGISTRO],DADOS!$N$5,tabela_registros[TIPO],DADOS!$AB$3,tabela_registros[CATEGORIA],investirrendafixaconsolidadoout[[#This Row],[ATUAL]])</f>
        <v>0</v>
      </c>
      <c r="P122" s="119" t="n">
        <f aca="false">SUMIFS(tabela_registros[VALOR],tabela_registros[MÊS],$AE$1,tabela_registros[DIA],investirrendafixaconsolidadoout[[#Headers],[12]],tabela_registros[REGISTRO],DADOS!$N$5,tabela_registros[TIPO],DADOS!$AB$3,tabela_registros[CATEGORIA],investirrendafixaconsolidadoout[[#This Row],[ATUAL]])</f>
        <v>0</v>
      </c>
      <c r="Q122" s="119" t="n">
        <f aca="false">SUMIFS(tabela_registros[VALOR],tabela_registros[MÊS],$AE$1,tabela_registros[DIA],investirrendafixaconsolidadoout[[#Headers],[13]],tabela_registros[REGISTRO],DADOS!$N$5,tabela_registros[TIPO],DADOS!$AB$3,tabela_registros[CATEGORIA],investirrendafixaconsolidadoout[[#This Row],[ATUAL]])</f>
        <v>0</v>
      </c>
      <c r="R122" s="119" t="n">
        <f aca="false">SUMIFS(tabela_registros[VALOR],tabela_registros[MÊS],$AE$1,tabela_registros[DIA],investirrendafixaconsolidadoout[[#Headers],[14]],tabela_registros[REGISTRO],DADOS!$N$5,tabela_registros[TIPO],DADOS!$AB$3,tabela_registros[CATEGORIA],investirrendafixaconsolidadoout[[#This Row],[ATUAL]])</f>
        <v>0</v>
      </c>
      <c r="S122" s="119" t="n">
        <f aca="false">SUMIFS(tabela_registros[VALOR],tabela_registros[MÊS],$AE$1,tabela_registros[DIA],investirrendafixaconsolidadoout[[#Headers],[15]],tabela_registros[REGISTRO],DADOS!$N$5,tabela_registros[TIPO],DADOS!$AB$3,tabela_registros[CATEGORIA],investirrendafixaconsolidadoout[[#This Row],[ATUAL]])</f>
        <v>0</v>
      </c>
      <c r="T122" s="119" t="n">
        <f aca="false">SUMIFS(tabela_registros[VALOR],tabela_registros[MÊS],$AE$1,tabela_registros[DIA],investirrendafixaconsolidadoout[[#Headers],[16]],tabela_registros[REGISTRO],DADOS!$N$5,tabela_registros[TIPO],DADOS!$AB$3,tabela_registros[CATEGORIA],investirrendafixaconsolidadoout[[#This Row],[ATUAL]])</f>
        <v>0</v>
      </c>
      <c r="U122" s="119" t="n">
        <f aca="false">SUMIFS(tabela_registros[VALOR],tabela_registros[MÊS],$AE$1,tabela_registros[DIA],investirrendafixaconsolidadoout[[#Headers],[17]],tabela_registros[REGISTRO],DADOS!$N$5,tabela_registros[TIPO],DADOS!$AB$3,tabela_registros[CATEGORIA],investirrendafixaconsolidadoout[[#This Row],[ATUAL]])</f>
        <v>0</v>
      </c>
      <c r="V122" s="119" t="n">
        <f aca="false">SUMIFS(tabela_registros[VALOR],tabela_registros[MÊS],$AE$1,tabela_registros[DIA],investirrendafixaconsolidadoout[[#Headers],[18]],tabela_registros[REGISTRO],DADOS!$N$5,tabela_registros[TIPO],DADOS!$AB$3,tabela_registros[CATEGORIA],investirrendafixaconsolidadoout[[#This Row],[ATUAL]])</f>
        <v>0</v>
      </c>
      <c r="W122" s="119" t="n">
        <f aca="false">SUMIFS(tabela_registros[VALOR],tabela_registros[MÊS],$AE$1,tabela_registros[DIA],investirrendafixaconsolidadoout[[#Headers],[19]],tabela_registros[REGISTRO],DADOS!$N$5,tabela_registros[TIPO],DADOS!$AB$3,tabela_registros[CATEGORIA],investirrendafixaconsolidadoout[[#This Row],[ATUAL]])</f>
        <v>0</v>
      </c>
      <c r="X122" s="119" t="n">
        <f aca="false">SUMIFS(tabela_registros[VALOR],tabela_registros[MÊS],$AE$1,tabela_registros[DIA],investirrendafixaconsolidadoout[[#Headers],[20]],tabela_registros[REGISTRO],DADOS!$N$5,tabela_registros[TIPO],DADOS!$AB$3,tabela_registros[CATEGORIA],investirrendafixaconsolidadoout[[#This Row],[ATUAL]])</f>
        <v>0</v>
      </c>
      <c r="Y122" s="119" t="n">
        <f aca="false">SUMIFS(tabela_registros[VALOR],tabela_registros[MÊS],$AE$1,tabela_registros[DIA],investirrendafixaconsolidadoout[[#Headers],[21]],tabela_registros[REGISTRO],DADOS!$N$5,tabela_registros[TIPO],DADOS!$AB$3,tabela_registros[CATEGORIA],investirrendafixaconsolidadoout[[#This Row],[ATUAL]])</f>
        <v>0</v>
      </c>
      <c r="Z122" s="119" t="n">
        <f aca="false">SUMIFS(tabela_registros[VALOR],tabela_registros[MÊS],$AE$1,tabela_registros[DIA],investirrendafixaconsolidadoout[[#Headers],[22]],tabela_registros[REGISTRO],DADOS!$N$5,tabela_registros[TIPO],DADOS!$AB$3,tabela_registros[CATEGORIA],investirrendafixaconsolidadoout[[#This Row],[ATUAL]])</f>
        <v>0</v>
      </c>
      <c r="AA122" s="119" t="n">
        <f aca="false">SUMIFS(tabela_registros[VALOR],tabela_registros[MÊS],$AE$1,tabela_registros[DIA],investirrendafixaconsolidadoout[[#Headers],[23]],tabela_registros[REGISTRO],DADOS!$N$5,tabela_registros[TIPO],DADOS!$AB$3,tabela_registros[CATEGORIA],investirrendafixaconsolidadoout[[#This Row],[ATUAL]])</f>
        <v>0</v>
      </c>
      <c r="AB122" s="119" t="n">
        <f aca="false">SUMIFS(tabela_registros[VALOR],tabela_registros[MÊS],$AE$1,tabela_registros[DIA],investirrendafixaconsolidadoout[[#Headers],[24]],tabela_registros[REGISTRO],DADOS!$N$5,tabela_registros[TIPO],DADOS!$AB$3,tabela_registros[CATEGORIA],investirrendafixaconsolidadoout[[#This Row],[ATUAL]])</f>
        <v>0</v>
      </c>
      <c r="AC122" s="119" t="n">
        <f aca="false">SUMIFS(tabela_registros[VALOR],tabela_registros[MÊS],$AE$1,tabela_registros[DIA],investirrendafixaconsolidadoout[[#Headers],[25]],tabela_registros[REGISTRO],DADOS!$N$5,tabela_registros[TIPO],DADOS!$AB$3,tabela_registros[CATEGORIA],investirrendafixaconsolidadoout[[#This Row],[ATUAL]])</f>
        <v>0</v>
      </c>
      <c r="AD122" s="119" t="n">
        <f aca="false">SUMIFS(tabela_registros[VALOR],tabela_registros[MÊS],$AE$1,tabela_registros[DIA],investirrendafixaconsolidadoout[[#Headers],[26]],tabela_registros[REGISTRO],DADOS!$N$5,tabela_registros[TIPO],DADOS!$AB$3,tabela_registros[CATEGORIA],investirrendafixaconsolidadoout[[#This Row],[ATUAL]])</f>
        <v>0</v>
      </c>
      <c r="AE122" s="119" t="n">
        <f aca="false">SUMIFS(tabela_registros[VALOR],tabela_registros[MÊS],$AE$1,tabela_registros[DIA],investirrendafixaconsolidadoout[[#Headers],[27]],tabela_registros[REGISTRO],DADOS!$N$5,tabela_registros[TIPO],DADOS!$AB$3,tabela_registros[CATEGORIA],investirrendafixaconsolidadoout[[#This Row],[ATUAL]])</f>
        <v>0</v>
      </c>
      <c r="AF122" s="119" t="n">
        <f aca="false">SUMIFS(tabela_registros[VALOR],tabela_registros[MÊS],$AE$1,tabela_registros[DIA],investirrendafixaconsolidadoout[[#Headers],[28]],tabela_registros[REGISTRO],DADOS!$N$5,tabela_registros[TIPO],DADOS!$AB$3,tabela_registros[CATEGORIA],investirrendafixaconsolidadoout[[#This Row],[ATUAL]])</f>
        <v>0</v>
      </c>
      <c r="AG122" s="119" t="n">
        <f aca="false">SUMIFS(tabela_registros[VALOR],tabela_registros[MÊS],$AE$1,tabela_registros[DIA],investirrendafixaconsolidadoout[[#Headers],[29]],tabela_registros[REGISTRO],DADOS!$N$5,tabela_registros[TIPO],DADOS!$AB$3,tabela_registros[CATEGORIA],investirrendafixaconsolidadoout[[#This Row],[ATUAL]])</f>
        <v>0</v>
      </c>
      <c r="AH122" s="119" t="n">
        <f aca="false">SUMIFS(tabela_registros[VALOR],tabela_registros[MÊS],$AE$1,tabela_registros[DIA],investirrendafixaconsolidadoout[[#Headers],[30]],tabela_registros[REGISTRO],DADOS!$N$5,tabela_registros[TIPO],DADOS!$AB$3,tabela_registros[CATEGORIA],investirrendafixaconsolidadoout[[#This Row],[ATUAL]])</f>
        <v>0</v>
      </c>
      <c r="AI122" s="218" t="n">
        <f aca="false">SUMIFS(tabela_registros[VALOR],tabela_registros[MÊS],$AE$1,tabela_registros[DIA],investirrendafixaconsolidadoout[[#Headers],[31]],tabela_registros[REGISTRO],DADOS!$N$5,tabela_registros[TIPO],DADOS!$AB$3,tabela_registros[CATEGORIA],investirrendafixaconsolidadoout[[#This Row],[ATUAL]])</f>
        <v>0</v>
      </c>
      <c r="AJ122" s="219" t="n">
        <f aca="false">SUM(investirrendafixaconsolidadoout[[#This Row],[1]:[31]])</f>
        <v>0</v>
      </c>
      <c r="AK122" s="165"/>
    </row>
    <row r="123" s="122" customFormat="true" ht="21" hidden="false" customHeight="true" outlineLevel="0" collapsed="false">
      <c r="B123" s="152"/>
      <c r="C123" s="153" t="s">
        <v>2</v>
      </c>
      <c r="D123" s="166"/>
      <c r="E123" s="155" t="n">
        <f aca="false">SUM(E113:E122)</f>
        <v>0</v>
      </c>
      <c r="F123" s="156" t="n">
        <f aca="false">SUM(F113:F122)+investirrendafixaconsolidadoout[[#This Row],[1]]</f>
        <v>0</v>
      </c>
      <c r="G123" s="156" t="n">
        <f aca="false">SUM(G113:G122)+investirrendafixaconsolidadoout[[#This Row],[2]]</f>
        <v>0</v>
      </c>
      <c r="H123" s="156" t="n">
        <f aca="false">SUM(H113:H122)+investirrendafixaconsolidadoout[[#This Row],[3]]</f>
        <v>0</v>
      </c>
      <c r="I123" s="156" t="n">
        <f aca="false">SUM(I113:I122)+investirrendafixaconsolidadoout[[#This Row],[4]]</f>
        <v>0</v>
      </c>
      <c r="J123" s="156" t="n">
        <f aca="false">SUM(J113:J122)+investirrendafixaconsolidadoout[[#This Row],[5]]</f>
        <v>0</v>
      </c>
      <c r="K123" s="156" t="n">
        <f aca="false">SUM(K113:K122)+investirrendafixaconsolidadoout[[#This Row],[6]]</f>
        <v>0</v>
      </c>
      <c r="L123" s="156" t="n">
        <f aca="false">SUM(L113:L122)+investirrendafixaconsolidadoout[[#This Row],[7]]</f>
        <v>0</v>
      </c>
      <c r="M123" s="156" t="n">
        <f aca="false">SUM(M113:M122)+investirrendafixaconsolidadoout[[#This Row],[8]]</f>
        <v>0</v>
      </c>
      <c r="N123" s="156" t="n">
        <f aca="false">SUM(N113:N122)+investirrendafixaconsolidadoout[[#This Row],[9]]</f>
        <v>0</v>
      </c>
      <c r="O123" s="156" t="n">
        <f aca="false">SUM(O113:O122)+investirrendafixaconsolidadoout[[#This Row],[10]]</f>
        <v>0</v>
      </c>
      <c r="P123" s="156" t="n">
        <f aca="false">SUM(P113:P122)+investirrendafixaconsolidadoout[[#This Row],[11]]</f>
        <v>0</v>
      </c>
      <c r="Q123" s="156" t="n">
        <f aca="false">SUM(Q113:Q122)+investirrendafixaconsolidadoout[[#This Row],[12]]</f>
        <v>0</v>
      </c>
      <c r="R123" s="156" t="n">
        <f aca="false">SUM(R113:R122)+investirrendafixaconsolidadoout[[#This Row],[13]]</f>
        <v>0</v>
      </c>
      <c r="S123" s="156" t="n">
        <f aca="false">SUM(S113:S122)+investirrendafixaconsolidadoout[[#This Row],[14]]</f>
        <v>0</v>
      </c>
      <c r="T123" s="156" t="n">
        <f aca="false">SUM(T113:T122)+investirrendafixaconsolidadoout[[#This Row],[15]]</f>
        <v>0</v>
      </c>
      <c r="U123" s="156" t="n">
        <f aca="false">SUM(U113:U122)+investirrendafixaconsolidadoout[[#This Row],[16]]</f>
        <v>0</v>
      </c>
      <c r="V123" s="156" t="n">
        <f aca="false">SUM(V113:V122)+investirrendafixaconsolidadoout[[#This Row],[17]]</f>
        <v>0</v>
      </c>
      <c r="W123" s="156" t="n">
        <f aca="false">SUM(W113:W122)+investirrendafixaconsolidadoout[[#This Row],[18]]</f>
        <v>0</v>
      </c>
      <c r="X123" s="156" t="n">
        <f aca="false">SUM(X113:X122)+investirrendafixaconsolidadoout[[#This Row],[19]]</f>
        <v>0</v>
      </c>
      <c r="Y123" s="156" t="n">
        <f aca="false">SUM(Y113:Y122)+investirrendafixaconsolidadoout[[#This Row],[20]]</f>
        <v>0</v>
      </c>
      <c r="Z123" s="156" t="n">
        <f aca="false">SUM(Z113:Z122)+investirrendafixaconsolidadoout[[#This Row],[21]]</f>
        <v>0</v>
      </c>
      <c r="AA123" s="156" t="n">
        <f aca="false">SUM(AA113:AA122)+investirrendafixaconsolidadoout[[#This Row],[22]]</f>
        <v>0</v>
      </c>
      <c r="AB123" s="156" t="n">
        <f aca="false">SUM(AB113:AB122)+investirrendafixaconsolidadoout[[#This Row],[23]]</f>
        <v>0</v>
      </c>
      <c r="AC123" s="156" t="n">
        <f aca="false">SUM(AC113:AC122)+investirrendafixaconsolidadoout[[#This Row],[24]]</f>
        <v>0</v>
      </c>
      <c r="AD123" s="156" t="n">
        <f aca="false">SUM(AD113:AD122)+investirrendafixaconsolidadoout[[#This Row],[25]]</f>
        <v>0</v>
      </c>
      <c r="AE123" s="156" t="n">
        <f aca="false">SUM(AE113:AE122)+investirrendafixaconsolidadoout[[#This Row],[26]]</f>
        <v>0</v>
      </c>
      <c r="AF123" s="156" t="n">
        <f aca="false">SUM(AF113:AF122)+investirrendafixaconsolidadoout[[#This Row],[27]]</f>
        <v>0</v>
      </c>
      <c r="AG123" s="156" t="n">
        <f aca="false">SUM(AG113:AG122)+investirrendafixaconsolidadoout[[#This Row],[28]]</f>
        <v>0</v>
      </c>
      <c r="AH123" s="156" t="n">
        <f aca="false">SUM(AH113:AH122)+investirrendafixaconsolidadoout[[#This Row],[29]]</f>
        <v>0</v>
      </c>
      <c r="AI123" s="223" t="n">
        <f aca="false">SUM(AI113:AI122)+investirrendafixaconsolidadoout[[#This Row],[30]]</f>
        <v>0</v>
      </c>
      <c r="AJ123" s="157" t="n">
        <f aca="false">investirrendafixaconsolidadoout[[#This Row],[31]]</f>
        <v>0</v>
      </c>
      <c r="AK123" s="158"/>
    </row>
    <row r="124" customFormat="false" ht="6.75" hidden="false" customHeight="true" outlineLevel="0" collapsed="false">
      <c r="B124" s="97"/>
      <c r="C124" s="162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233"/>
      <c r="AJ124" s="164"/>
      <c r="AK124" s="244"/>
    </row>
    <row r="125" s="78" customFormat="true" ht="12.75" hidden="false" customHeight="false" outlineLevel="0" collapsed="false">
      <c r="E125" s="100"/>
    </row>
    <row r="126" s="78" customFormat="true" ht="12" hidden="false" customHeight="false" outlineLevel="0" collapsed="false"/>
    <row r="127" s="78" customFormat="true" ht="12" hidden="false" customHeight="false" outlineLevel="0" collapsed="false"/>
    <row r="128" customFormat="false" ht="39.75" hidden="false" customHeight="true" outlineLevel="0" collapsed="false">
      <c r="C128" s="101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3" t="s">
        <v>2</v>
      </c>
    </row>
    <row r="129" s="78" customFormat="true" ht="12.75" hidden="false" customHeight="false" outlineLevel="0" collapsed="false">
      <c r="B129" s="161"/>
      <c r="AJ129" s="106" t="s">
        <v>64</v>
      </c>
    </row>
    <row r="130" customFormat="false" ht="6.75" hidden="false" customHeight="true" outlineLevel="0" collapsed="false">
      <c r="B130" s="86"/>
      <c r="C130" s="162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233"/>
      <c r="AK130" s="139"/>
    </row>
    <row r="131" customFormat="false" ht="13.5" hidden="true" customHeight="false" outlineLevel="0" collapsed="false">
      <c r="B131" s="86"/>
      <c r="C131" s="109" t="s">
        <v>68</v>
      </c>
      <c r="D131" s="110" t="s">
        <v>69</v>
      </c>
      <c r="E131" s="110" t="s">
        <v>30</v>
      </c>
      <c r="F131" s="110" t="s">
        <v>31</v>
      </c>
      <c r="G131" s="110" t="s">
        <v>32</v>
      </c>
      <c r="H131" s="110" t="s">
        <v>33</v>
      </c>
      <c r="I131" s="110" t="s">
        <v>34</v>
      </c>
      <c r="J131" s="110" t="s">
        <v>35</v>
      </c>
      <c r="K131" s="110" t="s">
        <v>36</v>
      </c>
      <c r="L131" s="110" t="s">
        <v>37</v>
      </c>
      <c r="M131" s="110" t="s">
        <v>38</v>
      </c>
      <c r="N131" s="110" t="s">
        <v>39</v>
      </c>
      <c r="O131" s="110" t="s">
        <v>40</v>
      </c>
      <c r="P131" s="110" t="s">
        <v>41</v>
      </c>
      <c r="Q131" s="110" t="s">
        <v>81</v>
      </c>
      <c r="R131" s="110" t="s">
        <v>82</v>
      </c>
      <c r="S131" s="110" t="s">
        <v>83</v>
      </c>
      <c r="T131" s="110" t="s">
        <v>84</v>
      </c>
      <c r="U131" s="110" t="s">
        <v>85</v>
      </c>
      <c r="V131" s="110" t="s">
        <v>86</v>
      </c>
      <c r="W131" s="110" t="s">
        <v>87</v>
      </c>
      <c r="X131" s="110" t="s">
        <v>88</v>
      </c>
      <c r="Y131" s="110" t="s">
        <v>89</v>
      </c>
      <c r="Z131" s="110" t="s">
        <v>90</v>
      </c>
      <c r="AA131" s="110" t="s">
        <v>91</v>
      </c>
      <c r="AB131" s="110" t="s">
        <v>92</v>
      </c>
      <c r="AC131" s="110" t="s">
        <v>93</v>
      </c>
      <c r="AD131" s="110" t="s">
        <v>94</v>
      </c>
      <c r="AE131" s="110" t="s">
        <v>95</v>
      </c>
      <c r="AF131" s="110" t="s">
        <v>96</v>
      </c>
      <c r="AG131" s="110" t="s">
        <v>97</v>
      </c>
      <c r="AH131" s="110" t="s">
        <v>98</v>
      </c>
      <c r="AI131" s="110" t="s">
        <v>99</v>
      </c>
      <c r="AJ131" s="111" t="s">
        <v>70</v>
      </c>
      <c r="AK131" s="86"/>
    </row>
    <row r="132" customFormat="false" ht="19.5" hidden="false" customHeight="true" outlineLevel="0" collapsed="false">
      <c r="B132" s="143"/>
      <c r="C132" s="144" t="str">
        <f aca="false">DADOS!$AF$3</f>
        <v>📝 AÇÃO</v>
      </c>
      <c r="D132" s="145" t="str">
        <f aca="false">IF(investirrendavariávelconsolidadoout[[#This Row],[TOTAL (R$)]]=0,"",IF(OR(investirrendavariávelconsolidadoout[[#This Row],[TOTAL (R$)]]=LARGE($AJ$132:$AJ$141,1),investirrendavariávelconsolidadoout[[#This Row],[TOTAL (R$)]]=LARGE($AJ$132:$AJ$141,2)),DADOS!$I$10,""))</f>
        <v/>
      </c>
      <c r="E132" s="148" t="n">
        <f aca="false">SUMIFS(tabela_registros[VALOR],tabela_registros[MÊS],$AE$1,tabela_registros[DIA],investirrendavariávelconsolidadoout[[#Headers],[1]],tabela_registros[REGISTRO],DADOS!$N$5,tabela_registros[TIPO],DADOS!$AB$4,tabela_registros[CATEGORIA],investirrendavariávelconsolidadoout[[#This Row],[ATUAL]])</f>
        <v>0</v>
      </c>
      <c r="F132" s="119" t="n">
        <f aca="false">SUMIFS(tabela_registros[VALOR],tabela_registros[MÊS],$AE$1,tabela_registros[DIA],investirrendavariávelconsolidadoout[[#Headers],[2]],tabela_registros[REGISTRO],DADOS!$N$5,tabela_registros[TIPO],DADOS!$AB$4,tabela_registros[CATEGORIA],investirrendavariávelconsolidadoout[[#This Row],[ATUAL]])</f>
        <v>0</v>
      </c>
      <c r="G132" s="119" t="n">
        <f aca="false">SUMIFS(tabela_registros[VALOR],tabela_registros[MÊS],$AE$1,tabela_registros[DIA],investirrendavariávelconsolidadoout[[#Headers],[3]],tabela_registros[REGISTRO],DADOS!$N$5,tabela_registros[TIPO],DADOS!$AB$4,tabela_registros[CATEGORIA],investirrendavariávelconsolidadoout[[#This Row],[ATUAL]])</f>
        <v>0</v>
      </c>
      <c r="H132" s="119" t="n">
        <f aca="false">SUMIFS(tabela_registros[VALOR],tabela_registros[MÊS],$AE$1,tabela_registros[DIA],investirrendavariávelconsolidadoout[[#Headers],[4]],tabela_registros[REGISTRO],DADOS!$N$5,tabela_registros[TIPO],DADOS!$AB$4,tabela_registros[CATEGORIA],investirrendavariávelconsolidadoout[[#This Row],[ATUAL]])</f>
        <v>0</v>
      </c>
      <c r="I132" s="119" t="n">
        <f aca="false">SUMIFS(tabela_registros[VALOR],tabela_registros[MÊS],$AE$1,tabela_registros[DIA],investirrendavariávelconsolidadoout[[#Headers],[5]],tabela_registros[REGISTRO],DADOS!$N$5,tabela_registros[TIPO],DADOS!$AB$4,tabela_registros[CATEGORIA],investirrendavariávelconsolidadoout[[#This Row],[ATUAL]])</f>
        <v>0</v>
      </c>
      <c r="J132" s="119" t="n">
        <f aca="false">SUMIFS(tabela_registros[VALOR],tabela_registros[MÊS],$AE$1,tabela_registros[DIA],investirrendavariávelconsolidadoout[[#Headers],[6]],tabela_registros[REGISTRO],DADOS!$N$5,tabela_registros[TIPO],DADOS!$AB$4,tabela_registros[CATEGORIA],investirrendavariávelconsolidadoout[[#This Row],[ATUAL]])</f>
        <v>0</v>
      </c>
      <c r="K132" s="119" t="n">
        <f aca="false">SUMIFS(tabela_registros[VALOR],tabela_registros[MÊS],$AE$1,tabela_registros[DIA],investirrendavariávelconsolidadoout[[#Headers],[7]],tabela_registros[REGISTRO],DADOS!$N$5,tabela_registros[TIPO],DADOS!$AB$4,tabela_registros[CATEGORIA],investirrendavariávelconsolidadoout[[#This Row],[ATUAL]])</f>
        <v>0</v>
      </c>
      <c r="L132" s="119" t="n">
        <f aca="false">SUMIFS(tabela_registros[VALOR],tabela_registros[MÊS],$AE$1,tabela_registros[DIA],investirrendavariávelconsolidadoout[[#Headers],[8]],tabela_registros[REGISTRO],DADOS!$N$5,tabela_registros[TIPO],DADOS!$AB$4,tabela_registros[CATEGORIA],investirrendavariávelconsolidadoout[[#This Row],[ATUAL]])</f>
        <v>0</v>
      </c>
      <c r="M132" s="119" t="n">
        <f aca="false">SUMIFS(tabela_registros[VALOR],tabela_registros[MÊS],$AE$1,tabela_registros[DIA],investirrendavariávelconsolidadoout[[#Headers],[9]],tabela_registros[REGISTRO],DADOS!$N$5,tabela_registros[TIPO],DADOS!$AB$4,tabela_registros[CATEGORIA],investirrendavariávelconsolidadoout[[#This Row],[ATUAL]])</f>
        <v>0</v>
      </c>
      <c r="N132" s="119" t="n">
        <f aca="false">SUMIFS(tabela_registros[VALOR],tabela_registros[MÊS],$AE$1,tabela_registros[DIA],investirrendavariávelconsolidadoout[[#Headers],[10]],tabela_registros[REGISTRO],DADOS!$N$5,tabela_registros[TIPO],DADOS!$AB$4,tabela_registros[CATEGORIA],investirrendavariávelconsolidadoout[[#This Row],[ATUAL]])</f>
        <v>0</v>
      </c>
      <c r="O132" s="119" t="n">
        <f aca="false">SUMIFS(tabela_registros[VALOR],tabela_registros[MÊS],$AE$1,tabela_registros[DIA],investirrendavariávelconsolidadoout[[#Headers],[11]],tabela_registros[REGISTRO],DADOS!$N$5,tabela_registros[TIPO],DADOS!$AB$4,tabela_registros[CATEGORIA],investirrendavariávelconsolidadoout[[#This Row],[ATUAL]])</f>
        <v>0</v>
      </c>
      <c r="P132" s="119" t="n">
        <f aca="false">SUMIFS(tabela_registros[VALOR],tabela_registros[MÊS],$AE$1,tabela_registros[DIA],investirrendavariávelconsolidadoout[[#Headers],[12]],tabela_registros[REGISTRO],DADOS!$N$5,tabela_registros[TIPO],DADOS!$AB$4,tabela_registros[CATEGORIA],investirrendavariávelconsolidadoout[[#This Row],[ATUAL]])</f>
        <v>0</v>
      </c>
      <c r="Q132" s="119" t="n">
        <f aca="false">SUMIFS(tabela_registros[VALOR],tabela_registros[MÊS],$AE$1,tabela_registros[DIA],investirrendavariávelconsolidadoout[[#Headers],[13]],tabela_registros[REGISTRO],DADOS!$N$5,tabela_registros[TIPO],DADOS!$AB$4,tabela_registros[CATEGORIA],investirrendavariávelconsolidadoout[[#This Row],[ATUAL]])</f>
        <v>0</v>
      </c>
      <c r="R132" s="119" t="n">
        <f aca="false">SUMIFS(tabela_registros[VALOR],tabela_registros[MÊS],$AE$1,tabela_registros[DIA],investirrendavariávelconsolidadoout[[#Headers],[14]],tabela_registros[REGISTRO],DADOS!$N$5,tabela_registros[TIPO],DADOS!$AB$4,tabela_registros[CATEGORIA],investirrendavariávelconsolidadoout[[#This Row],[ATUAL]])</f>
        <v>0</v>
      </c>
      <c r="S132" s="119" t="n">
        <f aca="false">SUMIFS(tabela_registros[VALOR],tabela_registros[MÊS],$AE$1,tabela_registros[DIA],investirrendavariávelconsolidadoout[[#Headers],[15]],tabela_registros[REGISTRO],DADOS!$N$5,tabela_registros[TIPO],DADOS!$AB$4,tabela_registros[CATEGORIA],investirrendavariávelconsolidadoout[[#This Row],[ATUAL]])</f>
        <v>0</v>
      </c>
      <c r="T132" s="119" t="n">
        <f aca="false">SUMIFS(tabela_registros[VALOR],tabela_registros[MÊS],$AE$1,tabela_registros[DIA],investirrendavariávelconsolidadoout[[#Headers],[16]],tabela_registros[REGISTRO],DADOS!$N$5,tabela_registros[TIPO],DADOS!$AB$4,tabela_registros[CATEGORIA],investirrendavariávelconsolidadoout[[#This Row],[ATUAL]])</f>
        <v>0</v>
      </c>
      <c r="U132" s="119" t="n">
        <f aca="false">SUMIFS(tabela_registros[VALOR],tabela_registros[MÊS],$AE$1,tabela_registros[DIA],investirrendavariávelconsolidadoout[[#Headers],[17]],tabela_registros[REGISTRO],DADOS!$N$5,tabela_registros[TIPO],DADOS!$AB$4,tabela_registros[CATEGORIA],investirrendavariávelconsolidadoout[[#This Row],[ATUAL]])</f>
        <v>0</v>
      </c>
      <c r="V132" s="119" t="n">
        <f aca="false">SUMIFS(tabela_registros[VALOR],tabela_registros[MÊS],$AE$1,tabela_registros[DIA],investirrendavariávelconsolidadoout[[#Headers],[18]],tabela_registros[REGISTRO],DADOS!$N$5,tabela_registros[TIPO],DADOS!$AB$4,tabela_registros[CATEGORIA],investirrendavariávelconsolidadoout[[#This Row],[ATUAL]])</f>
        <v>0</v>
      </c>
      <c r="W132" s="119" t="n">
        <f aca="false">SUMIFS(tabela_registros[VALOR],tabela_registros[MÊS],$AE$1,tabela_registros[DIA],investirrendavariávelconsolidadoout[[#Headers],[19]],tabela_registros[REGISTRO],DADOS!$N$5,tabela_registros[TIPO],DADOS!$AB$4,tabela_registros[CATEGORIA],investirrendavariávelconsolidadoout[[#This Row],[ATUAL]])</f>
        <v>0</v>
      </c>
      <c r="X132" s="119" t="n">
        <f aca="false">SUMIFS(tabela_registros[VALOR],tabela_registros[MÊS],$AE$1,tabela_registros[DIA],investirrendavariávelconsolidadoout[[#Headers],[20]],tabela_registros[REGISTRO],DADOS!$N$5,tabela_registros[TIPO],DADOS!$AB$4,tabela_registros[CATEGORIA],investirrendavariávelconsolidadoout[[#This Row],[ATUAL]])</f>
        <v>0</v>
      </c>
      <c r="Y132" s="119" t="n">
        <f aca="false">SUMIFS(tabela_registros[VALOR],tabela_registros[MÊS],$AE$1,tabela_registros[DIA],investirrendavariávelconsolidadoout[[#Headers],[21]],tabela_registros[REGISTRO],DADOS!$N$5,tabela_registros[TIPO],DADOS!$AB$4,tabela_registros[CATEGORIA],investirrendavariávelconsolidadoout[[#This Row],[ATUAL]])</f>
        <v>0</v>
      </c>
      <c r="Z132" s="119" t="n">
        <f aca="false">SUMIFS(tabela_registros[VALOR],tabela_registros[MÊS],$AE$1,tabela_registros[DIA],investirrendavariávelconsolidadoout[[#Headers],[22]],tabela_registros[REGISTRO],DADOS!$N$5,tabela_registros[TIPO],DADOS!$AB$4,tabela_registros[CATEGORIA],investirrendavariávelconsolidadoout[[#This Row],[ATUAL]])</f>
        <v>0</v>
      </c>
      <c r="AA132" s="119" t="n">
        <f aca="false">SUMIFS(tabela_registros[VALOR],tabela_registros[MÊS],$AE$1,tabela_registros[DIA],investirrendavariávelconsolidadoout[[#Headers],[23]],tabela_registros[REGISTRO],DADOS!$N$5,tabela_registros[TIPO],DADOS!$AB$4,tabela_registros[CATEGORIA],investirrendavariávelconsolidadoout[[#This Row],[ATUAL]])</f>
        <v>0</v>
      </c>
      <c r="AB132" s="119" t="n">
        <f aca="false">SUMIFS(tabela_registros[VALOR],tabela_registros[MÊS],$AE$1,tabela_registros[DIA],investirrendavariávelconsolidadoout[[#Headers],[24]],tabela_registros[REGISTRO],DADOS!$N$5,tabela_registros[TIPO],DADOS!$AB$4,tabela_registros[CATEGORIA],investirrendavariávelconsolidadoout[[#This Row],[ATUAL]])</f>
        <v>0</v>
      </c>
      <c r="AC132" s="119" t="n">
        <f aca="false">SUMIFS(tabela_registros[VALOR],tabela_registros[MÊS],$AE$1,tabela_registros[DIA],investirrendavariávelconsolidadoout[[#Headers],[25]],tabela_registros[REGISTRO],DADOS!$N$5,tabela_registros[TIPO],DADOS!$AB$4,tabela_registros[CATEGORIA],investirrendavariávelconsolidadoout[[#This Row],[ATUAL]])</f>
        <v>0</v>
      </c>
      <c r="AD132" s="119" t="n">
        <f aca="false">SUMIFS(tabela_registros[VALOR],tabela_registros[MÊS],$AE$1,tabela_registros[DIA],investirrendavariávelconsolidadoout[[#Headers],[26]],tabela_registros[REGISTRO],DADOS!$N$5,tabela_registros[TIPO],DADOS!$AB$4,tabela_registros[CATEGORIA],investirrendavariávelconsolidadoout[[#This Row],[ATUAL]])</f>
        <v>0</v>
      </c>
      <c r="AE132" s="119" t="n">
        <f aca="false">SUMIFS(tabela_registros[VALOR],tabela_registros[MÊS],$AE$1,tabela_registros[DIA],investirrendavariávelconsolidadoout[[#Headers],[27]],tabela_registros[REGISTRO],DADOS!$N$5,tabela_registros[TIPO],DADOS!$AB$4,tabela_registros[CATEGORIA],investirrendavariávelconsolidadoout[[#This Row],[ATUAL]])</f>
        <v>0</v>
      </c>
      <c r="AF132" s="119" t="n">
        <f aca="false">SUMIFS(tabela_registros[VALOR],tabela_registros[MÊS],$AE$1,tabela_registros[DIA],investirrendavariávelconsolidadoout[[#Headers],[28]],tabela_registros[REGISTRO],DADOS!$N$5,tabela_registros[TIPO],DADOS!$AB$4,tabela_registros[CATEGORIA],investirrendavariávelconsolidadoout[[#This Row],[ATUAL]])</f>
        <v>0</v>
      </c>
      <c r="AG132" s="119" t="n">
        <f aca="false">SUMIFS(tabela_registros[VALOR],tabela_registros[MÊS],$AE$1,tabela_registros[DIA],investirrendavariávelconsolidadoout[[#Headers],[29]],tabela_registros[REGISTRO],DADOS!$N$5,tabela_registros[TIPO],DADOS!$AB$4,tabela_registros[CATEGORIA],investirrendavariávelconsolidadoout[[#This Row],[ATUAL]])</f>
        <v>0</v>
      </c>
      <c r="AH132" s="119" t="n">
        <f aca="false">SUMIFS(tabela_registros[VALOR],tabela_registros[MÊS],$AE$1,tabela_registros[DIA],investirrendavariávelconsolidadoout[[#Headers],[30]],tabela_registros[REGISTRO],DADOS!$N$5,tabela_registros[TIPO],DADOS!$AB$4,tabela_registros[CATEGORIA],investirrendavariávelconsolidadoout[[#This Row],[ATUAL]])</f>
        <v>0</v>
      </c>
      <c r="AI132" s="217" t="n">
        <f aca="false">SUMIFS(tabela_registros[VALOR],tabela_registros[MÊS],$AE$1,tabela_registros[DIA],investirrendavariávelconsolidadoout[[#Headers],[31]],tabela_registros[REGISTRO],DADOS!$N$5,tabela_registros[TIPO],DADOS!$AB$4,tabela_registros[CATEGORIA],investirrendavariávelconsolidadoout[[#This Row],[ATUAL]])</f>
        <v>0</v>
      </c>
      <c r="AJ132" s="149" t="n">
        <f aca="false">SUM(investirrendavariávelconsolidadoout[[#This Row],[1]:[31]])</f>
        <v>0</v>
      </c>
      <c r="AK132" s="165"/>
    </row>
    <row r="133" customFormat="false" ht="19.5" hidden="false" customHeight="true" outlineLevel="0" collapsed="false">
      <c r="B133" s="143"/>
      <c r="C133" s="144" t="str">
        <f aca="false">DADOS!$AF$4</f>
        <v>📝 COMÓDITE</v>
      </c>
      <c r="D133" s="145" t="str">
        <f aca="false">IF(investirrendavariávelconsolidadoout[[#This Row],[TOTAL (R$)]]=0,"",IF(OR(investirrendavariávelconsolidadoout[[#This Row],[TOTAL (R$)]]=LARGE($AJ$132:$AJ$141,1),investirrendavariávelconsolidadoout[[#This Row],[TOTAL (R$)]]=LARGE($AJ$132:$AJ$141,2)),DADOS!$I$10,""))</f>
        <v/>
      </c>
      <c r="E133" s="148" t="n">
        <f aca="false">SUMIFS(tabela_registros[VALOR],tabela_registros[MÊS],$AE$1,tabela_registros[DIA],investirrendavariávelconsolidadoout[[#Headers],[1]],tabela_registros[REGISTRO],DADOS!$N$5,tabela_registros[TIPO],DADOS!$AB$4,tabela_registros[CATEGORIA],investirrendavariávelconsolidadoout[[#This Row],[ATUAL]])</f>
        <v>0</v>
      </c>
      <c r="F133" s="119" t="n">
        <f aca="false">SUMIFS(tabela_registros[VALOR],tabela_registros[MÊS],$AE$1,tabela_registros[DIA],investirrendavariávelconsolidadoout[[#Headers],[2]],tabela_registros[REGISTRO],DADOS!$N$5,tabela_registros[TIPO],DADOS!$AB$4,tabela_registros[CATEGORIA],investirrendavariávelconsolidadoout[[#This Row],[ATUAL]])</f>
        <v>0</v>
      </c>
      <c r="G133" s="119" t="n">
        <f aca="false">SUMIFS(tabela_registros[VALOR],tabela_registros[MÊS],$AE$1,tabela_registros[DIA],investirrendavariávelconsolidadoout[[#Headers],[3]],tabela_registros[REGISTRO],DADOS!$N$5,tabela_registros[TIPO],DADOS!$AB$4,tabela_registros[CATEGORIA],investirrendavariávelconsolidadoout[[#This Row],[ATUAL]])</f>
        <v>0</v>
      </c>
      <c r="H133" s="119" t="n">
        <f aca="false">SUMIFS(tabela_registros[VALOR],tabela_registros[MÊS],$AE$1,tabela_registros[DIA],investirrendavariávelconsolidadoout[[#Headers],[4]],tabela_registros[REGISTRO],DADOS!$N$5,tabela_registros[TIPO],DADOS!$AB$4,tabela_registros[CATEGORIA],investirrendavariávelconsolidadoout[[#This Row],[ATUAL]])</f>
        <v>0</v>
      </c>
      <c r="I133" s="119" t="n">
        <f aca="false">SUMIFS(tabela_registros[VALOR],tabela_registros[MÊS],$AE$1,tabela_registros[DIA],investirrendavariávelconsolidadoout[[#Headers],[5]],tabela_registros[REGISTRO],DADOS!$N$5,tabela_registros[TIPO],DADOS!$AB$4,tabela_registros[CATEGORIA],investirrendavariávelconsolidadoout[[#This Row],[ATUAL]])</f>
        <v>0</v>
      </c>
      <c r="J133" s="119" t="n">
        <f aca="false">SUMIFS(tabela_registros[VALOR],tabela_registros[MÊS],$AE$1,tabela_registros[DIA],investirrendavariávelconsolidadoout[[#Headers],[6]],tabela_registros[REGISTRO],DADOS!$N$5,tabela_registros[TIPO],DADOS!$AB$4,tabela_registros[CATEGORIA],investirrendavariávelconsolidadoout[[#This Row],[ATUAL]])</f>
        <v>0</v>
      </c>
      <c r="K133" s="119" t="n">
        <f aca="false">SUMIFS(tabela_registros[VALOR],tabela_registros[MÊS],$AE$1,tabela_registros[DIA],investirrendavariávelconsolidadoout[[#Headers],[7]],tabela_registros[REGISTRO],DADOS!$N$5,tabela_registros[TIPO],DADOS!$AB$4,tabela_registros[CATEGORIA],investirrendavariávelconsolidadoout[[#This Row],[ATUAL]])</f>
        <v>0</v>
      </c>
      <c r="L133" s="119" t="n">
        <f aca="false">SUMIFS(tabela_registros[VALOR],tabela_registros[MÊS],$AE$1,tabela_registros[DIA],investirrendavariávelconsolidadoout[[#Headers],[8]],tabela_registros[REGISTRO],DADOS!$N$5,tabela_registros[TIPO],DADOS!$AB$4,tabela_registros[CATEGORIA],investirrendavariávelconsolidadoout[[#This Row],[ATUAL]])</f>
        <v>0</v>
      </c>
      <c r="M133" s="119" t="n">
        <f aca="false">SUMIFS(tabela_registros[VALOR],tabela_registros[MÊS],$AE$1,tabela_registros[DIA],investirrendavariávelconsolidadoout[[#Headers],[9]],tabela_registros[REGISTRO],DADOS!$N$5,tabela_registros[TIPO],DADOS!$AB$4,tabela_registros[CATEGORIA],investirrendavariávelconsolidadoout[[#This Row],[ATUAL]])</f>
        <v>0</v>
      </c>
      <c r="N133" s="119" t="n">
        <f aca="false">SUMIFS(tabela_registros[VALOR],tabela_registros[MÊS],$AE$1,tabela_registros[DIA],investirrendavariávelconsolidadoout[[#Headers],[10]],tabela_registros[REGISTRO],DADOS!$N$5,tabela_registros[TIPO],DADOS!$AB$4,tabela_registros[CATEGORIA],investirrendavariávelconsolidadoout[[#This Row],[ATUAL]])</f>
        <v>0</v>
      </c>
      <c r="O133" s="119" t="n">
        <f aca="false">SUMIFS(tabela_registros[VALOR],tabela_registros[MÊS],$AE$1,tabela_registros[DIA],investirrendavariávelconsolidadoout[[#Headers],[11]],tabela_registros[REGISTRO],DADOS!$N$5,tabela_registros[TIPO],DADOS!$AB$4,tabela_registros[CATEGORIA],investirrendavariávelconsolidadoout[[#This Row],[ATUAL]])</f>
        <v>0</v>
      </c>
      <c r="P133" s="119" t="n">
        <f aca="false">SUMIFS(tabela_registros[VALOR],tabela_registros[MÊS],$AE$1,tabela_registros[DIA],investirrendavariávelconsolidadoout[[#Headers],[12]],tabela_registros[REGISTRO],DADOS!$N$5,tabela_registros[TIPO],DADOS!$AB$4,tabela_registros[CATEGORIA],investirrendavariávelconsolidadoout[[#This Row],[ATUAL]])</f>
        <v>0</v>
      </c>
      <c r="Q133" s="119" t="n">
        <f aca="false">SUMIFS(tabela_registros[VALOR],tabela_registros[MÊS],$AE$1,tabela_registros[DIA],investirrendavariávelconsolidadoout[[#Headers],[13]],tabela_registros[REGISTRO],DADOS!$N$5,tabela_registros[TIPO],DADOS!$AB$4,tabela_registros[CATEGORIA],investirrendavariávelconsolidadoout[[#This Row],[ATUAL]])</f>
        <v>0</v>
      </c>
      <c r="R133" s="119" t="n">
        <f aca="false">SUMIFS(tabela_registros[VALOR],tabela_registros[MÊS],$AE$1,tabela_registros[DIA],investirrendavariávelconsolidadoout[[#Headers],[14]],tabela_registros[REGISTRO],DADOS!$N$5,tabela_registros[TIPO],DADOS!$AB$4,tabela_registros[CATEGORIA],investirrendavariávelconsolidadoout[[#This Row],[ATUAL]])</f>
        <v>0</v>
      </c>
      <c r="S133" s="119" t="n">
        <f aca="false">SUMIFS(tabela_registros[VALOR],tabela_registros[MÊS],$AE$1,tabela_registros[DIA],investirrendavariávelconsolidadoout[[#Headers],[15]],tabela_registros[REGISTRO],DADOS!$N$5,tabela_registros[TIPO],DADOS!$AB$4,tabela_registros[CATEGORIA],investirrendavariávelconsolidadoout[[#This Row],[ATUAL]])</f>
        <v>0</v>
      </c>
      <c r="T133" s="119" t="n">
        <f aca="false">SUMIFS(tabela_registros[VALOR],tabela_registros[MÊS],$AE$1,tabela_registros[DIA],investirrendavariávelconsolidadoout[[#Headers],[16]],tabela_registros[REGISTRO],DADOS!$N$5,tabela_registros[TIPO],DADOS!$AB$4,tabela_registros[CATEGORIA],investirrendavariávelconsolidadoout[[#This Row],[ATUAL]])</f>
        <v>0</v>
      </c>
      <c r="U133" s="119" t="n">
        <f aca="false">SUMIFS(tabela_registros[VALOR],tabela_registros[MÊS],$AE$1,tabela_registros[DIA],investirrendavariávelconsolidadoout[[#Headers],[17]],tabela_registros[REGISTRO],DADOS!$N$5,tabela_registros[TIPO],DADOS!$AB$4,tabela_registros[CATEGORIA],investirrendavariávelconsolidadoout[[#This Row],[ATUAL]])</f>
        <v>0</v>
      </c>
      <c r="V133" s="119" t="n">
        <f aca="false">SUMIFS(tabela_registros[VALOR],tabela_registros[MÊS],$AE$1,tabela_registros[DIA],investirrendavariávelconsolidadoout[[#Headers],[18]],tabela_registros[REGISTRO],DADOS!$N$5,tabela_registros[TIPO],DADOS!$AB$4,tabela_registros[CATEGORIA],investirrendavariávelconsolidadoout[[#This Row],[ATUAL]])</f>
        <v>0</v>
      </c>
      <c r="W133" s="119" t="n">
        <f aca="false">SUMIFS(tabela_registros[VALOR],tabela_registros[MÊS],$AE$1,tabela_registros[DIA],investirrendavariávelconsolidadoout[[#Headers],[19]],tabela_registros[REGISTRO],DADOS!$N$5,tabela_registros[TIPO],DADOS!$AB$4,tabela_registros[CATEGORIA],investirrendavariávelconsolidadoout[[#This Row],[ATUAL]])</f>
        <v>0</v>
      </c>
      <c r="X133" s="119" t="n">
        <f aca="false">SUMIFS(tabela_registros[VALOR],tabela_registros[MÊS],$AE$1,tabela_registros[DIA],investirrendavariávelconsolidadoout[[#Headers],[20]],tabela_registros[REGISTRO],DADOS!$N$5,tabela_registros[TIPO],DADOS!$AB$4,tabela_registros[CATEGORIA],investirrendavariávelconsolidadoout[[#This Row],[ATUAL]])</f>
        <v>0</v>
      </c>
      <c r="Y133" s="119" t="n">
        <f aca="false">SUMIFS(tabela_registros[VALOR],tabela_registros[MÊS],$AE$1,tabela_registros[DIA],investirrendavariávelconsolidadoout[[#Headers],[21]],tabela_registros[REGISTRO],DADOS!$N$5,tabela_registros[TIPO],DADOS!$AB$4,tabela_registros[CATEGORIA],investirrendavariávelconsolidadoout[[#This Row],[ATUAL]])</f>
        <v>0</v>
      </c>
      <c r="Z133" s="119" t="n">
        <f aca="false">SUMIFS(tabela_registros[VALOR],tabela_registros[MÊS],$AE$1,tabela_registros[DIA],investirrendavariávelconsolidadoout[[#Headers],[22]],tabela_registros[REGISTRO],DADOS!$N$5,tabela_registros[TIPO],DADOS!$AB$4,tabela_registros[CATEGORIA],investirrendavariávelconsolidadoout[[#This Row],[ATUAL]])</f>
        <v>0</v>
      </c>
      <c r="AA133" s="119" t="n">
        <f aca="false">SUMIFS(tabela_registros[VALOR],tabela_registros[MÊS],$AE$1,tabela_registros[DIA],investirrendavariávelconsolidadoout[[#Headers],[23]],tabela_registros[REGISTRO],DADOS!$N$5,tabela_registros[TIPO],DADOS!$AB$4,tabela_registros[CATEGORIA],investirrendavariávelconsolidadoout[[#This Row],[ATUAL]])</f>
        <v>0</v>
      </c>
      <c r="AB133" s="119" t="n">
        <f aca="false">SUMIFS(tabela_registros[VALOR],tabela_registros[MÊS],$AE$1,tabela_registros[DIA],investirrendavariávelconsolidadoout[[#Headers],[24]],tabela_registros[REGISTRO],DADOS!$N$5,tabela_registros[TIPO],DADOS!$AB$4,tabela_registros[CATEGORIA],investirrendavariávelconsolidadoout[[#This Row],[ATUAL]])</f>
        <v>0</v>
      </c>
      <c r="AC133" s="119" t="n">
        <f aca="false">SUMIFS(tabela_registros[VALOR],tabela_registros[MÊS],$AE$1,tabela_registros[DIA],investirrendavariávelconsolidadoout[[#Headers],[25]],tabela_registros[REGISTRO],DADOS!$N$5,tabela_registros[TIPO],DADOS!$AB$4,tabela_registros[CATEGORIA],investirrendavariávelconsolidadoout[[#This Row],[ATUAL]])</f>
        <v>0</v>
      </c>
      <c r="AD133" s="119" t="n">
        <f aca="false">SUMIFS(tabela_registros[VALOR],tabela_registros[MÊS],$AE$1,tabela_registros[DIA],investirrendavariávelconsolidadoout[[#Headers],[26]],tabela_registros[REGISTRO],DADOS!$N$5,tabela_registros[TIPO],DADOS!$AB$4,tabela_registros[CATEGORIA],investirrendavariávelconsolidadoout[[#This Row],[ATUAL]])</f>
        <v>0</v>
      </c>
      <c r="AE133" s="119" t="n">
        <f aca="false">SUMIFS(tabela_registros[VALOR],tabela_registros[MÊS],$AE$1,tabela_registros[DIA],investirrendavariávelconsolidadoout[[#Headers],[27]],tabela_registros[REGISTRO],DADOS!$N$5,tabela_registros[TIPO],DADOS!$AB$4,tabela_registros[CATEGORIA],investirrendavariávelconsolidadoout[[#This Row],[ATUAL]])</f>
        <v>0</v>
      </c>
      <c r="AF133" s="119" t="n">
        <f aca="false">SUMIFS(tabela_registros[VALOR],tabela_registros[MÊS],$AE$1,tabela_registros[DIA],investirrendavariávelconsolidadoout[[#Headers],[28]],tabela_registros[REGISTRO],DADOS!$N$5,tabela_registros[TIPO],DADOS!$AB$4,tabela_registros[CATEGORIA],investirrendavariávelconsolidadoout[[#This Row],[ATUAL]])</f>
        <v>0</v>
      </c>
      <c r="AG133" s="119" t="n">
        <f aca="false">SUMIFS(tabela_registros[VALOR],tabela_registros[MÊS],$AE$1,tabela_registros[DIA],investirrendavariávelconsolidadoout[[#Headers],[29]],tabela_registros[REGISTRO],DADOS!$N$5,tabela_registros[TIPO],DADOS!$AB$4,tabela_registros[CATEGORIA],investirrendavariávelconsolidadoout[[#This Row],[ATUAL]])</f>
        <v>0</v>
      </c>
      <c r="AH133" s="119" t="n">
        <f aca="false">SUMIFS(tabela_registros[VALOR],tabela_registros[MÊS],$AE$1,tabela_registros[DIA],investirrendavariávelconsolidadoout[[#Headers],[30]],tabela_registros[REGISTRO],DADOS!$N$5,tabela_registros[TIPO],DADOS!$AB$4,tabela_registros[CATEGORIA],investirrendavariávelconsolidadoout[[#This Row],[ATUAL]])</f>
        <v>0</v>
      </c>
      <c r="AI133" s="217" t="n">
        <f aca="false">SUMIFS(tabela_registros[VALOR],tabela_registros[MÊS],$AE$1,tabela_registros[DIA],investirrendavariávelconsolidadoout[[#Headers],[31]],tabela_registros[REGISTRO],DADOS!$N$5,tabela_registros[TIPO],DADOS!$AB$4,tabela_registros[CATEGORIA],investirrendavariávelconsolidadoout[[#This Row],[ATUAL]])</f>
        <v>0</v>
      </c>
      <c r="AJ133" s="149" t="n">
        <f aca="false">SUM(investirrendavariávelconsolidadoout[[#This Row],[1]:[31]])</f>
        <v>0</v>
      </c>
      <c r="AK133" s="165"/>
    </row>
    <row r="134" customFormat="false" ht="19.5" hidden="false" customHeight="true" outlineLevel="0" collapsed="false">
      <c r="B134" s="143"/>
      <c r="C134" s="144" t="str">
        <f aca="false">DADOS!$AF$5</f>
        <v>📝 CONTRATO DE FUTUROS</v>
      </c>
      <c r="D134" s="145" t="str">
        <f aca="false">IF(investirrendavariávelconsolidadoout[[#This Row],[TOTAL (R$)]]=0,"",IF(OR(investirrendavariávelconsolidadoout[[#This Row],[TOTAL (R$)]]=LARGE($AJ$132:$AJ$141,1),investirrendavariávelconsolidadoout[[#This Row],[TOTAL (R$)]]=LARGE($AJ$132:$AJ$141,2)),DADOS!$I$10,""))</f>
        <v/>
      </c>
      <c r="E134" s="148" t="n">
        <f aca="false">SUMIFS(tabela_registros[VALOR],tabela_registros[MÊS],$AE$1,tabela_registros[DIA],investirrendavariávelconsolidadoout[[#Headers],[1]],tabela_registros[REGISTRO],DADOS!$N$5,tabela_registros[TIPO],DADOS!$AB$4,tabela_registros[CATEGORIA],investirrendavariávelconsolidadoout[[#This Row],[ATUAL]])</f>
        <v>0</v>
      </c>
      <c r="F134" s="119" t="n">
        <f aca="false">SUMIFS(tabela_registros[VALOR],tabela_registros[MÊS],$AE$1,tabela_registros[DIA],investirrendavariávelconsolidadoout[[#Headers],[2]],tabela_registros[REGISTRO],DADOS!$N$5,tabela_registros[TIPO],DADOS!$AB$4,tabela_registros[CATEGORIA],investirrendavariávelconsolidadoout[[#This Row],[ATUAL]])</f>
        <v>0</v>
      </c>
      <c r="G134" s="119" t="n">
        <f aca="false">SUMIFS(tabela_registros[VALOR],tabela_registros[MÊS],$AE$1,tabela_registros[DIA],investirrendavariávelconsolidadoout[[#Headers],[3]],tabela_registros[REGISTRO],DADOS!$N$5,tabela_registros[TIPO],DADOS!$AB$4,tabela_registros[CATEGORIA],investirrendavariávelconsolidadoout[[#This Row],[ATUAL]])</f>
        <v>0</v>
      </c>
      <c r="H134" s="119" t="n">
        <f aca="false">SUMIFS(tabela_registros[VALOR],tabela_registros[MÊS],$AE$1,tabela_registros[DIA],investirrendavariávelconsolidadoout[[#Headers],[4]],tabela_registros[REGISTRO],DADOS!$N$5,tabela_registros[TIPO],DADOS!$AB$4,tabela_registros[CATEGORIA],investirrendavariávelconsolidadoout[[#This Row],[ATUAL]])</f>
        <v>0</v>
      </c>
      <c r="I134" s="119" t="n">
        <f aca="false">SUMIFS(tabela_registros[VALOR],tabela_registros[MÊS],$AE$1,tabela_registros[DIA],investirrendavariávelconsolidadoout[[#Headers],[5]],tabela_registros[REGISTRO],DADOS!$N$5,tabela_registros[TIPO],DADOS!$AB$4,tabela_registros[CATEGORIA],investirrendavariávelconsolidadoout[[#This Row],[ATUAL]])</f>
        <v>0</v>
      </c>
      <c r="J134" s="119" t="n">
        <f aca="false">SUMIFS(tabela_registros[VALOR],tabela_registros[MÊS],$AE$1,tabela_registros[DIA],investirrendavariávelconsolidadoout[[#Headers],[6]],tabela_registros[REGISTRO],DADOS!$N$5,tabela_registros[TIPO],DADOS!$AB$4,tabela_registros[CATEGORIA],investirrendavariávelconsolidadoout[[#This Row],[ATUAL]])</f>
        <v>0</v>
      </c>
      <c r="K134" s="119" t="n">
        <f aca="false">SUMIFS(tabela_registros[VALOR],tabela_registros[MÊS],$AE$1,tabela_registros[DIA],investirrendavariávelconsolidadoout[[#Headers],[7]],tabela_registros[REGISTRO],DADOS!$N$5,tabela_registros[TIPO],DADOS!$AB$4,tabela_registros[CATEGORIA],investirrendavariávelconsolidadoout[[#This Row],[ATUAL]])</f>
        <v>0</v>
      </c>
      <c r="L134" s="119" t="n">
        <f aca="false">SUMIFS(tabela_registros[VALOR],tabela_registros[MÊS],$AE$1,tabela_registros[DIA],investirrendavariávelconsolidadoout[[#Headers],[8]],tabela_registros[REGISTRO],DADOS!$N$5,tabela_registros[TIPO],DADOS!$AB$4,tabela_registros[CATEGORIA],investirrendavariávelconsolidadoout[[#This Row],[ATUAL]])</f>
        <v>0</v>
      </c>
      <c r="M134" s="119" t="n">
        <f aca="false">SUMIFS(tabela_registros[VALOR],tabela_registros[MÊS],$AE$1,tabela_registros[DIA],investirrendavariávelconsolidadoout[[#Headers],[9]],tabela_registros[REGISTRO],DADOS!$N$5,tabela_registros[TIPO],DADOS!$AB$4,tabela_registros[CATEGORIA],investirrendavariávelconsolidadoout[[#This Row],[ATUAL]])</f>
        <v>0</v>
      </c>
      <c r="N134" s="119" t="n">
        <f aca="false">SUMIFS(tabela_registros[VALOR],tabela_registros[MÊS],$AE$1,tabela_registros[DIA],investirrendavariávelconsolidadoout[[#Headers],[10]],tabela_registros[REGISTRO],DADOS!$N$5,tabela_registros[TIPO],DADOS!$AB$4,tabela_registros[CATEGORIA],investirrendavariávelconsolidadoout[[#This Row],[ATUAL]])</f>
        <v>0</v>
      </c>
      <c r="O134" s="119" t="n">
        <f aca="false">SUMIFS(tabela_registros[VALOR],tabela_registros[MÊS],$AE$1,tabela_registros[DIA],investirrendavariávelconsolidadoout[[#Headers],[11]],tabela_registros[REGISTRO],DADOS!$N$5,tabela_registros[TIPO],DADOS!$AB$4,tabela_registros[CATEGORIA],investirrendavariávelconsolidadoout[[#This Row],[ATUAL]])</f>
        <v>0</v>
      </c>
      <c r="P134" s="119" t="n">
        <f aca="false">SUMIFS(tabela_registros[VALOR],tabela_registros[MÊS],$AE$1,tabela_registros[DIA],investirrendavariávelconsolidadoout[[#Headers],[12]],tabela_registros[REGISTRO],DADOS!$N$5,tabela_registros[TIPO],DADOS!$AB$4,tabela_registros[CATEGORIA],investirrendavariávelconsolidadoout[[#This Row],[ATUAL]])</f>
        <v>0</v>
      </c>
      <c r="Q134" s="119" t="n">
        <f aca="false">SUMIFS(tabela_registros[VALOR],tabela_registros[MÊS],$AE$1,tabela_registros[DIA],investirrendavariávelconsolidadoout[[#Headers],[13]],tabela_registros[REGISTRO],DADOS!$N$5,tabela_registros[TIPO],DADOS!$AB$4,tabela_registros[CATEGORIA],investirrendavariávelconsolidadoout[[#This Row],[ATUAL]])</f>
        <v>0</v>
      </c>
      <c r="R134" s="119" t="n">
        <f aca="false">SUMIFS(tabela_registros[VALOR],tabela_registros[MÊS],$AE$1,tabela_registros[DIA],investirrendavariávelconsolidadoout[[#Headers],[14]],tabela_registros[REGISTRO],DADOS!$N$5,tabela_registros[TIPO],DADOS!$AB$4,tabela_registros[CATEGORIA],investirrendavariávelconsolidadoout[[#This Row],[ATUAL]])</f>
        <v>0</v>
      </c>
      <c r="S134" s="119" t="n">
        <f aca="false">SUMIFS(tabela_registros[VALOR],tabela_registros[MÊS],$AE$1,tabela_registros[DIA],investirrendavariávelconsolidadoout[[#Headers],[15]],tabela_registros[REGISTRO],DADOS!$N$5,tabela_registros[TIPO],DADOS!$AB$4,tabela_registros[CATEGORIA],investirrendavariávelconsolidadoout[[#This Row],[ATUAL]])</f>
        <v>0</v>
      </c>
      <c r="T134" s="119" t="n">
        <f aca="false">SUMIFS(tabela_registros[VALOR],tabela_registros[MÊS],$AE$1,tabela_registros[DIA],investirrendavariávelconsolidadoout[[#Headers],[16]],tabela_registros[REGISTRO],DADOS!$N$5,tabela_registros[TIPO],DADOS!$AB$4,tabela_registros[CATEGORIA],investirrendavariávelconsolidadoout[[#This Row],[ATUAL]])</f>
        <v>0</v>
      </c>
      <c r="U134" s="119" t="n">
        <f aca="false">SUMIFS(tabela_registros[VALOR],tabela_registros[MÊS],$AE$1,tabela_registros[DIA],investirrendavariávelconsolidadoout[[#Headers],[17]],tabela_registros[REGISTRO],DADOS!$N$5,tabela_registros[TIPO],DADOS!$AB$4,tabela_registros[CATEGORIA],investirrendavariávelconsolidadoout[[#This Row],[ATUAL]])</f>
        <v>0</v>
      </c>
      <c r="V134" s="119" t="n">
        <f aca="false">SUMIFS(tabela_registros[VALOR],tabela_registros[MÊS],$AE$1,tabela_registros[DIA],investirrendavariávelconsolidadoout[[#Headers],[18]],tabela_registros[REGISTRO],DADOS!$N$5,tabela_registros[TIPO],DADOS!$AB$4,tabela_registros[CATEGORIA],investirrendavariávelconsolidadoout[[#This Row],[ATUAL]])</f>
        <v>0</v>
      </c>
      <c r="W134" s="119" t="n">
        <f aca="false">SUMIFS(tabela_registros[VALOR],tabela_registros[MÊS],$AE$1,tabela_registros[DIA],investirrendavariávelconsolidadoout[[#Headers],[19]],tabela_registros[REGISTRO],DADOS!$N$5,tabela_registros[TIPO],DADOS!$AB$4,tabela_registros[CATEGORIA],investirrendavariávelconsolidadoout[[#This Row],[ATUAL]])</f>
        <v>0</v>
      </c>
      <c r="X134" s="119" t="n">
        <f aca="false">SUMIFS(tabela_registros[VALOR],tabela_registros[MÊS],$AE$1,tabela_registros[DIA],investirrendavariávelconsolidadoout[[#Headers],[20]],tabela_registros[REGISTRO],DADOS!$N$5,tabela_registros[TIPO],DADOS!$AB$4,tabela_registros[CATEGORIA],investirrendavariávelconsolidadoout[[#This Row],[ATUAL]])</f>
        <v>0</v>
      </c>
      <c r="Y134" s="119" t="n">
        <f aca="false">SUMIFS(tabela_registros[VALOR],tabela_registros[MÊS],$AE$1,tabela_registros[DIA],investirrendavariávelconsolidadoout[[#Headers],[21]],tabela_registros[REGISTRO],DADOS!$N$5,tabela_registros[TIPO],DADOS!$AB$4,tabela_registros[CATEGORIA],investirrendavariávelconsolidadoout[[#This Row],[ATUAL]])</f>
        <v>0</v>
      </c>
      <c r="Z134" s="119" t="n">
        <f aca="false">SUMIFS(tabela_registros[VALOR],tabela_registros[MÊS],$AE$1,tabela_registros[DIA],investirrendavariávelconsolidadoout[[#Headers],[22]],tabela_registros[REGISTRO],DADOS!$N$5,tabela_registros[TIPO],DADOS!$AB$4,tabela_registros[CATEGORIA],investirrendavariávelconsolidadoout[[#This Row],[ATUAL]])</f>
        <v>0</v>
      </c>
      <c r="AA134" s="119" t="n">
        <f aca="false">SUMIFS(tabela_registros[VALOR],tabela_registros[MÊS],$AE$1,tabela_registros[DIA],investirrendavariávelconsolidadoout[[#Headers],[23]],tabela_registros[REGISTRO],DADOS!$N$5,tabela_registros[TIPO],DADOS!$AB$4,tabela_registros[CATEGORIA],investirrendavariávelconsolidadoout[[#This Row],[ATUAL]])</f>
        <v>0</v>
      </c>
      <c r="AB134" s="119" t="n">
        <f aca="false">SUMIFS(tabela_registros[VALOR],tabela_registros[MÊS],$AE$1,tabela_registros[DIA],investirrendavariávelconsolidadoout[[#Headers],[24]],tabela_registros[REGISTRO],DADOS!$N$5,tabela_registros[TIPO],DADOS!$AB$4,tabela_registros[CATEGORIA],investirrendavariávelconsolidadoout[[#This Row],[ATUAL]])</f>
        <v>0</v>
      </c>
      <c r="AC134" s="119" t="n">
        <f aca="false">SUMIFS(tabela_registros[VALOR],tabela_registros[MÊS],$AE$1,tabela_registros[DIA],investirrendavariávelconsolidadoout[[#Headers],[25]],tabela_registros[REGISTRO],DADOS!$N$5,tabela_registros[TIPO],DADOS!$AB$4,tabela_registros[CATEGORIA],investirrendavariávelconsolidadoout[[#This Row],[ATUAL]])</f>
        <v>0</v>
      </c>
      <c r="AD134" s="119" t="n">
        <f aca="false">SUMIFS(tabela_registros[VALOR],tabela_registros[MÊS],$AE$1,tabela_registros[DIA],investirrendavariávelconsolidadoout[[#Headers],[26]],tabela_registros[REGISTRO],DADOS!$N$5,tabela_registros[TIPO],DADOS!$AB$4,tabela_registros[CATEGORIA],investirrendavariávelconsolidadoout[[#This Row],[ATUAL]])</f>
        <v>0</v>
      </c>
      <c r="AE134" s="119" t="n">
        <f aca="false">SUMIFS(tabela_registros[VALOR],tabela_registros[MÊS],$AE$1,tabela_registros[DIA],investirrendavariávelconsolidadoout[[#Headers],[27]],tabela_registros[REGISTRO],DADOS!$N$5,tabela_registros[TIPO],DADOS!$AB$4,tabela_registros[CATEGORIA],investirrendavariávelconsolidadoout[[#This Row],[ATUAL]])</f>
        <v>0</v>
      </c>
      <c r="AF134" s="119" t="n">
        <f aca="false">SUMIFS(tabela_registros[VALOR],tabela_registros[MÊS],$AE$1,tabela_registros[DIA],investirrendavariávelconsolidadoout[[#Headers],[28]],tabela_registros[REGISTRO],DADOS!$N$5,tabela_registros[TIPO],DADOS!$AB$4,tabela_registros[CATEGORIA],investirrendavariávelconsolidadoout[[#This Row],[ATUAL]])</f>
        <v>0</v>
      </c>
      <c r="AG134" s="119" t="n">
        <f aca="false">SUMIFS(tabela_registros[VALOR],tabela_registros[MÊS],$AE$1,tabela_registros[DIA],investirrendavariávelconsolidadoout[[#Headers],[29]],tabela_registros[REGISTRO],DADOS!$N$5,tabela_registros[TIPO],DADOS!$AB$4,tabela_registros[CATEGORIA],investirrendavariávelconsolidadoout[[#This Row],[ATUAL]])</f>
        <v>0</v>
      </c>
      <c r="AH134" s="119" t="n">
        <f aca="false">SUMIFS(tabela_registros[VALOR],tabela_registros[MÊS],$AE$1,tabela_registros[DIA],investirrendavariávelconsolidadoout[[#Headers],[30]],tabela_registros[REGISTRO],DADOS!$N$5,tabela_registros[TIPO],DADOS!$AB$4,tabela_registros[CATEGORIA],investirrendavariávelconsolidadoout[[#This Row],[ATUAL]])</f>
        <v>0</v>
      </c>
      <c r="AI134" s="217" t="n">
        <f aca="false">SUMIFS(tabela_registros[VALOR],tabela_registros[MÊS],$AE$1,tabela_registros[DIA],investirrendavariávelconsolidadoout[[#Headers],[31]],tabela_registros[REGISTRO],DADOS!$N$5,tabela_registros[TIPO],DADOS!$AB$4,tabela_registros[CATEGORIA],investirrendavariávelconsolidadoout[[#This Row],[ATUAL]])</f>
        <v>0</v>
      </c>
      <c r="AJ134" s="149" t="n">
        <f aca="false">SUM(investirrendavariávelconsolidadoout[[#This Row],[1]:[31]])</f>
        <v>0</v>
      </c>
      <c r="AK134" s="165"/>
    </row>
    <row r="135" customFormat="false" ht="19.5" hidden="false" customHeight="true" outlineLevel="0" collapsed="false">
      <c r="B135" s="143"/>
      <c r="C135" s="144" t="str">
        <f aca="false">DADOS!$AF$6</f>
        <v>📝 CONTRATO DE OPÇÕES</v>
      </c>
      <c r="D135" s="145" t="str">
        <f aca="false">IF(investirrendavariávelconsolidadoout[[#This Row],[TOTAL (R$)]]=0,"",IF(OR(investirrendavariávelconsolidadoout[[#This Row],[TOTAL (R$)]]=LARGE($AJ$132:$AJ$141,1),investirrendavariávelconsolidadoout[[#This Row],[TOTAL (R$)]]=LARGE($AJ$132:$AJ$141,2)),DADOS!$I$10,""))</f>
        <v/>
      </c>
      <c r="E135" s="148" t="n">
        <f aca="false">SUMIFS(tabela_registros[VALOR],tabela_registros[MÊS],$AE$1,tabela_registros[DIA],investirrendavariávelconsolidadoout[[#Headers],[1]],tabela_registros[REGISTRO],DADOS!$N$5,tabela_registros[TIPO],DADOS!$AB$4,tabela_registros[CATEGORIA],investirrendavariávelconsolidadoout[[#This Row],[ATUAL]])</f>
        <v>0</v>
      </c>
      <c r="F135" s="119" t="n">
        <f aca="false">SUMIFS(tabela_registros[VALOR],tabela_registros[MÊS],$AE$1,tabela_registros[DIA],investirrendavariávelconsolidadoout[[#Headers],[2]],tabela_registros[REGISTRO],DADOS!$N$5,tabela_registros[TIPO],DADOS!$AB$4,tabela_registros[CATEGORIA],investirrendavariávelconsolidadoout[[#This Row],[ATUAL]])</f>
        <v>0</v>
      </c>
      <c r="G135" s="119" t="n">
        <f aca="false">SUMIFS(tabela_registros[VALOR],tabela_registros[MÊS],$AE$1,tabela_registros[DIA],investirrendavariávelconsolidadoout[[#Headers],[3]],tabela_registros[REGISTRO],DADOS!$N$5,tabela_registros[TIPO],DADOS!$AB$4,tabela_registros[CATEGORIA],investirrendavariávelconsolidadoout[[#This Row],[ATUAL]])</f>
        <v>0</v>
      </c>
      <c r="H135" s="119" t="n">
        <f aca="false">SUMIFS(tabela_registros[VALOR],tabela_registros[MÊS],$AE$1,tabela_registros[DIA],investirrendavariávelconsolidadoout[[#Headers],[4]],tabela_registros[REGISTRO],DADOS!$N$5,tabela_registros[TIPO],DADOS!$AB$4,tabela_registros[CATEGORIA],investirrendavariávelconsolidadoout[[#This Row],[ATUAL]])</f>
        <v>0</v>
      </c>
      <c r="I135" s="119" t="n">
        <f aca="false">SUMIFS(tabela_registros[VALOR],tabela_registros[MÊS],$AE$1,tabela_registros[DIA],investirrendavariávelconsolidadoout[[#Headers],[5]],tabela_registros[REGISTRO],DADOS!$N$5,tabela_registros[TIPO],DADOS!$AB$4,tabela_registros[CATEGORIA],investirrendavariávelconsolidadoout[[#This Row],[ATUAL]])</f>
        <v>0</v>
      </c>
      <c r="J135" s="119" t="n">
        <f aca="false">SUMIFS(tabela_registros[VALOR],tabela_registros[MÊS],$AE$1,tabela_registros[DIA],investirrendavariávelconsolidadoout[[#Headers],[6]],tabela_registros[REGISTRO],DADOS!$N$5,tabela_registros[TIPO],DADOS!$AB$4,tabela_registros[CATEGORIA],investirrendavariávelconsolidadoout[[#This Row],[ATUAL]])</f>
        <v>0</v>
      </c>
      <c r="K135" s="119" t="n">
        <f aca="false">SUMIFS(tabela_registros[VALOR],tabela_registros[MÊS],$AE$1,tabela_registros[DIA],investirrendavariávelconsolidadoout[[#Headers],[7]],tabela_registros[REGISTRO],DADOS!$N$5,tabela_registros[TIPO],DADOS!$AB$4,tabela_registros[CATEGORIA],investirrendavariávelconsolidadoout[[#This Row],[ATUAL]])</f>
        <v>0</v>
      </c>
      <c r="L135" s="119" t="n">
        <f aca="false">SUMIFS(tabela_registros[VALOR],tabela_registros[MÊS],$AE$1,tabela_registros[DIA],investirrendavariávelconsolidadoout[[#Headers],[8]],tabela_registros[REGISTRO],DADOS!$N$5,tabela_registros[TIPO],DADOS!$AB$4,tabela_registros[CATEGORIA],investirrendavariávelconsolidadoout[[#This Row],[ATUAL]])</f>
        <v>0</v>
      </c>
      <c r="M135" s="119" t="n">
        <f aca="false">SUMIFS(tabela_registros[VALOR],tabela_registros[MÊS],$AE$1,tabela_registros[DIA],investirrendavariávelconsolidadoout[[#Headers],[9]],tabela_registros[REGISTRO],DADOS!$N$5,tabela_registros[TIPO],DADOS!$AB$4,tabela_registros[CATEGORIA],investirrendavariávelconsolidadoout[[#This Row],[ATUAL]])</f>
        <v>0</v>
      </c>
      <c r="N135" s="119" t="n">
        <f aca="false">SUMIFS(tabela_registros[VALOR],tabela_registros[MÊS],$AE$1,tabela_registros[DIA],investirrendavariávelconsolidadoout[[#Headers],[10]],tabela_registros[REGISTRO],DADOS!$N$5,tabela_registros[TIPO],DADOS!$AB$4,tabela_registros[CATEGORIA],investirrendavariávelconsolidadoout[[#This Row],[ATUAL]])</f>
        <v>0</v>
      </c>
      <c r="O135" s="119" t="n">
        <f aca="false">SUMIFS(tabela_registros[VALOR],tabela_registros[MÊS],$AE$1,tabela_registros[DIA],investirrendavariávelconsolidadoout[[#Headers],[11]],tabela_registros[REGISTRO],DADOS!$N$5,tabela_registros[TIPO],DADOS!$AB$4,tabela_registros[CATEGORIA],investirrendavariávelconsolidadoout[[#This Row],[ATUAL]])</f>
        <v>0</v>
      </c>
      <c r="P135" s="119" t="n">
        <f aca="false">SUMIFS(tabela_registros[VALOR],tabela_registros[MÊS],$AE$1,tabela_registros[DIA],investirrendavariávelconsolidadoout[[#Headers],[12]],tabela_registros[REGISTRO],DADOS!$N$5,tabela_registros[TIPO],DADOS!$AB$4,tabela_registros[CATEGORIA],investirrendavariávelconsolidadoout[[#This Row],[ATUAL]])</f>
        <v>0</v>
      </c>
      <c r="Q135" s="119" t="n">
        <f aca="false">SUMIFS(tabela_registros[VALOR],tabela_registros[MÊS],$AE$1,tabela_registros[DIA],investirrendavariávelconsolidadoout[[#Headers],[13]],tabela_registros[REGISTRO],DADOS!$N$5,tabela_registros[TIPO],DADOS!$AB$4,tabela_registros[CATEGORIA],investirrendavariávelconsolidadoout[[#This Row],[ATUAL]])</f>
        <v>0</v>
      </c>
      <c r="R135" s="119" t="n">
        <f aca="false">SUMIFS(tabela_registros[VALOR],tabela_registros[MÊS],$AE$1,tabela_registros[DIA],investirrendavariávelconsolidadoout[[#Headers],[14]],tabela_registros[REGISTRO],DADOS!$N$5,tabela_registros[TIPO],DADOS!$AB$4,tabela_registros[CATEGORIA],investirrendavariávelconsolidadoout[[#This Row],[ATUAL]])</f>
        <v>0</v>
      </c>
      <c r="S135" s="119" t="n">
        <f aca="false">SUMIFS(tabela_registros[VALOR],tabela_registros[MÊS],$AE$1,tabela_registros[DIA],investirrendavariávelconsolidadoout[[#Headers],[15]],tabela_registros[REGISTRO],DADOS!$N$5,tabela_registros[TIPO],DADOS!$AB$4,tabela_registros[CATEGORIA],investirrendavariávelconsolidadoout[[#This Row],[ATUAL]])</f>
        <v>0</v>
      </c>
      <c r="T135" s="119" t="n">
        <f aca="false">SUMIFS(tabela_registros[VALOR],tabela_registros[MÊS],$AE$1,tabela_registros[DIA],investirrendavariávelconsolidadoout[[#Headers],[16]],tabela_registros[REGISTRO],DADOS!$N$5,tabela_registros[TIPO],DADOS!$AB$4,tabela_registros[CATEGORIA],investirrendavariávelconsolidadoout[[#This Row],[ATUAL]])</f>
        <v>0</v>
      </c>
      <c r="U135" s="119" t="n">
        <f aca="false">SUMIFS(tabela_registros[VALOR],tabela_registros[MÊS],$AE$1,tabela_registros[DIA],investirrendavariávelconsolidadoout[[#Headers],[17]],tabela_registros[REGISTRO],DADOS!$N$5,tabela_registros[TIPO],DADOS!$AB$4,tabela_registros[CATEGORIA],investirrendavariávelconsolidadoout[[#This Row],[ATUAL]])</f>
        <v>0</v>
      </c>
      <c r="V135" s="119" t="n">
        <f aca="false">SUMIFS(tabela_registros[VALOR],tabela_registros[MÊS],$AE$1,tabela_registros[DIA],investirrendavariávelconsolidadoout[[#Headers],[18]],tabela_registros[REGISTRO],DADOS!$N$5,tabela_registros[TIPO],DADOS!$AB$4,tabela_registros[CATEGORIA],investirrendavariávelconsolidadoout[[#This Row],[ATUAL]])</f>
        <v>0</v>
      </c>
      <c r="W135" s="119" t="n">
        <f aca="false">SUMIFS(tabela_registros[VALOR],tabela_registros[MÊS],$AE$1,tabela_registros[DIA],investirrendavariávelconsolidadoout[[#Headers],[19]],tabela_registros[REGISTRO],DADOS!$N$5,tabela_registros[TIPO],DADOS!$AB$4,tabela_registros[CATEGORIA],investirrendavariávelconsolidadoout[[#This Row],[ATUAL]])</f>
        <v>0</v>
      </c>
      <c r="X135" s="119" t="n">
        <f aca="false">SUMIFS(tabela_registros[VALOR],tabela_registros[MÊS],$AE$1,tabela_registros[DIA],investirrendavariávelconsolidadoout[[#Headers],[20]],tabela_registros[REGISTRO],DADOS!$N$5,tabela_registros[TIPO],DADOS!$AB$4,tabela_registros[CATEGORIA],investirrendavariávelconsolidadoout[[#This Row],[ATUAL]])</f>
        <v>0</v>
      </c>
      <c r="Y135" s="119" t="n">
        <f aca="false">SUMIFS(tabela_registros[VALOR],tabela_registros[MÊS],$AE$1,tabela_registros[DIA],investirrendavariávelconsolidadoout[[#Headers],[21]],tabela_registros[REGISTRO],DADOS!$N$5,tabela_registros[TIPO],DADOS!$AB$4,tabela_registros[CATEGORIA],investirrendavariávelconsolidadoout[[#This Row],[ATUAL]])</f>
        <v>0</v>
      </c>
      <c r="Z135" s="119" t="n">
        <f aca="false">SUMIFS(tabela_registros[VALOR],tabela_registros[MÊS],$AE$1,tabela_registros[DIA],investirrendavariávelconsolidadoout[[#Headers],[22]],tabela_registros[REGISTRO],DADOS!$N$5,tabela_registros[TIPO],DADOS!$AB$4,tabela_registros[CATEGORIA],investirrendavariávelconsolidadoout[[#This Row],[ATUAL]])</f>
        <v>0</v>
      </c>
      <c r="AA135" s="119" t="n">
        <f aca="false">SUMIFS(tabela_registros[VALOR],tabela_registros[MÊS],$AE$1,tabela_registros[DIA],investirrendavariávelconsolidadoout[[#Headers],[23]],tabela_registros[REGISTRO],DADOS!$N$5,tabela_registros[TIPO],DADOS!$AB$4,tabela_registros[CATEGORIA],investirrendavariávelconsolidadoout[[#This Row],[ATUAL]])</f>
        <v>0</v>
      </c>
      <c r="AB135" s="119" t="n">
        <f aca="false">SUMIFS(tabela_registros[VALOR],tabela_registros[MÊS],$AE$1,tabela_registros[DIA],investirrendavariávelconsolidadoout[[#Headers],[24]],tabela_registros[REGISTRO],DADOS!$N$5,tabela_registros[TIPO],DADOS!$AB$4,tabela_registros[CATEGORIA],investirrendavariávelconsolidadoout[[#This Row],[ATUAL]])</f>
        <v>0</v>
      </c>
      <c r="AC135" s="119" t="n">
        <f aca="false">SUMIFS(tabela_registros[VALOR],tabela_registros[MÊS],$AE$1,tabela_registros[DIA],investirrendavariávelconsolidadoout[[#Headers],[25]],tabela_registros[REGISTRO],DADOS!$N$5,tabela_registros[TIPO],DADOS!$AB$4,tabela_registros[CATEGORIA],investirrendavariávelconsolidadoout[[#This Row],[ATUAL]])</f>
        <v>0</v>
      </c>
      <c r="AD135" s="119" t="n">
        <f aca="false">SUMIFS(tabela_registros[VALOR],tabela_registros[MÊS],$AE$1,tabela_registros[DIA],investirrendavariávelconsolidadoout[[#Headers],[26]],tabela_registros[REGISTRO],DADOS!$N$5,tabela_registros[TIPO],DADOS!$AB$4,tabela_registros[CATEGORIA],investirrendavariávelconsolidadoout[[#This Row],[ATUAL]])</f>
        <v>0</v>
      </c>
      <c r="AE135" s="119" t="n">
        <f aca="false">SUMIFS(tabela_registros[VALOR],tabela_registros[MÊS],$AE$1,tabela_registros[DIA],investirrendavariávelconsolidadoout[[#Headers],[27]],tabela_registros[REGISTRO],DADOS!$N$5,tabela_registros[TIPO],DADOS!$AB$4,tabela_registros[CATEGORIA],investirrendavariávelconsolidadoout[[#This Row],[ATUAL]])</f>
        <v>0</v>
      </c>
      <c r="AF135" s="119" t="n">
        <f aca="false">SUMIFS(tabela_registros[VALOR],tabela_registros[MÊS],$AE$1,tabela_registros[DIA],investirrendavariávelconsolidadoout[[#Headers],[28]],tabela_registros[REGISTRO],DADOS!$N$5,tabela_registros[TIPO],DADOS!$AB$4,tabela_registros[CATEGORIA],investirrendavariávelconsolidadoout[[#This Row],[ATUAL]])</f>
        <v>0</v>
      </c>
      <c r="AG135" s="119" t="n">
        <f aca="false">SUMIFS(tabela_registros[VALOR],tabela_registros[MÊS],$AE$1,tabela_registros[DIA],investirrendavariávelconsolidadoout[[#Headers],[29]],tabela_registros[REGISTRO],DADOS!$N$5,tabela_registros[TIPO],DADOS!$AB$4,tabela_registros[CATEGORIA],investirrendavariávelconsolidadoout[[#This Row],[ATUAL]])</f>
        <v>0</v>
      </c>
      <c r="AH135" s="119" t="n">
        <f aca="false">SUMIFS(tabela_registros[VALOR],tabela_registros[MÊS],$AE$1,tabela_registros[DIA],investirrendavariávelconsolidadoout[[#Headers],[30]],tabela_registros[REGISTRO],DADOS!$N$5,tabela_registros[TIPO],DADOS!$AB$4,tabela_registros[CATEGORIA],investirrendavariávelconsolidadoout[[#This Row],[ATUAL]])</f>
        <v>0</v>
      </c>
      <c r="AI135" s="217" t="n">
        <f aca="false">SUMIFS(tabela_registros[VALOR],tabela_registros[MÊS],$AE$1,tabela_registros[DIA],investirrendavariávelconsolidadoout[[#Headers],[31]],tabela_registros[REGISTRO],DADOS!$N$5,tabela_registros[TIPO],DADOS!$AB$4,tabela_registros[CATEGORIA],investirrendavariávelconsolidadoout[[#This Row],[ATUAL]])</f>
        <v>0</v>
      </c>
      <c r="AJ135" s="149" t="n">
        <f aca="false">SUM(investirrendavariávelconsolidadoout[[#This Row],[1]:[31]])</f>
        <v>0</v>
      </c>
      <c r="AK135" s="165"/>
    </row>
    <row r="136" customFormat="false" ht="19.5" hidden="false" customHeight="true" outlineLevel="0" collapsed="false">
      <c r="B136" s="143"/>
      <c r="C136" s="144" t="str">
        <f aca="false">DADOS!$AF$7</f>
        <v>📝 CRIPTOMOEDA</v>
      </c>
      <c r="D136" s="145" t="str">
        <f aca="false">IF(investirrendavariávelconsolidadoout[[#This Row],[TOTAL (R$)]]=0,"",IF(OR(investirrendavariávelconsolidadoout[[#This Row],[TOTAL (R$)]]=LARGE($AJ$132:$AJ$141,1),investirrendavariávelconsolidadoout[[#This Row],[TOTAL (R$)]]=LARGE($AJ$132:$AJ$141,2)),DADOS!$I$10,""))</f>
        <v/>
      </c>
      <c r="E136" s="148" t="n">
        <f aca="false">SUMIFS(tabela_registros[VALOR],tabela_registros[MÊS],$AE$1,tabela_registros[DIA],investirrendavariávelconsolidadoout[[#Headers],[1]],tabela_registros[REGISTRO],DADOS!$N$5,tabela_registros[TIPO],DADOS!$AB$4,tabela_registros[CATEGORIA],investirrendavariávelconsolidadoout[[#This Row],[ATUAL]])</f>
        <v>0</v>
      </c>
      <c r="F136" s="119" t="n">
        <f aca="false">SUMIFS(tabela_registros[VALOR],tabela_registros[MÊS],$AE$1,tabela_registros[DIA],investirrendavariávelconsolidadoout[[#Headers],[2]],tabela_registros[REGISTRO],DADOS!$N$5,tabela_registros[TIPO],DADOS!$AB$4,tabela_registros[CATEGORIA],investirrendavariávelconsolidadoout[[#This Row],[ATUAL]])</f>
        <v>0</v>
      </c>
      <c r="G136" s="119" t="n">
        <f aca="false">SUMIFS(tabela_registros[VALOR],tabela_registros[MÊS],$AE$1,tabela_registros[DIA],investirrendavariávelconsolidadoout[[#Headers],[3]],tabela_registros[REGISTRO],DADOS!$N$5,tabela_registros[TIPO],DADOS!$AB$4,tabela_registros[CATEGORIA],investirrendavariávelconsolidadoout[[#This Row],[ATUAL]])</f>
        <v>0</v>
      </c>
      <c r="H136" s="119" t="n">
        <f aca="false">SUMIFS(tabela_registros[VALOR],tabela_registros[MÊS],$AE$1,tabela_registros[DIA],investirrendavariávelconsolidadoout[[#Headers],[4]],tabela_registros[REGISTRO],DADOS!$N$5,tabela_registros[TIPO],DADOS!$AB$4,tabela_registros[CATEGORIA],investirrendavariávelconsolidadoout[[#This Row],[ATUAL]])</f>
        <v>0</v>
      </c>
      <c r="I136" s="119" t="n">
        <f aca="false">SUMIFS(tabela_registros[VALOR],tabela_registros[MÊS],$AE$1,tabela_registros[DIA],investirrendavariávelconsolidadoout[[#Headers],[5]],tabela_registros[REGISTRO],DADOS!$N$5,tabela_registros[TIPO],DADOS!$AB$4,tabela_registros[CATEGORIA],investirrendavariávelconsolidadoout[[#This Row],[ATUAL]])</f>
        <v>0</v>
      </c>
      <c r="J136" s="119" t="n">
        <f aca="false">SUMIFS(tabela_registros[VALOR],tabela_registros[MÊS],$AE$1,tabela_registros[DIA],investirrendavariávelconsolidadoout[[#Headers],[6]],tabela_registros[REGISTRO],DADOS!$N$5,tabela_registros[TIPO],DADOS!$AB$4,tabela_registros[CATEGORIA],investirrendavariávelconsolidadoout[[#This Row],[ATUAL]])</f>
        <v>0</v>
      </c>
      <c r="K136" s="119" t="n">
        <f aca="false">SUMIFS(tabela_registros[VALOR],tabela_registros[MÊS],$AE$1,tabela_registros[DIA],investirrendavariávelconsolidadoout[[#Headers],[7]],tabela_registros[REGISTRO],DADOS!$N$5,tabela_registros[TIPO],DADOS!$AB$4,tabela_registros[CATEGORIA],investirrendavariávelconsolidadoout[[#This Row],[ATUAL]])</f>
        <v>0</v>
      </c>
      <c r="L136" s="119" t="n">
        <f aca="false">SUMIFS(tabela_registros[VALOR],tabela_registros[MÊS],$AE$1,tabela_registros[DIA],investirrendavariávelconsolidadoout[[#Headers],[8]],tabela_registros[REGISTRO],DADOS!$N$5,tabela_registros[TIPO],DADOS!$AB$4,tabela_registros[CATEGORIA],investirrendavariávelconsolidadoout[[#This Row],[ATUAL]])</f>
        <v>0</v>
      </c>
      <c r="M136" s="119" t="n">
        <f aca="false">SUMIFS(tabela_registros[VALOR],tabela_registros[MÊS],$AE$1,tabela_registros[DIA],investirrendavariávelconsolidadoout[[#Headers],[9]],tabela_registros[REGISTRO],DADOS!$N$5,tabela_registros[TIPO],DADOS!$AB$4,tabela_registros[CATEGORIA],investirrendavariávelconsolidadoout[[#This Row],[ATUAL]])</f>
        <v>0</v>
      </c>
      <c r="N136" s="119" t="n">
        <f aca="false">SUMIFS(tabela_registros[VALOR],tabela_registros[MÊS],$AE$1,tabela_registros[DIA],investirrendavariávelconsolidadoout[[#Headers],[10]],tabela_registros[REGISTRO],DADOS!$N$5,tabela_registros[TIPO],DADOS!$AB$4,tabela_registros[CATEGORIA],investirrendavariávelconsolidadoout[[#This Row],[ATUAL]])</f>
        <v>0</v>
      </c>
      <c r="O136" s="119" t="n">
        <f aca="false">SUMIFS(tabela_registros[VALOR],tabela_registros[MÊS],$AE$1,tabela_registros[DIA],investirrendavariávelconsolidadoout[[#Headers],[11]],tabela_registros[REGISTRO],DADOS!$N$5,tabela_registros[TIPO],DADOS!$AB$4,tabela_registros[CATEGORIA],investirrendavariávelconsolidadoout[[#This Row],[ATUAL]])</f>
        <v>0</v>
      </c>
      <c r="P136" s="119" t="n">
        <f aca="false">SUMIFS(tabela_registros[VALOR],tabela_registros[MÊS],$AE$1,tabela_registros[DIA],investirrendavariávelconsolidadoout[[#Headers],[12]],tabela_registros[REGISTRO],DADOS!$N$5,tabela_registros[TIPO],DADOS!$AB$4,tabela_registros[CATEGORIA],investirrendavariávelconsolidadoout[[#This Row],[ATUAL]])</f>
        <v>0</v>
      </c>
      <c r="Q136" s="119" t="n">
        <f aca="false">SUMIFS(tabela_registros[VALOR],tabela_registros[MÊS],$AE$1,tabela_registros[DIA],investirrendavariávelconsolidadoout[[#Headers],[13]],tabela_registros[REGISTRO],DADOS!$N$5,tabela_registros[TIPO],DADOS!$AB$4,tabela_registros[CATEGORIA],investirrendavariávelconsolidadoout[[#This Row],[ATUAL]])</f>
        <v>0</v>
      </c>
      <c r="R136" s="119" t="n">
        <f aca="false">SUMIFS(tabela_registros[VALOR],tabela_registros[MÊS],$AE$1,tabela_registros[DIA],investirrendavariávelconsolidadoout[[#Headers],[14]],tabela_registros[REGISTRO],DADOS!$N$5,tabela_registros[TIPO],DADOS!$AB$4,tabela_registros[CATEGORIA],investirrendavariávelconsolidadoout[[#This Row],[ATUAL]])</f>
        <v>0</v>
      </c>
      <c r="S136" s="119" t="n">
        <f aca="false">SUMIFS(tabela_registros[VALOR],tabela_registros[MÊS],$AE$1,tabela_registros[DIA],investirrendavariávelconsolidadoout[[#Headers],[15]],tabela_registros[REGISTRO],DADOS!$N$5,tabela_registros[TIPO],DADOS!$AB$4,tabela_registros[CATEGORIA],investirrendavariávelconsolidadoout[[#This Row],[ATUAL]])</f>
        <v>0</v>
      </c>
      <c r="T136" s="119" t="n">
        <f aca="false">SUMIFS(tabela_registros[VALOR],tabela_registros[MÊS],$AE$1,tabela_registros[DIA],investirrendavariávelconsolidadoout[[#Headers],[16]],tabela_registros[REGISTRO],DADOS!$N$5,tabela_registros[TIPO],DADOS!$AB$4,tabela_registros[CATEGORIA],investirrendavariávelconsolidadoout[[#This Row],[ATUAL]])</f>
        <v>0</v>
      </c>
      <c r="U136" s="119" t="n">
        <f aca="false">SUMIFS(tabela_registros[VALOR],tabela_registros[MÊS],$AE$1,tabela_registros[DIA],investirrendavariávelconsolidadoout[[#Headers],[17]],tabela_registros[REGISTRO],DADOS!$N$5,tabela_registros[TIPO],DADOS!$AB$4,tabela_registros[CATEGORIA],investirrendavariávelconsolidadoout[[#This Row],[ATUAL]])</f>
        <v>0</v>
      </c>
      <c r="V136" s="119" t="n">
        <f aca="false">SUMIFS(tabela_registros[VALOR],tabela_registros[MÊS],$AE$1,tabela_registros[DIA],investirrendavariávelconsolidadoout[[#Headers],[18]],tabela_registros[REGISTRO],DADOS!$N$5,tabela_registros[TIPO],DADOS!$AB$4,tabela_registros[CATEGORIA],investirrendavariávelconsolidadoout[[#This Row],[ATUAL]])</f>
        <v>0</v>
      </c>
      <c r="W136" s="119" t="n">
        <f aca="false">SUMIFS(tabela_registros[VALOR],tabela_registros[MÊS],$AE$1,tabela_registros[DIA],investirrendavariávelconsolidadoout[[#Headers],[19]],tabela_registros[REGISTRO],DADOS!$N$5,tabela_registros[TIPO],DADOS!$AB$4,tabela_registros[CATEGORIA],investirrendavariávelconsolidadoout[[#This Row],[ATUAL]])</f>
        <v>0</v>
      </c>
      <c r="X136" s="119" t="n">
        <f aca="false">SUMIFS(tabela_registros[VALOR],tabela_registros[MÊS],$AE$1,tabela_registros[DIA],investirrendavariávelconsolidadoout[[#Headers],[20]],tabela_registros[REGISTRO],DADOS!$N$5,tabela_registros[TIPO],DADOS!$AB$4,tabela_registros[CATEGORIA],investirrendavariávelconsolidadoout[[#This Row],[ATUAL]])</f>
        <v>0</v>
      </c>
      <c r="Y136" s="119" t="n">
        <f aca="false">SUMIFS(tabela_registros[VALOR],tabela_registros[MÊS],$AE$1,tabela_registros[DIA],investirrendavariávelconsolidadoout[[#Headers],[21]],tabela_registros[REGISTRO],DADOS!$N$5,tabela_registros[TIPO],DADOS!$AB$4,tabela_registros[CATEGORIA],investirrendavariávelconsolidadoout[[#This Row],[ATUAL]])</f>
        <v>0</v>
      </c>
      <c r="Z136" s="119" t="n">
        <f aca="false">SUMIFS(tabela_registros[VALOR],tabela_registros[MÊS],$AE$1,tabela_registros[DIA],investirrendavariávelconsolidadoout[[#Headers],[22]],tabela_registros[REGISTRO],DADOS!$N$5,tabela_registros[TIPO],DADOS!$AB$4,tabela_registros[CATEGORIA],investirrendavariávelconsolidadoout[[#This Row],[ATUAL]])</f>
        <v>0</v>
      </c>
      <c r="AA136" s="119" t="n">
        <f aca="false">SUMIFS(tabela_registros[VALOR],tabela_registros[MÊS],$AE$1,tabela_registros[DIA],investirrendavariávelconsolidadoout[[#Headers],[23]],tabela_registros[REGISTRO],DADOS!$N$5,tabela_registros[TIPO],DADOS!$AB$4,tabela_registros[CATEGORIA],investirrendavariávelconsolidadoout[[#This Row],[ATUAL]])</f>
        <v>0</v>
      </c>
      <c r="AB136" s="119" t="n">
        <f aca="false">SUMIFS(tabela_registros[VALOR],tabela_registros[MÊS],$AE$1,tabela_registros[DIA],investirrendavariávelconsolidadoout[[#Headers],[24]],tabela_registros[REGISTRO],DADOS!$N$5,tabela_registros[TIPO],DADOS!$AB$4,tabela_registros[CATEGORIA],investirrendavariávelconsolidadoout[[#This Row],[ATUAL]])</f>
        <v>0</v>
      </c>
      <c r="AC136" s="119" t="n">
        <f aca="false">SUMIFS(tabela_registros[VALOR],tabela_registros[MÊS],$AE$1,tabela_registros[DIA],investirrendavariávelconsolidadoout[[#Headers],[25]],tabela_registros[REGISTRO],DADOS!$N$5,tabela_registros[TIPO],DADOS!$AB$4,tabela_registros[CATEGORIA],investirrendavariávelconsolidadoout[[#This Row],[ATUAL]])</f>
        <v>0</v>
      </c>
      <c r="AD136" s="119" t="n">
        <f aca="false">SUMIFS(tabela_registros[VALOR],tabela_registros[MÊS],$AE$1,tabela_registros[DIA],investirrendavariávelconsolidadoout[[#Headers],[26]],tabela_registros[REGISTRO],DADOS!$N$5,tabela_registros[TIPO],DADOS!$AB$4,tabela_registros[CATEGORIA],investirrendavariávelconsolidadoout[[#This Row],[ATUAL]])</f>
        <v>0</v>
      </c>
      <c r="AE136" s="119" t="n">
        <f aca="false">SUMIFS(tabela_registros[VALOR],tabela_registros[MÊS],$AE$1,tabela_registros[DIA],investirrendavariávelconsolidadoout[[#Headers],[27]],tabela_registros[REGISTRO],DADOS!$N$5,tabela_registros[TIPO],DADOS!$AB$4,tabela_registros[CATEGORIA],investirrendavariávelconsolidadoout[[#This Row],[ATUAL]])</f>
        <v>0</v>
      </c>
      <c r="AF136" s="119" t="n">
        <f aca="false">SUMIFS(tabela_registros[VALOR],tabela_registros[MÊS],$AE$1,tabela_registros[DIA],investirrendavariávelconsolidadoout[[#Headers],[28]],tabela_registros[REGISTRO],DADOS!$N$5,tabela_registros[TIPO],DADOS!$AB$4,tabela_registros[CATEGORIA],investirrendavariávelconsolidadoout[[#This Row],[ATUAL]])</f>
        <v>0</v>
      </c>
      <c r="AG136" s="119" t="n">
        <f aca="false">SUMIFS(tabela_registros[VALOR],tabela_registros[MÊS],$AE$1,tabela_registros[DIA],investirrendavariávelconsolidadoout[[#Headers],[29]],tabela_registros[REGISTRO],DADOS!$N$5,tabela_registros[TIPO],DADOS!$AB$4,tabela_registros[CATEGORIA],investirrendavariávelconsolidadoout[[#This Row],[ATUAL]])</f>
        <v>0</v>
      </c>
      <c r="AH136" s="119" t="n">
        <f aca="false">SUMIFS(tabela_registros[VALOR],tabela_registros[MÊS],$AE$1,tabela_registros[DIA],investirrendavariávelconsolidadoout[[#Headers],[30]],tabela_registros[REGISTRO],DADOS!$N$5,tabela_registros[TIPO],DADOS!$AB$4,tabela_registros[CATEGORIA],investirrendavariávelconsolidadoout[[#This Row],[ATUAL]])</f>
        <v>0</v>
      </c>
      <c r="AI136" s="217" t="n">
        <f aca="false">SUMIFS(tabela_registros[VALOR],tabela_registros[MÊS],$AE$1,tabela_registros[DIA],investirrendavariávelconsolidadoout[[#Headers],[31]],tabela_registros[REGISTRO],DADOS!$N$5,tabela_registros[TIPO],DADOS!$AB$4,tabela_registros[CATEGORIA],investirrendavariávelconsolidadoout[[#This Row],[ATUAL]])</f>
        <v>0</v>
      </c>
      <c r="AJ136" s="237" t="n">
        <f aca="false">SUM(investirrendavariávelconsolidadoout[[#This Row],[1]:[31]])</f>
        <v>0</v>
      </c>
      <c r="AK136" s="165"/>
    </row>
    <row r="137" customFormat="false" ht="19.5" hidden="false" customHeight="true" outlineLevel="0" collapsed="false">
      <c r="B137" s="143"/>
      <c r="C137" s="144" t="str">
        <f aca="false">DADOS!$AF$8</f>
        <v>📝 ETF</v>
      </c>
      <c r="D137" s="145" t="str">
        <f aca="false">IF(investirrendavariávelconsolidadoout[[#This Row],[TOTAL (R$)]]=0,"",IF(OR(investirrendavariávelconsolidadoout[[#This Row],[TOTAL (R$)]]=LARGE($AJ$132:$AJ$141,1),investirrendavariávelconsolidadoout[[#This Row],[TOTAL (R$)]]=LARGE($AJ$132:$AJ$141,2)),DADOS!$I$10,""))</f>
        <v/>
      </c>
      <c r="E137" s="148" t="n">
        <f aca="false">SUMIFS(tabela_registros[VALOR],tabela_registros[MÊS],$AE$1,tabela_registros[DIA],investirrendavariávelconsolidadoout[[#Headers],[1]],tabela_registros[REGISTRO],DADOS!$N$5,tabela_registros[TIPO],DADOS!$AB$4,tabela_registros[CATEGORIA],investirrendavariávelconsolidadoout[[#This Row],[ATUAL]])</f>
        <v>0</v>
      </c>
      <c r="F137" s="119" t="n">
        <f aca="false">SUMIFS(tabela_registros[VALOR],tabela_registros[MÊS],$AE$1,tabela_registros[DIA],investirrendavariávelconsolidadoout[[#Headers],[2]],tabela_registros[REGISTRO],DADOS!$N$5,tabela_registros[TIPO],DADOS!$AB$4,tabela_registros[CATEGORIA],investirrendavariávelconsolidadoout[[#This Row],[ATUAL]])</f>
        <v>0</v>
      </c>
      <c r="G137" s="119" t="n">
        <f aca="false">SUMIFS(tabela_registros[VALOR],tabela_registros[MÊS],$AE$1,tabela_registros[DIA],investirrendavariávelconsolidadoout[[#Headers],[3]],tabela_registros[REGISTRO],DADOS!$N$5,tabela_registros[TIPO],DADOS!$AB$4,tabela_registros[CATEGORIA],investirrendavariávelconsolidadoout[[#This Row],[ATUAL]])</f>
        <v>0</v>
      </c>
      <c r="H137" s="119" t="n">
        <f aca="false">SUMIFS(tabela_registros[VALOR],tabela_registros[MÊS],$AE$1,tabela_registros[DIA],investirrendavariávelconsolidadoout[[#Headers],[4]],tabela_registros[REGISTRO],DADOS!$N$5,tabela_registros[TIPO],DADOS!$AB$4,tabela_registros[CATEGORIA],investirrendavariávelconsolidadoout[[#This Row],[ATUAL]])</f>
        <v>0</v>
      </c>
      <c r="I137" s="119" t="n">
        <f aca="false">SUMIFS(tabela_registros[VALOR],tabela_registros[MÊS],$AE$1,tabela_registros[DIA],investirrendavariávelconsolidadoout[[#Headers],[5]],tabela_registros[REGISTRO],DADOS!$N$5,tabela_registros[TIPO],DADOS!$AB$4,tabela_registros[CATEGORIA],investirrendavariávelconsolidadoout[[#This Row],[ATUAL]])</f>
        <v>0</v>
      </c>
      <c r="J137" s="119" t="n">
        <f aca="false">SUMIFS(tabela_registros[VALOR],tabela_registros[MÊS],$AE$1,tabela_registros[DIA],investirrendavariávelconsolidadoout[[#Headers],[6]],tabela_registros[REGISTRO],DADOS!$N$5,tabela_registros[TIPO],DADOS!$AB$4,tabela_registros[CATEGORIA],investirrendavariávelconsolidadoout[[#This Row],[ATUAL]])</f>
        <v>0</v>
      </c>
      <c r="K137" s="119" t="n">
        <f aca="false">SUMIFS(tabela_registros[VALOR],tabela_registros[MÊS],$AE$1,tabela_registros[DIA],investirrendavariávelconsolidadoout[[#Headers],[7]],tabela_registros[REGISTRO],DADOS!$N$5,tabela_registros[TIPO],DADOS!$AB$4,tabela_registros[CATEGORIA],investirrendavariávelconsolidadoout[[#This Row],[ATUAL]])</f>
        <v>0</v>
      </c>
      <c r="L137" s="119" t="n">
        <f aca="false">SUMIFS(tabela_registros[VALOR],tabela_registros[MÊS],$AE$1,tabela_registros[DIA],investirrendavariávelconsolidadoout[[#Headers],[8]],tabela_registros[REGISTRO],DADOS!$N$5,tabela_registros[TIPO],DADOS!$AB$4,tabela_registros[CATEGORIA],investirrendavariávelconsolidadoout[[#This Row],[ATUAL]])</f>
        <v>0</v>
      </c>
      <c r="M137" s="119" t="n">
        <f aca="false">SUMIFS(tabela_registros[VALOR],tabela_registros[MÊS],$AE$1,tabela_registros[DIA],investirrendavariávelconsolidadoout[[#Headers],[9]],tabela_registros[REGISTRO],DADOS!$N$5,tabela_registros[TIPO],DADOS!$AB$4,tabela_registros[CATEGORIA],investirrendavariávelconsolidadoout[[#This Row],[ATUAL]])</f>
        <v>0</v>
      </c>
      <c r="N137" s="119" t="n">
        <f aca="false">SUMIFS(tabela_registros[VALOR],tabela_registros[MÊS],$AE$1,tabela_registros[DIA],investirrendavariávelconsolidadoout[[#Headers],[10]],tabela_registros[REGISTRO],DADOS!$N$5,tabela_registros[TIPO],DADOS!$AB$4,tabela_registros[CATEGORIA],investirrendavariávelconsolidadoout[[#This Row],[ATUAL]])</f>
        <v>0</v>
      </c>
      <c r="O137" s="119" t="n">
        <f aca="false">SUMIFS(tabela_registros[VALOR],tabela_registros[MÊS],$AE$1,tabela_registros[DIA],investirrendavariávelconsolidadoout[[#Headers],[11]],tabela_registros[REGISTRO],DADOS!$N$5,tabela_registros[TIPO],DADOS!$AB$4,tabela_registros[CATEGORIA],investirrendavariávelconsolidadoout[[#This Row],[ATUAL]])</f>
        <v>0</v>
      </c>
      <c r="P137" s="119" t="n">
        <f aca="false">SUMIFS(tabela_registros[VALOR],tabela_registros[MÊS],$AE$1,tabela_registros[DIA],investirrendavariávelconsolidadoout[[#Headers],[12]],tabela_registros[REGISTRO],DADOS!$N$5,tabela_registros[TIPO],DADOS!$AB$4,tabela_registros[CATEGORIA],investirrendavariávelconsolidadoout[[#This Row],[ATUAL]])</f>
        <v>0</v>
      </c>
      <c r="Q137" s="119" t="n">
        <f aca="false">SUMIFS(tabela_registros[VALOR],tabela_registros[MÊS],$AE$1,tabela_registros[DIA],investirrendavariávelconsolidadoout[[#Headers],[13]],tabela_registros[REGISTRO],DADOS!$N$5,tabela_registros[TIPO],DADOS!$AB$4,tabela_registros[CATEGORIA],investirrendavariávelconsolidadoout[[#This Row],[ATUAL]])</f>
        <v>0</v>
      </c>
      <c r="R137" s="119" t="n">
        <f aca="false">SUMIFS(tabela_registros[VALOR],tabela_registros[MÊS],$AE$1,tabela_registros[DIA],investirrendavariávelconsolidadoout[[#Headers],[14]],tabela_registros[REGISTRO],DADOS!$N$5,tabela_registros[TIPO],DADOS!$AB$4,tabela_registros[CATEGORIA],investirrendavariávelconsolidadoout[[#This Row],[ATUAL]])</f>
        <v>0</v>
      </c>
      <c r="S137" s="119" t="n">
        <f aca="false">SUMIFS(tabela_registros[VALOR],tabela_registros[MÊS],$AE$1,tabela_registros[DIA],investirrendavariávelconsolidadoout[[#Headers],[15]],tabela_registros[REGISTRO],DADOS!$N$5,tabela_registros[TIPO],DADOS!$AB$4,tabela_registros[CATEGORIA],investirrendavariávelconsolidadoout[[#This Row],[ATUAL]])</f>
        <v>0</v>
      </c>
      <c r="T137" s="119" t="n">
        <f aca="false">SUMIFS(tabela_registros[VALOR],tabela_registros[MÊS],$AE$1,tabela_registros[DIA],investirrendavariávelconsolidadoout[[#Headers],[16]],tabela_registros[REGISTRO],DADOS!$N$5,tabela_registros[TIPO],DADOS!$AB$4,tabela_registros[CATEGORIA],investirrendavariávelconsolidadoout[[#This Row],[ATUAL]])</f>
        <v>0</v>
      </c>
      <c r="U137" s="119" t="n">
        <f aca="false">SUMIFS(tabela_registros[VALOR],tabela_registros[MÊS],$AE$1,tabela_registros[DIA],investirrendavariávelconsolidadoout[[#Headers],[17]],tabela_registros[REGISTRO],DADOS!$N$5,tabela_registros[TIPO],DADOS!$AB$4,tabela_registros[CATEGORIA],investirrendavariávelconsolidadoout[[#This Row],[ATUAL]])</f>
        <v>0</v>
      </c>
      <c r="V137" s="119" t="n">
        <f aca="false">SUMIFS(tabela_registros[VALOR],tabela_registros[MÊS],$AE$1,tabela_registros[DIA],investirrendavariávelconsolidadoout[[#Headers],[18]],tabela_registros[REGISTRO],DADOS!$N$5,tabela_registros[TIPO],DADOS!$AB$4,tabela_registros[CATEGORIA],investirrendavariávelconsolidadoout[[#This Row],[ATUAL]])</f>
        <v>0</v>
      </c>
      <c r="W137" s="119" t="n">
        <f aca="false">SUMIFS(tabela_registros[VALOR],tabela_registros[MÊS],$AE$1,tabela_registros[DIA],investirrendavariávelconsolidadoout[[#Headers],[19]],tabela_registros[REGISTRO],DADOS!$N$5,tabela_registros[TIPO],DADOS!$AB$4,tabela_registros[CATEGORIA],investirrendavariávelconsolidadoout[[#This Row],[ATUAL]])</f>
        <v>0</v>
      </c>
      <c r="X137" s="119" t="n">
        <f aca="false">SUMIFS(tabela_registros[VALOR],tabela_registros[MÊS],$AE$1,tabela_registros[DIA],investirrendavariávelconsolidadoout[[#Headers],[20]],tabela_registros[REGISTRO],DADOS!$N$5,tabela_registros[TIPO],DADOS!$AB$4,tabela_registros[CATEGORIA],investirrendavariávelconsolidadoout[[#This Row],[ATUAL]])</f>
        <v>0</v>
      </c>
      <c r="Y137" s="119" t="n">
        <f aca="false">SUMIFS(tabela_registros[VALOR],tabela_registros[MÊS],$AE$1,tabela_registros[DIA],investirrendavariávelconsolidadoout[[#Headers],[21]],tabela_registros[REGISTRO],DADOS!$N$5,tabela_registros[TIPO],DADOS!$AB$4,tabela_registros[CATEGORIA],investirrendavariávelconsolidadoout[[#This Row],[ATUAL]])</f>
        <v>0</v>
      </c>
      <c r="Z137" s="119" t="n">
        <f aca="false">SUMIFS(tabela_registros[VALOR],tabela_registros[MÊS],$AE$1,tabela_registros[DIA],investirrendavariávelconsolidadoout[[#Headers],[22]],tabela_registros[REGISTRO],DADOS!$N$5,tabela_registros[TIPO],DADOS!$AB$4,tabela_registros[CATEGORIA],investirrendavariávelconsolidadoout[[#This Row],[ATUAL]])</f>
        <v>0</v>
      </c>
      <c r="AA137" s="119" t="n">
        <f aca="false">SUMIFS(tabela_registros[VALOR],tabela_registros[MÊS],$AE$1,tabela_registros[DIA],investirrendavariávelconsolidadoout[[#Headers],[23]],tabela_registros[REGISTRO],DADOS!$N$5,tabela_registros[TIPO],DADOS!$AB$4,tabela_registros[CATEGORIA],investirrendavariávelconsolidadoout[[#This Row],[ATUAL]])</f>
        <v>0</v>
      </c>
      <c r="AB137" s="119" t="n">
        <f aca="false">SUMIFS(tabela_registros[VALOR],tabela_registros[MÊS],$AE$1,tabela_registros[DIA],investirrendavariávelconsolidadoout[[#Headers],[24]],tabela_registros[REGISTRO],DADOS!$N$5,tabela_registros[TIPO],DADOS!$AB$4,tabela_registros[CATEGORIA],investirrendavariávelconsolidadoout[[#This Row],[ATUAL]])</f>
        <v>0</v>
      </c>
      <c r="AC137" s="119" t="n">
        <f aca="false">SUMIFS(tabela_registros[VALOR],tabela_registros[MÊS],$AE$1,tabela_registros[DIA],investirrendavariávelconsolidadoout[[#Headers],[25]],tabela_registros[REGISTRO],DADOS!$N$5,tabela_registros[TIPO],DADOS!$AB$4,tabela_registros[CATEGORIA],investirrendavariávelconsolidadoout[[#This Row],[ATUAL]])</f>
        <v>0</v>
      </c>
      <c r="AD137" s="119" t="n">
        <f aca="false">SUMIFS(tabela_registros[VALOR],tabela_registros[MÊS],$AE$1,tabela_registros[DIA],investirrendavariávelconsolidadoout[[#Headers],[26]],tabela_registros[REGISTRO],DADOS!$N$5,tabela_registros[TIPO],DADOS!$AB$4,tabela_registros[CATEGORIA],investirrendavariávelconsolidadoout[[#This Row],[ATUAL]])</f>
        <v>0</v>
      </c>
      <c r="AE137" s="119" t="n">
        <f aca="false">SUMIFS(tabela_registros[VALOR],tabela_registros[MÊS],$AE$1,tabela_registros[DIA],investirrendavariávelconsolidadoout[[#Headers],[27]],tabela_registros[REGISTRO],DADOS!$N$5,tabela_registros[TIPO],DADOS!$AB$4,tabela_registros[CATEGORIA],investirrendavariávelconsolidadoout[[#This Row],[ATUAL]])</f>
        <v>0</v>
      </c>
      <c r="AF137" s="119" t="n">
        <f aca="false">SUMIFS(tabela_registros[VALOR],tabela_registros[MÊS],$AE$1,tabela_registros[DIA],investirrendavariávelconsolidadoout[[#Headers],[28]],tabela_registros[REGISTRO],DADOS!$N$5,tabela_registros[TIPO],DADOS!$AB$4,tabela_registros[CATEGORIA],investirrendavariávelconsolidadoout[[#This Row],[ATUAL]])</f>
        <v>0</v>
      </c>
      <c r="AG137" s="119" t="n">
        <f aca="false">SUMIFS(tabela_registros[VALOR],tabela_registros[MÊS],$AE$1,tabela_registros[DIA],investirrendavariávelconsolidadoout[[#Headers],[29]],tabela_registros[REGISTRO],DADOS!$N$5,tabela_registros[TIPO],DADOS!$AB$4,tabela_registros[CATEGORIA],investirrendavariávelconsolidadoout[[#This Row],[ATUAL]])</f>
        <v>0</v>
      </c>
      <c r="AH137" s="119" t="n">
        <f aca="false">SUMIFS(tabela_registros[VALOR],tabela_registros[MÊS],$AE$1,tabela_registros[DIA],investirrendavariávelconsolidadoout[[#Headers],[30]],tabela_registros[REGISTRO],DADOS!$N$5,tabela_registros[TIPO],DADOS!$AB$4,tabela_registros[CATEGORIA],investirrendavariávelconsolidadoout[[#This Row],[ATUAL]])</f>
        <v>0</v>
      </c>
      <c r="AI137" s="217" t="n">
        <f aca="false">SUMIFS(tabela_registros[VALOR],tabela_registros[MÊS],$AE$1,tabela_registros[DIA],investirrendavariávelconsolidadoout[[#Headers],[31]],tabela_registros[REGISTRO],DADOS!$N$5,tabela_registros[TIPO],DADOS!$AB$4,tabela_registros[CATEGORIA],investirrendavariávelconsolidadoout[[#This Row],[ATUAL]])</f>
        <v>0</v>
      </c>
      <c r="AJ137" s="237" t="n">
        <f aca="false">SUM(investirrendavariávelconsolidadoout[[#This Row],[1]:[31]])</f>
        <v>0</v>
      </c>
      <c r="AK137" s="165"/>
    </row>
    <row r="138" customFormat="false" ht="19.5" hidden="false" customHeight="true" outlineLevel="0" collapsed="false">
      <c r="B138" s="143"/>
      <c r="C138" s="144" t="str">
        <f aca="false">DADOS!$AF$9</f>
        <v>📝 EXTERIOR</v>
      </c>
      <c r="D138" s="145" t="str">
        <f aca="false">IF(investirrendavariávelconsolidadoout[[#This Row],[TOTAL (R$)]]=0,"",IF(OR(investirrendavariávelconsolidadoout[[#This Row],[TOTAL (R$)]]=LARGE($AJ$132:$AJ$141,1),investirrendavariávelconsolidadoout[[#This Row],[TOTAL (R$)]]=LARGE($AJ$132:$AJ$141,2)),DADOS!$I$10,""))</f>
        <v/>
      </c>
      <c r="E138" s="148" t="n">
        <f aca="false">SUMIFS(tabela_registros[VALOR],tabela_registros[MÊS],$AE$1,tabela_registros[DIA],investirrendavariávelconsolidadoout[[#Headers],[1]],tabela_registros[REGISTRO],DADOS!$N$5,tabela_registros[TIPO],DADOS!$AB$4,tabela_registros[CATEGORIA],investirrendavariávelconsolidadoout[[#This Row],[ATUAL]])</f>
        <v>0</v>
      </c>
      <c r="F138" s="119" t="n">
        <f aca="false">SUMIFS(tabela_registros[VALOR],tabela_registros[MÊS],$AE$1,tabela_registros[DIA],investirrendavariávelconsolidadoout[[#Headers],[2]],tabela_registros[REGISTRO],DADOS!$N$5,tabela_registros[TIPO],DADOS!$AB$4,tabela_registros[CATEGORIA],investirrendavariávelconsolidadoout[[#This Row],[ATUAL]])</f>
        <v>0</v>
      </c>
      <c r="G138" s="119" t="n">
        <f aca="false">SUMIFS(tabela_registros[VALOR],tabela_registros[MÊS],$AE$1,tabela_registros[DIA],investirrendavariávelconsolidadoout[[#Headers],[3]],tabela_registros[REGISTRO],DADOS!$N$5,tabela_registros[TIPO],DADOS!$AB$4,tabela_registros[CATEGORIA],investirrendavariávelconsolidadoout[[#This Row],[ATUAL]])</f>
        <v>0</v>
      </c>
      <c r="H138" s="119" t="n">
        <f aca="false">SUMIFS(tabela_registros[VALOR],tabela_registros[MÊS],$AE$1,tabela_registros[DIA],investirrendavariávelconsolidadoout[[#Headers],[4]],tabela_registros[REGISTRO],DADOS!$N$5,tabela_registros[TIPO],DADOS!$AB$4,tabela_registros[CATEGORIA],investirrendavariávelconsolidadoout[[#This Row],[ATUAL]])</f>
        <v>0</v>
      </c>
      <c r="I138" s="119" t="n">
        <f aca="false">SUMIFS(tabela_registros[VALOR],tabela_registros[MÊS],$AE$1,tabela_registros[DIA],investirrendavariávelconsolidadoout[[#Headers],[5]],tabela_registros[REGISTRO],DADOS!$N$5,tabela_registros[TIPO],DADOS!$AB$4,tabela_registros[CATEGORIA],investirrendavariávelconsolidadoout[[#This Row],[ATUAL]])</f>
        <v>0</v>
      </c>
      <c r="J138" s="119" t="n">
        <f aca="false">SUMIFS(tabela_registros[VALOR],tabela_registros[MÊS],$AE$1,tabela_registros[DIA],investirrendavariávelconsolidadoout[[#Headers],[6]],tabela_registros[REGISTRO],DADOS!$N$5,tabela_registros[TIPO],DADOS!$AB$4,tabela_registros[CATEGORIA],investirrendavariávelconsolidadoout[[#This Row],[ATUAL]])</f>
        <v>0</v>
      </c>
      <c r="K138" s="119" t="n">
        <f aca="false">SUMIFS(tabela_registros[VALOR],tabela_registros[MÊS],$AE$1,tabela_registros[DIA],investirrendavariávelconsolidadoout[[#Headers],[7]],tabela_registros[REGISTRO],DADOS!$N$5,tabela_registros[TIPO],DADOS!$AB$4,tabela_registros[CATEGORIA],investirrendavariávelconsolidadoout[[#This Row],[ATUAL]])</f>
        <v>0</v>
      </c>
      <c r="L138" s="119" t="n">
        <f aca="false">SUMIFS(tabela_registros[VALOR],tabela_registros[MÊS],$AE$1,tabela_registros[DIA],investirrendavariávelconsolidadoout[[#Headers],[8]],tabela_registros[REGISTRO],DADOS!$N$5,tabela_registros[TIPO],DADOS!$AB$4,tabela_registros[CATEGORIA],investirrendavariávelconsolidadoout[[#This Row],[ATUAL]])</f>
        <v>0</v>
      </c>
      <c r="M138" s="119" t="n">
        <f aca="false">SUMIFS(tabela_registros[VALOR],tabela_registros[MÊS],$AE$1,tabela_registros[DIA],investirrendavariávelconsolidadoout[[#Headers],[9]],tabela_registros[REGISTRO],DADOS!$N$5,tabela_registros[TIPO],DADOS!$AB$4,tabela_registros[CATEGORIA],investirrendavariávelconsolidadoout[[#This Row],[ATUAL]])</f>
        <v>0</v>
      </c>
      <c r="N138" s="119" t="n">
        <f aca="false">SUMIFS(tabela_registros[VALOR],tabela_registros[MÊS],$AE$1,tabela_registros[DIA],investirrendavariávelconsolidadoout[[#Headers],[10]],tabela_registros[REGISTRO],DADOS!$N$5,tabela_registros[TIPO],DADOS!$AB$4,tabela_registros[CATEGORIA],investirrendavariávelconsolidadoout[[#This Row],[ATUAL]])</f>
        <v>0</v>
      </c>
      <c r="O138" s="119" t="n">
        <f aca="false">SUMIFS(tabela_registros[VALOR],tabela_registros[MÊS],$AE$1,tabela_registros[DIA],investirrendavariávelconsolidadoout[[#Headers],[11]],tabela_registros[REGISTRO],DADOS!$N$5,tabela_registros[TIPO],DADOS!$AB$4,tabela_registros[CATEGORIA],investirrendavariávelconsolidadoout[[#This Row],[ATUAL]])</f>
        <v>0</v>
      </c>
      <c r="P138" s="119" t="n">
        <f aca="false">SUMIFS(tabela_registros[VALOR],tabela_registros[MÊS],$AE$1,tabela_registros[DIA],investirrendavariávelconsolidadoout[[#Headers],[12]],tabela_registros[REGISTRO],DADOS!$N$5,tabela_registros[TIPO],DADOS!$AB$4,tabela_registros[CATEGORIA],investirrendavariávelconsolidadoout[[#This Row],[ATUAL]])</f>
        <v>0</v>
      </c>
      <c r="Q138" s="119" t="n">
        <f aca="false">SUMIFS(tabela_registros[VALOR],tabela_registros[MÊS],$AE$1,tabela_registros[DIA],investirrendavariávelconsolidadoout[[#Headers],[13]],tabela_registros[REGISTRO],DADOS!$N$5,tabela_registros[TIPO],DADOS!$AB$4,tabela_registros[CATEGORIA],investirrendavariávelconsolidadoout[[#This Row],[ATUAL]])</f>
        <v>0</v>
      </c>
      <c r="R138" s="119" t="n">
        <f aca="false">SUMIFS(tabela_registros[VALOR],tabela_registros[MÊS],$AE$1,tabela_registros[DIA],investirrendavariávelconsolidadoout[[#Headers],[14]],tabela_registros[REGISTRO],DADOS!$N$5,tabela_registros[TIPO],DADOS!$AB$4,tabela_registros[CATEGORIA],investirrendavariávelconsolidadoout[[#This Row],[ATUAL]])</f>
        <v>0</v>
      </c>
      <c r="S138" s="119" t="n">
        <f aca="false">SUMIFS(tabela_registros[VALOR],tabela_registros[MÊS],$AE$1,tabela_registros[DIA],investirrendavariávelconsolidadoout[[#Headers],[15]],tabela_registros[REGISTRO],DADOS!$N$5,tabela_registros[TIPO],DADOS!$AB$4,tabela_registros[CATEGORIA],investirrendavariávelconsolidadoout[[#This Row],[ATUAL]])</f>
        <v>0</v>
      </c>
      <c r="T138" s="119" t="n">
        <f aca="false">SUMIFS(tabela_registros[VALOR],tabela_registros[MÊS],$AE$1,tabela_registros[DIA],investirrendavariávelconsolidadoout[[#Headers],[16]],tabela_registros[REGISTRO],DADOS!$N$5,tabela_registros[TIPO],DADOS!$AB$4,tabela_registros[CATEGORIA],investirrendavariávelconsolidadoout[[#This Row],[ATUAL]])</f>
        <v>0</v>
      </c>
      <c r="U138" s="119" t="n">
        <f aca="false">SUMIFS(tabela_registros[VALOR],tabela_registros[MÊS],$AE$1,tabela_registros[DIA],investirrendavariávelconsolidadoout[[#Headers],[17]],tabela_registros[REGISTRO],DADOS!$N$5,tabela_registros[TIPO],DADOS!$AB$4,tabela_registros[CATEGORIA],investirrendavariávelconsolidadoout[[#This Row],[ATUAL]])</f>
        <v>0</v>
      </c>
      <c r="V138" s="119" t="n">
        <f aca="false">SUMIFS(tabela_registros[VALOR],tabela_registros[MÊS],$AE$1,tabela_registros[DIA],investirrendavariávelconsolidadoout[[#Headers],[18]],tabela_registros[REGISTRO],DADOS!$N$5,tabela_registros[TIPO],DADOS!$AB$4,tabela_registros[CATEGORIA],investirrendavariávelconsolidadoout[[#This Row],[ATUAL]])</f>
        <v>0</v>
      </c>
      <c r="W138" s="119" t="n">
        <f aca="false">SUMIFS(tabela_registros[VALOR],tabela_registros[MÊS],$AE$1,tabela_registros[DIA],investirrendavariávelconsolidadoout[[#Headers],[19]],tabela_registros[REGISTRO],DADOS!$N$5,tabela_registros[TIPO],DADOS!$AB$4,tabela_registros[CATEGORIA],investirrendavariávelconsolidadoout[[#This Row],[ATUAL]])</f>
        <v>0</v>
      </c>
      <c r="X138" s="119" t="n">
        <f aca="false">SUMIFS(tabela_registros[VALOR],tabela_registros[MÊS],$AE$1,tabela_registros[DIA],investirrendavariávelconsolidadoout[[#Headers],[20]],tabela_registros[REGISTRO],DADOS!$N$5,tabela_registros[TIPO],DADOS!$AB$4,tabela_registros[CATEGORIA],investirrendavariávelconsolidadoout[[#This Row],[ATUAL]])</f>
        <v>0</v>
      </c>
      <c r="Y138" s="119" t="n">
        <f aca="false">SUMIFS(tabela_registros[VALOR],tabela_registros[MÊS],$AE$1,tabela_registros[DIA],investirrendavariávelconsolidadoout[[#Headers],[21]],tabela_registros[REGISTRO],DADOS!$N$5,tabela_registros[TIPO],DADOS!$AB$4,tabela_registros[CATEGORIA],investirrendavariávelconsolidadoout[[#This Row],[ATUAL]])</f>
        <v>0</v>
      </c>
      <c r="Z138" s="119" t="n">
        <f aca="false">SUMIFS(tabela_registros[VALOR],tabela_registros[MÊS],$AE$1,tabela_registros[DIA],investirrendavariávelconsolidadoout[[#Headers],[22]],tabela_registros[REGISTRO],DADOS!$N$5,tabela_registros[TIPO],DADOS!$AB$4,tabela_registros[CATEGORIA],investirrendavariávelconsolidadoout[[#This Row],[ATUAL]])</f>
        <v>0</v>
      </c>
      <c r="AA138" s="119" t="n">
        <f aca="false">SUMIFS(tabela_registros[VALOR],tabela_registros[MÊS],$AE$1,tabela_registros[DIA],investirrendavariávelconsolidadoout[[#Headers],[23]],tabela_registros[REGISTRO],DADOS!$N$5,tabela_registros[TIPO],DADOS!$AB$4,tabela_registros[CATEGORIA],investirrendavariávelconsolidadoout[[#This Row],[ATUAL]])</f>
        <v>0</v>
      </c>
      <c r="AB138" s="119" t="n">
        <f aca="false">SUMIFS(tabela_registros[VALOR],tabela_registros[MÊS],$AE$1,tabela_registros[DIA],investirrendavariávelconsolidadoout[[#Headers],[24]],tabela_registros[REGISTRO],DADOS!$N$5,tabela_registros[TIPO],DADOS!$AB$4,tabela_registros[CATEGORIA],investirrendavariávelconsolidadoout[[#This Row],[ATUAL]])</f>
        <v>0</v>
      </c>
      <c r="AC138" s="119" t="n">
        <f aca="false">SUMIFS(tabela_registros[VALOR],tabela_registros[MÊS],$AE$1,tabela_registros[DIA],investirrendavariávelconsolidadoout[[#Headers],[25]],tabela_registros[REGISTRO],DADOS!$N$5,tabela_registros[TIPO],DADOS!$AB$4,tabela_registros[CATEGORIA],investirrendavariávelconsolidadoout[[#This Row],[ATUAL]])</f>
        <v>0</v>
      </c>
      <c r="AD138" s="119" t="n">
        <f aca="false">SUMIFS(tabela_registros[VALOR],tabela_registros[MÊS],$AE$1,tabela_registros[DIA],investirrendavariávelconsolidadoout[[#Headers],[26]],tabela_registros[REGISTRO],DADOS!$N$5,tabela_registros[TIPO],DADOS!$AB$4,tabela_registros[CATEGORIA],investirrendavariávelconsolidadoout[[#This Row],[ATUAL]])</f>
        <v>0</v>
      </c>
      <c r="AE138" s="119" t="n">
        <f aca="false">SUMIFS(tabela_registros[VALOR],tabela_registros[MÊS],$AE$1,tabela_registros[DIA],investirrendavariávelconsolidadoout[[#Headers],[27]],tabela_registros[REGISTRO],DADOS!$N$5,tabela_registros[TIPO],DADOS!$AB$4,tabela_registros[CATEGORIA],investirrendavariávelconsolidadoout[[#This Row],[ATUAL]])</f>
        <v>0</v>
      </c>
      <c r="AF138" s="119" t="n">
        <f aca="false">SUMIFS(tabela_registros[VALOR],tabela_registros[MÊS],$AE$1,tabela_registros[DIA],investirrendavariávelconsolidadoout[[#Headers],[28]],tabela_registros[REGISTRO],DADOS!$N$5,tabela_registros[TIPO],DADOS!$AB$4,tabela_registros[CATEGORIA],investirrendavariávelconsolidadoout[[#This Row],[ATUAL]])</f>
        <v>0</v>
      </c>
      <c r="AG138" s="119" t="n">
        <f aca="false">SUMIFS(tabela_registros[VALOR],tabela_registros[MÊS],$AE$1,tabela_registros[DIA],investirrendavariávelconsolidadoout[[#Headers],[29]],tabela_registros[REGISTRO],DADOS!$N$5,tabela_registros[TIPO],DADOS!$AB$4,tabela_registros[CATEGORIA],investirrendavariávelconsolidadoout[[#This Row],[ATUAL]])</f>
        <v>0</v>
      </c>
      <c r="AH138" s="119" t="n">
        <f aca="false">SUMIFS(tabela_registros[VALOR],tabela_registros[MÊS],$AE$1,tabela_registros[DIA],investirrendavariávelconsolidadoout[[#Headers],[30]],tabela_registros[REGISTRO],DADOS!$N$5,tabela_registros[TIPO],DADOS!$AB$4,tabela_registros[CATEGORIA],investirrendavariávelconsolidadoout[[#This Row],[ATUAL]])</f>
        <v>0</v>
      </c>
      <c r="AI138" s="217" t="n">
        <f aca="false">SUMIFS(tabela_registros[VALOR],tabela_registros[MÊS],$AE$1,tabela_registros[DIA],investirrendavariávelconsolidadoout[[#Headers],[31]],tabela_registros[REGISTRO],DADOS!$N$5,tabela_registros[TIPO],DADOS!$AB$4,tabela_registros[CATEGORIA],investirrendavariávelconsolidadoout[[#This Row],[ATUAL]])</f>
        <v>0</v>
      </c>
      <c r="AJ138" s="237" t="n">
        <f aca="false">SUM(investirrendavariávelconsolidadoout[[#This Row],[1]:[31]])</f>
        <v>0</v>
      </c>
      <c r="AK138" s="165"/>
    </row>
    <row r="139" customFormat="false" ht="19.5" hidden="false" customHeight="true" outlineLevel="0" collapsed="false">
      <c r="B139" s="143"/>
      <c r="C139" s="144" t="str">
        <f aca="false">DADOS!$AF$10</f>
        <v>📝 FII</v>
      </c>
      <c r="D139" s="145" t="str">
        <f aca="false">IF(investirrendavariávelconsolidadoout[[#This Row],[TOTAL (R$)]]=0,"",IF(OR(investirrendavariávelconsolidadoout[[#This Row],[TOTAL (R$)]]=LARGE($AJ$132:$AJ$141,1),investirrendavariávelconsolidadoout[[#This Row],[TOTAL (R$)]]=LARGE($AJ$132:$AJ$141,2)),DADOS!$I$10,""))</f>
        <v/>
      </c>
      <c r="E139" s="148" t="n">
        <f aca="false">SUMIFS(tabela_registros[VALOR],tabela_registros[MÊS],$AE$1,tabela_registros[DIA],investirrendavariávelconsolidadoout[[#Headers],[1]],tabela_registros[REGISTRO],DADOS!$N$5,tabela_registros[TIPO],DADOS!$AB$4,tabela_registros[CATEGORIA],investirrendavariávelconsolidadoout[[#This Row],[ATUAL]])</f>
        <v>0</v>
      </c>
      <c r="F139" s="119" t="n">
        <f aca="false">SUMIFS(tabela_registros[VALOR],tabela_registros[MÊS],$AE$1,tabela_registros[DIA],investirrendavariávelconsolidadoout[[#Headers],[2]],tabela_registros[REGISTRO],DADOS!$N$5,tabela_registros[TIPO],DADOS!$AB$4,tabela_registros[CATEGORIA],investirrendavariávelconsolidadoout[[#This Row],[ATUAL]])</f>
        <v>0</v>
      </c>
      <c r="G139" s="119" t="n">
        <f aca="false">SUMIFS(tabela_registros[VALOR],tabela_registros[MÊS],$AE$1,tabela_registros[DIA],investirrendavariávelconsolidadoout[[#Headers],[3]],tabela_registros[REGISTRO],DADOS!$N$5,tabela_registros[TIPO],DADOS!$AB$4,tabela_registros[CATEGORIA],investirrendavariávelconsolidadoout[[#This Row],[ATUAL]])</f>
        <v>0</v>
      </c>
      <c r="H139" s="119" t="n">
        <f aca="false">SUMIFS(tabela_registros[VALOR],tabela_registros[MÊS],$AE$1,tabela_registros[DIA],investirrendavariávelconsolidadoout[[#Headers],[4]],tabela_registros[REGISTRO],DADOS!$N$5,tabela_registros[TIPO],DADOS!$AB$4,tabela_registros[CATEGORIA],investirrendavariávelconsolidadoout[[#This Row],[ATUAL]])</f>
        <v>0</v>
      </c>
      <c r="I139" s="119" t="n">
        <f aca="false">SUMIFS(tabela_registros[VALOR],tabela_registros[MÊS],$AE$1,tabela_registros[DIA],investirrendavariávelconsolidadoout[[#Headers],[5]],tabela_registros[REGISTRO],DADOS!$N$5,tabela_registros[TIPO],DADOS!$AB$4,tabela_registros[CATEGORIA],investirrendavariávelconsolidadoout[[#This Row],[ATUAL]])</f>
        <v>0</v>
      </c>
      <c r="J139" s="119" t="n">
        <f aca="false">SUMIFS(tabela_registros[VALOR],tabela_registros[MÊS],$AE$1,tabela_registros[DIA],investirrendavariávelconsolidadoout[[#Headers],[6]],tabela_registros[REGISTRO],DADOS!$N$5,tabela_registros[TIPO],DADOS!$AB$4,tabela_registros[CATEGORIA],investirrendavariávelconsolidadoout[[#This Row],[ATUAL]])</f>
        <v>0</v>
      </c>
      <c r="K139" s="119" t="n">
        <f aca="false">SUMIFS(tabela_registros[VALOR],tabela_registros[MÊS],$AE$1,tabela_registros[DIA],investirrendavariávelconsolidadoout[[#Headers],[7]],tabela_registros[REGISTRO],DADOS!$N$5,tabela_registros[TIPO],DADOS!$AB$4,tabela_registros[CATEGORIA],investirrendavariávelconsolidadoout[[#This Row],[ATUAL]])</f>
        <v>0</v>
      </c>
      <c r="L139" s="119" t="n">
        <f aca="false">SUMIFS(tabela_registros[VALOR],tabela_registros[MÊS],$AE$1,tabela_registros[DIA],investirrendavariávelconsolidadoout[[#Headers],[8]],tabela_registros[REGISTRO],DADOS!$N$5,tabela_registros[TIPO],DADOS!$AB$4,tabela_registros[CATEGORIA],investirrendavariávelconsolidadoout[[#This Row],[ATUAL]])</f>
        <v>0</v>
      </c>
      <c r="M139" s="119" t="n">
        <f aca="false">SUMIFS(tabela_registros[VALOR],tabela_registros[MÊS],$AE$1,tabela_registros[DIA],investirrendavariávelconsolidadoout[[#Headers],[9]],tabela_registros[REGISTRO],DADOS!$N$5,tabela_registros[TIPO],DADOS!$AB$4,tabela_registros[CATEGORIA],investirrendavariávelconsolidadoout[[#This Row],[ATUAL]])</f>
        <v>0</v>
      </c>
      <c r="N139" s="119" t="n">
        <f aca="false">SUMIFS(tabela_registros[VALOR],tabela_registros[MÊS],$AE$1,tabela_registros[DIA],investirrendavariávelconsolidadoout[[#Headers],[10]],tabela_registros[REGISTRO],DADOS!$N$5,tabela_registros[TIPO],DADOS!$AB$4,tabela_registros[CATEGORIA],investirrendavariávelconsolidadoout[[#This Row],[ATUAL]])</f>
        <v>0</v>
      </c>
      <c r="O139" s="119" t="n">
        <f aca="false">SUMIFS(tabela_registros[VALOR],tabela_registros[MÊS],$AE$1,tabela_registros[DIA],investirrendavariávelconsolidadoout[[#Headers],[11]],tabela_registros[REGISTRO],DADOS!$N$5,tabela_registros[TIPO],DADOS!$AB$4,tabela_registros[CATEGORIA],investirrendavariávelconsolidadoout[[#This Row],[ATUAL]])</f>
        <v>0</v>
      </c>
      <c r="P139" s="119" t="n">
        <f aca="false">SUMIFS(tabela_registros[VALOR],tabela_registros[MÊS],$AE$1,tabela_registros[DIA],investirrendavariávelconsolidadoout[[#Headers],[12]],tabela_registros[REGISTRO],DADOS!$N$5,tabela_registros[TIPO],DADOS!$AB$4,tabela_registros[CATEGORIA],investirrendavariávelconsolidadoout[[#This Row],[ATUAL]])</f>
        <v>0</v>
      </c>
      <c r="Q139" s="119" t="n">
        <f aca="false">SUMIFS(tabela_registros[VALOR],tabela_registros[MÊS],$AE$1,tabela_registros[DIA],investirrendavariávelconsolidadoout[[#Headers],[13]],tabela_registros[REGISTRO],DADOS!$N$5,tabela_registros[TIPO],DADOS!$AB$4,tabela_registros[CATEGORIA],investirrendavariávelconsolidadoout[[#This Row],[ATUAL]])</f>
        <v>0</v>
      </c>
      <c r="R139" s="119" t="n">
        <f aca="false">SUMIFS(tabela_registros[VALOR],tabela_registros[MÊS],$AE$1,tabela_registros[DIA],investirrendavariávelconsolidadoout[[#Headers],[14]],tabela_registros[REGISTRO],DADOS!$N$5,tabela_registros[TIPO],DADOS!$AB$4,tabela_registros[CATEGORIA],investirrendavariávelconsolidadoout[[#This Row],[ATUAL]])</f>
        <v>0</v>
      </c>
      <c r="S139" s="119" t="n">
        <f aca="false">SUMIFS(tabela_registros[VALOR],tabela_registros[MÊS],$AE$1,tabela_registros[DIA],investirrendavariávelconsolidadoout[[#Headers],[15]],tabela_registros[REGISTRO],DADOS!$N$5,tabela_registros[TIPO],DADOS!$AB$4,tabela_registros[CATEGORIA],investirrendavariávelconsolidadoout[[#This Row],[ATUAL]])</f>
        <v>0</v>
      </c>
      <c r="T139" s="119" t="n">
        <f aca="false">SUMIFS(tabela_registros[VALOR],tabela_registros[MÊS],$AE$1,tabela_registros[DIA],investirrendavariávelconsolidadoout[[#Headers],[16]],tabela_registros[REGISTRO],DADOS!$N$5,tabela_registros[TIPO],DADOS!$AB$4,tabela_registros[CATEGORIA],investirrendavariávelconsolidadoout[[#This Row],[ATUAL]])</f>
        <v>0</v>
      </c>
      <c r="U139" s="119" t="n">
        <f aca="false">SUMIFS(tabela_registros[VALOR],tabela_registros[MÊS],$AE$1,tabela_registros[DIA],investirrendavariávelconsolidadoout[[#Headers],[17]],tabela_registros[REGISTRO],DADOS!$N$5,tabela_registros[TIPO],DADOS!$AB$4,tabela_registros[CATEGORIA],investirrendavariávelconsolidadoout[[#This Row],[ATUAL]])</f>
        <v>0</v>
      </c>
      <c r="V139" s="119" t="n">
        <f aca="false">SUMIFS(tabela_registros[VALOR],tabela_registros[MÊS],$AE$1,tabela_registros[DIA],investirrendavariávelconsolidadoout[[#Headers],[18]],tabela_registros[REGISTRO],DADOS!$N$5,tabela_registros[TIPO],DADOS!$AB$4,tabela_registros[CATEGORIA],investirrendavariávelconsolidadoout[[#This Row],[ATUAL]])</f>
        <v>0</v>
      </c>
      <c r="W139" s="119" t="n">
        <f aca="false">SUMIFS(tabela_registros[VALOR],tabela_registros[MÊS],$AE$1,tabela_registros[DIA],investirrendavariávelconsolidadoout[[#Headers],[19]],tabela_registros[REGISTRO],DADOS!$N$5,tabela_registros[TIPO],DADOS!$AB$4,tabela_registros[CATEGORIA],investirrendavariávelconsolidadoout[[#This Row],[ATUAL]])</f>
        <v>0</v>
      </c>
      <c r="X139" s="119" t="n">
        <f aca="false">SUMIFS(tabela_registros[VALOR],tabela_registros[MÊS],$AE$1,tabela_registros[DIA],investirrendavariávelconsolidadoout[[#Headers],[20]],tabela_registros[REGISTRO],DADOS!$N$5,tabela_registros[TIPO],DADOS!$AB$4,tabela_registros[CATEGORIA],investirrendavariávelconsolidadoout[[#This Row],[ATUAL]])</f>
        <v>0</v>
      </c>
      <c r="Y139" s="119" t="n">
        <f aca="false">SUMIFS(tabela_registros[VALOR],tabela_registros[MÊS],$AE$1,tabela_registros[DIA],investirrendavariávelconsolidadoout[[#Headers],[21]],tabela_registros[REGISTRO],DADOS!$N$5,tabela_registros[TIPO],DADOS!$AB$4,tabela_registros[CATEGORIA],investirrendavariávelconsolidadoout[[#This Row],[ATUAL]])</f>
        <v>0</v>
      </c>
      <c r="Z139" s="119" t="n">
        <f aca="false">SUMIFS(tabela_registros[VALOR],tabela_registros[MÊS],$AE$1,tabela_registros[DIA],investirrendavariávelconsolidadoout[[#Headers],[22]],tabela_registros[REGISTRO],DADOS!$N$5,tabela_registros[TIPO],DADOS!$AB$4,tabela_registros[CATEGORIA],investirrendavariávelconsolidadoout[[#This Row],[ATUAL]])</f>
        <v>0</v>
      </c>
      <c r="AA139" s="119" t="n">
        <f aca="false">SUMIFS(tabela_registros[VALOR],tabela_registros[MÊS],$AE$1,tabela_registros[DIA],investirrendavariávelconsolidadoout[[#Headers],[23]],tabela_registros[REGISTRO],DADOS!$N$5,tabela_registros[TIPO],DADOS!$AB$4,tabela_registros[CATEGORIA],investirrendavariávelconsolidadoout[[#This Row],[ATUAL]])</f>
        <v>0</v>
      </c>
      <c r="AB139" s="119" t="n">
        <f aca="false">SUMIFS(tabela_registros[VALOR],tabela_registros[MÊS],$AE$1,tabela_registros[DIA],investirrendavariávelconsolidadoout[[#Headers],[24]],tabela_registros[REGISTRO],DADOS!$N$5,tabela_registros[TIPO],DADOS!$AB$4,tabela_registros[CATEGORIA],investirrendavariávelconsolidadoout[[#This Row],[ATUAL]])</f>
        <v>0</v>
      </c>
      <c r="AC139" s="119" t="n">
        <f aca="false">SUMIFS(tabela_registros[VALOR],tabela_registros[MÊS],$AE$1,tabela_registros[DIA],investirrendavariávelconsolidadoout[[#Headers],[25]],tabela_registros[REGISTRO],DADOS!$N$5,tabela_registros[TIPO],DADOS!$AB$4,tabela_registros[CATEGORIA],investirrendavariávelconsolidadoout[[#This Row],[ATUAL]])</f>
        <v>0</v>
      </c>
      <c r="AD139" s="119" t="n">
        <f aca="false">SUMIFS(tabela_registros[VALOR],tabela_registros[MÊS],$AE$1,tabela_registros[DIA],investirrendavariávelconsolidadoout[[#Headers],[26]],tabela_registros[REGISTRO],DADOS!$N$5,tabela_registros[TIPO],DADOS!$AB$4,tabela_registros[CATEGORIA],investirrendavariávelconsolidadoout[[#This Row],[ATUAL]])</f>
        <v>0</v>
      </c>
      <c r="AE139" s="119" t="n">
        <f aca="false">SUMIFS(tabela_registros[VALOR],tabela_registros[MÊS],$AE$1,tabela_registros[DIA],investirrendavariávelconsolidadoout[[#Headers],[27]],tabela_registros[REGISTRO],DADOS!$N$5,tabela_registros[TIPO],DADOS!$AB$4,tabela_registros[CATEGORIA],investirrendavariávelconsolidadoout[[#This Row],[ATUAL]])</f>
        <v>0</v>
      </c>
      <c r="AF139" s="119" t="n">
        <f aca="false">SUMIFS(tabela_registros[VALOR],tabela_registros[MÊS],$AE$1,tabela_registros[DIA],investirrendavariávelconsolidadoout[[#Headers],[28]],tabela_registros[REGISTRO],DADOS!$N$5,tabela_registros[TIPO],DADOS!$AB$4,tabela_registros[CATEGORIA],investirrendavariávelconsolidadoout[[#This Row],[ATUAL]])</f>
        <v>0</v>
      </c>
      <c r="AG139" s="119" t="n">
        <f aca="false">SUMIFS(tabela_registros[VALOR],tabela_registros[MÊS],$AE$1,tabela_registros[DIA],investirrendavariávelconsolidadoout[[#Headers],[29]],tabela_registros[REGISTRO],DADOS!$N$5,tabela_registros[TIPO],DADOS!$AB$4,tabela_registros[CATEGORIA],investirrendavariávelconsolidadoout[[#This Row],[ATUAL]])</f>
        <v>0</v>
      </c>
      <c r="AH139" s="119" t="n">
        <f aca="false">SUMIFS(tabela_registros[VALOR],tabela_registros[MÊS],$AE$1,tabela_registros[DIA],investirrendavariávelconsolidadoout[[#Headers],[30]],tabela_registros[REGISTRO],DADOS!$N$5,tabela_registros[TIPO],DADOS!$AB$4,tabela_registros[CATEGORIA],investirrendavariávelconsolidadoout[[#This Row],[ATUAL]])</f>
        <v>0</v>
      </c>
      <c r="AI139" s="217" t="n">
        <f aca="false">SUMIFS(tabela_registros[VALOR],tabela_registros[MÊS],$AE$1,tabela_registros[DIA],investirrendavariávelconsolidadoout[[#Headers],[31]],tabela_registros[REGISTRO],DADOS!$N$5,tabela_registros[TIPO],DADOS!$AB$4,tabela_registros[CATEGORIA],investirrendavariávelconsolidadoout[[#This Row],[ATUAL]])</f>
        <v>0</v>
      </c>
      <c r="AJ139" s="237" t="n">
        <f aca="false">SUM(investirrendavariávelconsolidadoout[[#This Row],[1]:[31]])</f>
        <v>0</v>
      </c>
      <c r="AK139" s="165"/>
    </row>
    <row r="140" customFormat="false" ht="19.5" hidden="false" customHeight="true" outlineLevel="0" collapsed="false">
      <c r="B140" s="143"/>
      <c r="C140" s="144" t="str">
        <f aca="false">DADOS!$AF$11</f>
        <v>📝 MOEDA</v>
      </c>
      <c r="D140" s="145" t="str">
        <f aca="false">IF(investirrendavariávelconsolidadoout[[#This Row],[TOTAL (R$)]]=0,"",IF(OR(investirrendavariávelconsolidadoout[[#This Row],[TOTAL (R$)]]=LARGE($AJ$132:$AJ$141,1),investirrendavariávelconsolidadoout[[#This Row],[TOTAL (R$)]]=LARGE($AJ$132:$AJ$141,2)),DADOS!$I$10,""))</f>
        <v/>
      </c>
      <c r="E140" s="148" t="n">
        <f aca="false">SUMIFS(tabela_registros[VALOR],tabela_registros[MÊS],$AE$1,tabela_registros[DIA],investirrendavariávelconsolidadoout[[#Headers],[1]],tabela_registros[REGISTRO],DADOS!$N$5,tabela_registros[TIPO],DADOS!$AB$4,tabela_registros[CATEGORIA],investirrendavariávelconsolidadoout[[#This Row],[ATUAL]])</f>
        <v>0</v>
      </c>
      <c r="F140" s="119" t="n">
        <f aca="false">SUMIFS(tabela_registros[VALOR],tabela_registros[MÊS],$AE$1,tabela_registros[DIA],investirrendavariávelconsolidadoout[[#Headers],[2]],tabela_registros[REGISTRO],DADOS!$N$5,tabela_registros[TIPO],DADOS!$AB$4,tabela_registros[CATEGORIA],investirrendavariávelconsolidadoout[[#This Row],[ATUAL]])</f>
        <v>0</v>
      </c>
      <c r="G140" s="119" t="n">
        <f aca="false">SUMIFS(tabela_registros[VALOR],tabela_registros[MÊS],$AE$1,tabela_registros[DIA],investirrendavariávelconsolidadoout[[#Headers],[3]],tabela_registros[REGISTRO],DADOS!$N$5,tabela_registros[TIPO],DADOS!$AB$4,tabela_registros[CATEGORIA],investirrendavariávelconsolidadoout[[#This Row],[ATUAL]])</f>
        <v>0</v>
      </c>
      <c r="H140" s="119" t="n">
        <f aca="false">SUMIFS(tabela_registros[VALOR],tabela_registros[MÊS],$AE$1,tabela_registros[DIA],investirrendavariávelconsolidadoout[[#Headers],[4]],tabela_registros[REGISTRO],DADOS!$N$5,tabela_registros[TIPO],DADOS!$AB$4,tabela_registros[CATEGORIA],investirrendavariávelconsolidadoout[[#This Row],[ATUAL]])</f>
        <v>0</v>
      </c>
      <c r="I140" s="119" t="n">
        <f aca="false">SUMIFS(tabela_registros[VALOR],tabela_registros[MÊS],$AE$1,tabela_registros[DIA],investirrendavariávelconsolidadoout[[#Headers],[5]],tabela_registros[REGISTRO],DADOS!$N$5,tabela_registros[TIPO],DADOS!$AB$4,tabela_registros[CATEGORIA],investirrendavariávelconsolidadoout[[#This Row],[ATUAL]])</f>
        <v>0</v>
      </c>
      <c r="J140" s="119" t="n">
        <f aca="false">SUMIFS(tabela_registros[VALOR],tabela_registros[MÊS],$AE$1,tabela_registros[DIA],investirrendavariávelconsolidadoout[[#Headers],[6]],tabela_registros[REGISTRO],DADOS!$N$5,tabela_registros[TIPO],DADOS!$AB$4,tabela_registros[CATEGORIA],investirrendavariávelconsolidadoout[[#This Row],[ATUAL]])</f>
        <v>0</v>
      </c>
      <c r="K140" s="119" t="n">
        <f aca="false">SUMIFS(tabela_registros[VALOR],tabela_registros[MÊS],$AE$1,tabela_registros[DIA],investirrendavariávelconsolidadoout[[#Headers],[7]],tabela_registros[REGISTRO],DADOS!$N$5,tabela_registros[TIPO],DADOS!$AB$4,tabela_registros[CATEGORIA],investirrendavariávelconsolidadoout[[#This Row],[ATUAL]])</f>
        <v>0</v>
      </c>
      <c r="L140" s="119" t="n">
        <f aca="false">SUMIFS(tabela_registros[VALOR],tabela_registros[MÊS],$AE$1,tabela_registros[DIA],investirrendavariávelconsolidadoout[[#Headers],[8]],tabela_registros[REGISTRO],DADOS!$N$5,tabela_registros[TIPO],DADOS!$AB$4,tabela_registros[CATEGORIA],investirrendavariávelconsolidadoout[[#This Row],[ATUAL]])</f>
        <v>0</v>
      </c>
      <c r="M140" s="119" t="n">
        <f aca="false">SUMIFS(tabela_registros[VALOR],tabela_registros[MÊS],$AE$1,tabela_registros[DIA],investirrendavariávelconsolidadoout[[#Headers],[9]],tabela_registros[REGISTRO],DADOS!$N$5,tabela_registros[TIPO],DADOS!$AB$4,tabela_registros[CATEGORIA],investirrendavariávelconsolidadoout[[#This Row],[ATUAL]])</f>
        <v>0</v>
      </c>
      <c r="N140" s="119" t="n">
        <f aca="false">SUMIFS(tabela_registros[VALOR],tabela_registros[MÊS],$AE$1,tabela_registros[DIA],investirrendavariávelconsolidadoout[[#Headers],[10]],tabela_registros[REGISTRO],DADOS!$N$5,tabela_registros[TIPO],DADOS!$AB$4,tabela_registros[CATEGORIA],investirrendavariávelconsolidadoout[[#This Row],[ATUAL]])</f>
        <v>0</v>
      </c>
      <c r="O140" s="119" t="n">
        <f aca="false">SUMIFS(tabela_registros[VALOR],tabela_registros[MÊS],$AE$1,tabela_registros[DIA],investirrendavariávelconsolidadoout[[#Headers],[11]],tabela_registros[REGISTRO],DADOS!$N$5,tabela_registros[TIPO],DADOS!$AB$4,tabela_registros[CATEGORIA],investirrendavariávelconsolidadoout[[#This Row],[ATUAL]])</f>
        <v>0</v>
      </c>
      <c r="P140" s="119" t="n">
        <f aca="false">SUMIFS(tabela_registros[VALOR],tabela_registros[MÊS],$AE$1,tabela_registros[DIA],investirrendavariávelconsolidadoout[[#Headers],[12]],tabela_registros[REGISTRO],DADOS!$N$5,tabela_registros[TIPO],DADOS!$AB$4,tabela_registros[CATEGORIA],investirrendavariávelconsolidadoout[[#This Row],[ATUAL]])</f>
        <v>0</v>
      </c>
      <c r="Q140" s="119" t="n">
        <f aca="false">SUMIFS(tabela_registros[VALOR],tabela_registros[MÊS],$AE$1,tabela_registros[DIA],investirrendavariávelconsolidadoout[[#Headers],[13]],tabela_registros[REGISTRO],DADOS!$N$5,tabela_registros[TIPO],DADOS!$AB$4,tabela_registros[CATEGORIA],investirrendavariávelconsolidadoout[[#This Row],[ATUAL]])</f>
        <v>0</v>
      </c>
      <c r="R140" s="119" t="n">
        <f aca="false">SUMIFS(tabela_registros[VALOR],tabela_registros[MÊS],$AE$1,tabela_registros[DIA],investirrendavariávelconsolidadoout[[#Headers],[14]],tabela_registros[REGISTRO],DADOS!$N$5,tabela_registros[TIPO],DADOS!$AB$4,tabela_registros[CATEGORIA],investirrendavariávelconsolidadoout[[#This Row],[ATUAL]])</f>
        <v>0</v>
      </c>
      <c r="S140" s="119" t="n">
        <f aca="false">SUMIFS(tabela_registros[VALOR],tabela_registros[MÊS],$AE$1,tabela_registros[DIA],investirrendavariávelconsolidadoout[[#Headers],[15]],tabela_registros[REGISTRO],DADOS!$N$5,tabela_registros[TIPO],DADOS!$AB$4,tabela_registros[CATEGORIA],investirrendavariávelconsolidadoout[[#This Row],[ATUAL]])</f>
        <v>0</v>
      </c>
      <c r="T140" s="119" t="n">
        <f aca="false">SUMIFS(tabela_registros[VALOR],tabela_registros[MÊS],$AE$1,tabela_registros[DIA],investirrendavariávelconsolidadoout[[#Headers],[16]],tabela_registros[REGISTRO],DADOS!$N$5,tabela_registros[TIPO],DADOS!$AB$4,tabela_registros[CATEGORIA],investirrendavariávelconsolidadoout[[#This Row],[ATUAL]])</f>
        <v>0</v>
      </c>
      <c r="U140" s="119" t="n">
        <f aca="false">SUMIFS(tabela_registros[VALOR],tabela_registros[MÊS],$AE$1,tabela_registros[DIA],investirrendavariávelconsolidadoout[[#Headers],[17]],tabela_registros[REGISTRO],DADOS!$N$5,tabela_registros[TIPO],DADOS!$AB$4,tabela_registros[CATEGORIA],investirrendavariávelconsolidadoout[[#This Row],[ATUAL]])</f>
        <v>0</v>
      </c>
      <c r="V140" s="119" t="n">
        <f aca="false">SUMIFS(tabela_registros[VALOR],tabela_registros[MÊS],$AE$1,tabela_registros[DIA],investirrendavariávelconsolidadoout[[#Headers],[18]],tabela_registros[REGISTRO],DADOS!$N$5,tabela_registros[TIPO],DADOS!$AB$4,tabela_registros[CATEGORIA],investirrendavariávelconsolidadoout[[#This Row],[ATUAL]])</f>
        <v>0</v>
      </c>
      <c r="W140" s="119" t="n">
        <f aca="false">SUMIFS(tabela_registros[VALOR],tabela_registros[MÊS],$AE$1,tabela_registros[DIA],investirrendavariávelconsolidadoout[[#Headers],[19]],tabela_registros[REGISTRO],DADOS!$N$5,tabela_registros[TIPO],DADOS!$AB$4,tabela_registros[CATEGORIA],investirrendavariávelconsolidadoout[[#This Row],[ATUAL]])</f>
        <v>0</v>
      </c>
      <c r="X140" s="119" t="n">
        <f aca="false">SUMIFS(tabela_registros[VALOR],tabela_registros[MÊS],$AE$1,tabela_registros[DIA],investirrendavariávelconsolidadoout[[#Headers],[20]],tabela_registros[REGISTRO],DADOS!$N$5,tabela_registros[TIPO],DADOS!$AB$4,tabela_registros[CATEGORIA],investirrendavariávelconsolidadoout[[#This Row],[ATUAL]])</f>
        <v>0</v>
      </c>
      <c r="Y140" s="119" t="n">
        <f aca="false">SUMIFS(tabela_registros[VALOR],tabela_registros[MÊS],$AE$1,tabela_registros[DIA],investirrendavariávelconsolidadoout[[#Headers],[21]],tabela_registros[REGISTRO],DADOS!$N$5,tabela_registros[TIPO],DADOS!$AB$4,tabela_registros[CATEGORIA],investirrendavariávelconsolidadoout[[#This Row],[ATUAL]])</f>
        <v>0</v>
      </c>
      <c r="Z140" s="119" t="n">
        <f aca="false">SUMIFS(tabela_registros[VALOR],tabela_registros[MÊS],$AE$1,tabela_registros[DIA],investirrendavariávelconsolidadoout[[#Headers],[22]],tabela_registros[REGISTRO],DADOS!$N$5,tabela_registros[TIPO],DADOS!$AB$4,tabela_registros[CATEGORIA],investirrendavariávelconsolidadoout[[#This Row],[ATUAL]])</f>
        <v>0</v>
      </c>
      <c r="AA140" s="119" t="n">
        <f aca="false">SUMIFS(tabela_registros[VALOR],tabela_registros[MÊS],$AE$1,tabela_registros[DIA],investirrendavariávelconsolidadoout[[#Headers],[23]],tabela_registros[REGISTRO],DADOS!$N$5,tabela_registros[TIPO],DADOS!$AB$4,tabela_registros[CATEGORIA],investirrendavariávelconsolidadoout[[#This Row],[ATUAL]])</f>
        <v>0</v>
      </c>
      <c r="AB140" s="119" t="n">
        <f aca="false">SUMIFS(tabela_registros[VALOR],tabela_registros[MÊS],$AE$1,tabela_registros[DIA],investirrendavariávelconsolidadoout[[#Headers],[24]],tabela_registros[REGISTRO],DADOS!$N$5,tabela_registros[TIPO],DADOS!$AB$4,tabela_registros[CATEGORIA],investirrendavariávelconsolidadoout[[#This Row],[ATUAL]])</f>
        <v>0</v>
      </c>
      <c r="AC140" s="119" t="n">
        <f aca="false">SUMIFS(tabela_registros[VALOR],tabela_registros[MÊS],$AE$1,tabela_registros[DIA],investirrendavariávelconsolidadoout[[#Headers],[25]],tabela_registros[REGISTRO],DADOS!$N$5,tabela_registros[TIPO],DADOS!$AB$4,tabela_registros[CATEGORIA],investirrendavariávelconsolidadoout[[#This Row],[ATUAL]])</f>
        <v>0</v>
      </c>
      <c r="AD140" s="119" t="n">
        <f aca="false">SUMIFS(tabela_registros[VALOR],tabela_registros[MÊS],$AE$1,tabela_registros[DIA],investirrendavariávelconsolidadoout[[#Headers],[26]],tabela_registros[REGISTRO],DADOS!$N$5,tabela_registros[TIPO],DADOS!$AB$4,tabela_registros[CATEGORIA],investirrendavariávelconsolidadoout[[#This Row],[ATUAL]])</f>
        <v>0</v>
      </c>
      <c r="AE140" s="119" t="n">
        <f aca="false">SUMIFS(tabela_registros[VALOR],tabela_registros[MÊS],$AE$1,tabela_registros[DIA],investirrendavariávelconsolidadoout[[#Headers],[27]],tabela_registros[REGISTRO],DADOS!$N$5,tabela_registros[TIPO],DADOS!$AB$4,tabela_registros[CATEGORIA],investirrendavariávelconsolidadoout[[#This Row],[ATUAL]])</f>
        <v>0</v>
      </c>
      <c r="AF140" s="119" t="n">
        <f aca="false">SUMIFS(tabela_registros[VALOR],tabela_registros[MÊS],$AE$1,tabela_registros[DIA],investirrendavariávelconsolidadoout[[#Headers],[28]],tabela_registros[REGISTRO],DADOS!$N$5,tabela_registros[TIPO],DADOS!$AB$4,tabela_registros[CATEGORIA],investirrendavariávelconsolidadoout[[#This Row],[ATUAL]])</f>
        <v>0</v>
      </c>
      <c r="AG140" s="119" t="n">
        <f aca="false">SUMIFS(tabela_registros[VALOR],tabela_registros[MÊS],$AE$1,tabela_registros[DIA],investirrendavariávelconsolidadoout[[#Headers],[29]],tabela_registros[REGISTRO],DADOS!$N$5,tabela_registros[TIPO],DADOS!$AB$4,tabela_registros[CATEGORIA],investirrendavariávelconsolidadoout[[#This Row],[ATUAL]])</f>
        <v>0</v>
      </c>
      <c r="AH140" s="119" t="n">
        <f aca="false">SUMIFS(tabela_registros[VALOR],tabela_registros[MÊS],$AE$1,tabela_registros[DIA],investirrendavariávelconsolidadoout[[#Headers],[30]],tabela_registros[REGISTRO],DADOS!$N$5,tabela_registros[TIPO],DADOS!$AB$4,tabela_registros[CATEGORIA],investirrendavariávelconsolidadoout[[#This Row],[ATUAL]])</f>
        <v>0</v>
      </c>
      <c r="AI140" s="217" t="n">
        <f aca="false">SUMIFS(tabela_registros[VALOR],tabela_registros[MÊS],$AE$1,tabela_registros[DIA],investirrendavariávelconsolidadoout[[#Headers],[31]],tabela_registros[REGISTRO],DADOS!$N$5,tabela_registros[TIPO],DADOS!$AB$4,tabela_registros[CATEGORIA],investirrendavariávelconsolidadoout[[#This Row],[ATUAL]])</f>
        <v>0</v>
      </c>
      <c r="AJ140" s="237" t="n">
        <f aca="false">SUM(investirrendavariávelconsolidadoout[[#This Row],[1]:[31]])</f>
        <v>0</v>
      </c>
      <c r="AK140" s="165"/>
    </row>
    <row r="141" customFormat="false" ht="19.5" hidden="false" customHeight="true" outlineLevel="0" collapsed="false">
      <c r="B141" s="143"/>
      <c r="C141" s="144" t="str">
        <f aca="false">DADOS!$AF$12</f>
        <v>📎 OUTROS</v>
      </c>
      <c r="D141" s="145" t="str">
        <f aca="false">IF(investirrendavariávelconsolidadoout[[#This Row],[TOTAL (R$)]]=0,"",IF(OR(investirrendavariávelconsolidadoout[[#This Row],[TOTAL (R$)]]=LARGE($AJ$132:$AJ$141,1),investirrendavariávelconsolidadoout[[#This Row],[TOTAL (R$)]]=LARGE($AJ$132:$AJ$141,2)),DADOS!$I$10,""))</f>
        <v/>
      </c>
      <c r="E141" s="148" t="n">
        <f aca="false">SUMIFS(tabela_registros[VALOR],tabela_registros[MÊS],$AE$1,tabela_registros[DIA],investirrendavariávelconsolidadoout[[#Headers],[1]],tabela_registros[REGISTRO],DADOS!$N$5,tabela_registros[TIPO],DADOS!$AB$4,tabela_registros[CATEGORIA],investirrendavariávelconsolidadoout[[#This Row],[ATUAL]])</f>
        <v>0</v>
      </c>
      <c r="F141" s="119" t="n">
        <f aca="false">SUMIFS(tabela_registros[VALOR],tabela_registros[MÊS],$AE$1,tabela_registros[DIA],investirrendavariávelconsolidadoout[[#Headers],[2]],tabela_registros[REGISTRO],DADOS!$N$5,tabela_registros[TIPO],DADOS!$AB$4,tabela_registros[CATEGORIA],investirrendavariávelconsolidadoout[[#This Row],[ATUAL]])</f>
        <v>0</v>
      </c>
      <c r="G141" s="119" t="n">
        <f aca="false">SUMIFS(tabela_registros[VALOR],tabela_registros[MÊS],$AE$1,tabela_registros[DIA],investirrendavariávelconsolidadoout[[#Headers],[3]],tabela_registros[REGISTRO],DADOS!$N$5,tabela_registros[TIPO],DADOS!$AB$4,tabela_registros[CATEGORIA],investirrendavariávelconsolidadoout[[#This Row],[ATUAL]])</f>
        <v>0</v>
      </c>
      <c r="H141" s="119" t="n">
        <f aca="false">SUMIFS(tabela_registros[VALOR],tabela_registros[MÊS],$AE$1,tabela_registros[DIA],investirrendavariávelconsolidadoout[[#Headers],[4]],tabela_registros[REGISTRO],DADOS!$N$5,tabela_registros[TIPO],DADOS!$AB$4,tabela_registros[CATEGORIA],investirrendavariávelconsolidadoout[[#This Row],[ATUAL]])</f>
        <v>0</v>
      </c>
      <c r="I141" s="119" t="n">
        <f aca="false">SUMIFS(tabela_registros[VALOR],tabela_registros[MÊS],$AE$1,tabela_registros[DIA],investirrendavariávelconsolidadoout[[#Headers],[5]],tabela_registros[REGISTRO],DADOS!$N$5,tabela_registros[TIPO],DADOS!$AB$4,tabela_registros[CATEGORIA],investirrendavariávelconsolidadoout[[#This Row],[ATUAL]])</f>
        <v>0</v>
      </c>
      <c r="J141" s="119" t="n">
        <f aca="false">SUMIFS(tabela_registros[VALOR],tabela_registros[MÊS],$AE$1,tabela_registros[DIA],investirrendavariávelconsolidadoout[[#Headers],[6]],tabela_registros[REGISTRO],DADOS!$N$5,tabela_registros[TIPO],DADOS!$AB$4,tabela_registros[CATEGORIA],investirrendavariávelconsolidadoout[[#This Row],[ATUAL]])</f>
        <v>0</v>
      </c>
      <c r="K141" s="119" t="n">
        <f aca="false">SUMIFS(tabela_registros[VALOR],tabela_registros[MÊS],$AE$1,tabela_registros[DIA],investirrendavariávelconsolidadoout[[#Headers],[7]],tabela_registros[REGISTRO],DADOS!$N$5,tabela_registros[TIPO],DADOS!$AB$4,tabela_registros[CATEGORIA],investirrendavariávelconsolidadoout[[#This Row],[ATUAL]])</f>
        <v>0</v>
      </c>
      <c r="L141" s="119" t="n">
        <f aca="false">SUMIFS(tabela_registros[VALOR],tabela_registros[MÊS],$AE$1,tabela_registros[DIA],investirrendavariávelconsolidadoout[[#Headers],[8]],tabela_registros[REGISTRO],DADOS!$N$5,tabela_registros[TIPO],DADOS!$AB$4,tabela_registros[CATEGORIA],investirrendavariávelconsolidadoout[[#This Row],[ATUAL]])</f>
        <v>0</v>
      </c>
      <c r="M141" s="119" t="n">
        <f aca="false">SUMIFS(tabela_registros[VALOR],tabela_registros[MÊS],$AE$1,tabela_registros[DIA],investirrendavariávelconsolidadoout[[#Headers],[9]],tabela_registros[REGISTRO],DADOS!$N$5,tabela_registros[TIPO],DADOS!$AB$4,tabela_registros[CATEGORIA],investirrendavariávelconsolidadoout[[#This Row],[ATUAL]])</f>
        <v>0</v>
      </c>
      <c r="N141" s="119" t="n">
        <f aca="false">SUMIFS(tabela_registros[VALOR],tabela_registros[MÊS],$AE$1,tabela_registros[DIA],investirrendavariávelconsolidadoout[[#Headers],[10]],tabela_registros[REGISTRO],DADOS!$N$5,tabela_registros[TIPO],DADOS!$AB$4,tabela_registros[CATEGORIA],investirrendavariávelconsolidadoout[[#This Row],[ATUAL]])</f>
        <v>0</v>
      </c>
      <c r="O141" s="119" t="n">
        <f aca="false">SUMIFS(tabela_registros[VALOR],tabela_registros[MÊS],$AE$1,tabela_registros[DIA],investirrendavariávelconsolidadoout[[#Headers],[11]],tabela_registros[REGISTRO],DADOS!$N$5,tabela_registros[TIPO],DADOS!$AB$4,tabela_registros[CATEGORIA],investirrendavariávelconsolidadoout[[#This Row],[ATUAL]])</f>
        <v>0</v>
      </c>
      <c r="P141" s="119" t="n">
        <f aca="false">SUMIFS(tabela_registros[VALOR],tabela_registros[MÊS],$AE$1,tabela_registros[DIA],investirrendavariávelconsolidadoout[[#Headers],[12]],tabela_registros[REGISTRO],DADOS!$N$5,tabela_registros[TIPO],DADOS!$AB$4,tabela_registros[CATEGORIA],investirrendavariávelconsolidadoout[[#This Row],[ATUAL]])</f>
        <v>0</v>
      </c>
      <c r="Q141" s="119" t="n">
        <f aca="false">SUMIFS(tabela_registros[VALOR],tabela_registros[MÊS],$AE$1,tabela_registros[DIA],investirrendavariávelconsolidadoout[[#Headers],[13]],tabela_registros[REGISTRO],DADOS!$N$5,tabela_registros[TIPO],DADOS!$AB$4,tabela_registros[CATEGORIA],investirrendavariávelconsolidadoout[[#This Row],[ATUAL]])</f>
        <v>0</v>
      </c>
      <c r="R141" s="119" t="n">
        <f aca="false">SUMIFS(tabela_registros[VALOR],tabela_registros[MÊS],$AE$1,tabela_registros[DIA],investirrendavariávelconsolidadoout[[#Headers],[14]],tabela_registros[REGISTRO],DADOS!$N$5,tabela_registros[TIPO],DADOS!$AB$4,tabela_registros[CATEGORIA],investirrendavariávelconsolidadoout[[#This Row],[ATUAL]])</f>
        <v>0</v>
      </c>
      <c r="S141" s="119" t="n">
        <f aca="false">SUMIFS(tabela_registros[VALOR],tabela_registros[MÊS],$AE$1,tabela_registros[DIA],investirrendavariávelconsolidadoout[[#Headers],[15]],tabela_registros[REGISTRO],DADOS!$N$5,tabela_registros[TIPO],DADOS!$AB$4,tabela_registros[CATEGORIA],investirrendavariávelconsolidadoout[[#This Row],[ATUAL]])</f>
        <v>0</v>
      </c>
      <c r="T141" s="119" t="n">
        <f aca="false">SUMIFS(tabela_registros[VALOR],tabela_registros[MÊS],$AE$1,tabela_registros[DIA],investirrendavariávelconsolidadoout[[#Headers],[16]],tabela_registros[REGISTRO],DADOS!$N$5,tabela_registros[TIPO],DADOS!$AB$4,tabela_registros[CATEGORIA],investirrendavariávelconsolidadoout[[#This Row],[ATUAL]])</f>
        <v>0</v>
      </c>
      <c r="U141" s="119" t="n">
        <f aca="false">SUMIFS(tabela_registros[VALOR],tabela_registros[MÊS],$AE$1,tabela_registros[DIA],investirrendavariávelconsolidadoout[[#Headers],[17]],tabela_registros[REGISTRO],DADOS!$N$5,tabela_registros[TIPO],DADOS!$AB$4,tabela_registros[CATEGORIA],investirrendavariávelconsolidadoout[[#This Row],[ATUAL]])</f>
        <v>0</v>
      </c>
      <c r="V141" s="119" t="n">
        <f aca="false">SUMIFS(tabela_registros[VALOR],tabela_registros[MÊS],$AE$1,tabela_registros[DIA],investirrendavariávelconsolidadoout[[#Headers],[18]],tabela_registros[REGISTRO],DADOS!$N$5,tabela_registros[TIPO],DADOS!$AB$4,tabela_registros[CATEGORIA],investirrendavariávelconsolidadoout[[#This Row],[ATUAL]])</f>
        <v>0</v>
      </c>
      <c r="W141" s="119" t="n">
        <f aca="false">SUMIFS(tabela_registros[VALOR],tabela_registros[MÊS],$AE$1,tabela_registros[DIA],investirrendavariávelconsolidadoout[[#Headers],[19]],tabela_registros[REGISTRO],DADOS!$N$5,tabela_registros[TIPO],DADOS!$AB$4,tabela_registros[CATEGORIA],investirrendavariávelconsolidadoout[[#This Row],[ATUAL]])</f>
        <v>0</v>
      </c>
      <c r="X141" s="119" t="n">
        <f aca="false">SUMIFS(tabela_registros[VALOR],tabela_registros[MÊS],$AE$1,tabela_registros[DIA],investirrendavariávelconsolidadoout[[#Headers],[20]],tabela_registros[REGISTRO],DADOS!$N$5,tabela_registros[TIPO],DADOS!$AB$4,tabela_registros[CATEGORIA],investirrendavariávelconsolidadoout[[#This Row],[ATUAL]])</f>
        <v>0</v>
      </c>
      <c r="Y141" s="119" t="n">
        <f aca="false">SUMIFS(tabela_registros[VALOR],tabela_registros[MÊS],$AE$1,tabela_registros[DIA],investirrendavariávelconsolidadoout[[#Headers],[21]],tabela_registros[REGISTRO],DADOS!$N$5,tabela_registros[TIPO],DADOS!$AB$4,tabela_registros[CATEGORIA],investirrendavariávelconsolidadoout[[#This Row],[ATUAL]])</f>
        <v>0</v>
      </c>
      <c r="Z141" s="119" t="n">
        <f aca="false">SUMIFS(tabela_registros[VALOR],tabela_registros[MÊS],$AE$1,tabela_registros[DIA],investirrendavariávelconsolidadoout[[#Headers],[22]],tabela_registros[REGISTRO],DADOS!$N$5,tabela_registros[TIPO],DADOS!$AB$4,tabela_registros[CATEGORIA],investirrendavariávelconsolidadoout[[#This Row],[ATUAL]])</f>
        <v>0</v>
      </c>
      <c r="AA141" s="119" t="n">
        <f aca="false">SUMIFS(tabela_registros[VALOR],tabela_registros[MÊS],$AE$1,tabela_registros[DIA],investirrendavariávelconsolidadoout[[#Headers],[23]],tabela_registros[REGISTRO],DADOS!$N$5,tabela_registros[TIPO],DADOS!$AB$4,tabela_registros[CATEGORIA],investirrendavariávelconsolidadoout[[#This Row],[ATUAL]])</f>
        <v>0</v>
      </c>
      <c r="AB141" s="119" t="n">
        <f aca="false">SUMIFS(tabela_registros[VALOR],tabela_registros[MÊS],$AE$1,tabela_registros[DIA],investirrendavariávelconsolidadoout[[#Headers],[24]],tabela_registros[REGISTRO],DADOS!$N$5,tabela_registros[TIPO],DADOS!$AB$4,tabela_registros[CATEGORIA],investirrendavariávelconsolidadoout[[#This Row],[ATUAL]])</f>
        <v>0</v>
      </c>
      <c r="AC141" s="119" t="n">
        <f aca="false">SUMIFS(tabela_registros[VALOR],tabela_registros[MÊS],$AE$1,tabela_registros[DIA],investirrendavariávelconsolidadoout[[#Headers],[25]],tabela_registros[REGISTRO],DADOS!$N$5,tabela_registros[TIPO],DADOS!$AB$4,tabela_registros[CATEGORIA],investirrendavariávelconsolidadoout[[#This Row],[ATUAL]])</f>
        <v>0</v>
      </c>
      <c r="AD141" s="119" t="n">
        <f aca="false">SUMIFS(tabela_registros[VALOR],tabela_registros[MÊS],$AE$1,tabela_registros[DIA],investirrendavariávelconsolidadoout[[#Headers],[26]],tabela_registros[REGISTRO],DADOS!$N$5,tabela_registros[TIPO],DADOS!$AB$4,tabela_registros[CATEGORIA],investirrendavariávelconsolidadoout[[#This Row],[ATUAL]])</f>
        <v>0</v>
      </c>
      <c r="AE141" s="119" t="n">
        <f aca="false">SUMIFS(tabela_registros[VALOR],tabela_registros[MÊS],$AE$1,tabela_registros[DIA],investirrendavariávelconsolidadoout[[#Headers],[27]],tabela_registros[REGISTRO],DADOS!$N$5,tabela_registros[TIPO],DADOS!$AB$4,tabela_registros[CATEGORIA],investirrendavariávelconsolidadoout[[#This Row],[ATUAL]])</f>
        <v>0</v>
      </c>
      <c r="AF141" s="119" t="n">
        <f aca="false">SUMIFS(tabela_registros[VALOR],tabela_registros[MÊS],$AE$1,tabela_registros[DIA],investirrendavariávelconsolidadoout[[#Headers],[28]],tabela_registros[REGISTRO],DADOS!$N$5,tabela_registros[TIPO],DADOS!$AB$4,tabela_registros[CATEGORIA],investirrendavariávelconsolidadoout[[#This Row],[ATUAL]])</f>
        <v>0</v>
      </c>
      <c r="AG141" s="119" t="n">
        <f aca="false">SUMIFS(tabela_registros[VALOR],tabela_registros[MÊS],$AE$1,tabela_registros[DIA],investirrendavariávelconsolidadoout[[#Headers],[29]],tabela_registros[REGISTRO],DADOS!$N$5,tabela_registros[TIPO],DADOS!$AB$4,tabela_registros[CATEGORIA],investirrendavariávelconsolidadoout[[#This Row],[ATUAL]])</f>
        <v>0</v>
      </c>
      <c r="AH141" s="119" t="n">
        <f aca="false">SUMIFS(tabela_registros[VALOR],tabela_registros[MÊS],$AE$1,tabela_registros[DIA],investirrendavariávelconsolidadoout[[#Headers],[30]],tabela_registros[REGISTRO],DADOS!$N$5,tabela_registros[TIPO],DADOS!$AB$4,tabela_registros[CATEGORIA],investirrendavariávelconsolidadoout[[#This Row],[ATUAL]])</f>
        <v>0</v>
      </c>
      <c r="AI141" s="218" t="n">
        <f aca="false">SUMIFS(tabela_registros[VALOR],tabela_registros[MÊS],$AE$1,tabela_registros[DIA],investirrendavariávelconsolidadoout[[#Headers],[31]],tabela_registros[REGISTRO],DADOS!$N$5,tabela_registros[TIPO],DADOS!$AB$4,tabela_registros[CATEGORIA],investirrendavariávelconsolidadoout[[#This Row],[ATUAL]])</f>
        <v>0</v>
      </c>
      <c r="AJ141" s="219" t="n">
        <f aca="false">SUM(investirrendavariávelconsolidadoout[[#This Row],[1]:[31]])</f>
        <v>0</v>
      </c>
      <c r="AK141" s="165"/>
    </row>
    <row r="142" s="122" customFormat="true" ht="21" hidden="false" customHeight="true" outlineLevel="0" collapsed="false">
      <c r="B142" s="152"/>
      <c r="C142" s="153" t="s">
        <v>2</v>
      </c>
      <c r="D142" s="166"/>
      <c r="E142" s="155" t="n">
        <f aca="false">SUM(E132:E141)</f>
        <v>0</v>
      </c>
      <c r="F142" s="156" t="n">
        <f aca="false">SUM(F132:F141)+investirrendavariávelconsolidadoout[[#This Row],[1]]</f>
        <v>0</v>
      </c>
      <c r="G142" s="156" t="n">
        <f aca="false">SUM(G132:G141)+investirrendavariávelconsolidadoout[[#This Row],[2]]</f>
        <v>0</v>
      </c>
      <c r="H142" s="156" t="n">
        <f aca="false">SUM(H132:H141)+investirrendavariávelconsolidadoout[[#This Row],[3]]</f>
        <v>0</v>
      </c>
      <c r="I142" s="156" t="n">
        <f aca="false">SUM(I132:I141)+investirrendavariávelconsolidadoout[[#This Row],[4]]</f>
        <v>0</v>
      </c>
      <c r="J142" s="156" t="n">
        <f aca="false">SUM(J132:J141)+investirrendavariávelconsolidadoout[[#This Row],[5]]</f>
        <v>0</v>
      </c>
      <c r="K142" s="156" t="n">
        <f aca="false">SUM(K132:K141)+investirrendavariávelconsolidadoout[[#This Row],[6]]</f>
        <v>0</v>
      </c>
      <c r="L142" s="156" t="n">
        <f aca="false">SUM(L132:L141)+investirrendavariávelconsolidadoout[[#This Row],[7]]</f>
        <v>0</v>
      </c>
      <c r="M142" s="156" t="n">
        <f aca="false">SUM(M132:M141)+investirrendavariávelconsolidadoout[[#This Row],[8]]</f>
        <v>0</v>
      </c>
      <c r="N142" s="156" t="n">
        <f aca="false">SUM(N132:N141)+investirrendavariávelconsolidadoout[[#This Row],[9]]</f>
        <v>0</v>
      </c>
      <c r="O142" s="156" t="n">
        <f aca="false">SUM(O132:O141)+investirrendavariávelconsolidadoout[[#This Row],[10]]</f>
        <v>0</v>
      </c>
      <c r="P142" s="156" t="n">
        <f aca="false">SUM(P132:P141)+investirrendavariávelconsolidadoout[[#This Row],[11]]</f>
        <v>0</v>
      </c>
      <c r="Q142" s="156" t="n">
        <f aca="false">SUM(Q132:Q141)+investirrendavariávelconsolidadoout[[#This Row],[12]]</f>
        <v>0</v>
      </c>
      <c r="R142" s="156" t="n">
        <f aca="false">SUM(R132:R141)+investirrendavariávelconsolidadoout[[#This Row],[13]]</f>
        <v>0</v>
      </c>
      <c r="S142" s="156" t="n">
        <f aca="false">SUM(S132:S141)+investirrendavariávelconsolidadoout[[#This Row],[14]]</f>
        <v>0</v>
      </c>
      <c r="T142" s="156" t="n">
        <f aca="false">SUM(T132:T141)+investirrendavariávelconsolidadoout[[#This Row],[15]]</f>
        <v>0</v>
      </c>
      <c r="U142" s="156" t="n">
        <f aca="false">SUM(U132:U141)+investirrendavariávelconsolidadoout[[#This Row],[16]]</f>
        <v>0</v>
      </c>
      <c r="V142" s="156" t="n">
        <f aca="false">SUM(V132:V141)+investirrendavariávelconsolidadoout[[#This Row],[17]]</f>
        <v>0</v>
      </c>
      <c r="W142" s="156" t="n">
        <f aca="false">SUM(W132:W141)+investirrendavariávelconsolidadoout[[#This Row],[18]]</f>
        <v>0</v>
      </c>
      <c r="X142" s="156" t="n">
        <f aca="false">SUM(X132:X141)+investirrendavariávelconsolidadoout[[#This Row],[19]]</f>
        <v>0</v>
      </c>
      <c r="Y142" s="156" t="n">
        <f aca="false">SUM(Y132:Y141)+investirrendavariávelconsolidadoout[[#This Row],[20]]</f>
        <v>0</v>
      </c>
      <c r="Z142" s="156" t="n">
        <f aca="false">SUM(Z132:Z141)+investirrendavariávelconsolidadoout[[#This Row],[21]]</f>
        <v>0</v>
      </c>
      <c r="AA142" s="156" t="n">
        <f aca="false">SUM(AA132:AA141)+investirrendavariávelconsolidadoout[[#This Row],[22]]</f>
        <v>0</v>
      </c>
      <c r="AB142" s="156" t="n">
        <f aca="false">SUM(AB132:AB141)+investirrendavariávelconsolidadoout[[#This Row],[23]]</f>
        <v>0</v>
      </c>
      <c r="AC142" s="156" t="n">
        <f aca="false">SUM(AC132:AC141)+investirrendavariávelconsolidadoout[[#This Row],[24]]</f>
        <v>0</v>
      </c>
      <c r="AD142" s="156" t="n">
        <f aca="false">SUM(AD132:AD141)+investirrendavariávelconsolidadoout[[#This Row],[25]]</f>
        <v>0</v>
      </c>
      <c r="AE142" s="156" t="n">
        <f aca="false">SUM(AE132:AE141)+investirrendavariávelconsolidadoout[[#This Row],[26]]</f>
        <v>0</v>
      </c>
      <c r="AF142" s="156" t="n">
        <f aca="false">SUM(AF132:AF141)+investirrendavariávelconsolidadoout[[#This Row],[27]]</f>
        <v>0</v>
      </c>
      <c r="AG142" s="156" t="n">
        <f aca="false">SUM(AG132:AG141)+investirrendavariávelconsolidadoout[[#This Row],[28]]</f>
        <v>0</v>
      </c>
      <c r="AH142" s="156" t="n">
        <f aca="false">SUM(AH132:AH141)+investirrendavariávelconsolidadoout[[#This Row],[29]]</f>
        <v>0</v>
      </c>
      <c r="AI142" s="223" t="n">
        <f aca="false">SUM(AI132:AI141)+investirrendavariávelconsolidadoout[[#This Row],[30]]</f>
        <v>0</v>
      </c>
      <c r="AJ142" s="157" t="n">
        <f aca="false">investirrendavariávelconsolidadoout[[#This Row],[31]]</f>
        <v>0</v>
      </c>
      <c r="AK142" s="158"/>
    </row>
    <row r="143" customFormat="false" ht="6.75" hidden="false" customHeight="true" outlineLevel="0" collapsed="false">
      <c r="B143" s="97"/>
      <c r="C143" s="162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233"/>
      <c r="AJ143" s="164"/>
      <c r="AK143" s="244"/>
    </row>
    <row r="144" s="78" customFormat="true" ht="12.75" hidden="false" customHeight="false" outlineLevel="0" collapsed="false">
      <c r="E144" s="100"/>
    </row>
    <row r="145" s="78" customFormat="true" ht="12" hidden="false" customHeight="false" outlineLevel="0" collapsed="false"/>
    <row r="146" s="78" customFormat="true" ht="12" hidden="false" customHeight="false" outlineLevel="0" collapsed="false"/>
    <row r="147" customFormat="false" ht="39.75" hidden="false" customHeight="true" outlineLevel="0" collapsed="false">
      <c r="C147" s="101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3" t="s">
        <v>2</v>
      </c>
    </row>
    <row r="148" s="78" customFormat="true" ht="12.75" hidden="false" customHeight="false" outlineLevel="0" collapsed="false">
      <c r="B148" s="161"/>
      <c r="AJ148" s="106" t="s">
        <v>64</v>
      </c>
    </row>
    <row r="149" customFormat="false" ht="6.75" hidden="false" customHeight="true" outlineLevel="0" collapsed="false">
      <c r="B149" s="86"/>
      <c r="C149" s="162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233"/>
      <c r="AK149" s="139"/>
    </row>
    <row r="150" customFormat="false" ht="13.5" hidden="true" customHeight="false" outlineLevel="0" collapsed="false">
      <c r="B150" s="86"/>
      <c r="C150" s="109" t="s">
        <v>68</v>
      </c>
      <c r="D150" s="110" t="s">
        <v>69</v>
      </c>
      <c r="E150" s="110" t="s">
        <v>30</v>
      </c>
      <c r="F150" s="110" t="s">
        <v>31</v>
      </c>
      <c r="G150" s="110" t="s">
        <v>32</v>
      </c>
      <c r="H150" s="110" t="s">
        <v>33</v>
      </c>
      <c r="I150" s="110" t="s">
        <v>34</v>
      </c>
      <c r="J150" s="110" t="s">
        <v>35</v>
      </c>
      <c r="K150" s="110" t="s">
        <v>36</v>
      </c>
      <c r="L150" s="110" t="s">
        <v>37</v>
      </c>
      <c r="M150" s="110" t="s">
        <v>38</v>
      </c>
      <c r="N150" s="110" t="s">
        <v>39</v>
      </c>
      <c r="O150" s="110" t="s">
        <v>40</v>
      </c>
      <c r="P150" s="110" t="s">
        <v>41</v>
      </c>
      <c r="Q150" s="110" t="s">
        <v>81</v>
      </c>
      <c r="R150" s="110" t="s">
        <v>82</v>
      </c>
      <c r="S150" s="110" t="s">
        <v>83</v>
      </c>
      <c r="T150" s="110" t="s">
        <v>84</v>
      </c>
      <c r="U150" s="110" t="s">
        <v>85</v>
      </c>
      <c r="V150" s="110" t="s">
        <v>86</v>
      </c>
      <c r="W150" s="110" t="s">
        <v>87</v>
      </c>
      <c r="X150" s="110" t="s">
        <v>88</v>
      </c>
      <c r="Y150" s="110" t="s">
        <v>89</v>
      </c>
      <c r="Z150" s="110" t="s">
        <v>90</v>
      </c>
      <c r="AA150" s="110" t="s">
        <v>91</v>
      </c>
      <c r="AB150" s="110" t="s">
        <v>92</v>
      </c>
      <c r="AC150" s="110" t="s">
        <v>93</v>
      </c>
      <c r="AD150" s="110" t="s">
        <v>94</v>
      </c>
      <c r="AE150" s="110" t="s">
        <v>95</v>
      </c>
      <c r="AF150" s="110" t="s">
        <v>96</v>
      </c>
      <c r="AG150" s="110" t="s">
        <v>97</v>
      </c>
      <c r="AH150" s="110" t="s">
        <v>98</v>
      </c>
      <c r="AI150" s="110" t="s">
        <v>99</v>
      </c>
      <c r="AJ150" s="111" t="s">
        <v>70</v>
      </c>
      <c r="AK150" s="86"/>
    </row>
    <row r="151" customFormat="false" ht="19.5" hidden="false" customHeight="true" outlineLevel="0" collapsed="false">
      <c r="B151" s="143"/>
      <c r="C151" s="144" t="str">
        <f aca="false">DADOS!$AH$3</f>
        <v>📝 COE</v>
      </c>
      <c r="D151" s="145" t="str">
        <f aca="false">IF(investiroutrosconsolidadoout[[#This Row],[TOTAL (R$)]]=0,"",IF(OR(investiroutrosconsolidadoout[[#This Row],[TOTAL (R$)]]=LARGE($AJ$151:$AJ$158,1),investiroutrosconsolidadoout[[#This Row],[TOTAL (R$)]]=LARGE($AJ$151:$AJ$158,2)),DADOS!$I$10,""))</f>
        <v/>
      </c>
      <c r="E151" s="148" t="n">
        <f aca="false">SUMIFS(tabela_registros[VALOR],tabela_registros[MÊS],$AE$1,tabela_registros[DIA],investiroutrosconsolidadoout[[#Headers],[1]],tabela_registros[REGISTRO],DADOS!$N$5,tabela_registros[TIPO],DADOS!$AB$5,tabela_registros[CATEGORIA],investiroutrosconsolidadoout[[#This Row],[ATUAL]])</f>
        <v>0</v>
      </c>
      <c r="F151" s="119" t="n">
        <f aca="false">SUMIFS(tabela_registros[VALOR],tabela_registros[MÊS],$AE$1,tabela_registros[DIA],investiroutrosconsolidadoout[[#Headers],[2]],tabela_registros[REGISTRO],DADOS!$N$5,tabela_registros[TIPO],DADOS!$AB$5,tabela_registros[CATEGORIA],investiroutrosconsolidadoout[[#This Row],[ATUAL]])</f>
        <v>0</v>
      </c>
      <c r="G151" s="119" t="n">
        <f aca="false">SUMIFS(tabela_registros[VALOR],tabela_registros[MÊS],$AE$1,tabela_registros[DIA],investiroutrosconsolidadoout[[#Headers],[3]],tabela_registros[REGISTRO],DADOS!$N$5,tabela_registros[TIPO],DADOS!$AB$5,tabela_registros[CATEGORIA],investiroutrosconsolidadoout[[#This Row],[ATUAL]])</f>
        <v>0</v>
      </c>
      <c r="H151" s="119" t="n">
        <f aca="false">SUMIFS(tabela_registros[VALOR],tabela_registros[MÊS],$AE$1,tabela_registros[DIA],investiroutrosconsolidadoout[[#Headers],[4]],tabela_registros[REGISTRO],DADOS!$N$5,tabela_registros[TIPO],DADOS!$AB$5,tabela_registros[CATEGORIA],investiroutrosconsolidadoout[[#This Row],[ATUAL]])</f>
        <v>0</v>
      </c>
      <c r="I151" s="119" t="n">
        <f aca="false">SUMIFS(tabela_registros[VALOR],tabela_registros[MÊS],$AE$1,tabela_registros[DIA],investiroutrosconsolidadoout[[#Headers],[5]],tabela_registros[REGISTRO],DADOS!$N$5,tabela_registros[TIPO],DADOS!$AB$5,tabela_registros[CATEGORIA],investiroutrosconsolidadoout[[#This Row],[ATUAL]])</f>
        <v>0</v>
      </c>
      <c r="J151" s="119" t="n">
        <f aca="false">SUMIFS(tabela_registros[VALOR],tabela_registros[MÊS],$AE$1,tabela_registros[DIA],investiroutrosconsolidadoout[[#Headers],[6]],tabela_registros[REGISTRO],DADOS!$N$5,tabela_registros[TIPO],DADOS!$AB$5,tabela_registros[CATEGORIA],investiroutrosconsolidadoout[[#This Row],[ATUAL]])</f>
        <v>0</v>
      </c>
      <c r="K151" s="119" t="n">
        <f aca="false">SUMIFS(tabela_registros[VALOR],tabela_registros[MÊS],$AE$1,tabela_registros[DIA],investiroutrosconsolidadoout[[#Headers],[7]],tabela_registros[REGISTRO],DADOS!$N$5,tabela_registros[TIPO],DADOS!$AB$5,tabela_registros[CATEGORIA],investiroutrosconsolidadoout[[#This Row],[ATUAL]])</f>
        <v>0</v>
      </c>
      <c r="L151" s="119" t="n">
        <f aca="false">SUMIFS(tabela_registros[VALOR],tabela_registros[MÊS],$AE$1,tabela_registros[DIA],investiroutrosconsolidadoout[[#Headers],[8]],tabela_registros[REGISTRO],DADOS!$N$5,tabela_registros[TIPO],DADOS!$AB$5,tabela_registros[CATEGORIA],investiroutrosconsolidadoout[[#This Row],[ATUAL]])</f>
        <v>0</v>
      </c>
      <c r="M151" s="119" t="n">
        <f aca="false">SUMIFS(tabela_registros[VALOR],tabela_registros[MÊS],$AE$1,tabela_registros[DIA],investiroutrosconsolidadoout[[#Headers],[9]],tabela_registros[REGISTRO],DADOS!$N$5,tabela_registros[TIPO],DADOS!$AB$5,tabela_registros[CATEGORIA],investiroutrosconsolidadoout[[#This Row],[ATUAL]])</f>
        <v>0</v>
      </c>
      <c r="N151" s="119" t="n">
        <f aca="false">SUMIFS(tabela_registros[VALOR],tabela_registros[MÊS],$AE$1,tabela_registros[DIA],investiroutrosconsolidadoout[[#Headers],[10]],tabela_registros[REGISTRO],DADOS!$N$5,tabela_registros[TIPO],DADOS!$AB$5,tabela_registros[CATEGORIA],investiroutrosconsolidadoout[[#This Row],[ATUAL]])</f>
        <v>0</v>
      </c>
      <c r="O151" s="119" t="n">
        <f aca="false">SUMIFS(tabela_registros[VALOR],tabela_registros[MÊS],$AE$1,tabela_registros[DIA],investiroutrosconsolidadoout[[#Headers],[11]],tabela_registros[REGISTRO],DADOS!$N$5,tabela_registros[TIPO],DADOS!$AB$5,tabela_registros[CATEGORIA],investiroutrosconsolidadoout[[#This Row],[ATUAL]])</f>
        <v>0</v>
      </c>
      <c r="P151" s="119" t="n">
        <f aca="false">SUMIFS(tabela_registros[VALOR],tabela_registros[MÊS],$AE$1,tabela_registros[DIA],investiroutrosconsolidadoout[[#Headers],[12]],tabela_registros[REGISTRO],DADOS!$N$5,tabela_registros[TIPO],DADOS!$AB$5,tabela_registros[CATEGORIA],investiroutrosconsolidadoout[[#This Row],[ATUAL]])</f>
        <v>0</v>
      </c>
      <c r="Q151" s="119" t="n">
        <f aca="false">SUMIFS(tabela_registros[VALOR],tabela_registros[MÊS],$AE$1,tabela_registros[DIA],investiroutrosconsolidadoout[[#Headers],[13]],tabela_registros[REGISTRO],DADOS!$N$5,tabela_registros[TIPO],DADOS!$AB$5,tabela_registros[CATEGORIA],investiroutrosconsolidadoout[[#This Row],[ATUAL]])</f>
        <v>0</v>
      </c>
      <c r="R151" s="119" t="n">
        <f aca="false">SUMIFS(tabela_registros[VALOR],tabela_registros[MÊS],$AE$1,tabela_registros[DIA],investiroutrosconsolidadoout[[#Headers],[14]],tabela_registros[REGISTRO],DADOS!$N$5,tabela_registros[TIPO],DADOS!$AB$5,tabela_registros[CATEGORIA],investiroutrosconsolidadoout[[#This Row],[ATUAL]])</f>
        <v>0</v>
      </c>
      <c r="S151" s="119" t="n">
        <f aca="false">SUMIFS(tabela_registros[VALOR],tabela_registros[MÊS],$AE$1,tabela_registros[DIA],investiroutrosconsolidadoout[[#Headers],[15]],tabela_registros[REGISTRO],DADOS!$N$5,tabela_registros[TIPO],DADOS!$AB$5,tabela_registros[CATEGORIA],investiroutrosconsolidadoout[[#This Row],[ATUAL]])</f>
        <v>0</v>
      </c>
      <c r="T151" s="119" t="n">
        <f aca="false">SUMIFS(tabela_registros[VALOR],tabela_registros[MÊS],$AE$1,tabela_registros[DIA],investiroutrosconsolidadoout[[#Headers],[16]],tabela_registros[REGISTRO],DADOS!$N$5,tabela_registros[TIPO],DADOS!$AB$5,tabela_registros[CATEGORIA],investiroutrosconsolidadoout[[#This Row],[ATUAL]])</f>
        <v>0</v>
      </c>
      <c r="U151" s="119" t="n">
        <f aca="false">SUMIFS(tabela_registros[VALOR],tabela_registros[MÊS],$AE$1,tabela_registros[DIA],investiroutrosconsolidadoout[[#Headers],[17]],tabela_registros[REGISTRO],DADOS!$N$5,tabela_registros[TIPO],DADOS!$AB$5,tabela_registros[CATEGORIA],investiroutrosconsolidadoout[[#This Row],[ATUAL]])</f>
        <v>0</v>
      </c>
      <c r="V151" s="119" t="n">
        <f aca="false">SUMIFS(tabela_registros[VALOR],tabela_registros[MÊS],$AE$1,tabela_registros[DIA],investiroutrosconsolidadoout[[#Headers],[18]],tabela_registros[REGISTRO],DADOS!$N$5,tabela_registros[TIPO],DADOS!$AB$5,tabela_registros[CATEGORIA],investiroutrosconsolidadoout[[#This Row],[ATUAL]])</f>
        <v>0</v>
      </c>
      <c r="W151" s="119" t="n">
        <f aca="false">SUMIFS(tabela_registros[VALOR],tabela_registros[MÊS],$AE$1,tabela_registros[DIA],investiroutrosconsolidadoout[[#Headers],[19]],tabela_registros[REGISTRO],DADOS!$N$5,tabela_registros[TIPO],DADOS!$AB$5,tabela_registros[CATEGORIA],investiroutrosconsolidadoout[[#This Row],[ATUAL]])</f>
        <v>0</v>
      </c>
      <c r="X151" s="119" t="n">
        <f aca="false">SUMIFS(tabela_registros[VALOR],tabela_registros[MÊS],$AE$1,tabela_registros[DIA],investiroutrosconsolidadoout[[#Headers],[20]],tabela_registros[REGISTRO],DADOS!$N$5,tabela_registros[TIPO],DADOS!$AB$5,tabela_registros[CATEGORIA],investiroutrosconsolidadoout[[#This Row],[ATUAL]])</f>
        <v>0</v>
      </c>
      <c r="Y151" s="119" t="n">
        <f aca="false">SUMIFS(tabela_registros[VALOR],tabela_registros[MÊS],$AE$1,tabela_registros[DIA],investiroutrosconsolidadoout[[#Headers],[21]],tabela_registros[REGISTRO],DADOS!$N$5,tabela_registros[TIPO],DADOS!$AB$5,tabela_registros[CATEGORIA],investiroutrosconsolidadoout[[#This Row],[ATUAL]])</f>
        <v>0</v>
      </c>
      <c r="Z151" s="119" t="n">
        <f aca="false">SUMIFS(tabela_registros[VALOR],tabela_registros[MÊS],$AE$1,tabela_registros[DIA],investiroutrosconsolidadoout[[#Headers],[22]],tabela_registros[REGISTRO],DADOS!$N$5,tabela_registros[TIPO],DADOS!$AB$5,tabela_registros[CATEGORIA],investiroutrosconsolidadoout[[#This Row],[ATUAL]])</f>
        <v>0</v>
      </c>
      <c r="AA151" s="119" t="n">
        <f aca="false">SUMIFS(tabela_registros[VALOR],tabela_registros[MÊS],$AE$1,tabela_registros[DIA],investiroutrosconsolidadoout[[#Headers],[23]],tabela_registros[REGISTRO],DADOS!$N$5,tabela_registros[TIPO],DADOS!$AB$5,tabela_registros[CATEGORIA],investiroutrosconsolidadoout[[#This Row],[ATUAL]])</f>
        <v>0</v>
      </c>
      <c r="AB151" s="119" t="n">
        <f aca="false">SUMIFS(tabela_registros[VALOR],tabela_registros[MÊS],$AE$1,tabela_registros[DIA],investiroutrosconsolidadoout[[#Headers],[24]],tabela_registros[REGISTRO],DADOS!$N$5,tabela_registros[TIPO],DADOS!$AB$5,tabela_registros[CATEGORIA],investiroutrosconsolidadoout[[#This Row],[ATUAL]])</f>
        <v>0</v>
      </c>
      <c r="AC151" s="119" t="n">
        <f aca="false">SUMIFS(tabela_registros[VALOR],tabela_registros[MÊS],$AE$1,tabela_registros[DIA],investiroutrosconsolidadoout[[#Headers],[25]],tabela_registros[REGISTRO],DADOS!$N$5,tabela_registros[TIPO],DADOS!$AB$5,tabela_registros[CATEGORIA],investiroutrosconsolidadoout[[#This Row],[ATUAL]])</f>
        <v>0</v>
      </c>
      <c r="AD151" s="119" t="n">
        <f aca="false">SUMIFS(tabela_registros[VALOR],tabela_registros[MÊS],$AE$1,tabela_registros[DIA],investiroutrosconsolidadoout[[#Headers],[26]],tabela_registros[REGISTRO],DADOS!$N$5,tabela_registros[TIPO],DADOS!$AB$5,tabela_registros[CATEGORIA],investiroutrosconsolidadoout[[#This Row],[ATUAL]])</f>
        <v>0</v>
      </c>
      <c r="AE151" s="119" t="n">
        <f aca="false">SUMIFS(tabela_registros[VALOR],tabela_registros[MÊS],$AE$1,tabela_registros[DIA],investiroutrosconsolidadoout[[#Headers],[27]],tabela_registros[REGISTRO],DADOS!$N$5,tabela_registros[TIPO],DADOS!$AB$5,tabela_registros[CATEGORIA],investiroutrosconsolidadoout[[#This Row],[ATUAL]])</f>
        <v>0</v>
      </c>
      <c r="AF151" s="119" t="n">
        <f aca="false">SUMIFS(tabela_registros[VALOR],tabela_registros[MÊS],$AE$1,tabela_registros[DIA],investiroutrosconsolidadoout[[#Headers],[28]],tabela_registros[REGISTRO],DADOS!$N$5,tabela_registros[TIPO],DADOS!$AB$5,tabela_registros[CATEGORIA],investiroutrosconsolidadoout[[#This Row],[ATUAL]])</f>
        <v>0</v>
      </c>
      <c r="AG151" s="119" t="n">
        <f aca="false">SUMIFS(tabela_registros[VALOR],tabela_registros[MÊS],$AE$1,tabela_registros[DIA],investiroutrosconsolidadoout[[#Headers],[29]],tabela_registros[REGISTRO],DADOS!$N$5,tabela_registros[TIPO],DADOS!$AB$5,tabela_registros[CATEGORIA],investiroutrosconsolidadoout[[#This Row],[ATUAL]])</f>
        <v>0</v>
      </c>
      <c r="AH151" s="119" t="n">
        <f aca="false">SUMIFS(tabela_registros[VALOR],tabela_registros[MÊS],$AE$1,tabela_registros[DIA],investiroutrosconsolidadoout[[#Headers],[30]],tabela_registros[REGISTRO],DADOS!$N$5,tabela_registros[TIPO],DADOS!$AB$5,tabela_registros[CATEGORIA],investiroutrosconsolidadoout[[#This Row],[ATUAL]])</f>
        <v>0</v>
      </c>
      <c r="AI151" s="217" t="n">
        <f aca="false">SUMIFS(tabela_registros[VALOR],tabela_registros[MÊS],$AE$1,tabela_registros[DIA],investiroutrosconsolidadoout[[#Headers],[31]],tabela_registros[REGISTRO],DADOS!$N$5,tabela_registros[TIPO],DADOS!$AB$5,tabela_registros[CATEGORIA],investiroutrosconsolidadoout[[#This Row],[ATUAL]])</f>
        <v>0</v>
      </c>
      <c r="AJ151" s="149" t="n">
        <f aca="false">SUM(investiroutrosconsolidadoout[[#This Row],[1]:[31]])</f>
        <v>0</v>
      </c>
      <c r="AK151" s="165"/>
    </row>
    <row r="152" customFormat="false" ht="19.5" hidden="false" customHeight="true" outlineLevel="0" collapsed="false">
      <c r="B152" s="143"/>
      <c r="C152" s="144" t="str">
        <f aca="false">DADOS!$AH$4</f>
        <v>📝 FOREX</v>
      </c>
      <c r="D152" s="145" t="str">
        <f aca="false">IF(investiroutrosconsolidadoout[[#This Row],[TOTAL (R$)]]=0,"",IF(OR(investiroutrosconsolidadoout[[#This Row],[TOTAL (R$)]]=LARGE($AJ$151:$AJ$158,1),investiroutrosconsolidadoout[[#This Row],[TOTAL (R$)]]=LARGE($AJ$151:$AJ$158,2)),DADOS!$I$10,""))</f>
        <v/>
      </c>
      <c r="E152" s="148" t="n">
        <f aca="false">SUMIFS(tabela_registros[VALOR],tabela_registros[MÊS],$AE$1,tabela_registros[DIA],investiroutrosconsolidadoout[[#Headers],[1]],tabela_registros[REGISTRO],DADOS!$N$5,tabela_registros[TIPO],DADOS!$AB$5,tabela_registros[CATEGORIA],investiroutrosconsolidadoout[[#This Row],[ATUAL]])</f>
        <v>0</v>
      </c>
      <c r="F152" s="119" t="n">
        <f aca="false">SUMIFS(tabela_registros[VALOR],tabela_registros[MÊS],$AE$1,tabela_registros[DIA],investiroutrosconsolidadoout[[#Headers],[2]],tabela_registros[REGISTRO],DADOS!$N$5,tabela_registros[TIPO],DADOS!$AB$5,tabela_registros[CATEGORIA],investiroutrosconsolidadoout[[#This Row],[ATUAL]])</f>
        <v>0</v>
      </c>
      <c r="G152" s="119" t="n">
        <f aca="false">SUMIFS(tabela_registros[VALOR],tabela_registros[MÊS],$AE$1,tabela_registros[DIA],investiroutrosconsolidadoout[[#Headers],[3]],tabela_registros[REGISTRO],DADOS!$N$5,tabela_registros[TIPO],DADOS!$AB$5,tabela_registros[CATEGORIA],investiroutrosconsolidadoout[[#This Row],[ATUAL]])</f>
        <v>0</v>
      </c>
      <c r="H152" s="119" t="n">
        <f aca="false">SUMIFS(tabela_registros[VALOR],tabela_registros[MÊS],$AE$1,tabela_registros[DIA],investiroutrosconsolidadoout[[#Headers],[4]],tabela_registros[REGISTRO],DADOS!$N$5,tabela_registros[TIPO],DADOS!$AB$5,tabela_registros[CATEGORIA],investiroutrosconsolidadoout[[#This Row],[ATUAL]])</f>
        <v>0</v>
      </c>
      <c r="I152" s="119" t="n">
        <f aca="false">SUMIFS(tabela_registros[VALOR],tabela_registros[MÊS],$AE$1,tabela_registros[DIA],investiroutrosconsolidadoout[[#Headers],[5]],tabela_registros[REGISTRO],DADOS!$N$5,tabela_registros[TIPO],DADOS!$AB$5,tabela_registros[CATEGORIA],investiroutrosconsolidadoout[[#This Row],[ATUAL]])</f>
        <v>0</v>
      </c>
      <c r="J152" s="119" t="n">
        <f aca="false">SUMIFS(tabela_registros[VALOR],tabela_registros[MÊS],$AE$1,tabela_registros[DIA],investiroutrosconsolidadoout[[#Headers],[6]],tabela_registros[REGISTRO],DADOS!$N$5,tabela_registros[TIPO],DADOS!$AB$5,tabela_registros[CATEGORIA],investiroutrosconsolidadoout[[#This Row],[ATUAL]])</f>
        <v>0</v>
      </c>
      <c r="K152" s="119" t="n">
        <f aca="false">SUMIFS(tabela_registros[VALOR],tabela_registros[MÊS],$AE$1,tabela_registros[DIA],investiroutrosconsolidadoout[[#Headers],[7]],tabela_registros[REGISTRO],DADOS!$N$5,tabela_registros[TIPO],DADOS!$AB$5,tabela_registros[CATEGORIA],investiroutrosconsolidadoout[[#This Row],[ATUAL]])</f>
        <v>0</v>
      </c>
      <c r="L152" s="119" t="n">
        <f aca="false">SUMIFS(tabela_registros[VALOR],tabela_registros[MÊS],$AE$1,tabela_registros[DIA],investiroutrosconsolidadoout[[#Headers],[8]],tabela_registros[REGISTRO],DADOS!$N$5,tabela_registros[TIPO],DADOS!$AB$5,tabela_registros[CATEGORIA],investiroutrosconsolidadoout[[#This Row],[ATUAL]])</f>
        <v>0</v>
      </c>
      <c r="M152" s="119" t="n">
        <f aca="false">SUMIFS(tabela_registros[VALOR],tabela_registros[MÊS],$AE$1,tabela_registros[DIA],investiroutrosconsolidadoout[[#Headers],[9]],tabela_registros[REGISTRO],DADOS!$N$5,tabela_registros[TIPO],DADOS!$AB$5,tabela_registros[CATEGORIA],investiroutrosconsolidadoout[[#This Row],[ATUAL]])</f>
        <v>0</v>
      </c>
      <c r="N152" s="119" t="n">
        <f aca="false">SUMIFS(tabela_registros[VALOR],tabela_registros[MÊS],$AE$1,tabela_registros[DIA],investiroutrosconsolidadoout[[#Headers],[10]],tabela_registros[REGISTRO],DADOS!$N$5,tabela_registros[TIPO],DADOS!$AB$5,tabela_registros[CATEGORIA],investiroutrosconsolidadoout[[#This Row],[ATUAL]])</f>
        <v>0</v>
      </c>
      <c r="O152" s="119" t="n">
        <f aca="false">SUMIFS(tabela_registros[VALOR],tabela_registros[MÊS],$AE$1,tabela_registros[DIA],investiroutrosconsolidadoout[[#Headers],[11]],tabela_registros[REGISTRO],DADOS!$N$5,tabela_registros[TIPO],DADOS!$AB$5,tabela_registros[CATEGORIA],investiroutrosconsolidadoout[[#This Row],[ATUAL]])</f>
        <v>0</v>
      </c>
      <c r="P152" s="119" t="n">
        <f aca="false">SUMIFS(tabela_registros[VALOR],tabela_registros[MÊS],$AE$1,tabela_registros[DIA],investiroutrosconsolidadoout[[#Headers],[12]],tabela_registros[REGISTRO],DADOS!$N$5,tabela_registros[TIPO],DADOS!$AB$5,tabela_registros[CATEGORIA],investiroutrosconsolidadoout[[#This Row],[ATUAL]])</f>
        <v>0</v>
      </c>
      <c r="Q152" s="119" t="n">
        <f aca="false">SUMIFS(tabela_registros[VALOR],tabela_registros[MÊS],$AE$1,tabela_registros[DIA],investiroutrosconsolidadoout[[#Headers],[13]],tabela_registros[REGISTRO],DADOS!$N$5,tabela_registros[TIPO],DADOS!$AB$5,tabela_registros[CATEGORIA],investiroutrosconsolidadoout[[#This Row],[ATUAL]])</f>
        <v>0</v>
      </c>
      <c r="R152" s="119" t="n">
        <f aca="false">SUMIFS(tabela_registros[VALOR],tabela_registros[MÊS],$AE$1,tabela_registros[DIA],investiroutrosconsolidadoout[[#Headers],[14]],tabela_registros[REGISTRO],DADOS!$N$5,tabela_registros[TIPO],DADOS!$AB$5,tabela_registros[CATEGORIA],investiroutrosconsolidadoout[[#This Row],[ATUAL]])</f>
        <v>0</v>
      </c>
      <c r="S152" s="119" t="n">
        <f aca="false">SUMIFS(tabela_registros[VALOR],tabela_registros[MÊS],$AE$1,tabela_registros[DIA],investiroutrosconsolidadoout[[#Headers],[15]],tabela_registros[REGISTRO],DADOS!$N$5,tabela_registros[TIPO],DADOS!$AB$5,tabela_registros[CATEGORIA],investiroutrosconsolidadoout[[#This Row],[ATUAL]])</f>
        <v>0</v>
      </c>
      <c r="T152" s="119" t="n">
        <f aca="false">SUMIFS(tabela_registros[VALOR],tabela_registros[MÊS],$AE$1,tabela_registros[DIA],investiroutrosconsolidadoout[[#Headers],[16]],tabela_registros[REGISTRO],DADOS!$N$5,tabela_registros[TIPO],DADOS!$AB$5,tabela_registros[CATEGORIA],investiroutrosconsolidadoout[[#This Row],[ATUAL]])</f>
        <v>0</v>
      </c>
      <c r="U152" s="119" t="n">
        <f aca="false">SUMIFS(tabela_registros[VALOR],tabela_registros[MÊS],$AE$1,tabela_registros[DIA],investiroutrosconsolidadoout[[#Headers],[17]],tabela_registros[REGISTRO],DADOS!$N$5,tabela_registros[TIPO],DADOS!$AB$5,tabela_registros[CATEGORIA],investiroutrosconsolidadoout[[#This Row],[ATUAL]])</f>
        <v>0</v>
      </c>
      <c r="V152" s="119" t="n">
        <f aca="false">SUMIFS(tabela_registros[VALOR],tabela_registros[MÊS],$AE$1,tabela_registros[DIA],investiroutrosconsolidadoout[[#Headers],[18]],tabela_registros[REGISTRO],DADOS!$N$5,tabela_registros[TIPO],DADOS!$AB$5,tabela_registros[CATEGORIA],investiroutrosconsolidadoout[[#This Row],[ATUAL]])</f>
        <v>0</v>
      </c>
      <c r="W152" s="119" t="n">
        <f aca="false">SUMIFS(tabela_registros[VALOR],tabela_registros[MÊS],$AE$1,tabela_registros[DIA],investiroutrosconsolidadoout[[#Headers],[19]],tabela_registros[REGISTRO],DADOS!$N$5,tabela_registros[TIPO],DADOS!$AB$5,tabela_registros[CATEGORIA],investiroutrosconsolidadoout[[#This Row],[ATUAL]])</f>
        <v>0</v>
      </c>
      <c r="X152" s="119" t="n">
        <f aca="false">SUMIFS(tabela_registros[VALOR],tabela_registros[MÊS],$AE$1,tabela_registros[DIA],investiroutrosconsolidadoout[[#Headers],[20]],tabela_registros[REGISTRO],DADOS!$N$5,tabela_registros[TIPO],DADOS!$AB$5,tabela_registros[CATEGORIA],investiroutrosconsolidadoout[[#This Row],[ATUAL]])</f>
        <v>0</v>
      </c>
      <c r="Y152" s="119" t="n">
        <f aca="false">SUMIFS(tabela_registros[VALOR],tabela_registros[MÊS],$AE$1,tabela_registros[DIA],investiroutrosconsolidadoout[[#Headers],[21]],tabela_registros[REGISTRO],DADOS!$N$5,tabela_registros[TIPO],DADOS!$AB$5,tabela_registros[CATEGORIA],investiroutrosconsolidadoout[[#This Row],[ATUAL]])</f>
        <v>0</v>
      </c>
      <c r="Z152" s="119" t="n">
        <f aca="false">SUMIFS(tabela_registros[VALOR],tabela_registros[MÊS],$AE$1,tabela_registros[DIA],investiroutrosconsolidadoout[[#Headers],[22]],tabela_registros[REGISTRO],DADOS!$N$5,tabela_registros[TIPO],DADOS!$AB$5,tabela_registros[CATEGORIA],investiroutrosconsolidadoout[[#This Row],[ATUAL]])</f>
        <v>0</v>
      </c>
      <c r="AA152" s="119" t="n">
        <f aca="false">SUMIFS(tabela_registros[VALOR],tabela_registros[MÊS],$AE$1,tabela_registros[DIA],investiroutrosconsolidadoout[[#Headers],[23]],tabela_registros[REGISTRO],DADOS!$N$5,tabela_registros[TIPO],DADOS!$AB$5,tabela_registros[CATEGORIA],investiroutrosconsolidadoout[[#This Row],[ATUAL]])</f>
        <v>0</v>
      </c>
      <c r="AB152" s="119" t="n">
        <f aca="false">SUMIFS(tabela_registros[VALOR],tabela_registros[MÊS],$AE$1,tabela_registros[DIA],investiroutrosconsolidadoout[[#Headers],[24]],tabela_registros[REGISTRO],DADOS!$N$5,tabela_registros[TIPO],DADOS!$AB$5,tabela_registros[CATEGORIA],investiroutrosconsolidadoout[[#This Row],[ATUAL]])</f>
        <v>0</v>
      </c>
      <c r="AC152" s="119" t="n">
        <f aca="false">SUMIFS(tabela_registros[VALOR],tabela_registros[MÊS],$AE$1,tabela_registros[DIA],investiroutrosconsolidadoout[[#Headers],[25]],tabela_registros[REGISTRO],DADOS!$N$5,tabela_registros[TIPO],DADOS!$AB$5,tabela_registros[CATEGORIA],investiroutrosconsolidadoout[[#This Row],[ATUAL]])</f>
        <v>0</v>
      </c>
      <c r="AD152" s="119" t="n">
        <f aca="false">SUMIFS(tabela_registros[VALOR],tabela_registros[MÊS],$AE$1,tabela_registros[DIA],investiroutrosconsolidadoout[[#Headers],[26]],tabela_registros[REGISTRO],DADOS!$N$5,tabela_registros[TIPO],DADOS!$AB$5,tabela_registros[CATEGORIA],investiroutrosconsolidadoout[[#This Row],[ATUAL]])</f>
        <v>0</v>
      </c>
      <c r="AE152" s="119" t="n">
        <f aca="false">SUMIFS(tabela_registros[VALOR],tabela_registros[MÊS],$AE$1,tabela_registros[DIA],investiroutrosconsolidadoout[[#Headers],[27]],tabela_registros[REGISTRO],DADOS!$N$5,tabela_registros[TIPO],DADOS!$AB$5,tabela_registros[CATEGORIA],investiroutrosconsolidadoout[[#This Row],[ATUAL]])</f>
        <v>0</v>
      </c>
      <c r="AF152" s="119" t="n">
        <f aca="false">SUMIFS(tabela_registros[VALOR],tabela_registros[MÊS],$AE$1,tabela_registros[DIA],investiroutrosconsolidadoout[[#Headers],[28]],tabela_registros[REGISTRO],DADOS!$N$5,tabela_registros[TIPO],DADOS!$AB$5,tabela_registros[CATEGORIA],investiroutrosconsolidadoout[[#This Row],[ATUAL]])</f>
        <v>0</v>
      </c>
      <c r="AG152" s="119" t="n">
        <f aca="false">SUMIFS(tabela_registros[VALOR],tabela_registros[MÊS],$AE$1,tabela_registros[DIA],investiroutrosconsolidadoout[[#Headers],[29]],tabela_registros[REGISTRO],DADOS!$N$5,tabela_registros[TIPO],DADOS!$AB$5,tabela_registros[CATEGORIA],investiroutrosconsolidadoout[[#This Row],[ATUAL]])</f>
        <v>0</v>
      </c>
      <c r="AH152" s="119" t="n">
        <f aca="false">SUMIFS(tabela_registros[VALOR],tabela_registros[MÊS],$AE$1,tabela_registros[DIA],investiroutrosconsolidadoout[[#Headers],[30]],tabela_registros[REGISTRO],DADOS!$N$5,tabela_registros[TIPO],DADOS!$AB$5,tabela_registros[CATEGORIA],investiroutrosconsolidadoout[[#This Row],[ATUAL]])</f>
        <v>0</v>
      </c>
      <c r="AI152" s="217" t="n">
        <f aca="false">SUMIFS(tabela_registros[VALOR],tabela_registros[MÊS],$AE$1,tabela_registros[DIA],investiroutrosconsolidadoout[[#Headers],[31]],tabela_registros[REGISTRO],DADOS!$N$5,tabela_registros[TIPO],DADOS!$AB$5,tabela_registros[CATEGORIA],investiroutrosconsolidadoout[[#This Row],[ATUAL]])</f>
        <v>0</v>
      </c>
      <c r="AJ152" s="149" t="n">
        <f aca="false">SUM(investiroutrosconsolidadoout[[#This Row],[1]:[31]])</f>
        <v>0</v>
      </c>
      <c r="AK152" s="165"/>
    </row>
    <row r="153" customFormat="false" ht="19.5" hidden="false" customHeight="true" outlineLevel="0" collapsed="false">
      <c r="B153" s="143"/>
      <c r="C153" s="144" t="str">
        <f aca="false">DADOS!$AH$5</f>
        <v>📝 FUNDO DE INVESTIMENTO</v>
      </c>
      <c r="D153" s="145" t="str">
        <f aca="false">IF(investiroutrosconsolidadoout[[#This Row],[TOTAL (R$)]]=0,"",IF(OR(investiroutrosconsolidadoout[[#This Row],[TOTAL (R$)]]=LARGE($AJ$151:$AJ$158,1),investiroutrosconsolidadoout[[#This Row],[TOTAL (R$)]]=LARGE($AJ$151:$AJ$158,2)),DADOS!$I$10,""))</f>
        <v/>
      </c>
      <c r="E153" s="148" t="n">
        <f aca="false">SUMIFS(tabela_registros[VALOR],tabela_registros[MÊS],$AE$1,tabela_registros[DIA],investiroutrosconsolidadoout[[#Headers],[1]],tabela_registros[REGISTRO],DADOS!$N$5,tabela_registros[TIPO],DADOS!$AB$5,tabela_registros[CATEGORIA],investiroutrosconsolidadoout[[#This Row],[ATUAL]])</f>
        <v>0</v>
      </c>
      <c r="F153" s="119" t="n">
        <f aca="false">SUMIFS(tabela_registros[VALOR],tabela_registros[MÊS],$AE$1,tabela_registros[DIA],investiroutrosconsolidadoout[[#Headers],[2]],tabela_registros[REGISTRO],DADOS!$N$5,tabela_registros[TIPO],DADOS!$AB$5,tabela_registros[CATEGORIA],investiroutrosconsolidadoout[[#This Row],[ATUAL]])</f>
        <v>0</v>
      </c>
      <c r="G153" s="119" t="n">
        <f aca="false">SUMIFS(tabela_registros[VALOR],tabela_registros[MÊS],$AE$1,tabela_registros[DIA],investiroutrosconsolidadoout[[#Headers],[3]],tabela_registros[REGISTRO],DADOS!$N$5,tabela_registros[TIPO],DADOS!$AB$5,tabela_registros[CATEGORIA],investiroutrosconsolidadoout[[#This Row],[ATUAL]])</f>
        <v>0</v>
      </c>
      <c r="H153" s="119" t="n">
        <f aca="false">SUMIFS(tabela_registros[VALOR],tabela_registros[MÊS],$AE$1,tabela_registros[DIA],investiroutrosconsolidadoout[[#Headers],[4]],tabela_registros[REGISTRO],DADOS!$N$5,tabela_registros[TIPO],DADOS!$AB$5,tabela_registros[CATEGORIA],investiroutrosconsolidadoout[[#This Row],[ATUAL]])</f>
        <v>0</v>
      </c>
      <c r="I153" s="119" t="n">
        <f aca="false">SUMIFS(tabela_registros[VALOR],tabela_registros[MÊS],$AE$1,tabela_registros[DIA],investiroutrosconsolidadoout[[#Headers],[5]],tabela_registros[REGISTRO],DADOS!$N$5,tabela_registros[TIPO],DADOS!$AB$5,tabela_registros[CATEGORIA],investiroutrosconsolidadoout[[#This Row],[ATUAL]])</f>
        <v>0</v>
      </c>
      <c r="J153" s="119" t="n">
        <f aca="false">SUMIFS(tabela_registros[VALOR],tabela_registros[MÊS],$AE$1,tabela_registros[DIA],investiroutrosconsolidadoout[[#Headers],[6]],tabela_registros[REGISTRO],DADOS!$N$5,tabela_registros[TIPO],DADOS!$AB$5,tabela_registros[CATEGORIA],investiroutrosconsolidadoout[[#This Row],[ATUAL]])</f>
        <v>0</v>
      </c>
      <c r="K153" s="119" t="n">
        <f aca="false">SUMIFS(tabela_registros[VALOR],tabela_registros[MÊS],$AE$1,tabela_registros[DIA],investiroutrosconsolidadoout[[#Headers],[7]],tabela_registros[REGISTRO],DADOS!$N$5,tabela_registros[TIPO],DADOS!$AB$5,tabela_registros[CATEGORIA],investiroutrosconsolidadoout[[#This Row],[ATUAL]])</f>
        <v>0</v>
      </c>
      <c r="L153" s="119" t="n">
        <f aca="false">SUMIFS(tabela_registros[VALOR],tabela_registros[MÊS],$AE$1,tabela_registros[DIA],investiroutrosconsolidadoout[[#Headers],[8]],tabela_registros[REGISTRO],DADOS!$N$5,tabela_registros[TIPO],DADOS!$AB$5,tabela_registros[CATEGORIA],investiroutrosconsolidadoout[[#This Row],[ATUAL]])</f>
        <v>0</v>
      </c>
      <c r="M153" s="119" t="n">
        <f aca="false">SUMIFS(tabela_registros[VALOR],tabela_registros[MÊS],$AE$1,tabela_registros[DIA],investiroutrosconsolidadoout[[#Headers],[9]],tabela_registros[REGISTRO],DADOS!$N$5,tabela_registros[TIPO],DADOS!$AB$5,tabela_registros[CATEGORIA],investiroutrosconsolidadoout[[#This Row],[ATUAL]])</f>
        <v>0</v>
      </c>
      <c r="N153" s="119" t="n">
        <f aca="false">SUMIFS(tabela_registros[VALOR],tabela_registros[MÊS],$AE$1,tabela_registros[DIA],investiroutrosconsolidadoout[[#Headers],[10]],tabela_registros[REGISTRO],DADOS!$N$5,tabela_registros[TIPO],DADOS!$AB$5,tabela_registros[CATEGORIA],investiroutrosconsolidadoout[[#This Row],[ATUAL]])</f>
        <v>0</v>
      </c>
      <c r="O153" s="119" t="n">
        <f aca="false">SUMIFS(tabela_registros[VALOR],tabela_registros[MÊS],$AE$1,tabela_registros[DIA],investiroutrosconsolidadoout[[#Headers],[11]],tabela_registros[REGISTRO],DADOS!$N$5,tabela_registros[TIPO],DADOS!$AB$5,tabela_registros[CATEGORIA],investiroutrosconsolidadoout[[#This Row],[ATUAL]])</f>
        <v>0</v>
      </c>
      <c r="P153" s="119" t="n">
        <f aca="false">SUMIFS(tabela_registros[VALOR],tabela_registros[MÊS],$AE$1,tabela_registros[DIA],investiroutrosconsolidadoout[[#Headers],[12]],tabela_registros[REGISTRO],DADOS!$N$5,tabela_registros[TIPO],DADOS!$AB$5,tabela_registros[CATEGORIA],investiroutrosconsolidadoout[[#This Row],[ATUAL]])</f>
        <v>0</v>
      </c>
      <c r="Q153" s="119" t="n">
        <f aca="false">SUMIFS(tabela_registros[VALOR],tabela_registros[MÊS],$AE$1,tabela_registros[DIA],investiroutrosconsolidadoout[[#Headers],[13]],tabela_registros[REGISTRO],DADOS!$N$5,tabela_registros[TIPO],DADOS!$AB$5,tabela_registros[CATEGORIA],investiroutrosconsolidadoout[[#This Row],[ATUAL]])</f>
        <v>0</v>
      </c>
      <c r="R153" s="119" t="n">
        <f aca="false">SUMIFS(tabela_registros[VALOR],tabela_registros[MÊS],$AE$1,tabela_registros[DIA],investiroutrosconsolidadoout[[#Headers],[14]],tabela_registros[REGISTRO],DADOS!$N$5,tabela_registros[TIPO],DADOS!$AB$5,tabela_registros[CATEGORIA],investiroutrosconsolidadoout[[#This Row],[ATUAL]])</f>
        <v>0</v>
      </c>
      <c r="S153" s="119" t="n">
        <f aca="false">SUMIFS(tabela_registros[VALOR],tabela_registros[MÊS],$AE$1,tabela_registros[DIA],investiroutrosconsolidadoout[[#Headers],[15]],tabela_registros[REGISTRO],DADOS!$N$5,tabela_registros[TIPO],DADOS!$AB$5,tabela_registros[CATEGORIA],investiroutrosconsolidadoout[[#This Row],[ATUAL]])</f>
        <v>0</v>
      </c>
      <c r="T153" s="119" t="n">
        <f aca="false">SUMIFS(tabela_registros[VALOR],tabela_registros[MÊS],$AE$1,tabela_registros[DIA],investiroutrosconsolidadoout[[#Headers],[16]],tabela_registros[REGISTRO],DADOS!$N$5,tabela_registros[TIPO],DADOS!$AB$5,tabela_registros[CATEGORIA],investiroutrosconsolidadoout[[#This Row],[ATUAL]])</f>
        <v>0</v>
      </c>
      <c r="U153" s="119" t="n">
        <f aca="false">SUMIFS(tabela_registros[VALOR],tabela_registros[MÊS],$AE$1,tabela_registros[DIA],investiroutrosconsolidadoout[[#Headers],[17]],tabela_registros[REGISTRO],DADOS!$N$5,tabela_registros[TIPO],DADOS!$AB$5,tabela_registros[CATEGORIA],investiroutrosconsolidadoout[[#This Row],[ATUAL]])</f>
        <v>0</v>
      </c>
      <c r="V153" s="119" t="n">
        <f aca="false">SUMIFS(tabela_registros[VALOR],tabela_registros[MÊS],$AE$1,tabela_registros[DIA],investiroutrosconsolidadoout[[#Headers],[18]],tabela_registros[REGISTRO],DADOS!$N$5,tabela_registros[TIPO],DADOS!$AB$5,tabela_registros[CATEGORIA],investiroutrosconsolidadoout[[#This Row],[ATUAL]])</f>
        <v>0</v>
      </c>
      <c r="W153" s="119" t="n">
        <f aca="false">SUMIFS(tabela_registros[VALOR],tabela_registros[MÊS],$AE$1,tabela_registros[DIA],investiroutrosconsolidadoout[[#Headers],[19]],tabela_registros[REGISTRO],DADOS!$N$5,tabela_registros[TIPO],DADOS!$AB$5,tabela_registros[CATEGORIA],investiroutrosconsolidadoout[[#This Row],[ATUAL]])</f>
        <v>0</v>
      </c>
      <c r="X153" s="119" t="n">
        <f aca="false">SUMIFS(tabela_registros[VALOR],tabela_registros[MÊS],$AE$1,tabela_registros[DIA],investiroutrosconsolidadoout[[#Headers],[20]],tabela_registros[REGISTRO],DADOS!$N$5,tabela_registros[TIPO],DADOS!$AB$5,tabela_registros[CATEGORIA],investiroutrosconsolidadoout[[#This Row],[ATUAL]])</f>
        <v>0</v>
      </c>
      <c r="Y153" s="119" t="n">
        <f aca="false">SUMIFS(tabela_registros[VALOR],tabela_registros[MÊS],$AE$1,tabela_registros[DIA],investiroutrosconsolidadoout[[#Headers],[21]],tabela_registros[REGISTRO],DADOS!$N$5,tabela_registros[TIPO],DADOS!$AB$5,tabela_registros[CATEGORIA],investiroutrosconsolidadoout[[#This Row],[ATUAL]])</f>
        <v>0</v>
      </c>
      <c r="Z153" s="119" t="n">
        <f aca="false">SUMIFS(tabela_registros[VALOR],tabela_registros[MÊS],$AE$1,tabela_registros[DIA],investiroutrosconsolidadoout[[#Headers],[22]],tabela_registros[REGISTRO],DADOS!$N$5,tabela_registros[TIPO],DADOS!$AB$5,tabela_registros[CATEGORIA],investiroutrosconsolidadoout[[#This Row],[ATUAL]])</f>
        <v>0</v>
      </c>
      <c r="AA153" s="119" t="n">
        <f aca="false">SUMIFS(tabela_registros[VALOR],tabela_registros[MÊS],$AE$1,tabela_registros[DIA],investiroutrosconsolidadoout[[#Headers],[23]],tabela_registros[REGISTRO],DADOS!$N$5,tabela_registros[TIPO],DADOS!$AB$5,tabela_registros[CATEGORIA],investiroutrosconsolidadoout[[#This Row],[ATUAL]])</f>
        <v>0</v>
      </c>
      <c r="AB153" s="119" t="n">
        <f aca="false">SUMIFS(tabela_registros[VALOR],tabela_registros[MÊS],$AE$1,tabela_registros[DIA],investiroutrosconsolidadoout[[#Headers],[24]],tabela_registros[REGISTRO],DADOS!$N$5,tabela_registros[TIPO],DADOS!$AB$5,tabela_registros[CATEGORIA],investiroutrosconsolidadoout[[#This Row],[ATUAL]])</f>
        <v>0</v>
      </c>
      <c r="AC153" s="119" t="n">
        <f aca="false">SUMIFS(tabela_registros[VALOR],tabela_registros[MÊS],$AE$1,tabela_registros[DIA],investiroutrosconsolidadoout[[#Headers],[25]],tabela_registros[REGISTRO],DADOS!$N$5,tabela_registros[TIPO],DADOS!$AB$5,tabela_registros[CATEGORIA],investiroutrosconsolidadoout[[#This Row],[ATUAL]])</f>
        <v>0</v>
      </c>
      <c r="AD153" s="119" t="n">
        <f aca="false">SUMIFS(tabela_registros[VALOR],tabela_registros[MÊS],$AE$1,tabela_registros[DIA],investiroutrosconsolidadoout[[#Headers],[26]],tabela_registros[REGISTRO],DADOS!$N$5,tabela_registros[TIPO],DADOS!$AB$5,tabela_registros[CATEGORIA],investiroutrosconsolidadoout[[#This Row],[ATUAL]])</f>
        <v>0</v>
      </c>
      <c r="AE153" s="119" t="n">
        <f aca="false">SUMIFS(tabela_registros[VALOR],tabela_registros[MÊS],$AE$1,tabela_registros[DIA],investiroutrosconsolidadoout[[#Headers],[27]],tabela_registros[REGISTRO],DADOS!$N$5,tabela_registros[TIPO],DADOS!$AB$5,tabela_registros[CATEGORIA],investiroutrosconsolidadoout[[#This Row],[ATUAL]])</f>
        <v>0</v>
      </c>
      <c r="AF153" s="119" t="n">
        <f aca="false">SUMIFS(tabela_registros[VALOR],tabela_registros[MÊS],$AE$1,tabela_registros[DIA],investiroutrosconsolidadoout[[#Headers],[28]],tabela_registros[REGISTRO],DADOS!$N$5,tabela_registros[TIPO],DADOS!$AB$5,tabela_registros[CATEGORIA],investiroutrosconsolidadoout[[#This Row],[ATUAL]])</f>
        <v>0</v>
      </c>
      <c r="AG153" s="119" t="n">
        <f aca="false">SUMIFS(tabela_registros[VALOR],tabela_registros[MÊS],$AE$1,tabela_registros[DIA],investiroutrosconsolidadoout[[#Headers],[29]],tabela_registros[REGISTRO],DADOS!$N$5,tabela_registros[TIPO],DADOS!$AB$5,tabela_registros[CATEGORIA],investiroutrosconsolidadoout[[#This Row],[ATUAL]])</f>
        <v>0</v>
      </c>
      <c r="AH153" s="119" t="n">
        <f aca="false">SUMIFS(tabela_registros[VALOR],tabela_registros[MÊS],$AE$1,tabela_registros[DIA],investiroutrosconsolidadoout[[#Headers],[30]],tabela_registros[REGISTRO],DADOS!$N$5,tabela_registros[TIPO],DADOS!$AB$5,tabela_registros[CATEGORIA],investiroutrosconsolidadoout[[#This Row],[ATUAL]])</f>
        <v>0</v>
      </c>
      <c r="AI153" s="217" t="n">
        <f aca="false">SUMIFS(tabela_registros[VALOR],tabela_registros[MÊS],$AE$1,tabela_registros[DIA],investiroutrosconsolidadoout[[#Headers],[31]],tabela_registros[REGISTRO],DADOS!$N$5,tabela_registros[TIPO],DADOS!$AB$5,tabela_registros[CATEGORIA],investiroutrosconsolidadoout[[#This Row],[ATUAL]])</f>
        <v>0</v>
      </c>
      <c r="AJ153" s="149" t="n">
        <f aca="false">SUM(investiroutrosconsolidadoout[[#This Row],[1]:[31]])</f>
        <v>0</v>
      </c>
      <c r="AK153" s="165"/>
    </row>
    <row r="154" customFormat="false" ht="19.5" hidden="false" customHeight="true" outlineLevel="0" collapsed="false">
      <c r="B154" s="143"/>
      <c r="C154" s="144" t="str">
        <f aca="false">DADOS!$AH$6</f>
        <v>📝 NOVA EMPRESA</v>
      </c>
      <c r="D154" s="145" t="str">
        <f aca="false">IF(investiroutrosconsolidadoout[[#This Row],[TOTAL (R$)]]=0,"",IF(OR(investiroutrosconsolidadoout[[#This Row],[TOTAL (R$)]]=LARGE($AJ$151:$AJ$158,1),investiroutrosconsolidadoout[[#This Row],[TOTAL (R$)]]=LARGE($AJ$151:$AJ$158,2)),DADOS!$I$10,""))</f>
        <v/>
      </c>
      <c r="E154" s="148" t="n">
        <f aca="false">SUMIFS(tabela_registros[VALOR],tabela_registros[MÊS],$AE$1,tabela_registros[DIA],investiroutrosconsolidadoout[[#Headers],[1]],tabela_registros[REGISTRO],DADOS!$N$5,tabela_registros[TIPO],DADOS!$AB$5,tabela_registros[CATEGORIA],investiroutrosconsolidadoout[[#This Row],[ATUAL]])</f>
        <v>0</v>
      </c>
      <c r="F154" s="119" t="n">
        <f aca="false">SUMIFS(tabela_registros[VALOR],tabela_registros[MÊS],$AE$1,tabela_registros[DIA],investiroutrosconsolidadoout[[#Headers],[2]],tabela_registros[REGISTRO],DADOS!$N$5,tabela_registros[TIPO],DADOS!$AB$5,tabela_registros[CATEGORIA],investiroutrosconsolidadoout[[#This Row],[ATUAL]])</f>
        <v>0</v>
      </c>
      <c r="G154" s="119" t="n">
        <f aca="false">SUMIFS(tabela_registros[VALOR],tabela_registros[MÊS],$AE$1,tabela_registros[DIA],investiroutrosconsolidadoout[[#Headers],[3]],tabela_registros[REGISTRO],DADOS!$N$5,tabela_registros[TIPO],DADOS!$AB$5,tabela_registros[CATEGORIA],investiroutrosconsolidadoout[[#This Row],[ATUAL]])</f>
        <v>0</v>
      </c>
      <c r="H154" s="119" t="n">
        <f aca="false">SUMIFS(tabela_registros[VALOR],tabela_registros[MÊS],$AE$1,tabela_registros[DIA],investiroutrosconsolidadoout[[#Headers],[4]],tabela_registros[REGISTRO],DADOS!$N$5,tabela_registros[TIPO],DADOS!$AB$5,tabela_registros[CATEGORIA],investiroutrosconsolidadoout[[#This Row],[ATUAL]])</f>
        <v>0</v>
      </c>
      <c r="I154" s="119" t="n">
        <f aca="false">SUMIFS(tabela_registros[VALOR],tabela_registros[MÊS],$AE$1,tabela_registros[DIA],investiroutrosconsolidadoout[[#Headers],[5]],tabela_registros[REGISTRO],DADOS!$N$5,tabela_registros[TIPO],DADOS!$AB$5,tabela_registros[CATEGORIA],investiroutrosconsolidadoout[[#This Row],[ATUAL]])</f>
        <v>0</v>
      </c>
      <c r="J154" s="119" t="n">
        <f aca="false">SUMIFS(tabela_registros[VALOR],tabela_registros[MÊS],$AE$1,tabela_registros[DIA],investiroutrosconsolidadoout[[#Headers],[6]],tabela_registros[REGISTRO],DADOS!$N$5,tabela_registros[TIPO],DADOS!$AB$5,tabela_registros[CATEGORIA],investiroutrosconsolidadoout[[#This Row],[ATUAL]])</f>
        <v>0</v>
      </c>
      <c r="K154" s="119" t="n">
        <f aca="false">SUMIFS(tabela_registros[VALOR],tabela_registros[MÊS],$AE$1,tabela_registros[DIA],investiroutrosconsolidadoout[[#Headers],[7]],tabela_registros[REGISTRO],DADOS!$N$5,tabela_registros[TIPO],DADOS!$AB$5,tabela_registros[CATEGORIA],investiroutrosconsolidadoout[[#This Row],[ATUAL]])</f>
        <v>0</v>
      </c>
      <c r="L154" s="119" t="n">
        <f aca="false">SUMIFS(tabela_registros[VALOR],tabela_registros[MÊS],$AE$1,tabela_registros[DIA],investiroutrosconsolidadoout[[#Headers],[8]],tabela_registros[REGISTRO],DADOS!$N$5,tabela_registros[TIPO],DADOS!$AB$5,tabela_registros[CATEGORIA],investiroutrosconsolidadoout[[#This Row],[ATUAL]])</f>
        <v>0</v>
      </c>
      <c r="M154" s="119" t="n">
        <f aca="false">SUMIFS(tabela_registros[VALOR],tabela_registros[MÊS],$AE$1,tabela_registros[DIA],investiroutrosconsolidadoout[[#Headers],[9]],tabela_registros[REGISTRO],DADOS!$N$5,tabela_registros[TIPO],DADOS!$AB$5,tabela_registros[CATEGORIA],investiroutrosconsolidadoout[[#This Row],[ATUAL]])</f>
        <v>0</v>
      </c>
      <c r="N154" s="119" t="n">
        <f aca="false">SUMIFS(tabela_registros[VALOR],tabela_registros[MÊS],$AE$1,tabela_registros[DIA],investiroutrosconsolidadoout[[#Headers],[10]],tabela_registros[REGISTRO],DADOS!$N$5,tabela_registros[TIPO],DADOS!$AB$5,tabela_registros[CATEGORIA],investiroutrosconsolidadoout[[#This Row],[ATUAL]])</f>
        <v>0</v>
      </c>
      <c r="O154" s="119" t="n">
        <f aca="false">SUMIFS(tabela_registros[VALOR],tabela_registros[MÊS],$AE$1,tabela_registros[DIA],investiroutrosconsolidadoout[[#Headers],[11]],tabela_registros[REGISTRO],DADOS!$N$5,tabela_registros[TIPO],DADOS!$AB$5,tabela_registros[CATEGORIA],investiroutrosconsolidadoout[[#This Row],[ATUAL]])</f>
        <v>0</v>
      </c>
      <c r="P154" s="119" t="n">
        <f aca="false">SUMIFS(tabela_registros[VALOR],tabela_registros[MÊS],$AE$1,tabela_registros[DIA],investiroutrosconsolidadoout[[#Headers],[12]],tabela_registros[REGISTRO],DADOS!$N$5,tabela_registros[TIPO],DADOS!$AB$5,tabela_registros[CATEGORIA],investiroutrosconsolidadoout[[#This Row],[ATUAL]])</f>
        <v>0</v>
      </c>
      <c r="Q154" s="119" t="n">
        <f aca="false">SUMIFS(tabela_registros[VALOR],tabela_registros[MÊS],$AE$1,tabela_registros[DIA],investiroutrosconsolidadoout[[#Headers],[13]],tabela_registros[REGISTRO],DADOS!$N$5,tabela_registros[TIPO],DADOS!$AB$5,tabela_registros[CATEGORIA],investiroutrosconsolidadoout[[#This Row],[ATUAL]])</f>
        <v>0</v>
      </c>
      <c r="R154" s="119" t="n">
        <f aca="false">SUMIFS(tabela_registros[VALOR],tabela_registros[MÊS],$AE$1,tabela_registros[DIA],investiroutrosconsolidadoout[[#Headers],[14]],tabela_registros[REGISTRO],DADOS!$N$5,tabela_registros[TIPO],DADOS!$AB$5,tabela_registros[CATEGORIA],investiroutrosconsolidadoout[[#This Row],[ATUAL]])</f>
        <v>0</v>
      </c>
      <c r="S154" s="119" t="n">
        <f aca="false">SUMIFS(tabela_registros[VALOR],tabela_registros[MÊS],$AE$1,tabela_registros[DIA],investiroutrosconsolidadoout[[#Headers],[15]],tabela_registros[REGISTRO],DADOS!$N$5,tabela_registros[TIPO],DADOS!$AB$5,tabela_registros[CATEGORIA],investiroutrosconsolidadoout[[#This Row],[ATUAL]])</f>
        <v>0</v>
      </c>
      <c r="T154" s="119" t="n">
        <f aca="false">SUMIFS(tabela_registros[VALOR],tabela_registros[MÊS],$AE$1,tabela_registros[DIA],investiroutrosconsolidadoout[[#Headers],[16]],tabela_registros[REGISTRO],DADOS!$N$5,tabela_registros[TIPO],DADOS!$AB$5,tabela_registros[CATEGORIA],investiroutrosconsolidadoout[[#This Row],[ATUAL]])</f>
        <v>0</v>
      </c>
      <c r="U154" s="119" t="n">
        <f aca="false">SUMIFS(tabela_registros[VALOR],tabela_registros[MÊS],$AE$1,tabela_registros[DIA],investiroutrosconsolidadoout[[#Headers],[17]],tabela_registros[REGISTRO],DADOS!$N$5,tabela_registros[TIPO],DADOS!$AB$5,tabela_registros[CATEGORIA],investiroutrosconsolidadoout[[#This Row],[ATUAL]])</f>
        <v>0</v>
      </c>
      <c r="V154" s="119" t="n">
        <f aca="false">SUMIFS(tabela_registros[VALOR],tabela_registros[MÊS],$AE$1,tabela_registros[DIA],investiroutrosconsolidadoout[[#Headers],[18]],tabela_registros[REGISTRO],DADOS!$N$5,tabela_registros[TIPO],DADOS!$AB$5,tabela_registros[CATEGORIA],investiroutrosconsolidadoout[[#This Row],[ATUAL]])</f>
        <v>0</v>
      </c>
      <c r="W154" s="119" t="n">
        <f aca="false">SUMIFS(tabela_registros[VALOR],tabela_registros[MÊS],$AE$1,tabela_registros[DIA],investiroutrosconsolidadoout[[#Headers],[19]],tabela_registros[REGISTRO],DADOS!$N$5,tabela_registros[TIPO],DADOS!$AB$5,tabela_registros[CATEGORIA],investiroutrosconsolidadoout[[#This Row],[ATUAL]])</f>
        <v>0</v>
      </c>
      <c r="X154" s="119" t="n">
        <f aca="false">SUMIFS(tabela_registros[VALOR],tabela_registros[MÊS],$AE$1,tabela_registros[DIA],investiroutrosconsolidadoout[[#Headers],[20]],tabela_registros[REGISTRO],DADOS!$N$5,tabela_registros[TIPO],DADOS!$AB$5,tabela_registros[CATEGORIA],investiroutrosconsolidadoout[[#This Row],[ATUAL]])</f>
        <v>0</v>
      </c>
      <c r="Y154" s="119" t="n">
        <f aca="false">SUMIFS(tabela_registros[VALOR],tabela_registros[MÊS],$AE$1,tabela_registros[DIA],investiroutrosconsolidadoout[[#Headers],[21]],tabela_registros[REGISTRO],DADOS!$N$5,tabela_registros[TIPO],DADOS!$AB$5,tabela_registros[CATEGORIA],investiroutrosconsolidadoout[[#This Row],[ATUAL]])</f>
        <v>0</v>
      </c>
      <c r="Z154" s="119" t="n">
        <f aca="false">SUMIFS(tabela_registros[VALOR],tabela_registros[MÊS],$AE$1,tabela_registros[DIA],investiroutrosconsolidadoout[[#Headers],[22]],tabela_registros[REGISTRO],DADOS!$N$5,tabela_registros[TIPO],DADOS!$AB$5,tabela_registros[CATEGORIA],investiroutrosconsolidadoout[[#This Row],[ATUAL]])</f>
        <v>0</v>
      </c>
      <c r="AA154" s="119" t="n">
        <f aca="false">SUMIFS(tabela_registros[VALOR],tabela_registros[MÊS],$AE$1,tabela_registros[DIA],investiroutrosconsolidadoout[[#Headers],[23]],tabela_registros[REGISTRO],DADOS!$N$5,tabela_registros[TIPO],DADOS!$AB$5,tabela_registros[CATEGORIA],investiroutrosconsolidadoout[[#This Row],[ATUAL]])</f>
        <v>0</v>
      </c>
      <c r="AB154" s="119" t="n">
        <f aca="false">SUMIFS(tabela_registros[VALOR],tabela_registros[MÊS],$AE$1,tabela_registros[DIA],investiroutrosconsolidadoout[[#Headers],[24]],tabela_registros[REGISTRO],DADOS!$N$5,tabela_registros[TIPO],DADOS!$AB$5,tabela_registros[CATEGORIA],investiroutrosconsolidadoout[[#This Row],[ATUAL]])</f>
        <v>0</v>
      </c>
      <c r="AC154" s="119" t="n">
        <f aca="false">SUMIFS(tabela_registros[VALOR],tabela_registros[MÊS],$AE$1,tabela_registros[DIA],investiroutrosconsolidadoout[[#Headers],[25]],tabela_registros[REGISTRO],DADOS!$N$5,tabela_registros[TIPO],DADOS!$AB$5,tabela_registros[CATEGORIA],investiroutrosconsolidadoout[[#This Row],[ATUAL]])</f>
        <v>0</v>
      </c>
      <c r="AD154" s="119" t="n">
        <f aca="false">SUMIFS(tabela_registros[VALOR],tabela_registros[MÊS],$AE$1,tabela_registros[DIA],investiroutrosconsolidadoout[[#Headers],[26]],tabela_registros[REGISTRO],DADOS!$N$5,tabela_registros[TIPO],DADOS!$AB$5,tabela_registros[CATEGORIA],investiroutrosconsolidadoout[[#This Row],[ATUAL]])</f>
        <v>0</v>
      </c>
      <c r="AE154" s="119" t="n">
        <f aca="false">SUMIFS(tabela_registros[VALOR],tabela_registros[MÊS],$AE$1,tabela_registros[DIA],investiroutrosconsolidadoout[[#Headers],[27]],tabela_registros[REGISTRO],DADOS!$N$5,tabela_registros[TIPO],DADOS!$AB$5,tabela_registros[CATEGORIA],investiroutrosconsolidadoout[[#This Row],[ATUAL]])</f>
        <v>0</v>
      </c>
      <c r="AF154" s="119" t="n">
        <f aca="false">SUMIFS(tabela_registros[VALOR],tabela_registros[MÊS],$AE$1,tabela_registros[DIA],investiroutrosconsolidadoout[[#Headers],[28]],tabela_registros[REGISTRO],DADOS!$N$5,tabela_registros[TIPO],DADOS!$AB$5,tabela_registros[CATEGORIA],investiroutrosconsolidadoout[[#This Row],[ATUAL]])</f>
        <v>0</v>
      </c>
      <c r="AG154" s="119" t="n">
        <f aca="false">SUMIFS(tabela_registros[VALOR],tabela_registros[MÊS],$AE$1,tabela_registros[DIA],investiroutrosconsolidadoout[[#Headers],[29]],tabela_registros[REGISTRO],DADOS!$N$5,tabela_registros[TIPO],DADOS!$AB$5,tabela_registros[CATEGORIA],investiroutrosconsolidadoout[[#This Row],[ATUAL]])</f>
        <v>0</v>
      </c>
      <c r="AH154" s="119" t="n">
        <f aca="false">SUMIFS(tabela_registros[VALOR],tabela_registros[MÊS],$AE$1,tabela_registros[DIA],investiroutrosconsolidadoout[[#Headers],[30]],tabela_registros[REGISTRO],DADOS!$N$5,tabela_registros[TIPO],DADOS!$AB$5,tabela_registros[CATEGORIA],investiroutrosconsolidadoout[[#This Row],[ATUAL]])</f>
        <v>0</v>
      </c>
      <c r="AI154" s="217" t="n">
        <f aca="false">SUMIFS(tabela_registros[VALOR],tabela_registros[MÊS],$AE$1,tabela_registros[DIA],investiroutrosconsolidadoout[[#Headers],[31]],tabela_registros[REGISTRO],DADOS!$N$5,tabela_registros[TIPO],DADOS!$AB$5,tabela_registros[CATEGORIA],investiroutrosconsolidadoout[[#This Row],[ATUAL]])</f>
        <v>0</v>
      </c>
      <c r="AJ154" s="149" t="n">
        <f aca="false">SUM(investiroutrosconsolidadoout[[#This Row],[1]:[31]])</f>
        <v>0</v>
      </c>
      <c r="AK154" s="165"/>
    </row>
    <row r="155" customFormat="false" ht="19.5" hidden="false" customHeight="true" outlineLevel="0" collapsed="false">
      <c r="B155" s="143"/>
      <c r="C155" s="144" t="str">
        <f aca="false">DADOS!$AH$7</f>
        <v>📝 PEER TO COMPANY</v>
      </c>
      <c r="D155" s="145" t="str">
        <f aca="false">IF(investiroutrosconsolidadoout[[#This Row],[TOTAL (R$)]]=0,"",IF(OR(investiroutrosconsolidadoout[[#This Row],[TOTAL (R$)]]=LARGE($AJ$151:$AJ$158,1),investiroutrosconsolidadoout[[#This Row],[TOTAL (R$)]]=LARGE($AJ$151:$AJ$158,2)),DADOS!$I$10,""))</f>
        <v/>
      </c>
      <c r="E155" s="148" t="n">
        <f aca="false">SUMIFS(tabela_registros[VALOR],tabela_registros[MÊS],$AE$1,tabela_registros[DIA],investiroutrosconsolidadoout[[#Headers],[1]],tabela_registros[REGISTRO],DADOS!$N$5,tabela_registros[TIPO],DADOS!$AB$5,tabela_registros[CATEGORIA],investiroutrosconsolidadoout[[#This Row],[ATUAL]])</f>
        <v>0</v>
      </c>
      <c r="F155" s="119" t="n">
        <f aca="false">SUMIFS(tabela_registros[VALOR],tabela_registros[MÊS],$AE$1,tabela_registros[DIA],investiroutrosconsolidadoout[[#Headers],[2]],tabela_registros[REGISTRO],DADOS!$N$5,tabela_registros[TIPO],DADOS!$AB$5,tabela_registros[CATEGORIA],investiroutrosconsolidadoout[[#This Row],[ATUAL]])</f>
        <v>0</v>
      </c>
      <c r="G155" s="119" t="n">
        <f aca="false">SUMIFS(tabela_registros[VALOR],tabela_registros[MÊS],$AE$1,tabela_registros[DIA],investiroutrosconsolidadoout[[#Headers],[3]],tabela_registros[REGISTRO],DADOS!$N$5,tabela_registros[TIPO],DADOS!$AB$5,tabela_registros[CATEGORIA],investiroutrosconsolidadoout[[#This Row],[ATUAL]])</f>
        <v>0</v>
      </c>
      <c r="H155" s="119" t="n">
        <f aca="false">SUMIFS(tabela_registros[VALOR],tabela_registros[MÊS],$AE$1,tabela_registros[DIA],investiroutrosconsolidadoout[[#Headers],[4]],tabela_registros[REGISTRO],DADOS!$N$5,tabela_registros[TIPO],DADOS!$AB$5,tabela_registros[CATEGORIA],investiroutrosconsolidadoout[[#This Row],[ATUAL]])</f>
        <v>0</v>
      </c>
      <c r="I155" s="119" t="n">
        <f aca="false">SUMIFS(tabela_registros[VALOR],tabela_registros[MÊS],$AE$1,tabela_registros[DIA],investiroutrosconsolidadoout[[#Headers],[5]],tabela_registros[REGISTRO],DADOS!$N$5,tabela_registros[TIPO],DADOS!$AB$5,tabela_registros[CATEGORIA],investiroutrosconsolidadoout[[#This Row],[ATUAL]])</f>
        <v>0</v>
      </c>
      <c r="J155" s="119" t="n">
        <f aca="false">SUMIFS(tabela_registros[VALOR],tabela_registros[MÊS],$AE$1,tabela_registros[DIA],investiroutrosconsolidadoout[[#Headers],[6]],tabela_registros[REGISTRO],DADOS!$N$5,tabela_registros[TIPO],DADOS!$AB$5,tabela_registros[CATEGORIA],investiroutrosconsolidadoout[[#This Row],[ATUAL]])</f>
        <v>0</v>
      </c>
      <c r="K155" s="119" t="n">
        <f aca="false">SUMIFS(tabela_registros[VALOR],tabela_registros[MÊS],$AE$1,tabela_registros[DIA],investiroutrosconsolidadoout[[#Headers],[7]],tabela_registros[REGISTRO],DADOS!$N$5,tabela_registros[TIPO],DADOS!$AB$5,tabela_registros[CATEGORIA],investiroutrosconsolidadoout[[#This Row],[ATUAL]])</f>
        <v>0</v>
      </c>
      <c r="L155" s="119" t="n">
        <f aca="false">SUMIFS(tabela_registros[VALOR],tabela_registros[MÊS],$AE$1,tabela_registros[DIA],investiroutrosconsolidadoout[[#Headers],[8]],tabela_registros[REGISTRO],DADOS!$N$5,tabela_registros[TIPO],DADOS!$AB$5,tabela_registros[CATEGORIA],investiroutrosconsolidadoout[[#This Row],[ATUAL]])</f>
        <v>0</v>
      </c>
      <c r="M155" s="119" t="n">
        <f aca="false">SUMIFS(tabela_registros[VALOR],tabela_registros[MÊS],$AE$1,tabela_registros[DIA],investiroutrosconsolidadoout[[#Headers],[9]],tabela_registros[REGISTRO],DADOS!$N$5,tabela_registros[TIPO],DADOS!$AB$5,tabela_registros[CATEGORIA],investiroutrosconsolidadoout[[#This Row],[ATUAL]])</f>
        <v>0</v>
      </c>
      <c r="N155" s="119" t="n">
        <f aca="false">SUMIFS(tabela_registros[VALOR],tabela_registros[MÊS],$AE$1,tabela_registros[DIA],investiroutrosconsolidadoout[[#Headers],[10]],tabela_registros[REGISTRO],DADOS!$N$5,tabela_registros[TIPO],DADOS!$AB$5,tabela_registros[CATEGORIA],investiroutrosconsolidadoout[[#This Row],[ATUAL]])</f>
        <v>0</v>
      </c>
      <c r="O155" s="119" t="n">
        <f aca="false">SUMIFS(tabela_registros[VALOR],tabela_registros[MÊS],$AE$1,tabela_registros[DIA],investiroutrosconsolidadoout[[#Headers],[11]],tabela_registros[REGISTRO],DADOS!$N$5,tabela_registros[TIPO],DADOS!$AB$5,tabela_registros[CATEGORIA],investiroutrosconsolidadoout[[#This Row],[ATUAL]])</f>
        <v>0</v>
      </c>
      <c r="P155" s="119" t="n">
        <f aca="false">SUMIFS(tabela_registros[VALOR],tabela_registros[MÊS],$AE$1,tabela_registros[DIA],investiroutrosconsolidadoout[[#Headers],[12]],tabela_registros[REGISTRO],DADOS!$N$5,tabela_registros[TIPO],DADOS!$AB$5,tabela_registros[CATEGORIA],investiroutrosconsolidadoout[[#This Row],[ATUAL]])</f>
        <v>0</v>
      </c>
      <c r="Q155" s="119" t="n">
        <f aca="false">SUMIFS(tabela_registros[VALOR],tabela_registros[MÊS],$AE$1,tabela_registros[DIA],investiroutrosconsolidadoout[[#Headers],[13]],tabela_registros[REGISTRO],DADOS!$N$5,tabela_registros[TIPO],DADOS!$AB$5,tabela_registros[CATEGORIA],investiroutrosconsolidadoout[[#This Row],[ATUAL]])</f>
        <v>0</v>
      </c>
      <c r="R155" s="119" t="n">
        <f aca="false">SUMIFS(tabela_registros[VALOR],tabela_registros[MÊS],$AE$1,tabela_registros[DIA],investiroutrosconsolidadoout[[#Headers],[14]],tabela_registros[REGISTRO],DADOS!$N$5,tabela_registros[TIPO],DADOS!$AB$5,tabela_registros[CATEGORIA],investiroutrosconsolidadoout[[#This Row],[ATUAL]])</f>
        <v>0</v>
      </c>
      <c r="S155" s="119" t="n">
        <f aca="false">SUMIFS(tabela_registros[VALOR],tabela_registros[MÊS],$AE$1,tabela_registros[DIA],investiroutrosconsolidadoout[[#Headers],[15]],tabela_registros[REGISTRO],DADOS!$N$5,tabela_registros[TIPO],DADOS!$AB$5,tabela_registros[CATEGORIA],investiroutrosconsolidadoout[[#This Row],[ATUAL]])</f>
        <v>0</v>
      </c>
      <c r="T155" s="119" t="n">
        <f aca="false">SUMIFS(tabela_registros[VALOR],tabela_registros[MÊS],$AE$1,tabela_registros[DIA],investiroutrosconsolidadoout[[#Headers],[16]],tabela_registros[REGISTRO],DADOS!$N$5,tabela_registros[TIPO],DADOS!$AB$5,tabela_registros[CATEGORIA],investiroutrosconsolidadoout[[#This Row],[ATUAL]])</f>
        <v>0</v>
      </c>
      <c r="U155" s="119" t="n">
        <f aca="false">SUMIFS(tabela_registros[VALOR],tabela_registros[MÊS],$AE$1,tabela_registros[DIA],investiroutrosconsolidadoout[[#Headers],[17]],tabela_registros[REGISTRO],DADOS!$N$5,tabela_registros[TIPO],DADOS!$AB$5,tabela_registros[CATEGORIA],investiroutrosconsolidadoout[[#This Row],[ATUAL]])</f>
        <v>0</v>
      </c>
      <c r="V155" s="119" t="n">
        <f aca="false">SUMIFS(tabela_registros[VALOR],tabela_registros[MÊS],$AE$1,tabela_registros[DIA],investiroutrosconsolidadoout[[#Headers],[18]],tabela_registros[REGISTRO],DADOS!$N$5,tabela_registros[TIPO],DADOS!$AB$5,tabela_registros[CATEGORIA],investiroutrosconsolidadoout[[#This Row],[ATUAL]])</f>
        <v>0</v>
      </c>
      <c r="W155" s="119" t="n">
        <f aca="false">SUMIFS(tabela_registros[VALOR],tabela_registros[MÊS],$AE$1,tabela_registros[DIA],investiroutrosconsolidadoout[[#Headers],[19]],tabela_registros[REGISTRO],DADOS!$N$5,tabela_registros[TIPO],DADOS!$AB$5,tabela_registros[CATEGORIA],investiroutrosconsolidadoout[[#This Row],[ATUAL]])</f>
        <v>0</v>
      </c>
      <c r="X155" s="119" t="n">
        <f aca="false">SUMIFS(tabela_registros[VALOR],tabela_registros[MÊS],$AE$1,tabela_registros[DIA],investiroutrosconsolidadoout[[#Headers],[20]],tabela_registros[REGISTRO],DADOS!$N$5,tabela_registros[TIPO],DADOS!$AB$5,tabela_registros[CATEGORIA],investiroutrosconsolidadoout[[#This Row],[ATUAL]])</f>
        <v>0</v>
      </c>
      <c r="Y155" s="119" t="n">
        <f aca="false">SUMIFS(tabela_registros[VALOR],tabela_registros[MÊS],$AE$1,tabela_registros[DIA],investiroutrosconsolidadoout[[#Headers],[21]],tabela_registros[REGISTRO],DADOS!$N$5,tabela_registros[TIPO],DADOS!$AB$5,tabela_registros[CATEGORIA],investiroutrosconsolidadoout[[#This Row],[ATUAL]])</f>
        <v>0</v>
      </c>
      <c r="Z155" s="119" t="n">
        <f aca="false">SUMIFS(tabela_registros[VALOR],tabela_registros[MÊS],$AE$1,tabela_registros[DIA],investiroutrosconsolidadoout[[#Headers],[22]],tabela_registros[REGISTRO],DADOS!$N$5,tabela_registros[TIPO],DADOS!$AB$5,tabela_registros[CATEGORIA],investiroutrosconsolidadoout[[#This Row],[ATUAL]])</f>
        <v>0</v>
      </c>
      <c r="AA155" s="119" t="n">
        <f aca="false">SUMIFS(tabela_registros[VALOR],tabela_registros[MÊS],$AE$1,tabela_registros[DIA],investiroutrosconsolidadoout[[#Headers],[23]],tabela_registros[REGISTRO],DADOS!$N$5,tabela_registros[TIPO],DADOS!$AB$5,tabela_registros[CATEGORIA],investiroutrosconsolidadoout[[#This Row],[ATUAL]])</f>
        <v>0</v>
      </c>
      <c r="AB155" s="119" t="n">
        <f aca="false">SUMIFS(tabela_registros[VALOR],tabela_registros[MÊS],$AE$1,tabela_registros[DIA],investiroutrosconsolidadoout[[#Headers],[24]],tabela_registros[REGISTRO],DADOS!$N$5,tabela_registros[TIPO],DADOS!$AB$5,tabela_registros[CATEGORIA],investiroutrosconsolidadoout[[#This Row],[ATUAL]])</f>
        <v>0</v>
      </c>
      <c r="AC155" s="119" t="n">
        <f aca="false">SUMIFS(tabela_registros[VALOR],tabela_registros[MÊS],$AE$1,tabela_registros[DIA],investiroutrosconsolidadoout[[#Headers],[25]],tabela_registros[REGISTRO],DADOS!$N$5,tabela_registros[TIPO],DADOS!$AB$5,tabela_registros[CATEGORIA],investiroutrosconsolidadoout[[#This Row],[ATUAL]])</f>
        <v>0</v>
      </c>
      <c r="AD155" s="119" t="n">
        <f aca="false">SUMIFS(tabela_registros[VALOR],tabela_registros[MÊS],$AE$1,tabela_registros[DIA],investiroutrosconsolidadoout[[#Headers],[26]],tabela_registros[REGISTRO],DADOS!$N$5,tabela_registros[TIPO],DADOS!$AB$5,tabela_registros[CATEGORIA],investiroutrosconsolidadoout[[#This Row],[ATUAL]])</f>
        <v>0</v>
      </c>
      <c r="AE155" s="119" t="n">
        <f aca="false">SUMIFS(tabela_registros[VALOR],tabela_registros[MÊS],$AE$1,tabela_registros[DIA],investiroutrosconsolidadoout[[#Headers],[27]],tabela_registros[REGISTRO],DADOS!$N$5,tabela_registros[TIPO],DADOS!$AB$5,tabela_registros[CATEGORIA],investiroutrosconsolidadoout[[#This Row],[ATUAL]])</f>
        <v>0</v>
      </c>
      <c r="AF155" s="119" t="n">
        <f aca="false">SUMIFS(tabela_registros[VALOR],tabela_registros[MÊS],$AE$1,tabela_registros[DIA],investiroutrosconsolidadoout[[#Headers],[28]],tabela_registros[REGISTRO],DADOS!$N$5,tabela_registros[TIPO],DADOS!$AB$5,tabela_registros[CATEGORIA],investiroutrosconsolidadoout[[#This Row],[ATUAL]])</f>
        <v>0</v>
      </c>
      <c r="AG155" s="119" t="n">
        <f aca="false">SUMIFS(tabela_registros[VALOR],tabela_registros[MÊS],$AE$1,tabela_registros[DIA],investiroutrosconsolidadoout[[#Headers],[29]],tabela_registros[REGISTRO],DADOS!$N$5,tabela_registros[TIPO],DADOS!$AB$5,tabela_registros[CATEGORIA],investiroutrosconsolidadoout[[#This Row],[ATUAL]])</f>
        <v>0</v>
      </c>
      <c r="AH155" s="119" t="n">
        <f aca="false">SUMIFS(tabela_registros[VALOR],tabela_registros[MÊS],$AE$1,tabela_registros[DIA],investiroutrosconsolidadoout[[#Headers],[30]],tabela_registros[REGISTRO],DADOS!$N$5,tabela_registros[TIPO],DADOS!$AB$5,tabela_registros[CATEGORIA],investiroutrosconsolidadoout[[#This Row],[ATUAL]])</f>
        <v>0</v>
      </c>
      <c r="AI155" s="217" t="n">
        <f aca="false">SUMIFS(tabela_registros[VALOR],tabela_registros[MÊS],$AE$1,tabela_registros[DIA],investiroutrosconsolidadoout[[#Headers],[31]],tabela_registros[REGISTRO],DADOS!$N$5,tabela_registros[TIPO],DADOS!$AB$5,tabela_registros[CATEGORIA],investiroutrosconsolidadoout[[#This Row],[ATUAL]])</f>
        <v>0</v>
      </c>
      <c r="AJ155" s="149" t="n">
        <f aca="false">SUM(investiroutrosconsolidadoout[[#This Row],[1]:[31]])</f>
        <v>0</v>
      </c>
      <c r="AK155" s="165"/>
    </row>
    <row r="156" customFormat="false" ht="19.5" hidden="false" customHeight="true" outlineLevel="0" collapsed="false">
      <c r="B156" s="143"/>
      <c r="C156" s="144" t="str">
        <f aca="false">DADOS!$AH$8</f>
        <v>📝 PEER TO PEER</v>
      </c>
      <c r="D156" s="145" t="str">
        <f aca="false">IF(investiroutrosconsolidadoout[[#This Row],[TOTAL (R$)]]=0,"",IF(OR(investiroutrosconsolidadoout[[#This Row],[TOTAL (R$)]]=LARGE($AJ$151:$AJ$158,1),investiroutrosconsolidadoout[[#This Row],[TOTAL (R$)]]=LARGE($AJ$151:$AJ$158,2)),DADOS!$I$10,""))</f>
        <v/>
      </c>
      <c r="E156" s="148" t="n">
        <f aca="false">SUMIFS(tabela_registros[VALOR],tabela_registros[MÊS],$AE$1,tabela_registros[DIA],investiroutrosconsolidadoout[[#Headers],[1]],tabela_registros[REGISTRO],DADOS!$N$5,tabela_registros[TIPO],DADOS!$AB$5,tabela_registros[CATEGORIA],investiroutrosconsolidadoout[[#This Row],[ATUAL]])</f>
        <v>0</v>
      </c>
      <c r="F156" s="119" t="n">
        <f aca="false">SUMIFS(tabela_registros[VALOR],tabela_registros[MÊS],$AE$1,tabela_registros[DIA],investiroutrosconsolidadoout[[#Headers],[2]],tabela_registros[REGISTRO],DADOS!$N$5,tabela_registros[TIPO],DADOS!$AB$5,tabela_registros[CATEGORIA],investiroutrosconsolidadoout[[#This Row],[ATUAL]])</f>
        <v>0</v>
      </c>
      <c r="G156" s="119" t="n">
        <f aca="false">SUMIFS(tabela_registros[VALOR],tabela_registros[MÊS],$AE$1,tabela_registros[DIA],investiroutrosconsolidadoout[[#Headers],[3]],tabela_registros[REGISTRO],DADOS!$N$5,tabela_registros[TIPO],DADOS!$AB$5,tabela_registros[CATEGORIA],investiroutrosconsolidadoout[[#This Row],[ATUAL]])</f>
        <v>0</v>
      </c>
      <c r="H156" s="119" t="n">
        <f aca="false">SUMIFS(tabela_registros[VALOR],tabela_registros[MÊS],$AE$1,tabela_registros[DIA],investiroutrosconsolidadoout[[#Headers],[4]],tabela_registros[REGISTRO],DADOS!$N$5,tabela_registros[TIPO],DADOS!$AB$5,tabela_registros[CATEGORIA],investiroutrosconsolidadoout[[#This Row],[ATUAL]])</f>
        <v>0</v>
      </c>
      <c r="I156" s="119" t="n">
        <f aca="false">SUMIFS(tabela_registros[VALOR],tabela_registros[MÊS],$AE$1,tabela_registros[DIA],investiroutrosconsolidadoout[[#Headers],[5]],tabela_registros[REGISTRO],DADOS!$N$5,tabela_registros[TIPO],DADOS!$AB$5,tabela_registros[CATEGORIA],investiroutrosconsolidadoout[[#This Row],[ATUAL]])</f>
        <v>0</v>
      </c>
      <c r="J156" s="119" t="n">
        <f aca="false">SUMIFS(tabela_registros[VALOR],tabela_registros[MÊS],$AE$1,tabela_registros[DIA],investiroutrosconsolidadoout[[#Headers],[6]],tabela_registros[REGISTRO],DADOS!$N$5,tabela_registros[TIPO],DADOS!$AB$5,tabela_registros[CATEGORIA],investiroutrosconsolidadoout[[#This Row],[ATUAL]])</f>
        <v>0</v>
      </c>
      <c r="K156" s="119" t="n">
        <f aca="false">SUMIFS(tabela_registros[VALOR],tabela_registros[MÊS],$AE$1,tabela_registros[DIA],investiroutrosconsolidadoout[[#Headers],[7]],tabela_registros[REGISTRO],DADOS!$N$5,tabela_registros[TIPO],DADOS!$AB$5,tabela_registros[CATEGORIA],investiroutrosconsolidadoout[[#This Row],[ATUAL]])</f>
        <v>0</v>
      </c>
      <c r="L156" s="119" t="n">
        <f aca="false">SUMIFS(tabela_registros[VALOR],tabela_registros[MÊS],$AE$1,tabela_registros[DIA],investiroutrosconsolidadoout[[#Headers],[8]],tabela_registros[REGISTRO],DADOS!$N$5,tabela_registros[TIPO],DADOS!$AB$5,tabela_registros[CATEGORIA],investiroutrosconsolidadoout[[#This Row],[ATUAL]])</f>
        <v>0</v>
      </c>
      <c r="M156" s="119" t="n">
        <f aca="false">SUMIFS(tabela_registros[VALOR],tabela_registros[MÊS],$AE$1,tabela_registros[DIA],investiroutrosconsolidadoout[[#Headers],[9]],tabela_registros[REGISTRO],DADOS!$N$5,tabela_registros[TIPO],DADOS!$AB$5,tabela_registros[CATEGORIA],investiroutrosconsolidadoout[[#This Row],[ATUAL]])</f>
        <v>0</v>
      </c>
      <c r="N156" s="119" t="n">
        <f aca="false">SUMIFS(tabela_registros[VALOR],tabela_registros[MÊS],$AE$1,tabela_registros[DIA],investiroutrosconsolidadoout[[#Headers],[10]],tabela_registros[REGISTRO],DADOS!$N$5,tabela_registros[TIPO],DADOS!$AB$5,tabela_registros[CATEGORIA],investiroutrosconsolidadoout[[#This Row],[ATUAL]])</f>
        <v>0</v>
      </c>
      <c r="O156" s="119" t="n">
        <f aca="false">SUMIFS(tabela_registros[VALOR],tabela_registros[MÊS],$AE$1,tabela_registros[DIA],investiroutrosconsolidadoout[[#Headers],[11]],tabela_registros[REGISTRO],DADOS!$N$5,tabela_registros[TIPO],DADOS!$AB$5,tabela_registros[CATEGORIA],investiroutrosconsolidadoout[[#This Row],[ATUAL]])</f>
        <v>0</v>
      </c>
      <c r="P156" s="119" t="n">
        <f aca="false">SUMIFS(tabela_registros[VALOR],tabela_registros[MÊS],$AE$1,tabela_registros[DIA],investiroutrosconsolidadoout[[#Headers],[12]],tabela_registros[REGISTRO],DADOS!$N$5,tabela_registros[TIPO],DADOS!$AB$5,tabela_registros[CATEGORIA],investiroutrosconsolidadoout[[#This Row],[ATUAL]])</f>
        <v>0</v>
      </c>
      <c r="Q156" s="119" t="n">
        <f aca="false">SUMIFS(tabela_registros[VALOR],tabela_registros[MÊS],$AE$1,tabela_registros[DIA],investiroutrosconsolidadoout[[#Headers],[13]],tabela_registros[REGISTRO],DADOS!$N$5,tabela_registros[TIPO],DADOS!$AB$5,tabela_registros[CATEGORIA],investiroutrosconsolidadoout[[#This Row],[ATUAL]])</f>
        <v>0</v>
      </c>
      <c r="R156" s="119" t="n">
        <f aca="false">SUMIFS(tabela_registros[VALOR],tabela_registros[MÊS],$AE$1,tabela_registros[DIA],investiroutrosconsolidadoout[[#Headers],[14]],tabela_registros[REGISTRO],DADOS!$N$5,tabela_registros[TIPO],DADOS!$AB$5,tabela_registros[CATEGORIA],investiroutrosconsolidadoout[[#This Row],[ATUAL]])</f>
        <v>0</v>
      </c>
      <c r="S156" s="119" t="n">
        <f aca="false">SUMIFS(tabela_registros[VALOR],tabela_registros[MÊS],$AE$1,tabela_registros[DIA],investiroutrosconsolidadoout[[#Headers],[15]],tabela_registros[REGISTRO],DADOS!$N$5,tabela_registros[TIPO],DADOS!$AB$5,tabela_registros[CATEGORIA],investiroutrosconsolidadoout[[#This Row],[ATUAL]])</f>
        <v>0</v>
      </c>
      <c r="T156" s="119" t="n">
        <f aca="false">SUMIFS(tabela_registros[VALOR],tabela_registros[MÊS],$AE$1,tabela_registros[DIA],investiroutrosconsolidadoout[[#Headers],[16]],tabela_registros[REGISTRO],DADOS!$N$5,tabela_registros[TIPO],DADOS!$AB$5,tabela_registros[CATEGORIA],investiroutrosconsolidadoout[[#This Row],[ATUAL]])</f>
        <v>0</v>
      </c>
      <c r="U156" s="119" t="n">
        <f aca="false">SUMIFS(tabela_registros[VALOR],tabela_registros[MÊS],$AE$1,tabela_registros[DIA],investiroutrosconsolidadoout[[#Headers],[17]],tabela_registros[REGISTRO],DADOS!$N$5,tabela_registros[TIPO],DADOS!$AB$5,tabela_registros[CATEGORIA],investiroutrosconsolidadoout[[#This Row],[ATUAL]])</f>
        <v>0</v>
      </c>
      <c r="V156" s="119" t="n">
        <f aca="false">SUMIFS(tabela_registros[VALOR],tabela_registros[MÊS],$AE$1,tabela_registros[DIA],investiroutrosconsolidadoout[[#Headers],[18]],tabela_registros[REGISTRO],DADOS!$N$5,tabela_registros[TIPO],DADOS!$AB$5,tabela_registros[CATEGORIA],investiroutrosconsolidadoout[[#This Row],[ATUAL]])</f>
        <v>0</v>
      </c>
      <c r="W156" s="119" t="n">
        <f aca="false">SUMIFS(tabela_registros[VALOR],tabela_registros[MÊS],$AE$1,tabela_registros[DIA],investiroutrosconsolidadoout[[#Headers],[19]],tabela_registros[REGISTRO],DADOS!$N$5,tabela_registros[TIPO],DADOS!$AB$5,tabela_registros[CATEGORIA],investiroutrosconsolidadoout[[#This Row],[ATUAL]])</f>
        <v>0</v>
      </c>
      <c r="X156" s="119" t="n">
        <f aca="false">SUMIFS(tabela_registros[VALOR],tabela_registros[MÊS],$AE$1,tabela_registros[DIA],investiroutrosconsolidadoout[[#Headers],[20]],tabela_registros[REGISTRO],DADOS!$N$5,tabela_registros[TIPO],DADOS!$AB$5,tabela_registros[CATEGORIA],investiroutrosconsolidadoout[[#This Row],[ATUAL]])</f>
        <v>0</v>
      </c>
      <c r="Y156" s="119" t="n">
        <f aca="false">SUMIFS(tabela_registros[VALOR],tabela_registros[MÊS],$AE$1,tabela_registros[DIA],investiroutrosconsolidadoout[[#Headers],[21]],tabela_registros[REGISTRO],DADOS!$N$5,tabela_registros[TIPO],DADOS!$AB$5,tabela_registros[CATEGORIA],investiroutrosconsolidadoout[[#This Row],[ATUAL]])</f>
        <v>0</v>
      </c>
      <c r="Z156" s="119" t="n">
        <f aca="false">SUMIFS(tabela_registros[VALOR],tabela_registros[MÊS],$AE$1,tabela_registros[DIA],investiroutrosconsolidadoout[[#Headers],[22]],tabela_registros[REGISTRO],DADOS!$N$5,tabela_registros[TIPO],DADOS!$AB$5,tabela_registros[CATEGORIA],investiroutrosconsolidadoout[[#This Row],[ATUAL]])</f>
        <v>0</v>
      </c>
      <c r="AA156" s="119" t="n">
        <f aca="false">SUMIFS(tabela_registros[VALOR],tabela_registros[MÊS],$AE$1,tabela_registros[DIA],investiroutrosconsolidadoout[[#Headers],[23]],tabela_registros[REGISTRO],DADOS!$N$5,tabela_registros[TIPO],DADOS!$AB$5,tabela_registros[CATEGORIA],investiroutrosconsolidadoout[[#This Row],[ATUAL]])</f>
        <v>0</v>
      </c>
      <c r="AB156" s="119" t="n">
        <f aca="false">SUMIFS(tabela_registros[VALOR],tabela_registros[MÊS],$AE$1,tabela_registros[DIA],investiroutrosconsolidadoout[[#Headers],[24]],tabela_registros[REGISTRO],DADOS!$N$5,tabela_registros[TIPO],DADOS!$AB$5,tabela_registros[CATEGORIA],investiroutrosconsolidadoout[[#This Row],[ATUAL]])</f>
        <v>0</v>
      </c>
      <c r="AC156" s="119" t="n">
        <f aca="false">SUMIFS(tabela_registros[VALOR],tabela_registros[MÊS],$AE$1,tabela_registros[DIA],investiroutrosconsolidadoout[[#Headers],[25]],tabela_registros[REGISTRO],DADOS!$N$5,tabela_registros[TIPO],DADOS!$AB$5,tabela_registros[CATEGORIA],investiroutrosconsolidadoout[[#This Row],[ATUAL]])</f>
        <v>0</v>
      </c>
      <c r="AD156" s="119" t="n">
        <f aca="false">SUMIFS(tabela_registros[VALOR],tabela_registros[MÊS],$AE$1,tabela_registros[DIA],investiroutrosconsolidadoout[[#Headers],[26]],tabela_registros[REGISTRO],DADOS!$N$5,tabela_registros[TIPO],DADOS!$AB$5,tabela_registros[CATEGORIA],investiroutrosconsolidadoout[[#This Row],[ATUAL]])</f>
        <v>0</v>
      </c>
      <c r="AE156" s="119" t="n">
        <f aca="false">SUMIFS(tabela_registros[VALOR],tabela_registros[MÊS],$AE$1,tabela_registros[DIA],investiroutrosconsolidadoout[[#Headers],[27]],tabela_registros[REGISTRO],DADOS!$N$5,tabela_registros[TIPO],DADOS!$AB$5,tabela_registros[CATEGORIA],investiroutrosconsolidadoout[[#This Row],[ATUAL]])</f>
        <v>0</v>
      </c>
      <c r="AF156" s="119" t="n">
        <f aca="false">SUMIFS(tabela_registros[VALOR],tabela_registros[MÊS],$AE$1,tabela_registros[DIA],investiroutrosconsolidadoout[[#Headers],[28]],tabela_registros[REGISTRO],DADOS!$N$5,tabela_registros[TIPO],DADOS!$AB$5,tabela_registros[CATEGORIA],investiroutrosconsolidadoout[[#This Row],[ATUAL]])</f>
        <v>0</v>
      </c>
      <c r="AG156" s="119" t="n">
        <f aca="false">SUMIFS(tabela_registros[VALOR],tabela_registros[MÊS],$AE$1,tabela_registros[DIA],investiroutrosconsolidadoout[[#Headers],[29]],tabela_registros[REGISTRO],DADOS!$N$5,tabela_registros[TIPO],DADOS!$AB$5,tabela_registros[CATEGORIA],investiroutrosconsolidadoout[[#This Row],[ATUAL]])</f>
        <v>0</v>
      </c>
      <c r="AH156" s="119" t="n">
        <f aca="false">SUMIFS(tabela_registros[VALOR],tabela_registros[MÊS],$AE$1,tabela_registros[DIA],investiroutrosconsolidadoout[[#Headers],[30]],tabela_registros[REGISTRO],DADOS!$N$5,tabela_registros[TIPO],DADOS!$AB$5,tabela_registros[CATEGORIA],investiroutrosconsolidadoout[[#This Row],[ATUAL]])</f>
        <v>0</v>
      </c>
      <c r="AI156" s="217" t="n">
        <f aca="false">SUMIFS(tabela_registros[VALOR],tabela_registros[MÊS],$AE$1,tabela_registros[DIA],investiroutrosconsolidadoout[[#Headers],[31]],tabela_registros[REGISTRO],DADOS!$N$5,tabela_registros[TIPO],DADOS!$AB$5,tabela_registros[CATEGORIA],investiroutrosconsolidadoout[[#This Row],[ATUAL]])</f>
        <v>0</v>
      </c>
      <c r="AJ156" s="149" t="n">
        <f aca="false">SUM(investiroutrosconsolidadoout[[#This Row],[1]:[31]])</f>
        <v>0</v>
      </c>
      <c r="AK156" s="165"/>
    </row>
    <row r="157" customFormat="false" ht="19.5" hidden="false" customHeight="true" outlineLevel="0" collapsed="false">
      <c r="B157" s="143"/>
      <c r="C157" s="144" t="str">
        <f aca="false">DADOS!$AH$9</f>
        <v>📝 PREVIDÊNCIA PRIVADA</v>
      </c>
      <c r="D157" s="145" t="str">
        <f aca="false">IF(investiroutrosconsolidadoout[[#This Row],[TOTAL (R$)]]=0,"",IF(OR(investiroutrosconsolidadoout[[#This Row],[TOTAL (R$)]]=LARGE($AJ$151:$AJ$158,1),investiroutrosconsolidadoout[[#This Row],[TOTAL (R$)]]=LARGE($AJ$151:$AJ$158,2)),DADOS!$I$10,""))</f>
        <v/>
      </c>
      <c r="E157" s="148" t="n">
        <f aca="false">SUMIFS(tabela_registros[VALOR],tabela_registros[MÊS],$AE$1,tabela_registros[DIA],investiroutrosconsolidadoout[[#Headers],[1]],tabela_registros[REGISTRO],DADOS!$N$5,tabela_registros[TIPO],DADOS!$AB$5,tabela_registros[CATEGORIA],investiroutrosconsolidadoout[[#This Row],[ATUAL]])</f>
        <v>0</v>
      </c>
      <c r="F157" s="119" t="n">
        <f aca="false">SUMIFS(tabela_registros[VALOR],tabela_registros[MÊS],$AE$1,tabela_registros[DIA],investiroutrosconsolidadoout[[#Headers],[2]],tabela_registros[REGISTRO],DADOS!$N$5,tabela_registros[TIPO],DADOS!$AB$5,tabela_registros[CATEGORIA],investiroutrosconsolidadoout[[#This Row],[ATUAL]])</f>
        <v>0</v>
      </c>
      <c r="G157" s="119" t="n">
        <f aca="false">SUMIFS(tabela_registros[VALOR],tabela_registros[MÊS],$AE$1,tabela_registros[DIA],investiroutrosconsolidadoout[[#Headers],[3]],tabela_registros[REGISTRO],DADOS!$N$5,tabela_registros[TIPO],DADOS!$AB$5,tabela_registros[CATEGORIA],investiroutrosconsolidadoout[[#This Row],[ATUAL]])</f>
        <v>0</v>
      </c>
      <c r="H157" s="119" t="n">
        <f aca="false">SUMIFS(tabela_registros[VALOR],tabela_registros[MÊS],$AE$1,tabela_registros[DIA],investiroutrosconsolidadoout[[#Headers],[4]],tabela_registros[REGISTRO],DADOS!$N$5,tabela_registros[TIPO],DADOS!$AB$5,tabela_registros[CATEGORIA],investiroutrosconsolidadoout[[#This Row],[ATUAL]])</f>
        <v>0</v>
      </c>
      <c r="I157" s="119" t="n">
        <f aca="false">SUMIFS(tabela_registros[VALOR],tabela_registros[MÊS],$AE$1,tabela_registros[DIA],investiroutrosconsolidadoout[[#Headers],[5]],tabela_registros[REGISTRO],DADOS!$N$5,tabela_registros[TIPO],DADOS!$AB$5,tabela_registros[CATEGORIA],investiroutrosconsolidadoout[[#This Row],[ATUAL]])</f>
        <v>0</v>
      </c>
      <c r="J157" s="119" t="n">
        <f aca="false">SUMIFS(tabela_registros[VALOR],tabela_registros[MÊS],$AE$1,tabela_registros[DIA],investiroutrosconsolidadoout[[#Headers],[6]],tabela_registros[REGISTRO],DADOS!$N$5,tabela_registros[TIPO],DADOS!$AB$5,tabela_registros[CATEGORIA],investiroutrosconsolidadoout[[#This Row],[ATUAL]])</f>
        <v>0</v>
      </c>
      <c r="K157" s="119" t="n">
        <f aca="false">SUMIFS(tabela_registros[VALOR],tabela_registros[MÊS],$AE$1,tabela_registros[DIA],investiroutrosconsolidadoout[[#Headers],[7]],tabela_registros[REGISTRO],DADOS!$N$5,tabela_registros[TIPO],DADOS!$AB$5,tabela_registros[CATEGORIA],investiroutrosconsolidadoout[[#This Row],[ATUAL]])</f>
        <v>0</v>
      </c>
      <c r="L157" s="119" t="n">
        <f aca="false">SUMIFS(tabela_registros[VALOR],tabela_registros[MÊS],$AE$1,tabela_registros[DIA],investiroutrosconsolidadoout[[#Headers],[8]],tabela_registros[REGISTRO],DADOS!$N$5,tabela_registros[TIPO],DADOS!$AB$5,tabela_registros[CATEGORIA],investiroutrosconsolidadoout[[#This Row],[ATUAL]])</f>
        <v>0</v>
      </c>
      <c r="M157" s="119" t="n">
        <f aca="false">SUMIFS(tabela_registros[VALOR],tabela_registros[MÊS],$AE$1,tabela_registros[DIA],investiroutrosconsolidadoout[[#Headers],[9]],tabela_registros[REGISTRO],DADOS!$N$5,tabela_registros[TIPO],DADOS!$AB$5,tabela_registros[CATEGORIA],investiroutrosconsolidadoout[[#This Row],[ATUAL]])</f>
        <v>0</v>
      </c>
      <c r="N157" s="119" t="n">
        <f aca="false">SUMIFS(tabela_registros[VALOR],tabela_registros[MÊS],$AE$1,tabela_registros[DIA],investiroutrosconsolidadoout[[#Headers],[10]],tabela_registros[REGISTRO],DADOS!$N$5,tabela_registros[TIPO],DADOS!$AB$5,tabela_registros[CATEGORIA],investiroutrosconsolidadoout[[#This Row],[ATUAL]])</f>
        <v>0</v>
      </c>
      <c r="O157" s="119" t="n">
        <f aca="false">SUMIFS(tabela_registros[VALOR],tabela_registros[MÊS],$AE$1,tabela_registros[DIA],investiroutrosconsolidadoout[[#Headers],[11]],tabela_registros[REGISTRO],DADOS!$N$5,tabela_registros[TIPO],DADOS!$AB$5,tabela_registros[CATEGORIA],investiroutrosconsolidadoout[[#This Row],[ATUAL]])</f>
        <v>0</v>
      </c>
      <c r="P157" s="119" t="n">
        <f aca="false">SUMIFS(tabela_registros[VALOR],tabela_registros[MÊS],$AE$1,tabela_registros[DIA],investiroutrosconsolidadoout[[#Headers],[12]],tabela_registros[REGISTRO],DADOS!$N$5,tabela_registros[TIPO],DADOS!$AB$5,tabela_registros[CATEGORIA],investiroutrosconsolidadoout[[#This Row],[ATUAL]])</f>
        <v>0</v>
      </c>
      <c r="Q157" s="119" t="n">
        <f aca="false">SUMIFS(tabela_registros[VALOR],tabela_registros[MÊS],$AE$1,tabela_registros[DIA],investiroutrosconsolidadoout[[#Headers],[13]],tabela_registros[REGISTRO],DADOS!$N$5,tabela_registros[TIPO],DADOS!$AB$5,tabela_registros[CATEGORIA],investiroutrosconsolidadoout[[#This Row],[ATUAL]])</f>
        <v>0</v>
      </c>
      <c r="R157" s="119" t="n">
        <f aca="false">SUMIFS(tabela_registros[VALOR],tabela_registros[MÊS],$AE$1,tabela_registros[DIA],investiroutrosconsolidadoout[[#Headers],[14]],tabela_registros[REGISTRO],DADOS!$N$5,tabela_registros[TIPO],DADOS!$AB$5,tabela_registros[CATEGORIA],investiroutrosconsolidadoout[[#This Row],[ATUAL]])</f>
        <v>0</v>
      </c>
      <c r="S157" s="119" t="n">
        <f aca="false">SUMIFS(tabela_registros[VALOR],tabela_registros[MÊS],$AE$1,tabela_registros[DIA],investiroutrosconsolidadoout[[#Headers],[15]],tabela_registros[REGISTRO],DADOS!$N$5,tabela_registros[TIPO],DADOS!$AB$5,tabela_registros[CATEGORIA],investiroutrosconsolidadoout[[#This Row],[ATUAL]])</f>
        <v>0</v>
      </c>
      <c r="T157" s="119" t="n">
        <f aca="false">SUMIFS(tabela_registros[VALOR],tabela_registros[MÊS],$AE$1,tabela_registros[DIA],investiroutrosconsolidadoout[[#Headers],[16]],tabela_registros[REGISTRO],DADOS!$N$5,tabela_registros[TIPO],DADOS!$AB$5,tabela_registros[CATEGORIA],investiroutrosconsolidadoout[[#This Row],[ATUAL]])</f>
        <v>0</v>
      </c>
      <c r="U157" s="119" t="n">
        <f aca="false">SUMIFS(tabela_registros[VALOR],tabela_registros[MÊS],$AE$1,tabela_registros[DIA],investiroutrosconsolidadoout[[#Headers],[17]],tabela_registros[REGISTRO],DADOS!$N$5,tabela_registros[TIPO],DADOS!$AB$5,tabela_registros[CATEGORIA],investiroutrosconsolidadoout[[#This Row],[ATUAL]])</f>
        <v>0</v>
      </c>
      <c r="V157" s="119" t="n">
        <f aca="false">SUMIFS(tabela_registros[VALOR],tabela_registros[MÊS],$AE$1,tabela_registros[DIA],investiroutrosconsolidadoout[[#Headers],[18]],tabela_registros[REGISTRO],DADOS!$N$5,tabela_registros[TIPO],DADOS!$AB$5,tabela_registros[CATEGORIA],investiroutrosconsolidadoout[[#This Row],[ATUAL]])</f>
        <v>0</v>
      </c>
      <c r="W157" s="119" t="n">
        <f aca="false">SUMIFS(tabela_registros[VALOR],tabela_registros[MÊS],$AE$1,tabela_registros[DIA],investiroutrosconsolidadoout[[#Headers],[19]],tabela_registros[REGISTRO],DADOS!$N$5,tabela_registros[TIPO],DADOS!$AB$5,tabela_registros[CATEGORIA],investiroutrosconsolidadoout[[#This Row],[ATUAL]])</f>
        <v>0</v>
      </c>
      <c r="X157" s="119" t="n">
        <f aca="false">SUMIFS(tabela_registros[VALOR],tabela_registros[MÊS],$AE$1,tabela_registros[DIA],investiroutrosconsolidadoout[[#Headers],[20]],tabela_registros[REGISTRO],DADOS!$N$5,tabela_registros[TIPO],DADOS!$AB$5,tabela_registros[CATEGORIA],investiroutrosconsolidadoout[[#This Row],[ATUAL]])</f>
        <v>0</v>
      </c>
      <c r="Y157" s="119" t="n">
        <f aca="false">SUMIFS(tabela_registros[VALOR],tabela_registros[MÊS],$AE$1,tabela_registros[DIA],investiroutrosconsolidadoout[[#Headers],[21]],tabela_registros[REGISTRO],DADOS!$N$5,tabela_registros[TIPO],DADOS!$AB$5,tabela_registros[CATEGORIA],investiroutrosconsolidadoout[[#This Row],[ATUAL]])</f>
        <v>0</v>
      </c>
      <c r="Z157" s="119" t="n">
        <f aca="false">SUMIFS(tabela_registros[VALOR],tabela_registros[MÊS],$AE$1,tabela_registros[DIA],investiroutrosconsolidadoout[[#Headers],[22]],tabela_registros[REGISTRO],DADOS!$N$5,tabela_registros[TIPO],DADOS!$AB$5,tabela_registros[CATEGORIA],investiroutrosconsolidadoout[[#This Row],[ATUAL]])</f>
        <v>0</v>
      </c>
      <c r="AA157" s="119" t="n">
        <f aca="false">SUMIFS(tabela_registros[VALOR],tabela_registros[MÊS],$AE$1,tabela_registros[DIA],investiroutrosconsolidadoout[[#Headers],[23]],tabela_registros[REGISTRO],DADOS!$N$5,tabela_registros[TIPO],DADOS!$AB$5,tabela_registros[CATEGORIA],investiroutrosconsolidadoout[[#This Row],[ATUAL]])</f>
        <v>0</v>
      </c>
      <c r="AB157" s="119" t="n">
        <f aca="false">SUMIFS(tabela_registros[VALOR],tabela_registros[MÊS],$AE$1,tabela_registros[DIA],investiroutrosconsolidadoout[[#Headers],[24]],tabela_registros[REGISTRO],DADOS!$N$5,tabela_registros[TIPO],DADOS!$AB$5,tabela_registros[CATEGORIA],investiroutrosconsolidadoout[[#This Row],[ATUAL]])</f>
        <v>0</v>
      </c>
      <c r="AC157" s="119" t="n">
        <f aca="false">SUMIFS(tabela_registros[VALOR],tabela_registros[MÊS],$AE$1,tabela_registros[DIA],investiroutrosconsolidadoout[[#Headers],[25]],tabela_registros[REGISTRO],DADOS!$N$5,tabela_registros[TIPO],DADOS!$AB$5,tabela_registros[CATEGORIA],investiroutrosconsolidadoout[[#This Row],[ATUAL]])</f>
        <v>0</v>
      </c>
      <c r="AD157" s="119" t="n">
        <f aca="false">SUMIFS(tabela_registros[VALOR],tabela_registros[MÊS],$AE$1,tabela_registros[DIA],investiroutrosconsolidadoout[[#Headers],[26]],tabela_registros[REGISTRO],DADOS!$N$5,tabela_registros[TIPO],DADOS!$AB$5,tabela_registros[CATEGORIA],investiroutrosconsolidadoout[[#This Row],[ATUAL]])</f>
        <v>0</v>
      </c>
      <c r="AE157" s="119" t="n">
        <f aca="false">SUMIFS(tabela_registros[VALOR],tabela_registros[MÊS],$AE$1,tabela_registros[DIA],investiroutrosconsolidadoout[[#Headers],[27]],tabela_registros[REGISTRO],DADOS!$N$5,tabela_registros[TIPO],DADOS!$AB$5,tabela_registros[CATEGORIA],investiroutrosconsolidadoout[[#This Row],[ATUAL]])</f>
        <v>0</v>
      </c>
      <c r="AF157" s="119" t="n">
        <f aca="false">SUMIFS(tabela_registros[VALOR],tabela_registros[MÊS],$AE$1,tabela_registros[DIA],investiroutrosconsolidadoout[[#Headers],[28]],tabela_registros[REGISTRO],DADOS!$N$5,tabela_registros[TIPO],DADOS!$AB$5,tabela_registros[CATEGORIA],investiroutrosconsolidadoout[[#This Row],[ATUAL]])</f>
        <v>0</v>
      </c>
      <c r="AG157" s="119" t="n">
        <f aca="false">SUMIFS(tabela_registros[VALOR],tabela_registros[MÊS],$AE$1,tabela_registros[DIA],investiroutrosconsolidadoout[[#Headers],[29]],tabela_registros[REGISTRO],DADOS!$N$5,tabela_registros[TIPO],DADOS!$AB$5,tabela_registros[CATEGORIA],investiroutrosconsolidadoout[[#This Row],[ATUAL]])</f>
        <v>0</v>
      </c>
      <c r="AH157" s="119" t="n">
        <f aca="false">SUMIFS(tabela_registros[VALOR],tabela_registros[MÊS],$AE$1,tabela_registros[DIA],investiroutrosconsolidadoout[[#Headers],[30]],tabela_registros[REGISTRO],DADOS!$N$5,tabela_registros[TIPO],DADOS!$AB$5,tabela_registros[CATEGORIA],investiroutrosconsolidadoout[[#This Row],[ATUAL]])</f>
        <v>0</v>
      </c>
      <c r="AI157" s="217" t="n">
        <f aca="false">SUMIFS(tabela_registros[VALOR],tabela_registros[MÊS],$AE$1,tabela_registros[DIA],investiroutrosconsolidadoout[[#Headers],[31]],tabela_registros[REGISTRO],DADOS!$N$5,tabela_registros[TIPO],DADOS!$AB$5,tabela_registros[CATEGORIA],investiroutrosconsolidadoout[[#This Row],[ATUAL]])</f>
        <v>0</v>
      </c>
      <c r="AJ157" s="149" t="n">
        <f aca="false">SUM(investiroutrosconsolidadoout[[#This Row],[1]:[31]])</f>
        <v>0</v>
      </c>
      <c r="AK157" s="165"/>
    </row>
    <row r="158" customFormat="false" ht="19.5" hidden="false" customHeight="true" outlineLevel="0" collapsed="false">
      <c r="B158" s="143"/>
      <c r="C158" s="144" t="str">
        <f aca="false">DADOS!$AH$10</f>
        <v>📎 OUTROS</v>
      </c>
      <c r="D158" s="145" t="str">
        <f aca="false">IF(investiroutrosconsolidadoout[[#This Row],[TOTAL (R$)]]=0,"",IF(OR(investiroutrosconsolidadoout[[#This Row],[TOTAL (R$)]]=LARGE($AJ$151:$AJ$158,1),investiroutrosconsolidadoout[[#This Row],[TOTAL (R$)]]=LARGE($AJ$151:$AJ$158,2)),DADOS!$I$10,""))</f>
        <v/>
      </c>
      <c r="E158" s="148" t="n">
        <f aca="false">SUMIFS(tabela_registros[VALOR],tabela_registros[MÊS],$AE$1,tabela_registros[DIA],investiroutrosconsolidadoout[[#Headers],[1]],tabela_registros[REGISTRO],DADOS!$N$5,tabela_registros[TIPO],DADOS!$AB$5,tabela_registros[CATEGORIA],investiroutrosconsolidadoout[[#This Row],[ATUAL]])</f>
        <v>0</v>
      </c>
      <c r="F158" s="119" t="n">
        <f aca="false">SUMIFS(tabela_registros[VALOR],tabela_registros[MÊS],$AE$1,tabela_registros[DIA],investiroutrosconsolidadoout[[#Headers],[2]],tabela_registros[REGISTRO],DADOS!$N$5,tabela_registros[TIPO],DADOS!$AB$5,tabela_registros[CATEGORIA],investiroutrosconsolidadoout[[#This Row],[ATUAL]])</f>
        <v>0</v>
      </c>
      <c r="G158" s="119" t="n">
        <f aca="false">SUMIFS(tabela_registros[VALOR],tabela_registros[MÊS],$AE$1,tabela_registros[DIA],investiroutrosconsolidadoout[[#Headers],[3]],tabela_registros[REGISTRO],DADOS!$N$5,tabela_registros[TIPO],DADOS!$AB$5,tabela_registros[CATEGORIA],investiroutrosconsolidadoout[[#This Row],[ATUAL]])</f>
        <v>0</v>
      </c>
      <c r="H158" s="119" t="n">
        <f aca="false">SUMIFS(tabela_registros[VALOR],tabela_registros[MÊS],$AE$1,tabela_registros[DIA],investiroutrosconsolidadoout[[#Headers],[4]],tabela_registros[REGISTRO],DADOS!$N$5,tabela_registros[TIPO],DADOS!$AB$5,tabela_registros[CATEGORIA],investiroutrosconsolidadoout[[#This Row],[ATUAL]])</f>
        <v>0</v>
      </c>
      <c r="I158" s="119" t="n">
        <f aca="false">SUMIFS(tabela_registros[VALOR],tabela_registros[MÊS],$AE$1,tabela_registros[DIA],investiroutrosconsolidadoout[[#Headers],[5]],tabela_registros[REGISTRO],DADOS!$N$5,tabela_registros[TIPO],DADOS!$AB$5,tabela_registros[CATEGORIA],investiroutrosconsolidadoout[[#This Row],[ATUAL]])</f>
        <v>0</v>
      </c>
      <c r="J158" s="119" t="n">
        <f aca="false">SUMIFS(tabela_registros[VALOR],tabela_registros[MÊS],$AE$1,tabela_registros[DIA],investiroutrosconsolidadoout[[#Headers],[6]],tabela_registros[REGISTRO],DADOS!$N$5,tabela_registros[TIPO],DADOS!$AB$5,tabela_registros[CATEGORIA],investiroutrosconsolidadoout[[#This Row],[ATUAL]])</f>
        <v>0</v>
      </c>
      <c r="K158" s="119" t="n">
        <f aca="false">SUMIFS(tabela_registros[VALOR],tabela_registros[MÊS],$AE$1,tabela_registros[DIA],investiroutrosconsolidadoout[[#Headers],[7]],tabela_registros[REGISTRO],DADOS!$N$5,tabela_registros[TIPO],DADOS!$AB$5,tabela_registros[CATEGORIA],investiroutrosconsolidadoout[[#This Row],[ATUAL]])</f>
        <v>0</v>
      </c>
      <c r="L158" s="119" t="n">
        <f aca="false">SUMIFS(tabela_registros[VALOR],tabela_registros[MÊS],$AE$1,tabela_registros[DIA],investiroutrosconsolidadoout[[#Headers],[8]],tabela_registros[REGISTRO],DADOS!$N$5,tabela_registros[TIPO],DADOS!$AB$5,tabela_registros[CATEGORIA],investiroutrosconsolidadoout[[#This Row],[ATUAL]])</f>
        <v>0</v>
      </c>
      <c r="M158" s="119" t="n">
        <f aca="false">SUMIFS(tabela_registros[VALOR],tabela_registros[MÊS],$AE$1,tabela_registros[DIA],investiroutrosconsolidadoout[[#Headers],[9]],tabela_registros[REGISTRO],DADOS!$N$5,tabela_registros[TIPO],DADOS!$AB$5,tabela_registros[CATEGORIA],investiroutrosconsolidadoout[[#This Row],[ATUAL]])</f>
        <v>0</v>
      </c>
      <c r="N158" s="119" t="n">
        <f aca="false">SUMIFS(tabela_registros[VALOR],tabela_registros[MÊS],$AE$1,tabela_registros[DIA],investiroutrosconsolidadoout[[#Headers],[10]],tabela_registros[REGISTRO],DADOS!$N$5,tabela_registros[TIPO],DADOS!$AB$5,tabela_registros[CATEGORIA],investiroutrosconsolidadoout[[#This Row],[ATUAL]])</f>
        <v>0</v>
      </c>
      <c r="O158" s="119" t="n">
        <f aca="false">SUMIFS(tabela_registros[VALOR],tabela_registros[MÊS],$AE$1,tabela_registros[DIA],investiroutrosconsolidadoout[[#Headers],[11]],tabela_registros[REGISTRO],DADOS!$N$5,tabela_registros[TIPO],DADOS!$AB$5,tabela_registros[CATEGORIA],investiroutrosconsolidadoout[[#This Row],[ATUAL]])</f>
        <v>0</v>
      </c>
      <c r="P158" s="119" t="n">
        <f aca="false">SUMIFS(tabela_registros[VALOR],tabela_registros[MÊS],$AE$1,tabela_registros[DIA],investiroutrosconsolidadoout[[#Headers],[12]],tabela_registros[REGISTRO],DADOS!$N$5,tabela_registros[TIPO],DADOS!$AB$5,tabela_registros[CATEGORIA],investiroutrosconsolidadoout[[#This Row],[ATUAL]])</f>
        <v>0</v>
      </c>
      <c r="Q158" s="119" t="n">
        <f aca="false">SUMIFS(tabela_registros[VALOR],tabela_registros[MÊS],$AE$1,tabela_registros[DIA],investiroutrosconsolidadoout[[#Headers],[13]],tabela_registros[REGISTRO],DADOS!$N$5,tabela_registros[TIPO],DADOS!$AB$5,tabela_registros[CATEGORIA],investiroutrosconsolidadoout[[#This Row],[ATUAL]])</f>
        <v>0</v>
      </c>
      <c r="R158" s="119" t="n">
        <f aca="false">SUMIFS(tabela_registros[VALOR],tabela_registros[MÊS],$AE$1,tabela_registros[DIA],investiroutrosconsolidadoout[[#Headers],[14]],tabela_registros[REGISTRO],DADOS!$N$5,tabela_registros[TIPO],DADOS!$AB$5,tabela_registros[CATEGORIA],investiroutrosconsolidadoout[[#This Row],[ATUAL]])</f>
        <v>0</v>
      </c>
      <c r="S158" s="119" t="n">
        <f aca="false">SUMIFS(tabela_registros[VALOR],tabela_registros[MÊS],$AE$1,tabela_registros[DIA],investiroutrosconsolidadoout[[#Headers],[15]],tabela_registros[REGISTRO],DADOS!$N$5,tabela_registros[TIPO],DADOS!$AB$5,tabela_registros[CATEGORIA],investiroutrosconsolidadoout[[#This Row],[ATUAL]])</f>
        <v>0</v>
      </c>
      <c r="T158" s="119" t="n">
        <f aca="false">SUMIFS(tabela_registros[VALOR],tabela_registros[MÊS],$AE$1,tabela_registros[DIA],investiroutrosconsolidadoout[[#Headers],[16]],tabela_registros[REGISTRO],DADOS!$N$5,tabela_registros[TIPO],DADOS!$AB$5,tabela_registros[CATEGORIA],investiroutrosconsolidadoout[[#This Row],[ATUAL]])</f>
        <v>0</v>
      </c>
      <c r="U158" s="119" t="n">
        <f aca="false">SUMIFS(tabela_registros[VALOR],tabela_registros[MÊS],$AE$1,tabela_registros[DIA],investiroutrosconsolidadoout[[#Headers],[17]],tabela_registros[REGISTRO],DADOS!$N$5,tabela_registros[TIPO],DADOS!$AB$5,tabela_registros[CATEGORIA],investiroutrosconsolidadoout[[#This Row],[ATUAL]])</f>
        <v>0</v>
      </c>
      <c r="V158" s="119" t="n">
        <f aca="false">SUMIFS(tabela_registros[VALOR],tabela_registros[MÊS],$AE$1,tabela_registros[DIA],investiroutrosconsolidadoout[[#Headers],[18]],tabela_registros[REGISTRO],DADOS!$N$5,tabela_registros[TIPO],DADOS!$AB$5,tabela_registros[CATEGORIA],investiroutrosconsolidadoout[[#This Row],[ATUAL]])</f>
        <v>0</v>
      </c>
      <c r="W158" s="119" t="n">
        <f aca="false">SUMIFS(tabela_registros[VALOR],tabela_registros[MÊS],$AE$1,tabela_registros[DIA],investiroutrosconsolidadoout[[#Headers],[19]],tabela_registros[REGISTRO],DADOS!$N$5,tabela_registros[TIPO],DADOS!$AB$5,tabela_registros[CATEGORIA],investiroutrosconsolidadoout[[#This Row],[ATUAL]])</f>
        <v>0</v>
      </c>
      <c r="X158" s="119" t="n">
        <f aca="false">SUMIFS(tabela_registros[VALOR],tabela_registros[MÊS],$AE$1,tabela_registros[DIA],investiroutrosconsolidadoout[[#Headers],[20]],tabela_registros[REGISTRO],DADOS!$N$5,tabela_registros[TIPO],DADOS!$AB$5,tabela_registros[CATEGORIA],investiroutrosconsolidadoout[[#This Row],[ATUAL]])</f>
        <v>0</v>
      </c>
      <c r="Y158" s="119" t="n">
        <f aca="false">SUMIFS(tabela_registros[VALOR],tabela_registros[MÊS],$AE$1,tabela_registros[DIA],investiroutrosconsolidadoout[[#Headers],[21]],tabela_registros[REGISTRO],DADOS!$N$5,tabela_registros[TIPO],DADOS!$AB$5,tabela_registros[CATEGORIA],investiroutrosconsolidadoout[[#This Row],[ATUAL]])</f>
        <v>0</v>
      </c>
      <c r="Z158" s="119" t="n">
        <f aca="false">SUMIFS(tabela_registros[VALOR],tabela_registros[MÊS],$AE$1,tabela_registros[DIA],investiroutrosconsolidadoout[[#Headers],[22]],tabela_registros[REGISTRO],DADOS!$N$5,tabela_registros[TIPO],DADOS!$AB$5,tabela_registros[CATEGORIA],investiroutrosconsolidadoout[[#This Row],[ATUAL]])</f>
        <v>0</v>
      </c>
      <c r="AA158" s="119" t="n">
        <f aca="false">SUMIFS(tabela_registros[VALOR],tabela_registros[MÊS],$AE$1,tabela_registros[DIA],investiroutrosconsolidadoout[[#Headers],[23]],tabela_registros[REGISTRO],DADOS!$N$5,tabela_registros[TIPO],DADOS!$AB$5,tabela_registros[CATEGORIA],investiroutrosconsolidadoout[[#This Row],[ATUAL]])</f>
        <v>0</v>
      </c>
      <c r="AB158" s="119" t="n">
        <f aca="false">SUMIFS(tabela_registros[VALOR],tabela_registros[MÊS],$AE$1,tabela_registros[DIA],investiroutrosconsolidadoout[[#Headers],[24]],tabela_registros[REGISTRO],DADOS!$N$5,tabela_registros[TIPO],DADOS!$AB$5,tabela_registros[CATEGORIA],investiroutrosconsolidadoout[[#This Row],[ATUAL]])</f>
        <v>0</v>
      </c>
      <c r="AC158" s="119" t="n">
        <f aca="false">SUMIFS(tabela_registros[VALOR],tabela_registros[MÊS],$AE$1,tabela_registros[DIA],investiroutrosconsolidadoout[[#Headers],[25]],tabela_registros[REGISTRO],DADOS!$N$5,tabela_registros[TIPO],DADOS!$AB$5,tabela_registros[CATEGORIA],investiroutrosconsolidadoout[[#This Row],[ATUAL]])</f>
        <v>0</v>
      </c>
      <c r="AD158" s="119" t="n">
        <f aca="false">SUMIFS(tabela_registros[VALOR],tabela_registros[MÊS],$AE$1,tabela_registros[DIA],investiroutrosconsolidadoout[[#Headers],[26]],tabela_registros[REGISTRO],DADOS!$N$5,tabela_registros[TIPO],DADOS!$AB$5,tabela_registros[CATEGORIA],investiroutrosconsolidadoout[[#This Row],[ATUAL]])</f>
        <v>0</v>
      </c>
      <c r="AE158" s="119" t="n">
        <f aca="false">SUMIFS(tabela_registros[VALOR],tabela_registros[MÊS],$AE$1,tabela_registros[DIA],investiroutrosconsolidadoout[[#Headers],[27]],tabela_registros[REGISTRO],DADOS!$N$5,tabela_registros[TIPO],DADOS!$AB$5,tabela_registros[CATEGORIA],investiroutrosconsolidadoout[[#This Row],[ATUAL]])</f>
        <v>0</v>
      </c>
      <c r="AF158" s="119" t="n">
        <f aca="false">SUMIFS(tabela_registros[VALOR],tabela_registros[MÊS],$AE$1,tabela_registros[DIA],investiroutrosconsolidadoout[[#Headers],[28]],tabela_registros[REGISTRO],DADOS!$N$5,tabela_registros[TIPO],DADOS!$AB$5,tabela_registros[CATEGORIA],investiroutrosconsolidadoout[[#This Row],[ATUAL]])</f>
        <v>0</v>
      </c>
      <c r="AG158" s="119" t="n">
        <f aca="false">SUMIFS(tabela_registros[VALOR],tabela_registros[MÊS],$AE$1,tabela_registros[DIA],investiroutrosconsolidadoout[[#Headers],[29]],tabela_registros[REGISTRO],DADOS!$N$5,tabela_registros[TIPO],DADOS!$AB$5,tabela_registros[CATEGORIA],investiroutrosconsolidadoout[[#This Row],[ATUAL]])</f>
        <v>0</v>
      </c>
      <c r="AH158" s="119" t="n">
        <f aca="false">SUMIFS(tabela_registros[VALOR],tabela_registros[MÊS],$AE$1,tabela_registros[DIA],investiroutrosconsolidadoout[[#Headers],[30]],tabela_registros[REGISTRO],DADOS!$N$5,tabela_registros[TIPO],DADOS!$AB$5,tabela_registros[CATEGORIA],investiroutrosconsolidadoout[[#This Row],[ATUAL]])</f>
        <v>0</v>
      </c>
      <c r="AI158" s="218" t="n">
        <f aca="false">SUMIFS(tabela_registros[VALOR],tabela_registros[MÊS],$AE$1,tabela_registros[DIA],investiroutrosconsolidadoout[[#Headers],[31]],tabela_registros[REGISTRO],DADOS!$N$5,tabela_registros[TIPO],DADOS!$AB$5,tabela_registros[CATEGORIA],investiroutrosconsolidadoout[[#This Row],[ATUAL]])</f>
        <v>0</v>
      </c>
      <c r="AJ158" s="219" t="n">
        <f aca="false">SUM(investiroutrosconsolidadoout[[#This Row],[1]:[31]])</f>
        <v>0</v>
      </c>
      <c r="AK158" s="165"/>
    </row>
    <row r="159" s="122" customFormat="true" ht="21" hidden="false" customHeight="true" outlineLevel="0" collapsed="false">
      <c r="B159" s="152"/>
      <c r="C159" s="153" t="s">
        <v>2</v>
      </c>
      <c r="D159" s="166"/>
      <c r="E159" s="155" t="n">
        <f aca="false">SUM(E151:E158)</f>
        <v>0</v>
      </c>
      <c r="F159" s="156" t="n">
        <f aca="false">SUM(F151:F158)+investiroutrosconsolidadoout[[#This Row],[1]]</f>
        <v>0</v>
      </c>
      <c r="G159" s="156" t="n">
        <f aca="false">SUM(G151:G158)+investiroutrosconsolidadoout[[#This Row],[2]]</f>
        <v>0</v>
      </c>
      <c r="H159" s="156" t="n">
        <f aca="false">SUM(H151:H158)+investiroutrosconsolidadoout[[#This Row],[3]]</f>
        <v>0</v>
      </c>
      <c r="I159" s="156" t="n">
        <f aca="false">SUM(I151:I158)+investiroutrosconsolidadoout[[#This Row],[4]]</f>
        <v>0</v>
      </c>
      <c r="J159" s="156" t="n">
        <f aca="false">SUM(J151:J158)+investiroutrosconsolidadoout[[#This Row],[5]]</f>
        <v>0</v>
      </c>
      <c r="K159" s="156" t="n">
        <f aca="false">SUM(K151:K158)+investiroutrosconsolidadoout[[#This Row],[6]]</f>
        <v>0</v>
      </c>
      <c r="L159" s="156" t="n">
        <f aca="false">SUM(L151:L158)+investiroutrosconsolidadoout[[#This Row],[7]]</f>
        <v>0</v>
      </c>
      <c r="M159" s="156" t="n">
        <f aca="false">SUM(M151:M158)+investiroutrosconsolidadoout[[#This Row],[8]]</f>
        <v>0</v>
      </c>
      <c r="N159" s="156" t="n">
        <f aca="false">SUM(N151:N158)+investiroutrosconsolidadoout[[#This Row],[9]]</f>
        <v>0</v>
      </c>
      <c r="O159" s="156" t="n">
        <f aca="false">SUM(O151:O158)+investiroutrosconsolidadoout[[#This Row],[10]]</f>
        <v>0</v>
      </c>
      <c r="P159" s="156" t="n">
        <f aca="false">SUM(P151:P158)+investiroutrosconsolidadoout[[#This Row],[11]]</f>
        <v>0</v>
      </c>
      <c r="Q159" s="156" t="n">
        <f aca="false">SUM(Q151:Q158)+investiroutrosconsolidadoout[[#This Row],[12]]</f>
        <v>0</v>
      </c>
      <c r="R159" s="156" t="n">
        <f aca="false">SUM(R151:R158)+investiroutrosconsolidadoout[[#This Row],[13]]</f>
        <v>0</v>
      </c>
      <c r="S159" s="156" t="n">
        <f aca="false">SUM(S151:S158)+investiroutrosconsolidadoout[[#This Row],[14]]</f>
        <v>0</v>
      </c>
      <c r="T159" s="156" t="n">
        <f aca="false">SUM(T151:T158)+investiroutrosconsolidadoout[[#This Row],[15]]</f>
        <v>0</v>
      </c>
      <c r="U159" s="156" t="n">
        <f aca="false">SUM(U151:U158)+investiroutrosconsolidadoout[[#This Row],[16]]</f>
        <v>0</v>
      </c>
      <c r="V159" s="156" t="n">
        <f aca="false">SUM(V151:V158)+investiroutrosconsolidadoout[[#This Row],[17]]</f>
        <v>0</v>
      </c>
      <c r="W159" s="156" t="n">
        <f aca="false">SUM(W151:W158)+investiroutrosconsolidadoout[[#This Row],[18]]</f>
        <v>0</v>
      </c>
      <c r="X159" s="156" t="n">
        <f aca="false">SUM(X151:X158)+investiroutrosconsolidadoout[[#This Row],[19]]</f>
        <v>0</v>
      </c>
      <c r="Y159" s="156" t="n">
        <f aca="false">SUM(Y151:Y158)+investiroutrosconsolidadoout[[#This Row],[20]]</f>
        <v>0</v>
      </c>
      <c r="Z159" s="156" t="n">
        <f aca="false">SUM(Z151:Z158)+investiroutrosconsolidadoout[[#This Row],[21]]</f>
        <v>0</v>
      </c>
      <c r="AA159" s="156" t="n">
        <f aca="false">SUM(AA151:AA158)+investiroutrosconsolidadoout[[#This Row],[22]]</f>
        <v>0</v>
      </c>
      <c r="AB159" s="156" t="n">
        <f aca="false">SUM(AB151:AB158)+investiroutrosconsolidadoout[[#This Row],[23]]</f>
        <v>0</v>
      </c>
      <c r="AC159" s="156" t="n">
        <f aca="false">SUM(AC151:AC158)+investiroutrosconsolidadoout[[#This Row],[24]]</f>
        <v>0</v>
      </c>
      <c r="AD159" s="156" t="n">
        <f aca="false">SUM(AD151:AD158)+investiroutrosconsolidadoout[[#This Row],[25]]</f>
        <v>0</v>
      </c>
      <c r="AE159" s="156" t="n">
        <f aca="false">SUM(AE151:AE158)+investiroutrosconsolidadoout[[#This Row],[26]]</f>
        <v>0</v>
      </c>
      <c r="AF159" s="156" t="n">
        <f aca="false">SUM(AF151:AF158)+investiroutrosconsolidadoout[[#This Row],[27]]</f>
        <v>0</v>
      </c>
      <c r="AG159" s="156" t="n">
        <f aca="false">SUM(AG151:AG158)+investiroutrosconsolidadoout[[#This Row],[28]]</f>
        <v>0</v>
      </c>
      <c r="AH159" s="156" t="n">
        <f aca="false">SUM(AH151:AH158)+investiroutrosconsolidadoout[[#This Row],[29]]</f>
        <v>0</v>
      </c>
      <c r="AI159" s="223" t="n">
        <f aca="false">SUM(AI151:AI158)+investiroutrosconsolidadoout[[#This Row],[30]]</f>
        <v>0</v>
      </c>
      <c r="AJ159" s="157" t="n">
        <f aca="false">investiroutrosconsolidadoout[[#This Row],[31]]</f>
        <v>0</v>
      </c>
      <c r="AK159" s="158"/>
    </row>
    <row r="160" customFormat="false" ht="6.75" hidden="false" customHeight="true" outlineLevel="0" collapsed="false">
      <c r="B160" s="97"/>
      <c r="C160" s="162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233"/>
      <c r="AJ160" s="164"/>
      <c r="AK160" s="244"/>
    </row>
    <row r="161" s="78" customFormat="true" ht="12.75" hidden="false" customHeight="false" outlineLevel="0" collapsed="false">
      <c r="E161" s="100"/>
    </row>
    <row r="162" s="78" customFormat="true" ht="12" hidden="false" customHeight="false" outlineLevel="0" collapsed="false"/>
    <row r="163" s="78" customFormat="true" ht="12" hidden="false" customHeight="false" outlineLevel="0" collapsed="false"/>
    <row r="164" customFormat="false" ht="39.75" hidden="false" customHeight="true" outlineLevel="0" collapsed="false">
      <c r="C164" s="101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3" t="s">
        <v>2</v>
      </c>
    </row>
    <row r="165" s="78" customFormat="true" ht="12.75" hidden="false" customHeight="false" outlineLevel="0" collapsed="false">
      <c r="B165" s="161"/>
      <c r="AJ165" s="106" t="s">
        <v>64</v>
      </c>
    </row>
    <row r="166" customFormat="false" ht="6.75" hidden="false" customHeight="true" outlineLevel="0" collapsed="false">
      <c r="B166" s="86"/>
      <c r="C166" s="162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233"/>
      <c r="AK166" s="139"/>
    </row>
    <row r="167" customFormat="false" ht="13.5" hidden="true" customHeight="false" outlineLevel="0" collapsed="false">
      <c r="B167" s="86"/>
      <c r="C167" s="109" t="s">
        <v>68</v>
      </c>
      <c r="D167" s="110" t="s">
        <v>69</v>
      </c>
      <c r="E167" s="110" t="s">
        <v>30</v>
      </c>
      <c r="F167" s="110" t="s">
        <v>31</v>
      </c>
      <c r="G167" s="110" t="s">
        <v>32</v>
      </c>
      <c r="H167" s="110" t="s">
        <v>33</v>
      </c>
      <c r="I167" s="110" t="s">
        <v>34</v>
      </c>
      <c r="J167" s="110" t="s">
        <v>35</v>
      </c>
      <c r="K167" s="110" t="s">
        <v>36</v>
      </c>
      <c r="L167" s="110" t="s">
        <v>37</v>
      </c>
      <c r="M167" s="110" t="s">
        <v>38</v>
      </c>
      <c r="N167" s="110" t="s">
        <v>39</v>
      </c>
      <c r="O167" s="110" t="s">
        <v>40</v>
      </c>
      <c r="P167" s="110" t="s">
        <v>41</v>
      </c>
      <c r="Q167" s="110" t="s">
        <v>81</v>
      </c>
      <c r="R167" s="110" t="s">
        <v>82</v>
      </c>
      <c r="S167" s="110" t="s">
        <v>83</v>
      </c>
      <c r="T167" s="110" t="s">
        <v>84</v>
      </c>
      <c r="U167" s="110" t="s">
        <v>85</v>
      </c>
      <c r="V167" s="110" t="s">
        <v>86</v>
      </c>
      <c r="W167" s="110" t="s">
        <v>87</v>
      </c>
      <c r="X167" s="110" t="s">
        <v>88</v>
      </c>
      <c r="Y167" s="110" t="s">
        <v>89</v>
      </c>
      <c r="Z167" s="110" t="s">
        <v>90</v>
      </c>
      <c r="AA167" s="110" t="s">
        <v>91</v>
      </c>
      <c r="AB167" s="110" t="s">
        <v>92</v>
      </c>
      <c r="AC167" s="110" t="s">
        <v>93</v>
      </c>
      <c r="AD167" s="110" t="s">
        <v>94</v>
      </c>
      <c r="AE167" s="110" t="s">
        <v>95</v>
      </c>
      <c r="AF167" s="110" t="s">
        <v>96</v>
      </c>
      <c r="AG167" s="110" t="s">
        <v>97</v>
      </c>
      <c r="AH167" s="110" t="s">
        <v>98</v>
      </c>
      <c r="AI167" s="110" t="s">
        <v>99</v>
      </c>
      <c r="AJ167" s="111" t="s">
        <v>70</v>
      </c>
      <c r="AK167" s="86"/>
    </row>
    <row r="168" customFormat="false" ht="19.5" hidden="false" customHeight="true" outlineLevel="0" collapsed="false">
      <c r="B168" s="143"/>
      <c r="C168" s="144" t="str">
        <f aca="false">DADOS!$AL$3</f>
        <v>📝 CDB</v>
      </c>
      <c r="D168" s="145" t="str">
        <f aca="false">IF(reservafixaconsolidadoout[[#This Row],[TOTAL (R$)]]=0,"",IF(OR(reservafixaconsolidadoout[[#This Row],[TOTAL (R$)]]=LARGE($AJ$168:$AJ$177,1),reservafixaconsolidadoout[[#This Row],[TOTAL (R$)]]=LARGE($AJ$168:$AJ$177,2)),DADOS!$I$11,""))</f>
        <v/>
      </c>
      <c r="E168" s="148" t="n">
        <f aca="false">SUMIFS(tabela_registros[VALOR],tabela_registros[MÊS],$AE$1,tabela_registros[DIA],reservafixaconsolidadoout[[#Headers],[1]],tabela_registros[REGISTRO],DADOS!$N$6,tabela_registros[TIPO],DADOS!$AJ$3,tabela_registros[CATEGORIA],reservafixaconsolidadoout[[#This Row],[ATUAL]])</f>
        <v>0</v>
      </c>
      <c r="F168" s="119" t="n">
        <f aca="false">SUMIFS(tabela_registros[VALOR],tabela_registros[MÊS],$AE$1,tabela_registros[DIA],reservafixaconsolidadoout[[#Headers],[2]],tabela_registros[REGISTRO],DADOS!$N$6,tabela_registros[TIPO],DADOS!$AJ$3,tabela_registros[CATEGORIA],reservafixaconsolidadoout[[#This Row],[ATUAL]])</f>
        <v>0</v>
      </c>
      <c r="G168" s="119" t="n">
        <f aca="false">SUMIFS(tabela_registros[VALOR],tabela_registros[MÊS],$AE$1,tabela_registros[DIA],reservafixaconsolidadoout[[#Headers],[3]],tabela_registros[REGISTRO],DADOS!$N$6,tabela_registros[TIPO],DADOS!$AJ$3,tabela_registros[CATEGORIA],reservafixaconsolidadoout[[#This Row],[ATUAL]])</f>
        <v>0</v>
      </c>
      <c r="H168" s="119" t="n">
        <f aca="false">SUMIFS(tabela_registros[VALOR],tabela_registros[MÊS],$AE$1,tabela_registros[DIA],reservafixaconsolidadoout[[#Headers],[4]],tabela_registros[REGISTRO],DADOS!$N$6,tabela_registros[TIPO],DADOS!$AJ$3,tabela_registros[CATEGORIA],reservafixaconsolidadoout[[#This Row],[ATUAL]])</f>
        <v>0</v>
      </c>
      <c r="I168" s="119" t="n">
        <f aca="false">SUMIFS(tabela_registros[VALOR],tabela_registros[MÊS],$AE$1,tabela_registros[DIA],reservafixaconsolidadoout[[#Headers],[5]],tabela_registros[REGISTRO],DADOS!$N$6,tabela_registros[TIPO],DADOS!$AJ$3,tabela_registros[CATEGORIA],reservafixaconsolidadoout[[#This Row],[ATUAL]])</f>
        <v>0</v>
      </c>
      <c r="J168" s="119" t="n">
        <f aca="false">SUMIFS(tabela_registros[VALOR],tabela_registros[MÊS],$AE$1,tabela_registros[DIA],reservafixaconsolidadoout[[#Headers],[6]],tabela_registros[REGISTRO],DADOS!$N$6,tabela_registros[TIPO],DADOS!$AJ$3,tabela_registros[CATEGORIA],reservafixaconsolidadoout[[#This Row],[ATUAL]])</f>
        <v>0</v>
      </c>
      <c r="K168" s="119" t="n">
        <f aca="false">SUMIFS(tabela_registros[VALOR],tabela_registros[MÊS],$AE$1,tabela_registros[DIA],reservafixaconsolidadoout[[#Headers],[7]],tabela_registros[REGISTRO],DADOS!$N$6,tabela_registros[TIPO],DADOS!$AJ$3,tabela_registros[CATEGORIA],reservafixaconsolidadoout[[#This Row],[ATUAL]])</f>
        <v>0</v>
      </c>
      <c r="L168" s="119" t="n">
        <f aca="false">SUMIFS(tabela_registros[VALOR],tabela_registros[MÊS],$AE$1,tabela_registros[DIA],reservafixaconsolidadoout[[#Headers],[8]],tabela_registros[REGISTRO],DADOS!$N$6,tabela_registros[TIPO],DADOS!$AJ$3,tabela_registros[CATEGORIA],reservafixaconsolidadoout[[#This Row],[ATUAL]])</f>
        <v>0</v>
      </c>
      <c r="M168" s="119" t="n">
        <f aca="false">SUMIFS(tabela_registros[VALOR],tabela_registros[MÊS],$AE$1,tabela_registros[DIA],reservafixaconsolidadoout[[#Headers],[9]],tabela_registros[REGISTRO],DADOS!$N$6,tabela_registros[TIPO],DADOS!$AJ$3,tabela_registros[CATEGORIA],reservafixaconsolidadoout[[#This Row],[ATUAL]])</f>
        <v>0</v>
      </c>
      <c r="N168" s="119" t="n">
        <f aca="false">SUMIFS(tabela_registros[VALOR],tabela_registros[MÊS],$AE$1,tabela_registros[DIA],reservafixaconsolidadoout[[#Headers],[10]],tabela_registros[REGISTRO],DADOS!$N$6,tabela_registros[TIPO],DADOS!$AJ$3,tabela_registros[CATEGORIA],reservafixaconsolidadoout[[#This Row],[ATUAL]])</f>
        <v>0</v>
      </c>
      <c r="O168" s="119" t="n">
        <f aca="false">SUMIFS(tabela_registros[VALOR],tabela_registros[MÊS],$AE$1,tabela_registros[DIA],reservafixaconsolidadoout[[#Headers],[11]],tabela_registros[REGISTRO],DADOS!$N$6,tabela_registros[TIPO],DADOS!$AJ$3,tabela_registros[CATEGORIA],reservafixaconsolidadoout[[#This Row],[ATUAL]])</f>
        <v>0</v>
      </c>
      <c r="P168" s="119" t="n">
        <f aca="false">SUMIFS(tabela_registros[VALOR],tabela_registros[MÊS],$AE$1,tabela_registros[DIA],reservafixaconsolidadoout[[#Headers],[12]],tabela_registros[REGISTRO],DADOS!$N$6,tabela_registros[TIPO],DADOS!$AJ$3,tabela_registros[CATEGORIA],reservafixaconsolidadoout[[#This Row],[ATUAL]])</f>
        <v>0</v>
      </c>
      <c r="Q168" s="119" t="n">
        <f aca="false">SUMIFS(tabela_registros[VALOR],tabela_registros[MÊS],$AE$1,tabela_registros[DIA],reservafixaconsolidadoout[[#Headers],[13]],tabela_registros[REGISTRO],DADOS!$N$6,tabela_registros[TIPO],DADOS!$AJ$3,tabela_registros[CATEGORIA],reservafixaconsolidadoout[[#This Row],[ATUAL]])</f>
        <v>0</v>
      </c>
      <c r="R168" s="119" t="n">
        <f aca="false">SUMIFS(tabela_registros[VALOR],tabela_registros[MÊS],$AE$1,tabela_registros[DIA],reservafixaconsolidadoout[[#Headers],[14]],tabela_registros[REGISTRO],DADOS!$N$6,tabela_registros[TIPO],DADOS!$AJ$3,tabela_registros[CATEGORIA],reservafixaconsolidadoout[[#This Row],[ATUAL]])</f>
        <v>0</v>
      </c>
      <c r="S168" s="119" t="n">
        <f aca="false">SUMIFS(tabela_registros[VALOR],tabela_registros[MÊS],$AE$1,tabela_registros[DIA],reservafixaconsolidadoout[[#Headers],[15]],tabela_registros[REGISTRO],DADOS!$N$6,tabela_registros[TIPO],DADOS!$AJ$3,tabela_registros[CATEGORIA],reservafixaconsolidadoout[[#This Row],[ATUAL]])</f>
        <v>0</v>
      </c>
      <c r="T168" s="119" t="n">
        <f aca="false">SUMIFS(tabela_registros[VALOR],tabela_registros[MÊS],$AE$1,tabela_registros[DIA],reservafixaconsolidadoout[[#Headers],[16]],tabela_registros[REGISTRO],DADOS!$N$6,tabela_registros[TIPO],DADOS!$AJ$3,tabela_registros[CATEGORIA],reservafixaconsolidadoout[[#This Row],[ATUAL]])</f>
        <v>0</v>
      </c>
      <c r="U168" s="119" t="n">
        <f aca="false">SUMIFS(tabela_registros[VALOR],tabela_registros[MÊS],$AE$1,tabela_registros[DIA],reservafixaconsolidadoout[[#Headers],[17]],tabela_registros[REGISTRO],DADOS!$N$6,tabela_registros[TIPO],DADOS!$AJ$3,tabela_registros[CATEGORIA],reservafixaconsolidadoout[[#This Row],[ATUAL]])</f>
        <v>0</v>
      </c>
      <c r="V168" s="119" t="n">
        <f aca="false">SUMIFS(tabela_registros[VALOR],tabela_registros[MÊS],$AE$1,tabela_registros[DIA],reservafixaconsolidadoout[[#Headers],[18]],tabela_registros[REGISTRO],DADOS!$N$6,tabela_registros[TIPO],DADOS!$AJ$3,tabela_registros[CATEGORIA],reservafixaconsolidadoout[[#This Row],[ATUAL]])</f>
        <v>0</v>
      </c>
      <c r="W168" s="119" t="n">
        <f aca="false">SUMIFS(tabela_registros[VALOR],tabela_registros[MÊS],$AE$1,tabela_registros[DIA],reservafixaconsolidadoout[[#Headers],[19]],tabela_registros[REGISTRO],DADOS!$N$6,tabela_registros[TIPO],DADOS!$AJ$3,tabela_registros[CATEGORIA],reservafixaconsolidadoout[[#This Row],[ATUAL]])</f>
        <v>0</v>
      </c>
      <c r="X168" s="119" t="n">
        <f aca="false">SUMIFS(tabela_registros[VALOR],tabela_registros[MÊS],$AE$1,tabela_registros[DIA],reservafixaconsolidadoout[[#Headers],[20]],tabela_registros[REGISTRO],DADOS!$N$6,tabela_registros[TIPO],DADOS!$AJ$3,tabela_registros[CATEGORIA],reservafixaconsolidadoout[[#This Row],[ATUAL]])</f>
        <v>0</v>
      </c>
      <c r="Y168" s="119" t="n">
        <f aca="false">SUMIFS(tabela_registros[VALOR],tabela_registros[MÊS],$AE$1,tabela_registros[DIA],reservafixaconsolidadoout[[#Headers],[21]],tabela_registros[REGISTRO],DADOS!$N$6,tabela_registros[TIPO],DADOS!$AJ$3,tabela_registros[CATEGORIA],reservafixaconsolidadoout[[#This Row],[ATUAL]])</f>
        <v>0</v>
      </c>
      <c r="Z168" s="119" t="n">
        <f aca="false">SUMIFS(tabela_registros[VALOR],tabela_registros[MÊS],$AE$1,tabela_registros[DIA],reservafixaconsolidadoout[[#Headers],[22]],tabela_registros[REGISTRO],DADOS!$N$6,tabela_registros[TIPO],DADOS!$AJ$3,tabela_registros[CATEGORIA],reservafixaconsolidadoout[[#This Row],[ATUAL]])</f>
        <v>0</v>
      </c>
      <c r="AA168" s="119" t="n">
        <f aca="false">SUMIFS(tabela_registros[VALOR],tabela_registros[MÊS],$AE$1,tabela_registros[DIA],reservafixaconsolidadoout[[#Headers],[23]],tabela_registros[REGISTRO],DADOS!$N$6,tabela_registros[TIPO],DADOS!$AJ$3,tabela_registros[CATEGORIA],reservafixaconsolidadoout[[#This Row],[ATUAL]])</f>
        <v>0</v>
      </c>
      <c r="AB168" s="119" t="n">
        <f aca="false">SUMIFS(tabela_registros[VALOR],tabela_registros[MÊS],$AE$1,tabela_registros[DIA],reservafixaconsolidadoout[[#Headers],[24]],tabela_registros[REGISTRO],DADOS!$N$6,tabela_registros[TIPO],DADOS!$AJ$3,tabela_registros[CATEGORIA],reservafixaconsolidadoout[[#This Row],[ATUAL]])</f>
        <v>0</v>
      </c>
      <c r="AC168" s="119" t="n">
        <f aca="false">SUMIFS(tabela_registros[VALOR],tabela_registros[MÊS],$AE$1,tabela_registros[DIA],reservafixaconsolidadoout[[#Headers],[25]],tabela_registros[REGISTRO],DADOS!$N$6,tabela_registros[TIPO],DADOS!$AJ$3,tabela_registros[CATEGORIA],reservafixaconsolidadoout[[#This Row],[ATUAL]])</f>
        <v>0</v>
      </c>
      <c r="AD168" s="119" t="n">
        <f aca="false">SUMIFS(tabela_registros[VALOR],tabela_registros[MÊS],$AE$1,tabela_registros[DIA],reservafixaconsolidadoout[[#Headers],[26]],tabela_registros[REGISTRO],DADOS!$N$6,tabela_registros[TIPO],DADOS!$AJ$3,tabela_registros[CATEGORIA],reservafixaconsolidadoout[[#This Row],[ATUAL]])</f>
        <v>0</v>
      </c>
      <c r="AE168" s="119" t="n">
        <f aca="false">SUMIFS(tabela_registros[VALOR],tabela_registros[MÊS],$AE$1,tabela_registros[DIA],reservafixaconsolidadoout[[#Headers],[27]],tabela_registros[REGISTRO],DADOS!$N$6,tabela_registros[TIPO],DADOS!$AJ$3,tabela_registros[CATEGORIA],reservafixaconsolidadoout[[#This Row],[ATUAL]])</f>
        <v>0</v>
      </c>
      <c r="AF168" s="119" t="n">
        <f aca="false">SUMIFS(tabela_registros[VALOR],tabela_registros[MÊS],$AE$1,tabela_registros[DIA],reservafixaconsolidadoout[[#Headers],[28]],tabela_registros[REGISTRO],DADOS!$N$6,tabela_registros[TIPO],DADOS!$AJ$3,tabela_registros[CATEGORIA],reservafixaconsolidadoout[[#This Row],[ATUAL]])</f>
        <v>0</v>
      </c>
      <c r="AG168" s="119" t="n">
        <f aca="false">SUMIFS(tabela_registros[VALOR],tabela_registros[MÊS],$AE$1,tabela_registros[DIA],reservafixaconsolidadoout[[#Headers],[29]],tabela_registros[REGISTRO],DADOS!$N$6,tabela_registros[TIPO],DADOS!$AJ$3,tabela_registros[CATEGORIA],reservafixaconsolidadoout[[#This Row],[ATUAL]])</f>
        <v>0</v>
      </c>
      <c r="AH168" s="119" t="n">
        <f aca="false">SUMIFS(tabela_registros[VALOR],tabela_registros[MÊS],$AE$1,tabela_registros[DIA],reservafixaconsolidadoout[[#Headers],[30]],tabela_registros[REGISTRO],DADOS!$N$6,tabela_registros[TIPO],DADOS!$AJ$3,tabela_registros[CATEGORIA],reservafixaconsolidadoout[[#This Row],[ATUAL]])</f>
        <v>0</v>
      </c>
      <c r="AI168" s="217" t="n">
        <f aca="false">SUMIFS(tabela_registros[VALOR],tabela_registros[MÊS],$AE$1,tabela_registros[DIA],reservafixaconsolidadoout[[#Headers],[31]],tabela_registros[REGISTRO],DADOS!$N$6,tabela_registros[TIPO],DADOS!$AJ$3,tabela_registros[CATEGORIA],reservafixaconsolidadoout[[#This Row],[ATUAL]])</f>
        <v>0</v>
      </c>
      <c r="AJ168" s="149" t="n">
        <f aca="false">SUM(reservafixaconsolidadoout[[#This Row],[1]:[31]])</f>
        <v>0</v>
      </c>
      <c r="AK168" s="165"/>
    </row>
    <row r="169" customFormat="false" ht="19.5" hidden="false" customHeight="true" outlineLevel="0" collapsed="false">
      <c r="B169" s="143"/>
      <c r="C169" s="144" t="str">
        <f aca="false">DADOS!$AL$4</f>
        <v>📝 CRA</v>
      </c>
      <c r="D169" s="145" t="str">
        <f aca="false">IF(reservafixaconsolidadoout[[#This Row],[TOTAL (R$)]]=0,"",IF(OR(reservafixaconsolidadoout[[#This Row],[TOTAL (R$)]]=LARGE($AJ$168:$AJ$177,1),reservafixaconsolidadoout[[#This Row],[TOTAL (R$)]]=LARGE($AJ$168:$AJ$177,2)),DADOS!$I$11,""))</f>
        <v/>
      </c>
      <c r="E169" s="148" t="n">
        <f aca="false">SUMIFS(tabela_registros[VALOR],tabela_registros[MÊS],$AE$1,tabela_registros[DIA],reservafixaconsolidadoout[[#Headers],[1]],tabela_registros[REGISTRO],DADOS!$N$6,tabela_registros[TIPO],DADOS!$AJ$3,tabela_registros[CATEGORIA],reservafixaconsolidadoout[[#This Row],[ATUAL]])</f>
        <v>0</v>
      </c>
      <c r="F169" s="119" t="n">
        <f aca="false">SUMIFS(tabela_registros[VALOR],tabela_registros[MÊS],$AE$1,tabela_registros[DIA],reservafixaconsolidadoout[[#Headers],[2]],tabela_registros[REGISTRO],DADOS!$N$6,tabela_registros[TIPO],DADOS!$AJ$3,tabela_registros[CATEGORIA],reservafixaconsolidadoout[[#This Row],[ATUAL]])</f>
        <v>0</v>
      </c>
      <c r="G169" s="119" t="n">
        <f aca="false">SUMIFS(tabela_registros[VALOR],tabela_registros[MÊS],$AE$1,tabela_registros[DIA],reservafixaconsolidadoout[[#Headers],[3]],tabela_registros[REGISTRO],DADOS!$N$6,tabela_registros[TIPO],DADOS!$AJ$3,tabela_registros[CATEGORIA],reservafixaconsolidadoout[[#This Row],[ATUAL]])</f>
        <v>0</v>
      </c>
      <c r="H169" s="119" t="n">
        <f aca="false">SUMIFS(tabela_registros[VALOR],tabela_registros[MÊS],$AE$1,tabela_registros[DIA],reservafixaconsolidadoout[[#Headers],[4]],tabela_registros[REGISTRO],DADOS!$N$6,tabela_registros[TIPO],DADOS!$AJ$3,tabela_registros[CATEGORIA],reservafixaconsolidadoout[[#This Row],[ATUAL]])</f>
        <v>0</v>
      </c>
      <c r="I169" s="119" t="n">
        <f aca="false">SUMIFS(tabela_registros[VALOR],tabela_registros[MÊS],$AE$1,tabela_registros[DIA],reservafixaconsolidadoout[[#Headers],[5]],tabela_registros[REGISTRO],DADOS!$N$6,tabela_registros[TIPO],DADOS!$AJ$3,tabela_registros[CATEGORIA],reservafixaconsolidadoout[[#This Row],[ATUAL]])</f>
        <v>0</v>
      </c>
      <c r="J169" s="119" t="n">
        <f aca="false">SUMIFS(tabela_registros[VALOR],tabela_registros[MÊS],$AE$1,tabela_registros[DIA],reservafixaconsolidadoout[[#Headers],[6]],tabela_registros[REGISTRO],DADOS!$N$6,tabela_registros[TIPO],DADOS!$AJ$3,tabela_registros[CATEGORIA],reservafixaconsolidadoout[[#This Row],[ATUAL]])</f>
        <v>0</v>
      </c>
      <c r="K169" s="119" t="n">
        <f aca="false">SUMIFS(tabela_registros[VALOR],tabela_registros[MÊS],$AE$1,tabela_registros[DIA],reservafixaconsolidadoout[[#Headers],[7]],tabela_registros[REGISTRO],DADOS!$N$6,tabela_registros[TIPO],DADOS!$AJ$3,tabela_registros[CATEGORIA],reservafixaconsolidadoout[[#This Row],[ATUAL]])</f>
        <v>0</v>
      </c>
      <c r="L169" s="119" t="n">
        <f aca="false">SUMIFS(tabela_registros[VALOR],tabela_registros[MÊS],$AE$1,tabela_registros[DIA],reservafixaconsolidadoout[[#Headers],[8]],tabela_registros[REGISTRO],DADOS!$N$6,tabela_registros[TIPO],DADOS!$AJ$3,tabela_registros[CATEGORIA],reservafixaconsolidadoout[[#This Row],[ATUAL]])</f>
        <v>0</v>
      </c>
      <c r="M169" s="119" t="n">
        <f aca="false">SUMIFS(tabela_registros[VALOR],tabela_registros[MÊS],$AE$1,tabela_registros[DIA],reservafixaconsolidadoout[[#Headers],[9]],tabela_registros[REGISTRO],DADOS!$N$6,tabela_registros[TIPO],DADOS!$AJ$3,tabela_registros[CATEGORIA],reservafixaconsolidadoout[[#This Row],[ATUAL]])</f>
        <v>0</v>
      </c>
      <c r="N169" s="119" t="n">
        <f aca="false">SUMIFS(tabela_registros[VALOR],tabela_registros[MÊS],$AE$1,tabela_registros[DIA],reservafixaconsolidadoout[[#Headers],[10]],tabela_registros[REGISTRO],DADOS!$N$6,tabela_registros[TIPO],DADOS!$AJ$3,tabela_registros[CATEGORIA],reservafixaconsolidadoout[[#This Row],[ATUAL]])</f>
        <v>0</v>
      </c>
      <c r="O169" s="119" t="n">
        <f aca="false">SUMIFS(tabela_registros[VALOR],tabela_registros[MÊS],$AE$1,tabela_registros[DIA],reservafixaconsolidadoout[[#Headers],[11]],tabela_registros[REGISTRO],DADOS!$N$6,tabela_registros[TIPO],DADOS!$AJ$3,tabela_registros[CATEGORIA],reservafixaconsolidadoout[[#This Row],[ATUAL]])</f>
        <v>0</v>
      </c>
      <c r="P169" s="119" t="n">
        <f aca="false">SUMIFS(tabela_registros[VALOR],tabela_registros[MÊS],$AE$1,tabela_registros[DIA],reservafixaconsolidadoout[[#Headers],[12]],tabela_registros[REGISTRO],DADOS!$N$6,tabela_registros[TIPO],DADOS!$AJ$3,tabela_registros[CATEGORIA],reservafixaconsolidadoout[[#This Row],[ATUAL]])</f>
        <v>0</v>
      </c>
      <c r="Q169" s="119" t="n">
        <f aca="false">SUMIFS(tabela_registros[VALOR],tabela_registros[MÊS],$AE$1,tabela_registros[DIA],reservafixaconsolidadoout[[#Headers],[13]],tabela_registros[REGISTRO],DADOS!$N$6,tabela_registros[TIPO],DADOS!$AJ$3,tabela_registros[CATEGORIA],reservafixaconsolidadoout[[#This Row],[ATUAL]])</f>
        <v>0</v>
      </c>
      <c r="R169" s="119" t="n">
        <f aca="false">SUMIFS(tabela_registros[VALOR],tabela_registros[MÊS],$AE$1,tabela_registros[DIA],reservafixaconsolidadoout[[#Headers],[14]],tabela_registros[REGISTRO],DADOS!$N$6,tabela_registros[TIPO],DADOS!$AJ$3,tabela_registros[CATEGORIA],reservafixaconsolidadoout[[#This Row],[ATUAL]])</f>
        <v>0</v>
      </c>
      <c r="S169" s="119" t="n">
        <f aca="false">SUMIFS(tabela_registros[VALOR],tabela_registros[MÊS],$AE$1,tabela_registros[DIA],reservafixaconsolidadoout[[#Headers],[15]],tabela_registros[REGISTRO],DADOS!$N$6,tabela_registros[TIPO],DADOS!$AJ$3,tabela_registros[CATEGORIA],reservafixaconsolidadoout[[#This Row],[ATUAL]])</f>
        <v>0</v>
      </c>
      <c r="T169" s="119" t="n">
        <f aca="false">SUMIFS(tabela_registros[VALOR],tabela_registros[MÊS],$AE$1,tabela_registros[DIA],reservafixaconsolidadoout[[#Headers],[16]],tabela_registros[REGISTRO],DADOS!$N$6,tabela_registros[TIPO],DADOS!$AJ$3,tabela_registros[CATEGORIA],reservafixaconsolidadoout[[#This Row],[ATUAL]])</f>
        <v>0</v>
      </c>
      <c r="U169" s="119" t="n">
        <f aca="false">SUMIFS(tabela_registros[VALOR],tabela_registros[MÊS],$AE$1,tabela_registros[DIA],reservafixaconsolidadoout[[#Headers],[17]],tabela_registros[REGISTRO],DADOS!$N$6,tabela_registros[TIPO],DADOS!$AJ$3,tabela_registros[CATEGORIA],reservafixaconsolidadoout[[#This Row],[ATUAL]])</f>
        <v>0</v>
      </c>
      <c r="V169" s="119" t="n">
        <f aca="false">SUMIFS(tabela_registros[VALOR],tabela_registros[MÊS],$AE$1,tabela_registros[DIA],reservafixaconsolidadoout[[#Headers],[18]],tabela_registros[REGISTRO],DADOS!$N$6,tabela_registros[TIPO],DADOS!$AJ$3,tabela_registros[CATEGORIA],reservafixaconsolidadoout[[#This Row],[ATUAL]])</f>
        <v>0</v>
      </c>
      <c r="W169" s="119" t="n">
        <f aca="false">SUMIFS(tabela_registros[VALOR],tabela_registros[MÊS],$AE$1,tabela_registros[DIA],reservafixaconsolidadoout[[#Headers],[19]],tabela_registros[REGISTRO],DADOS!$N$6,tabela_registros[TIPO],DADOS!$AJ$3,tabela_registros[CATEGORIA],reservafixaconsolidadoout[[#This Row],[ATUAL]])</f>
        <v>0</v>
      </c>
      <c r="X169" s="119" t="n">
        <f aca="false">SUMIFS(tabela_registros[VALOR],tabela_registros[MÊS],$AE$1,tabela_registros[DIA],reservafixaconsolidadoout[[#Headers],[20]],tabela_registros[REGISTRO],DADOS!$N$6,tabela_registros[TIPO],DADOS!$AJ$3,tabela_registros[CATEGORIA],reservafixaconsolidadoout[[#This Row],[ATUAL]])</f>
        <v>0</v>
      </c>
      <c r="Y169" s="119" t="n">
        <f aca="false">SUMIFS(tabela_registros[VALOR],tabela_registros[MÊS],$AE$1,tabela_registros[DIA],reservafixaconsolidadoout[[#Headers],[21]],tabela_registros[REGISTRO],DADOS!$N$6,tabela_registros[TIPO],DADOS!$AJ$3,tabela_registros[CATEGORIA],reservafixaconsolidadoout[[#This Row],[ATUAL]])</f>
        <v>0</v>
      </c>
      <c r="Z169" s="119" t="n">
        <f aca="false">SUMIFS(tabela_registros[VALOR],tabela_registros[MÊS],$AE$1,tabela_registros[DIA],reservafixaconsolidadoout[[#Headers],[22]],tabela_registros[REGISTRO],DADOS!$N$6,tabela_registros[TIPO],DADOS!$AJ$3,tabela_registros[CATEGORIA],reservafixaconsolidadoout[[#This Row],[ATUAL]])</f>
        <v>0</v>
      </c>
      <c r="AA169" s="119" t="n">
        <f aca="false">SUMIFS(tabela_registros[VALOR],tabela_registros[MÊS],$AE$1,tabela_registros[DIA],reservafixaconsolidadoout[[#Headers],[23]],tabela_registros[REGISTRO],DADOS!$N$6,tabela_registros[TIPO],DADOS!$AJ$3,tabela_registros[CATEGORIA],reservafixaconsolidadoout[[#This Row],[ATUAL]])</f>
        <v>0</v>
      </c>
      <c r="AB169" s="119" t="n">
        <f aca="false">SUMIFS(tabela_registros[VALOR],tabela_registros[MÊS],$AE$1,tabela_registros[DIA],reservafixaconsolidadoout[[#Headers],[24]],tabela_registros[REGISTRO],DADOS!$N$6,tabela_registros[TIPO],DADOS!$AJ$3,tabela_registros[CATEGORIA],reservafixaconsolidadoout[[#This Row],[ATUAL]])</f>
        <v>0</v>
      </c>
      <c r="AC169" s="119" t="n">
        <f aca="false">SUMIFS(tabela_registros[VALOR],tabela_registros[MÊS],$AE$1,tabela_registros[DIA],reservafixaconsolidadoout[[#Headers],[25]],tabela_registros[REGISTRO],DADOS!$N$6,tabela_registros[TIPO],DADOS!$AJ$3,tabela_registros[CATEGORIA],reservafixaconsolidadoout[[#This Row],[ATUAL]])</f>
        <v>0</v>
      </c>
      <c r="AD169" s="119" t="n">
        <f aca="false">SUMIFS(tabela_registros[VALOR],tabela_registros[MÊS],$AE$1,tabela_registros[DIA],reservafixaconsolidadoout[[#Headers],[26]],tabela_registros[REGISTRO],DADOS!$N$6,tabela_registros[TIPO],DADOS!$AJ$3,tabela_registros[CATEGORIA],reservafixaconsolidadoout[[#This Row],[ATUAL]])</f>
        <v>0</v>
      </c>
      <c r="AE169" s="119" t="n">
        <f aca="false">SUMIFS(tabela_registros[VALOR],tabela_registros[MÊS],$AE$1,tabela_registros[DIA],reservafixaconsolidadoout[[#Headers],[27]],tabela_registros[REGISTRO],DADOS!$N$6,tabela_registros[TIPO],DADOS!$AJ$3,tabela_registros[CATEGORIA],reservafixaconsolidadoout[[#This Row],[ATUAL]])</f>
        <v>0</v>
      </c>
      <c r="AF169" s="119" t="n">
        <f aca="false">SUMIFS(tabela_registros[VALOR],tabela_registros[MÊS],$AE$1,tabela_registros[DIA],reservafixaconsolidadoout[[#Headers],[28]],tabela_registros[REGISTRO],DADOS!$N$6,tabela_registros[TIPO],DADOS!$AJ$3,tabela_registros[CATEGORIA],reservafixaconsolidadoout[[#This Row],[ATUAL]])</f>
        <v>0</v>
      </c>
      <c r="AG169" s="119" t="n">
        <f aca="false">SUMIFS(tabela_registros[VALOR],tabela_registros[MÊS],$AE$1,tabela_registros[DIA],reservafixaconsolidadoout[[#Headers],[29]],tabela_registros[REGISTRO],DADOS!$N$6,tabela_registros[TIPO],DADOS!$AJ$3,tabela_registros[CATEGORIA],reservafixaconsolidadoout[[#This Row],[ATUAL]])</f>
        <v>0</v>
      </c>
      <c r="AH169" s="119" t="n">
        <f aca="false">SUMIFS(tabela_registros[VALOR],tabela_registros[MÊS],$AE$1,tabela_registros[DIA],reservafixaconsolidadoout[[#Headers],[30]],tabela_registros[REGISTRO],DADOS!$N$6,tabela_registros[TIPO],DADOS!$AJ$3,tabela_registros[CATEGORIA],reservafixaconsolidadoout[[#This Row],[ATUAL]])</f>
        <v>0</v>
      </c>
      <c r="AI169" s="217" t="n">
        <f aca="false">SUMIFS(tabela_registros[VALOR],tabela_registros[MÊS],$AE$1,tabela_registros[DIA],reservafixaconsolidadoout[[#Headers],[31]],tabela_registros[REGISTRO],DADOS!$N$6,tabela_registros[TIPO],DADOS!$AJ$3,tabela_registros[CATEGORIA],reservafixaconsolidadoout[[#This Row],[ATUAL]])</f>
        <v>0</v>
      </c>
      <c r="AJ169" s="149" t="n">
        <f aca="false">SUM(reservafixaconsolidadoout[[#This Row],[1]:[31]])</f>
        <v>0</v>
      </c>
      <c r="AK169" s="165"/>
    </row>
    <row r="170" customFormat="false" ht="19.5" hidden="false" customHeight="true" outlineLevel="0" collapsed="false">
      <c r="B170" s="143"/>
      <c r="C170" s="144" t="str">
        <f aca="false">DADOS!$AL$5</f>
        <v>📝 CRI</v>
      </c>
      <c r="D170" s="145" t="str">
        <f aca="false">IF(reservafixaconsolidadoout[[#This Row],[TOTAL (R$)]]=0,"",IF(OR(reservafixaconsolidadoout[[#This Row],[TOTAL (R$)]]=LARGE($AJ$168:$AJ$177,1),reservafixaconsolidadoout[[#This Row],[TOTAL (R$)]]=LARGE($AJ$168:$AJ$177,2)),DADOS!$I$11,""))</f>
        <v/>
      </c>
      <c r="E170" s="148" t="n">
        <f aca="false">SUMIFS(tabela_registros[VALOR],tabela_registros[MÊS],$AE$1,tabela_registros[DIA],reservafixaconsolidadoout[[#Headers],[1]],tabela_registros[REGISTRO],DADOS!$N$6,tabela_registros[TIPO],DADOS!$AJ$3,tabela_registros[CATEGORIA],reservafixaconsolidadoout[[#This Row],[ATUAL]])</f>
        <v>0</v>
      </c>
      <c r="F170" s="119" t="n">
        <f aca="false">SUMIFS(tabela_registros[VALOR],tabela_registros[MÊS],$AE$1,tabela_registros[DIA],reservafixaconsolidadoout[[#Headers],[2]],tabela_registros[REGISTRO],DADOS!$N$6,tabela_registros[TIPO],DADOS!$AJ$3,tabela_registros[CATEGORIA],reservafixaconsolidadoout[[#This Row],[ATUAL]])</f>
        <v>0</v>
      </c>
      <c r="G170" s="119" t="n">
        <f aca="false">SUMIFS(tabela_registros[VALOR],tabela_registros[MÊS],$AE$1,tabela_registros[DIA],reservafixaconsolidadoout[[#Headers],[3]],tabela_registros[REGISTRO],DADOS!$N$6,tabela_registros[TIPO],DADOS!$AJ$3,tabela_registros[CATEGORIA],reservafixaconsolidadoout[[#This Row],[ATUAL]])</f>
        <v>0</v>
      </c>
      <c r="H170" s="119" t="n">
        <f aca="false">SUMIFS(tabela_registros[VALOR],tabela_registros[MÊS],$AE$1,tabela_registros[DIA],reservafixaconsolidadoout[[#Headers],[4]],tabela_registros[REGISTRO],DADOS!$N$6,tabela_registros[TIPO],DADOS!$AJ$3,tabela_registros[CATEGORIA],reservafixaconsolidadoout[[#This Row],[ATUAL]])</f>
        <v>0</v>
      </c>
      <c r="I170" s="119" t="n">
        <f aca="false">SUMIFS(tabela_registros[VALOR],tabela_registros[MÊS],$AE$1,tabela_registros[DIA],reservafixaconsolidadoout[[#Headers],[5]],tabela_registros[REGISTRO],DADOS!$N$6,tabela_registros[TIPO],DADOS!$AJ$3,tabela_registros[CATEGORIA],reservafixaconsolidadoout[[#This Row],[ATUAL]])</f>
        <v>0</v>
      </c>
      <c r="J170" s="119" t="n">
        <f aca="false">SUMIFS(tabela_registros[VALOR],tabela_registros[MÊS],$AE$1,tabela_registros[DIA],reservafixaconsolidadoout[[#Headers],[6]],tabela_registros[REGISTRO],DADOS!$N$6,tabela_registros[TIPO],DADOS!$AJ$3,tabela_registros[CATEGORIA],reservafixaconsolidadoout[[#This Row],[ATUAL]])</f>
        <v>0</v>
      </c>
      <c r="K170" s="119" t="n">
        <f aca="false">SUMIFS(tabela_registros[VALOR],tabela_registros[MÊS],$AE$1,tabela_registros[DIA],reservafixaconsolidadoout[[#Headers],[7]],tabela_registros[REGISTRO],DADOS!$N$6,tabela_registros[TIPO],DADOS!$AJ$3,tabela_registros[CATEGORIA],reservafixaconsolidadoout[[#This Row],[ATUAL]])</f>
        <v>0</v>
      </c>
      <c r="L170" s="119" t="n">
        <f aca="false">SUMIFS(tabela_registros[VALOR],tabela_registros[MÊS],$AE$1,tabela_registros[DIA],reservafixaconsolidadoout[[#Headers],[8]],tabela_registros[REGISTRO],DADOS!$N$6,tabela_registros[TIPO],DADOS!$AJ$3,tabela_registros[CATEGORIA],reservafixaconsolidadoout[[#This Row],[ATUAL]])</f>
        <v>0</v>
      </c>
      <c r="M170" s="119" t="n">
        <f aca="false">SUMIFS(tabela_registros[VALOR],tabela_registros[MÊS],$AE$1,tabela_registros[DIA],reservafixaconsolidadoout[[#Headers],[9]],tabela_registros[REGISTRO],DADOS!$N$6,tabela_registros[TIPO],DADOS!$AJ$3,tabela_registros[CATEGORIA],reservafixaconsolidadoout[[#This Row],[ATUAL]])</f>
        <v>0</v>
      </c>
      <c r="N170" s="119" t="n">
        <f aca="false">SUMIFS(tabela_registros[VALOR],tabela_registros[MÊS],$AE$1,tabela_registros[DIA],reservafixaconsolidadoout[[#Headers],[10]],tabela_registros[REGISTRO],DADOS!$N$6,tabela_registros[TIPO],DADOS!$AJ$3,tabela_registros[CATEGORIA],reservafixaconsolidadoout[[#This Row],[ATUAL]])</f>
        <v>0</v>
      </c>
      <c r="O170" s="119" t="n">
        <f aca="false">SUMIFS(tabela_registros[VALOR],tabela_registros[MÊS],$AE$1,tabela_registros[DIA],reservafixaconsolidadoout[[#Headers],[11]],tabela_registros[REGISTRO],DADOS!$N$6,tabela_registros[TIPO],DADOS!$AJ$3,tabela_registros[CATEGORIA],reservafixaconsolidadoout[[#This Row],[ATUAL]])</f>
        <v>0</v>
      </c>
      <c r="P170" s="119" t="n">
        <f aca="false">SUMIFS(tabela_registros[VALOR],tabela_registros[MÊS],$AE$1,tabela_registros[DIA],reservafixaconsolidadoout[[#Headers],[12]],tabela_registros[REGISTRO],DADOS!$N$6,tabela_registros[TIPO],DADOS!$AJ$3,tabela_registros[CATEGORIA],reservafixaconsolidadoout[[#This Row],[ATUAL]])</f>
        <v>0</v>
      </c>
      <c r="Q170" s="119" t="n">
        <f aca="false">SUMIFS(tabela_registros[VALOR],tabela_registros[MÊS],$AE$1,tabela_registros[DIA],reservafixaconsolidadoout[[#Headers],[13]],tabela_registros[REGISTRO],DADOS!$N$6,tabela_registros[TIPO],DADOS!$AJ$3,tabela_registros[CATEGORIA],reservafixaconsolidadoout[[#This Row],[ATUAL]])</f>
        <v>0</v>
      </c>
      <c r="R170" s="119" t="n">
        <f aca="false">SUMIFS(tabela_registros[VALOR],tabela_registros[MÊS],$AE$1,tabela_registros[DIA],reservafixaconsolidadoout[[#Headers],[14]],tabela_registros[REGISTRO],DADOS!$N$6,tabela_registros[TIPO],DADOS!$AJ$3,tabela_registros[CATEGORIA],reservafixaconsolidadoout[[#This Row],[ATUAL]])</f>
        <v>0</v>
      </c>
      <c r="S170" s="119" t="n">
        <f aca="false">SUMIFS(tabela_registros[VALOR],tabela_registros[MÊS],$AE$1,tabela_registros[DIA],reservafixaconsolidadoout[[#Headers],[15]],tabela_registros[REGISTRO],DADOS!$N$6,tabela_registros[TIPO],DADOS!$AJ$3,tabela_registros[CATEGORIA],reservafixaconsolidadoout[[#This Row],[ATUAL]])</f>
        <v>0</v>
      </c>
      <c r="T170" s="119" t="n">
        <f aca="false">SUMIFS(tabela_registros[VALOR],tabela_registros[MÊS],$AE$1,tabela_registros[DIA],reservafixaconsolidadoout[[#Headers],[16]],tabela_registros[REGISTRO],DADOS!$N$6,tabela_registros[TIPO],DADOS!$AJ$3,tabela_registros[CATEGORIA],reservafixaconsolidadoout[[#This Row],[ATUAL]])</f>
        <v>0</v>
      </c>
      <c r="U170" s="119" t="n">
        <f aca="false">SUMIFS(tabela_registros[VALOR],tabela_registros[MÊS],$AE$1,tabela_registros[DIA],reservafixaconsolidadoout[[#Headers],[17]],tabela_registros[REGISTRO],DADOS!$N$6,tabela_registros[TIPO],DADOS!$AJ$3,tabela_registros[CATEGORIA],reservafixaconsolidadoout[[#This Row],[ATUAL]])</f>
        <v>0</v>
      </c>
      <c r="V170" s="119" t="n">
        <f aca="false">SUMIFS(tabela_registros[VALOR],tabela_registros[MÊS],$AE$1,tabela_registros[DIA],reservafixaconsolidadoout[[#Headers],[18]],tabela_registros[REGISTRO],DADOS!$N$6,tabela_registros[TIPO],DADOS!$AJ$3,tabela_registros[CATEGORIA],reservafixaconsolidadoout[[#This Row],[ATUAL]])</f>
        <v>0</v>
      </c>
      <c r="W170" s="119" t="n">
        <f aca="false">SUMIFS(tabela_registros[VALOR],tabela_registros[MÊS],$AE$1,tabela_registros[DIA],reservafixaconsolidadoout[[#Headers],[19]],tabela_registros[REGISTRO],DADOS!$N$6,tabela_registros[TIPO],DADOS!$AJ$3,tabela_registros[CATEGORIA],reservafixaconsolidadoout[[#This Row],[ATUAL]])</f>
        <v>0</v>
      </c>
      <c r="X170" s="119" t="n">
        <f aca="false">SUMIFS(tabela_registros[VALOR],tabela_registros[MÊS],$AE$1,tabela_registros[DIA],reservafixaconsolidadoout[[#Headers],[20]],tabela_registros[REGISTRO],DADOS!$N$6,tabela_registros[TIPO],DADOS!$AJ$3,tabela_registros[CATEGORIA],reservafixaconsolidadoout[[#This Row],[ATUAL]])</f>
        <v>0</v>
      </c>
      <c r="Y170" s="119" t="n">
        <f aca="false">SUMIFS(tabela_registros[VALOR],tabela_registros[MÊS],$AE$1,tabela_registros[DIA],reservafixaconsolidadoout[[#Headers],[21]],tabela_registros[REGISTRO],DADOS!$N$6,tabela_registros[TIPO],DADOS!$AJ$3,tabela_registros[CATEGORIA],reservafixaconsolidadoout[[#This Row],[ATUAL]])</f>
        <v>0</v>
      </c>
      <c r="Z170" s="119" t="n">
        <f aca="false">SUMIFS(tabela_registros[VALOR],tabela_registros[MÊS],$AE$1,tabela_registros[DIA],reservafixaconsolidadoout[[#Headers],[22]],tabela_registros[REGISTRO],DADOS!$N$6,tabela_registros[TIPO],DADOS!$AJ$3,tabela_registros[CATEGORIA],reservafixaconsolidadoout[[#This Row],[ATUAL]])</f>
        <v>0</v>
      </c>
      <c r="AA170" s="119" t="n">
        <f aca="false">SUMIFS(tabela_registros[VALOR],tabela_registros[MÊS],$AE$1,tabela_registros[DIA],reservafixaconsolidadoout[[#Headers],[23]],tabela_registros[REGISTRO],DADOS!$N$6,tabela_registros[TIPO],DADOS!$AJ$3,tabela_registros[CATEGORIA],reservafixaconsolidadoout[[#This Row],[ATUAL]])</f>
        <v>0</v>
      </c>
      <c r="AB170" s="119" t="n">
        <f aca="false">SUMIFS(tabela_registros[VALOR],tabela_registros[MÊS],$AE$1,tabela_registros[DIA],reservafixaconsolidadoout[[#Headers],[24]],tabela_registros[REGISTRO],DADOS!$N$6,tabela_registros[TIPO],DADOS!$AJ$3,tabela_registros[CATEGORIA],reservafixaconsolidadoout[[#This Row],[ATUAL]])</f>
        <v>0</v>
      </c>
      <c r="AC170" s="119" t="n">
        <f aca="false">SUMIFS(tabela_registros[VALOR],tabela_registros[MÊS],$AE$1,tabela_registros[DIA],reservafixaconsolidadoout[[#Headers],[25]],tabela_registros[REGISTRO],DADOS!$N$6,tabela_registros[TIPO],DADOS!$AJ$3,tabela_registros[CATEGORIA],reservafixaconsolidadoout[[#This Row],[ATUAL]])</f>
        <v>0</v>
      </c>
      <c r="AD170" s="119" t="n">
        <f aca="false">SUMIFS(tabela_registros[VALOR],tabela_registros[MÊS],$AE$1,tabela_registros[DIA],reservafixaconsolidadoout[[#Headers],[26]],tabela_registros[REGISTRO],DADOS!$N$6,tabela_registros[TIPO],DADOS!$AJ$3,tabela_registros[CATEGORIA],reservafixaconsolidadoout[[#This Row],[ATUAL]])</f>
        <v>0</v>
      </c>
      <c r="AE170" s="119" t="n">
        <f aca="false">SUMIFS(tabela_registros[VALOR],tabela_registros[MÊS],$AE$1,tabela_registros[DIA],reservafixaconsolidadoout[[#Headers],[27]],tabela_registros[REGISTRO],DADOS!$N$6,tabela_registros[TIPO],DADOS!$AJ$3,tabela_registros[CATEGORIA],reservafixaconsolidadoout[[#This Row],[ATUAL]])</f>
        <v>0</v>
      </c>
      <c r="AF170" s="119" t="n">
        <f aca="false">SUMIFS(tabela_registros[VALOR],tabela_registros[MÊS],$AE$1,tabela_registros[DIA],reservafixaconsolidadoout[[#Headers],[28]],tabela_registros[REGISTRO],DADOS!$N$6,tabela_registros[TIPO],DADOS!$AJ$3,tabela_registros[CATEGORIA],reservafixaconsolidadoout[[#This Row],[ATUAL]])</f>
        <v>0</v>
      </c>
      <c r="AG170" s="119" t="n">
        <f aca="false">SUMIFS(tabela_registros[VALOR],tabela_registros[MÊS],$AE$1,tabela_registros[DIA],reservafixaconsolidadoout[[#Headers],[29]],tabela_registros[REGISTRO],DADOS!$N$6,tabela_registros[TIPO],DADOS!$AJ$3,tabela_registros[CATEGORIA],reservafixaconsolidadoout[[#This Row],[ATUAL]])</f>
        <v>0</v>
      </c>
      <c r="AH170" s="119" t="n">
        <f aca="false">SUMIFS(tabela_registros[VALOR],tabela_registros[MÊS],$AE$1,tabela_registros[DIA],reservafixaconsolidadoout[[#Headers],[30]],tabela_registros[REGISTRO],DADOS!$N$6,tabela_registros[TIPO],DADOS!$AJ$3,tabela_registros[CATEGORIA],reservafixaconsolidadoout[[#This Row],[ATUAL]])</f>
        <v>0</v>
      </c>
      <c r="AI170" s="217" t="n">
        <f aca="false">SUMIFS(tabela_registros[VALOR],tabela_registros[MÊS],$AE$1,tabela_registros[DIA],reservafixaconsolidadoout[[#Headers],[31]],tabela_registros[REGISTRO],DADOS!$N$6,tabela_registros[TIPO],DADOS!$AJ$3,tabela_registros[CATEGORIA],reservafixaconsolidadoout[[#This Row],[ATUAL]])</f>
        <v>0</v>
      </c>
      <c r="AJ170" s="149" t="n">
        <f aca="false">SUM(reservafixaconsolidadoout[[#This Row],[1]:[31]])</f>
        <v>0</v>
      </c>
      <c r="AK170" s="165"/>
    </row>
    <row r="171" customFormat="false" ht="19.5" hidden="false" customHeight="true" outlineLevel="0" collapsed="false">
      <c r="B171" s="143"/>
      <c r="C171" s="144" t="str">
        <f aca="false">DADOS!$AL$6</f>
        <v>📝 DEBÊNTURE</v>
      </c>
      <c r="D171" s="145" t="str">
        <f aca="false">IF(reservafixaconsolidadoout[[#This Row],[TOTAL (R$)]]=0,"",IF(OR(reservafixaconsolidadoout[[#This Row],[TOTAL (R$)]]=LARGE($AJ$168:$AJ$177,1),reservafixaconsolidadoout[[#This Row],[TOTAL (R$)]]=LARGE($AJ$168:$AJ$177,2)),DADOS!$I$11,""))</f>
        <v/>
      </c>
      <c r="E171" s="148" t="n">
        <f aca="false">SUMIFS(tabela_registros[VALOR],tabela_registros[MÊS],$AE$1,tabela_registros[DIA],reservafixaconsolidadoout[[#Headers],[1]],tabela_registros[REGISTRO],DADOS!$N$6,tabela_registros[TIPO],DADOS!$AJ$3,tabela_registros[CATEGORIA],reservafixaconsolidadoout[[#This Row],[ATUAL]])</f>
        <v>0</v>
      </c>
      <c r="F171" s="119" t="n">
        <f aca="false">SUMIFS(tabela_registros[VALOR],tabela_registros[MÊS],$AE$1,tabela_registros[DIA],reservafixaconsolidadoout[[#Headers],[2]],tabela_registros[REGISTRO],DADOS!$N$6,tabela_registros[TIPO],DADOS!$AJ$3,tabela_registros[CATEGORIA],reservafixaconsolidadoout[[#This Row],[ATUAL]])</f>
        <v>0</v>
      </c>
      <c r="G171" s="119" t="n">
        <f aca="false">SUMIFS(tabela_registros[VALOR],tabela_registros[MÊS],$AE$1,tabela_registros[DIA],reservafixaconsolidadoout[[#Headers],[3]],tabela_registros[REGISTRO],DADOS!$N$6,tabela_registros[TIPO],DADOS!$AJ$3,tabela_registros[CATEGORIA],reservafixaconsolidadoout[[#This Row],[ATUAL]])</f>
        <v>0</v>
      </c>
      <c r="H171" s="119" t="n">
        <f aca="false">SUMIFS(tabela_registros[VALOR],tabela_registros[MÊS],$AE$1,tabela_registros[DIA],reservafixaconsolidadoout[[#Headers],[4]],tabela_registros[REGISTRO],DADOS!$N$6,tabela_registros[TIPO],DADOS!$AJ$3,tabela_registros[CATEGORIA],reservafixaconsolidadoout[[#This Row],[ATUAL]])</f>
        <v>0</v>
      </c>
      <c r="I171" s="119" t="n">
        <f aca="false">SUMIFS(tabela_registros[VALOR],tabela_registros[MÊS],$AE$1,tabela_registros[DIA],reservafixaconsolidadoout[[#Headers],[5]],tabela_registros[REGISTRO],DADOS!$N$6,tabela_registros[TIPO],DADOS!$AJ$3,tabela_registros[CATEGORIA],reservafixaconsolidadoout[[#This Row],[ATUAL]])</f>
        <v>0</v>
      </c>
      <c r="J171" s="119" t="n">
        <f aca="false">SUMIFS(tabela_registros[VALOR],tabela_registros[MÊS],$AE$1,tabela_registros[DIA],reservafixaconsolidadoout[[#Headers],[6]],tabela_registros[REGISTRO],DADOS!$N$6,tabela_registros[TIPO],DADOS!$AJ$3,tabela_registros[CATEGORIA],reservafixaconsolidadoout[[#This Row],[ATUAL]])</f>
        <v>0</v>
      </c>
      <c r="K171" s="119" t="n">
        <f aca="false">SUMIFS(tabela_registros[VALOR],tabela_registros[MÊS],$AE$1,tabela_registros[DIA],reservafixaconsolidadoout[[#Headers],[7]],tabela_registros[REGISTRO],DADOS!$N$6,tabela_registros[TIPO],DADOS!$AJ$3,tabela_registros[CATEGORIA],reservafixaconsolidadoout[[#This Row],[ATUAL]])</f>
        <v>0</v>
      </c>
      <c r="L171" s="119" t="n">
        <f aca="false">SUMIFS(tabela_registros[VALOR],tabela_registros[MÊS],$AE$1,tabela_registros[DIA],reservafixaconsolidadoout[[#Headers],[8]],tabela_registros[REGISTRO],DADOS!$N$6,tabela_registros[TIPO],DADOS!$AJ$3,tabela_registros[CATEGORIA],reservafixaconsolidadoout[[#This Row],[ATUAL]])</f>
        <v>0</v>
      </c>
      <c r="M171" s="119" t="n">
        <f aca="false">SUMIFS(tabela_registros[VALOR],tabela_registros[MÊS],$AE$1,tabela_registros[DIA],reservafixaconsolidadoout[[#Headers],[9]],tabela_registros[REGISTRO],DADOS!$N$6,tabela_registros[TIPO],DADOS!$AJ$3,tabela_registros[CATEGORIA],reservafixaconsolidadoout[[#This Row],[ATUAL]])</f>
        <v>0</v>
      </c>
      <c r="N171" s="119" t="n">
        <f aca="false">SUMIFS(tabela_registros[VALOR],tabela_registros[MÊS],$AE$1,tabela_registros[DIA],reservafixaconsolidadoout[[#Headers],[10]],tabela_registros[REGISTRO],DADOS!$N$6,tabela_registros[TIPO],DADOS!$AJ$3,tabela_registros[CATEGORIA],reservafixaconsolidadoout[[#This Row],[ATUAL]])</f>
        <v>0</v>
      </c>
      <c r="O171" s="119" t="n">
        <f aca="false">SUMIFS(tabela_registros[VALOR],tabela_registros[MÊS],$AE$1,tabela_registros[DIA],reservafixaconsolidadoout[[#Headers],[11]],tabela_registros[REGISTRO],DADOS!$N$6,tabela_registros[TIPO],DADOS!$AJ$3,tabela_registros[CATEGORIA],reservafixaconsolidadoout[[#This Row],[ATUAL]])</f>
        <v>0</v>
      </c>
      <c r="P171" s="119" t="n">
        <f aca="false">SUMIFS(tabela_registros[VALOR],tabela_registros[MÊS],$AE$1,tabela_registros[DIA],reservafixaconsolidadoout[[#Headers],[12]],tabela_registros[REGISTRO],DADOS!$N$6,tabela_registros[TIPO],DADOS!$AJ$3,tabela_registros[CATEGORIA],reservafixaconsolidadoout[[#This Row],[ATUAL]])</f>
        <v>0</v>
      </c>
      <c r="Q171" s="119" t="n">
        <f aca="false">SUMIFS(tabela_registros[VALOR],tabela_registros[MÊS],$AE$1,tabela_registros[DIA],reservafixaconsolidadoout[[#Headers],[13]],tabela_registros[REGISTRO],DADOS!$N$6,tabela_registros[TIPO],DADOS!$AJ$3,tabela_registros[CATEGORIA],reservafixaconsolidadoout[[#This Row],[ATUAL]])</f>
        <v>0</v>
      </c>
      <c r="R171" s="119" t="n">
        <f aca="false">SUMIFS(tabela_registros[VALOR],tabela_registros[MÊS],$AE$1,tabela_registros[DIA],reservafixaconsolidadoout[[#Headers],[14]],tabela_registros[REGISTRO],DADOS!$N$6,tabela_registros[TIPO],DADOS!$AJ$3,tabela_registros[CATEGORIA],reservafixaconsolidadoout[[#This Row],[ATUAL]])</f>
        <v>0</v>
      </c>
      <c r="S171" s="119" t="n">
        <f aca="false">SUMIFS(tabela_registros[VALOR],tabela_registros[MÊS],$AE$1,tabela_registros[DIA],reservafixaconsolidadoout[[#Headers],[15]],tabela_registros[REGISTRO],DADOS!$N$6,tabela_registros[TIPO],DADOS!$AJ$3,tabela_registros[CATEGORIA],reservafixaconsolidadoout[[#This Row],[ATUAL]])</f>
        <v>0</v>
      </c>
      <c r="T171" s="119" t="n">
        <f aca="false">SUMIFS(tabela_registros[VALOR],tabela_registros[MÊS],$AE$1,tabela_registros[DIA],reservafixaconsolidadoout[[#Headers],[16]],tabela_registros[REGISTRO],DADOS!$N$6,tabela_registros[TIPO],DADOS!$AJ$3,tabela_registros[CATEGORIA],reservafixaconsolidadoout[[#This Row],[ATUAL]])</f>
        <v>0</v>
      </c>
      <c r="U171" s="119" t="n">
        <f aca="false">SUMIFS(tabela_registros[VALOR],tabela_registros[MÊS],$AE$1,tabela_registros[DIA],reservafixaconsolidadoout[[#Headers],[17]],tabela_registros[REGISTRO],DADOS!$N$6,tabela_registros[TIPO],DADOS!$AJ$3,tabela_registros[CATEGORIA],reservafixaconsolidadoout[[#This Row],[ATUAL]])</f>
        <v>0</v>
      </c>
      <c r="V171" s="119" t="n">
        <f aca="false">SUMIFS(tabela_registros[VALOR],tabela_registros[MÊS],$AE$1,tabela_registros[DIA],reservafixaconsolidadoout[[#Headers],[18]],tabela_registros[REGISTRO],DADOS!$N$6,tabela_registros[TIPO],DADOS!$AJ$3,tabela_registros[CATEGORIA],reservafixaconsolidadoout[[#This Row],[ATUAL]])</f>
        <v>0</v>
      </c>
      <c r="W171" s="119" t="n">
        <f aca="false">SUMIFS(tabela_registros[VALOR],tabela_registros[MÊS],$AE$1,tabela_registros[DIA],reservafixaconsolidadoout[[#Headers],[19]],tabela_registros[REGISTRO],DADOS!$N$6,tabela_registros[TIPO],DADOS!$AJ$3,tabela_registros[CATEGORIA],reservafixaconsolidadoout[[#This Row],[ATUAL]])</f>
        <v>0</v>
      </c>
      <c r="X171" s="119" t="n">
        <f aca="false">SUMIFS(tabela_registros[VALOR],tabela_registros[MÊS],$AE$1,tabela_registros[DIA],reservafixaconsolidadoout[[#Headers],[20]],tabela_registros[REGISTRO],DADOS!$N$6,tabela_registros[TIPO],DADOS!$AJ$3,tabela_registros[CATEGORIA],reservafixaconsolidadoout[[#This Row],[ATUAL]])</f>
        <v>0</v>
      </c>
      <c r="Y171" s="119" t="n">
        <f aca="false">SUMIFS(tabela_registros[VALOR],tabela_registros[MÊS],$AE$1,tabela_registros[DIA],reservafixaconsolidadoout[[#Headers],[21]],tabela_registros[REGISTRO],DADOS!$N$6,tabela_registros[TIPO],DADOS!$AJ$3,tabela_registros[CATEGORIA],reservafixaconsolidadoout[[#This Row],[ATUAL]])</f>
        <v>0</v>
      </c>
      <c r="Z171" s="119" t="n">
        <f aca="false">SUMIFS(tabela_registros[VALOR],tabela_registros[MÊS],$AE$1,tabela_registros[DIA],reservafixaconsolidadoout[[#Headers],[22]],tabela_registros[REGISTRO],DADOS!$N$6,tabela_registros[TIPO],DADOS!$AJ$3,tabela_registros[CATEGORIA],reservafixaconsolidadoout[[#This Row],[ATUAL]])</f>
        <v>0</v>
      </c>
      <c r="AA171" s="119" t="n">
        <f aca="false">SUMIFS(tabela_registros[VALOR],tabela_registros[MÊS],$AE$1,tabela_registros[DIA],reservafixaconsolidadoout[[#Headers],[23]],tabela_registros[REGISTRO],DADOS!$N$6,tabela_registros[TIPO],DADOS!$AJ$3,tabela_registros[CATEGORIA],reservafixaconsolidadoout[[#This Row],[ATUAL]])</f>
        <v>0</v>
      </c>
      <c r="AB171" s="119" t="n">
        <f aca="false">SUMIFS(tabela_registros[VALOR],tabela_registros[MÊS],$AE$1,tabela_registros[DIA],reservafixaconsolidadoout[[#Headers],[24]],tabela_registros[REGISTRO],DADOS!$N$6,tabela_registros[TIPO],DADOS!$AJ$3,tabela_registros[CATEGORIA],reservafixaconsolidadoout[[#This Row],[ATUAL]])</f>
        <v>0</v>
      </c>
      <c r="AC171" s="119" t="n">
        <f aca="false">SUMIFS(tabela_registros[VALOR],tabela_registros[MÊS],$AE$1,tabela_registros[DIA],reservafixaconsolidadoout[[#Headers],[25]],tabela_registros[REGISTRO],DADOS!$N$6,tabela_registros[TIPO],DADOS!$AJ$3,tabela_registros[CATEGORIA],reservafixaconsolidadoout[[#This Row],[ATUAL]])</f>
        <v>0</v>
      </c>
      <c r="AD171" s="119" t="n">
        <f aca="false">SUMIFS(tabela_registros[VALOR],tabela_registros[MÊS],$AE$1,tabela_registros[DIA],reservafixaconsolidadoout[[#Headers],[26]],tabela_registros[REGISTRO],DADOS!$N$6,tabela_registros[TIPO],DADOS!$AJ$3,tabela_registros[CATEGORIA],reservafixaconsolidadoout[[#This Row],[ATUAL]])</f>
        <v>0</v>
      </c>
      <c r="AE171" s="119" t="n">
        <f aca="false">SUMIFS(tabela_registros[VALOR],tabela_registros[MÊS],$AE$1,tabela_registros[DIA],reservafixaconsolidadoout[[#Headers],[27]],tabela_registros[REGISTRO],DADOS!$N$6,tabela_registros[TIPO],DADOS!$AJ$3,tabela_registros[CATEGORIA],reservafixaconsolidadoout[[#This Row],[ATUAL]])</f>
        <v>0</v>
      </c>
      <c r="AF171" s="119" t="n">
        <f aca="false">SUMIFS(tabela_registros[VALOR],tabela_registros[MÊS],$AE$1,tabela_registros[DIA],reservafixaconsolidadoout[[#Headers],[28]],tabela_registros[REGISTRO],DADOS!$N$6,tabela_registros[TIPO],DADOS!$AJ$3,tabela_registros[CATEGORIA],reservafixaconsolidadoout[[#This Row],[ATUAL]])</f>
        <v>0</v>
      </c>
      <c r="AG171" s="119" t="n">
        <f aca="false">SUMIFS(tabela_registros[VALOR],tabela_registros[MÊS],$AE$1,tabela_registros[DIA],reservafixaconsolidadoout[[#Headers],[29]],tabela_registros[REGISTRO],DADOS!$N$6,tabela_registros[TIPO],DADOS!$AJ$3,tabela_registros[CATEGORIA],reservafixaconsolidadoout[[#This Row],[ATUAL]])</f>
        <v>0</v>
      </c>
      <c r="AH171" s="119" t="n">
        <f aca="false">SUMIFS(tabela_registros[VALOR],tabela_registros[MÊS],$AE$1,tabela_registros[DIA],reservafixaconsolidadoout[[#Headers],[30]],tabela_registros[REGISTRO],DADOS!$N$6,tabela_registros[TIPO],DADOS!$AJ$3,tabela_registros[CATEGORIA],reservafixaconsolidadoout[[#This Row],[ATUAL]])</f>
        <v>0</v>
      </c>
      <c r="AI171" s="217" t="n">
        <f aca="false">SUMIFS(tabela_registros[VALOR],tabela_registros[MÊS],$AE$1,tabela_registros[DIA],reservafixaconsolidadoout[[#Headers],[31]],tabela_registros[REGISTRO],DADOS!$N$6,tabela_registros[TIPO],DADOS!$AJ$3,tabela_registros[CATEGORIA],reservafixaconsolidadoout[[#This Row],[ATUAL]])</f>
        <v>0</v>
      </c>
      <c r="AJ171" s="149" t="n">
        <f aca="false">SUM(reservafixaconsolidadoout[[#This Row],[1]:[31]])</f>
        <v>0</v>
      </c>
      <c r="AK171" s="165"/>
    </row>
    <row r="172" customFormat="false" ht="19.5" hidden="false" customHeight="true" outlineLevel="0" collapsed="false">
      <c r="B172" s="143"/>
      <c r="C172" s="144" t="str">
        <f aca="false">DADOS!$AL$7</f>
        <v>📝 EXTERIOR</v>
      </c>
      <c r="D172" s="145" t="str">
        <f aca="false">IF(reservafixaconsolidadoout[[#This Row],[TOTAL (R$)]]=0,"",IF(OR(reservafixaconsolidadoout[[#This Row],[TOTAL (R$)]]=LARGE($AJ$168:$AJ$177,1),reservafixaconsolidadoout[[#This Row],[TOTAL (R$)]]=LARGE($AJ$168:$AJ$177,2)),DADOS!$I$11,""))</f>
        <v/>
      </c>
      <c r="E172" s="148" t="n">
        <f aca="false">SUMIFS(tabela_registros[VALOR],tabela_registros[MÊS],$AE$1,tabela_registros[DIA],reservafixaconsolidadoout[[#Headers],[1]],tabela_registros[REGISTRO],DADOS!$N$6,tabela_registros[TIPO],DADOS!$AJ$3,tabela_registros[CATEGORIA],reservafixaconsolidadoout[[#This Row],[ATUAL]])</f>
        <v>0</v>
      </c>
      <c r="F172" s="119" t="n">
        <f aca="false">SUMIFS(tabela_registros[VALOR],tabela_registros[MÊS],$AE$1,tabela_registros[DIA],reservafixaconsolidadoout[[#Headers],[2]],tabela_registros[REGISTRO],DADOS!$N$6,tabela_registros[TIPO],DADOS!$AJ$3,tabela_registros[CATEGORIA],reservafixaconsolidadoout[[#This Row],[ATUAL]])</f>
        <v>0</v>
      </c>
      <c r="G172" s="119" t="n">
        <f aca="false">SUMIFS(tabela_registros[VALOR],tabela_registros[MÊS],$AE$1,tabela_registros[DIA],reservafixaconsolidadoout[[#Headers],[3]],tabela_registros[REGISTRO],DADOS!$N$6,tabela_registros[TIPO],DADOS!$AJ$3,tabela_registros[CATEGORIA],reservafixaconsolidadoout[[#This Row],[ATUAL]])</f>
        <v>0</v>
      </c>
      <c r="H172" s="119" t="n">
        <f aca="false">SUMIFS(tabela_registros[VALOR],tabela_registros[MÊS],$AE$1,tabela_registros[DIA],reservafixaconsolidadoout[[#Headers],[4]],tabela_registros[REGISTRO],DADOS!$N$6,tabela_registros[TIPO],DADOS!$AJ$3,tabela_registros[CATEGORIA],reservafixaconsolidadoout[[#This Row],[ATUAL]])</f>
        <v>0</v>
      </c>
      <c r="I172" s="119" t="n">
        <f aca="false">SUMIFS(tabela_registros[VALOR],tabela_registros[MÊS],$AE$1,tabela_registros[DIA],reservafixaconsolidadoout[[#Headers],[5]],tabela_registros[REGISTRO],DADOS!$N$6,tabela_registros[TIPO],DADOS!$AJ$3,tabela_registros[CATEGORIA],reservafixaconsolidadoout[[#This Row],[ATUAL]])</f>
        <v>0</v>
      </c>
      <c r="J172" s="119" t="n">
        <f aca="false">SUMIFS(tabela_registros[VALOR],tabela_registros[MÊS],$AE$1,tabela_registros[DIA],reservafixaconsolidadoout[[#Headers],[6]],tabela_registros[REGISTRO],DADOS!$N$6,tabela_registros[TIPO],DADOS!$AJ$3,tabela_registros[CATEGORIA],reservafixaconsolidadoout[[#This Row],[ATUAL]])</f>
        <v>0</v>
      </c>
      <c r="K172" s="119" t="n">
        <f aca="false">SUMIFS(tabela_registros[VALOR],tabela_registros[MÊS],$AE$1,tabela_registros[DIA],reservafixaconsolidadoout[[#Headers],[7]],tabela_registros[REGISTRO],DADOS!$N$6,tabela_registros[TIPO],DADOS!$AJ$3,tabela_registros[CATEGORIA],reservafixaconsolidadoout[[#This Row],[ATUAL]])</f>
        <v>0</v>
      </c>
      <c r="L172" s="119" t="n">
        <f aca="false">SUMIFS(tabela_registros[VALOR],tabela_registros[MÊS],$AE$1,tabela_registros[DIA],reservafixaconsolidadoout[[#Headers],[8]],tabela_registros[REGISTRO],DADOS!$N$6,tabela_registros[TIPO],DADOS!$AJ$3,tabela_registros[CATEGORIA],reservafixaconsolidadoout[[#This Row],[ATUAL]])</f>
        <v>0</v>
      </c>
      <c r="M172" s="119" t="n">
        <f aca="false">SUMIFS(tabela_registros[VALOR],tabela_registros[MÊS],$AE$1,tabela_registros[DIA],reservafixaconsolidadoout[[#Headers],[9]],tabela_registros[REGISTRO],DADOS!$N$6,tabela_registros[TIPO],DADOS!$AJ$3,tabela_registros[CATEGORIA],reservafixaconsolidadoout[[#This Row],[ATUAL]])</f>
        <v>0</v>
      </c>
      <c r="N172" s="119" t="n">
        <f aca="false">SUMIFS(tabela_registros[VALOR],tabela_registros[MÊS],$AE$1,tabela_registros[DIA],reservafixaconsolidadoout[[#Headers],[10]],tabela_registros[REGISTRO],DADOS!$N$6,tabela_registros[TIPO],DADOS!$AJ$3,tabela_registros[CATEGORIA],reservafixaconsolidadoout[[#This Row],[ATUAL]])</f>
        <v>0</v>
      </c>
      <c r="O172" s="119" t="n">
        <f aca="false">SUMIFS(tabela_registros[VALOR],tabela_registros[MÊS],$AE$1,tabela_registros[DIA],reservafixaconsolidadoout[[#Headers],[11]],tabela_registros[REGISTRO],DADOS!$N$6,tabela_registros[TIPO],DADOS!$AJ$3,tabela_registros[CATEGORIA],reservafixaconsolidadoout[[#This Row],[ATUAL]])</f>
        <v>0</v>
      </c>
      <c r="P172" s="119" t="n">
        <f aca="false">SUMIFS(tabela_registros[VALOR],tabela_registros[MÊS],$AE$1,tabela_registros[DIA],reservafixaconsolidadoout[[#Headers],[12]],tabela_registros[REGISTRO],DADOS!$N$6,tabela_registros[TIPO],DADOS!$AJ$3,tabela_registros[CATEGORIA],reservafixaconsolidadoout[[#This Row],[ATUAL]])</f>
        <v>0</v>
      </c>
      <c r="Q172" s="119" t="n">
        <f aca="false">SUMIFS(tabela_registros[VALOR],tabela_registros[MÊS],$AE$1,tabela_registros[DIA],reservafixaconsolidadoout[[#Headers],[13]],tabela_registros[REGISTRO],DADOS!$N$6,tabela_registros[TIPO],DADOS!$AJ$3,tabela_registros[CATEGORIA],reservafixaconsolidadoout[[#This Row],[ATUAL]])</f>
        <v>0</v>
      </c>
      <c r="R172" s="119" t="n">
        <f aca="false">SUMIFS(tabela_registros[VALOR],tabela_registros[MÊS],$AE$1,tabela_registros[DIA],reservafixaconsolidadoout[[#Headers],[14]],tabela_registros[REGISTRO],DADOS!$N$6,tabela_registros[TIPO],DADOS!$AJ$3,tabela_registros[CATEGORIA],reservafixaconsolidadoout[[#This Row],[ATUAL]])</f>
        <v>0</v>
      </c>
      <c r="S172" s="119" t="n">
        <f aca="false">SUMIFS(tabela_registros[VALOR],tabela_registros[MÊS],$AE$1,tabela_registros[DIA],reservafixaconsolidadoout[[#Headers],[15]],tabela_registros[REGISTRO],DADOS!$N$6,tabela_registros[TIPO],DADOS!$AJ$3,tabela_registros[CATEGORIA],reservafixaconsolidadoout[[#This Row],[ATUAL]])</f>
        <v>0</v>
      </c>
      <c r="T172" s="119" t="n">
        <f aca="false">SUMIFS(tabela_registros[VALOR],tabela_registros[MÊS],$AE$1,tabela_registros[DIA],reservafixaconsolidadoout[[#Headers],[16]],tabela_registros[REGISTRO],DADOS!$N$6,tabela_registros[TIPO],DADOS!$AJ$3,tabela_registros[CATEGORIA],reservafixaconsolidadoout[[#This Row],[ATUAL]])</f>
        <v>0</v>
      </c>
      <c r="U172" s="119" t="n">
        <f aca="false">SUMIFS(tabela_registros[VALOR],tabela_registros[MÊS],$AE$1,tabela_registros[DIA],reservafixaconsolidadoout[[#Headers],[17]],tabela_registros[REGISTRO],DADOS!$N$6,tabela_registros[TIPO],DADOS!$AJ$3,tabela_registros[CATEGORIA],reservafixaconsolidadoout[[#This Row],[ATUAL]])</f>
        <v>0</v>
      </c>
      <c r="V172" s="119" t="n">
        <f aca="false">SUMIFS(tabela_registros[VALOR],tabela_registros[MÊS],$AE$1,tabela_registros[DIA],reservafixaconsolidadoout[[#Headers],[18]],tabela_registros[REGISTRO],DADOS!$N$6,tabela_registros[TIPO],DADOS!$AJ$3,tabela_registros[CATEGORIA],reservafixaconsolidadoout[[#This Row],[ATUAL]])</f>
        <v>0</v>
      </c>
      <c r="W172" s="119" t="n">
        <f aca="false">SUMIFS(tabela_registros[VALOR],tabela_registros[MÊS],$AE$1,tabela_registros[DIA],reservafixaconsolidadoout[[#Headers],[19]],tabela_registros[REGISTRO],DADOS!$N$6,tabela_registros[TIPO],DADOS!$AJ$3,tabela_registros[CATEGORIA],reservafixaconsolidadoout[[#This Row],[ATUAL]])</f>
        <v>0</v>
      </c>
      <c r="X172" s="119" t="n">
        <f aca="false">SUMIFS(tabela_registros[VALOR],tabela_registros[MÊS],$AE$1,tabela_registros[DIA],reservafixaconsolidadoout[[#Headers],[20]],tabela_registros[REGISTRO],DADOS!$N$6,tabela_registros[TIPO],DADOS!$AJ$3,tabela_registros[CATEGORIA],reservafixaconsolidadoout[[#This Row],[ATUAL]])</f>
        <v>0</v>
      </c>
      <c r="Y172" s="119" t="n">
        <f aca="false">SUMIFS(tabela_registros[VALOR],tabela_registros[MÊS],$AE$1,tabela_registros[DIA],reservafixaconsolidadoout[[#Headers],[21]],tabela_registros[REGISTRO],DADOS!$N$6,tabela_registros[TIPO],DADOS!$AJ$3,tabela_registros[CATEGORIA],reservafixaconsolidadoout[[#This Row],[ATUAL]])</f>
        <v>0</v>
      </c>
      <c r="Z172" s="119" t="n">
        <f aca="false">SUMIFS(tabela_registros[VALOR],tabela_registros[MÊS],$AE$1,tabela_registros[DIA],reservafixaconsolidadoout[[#Headers],[22]],tabela_registros[REGISTRO],DADOS!$N$6,tabela_registros[TIPO],DADOS!$AJ$3,tabela_registros[CATEGORIA],reservafixaconsolidadoout[[#This Row],[ATUAL]])</f>
        <v>0</v>
      </c>
      <c r="AA172" s="119" t="n">
        <f aca="false">SUMIFS(tabela_registros[VALOR],tabela_registros[MÊS],$AE$1,tabela_registros[DIA],reservafixaconsolidadoout[[#Headers],[23]],tabela_registros[REGISTRO],DADOS!$N$6,tabela_registros[TIPO],DADOS!$AJ$3,tabela_registros[CATEGORIA],reservafixaconsolidadoout[[#This Row],[ATUAL]])</f>
        <v>0</v>
      </c>
      <c r="AB172" s="119" t="n">
        <f aca="false">SUMIFS(tabela_registros[VALOR],tabela_registros[MÊS],$AE$1,tabela_registros[DIA],reservafixaconsolidadoout[[#Headers],[24]],tabela_registros[REGISTRO],DADOS!$N$6,tabela_registros[TIPO],DADOS!$AJ$3,tabela_registros[CATEGORIA],reservafixaconsolidadoout[[#This Row],[ATUAL]])</f>
        <v>0</v>
      </c>
      <c r="AC172" s="119" t="n">
        <f aca="false">SUMIFS(tabela_registros[VALOR],tabela_registros[MÊS],$AE$1,tabela_registros[DIA],reservafixaconsolidadoout[[#Headers],[25]],tabela_registros[REGISTRO],DADOS!$N$6,tabela_registros[TIPO],DADOS!$AJ$3,tabela_registros[CATEGORIA],reservafixaconsolidadoout[[#This Row],[ATUAL]])</f>
        <v>0</v>
      </c>
      <c r="AD172" s="119" t="n">
        <f aca="false">SUMIFS(tabela_registros[VALOR],tabela_registros[MÊS],$AE$1,tabela_registros[DIA],reservafixaconsolidadoout[[#Headers],[26]],tabela_registros[REGISTRO],DADOS!$N$6,tabela_registros[TIPO],DADOS!$AJ$3,tabela_registros[CATEGORIA],reservafixaconsolidadoout[[#This Row],[ATUAL]])</f>
        <v>0</v>
      </c>
      <c r="AE172" s="119" t="n">
        <f aca="false">SUMIFS(tabela_registros[VALOR],tabela_registros[MÊS],$AE$1,tabela_registros[DIA],reservafixaconsolidadoout[[#Headers],[27]],tabela_registros[REGISTRO],DADOS!$N$6,tabela_registros[TIPO],DADOS!$AJ$3,tabela_registros[CATEGORIA],reservafixaconsolidadoout[[#This Row],[ATUAL]])</f>
        <v>0</v>
      </c>
      <c r="AF172" s="119" t="n">
        <f aca="false">SUMIFS(tabela_registros[VALOR],tabela_registros[MÊS],$AE$1,tabela_registros[DIA],reservafixaconsolidadoout[[#Headers],[28]],tabela_registros[REGISTRO],DADOS!$N$6,tabela_registros[TIPO],DADOS!$AJ$3,tabela_registros[CATEGORIA],reservafixaconsolidadoout[[#This Row],[ATUAL]])</f>
        <v>0</v>
      </c>
      <c r="AG172" s="119" t="n">
        <f aca="false">SUMIFS(tabela_registros[VALOR],tabela_registros[MÊS],$AE$1,tabela_registros[DIA],reservafixaconsolidadoout[[#Headers],[29]],tabela_registros[REGISTRO],DADOS!$N$6,tabela_registros[TIPO],DADOS!$AJ$3,tabela_registros[CATEGORIA],reservafixaconsolidadoout[[#This Row],[ATUAL]])</f>
        <v>0</v>
      </c>
      <c r="AH172" s="119" t="n">
        <f aca="false">SUMIFS(tabela_registros[VALOR],tabela_registros[MÊS],$AE$1,tabela_registros[DIA],reservafixaconsolidadoout[[#Headers],[30]],tabela_registros[REGISTRO],DADOS!$N$6,tabela_registros[TIPO],DADOS!$AJ$3,tabela_registros[CATEGORIA],reservafixaconsolidadoout[[#This Row],[ATUAL]])</f>
        <v>0</v>
      </c>
      <c r="AI172" s="217" t="n">
        <f aca="false">SUMIFS(tabela_registros[VALOR],tabela_registros[MÊS],$AE$1,tabela_registros[DIA],reservafixaconsolidadoout[[#Headers],[31]],tabela_registros[REGISTRO],DADOS!$N$6,tabela_registros[TIPO],DADOS!$AJ$3,tabela_registros[CATEGORIA],reservafixaconsolidadoout[[#This Row],[ATUAL]])</f>
        <v>0</v>
      </c>
      <c r="AJ172" s="149" t="n">
        <f aca="false">SUM(reservafixaconsolidadoout[[#This Row],[1]:[31]])</f>
        <v>0</v>
      </c>
      <c r="AK172" s="165"/>
    </row>
    <row r="173" customFormat="false" ht="19.5" hidden="false" customHeight="true" outlineLevel="0" collapsed="false">
      <c r="B173" s="143"/>
      <c r="C173" s="144" t="str">
        <f aca="false">DADOS!$AL$8</f>
        <v>📝 LC</v>
      </c>
      <c r="D173" s="145" t="str">
        <f aca="false">IF(reservafixaconsolidadoout[[#This Row],[TOTAL (R$)]]=0,"",IF(OR(reservafixaconsolidadoout[[#This Row],[TOTAL (R$)]]=LARGE($AJ$168:$AJ$177,1),reservafixaconsolidadoout[[#This Row],[TOTAL (R$)]]=LARGE($AJ$168:$AJ$177,2)),DADOS!$I$11,""))</f>
        <v/>
      </c>
      <c r="E173" s="148" t="n">
        <f aca="false">SUMIFS(tabela_registros[VALOR],tabela_registros[MÊS],$AE$1,tabela_registros[DIA],reservafixaconsolidadoout[[#Headers],[1]],tabela_registros[REGISTRO],DADOS!$N$6,tabela_registros[TIPO],DADOS!$AJ$3,tabela_registros[CATEGORIA],reservafixaconsolidadoout[[#This Row],[ATUAL]])</f>
        <v>0</v>
      </c>
      <c r="F173" s="119" t="n">
        <f aca="false">SUMIFS(tabela_registros[VALOR],tabela_registros[MÊS],$AE$1,tabela_registros[DIA],reservafixaconsolidadoout[[#Headers],[2]],tabela_registros[REGISTRO],DADOS!$N$6,tabela_registros[TIPO],DADOS!$AJ$3,tabela_registros[CATEGORIA],reservafixaconsolidadoout[[#This Row],[ATUAL]])</f>
        <v>0</v>
      </c>
      <c r="G173" s="119" t="n">
        <f aca="false">SUMIFS(tabela_registros[VALOR],tabela_registros[MÊS],$AE$1,tabela_registros[DIA],reservafixaconsolidadoout[[#Headers],[3]],tabela_registros[REGISTRO],DADOS!$N$6,tabela_registros[TIPO],DADOS!$AJ$3,tabela_registros[CATEGORIA],reservafixaconsolidadoout[[#This Row],[ATUAL]])</f>
        <v>0</v>
      </c>
      <c r="H173" s="119" t="n">
        <f aca="false">SUMIFS(tabela_registros[VALOR],tabela_registros[MÊS],$AE$1,tabela_registros[DIA],reservafixaconsolidadoout[[#Headers],[4]],tabela_registros[REGISTRO],DADOS!$N$6,tabela_registros[TIPO],DADOS!$AJ$3,tabela_registros[CATEGORIA],reservafixaconsolidadoout[[#This Row],[ATUAL]])</f>
        <v>0</v>
      </c>
      <c r="I173" s="119" t="n">
        <f aca="false">SUMIFS(tabela_registros[VALOR],tabela_registros[MÊS],$AE$1,tabela_registros[DIA],reservafixaconsolidadoout[[#Headers],[5]],tabela_registros[REGISTRO],DADOS!$N$6,tabela_registros[TIPO],DADOS!$AJ$3,tabela_registros[CATEGORIA],reservafixaconsolidadoout[[#This Row],[ATUAL]])</f>
        <v>0</v>
      </c>
      <c r="J173" s="119" t="n">
        <f aca="false">SUMIFS(tabela_registros[VALOR],tabela_registros[MÊS],$AE$1,tabela_registros[DIA],reservafixaconsolidadoout[[#Headers],[6]],tabela_registros[REGISTRO],DADOS!$N$6,tabela_registros[TIPO],DADOS!$AJ$3,tabela_registros[CATEGORIA],reservafixaconsolidadoout[[#This Row],[ATUAL]])</f>
        <v>0</v>
      </c>
      <c r="K173" s="119" t="n">
        <f aca="false">SUMIFS(tabela_registros[VALOR],tabela_registros[MÊS],$AE$1,tabela_registros[DIA],reservafixaconsolidadoout[[#Headers],[7]],tabela_registros[REGISTRO],DADOS!$N$6,tabela_registros[TIPO],DADOS!$AJ$3,tabela_registros[CATEGORIA],reservafixaconsolidadoout[[#This Row],[ATUAL]])</f>
        <v>0</v>
      </c>
      <c r="L173" s="119" t="n">
        <f aca="false">SUMIFS(tabela_registros[VALOR],tabela_registros[MÊS],$AE$1,tabela_registros[DIA],reservafixaconsolidadoout[[#Headers],[8]],tabela_registros[REGISTRO],DADOS!$N$6,tabela_registros[TIPO],DADOS!$AJ$3,tabela_registros[CATEGORIA],reservafixaconsolidadoout[[#This Row],[ATUAL]])</f>
        <v>0</v>
      </c>
      <c r="M173" s="119" t="n">
        <f aca="false">SUMIFS(tabela_registros[VALOR],tabela_registros[MÊS],$AE$1,tabela_registros[DIA],reservafixaconsolidadoout[[#Headers],[9]],tabela_registros[REGISTRO],DADOS!$N$6,tabela_registros[TIPO],DADOS!$AJ$3,tabela_registros[CATEGORIA],reservafixaconsolidadoout[[#This Row],[ATUAL]])</f>
        <v>0</v>
      </c>
      <c r="N173" s="119" t="n">
        <f aca="false">SUMIFS(tabela_registros[VALOR],tabela_registros[MÊS],$AE$1,tabela_registros[DIA],reservafixaconsolidadoout[[#Headers],[10]],tabela_registros[REGISTRO],DADOS!$N$6,tabela_registros[TIPO],DADOS!$AJ$3,tabela_registros[CATEGORIA],reservafixaconsolidadoout[[#This Row],[ATUAL]])</f>
        <v>0</v>
      </c>
      <c r="O173" s="119" t="n">
        <f aca="false">SUMIFS(tabela_registros[VALOR],tabela_registros[MÊS],$AE$1,tabela_registros[DIA],reservafixaconsolidadoout[[#Headers],[11]],tabela_registros[REGISTRO],DADOS!$N$6,tabela_registros[TIPO],DADOS!$AJ$3,tabela_registros[CATEGORIA],reservafixaconsolidadoout[[#This Row],[ATUAL]])</f>
        <v>0</v>
      </c>
      <c r="P173" s="119" t="n">
        <f aca="false">SUMIFS(tabela_registros[VALOR],tabela_registros[MÊS],$AE$1,tabela_registros[DIA],reservafixaconsolidadoout[[#Headers],[12]],tabela_registros[REGISTRO],DADOS!$N$6,tabela_registros[TIPO],DADOS!$AJ$3,tabela_registros[CATEGORIA],reservafixaconsolidadoout[[#This Row],[ATUAL]])</f>
        <v>0</v>
      </c>
      <c r="Q173" s="119" t="n">
        <f aca="false">SUMIFS(tabela_registros[VALOR],tabela_registros[MÊS],$AE$1,tabela_registros[DIA],reservafixaconsolidadoout[[#Headers],[13]],tabela_registros[REGISTRO],DADOS!$N$6,tabela_registros[TIPO],DADOS!$AJ$3,tabela_registros[CATEGORIA],reservafixaconsolidadoout[[#This Row],[ATUAL]])</f>
        <v>0</v>
      </c>
      <c r="R173" s="119" t="n">
        <f aca="false">SUMIFS(tabela_registros[VALOR],tabela_registros[MÊS],$AE$1,tabela_registros[DIA],reservafixaconsolidadoout[[#Headers],[14]],tabela_registros[REGISTRO],DADOS!$N$6,tabela_registros[TIPO],DADOS!$AJ$3,tabela_registros[CATEGORIA],reservafixaconsolidadoout[[#This Row],[ATUAL]])</f>
        <v>0</v>
      </c>
      <c r="S173" s="119" t="n">
        <f aca="false">SUMIFS(tabela_registros[VALOR],tabela_registros[MÊS],$AE$1,tabela_registros[DIA],reservafixaconsolidadoout[[#Headers],[15]],tabela_registros[REGISTRO],DADOS!$N$6,tabela_registros[TIPO],DADOS!$AJ$3,tabela_registros[CATEGORIA],reservafixaconsolidadoout[[#This Row],[ATUAL]])</f>
        <v>0</v>
      </c>
      <c r="T173" s="119" t="n">
        <f aca="false">SUMIFS(tabela_registros[VALOR],tabela_registros[MÊS],$AE$1,tabela_registros[DIA],reservafixaconsolidadoout[[#Headers],[16]],tabela_registros[REGISTRO],DADOS!$N$6,tabela_registros[TIPO],DADOS!$AJ$3,tabela_registros[CATEGORIA],reservafixaconsolidadoout[[#This Row],[ATUAL]])</f>
        <v>0</v>
      </c>
      <c r="U173" s="119" t="n">
        <f aca="false">SUMIFS(tabela_registros[VALOR],tabela_registros[MÊS],$AE$1,tabela_registros[DIA],reservafixaconsolidadoout[[#Headers],[17]],tabela_registros[REGISTRO],DADOS!$N$6,tabela_registros[TIPO],DADOS!$AJ$3,tabela_registros[CATEGORIA],reservafixaconsolidadoout[[#This Row],[ATUAL]])</f>
        <v>0</v>
      </c>
      <c r="V173" s="119" t="n">
        <f aca="false">SUMIFS(tabela_registros[VALOR],tabela_registros[MÊS],$AE$1,tabela_registros[DIA],reservafixaconsolidadoout[[#Headers],[18]],tabela_registros[REGISTRO],DADOS!$N$6,tabela_registros[TIPO],DADOS!$AJ$3,tabela_registros[CATEGORIA],reservafixaconsolidadoout[[#This Row],[ATUAL]])</f>
        <v>0</v>
      </c>
      <c r="W173" s="119" t="n">
        <f aca="false">SUMIFS(tabela_registros[VALOR],tabela_registros[MÊS],$AE$1,tabela_registros[DIA],reservafixaconsolidadoout[[#Headers],[19]],tabela_registros[REGISTRO],DADOS!$N$6,tabela_registros[TIPO],DADOS!$AJ$3,tabela_registros[CATEGORIA],reservafixaconsolidadoout[[#This Row],[ATUAL]])</f>
        <v>0</v>
      </c>
      <c r="X173" s="119" t="n">
        <f aca="false">SUMIFS(tabela_registros[VALOR],tabela_registros[MÊS],$AE$1,tabela_registros[DIA],reservafixaconsolidadoout[[#Headers],[20]],tabela_registros[REGISTRO],DADOS!$N$6,tabela_registros[TIPO],DADOS!$AJ$3,tabela_registros[CATEGORIA],reservafixaconsolidadoout[[#This Row],[ATUAL]])</f>
        <v>0</v>
      </c>
      <c r="Y173" s="119" t="n">
        <f aca="false">SUMIFS(tabela_registros[VALOR],tabela_registros[MÊS],$AE$1,tabela_registros[DIA],reservafixaconsolidadoout[[#Headers],[21]],tabela_registros[REGISTRO],DADOS!$N$6,tabela_registros[TIPO],DADOS!$AJ$3,tabela_registros[CATEGORIA],reservafixaconsolidadoout[[#This Row],[ATUAL]])</f>
        <v>0</v>
      </c>
      <c r="Z173" s="119" t="n">
        <f aca="false">SUMIFS(tabela_registros[VALOR],tabela_registros[MÊS],$AE$1,tabela_registros[DIA],reservafixaconsolidadoout[[#Headers],[22]],tabela_registros[REGISTRO],DADOS!$N$6,tabela_registros[TIPO],DADOS!$AJ$3,tabela_registros[CATEGORIA],reservafixaconsolidadoout[[#This Row],[ATUAL]])</f>
        <v>0</v>
      </c>
      <c r="AA173" s="119" t="n">
        <f aca="false">SUMIFS(tabela_registros[VALOR],tabela_registros[MÊS],$AE$1,tabela_registros[DIA],reservafixaconsolidadoout[[#Headers],[23]],tabela_registros[REGISTRO],DADOS!$N$6,tabela_registros[TIPO],DADOS!$AJ$3,tabela_registros[CATEGORIA],reservafixaconsolidadoout[[#This Row],[ATUAL]])</f>
        <v>0</v>
      </c>
      <c r="AB173" s="119" t="n">
        <f aca="false">SUMIFS(tabela_registros[VALOR],tabela_registros[MÊS],$AE$1,tabela_registros[DIA],reservafixaconsolidadoout[[#Headers],[24]],tabela_registros[REGISTRO],DADOS!$N$6,tabela_registros[TIPO],DADOS!$AJ$3,tabela_registros[CATEGORIA],reservafixaconsolidadoout[[#This Row],[ATUAL]])</f>
        <v>0</v>
      </c>
      <c r="AC173" s="119" t="n">
        <f aca="false">SUMIFS(tabela_registros[VALOR],tabela_registros[MÊS],$AE$1,tabela_registros[DIA],reservafixaconsolidadoout[[#Headers],[25]],tabela_registros[REGISTRO],DADOS!$N$6,tabela_registros[TIPO],DADOS!$AJ$3,tabela_registros[CATEGORIA],reservafixaconsolidadoout[[#This Row],[ATUAL]])</f>
        <v>0</v>
      </c>
      <c r="AD173" s="119" t="n">
        <f aca="false">SUMIFS(tabela_registros[VALOR],tabela_registros[MÊS],$AE$1,tabela_registros[DIA],reservafixaconsolidadoout[[#Headers],[26]],tabela_registros[REGISTRO],DADOS!$N$6,tabela_registros[TIPO],DADOS!$AJ$3,tabela_registros[CATEGORIA],reservafixaconsolidadoout[[#This Row],[ATUAL]])</f>
        <v>0</v>
      </c>
      <c r="AE173" s="119" t="n">
        <f aca="false">SUMIFS(tabela_registros[VALOR],tabela_registros[MÊS],$AE$1,tabela_registros[DIA],reservafixaconsolidadoout[[#Headers],[27]],tabela_registros[REGISTRO],DADOS!$N$6,tabela_registros[TIPO],DADOS!$AJ$3,tabela_registros[CATEGORIA],reservafixaconsolidadoout[[#This Row],[ATUAL]])</f>
        <v>0</v>
      </c>
      <c r="AF173" s="119" t="n">
        <f aca="false">SUMIFS(tabela_registros[VALOR],tabela_registros[MÊS],$AE$1,tabela_registros[DIA],reservafixaconsolidadoout[[#Headers],[28]],tabela_registros[REGISTRO],DADOS!$N$6,tabela_registros[TIPO],DADOS!$AJ$3,tabela_registros[CATEGORIA],reservafixaconsolidadoout[[#This Row],[ATUAL]])</f>
        <v>0</v>
      </c>
      <c r="AG173" s="119" t="n">
        <f aca="false">SUMIFS(tabela_registros[VALOR],tabela_registros[MÊS],$AE$1,tabela_registros[DIA],reservafixaconsolidadoout[[#Headers],[29]],tabela_registros[REGISTRO],DADOS!$N$6,tabela_registros[TIPO],DADOS!$AJ$3,tabela_registros[CATEGORIA],reservafixaconsolidadoout[[#This Row],[ATUAL]])</f>
        <v>0</v>
      </c>
      <c r="AH173" s="119" t="n">
        <f aca="false">SUMIFS(tabela_registros[VALOR],tabela_registros[MÊS],$AE$1,tabela_registros[DIA],reservafixaconsolidadoout[[#Headers],[30]],tabela_registros[REGISTRO],DADOS!$N$6,tabela_registros[TIPO],DADOS!$AJ$3,tabela_registros[CATEGORIA],reservafixaconsolidadoout[[#This Row],[ATUAL]])</f>
        <v>0</v>
      </c>
      <c r="AI173" s="217" t="n">
        <f aca="false">SUMIFS(tabela_registros[VALOR],tabela_registros[MÊS],$AE$1,tabela_registros[DIA],reservafixaconsolidadoout[[#Headers],[31]],tabela_registros[REGISTRO],DADOS!$N$6,tabela_registros[TIPO],DADOS!$AJ$3,tabela_registros[CATEGORIA],reservafixaconsolidadoout[[#This Row],[ATUAL]])</f>
        <v>0</v>
      </c>
      <c r="AJ173" s="149" t="n">
        <f aca="false">SUM(reservafixaconsolidadoout[[#This Row],[1]:[31]])</f>
        <v>0</v>
      </c>
      <c r="AK173" s="165"/>
    </row>
    <row r="174" customFormat="false" ht="19.5" hidden="false" customHeight="true" outlineLevel="0" collapsed="false">
      <c r="B174" s="143"/>
      <c r="C174" s="144" t="str">
        <f aca="false">DADOS!$AL$9</f>
        <v>📝 LCA</v>
      </c>
      <c r="D174" s="145" t="str">
        <f aca="false">IF(reservafixaconsolidadoout[[#This Row],[TOTAL (R$)]]=0,"",IF(OR(reservafixaconsolidadoout[[#This Row],[TOTAL (R$)]]=LARGE($AJ$168:$AJ$177,1),reservafixaconsolidadoout[[#This Row],[TOTAL (R$)]]=LARGE($AJ$168:$AJ$177,2)),DADOS!$I$11,""))</f>
        <v/>
      </c>
      <c r="E174" s="148" t="n">
        <f aca="false">SUMIFS(tabela_registros[VALOR],tabela_registros[MÊS],$AE$1,tabela_registros[DIA],reservafixaconsolidadoout[[#Headers],[1]],tabela_registros[REGISTRO],DADOS!$N$6,tabela_registros[TIPO],DADOS!$AJ$3,tabela_registros[CATEGORIA],reservafixaconsolidadoout[[#This Row],[ATUAL]])</f>
        <v>0</v>
      </c>
      <c r="F174" s="119" t="n">
        <f aca="false">SUMIFS(tabela_registros[VALOR],tabela_registros[MÊS],$AE$1,tabela_registros[DIA],reservafixaconsolidadoout[[#Headers],[2]],tabela_registros[REGISTRO],DADOS!$N$6,tabela_registros[TIPO],DADOS!$AJ$3,tabela_registros[CATEGORIA],reservafixaconsolidadoout[[#This Row],[ATUAL]])</f>
        <v>0</v>
      </c>
      <c r="G174" s="119" t="n">
        <f aca="false">SUMIFS(tabela_registros[VALOR],tabela_registros[MÊS],$AE$1,tabela_registros[DIA],reservafixaconsolidadoout[[#Headers],[3]],tabela_registros[REGISTRO],DADOS!$N$6,tabela_registros[TIPO],DADOS!$AJ$3,tabela_registros[CATEGORIA],reservafixaconsolidadoout[[#This Row],[ATUAL]])</f>
        <v>0</v>
      </c>
      <c r="H174" s="119" t="n">
        <f aca="false">SUMIFS(tabela_registros[VALOR],tabela_registros[MÊS],$AE$1,tabela_registros[DIA],reservafixaconsolidadoout[[#Headers],[4]],tabela_registros[REGISTRO],DADOS!$N$6,tabela_registros[TIPO],DADOS!$AJ$3,tabela_registros[CATEGORIA],reservafixaconsolidadoout[[#This Row],[ATUAL]])</f>
        <v>0</v>
      </c>
      <c r="I174" s="119" t="n">
        <f aca="false">SUMIFS(tabela_registros[VALOR],tabela_registros[MÊS],$AE$1,tabela_registros[DIA],reservafixaconsolidadoout[[#Headers],[5]],tabela_registros[REGISTRO],DADOS!$N$6,tabela_registros[TIPO],DADOS!$AJ$3,tabela_registros[CATEGORIA],reservafixaconsolidadoout[[#This Row],[ATUAL]])</f>
        <v>0</v>
      </c>
      <c r="J174" s="119" t="n">
        <f aca="false">SUMIFS(tabela_registros[VALOR],tabela_registros[MÊS],$AE$1,tabela_registros[DIA],reservafixaconsolidadoout[[#Headers],[6]],tabela_registros[REGISTRO],DADOS!$N$6,tabela_registros[TIPO],DADOS!$AJ$3,tabela_registros[CATEGORIA],reservafixaconsolidadoout[[#This Row],[ATUAL]])</f>
        <v>0</v>
      </c>
      <c r="K174" s="119" t="n">
        <f aca="false">SUMIFS(tabela_registros[VALOR],tabela_registros[MÊS],$AE$1,tabela_registros[DIA],reservafixaconsolidadoout[[#Headers],[7]],tabela_registros[REGISTRO],DADOS!$N$6,tabela_registros[TIPO],DADOS!$AJ$3,tabela_registros[CATEGORIA],reservafixaconsolidadoout[[#This Row],[ATUAL]])</f>
        <v>0</v>
      </c>
      <c r="L174" s="119" t="n">
        <f aca="false">SUMIFS(tabela_registros[VALOR],tabela_registros[MÊS],$AE$1,tabela_registros[DIA],reservafixaconsolidadoout[[#Headers],[8]],tabela_registros[REGISTRO],DADOS!$N$6,tabela_registros[TIPO],DADOS!$AJ$3,tabela_registros[CATEGORIA],reservafixaconsolidadoout[[#This Row],[ATUAL]])</f>
        <v>0</v>
      </c>
      <c r="M174" s="119" t="n">
        <f aca="false">SUMIFS(tabela_registros[VALOR],tabela_registros[MÊS],$AE$1,tabela_registros[DIA],reservafixaconsolidadoout[[#Headers],[9]],tabela_registros[REGISTRO],DADOS!$N$6,tabela_registros[TIPO],DADOS!$AJ$3,tabela_registros[CATEGORIA],reservafixaconsolidadoout[[#This Row],[ATUAL]])</f>
        <v>0</v>
      </c>
      <c r="N174" s="119" t="n">
        <f aca="false">SUMIFS(tabela_registros[VALOR],tabela_registros[MÊS],$AE$1,tabela_registros[DIA],reservafixaconsolidadoout[[#Headers],[10]],tabela_registros[REGISTRO],DADOS!$N$6,tabela_registros[TIPO],DADOS!$AJ$3,tabela_registros[CATEGORIA],reservafixaconsolidadoout[[#This Row],[ATUAL]])</f>
        <v>0</v>
      </c>
      <c r="O174" s="119" t="n">
        <f aca="false">SUMIFS(tabela_registros[VALOR],tabela_registros[MÊS],$AE$1,tabela_registros[DIA],reservafixaconsolidadoout[[#Headers],[11]],tabela_registros[REGISTRO],DADOS!$N$6,tabela_registros[TIPO],DADOS!$AJ$3,tabela_registros[CATEGORIA],reservafixaconsolidadoout[[#This Row],[ATUAL]])</f>
        <v>0</v>
      </c>
      <c r="P174" s="119" t="n">
        <f aca="false">SUMIFS(tabela_registros[VALOR],tabela_registros[MÊS],$AE$1,tabela_registros[DIA],reservafixaconsolidadoout[[#Headers],[12]],tabela_registros[REGISTRO],DADOS!$N$6,tabela_registros[TIPO],DADOS!$AJ$3,tabela_registros[CATEGORIA],reservafixaconsolidadoout[[#This Row],[ATUAL]])</f>
        <v>0</v>
      </c>
      <c r="Q174" s="119" t="n">
        <f aca="false">SUMIFS(tabela_registros[VALOR],tabela_registros[MÊS],$AE$1,tabela_registros[DIA],reservafixaconsolidadoout[[#Headers],[13]],tabela_registros[REGISTRO],DADOS!$N$6,tabela_registros[TIPO],DADOS!$AJ$3,tabela_registros[CATEGORIA],reservafixaconsolidadoout[[#This Row],[ATUAL]])</f>
        <v>0</v>
      </c>
      <c r="R174" s="119" t="n">
        <f aca="false">SUMIFS(tabela_registros[VALOR],tabela_registros[MÊS],$AE$1,tabela_registros[DIA],reservafixaconsolidadoout[[#Headers],[14]],tabela_registros[REGISTRO],DADOS!$N$6,tabela_registros[TIPO],DADOS!$AJ$3,tabela_registros[CATEGORIA],reservafixaconsolidadoout[[#This Row],[ATUAL]])</f>
        <v>0</v>
      </c>
      <c r="S174" s="119" t="n">
        <f aca="false">SUMIFS(tabela_registros[VALOR],tabela_registros[MÊS],$AE$1,tabela_registros[DIA],reservafixaconsolidadoout[[#Headers],[15]],tabela_registros[REGISTRO],DADOS!$N$6,tabela_registros[TIPO],DADOS!$AJ$3,tabela_registros[CATEGORIA],reservafixaconsolidadoout[[#This Row],[ATUAL]])</f>
        <v>0</v>
      </c>
      <c r="T174" s="119" t="n">
        <f aca="false">SUMIFS(tabela_registros[VALOR],tabela_registros[MÊS],$AE$1,tabela_registros[DIA],reservafixaconsolidadoout[[#Headers],[16]],tabela_registros[REGISTRO],DADOS!$N$6,tabela_registros[TIPO],DADOS!$AJ$3,tabela_registros[CATEGORIA],reservafixaconsolidadoout[[#This Row],[ATUAL]])</f>
        <v>0</v>
      </c>
      <c r="U174" s="119" t="n">
        <f aca="false">SUMIFS(tabela_registros[VALOR],tabela_registros[MÊS],$AE$1,tabela_registros[DIA],reservafixaconsolidadoout[[#Headers],[17]],tabela_registros[REGISTRO],DADOS!$N$6,tabela_registros[TIPO],DADOS!$AJ$3,tabela_registros[CATEGORIA],reservafixaconsolidadoout[[#This Row],[ATUAL]])</f>
        <v>0</v>
      </c>
      <c r="V174" s="119" t="n">
        <f aca="false">SUMIFS(tabela_registros[VALOR],tabela_registros[MÊS],$AE$1,tabela_registros[DIA],reservafixaconsolidadoout[[#Headers],[18]],tabela_registros[REGISTRO],DADOS!$N$6,tabela_registros[TIPO],DADOS!$AJ$3,tabela_registros[CATEGORIA],reservafixaconsolidadoout[[#This Row],[ATUAL]])</f>
        <v>0</v>
      </c>
      <c r="W174" s="119" t="n">
        <f aca="false">SUMIFS(tabela_registros[VALOR],tabela_registros[MÊS],$AE$1,tabela_registros[DIA],reservafixaconsolidadoout[[#Headers],[19]],tabela_registros[REGISTRO],DADOS!$N$6,tabela_registros[TIPO],DADOS!$AJ$3,tabela_registros[CATEGORIA],reservafixaconsolidadoout[[#This Row],[ATUAL]])</f>
        <v>0</v>
      </c>
      <c r="X174" s="119" t="n">
        <f aca="false">SUMIFS(tabela_registros[VALOR],tabela_registros[MÊS],$AE$1,tabela_registros[DIA],reservafixaconsolidadoout[[#Headers],[20]],tabela_registros[REGISTRO],DADOS!$N$6,tabela_registros[TIPO],DADOS!$AJ$3,tabela_registros[CATEGORIA],reservafixaconsolidadoout[[#This Row],[ATUAL]])</f>
        <v>0</v>
      </c>
      <c r="Y174" s="119" t="n">
        <f aca="false">SUMIFS(tabela_registros[VALOR],tabela_registros[MÊS],$AE$1,tabela_registros[DIA],reservafixaconsolidadoout[[#Headers],[21]],tabela_registros[REGISTRO],DADOS!$N$6,tabela_registros[TIPO],DADOS!$AJ$3,tabela_registros[CATEGORIA],reservafixaconsolidadoout[[#This Row],[ATUAL]])</f>
        <v>0</v>
      </c>
      <c r="Z174" s="119" t="n">
        <f aca="false">SUMIFS(tabela_registros[VALOR],tabela_registros[MÊS],$AE$1,tabela_registros[DIA],reservafixaconsolidadoout[[#Headers],[22]],tabela_registros[REGISTRO],DADOS!$N$6,tabela_registros[TIPO],DADOS!$AJ$3,tabela_registros[CATEGORIA],reservafixaconsolidadoout[[#This Row],[ATUAL]])</f>
        <v>0</v>
      </c>
      <c r="AA174" s="119" t="n">
        <f aca="false">SUMIFS(tabela_registros[VALOR],tabela_registros[MÊS],$AE$1,tabela_registros[DIA],reservafixaconsolidadoout[[#Headers],[23]],tabela_registros[REGISTRO],DADOS!$N$6,tabela_registros[TIPO],DADOS!$AJ$3,tabela_registros[CATEGORIA],reservafixaconsolidadoout[[#This Row],[ATUAL]])</f>
        <v>0</v>
      </c>
      <c r="AB174" s="119" t="n">
        <f aca="false">SUMIFS(tabela_registros[VALOR],tabela_registros[MÊS],$AE$1,tabela_registros[DIA],reservafixaconsolidadoout[[#Headers],[24]],tabela_registros[REGISTRO],DADOS!$N$6,tabela_registros[TIPO],DADOS!$AJ$3,tabela_registros[CATEGORIA],reservafixaconsolidadoout[[#This Row],[ATUAL]])</f>
        <v>0</v>
      </c>
      <c r="AC174" s="119" t="n">
        <f aca="false">SUMIFS(tabela_registros[VALOR],tabela_registros[MÊS],$AE$1,tabela_registros[DIA],reservafixaconsolidadoout[[#Headers],[25]],tabela_registros[REGISTRO],DADOS!$N$6,tabela_registros[TIPO],DADOS!$AJ$3,tabela_registros[CATEGORIA],reservafixaconsolidadoout[[#This Row],[ATUAL]])</f>
        <v>0</v>
      </c>
      <c r="AD174" s="119" t="n">
        <f aca="false">SUMIFS(tabela_registros[VALOR],tabela_registros[MÊS],$AE$1,tabela_registros[DIA],reservafixaconsolidadoout[[#Headers],[26]],tabela_registros[REGISTRO],DADOS!$N$6,tabela_registros[TIPO],DADOS!$AJ$3,tabela_registros[CATEGORIA],reservafixaconsolidadoout[[#This Row],[ATUAL]])</f>
        <v>0</v>
      </c>
      <c r="AE174" s="119" t="n">
        <f aca="false">SUMIFS(tabela_registros[VALOR],tabela_registros[MÊS],$AE$1,tabela_registros[DIA],reservafixaconsolidadoout[[#Headers],[27]],tabela_registros[REGISTRO],DADOS!$N$6,tabela_registros[TIPO],DADOS!$AJ$3,tabela_registros[CATEGORIA],reservafixaconsolidadoout[[#This Row],[ATUAL]])</f>
        <v>0</v>
      </c>
      <c r="AF174" s="119" t="n">
        <f aca="false">SUMIFS(tabela_registros[VALOR],tabela_registros[MÊS],$AE$1,tabela_registros[DIA],reservafixaconsolidadoout[[#Headers],[28]],tabela_registros[REGISTRO],DADOS!$N$6,tabela_registros[TIPO],DADOS!$AJ$3,tabela_registros[CATEGORIA],reservafixaconsolidadoout[[#This Row],[ATUAL]])</f>
        <v>0</v>
      </c>
      <c r="AG174" s="119" t="n">
        <f aca="false">SUMIFS(tabela_registros[VALOR],tabela_registros[MÊS],$AE$1,tabela_registros[DIA],reservafixaconsolidadoout[[#Headers],[29]],tabela_registros[REGISTRO],DADOS!$N$6,tabela_registros[TIPO],DADOS!$AJ$3,tabela_registros[CATEGORIA],reservafixaconsolidadoout[[#This Row],[ATUAL]])</f>
        <v>0</v>
      </c>
      <c r="AH174" s="119" t="n">
        <f aca="false">SUMIFS(tabela_registros[VALOR],tabela_registros[MÊS],$AE$1,tabela_registros[DIA],reservafixaconsolidadoout[[#Headers],[30]],tabela_registros[REGISTRO],DADOS!$N$6,tabela_registros[TIPO],DADOS!$AJ$3,tabela_registros[CATEGORIA],reservafixaconsolidadoout[[#This Row],[ATUAL]])</f>
        <v>0</v>
      </c>
      <c r="AI174" s="217" t="n">
        <f aca="false">SUMIFS(tabela_registros[VALOR],tabela_registros[MÊS],$AE$1,tabela_registros[DIA],reservafixaconsolidadoout[[#Headers],[31]],tabela_registros[REGISTRO],DADOS!$N$6,tabela_registros[TIPO],DADOS!$AJ$3,tabela_registros[CATEGORIA],reservafixaconsolidadoout[[#This Row],[ATUAL]])</f>
        <v>0</v>
      </c>
      <c r="AJ174" s="149" t="n">
        <f aca="false">SUM(reservafixaconsolidadoout[[#This Row],[1]:[31]])</f>
        <v>0</v>
      </c>
      <c r="AK174" s="165"/>
    </row>
    <row r="175" customFormat="false" ht="19.5" hidden="false" customHeight="true" outlineLevel="0" collapsed="false">
      <c r="B175" s="143"/>
      <c r="C175" s="144" t="str">
        <f aca="false">DADOS!$AL$10</f>
        <v>📝 LCI</v>
      </c>
      <c r="D175" s="145" t="str">
        <f aca="false">IF(reservafixaconsolidadoout[[#This Row],[TOTAL (R$)]]=0,"",IF(OR(reservafixaconsolidadoout[[#This Row],[TOTAL (R$)]]=LARGE($AJ$168:$AJ$177,1),reservafixaconsolidadoout[[#This Row],[TOTAL (R$)]]=LARGE($AJ$168:$AJ$177,2)),DADOS!$I$11,""))</f>
        <v/>
      </c>
      <c r="E175" s="148" t="n">
        <f aca="false">SUMIFS(tabela_registros[VALOR],tabela_registros[MÊS],$AE$1,tabela_registros[DIA],reservafixaconsolidadoout[[#Headers],[1]],tabela_registros[REGISTRO],DADOS!$N$6,tabela_registros[TIPO],DADOS!$AJ$3,tabela_registros[CATEGORIA],reservafixaconsolidadoout[[#This Row],[ATUAL]])</f>
        <v>0</v>
      </c>
      <c r="F175" s="119" t="n">
        <f aca="false">SUMIFS(tabela_registros[VALOR],tabela_registros[MÊS],$AE$1,tabela_registros[DIA],reservafixaconsolidadoout[[#Headers],[2]],tabela_registros[REGISTRO],DADOS!$N$6,tabela_registros[TIPO],DADOS!$AJ$3,tabela_registros[CATEGORIA],reservafixaconsolidadoout[[#This Row],[ATUAL]])</f>
        <v>0</v>
      </c>
      <c r="G175" s="119" t="n">
        <f aca="false">SUMIFS(tabela_registros[VALOR],tabela_registros[MÊS],$AE$1,tabela_registros[DIA],reservafixaconsolidadoout[[#Headers],[3]],tabela_registros[REGISTRO],DADOS!$N$6,tabela_registros[TIPO],DADOS!$AJ$3,tabela_registros[CATEGORIA],reservafixaconsolidadoout[[#This Row],[ATUAL]])</f>
        <v>0</v>
      </c>
      <c r="H175" s="119" t="n">
        <f aca="false">SUMIFS(tabela_registros[VALOR],tabela_registros[MÊS],$AE$1,tabela_registros[DIA],reservafixaconsolidadoout[[#Headers],[4]],tabela_registros[REGISTRO],DADOS!$N$6,tabela_registros[TIPO],DADOS!$AJ$3,tabela_registros[CATEGORIA],reservafixaconsolidadoout[[#This Row],[ATUAL]])</f>
        <v>0</v>
      </c>
      <c r="I175" s="119" t="n">
        <f aca="false">SUMIFS(tabela_registros[VALOR],tabela_registros[MÊS],$AE$1,tabela_registros[DIA],reservafixaconsolidadoout[[#Headers],[5]],tabela_registros[REGISTRO],DADOS!$N$6,tabela_registros[TIPO],DADOS!$AJ$3,tabela_registros[CATEGORIA],reservafixaconsolidadoout[[#This Row],[ATUAL]])</f>
        <v>0</v>
      </c>
      <c r="J175" s="119" t="n">
        <f aca="false">SUMIFS(tabela_registros[VALOR],tabela_registros[MÊS],$AE$1,tabela_registros[DIA],reservafixaconsolidadoout[[#Headers],[6]],tabela_registros[REGISTRO],DADOS!$N$6,tabela_registros[TIPO],DADOS!$AJ$3,tabela_registros[CATEGORIA],reservafixaconsolidadoout[[#This Row],[ATUAL]])</f>
        <v>0</v>
      </c>
      <c r="K175" s="119" t="n">
        <f aca="false">SUMIFS(tabela_registros[VALOR],tabela_registros[MÊS],$AE$1,tabela_registros[DIA],reservafixaconsolidadoout[[#Headers],[7]],tabela_registros[REGISTRO],DADOS!$N$6,tabela_registros[TIPO],DADOS!$AJ$3,tabela_registros[CATEGORIA],reservafixaconsolidadoout[[#This Row],[ATUAL]])</f>
        <v>0</v>
      </c>
      <c r="L175" s="119" t="n">
        <f aca="false">SUMIFS(tabela_registros[VALOR],tabela_registros[MÊS],$AE$1,tabela_registros[DIA],reservafixaconsolidadoout[[#Headers],[8]],tabela_registros[REGISTRO],DADOS!$N$6,tabela_registros[TIPO],DADOS!$AJ$3,tabela_registros[CATEGORIA],reservafixaconsolidadoout[[#This Row],[ATUAL]])</f>
        <v>0</v>
      </c>
      <c r="M175" s="119" t="n">
        <f aca="false">SUMIFS(tabela_registros[VALOR],tabela_registros[MÊS],$AE$1,tabela_registros[DIA],reservafixaconsolidadoout[[#Headers],[9]],tabela_registros[REGISTRO],DADOS!$N$6,tabela_registros[TIPO],DADOS!$AJ$3,tabela_registros[CATEGORIA],reservafixaconsolidadoout[[#This Row],[ATUAL]])</f>
        <v>0</v>
      </c>
      <c r="N175" s="119" t="n">
        <f aca="false">SUMIFS(tabela_registros[VALOR],tabela_registros[MÊS],$AE$1,tabela_registros[DIA],reservafixaconsolidadoout[[#Headers],[10]],tabela_registros[REGISTRO],DADOS!$N$6,tabela_registros[TIPO],DADOS!$AJ$3,tabela_registros[CATEGORIA],reservafixaconsolidadoout[[#This Row],[ATUAL]])</f>
        <v>0</v>
      </c>
      <c r="O175" s="119" t="n">
        <f aca="false">SUMIFS(tabela_registros[VALOR],tabela_registros[MÊS],$AE$1,tabela_registros[DIA],reservafixaconsolidadoout[[#Headers],[11]],tabela_registros[REGISTRO],DADOS!$N$6,tabela_registros[TIPO],DADOS!$AJ$3,tabela_registros[CATEGORIA],reservafixaconsolidadoout[[#This Row],[ATUAL]])</f>
        <v>0</v>
      </c>
      <c r="P175" s="119" t="n">
        <f aca="false">SUMIFS(tabela_registros[VALOR],tabela_registros[MÊS],$AE$1,tabela_registros[DIA],reservafixaconsolidadoout[[#Headers],[12]],tabela_registros[REGISTRO],DADOS!$N$6,tabela_registros[TIPO],DADOS!$AJ$3,tabela_registros[CATEGORIA],reservafixaconsolidadoout[[#This Row],[ATUAL]])</f>
        <v>0</v>
      </c>
      <c r="Q175" s="119" t="n">
        <f aca="false">SUMIFS(tabela_registros[VALOR],tabela_registros[MÊS],$AE$1,tabela_registros[DIA],reservafixaconsolidadoout[[#Headers],[13]],tabela_registros[REGISTRO],DADOS!$N$6,tabela_registros[TIPO],DADOS!$AJ$3,tabela_registros[CATEGORIA],reservafixaconsolidadoout[[#This Row],[ATUAL]])</f>
        <v>0</v>
      </c>
      <c r="R175" s="119" t="n">
        <f aca="false">SUMIFS(tabela_registros[VALOR],tabela_registros[MÊS],$AE$1,tabela_registros[DIA],reservafixaconsolidadoout[[#Headers],[14]],tabela_registros[REGISTRO],DADOS!$N$6,tabela_registros[TIPO],DADOS!$AJ$3,tabela_registros[CATEGORIA],reservafixaconsolidadoout[[#This Row],[ATUAL]])</f>
        <v>0</v>
      </c>
      <c r="S175" s="119" t="n">
        <f aca="false">SUMIFS(tabela_registros[VALOR],tabela_registros[MÊS],$AE$1,tabela_registros[DIA],reservafixaconsolidadoout[[#Headers],[15]],tabela_registros[REGISTRO],DADOS!$N$6,tabela_registros[TIPO],DADOS!$AJ$3,tabela_registros[CATEGORIA],reservafixaconsolidadoout[[#This Row],[ATUAL]])</f>
        <v>0</v>
      </c>
      <c r="T175" s="119" t="n">
        <f aca="false">SUMIFS(tabela_registros[VALOR],tabela_registros[MÊS],$AE$1,tabela_registros[DIA],reservafixaconsolidadoout[[#Headers],[16]],tabela_registros[REGISTRO],DADOS!$N$6,tabela_registros[TIPO],DADOS!$AJ$3,tabela_registros[CATEGORIA],reservafixaconsolidadoout[[#This Row],[ATUAL]])</f>
        <v>0</v>
      </c>
      <c r="U175" s="119" t="n">
        <f aca="false">SUMIFS(tabela_registros[VALOR],tabela_registros[MÊS],$AE$1,tabela_registros[DIA],reservafixaconsolidadoout[[#Headers],[17]],tabela_registros[REGISTRO],DADOS!$N$6,tabela_registros[TIPO],DADOS!$AJ$3,tabela_registros[CATEGORIA],reservafixaconsolidadoout[[#This Row],[ATUAL]])</f>
        <v>0</v>
      </c>
      <c r="V175" s="119" t="n">
        <f aca="false">SUMIFS(tabela_registros[VALOR],tabela_registros[MÊS],$AE$1,tabela_registros[DIA],reservafixaconsolidadoout[[#Headers],[18]],tabela_registros[REGISTRO],DADOS!$N$6,tabela_registros[TIPO],DADOS!$AJ$3,tabela_registros[CATEGORIA],reservafixaconsolidadoout[[#This Row],[ATUAL]])</f>
        <v>0</v>
      </c>
      <c r="W175" s="119" t="n">
        <f aca="false">SUMIFS(tabela_registros[VALOR],tabela_registros[MÊS],$AE$1,tabela_registros[DIA],reservafixaconsolidadoout[[#Headers],[19]],tabela_registros[REGISTRO],DADOS!$N$6,tabela_registros[TIPO],DADOS!$AJ$3,tabela_registros[CATEGORIA],reservafixaconsolidadoout[[#This Row],[ATUAL]])</f>
        <v>0</v>
      </c>
      <c r="X175" s="119" t="n">
        <f aca="false">SUMIFS(tabela_registros[VALOR],tabela_registros[MÊS],$AE$1,tabela_registros[DIA],reservafixaconsolidadoout[[#Headers],[20]],tabela_registros[REGISTRO],DADOS!$N$6,tabela_registros[TIPO],DADOS!$AJ$3,tabela_registros[CATEGORIA],reservafixaconsolidadoout[[#This Row],[ATUAL]])</f>
        <v>0</v>
      </c>
      <c r="Y175" s="119" t="n">
        <f aca="false">SUMIFS(tabela_registros[VALOR],tabela_registros[MÊS],$AE$1,tabela_registros[DIA],reservafixaconsolidadoout[[#Headers],[21]],tabela_registros[REGISTRO],DADOS!$N$6,tabela_registros[TIPO],DADOS!$AJ$3,tabela_registros[CATEGORIA],reservafixaconsolidadoout[[#This Row],[ATUAL]])</f>
        <v>0</v>
      </c>
      <c r="Z175" s="119" t="n">
        <f aca="false">SUMIFS(tabela_registros[VALOR],tabela_registros[MÊS],$AE$1,tabela_registros[DIA],reservafixaconsolidadoout[[#Headers],[22]],tabela_registros[REGISTRO],DADOS!$N$6,tabela_registros[TIPO],DADOS!$AJ$3,tabela_registros[CATEGORIA],reservafixaconsolidadoout[[#This Row],[ATUAL]])</f>
        <v>0</v>
      </c>
      <c r="AA175" s="119" t="n">
        <f aca="false">SUMIFS(tabela_registros[VALOR],tabela_registros[MÊS],$AE$1,tabela_registros[DIA],reservafixaconsolidadoout[[#Headers],[23]],tabela_registros[REGISTRO],DADOS!$N$6,tabela_registros[TIPO],DADOS!$AJ$3,tabela_registros[CATEGORIA],reservafixaconsolidadoout[[#This Row],[ATUAL]])</f>
        <v>0</v>
      </c>
      <c r="AB175" s="119" t="n">
        <f aca="false">SUMIFS(tabela_registros[VALOR],tabela_registros[MÊS],$AE$1,tabela_registros[DIA],reservafixaconsolidadoout[[#Headers],[24]],tabela_registros[REGISTRO],DADOS!$N$6,tabela_registros[TIPO],DADOS!$AJ$3,tabela_registros[CATEGORIA],reservafixaconsolidadoout[[#This Row],[ATUAL]])</f>
        <v>0</v>
      </c>
      <c r="AC175" s="119" t="n">
        <f aca="false">SUMIFS(tabela_registros[VALOR],tabela_registros[MÊS],$AE$1,tabela_registros[DIA],reservafixaconsolidadoout[[#Headers],[25]],tabela_registros[REGISTRO],DADOS!$N$6,tabela_registros[TIPO],DADOS!$AJ$3,tabela_registros[CATEGORIA],reservafixaconsolidadoout[[#This Row],[ATUAL]])</f>
        <v>0</v>
      </c>
      <c r="AD175" s="119" t="n">
        <f aca="false">SUMIFS(tabela_registros[VALOR],tabela_registros[MÊS],$AE$1,tabela_registros[DIA],reservafixaconsolidadoout[[#Headers],[26]],tabela_registros[REGISTRO],DADOS!$N$6,tabela_registros[TIPO],DADOS!$AJ$3,tabela_registros[CATEGORIA],reservafixaconsolidadoout[[#This Row],[ATUAL]])</f>
        <v>0</v>
      </c>
      <c r="AE175" s="119" t="n">
        <f aca="false">SUMIFS(tabela_registros[VALOR],tabela_registros[MÊS],$AE$1,tabela_registros[DIA],reservafixaconsolidadoout[[#Headers],[27]],tabela_registros[REGISTRO],DADOS!$N$6,tabela_registros[TIPO],DADOS!$AJ$3,tabela_registros[CATEGORIA],reservafixaconsolidadoout[[#This Row],[ATUAL]])</f>
        <v>0</v>
      </c>
      <c r="AF175" s="119" t="n">
        <f aca="false">SUMIFS(tabela_registros[VALOR],tabela_registros[MÊS],$AE$1,tabela_registros[DIA],reservafixaconsolidadoout[[#Headers],[28]],tabela_registros[REGISTRO],DADOS!$N$6,tabela_registros[TIPO],DADOS!$AJ$3,tabela_registros[CATEGORIA],reservafixaconsolidadoout[[#This Row],[ATUAL]])</f>
        <v>0</v>
      </c>
      <c r="AG175" s="119" t="n">
        <f aca="false">SUMIFS(tabela_registros[VALOR],tabela_registros[MÊS],$AE$1,tabela_registros[DIA],reservafixaconsolidadoout[[#Headers],[29]],tabela_registros[REGISTRO],DADOS!$N$6,tabela_registros[TIPO],DADOS!$AJ$3,tabela_registros[CATEGORIA],reservafixaconsolidadoout[[#This Row],[ATUAL]])</f>
        <v>0</v>
      </c>
      <c r="AH175" s="119" t="n">
        <f aca="false">SUMIFS(tabela_registros[VALOR],tabela_registros[MÊS],$AE$1,tabela_registros[DIA],reservafixaconsolidadoout[[#Headers],[30]],tabela_registros[REGISTRO],DADOS!$N$6,tabela_registros[TIPO],DADOS!$AJ$3,tabela_registros[CATEGORIA],reservafixaconsolidadoout[[#This Row],[ATUAL]])</f>
        <v>0</v>
      </c>
      <c r="AI175" s="217" t="n">
        <f aca="false">SUMIFS(tabela_registros[VALOR],tabela_registros[MÊS],$AE$1,tabela_registros[DIA],reservafixaconsolidadoout[[#Headers],[31]],tabela_registros[REGISTRO],DADOS!$N$6,tabela_registros[TIPO],DADOS!$AJ$3,tabela_registros[CATEGORIA],reservafixaconsolidadoout[[#This Row],[ATUAL]])</f>
        <v>0</v>
      </c>
      <c r="AJ175" s="149" t="n">
        <f aca="false">SUM(reservafixaconsolidadoout[[#This Row],[1]:[31]])</f>
        <v>0</v>
      </c>
      <c r="AK175" s="165"/>
    </row>
    <row r="176" customFormat="false" ht="19.5" hidden="false" customHeight="true" outlineLevel="0" collapsed="false">
      <c r="B176" s="143"/>
      <c r="C176" s="144" t="str">
        <f aca="false">DADOS!$AL$11</f>
        <v>📝 TESOURO DIRETO</v>
      </c>
      <c r="D176" s="145" t="str">
        <f aca="false">IF(reservafixaconsolidadoout[[#This Row],[TOTAL (R$)]]=0,"",IF(OR(reservafixaconsolidadoout[[#This Row],[TOTAL (R$)]]=LARGE($AJ$168:$AJ$177,1),reservafixaconsolidadoout[[#This Row],[TOTAL (R$)]]=LARGE($AJ$168:$AJ$177,2)),DADOS!$I$11,""))</f>
        <v/>
      </c>
      <c r="E176" s="148" t="n">
        <f aca="false">SUMIFS(tabela_registros[VALOR],tabela_registros[MÊS],$AE$1,tabela_registros[DIA],reservafixaconsolidadoout[[#Headers],[1]],tabela_registros[REGISTRO],DADOS!$N$6,tabela_registros[TIPO],DADOS!$AJ$3,tabela_registros[CATEGORIA],reservafixaconsolidadoout[[#This Row],[ATUAL]])</f>
        <v>0</v>
      </c>
      <c r="F176" s="119" t="n">
        <f aca="false">SUMIFS(tabela_registros[VALOR],tabela_registros[MÊS],$AE$1,tabela_registros[DIA],reservafixaconsolidadoout[[#Headers],[2]],tabela_registros[REGISTRO],DADOS!$N$6,tabela_registros[TIPO],DADOS!$AJ$3,tabela_registros[CATEGORIA],reservafixaconsolidadoout[[#This Row],[ATUAL]])</f>
        <v>0</v>
      </c>
      <c r="G176" s="119" t="n">
        <f aca="false">SUMIFS(tabela_registros[VALOR],tabela_registros[MÊS],$AE$1,tabela_registros[DIA],reservafixaconsolidadoout[[#Headers],[3]],tabela_registros[REGISTRO],DADOS!$N$6,tabela_registros[TIPO],DADOS!$AJ$3,tabela_registros[CATEGORIA],reservafixaconsolidadoout[[#This Row],[ATUAL]])</f>
        <v>0</v>
      </c>
      <c r="H176" s="119" t="n">
        <f aca="false">SUMIFS(tabela_registros[VALOR],tabela_registros[MÊS],$AE$1,tabela_registros[DIA],reservafixaconsolidadoout[[#Headers],[4]],tabela_registros[REGISTRO],DADOS!$N$6,tabela_registros[TIPO],DADOS!$AJ$3,tabela_registros[CATEGORIA],reservafixaconsolidadoout[[#This Row],[ATUAL]])</f>
        <v>0</v>
      </c>
      <c r="I176" s="119" t="n">
        <f aca="false">SUMIFS(tabela_registros[VALOR],tabela_registros[MÊS],$AE$1,tabela_registros[DIA],reservafixaconsolidadoout[[#Headers],[5]],tabela_registros[REGISTRO],DADOS!$N$6,tabela_registros[TIPO],DADOS!$AJ$3,tabela_registros[CATEGORIA],reservafixaconsolidadoout[[#This Row],[ATUAL]])</f>
        <v>0</v>
      </c>
      <c r="J176" s="119" t="n">
        <f aca="false">SUMIFS(tabela_registros[VALOR],tabela_registros[MÊS],$AE$1,tabela_registros[DIA],reservafixaconsolidadoout[[#Headers],[6]],tabela_registros[REGISTRO],DADOS!$N$6,tabela_registros[TIPO],DADOS!$AJ$3,tabela_registros[CATEGORIA],reservafixaconsolidadoout[[#This Row],[ATUAL]])</f>
        <v>0</v>
      </c>
      <c r="K176" s="119" t="n">
        <f aca="false">SUMIFS(tabela_registros[VALOR],tabela_registros[MÊS],$AE$1,tabela_registros[DIA],reservafixaconsolidadoout[[#Headers],[7]],tabela_registros[REGISTRO],DADOS!$N$6,tabela_registros[TIPO],DADOS!$AJ$3,tabela_registros[CATEGORIA],reservafixaconsolidadoout[[#This Row],[ATUAL]])</f>
        <v>0</v>
      </c>
      <c r="L176" s="119" t="n">
        <f aca="false">SUMIFS(tabela_registros[VALOR],tabela_registros[MÊS],$AE$1,tabela_registros[DIA],reservafixaconsolidadoout[[#Headers],[8]],tabela_registros[REGISTRO],DADOS!$N$6,tabela_registros[TIPO],DADOS!$AJ$3,tabela_registros[CATEGORIA],reservafixaconsolidadoout[[#This Row],[ATUAL]])</f>
        <v>0</v>
      </c>
      <c r="M176" s="119" t="n">
        <f aca="false">SUMIFS(tabela_registros[VALOR],tabela_registros[MÊS],$AE$1,tabela_registros[DIA],reservafixaconsolidadoout[[#Headers],[9]],tabela_registros[REGISTRO],DADOS!$N$6,tabela_registros[TIPO],DADOS!$AJ$3,tabela_registros[CATEGORIA],reservafixaconsolidadoout[[#This Row],[ATUAL]])</f>
        <v>0</v>
      </c>
      <c r="N176" s="119" t="n">
        <f aca="false">SUMIFS(tabela_registros[VALOR],tabela_registros[MÊS],$AE$1,tabela_registros[DIA],reservafixaconsolidadoout[[#Headers],[10]],tabela_registros[REGISTRO],DADOS!$N$6,tabela_registros[TIPO],DADOS!$AJ$3,tabela_registros[CATEGORIA],reservafixaconsolidadoout[[#This Row],[ATUAL]])</f>
        <v>0</v>
      </c>
      <c r="O176" s="119" t="n">
        <f aca="false">SUMIFS(tabela_registros[VALOR],tabela_registros[MÊS],$AE$1,tabela_registros[DIA],reservafixaconsolidadoout[[#Headers],[11]],tabela_registros[REGISTRO],DADOS!$N$6,tabela_registros[TIPO],DADOS!$AJ$3,tabela_registros[CATEGORIA],reservafixaconsolidadoout[[#This Row],[ATUAL]])</f>
        <v>0</v>
      </c>
      <c r="P176" s="119" t="n">
        <f aca="false">SUMIFS(tabela_registros[VALOR],tabela_registros[MÊS],$AE$1,tabela_registros[DIA],reservafixaconsolidadoout[[#Headers],[12]],tabela_registros[REGISTRO],DADOS!$N$6,tabela_registros[TIPO],DADOS!$AJ$3,tabela_registros[CATEGORIA],reservafixaconsolidadoout[[#This Row],[ATUAL]])</f>
        <v>0</v>
      </c>
      <c r="Q176" s="119" t="n">
        <f aca="false">SUMIFS(tabela_registros[VALOR],tabela_registros[MÊS],$AE$1,tabela_registros[DIA],reservafixaconsolidadoout[[#Headers],[13]],tabela_registros[REGISTRO],DADOS!$N$6,tabela_registros[TIPO],DADOS!$AJ$3,tabela_registros[CATEGORIA],reservafixaconsolidadoout[[#This Row],[ATUAL]])</f>
        <v>0</v>
      </c>
      <c r="R176" s="119" t="n">
        <f aca="false">SUMIFS(tabela_registros[VALOR],tabela_registros[MÊS],$AE$1,tabela_registros[DIA],reservafixaconsolidadoout[[#Headers],[14]],tabela_registros[REGISTRO],DADOS!$N$6,tabela_registros[TIPO],DADOS!$AJ$3,tabela_registros[CATEGORIA],reservafixaconsolidadoout[[#This Row],[ATUAL]])</f>
        <v>0</v>
      </c>
      <c r="S176" s="119" t="n">
        <f aca="false">SUMIFS(tabela_registros[VALOR],tabela_registros[MÊS],$AE$1,tabela_registros[DIA],reservafixaconsolidadoout[[#Headers],[15]],tabela_registros[REGISTRO],DADOS!$N$6,tabela_registros[TIPO],DADOS!$AJ$3,tabela_registros[CATEGORIA],reservafixaconsolidadoout[[#This Row],[ATUAL]])</f>
        <v>0</v>
      </c>
      <c r="T176" s="119" t="n">
        <f aca="false">SUMIFS(tabela_registros[VALOR],tabela_registros[MÊS],$AE$1,tabela_registros[DIA],reservafixaconsolidadoout[[#Headers],[16]],tabela_registros[REGISTRO],DADOS!$N$6,tabela_registros[TIPO],DADOS!$AJ$3,tabela_registros[CATEGORIA],reservafixaconsolidadoout[[#This Row],[ATUAL]])</f>
        <v>0</v>
      </c>
      <c r="U176" s="119" t="n">
        <f aca="false">SUMIFS(tabela_registros[VALOR],tabela_registros[MÊS],$AE$1,tabela_registros[DIA],reservafixaconsolidadoout[[#Headers],[17]],tabela_registros[REGISTRO],DADOS!$N$6,tabela_registros[TIPO],DADOS!$AJ$3,tabela_registros[CATEGORIA],reservafixaconsolidadoout[[#This Row],[ATUAL]])</f>
        <v>0</v>
      </c>
      <c r="V176" s="119" t="n">
        <f aca="false">SUMIFS(tabela_registros[VALOR],tabela_registros[MÊS],$AE$1,tabela_registros[DIA],reservafixaconsolidadoout[[#Headers],[18]],tabela_registros[REGISTRO],DADOS!$N$6,tabela_registros[TIPO],DADOS!$AJ$3,tabela_registros[CATEGORIA],reservafixaconsolidadoout[[#This Row],[ATUAL]])</f>
        <v>0</v>
      </c>
      <c r="W176" s="119" t="n">
        <f aca="false">SUMIFS(tabela_registros[VALOR],tabela_registros[MÊS],$AE$1,tabela_registros[DIA],reservafixaconsolidadoout[[#Headers],[19]],tabela_registros[REGISTRO],DADOS!$N$6,tabela_registros[TIPO],DADOS!$AJ$3,tabela_registros[CATEGORIA],reservafixaconsolidadoout[[#This Row],[ATUAL]])</f>
        <v>0</v>
      </c>
      <c r="X176" s="119" t="n">
        <f aca="false">SUMIFS(tabela_registros[VALOR],tabela_registros[MÊS],$AE$1,tabela_registros[DIA],reservafixaconsolidadoout[[#Headers],[20]],tabela_registros[REGISTRO],DADOS!$N$6,tabela_registros[TIPO],DADOS!$AJ$3,tabela_registros[CATEGORIA],reservafixaconsolidadoout[[#This Row],[ATUAL]])</f>
        <v>0</v>
      </c>
      <c r="Y176" s="119" t="n">
        <f aca="false">SUMIFS(tabela_registros[VALOR],tabela_registros[MÊS],$AE$1,tabela_registros[DIA],reservafixaconsolidadoout[[#Headers],[21]],tabela_registros[REGISTRO],DADOS!$N$6,tabela_registros[TIPO],DADOS!$AJ$3,tabela_registros[CATEGORIA],reservafixaconsolidadoout[[#This Row],[ATUAL]])</f>
        <v>0</v>
      </c>
      <c r="Z176" s="119" t="n">
        <f aca="false">SUMIFS(tabela_registros[VALOR],tabela_registros[MÊS],$AE$1,tabela_registros[DIA],reservafixaconsolidadoout[[#Headers],[22]],tabela_registros[REGISTRO],DADOS!$N$6,tabela_registros[TIPO],DADOS!$AJ$3,tabela_registros[CATEGORIA],reservafixaconsolidadoout[[#This Row],[ATUAL]])</f>
        <v>0</v>
      </c>
      <c r="AA176" s="119" t="n">
        <f aca="false">SUMIFS(tabela_registros[VALOR],tabela_registros[MÊS],$AE$1,tabela_registros[DIA],reservafixaconsolidadoout[[#Headers],[23]],tabela_registros[REGISTRO],DADOS!$N$6,tabela_registros[TIPO],DADOS!$AJ$3,tabela_registros[CATEGORIA],reservafixaconsolidadoout[[#This Row],[ATUAL]])</f>
        <v>0</v>
      </c>
      <c r="AB176" s="119" t="n">
        <f aca="false">SUMIFS(tabela_registros[VALOR],tabela_registros[MÊS],$AE$1,tabela_registros[DIA],reservafixaconsolidadoout[[#Headers],[24]],tabela_registros[REGISTRO],DADOS!$N$6,tabela_registros[TIPO],DADOS!$AJ$3,tabela_registros[CATEGORIA],reservafixaconsolidadoout[[#This Row],[ATUAL]])</f>
        <v>0</v>
      </c>
      <c r="AC176" s="119" t="n">
        <f aca="false">SUMIFS(tabela_registros[VALOR],tabela_registros[MÊS],$AE$1,tabela_registros[DIA],reservafixaconsolidadoout[[#Headers],[25]],tabela_registros[REGISTRO],DADOS!$N$6,tabela_registros[TIPO],DADOS!$AJ$3,tabela_registros[CATEGORIA],reservafixaconsolidadoout[[#This Row],[ATUAL]])</f>
        <v>0</v>
      </c>
      <c r="AD176" s="119" t="n">
        <f aca="false">SUMIFS(tabela_registros[VALOR],tabela_registros[MÊS],$AE$1,tabela_registros[DIA],reservafixaconsolidadoout[[#Headers],[26]],tabela_registros[REGISTRO],DADOS!$N$6,tabela_registros[TIPO],DADOS!$AJ$3,tabela_registros[CATEGORIA],reservafixaconsolidadoout[[#This Row],[ATUAL]])</f>
        <v>0</v>
      </c>
      <c r="AE176" s="119" t="n">
        <f aca="false">SUMIFS(tabela_registros[VALOR],tabela_registros[MÊS],$AE$1,tabela_registros[DIA],reservafixaconsolidadoout[[#Headers],[27]],tabela_registros[REGISTRO],DADOS!$N$6,tabela_registros[TIPO],DADOS!$AJ$3,tabela_registros[CATEGORIA],reservafixaconsolidadoout[[#This Row],[ATUAL]])</f>
        <v>0</v>
      </c>
      <c r="AF176" s="119" t="n">
        <f aca="false">SUMIFS(tabela_registros[VALOR],tabela_registros[MÊS],$AE$1,tabela_registros[DIA],reservafixaconsolidadoout[[#Headers],[28]],tabela_registros[REGISTRO],DADOS!$N$6,tabela_registros[TIPO],DADOS!$AJ$3,tabela_registros[CATEGORIA],reservafixaconsolidadoout[[#This Row],[ATUAL]])</f>
        <v>0</v>
      </c>
      <c r="AG176" s="119" t="n">
        <f aca="false">SUMIFS(tabela_registros[VALOR],tabela_registros[MÊS],$AE$1,tabela_registros[DIA],reservafixaconsolidadoout[[#Headers],[29]],tabela_registros[REGISTRO],DADOS!$N$6,tabela_registros[TIPO],DADOS!$AJ$3,tabela_registros[CATEGORIA],reservafixaconsolidadoout[[#This Row],[ATUAL]])</f>
        <v>0</v>
      </c>
      <c r="AH176" s="119" t="n">
        <f aca="false">SUMIFS(tabela_registros[VALOR],tabela_registros[MÊS],$AE$1,tabela_registros[DIA],reservafixaconsolidadoout[[#Headers],[30]],tabela_registros[REGISTRO],DADOS!$N$6,tabela_registros[TIPO],DADOS!$AJ$3,tabela_registros[CATEGORIA],reservafixaconsolidadoout[[#This Row],[ATUAL]])</f>
        <v>0</v>
      </c>
      <c r="AI176" s="217" t="n">
        <f aca="false">SUMIFS(tabela_registros[VALOR],tabela_registros[MÊS],$AE$1,tabela_registros[DIA],reservafixaconsolidadoout[[#Headers],[31]],tabela_registros[REGISTRO],DADOS!$N$6,tabela_registros[TIPO],DADOS!$AJ$3,tabela_registros[CATEGORIA],reservafixaconsolidadoout[[#This Row],[ATUAL]])</f>
        <v>0</v>
      </c>
      <c r="AJ176" s="149" t="n">
        <f aca="false">SUM(reservafixaconsolidadoout[[#This Row],[1]:[31]])</f>
        <v>0</v>
      </c>
      <c r="AK176" s="165"/>
    </row>
    <row r="177" customFormat="false" ht="19.5" hidden="false" customHeight="true" outlineLevel="0" collapsed="false">
      <c r="B177" s="143"/>
      <c r="C177" s="144" t="str">
        <f aca="false">DADOS!$AL$12</f>
        <v>📎 OUTROS</v>
      </c>
      <c r="D177" s="145" t="str">
        <f aca="false">IF(reservafixaconsolidadoout[[#This Row],[TOTAL (R$)]]=0,"",IF(OR(reservafixaconsolidadoout[[#This Row],[TOTAL (R$)]]=LARGE($AJ$168:$AJ$177,1),reservafixaconsolidadoout[[#This Row],[TOTAL (R$)]]=LARGE($AJ$168:$AJ$177,2)),DADOS!$I$11,""))</f>
        <v/>
      </c>
      <c r="E177" s="148" t="n">
        <f aca="false">SUMIFS(tabela_registros[VALOR],tabela_registros[MÊS],$AE$1,tabela_registros[DIA],reservafixaconsolidadoout[[#Headers],[1]],tabela_registros[REGISTRO],DADOS!$N$6,tabela_registros[TIPO],DADOS!$AJ$3,tabela_registros[CATEGORIA],reservafixaconsolidadoout[[#This Row],[ATUAL]])</f>
        <v>0</v>
      </c>
      <c r="F177" s="119" t="n">
        <f aca="false">SUMIFS(tabela_registros[VALOR],tabela_registros[MÊS],$AE$1,tabela_registros[DIA],reservafixaconsolidadoout[[#Headers],[2]],tabela_registros[REGISTRO],DADOS!$N$6,tabela_registros[TIPO],DADOS!$AJ$3,tabela_registros[CATEGORIA],reservafixaconsolidadoout[[#This Row],[ATUAL]])</f>
        <v>0</v>
      </c>
      <c r="G177" s="119" t="n">
        <f aca="false">SUMIFS(tabela_registros[VALOR],tabela_registros[MÊS],$AE$1,tabela_registros[DIA],reservafixaconsolidadoout[[#Headers],[3]],tabela_registros[REGISTRO],DADOS!$N$6,tabela_registros[TIPO],DADOS!$AJ$3,tabela_registros[CATEGORIA],reservafixaconsolidadoout[[#This Row],[ATUAL]])</f>
        <v>0</v>
      </c>
      <c r="H177" s="119" t="n">
        <f aca="false">SUMIFS(tabela_registros[VALOR],tabela_registros[MÊS],$AE$1,tabela_registros[DIA],reservafixaconsolidadoout[[#Headers],[4]],tabela_registros[REGISTRO],DADOS!$N$6,tabela_registros[TIPO],DADOS!$AJ$3,tabela_registros[CATEGORIA],reservafixaconsolidadoout[[#This Row],[ATUAL]])</f>
        <v>0</v>
      </c>
      <c r="I177" s="119" t="n">
        <f aca="false">SUMIFS(tabela_registros[VALOR],tabela_registros[MÊS],$AE$1,tabela_registros[DIA],reservafixaconsolidadoout[[#Headers],[5]],tabela_registros[REGISTRO],DADOS!$N$6,tabela_registros[TIPO],DADOS!$AJ$3,tabela_registros[CATEGORIA],reservafixaconsolidadoout[[#This Row],[ATUAL]])</f>
        <v>0</v>
      </c>
      <c r="J177" s="119" t="n">
        <f aca="false">SUMIFS(tabela_registros[VALOR],tabela_registros[MÊS],$AE$1,tabela_registros[DIA],reservafixaconsolidadoout[[#Headers],[6]],tabela_registros[REGISTRO],DADOS!$N$6,tabela_registros[TIPO],DADOS!$AJ$3,tabela_registros[CATEGORIA],reservafixaconsolidadoout[[#This Row],[ATUAL]])</f>
        <v>0</v>
      </c>
      <c r="K177" s="119" t="n">
        <f aca="false">SUMIFS(tabela_registros[VALOR],tabela_registros[MÊS],$AE$1,tabela_registros[DIA],reservafixaconsolidadoout[[#Headers],[7]],tabela_registros[REGISTRO],DADOS!$N$6,tabela_registros[TIPO],DADOS!$AJ$3,tabela_registros[CATEGORIA],reservafixaconsolidadoout[[#This Row],[ATUAL]])</f>
        <v>0</v>
      </c>
      <c r="L177" s="119" t="n">
        <f aca="false">SUMIFS(tabela_registros[VALOR],tabela_registros[MÊS],$AE$1,tabela_registros[DIA],reservafixaconsolidadoout[[#Headers],[8]],tabela_registros[REGISTRO],DADOS!$N$6,tabela_registros[TIPO],DADOS!$AJ$3,tabela_registros[CATEGORIA],reservafixaconsolidadoout[[#This Row],[ATUAL]])</f>
        <v>0</v>
      </c>
      <c r="M177" s="119" t="n">
        <f aca="false">SUMIFS(tabela_registros[VALOR],tabela_registros[MÊS],$AE$1,tabela_registros[DIA],reservafixaconsolidadoout[[#Headers],[9]],tabela_registros[REGISTRO],DADOS!$N$6,tabela_registros[TIPO],DADOS!$AJ$3,tabela_registros[CATEGORIA],reservafixaconsolidadoout[[#This Row],[ATUAL]])</f>
        <v>0</v>
      </c>
      <c r="N177" s="119" t="n">
        <f aca="false">SUMIFS(tabela_registros[VALOR],tabela_registros[MÊS],$AE$1,tabela_registros[DIA],reservafixaconsolidadoout[[#Headers],[10]],tabela_registros[REGISTRO],DADOS!$N$6,tabela_registros[TIPO],DADOS!$AJ$3,tabela_registros[CATEGORIA],reservafixaconsolidadoout[[#This Row],[ATUAL]])</f>
        <v>0</v>
      </c>
      <c r="O177" s="119" t="n">
        <f aca="false">SUMIFS(tabela_registros[VALOR],tabela_registros[MÊS],$AE$1,tabela_registros[DIA],reservafixaconsolidadoout[[#Headers],[11]],tabela_registros[REGISTRO],DADOS!$N$6,tabela_registros[TIPO],DADOS!$AJ$3,tabela_registros[CATEGORIA],reservafixaconsolidadoout[[#This Row],[ATUAL]])</f>
        <v>0</v>
      </c>
      <c r="P177" s="119" t="n">
        <f aca="false">SUMIFS(tabela_registros[VALOR],tabela_registros[MÊS],$AE$1,tabela_registros[DIA],reservafixaconsolidadoout[[#Headers],[12]],tabela_registros[REGISTRO],DADOS!$N$6,tabela_registros[TIPO],DADOS!$AJ$3,tabela_registros[CATEGORIA],reservafixaconsolidadoout[[#This Row],[ATUAL]])</f>
        <v>0</v>
      </c>
      <c r="Q177" s="119" t="n">
        <f aca="false">SUMIFS(tabela_registros[VALOR],tabela_registros[MÊS],$AE$1,tabela_registros[DIA],reservafixaconsolidadoout[[#Headers],[13]],tabela_registros[REGISTRO],DADOS!$N$6,tabela_registros[TIPO],DADOS!$AJ$3,tabela_registros[CATEGORIA],reservafixaconsolidadoout[[#This Row],[ATUAL]])</f>
        <v>0</v>
      </c>
      <c r="R177" s="119" t="n">
        <f aca="false">SUMIFS(tabela_registros[VALOR],tabela_registros[MÊS],$AE$1,tabela_registros[DIA],reservafixaconsolidadoout[[#Headers],[14]],tabela_registros[REGISTRO],DADOS!$N$6,tabela_registros[TIPO],DADOS!$AJ$3,tabela_registros[CATEGORIA],reservafixaconsolidadoout[[#This Row],[ATUAL]])</f>
        <v>0</v>
      </c>
      <c r="S177" s="119" t="n">
        <f aca="false">SUMIFS(tabela_registros[VALOR],tabela_registros[MÊS],$AE$1,tabela_registros[DIA],reservafixaconsolidadoout[[#Headers],[15]],tabela_registros[REGISTRO],DADOS!$N$6,tabela_registros[TIPO],DADOS!$AJ$3,tabela_registros[CATEGORIA],reservafixaconsolidadoout[[#This Row],[ATUAL]])</f>
        <v>0</v>
      </c>
      <c r="T177" s="119" t="n">
        <f aca="false">SUMIFS(tabela_registros[VALOR],tabela_registros[MÊS],$AE$1,tabela_registros[DIA],reservafixaconsolidadoout[[#Headers],[16]],tabela_registros[REGISTRO],DADOS!$N$6,tabela_registros[TIPO],DADOS!$AJ$3,tabela_registros[CATEGORIA],reservafixaconsolidadoout[[#This Row],[ATUAL]])</f>
        <v>0</v>
      </c>
      <c r="U177" s="119" t="n">
        <f aca="false">SUMIFS(tabela_registros[VALOR],tabela_registros[MÊS],$AE$1,tabela_registros[DIA],reservafixaconsolidadoout[[#Headers],[17]],tabela_registros[REGISTRO],DADOS!$N$6,tabela_registros[TIPO],DADOS!$AJ$3,tabela_registros[CATEGORIA],reservafixaconsolidadoout[[#This Row],[ATUAL]])</f>
        <v>0</v>
      </c>
      <c r="V177" s="119" t="n">
        <f aca="false">SUMIFS(tabela_registros[VALOR],tabela_registros[MÊS],$AE$1,tabela_registros[DIA],reservafixaconsolidadoout[[#Headers],[18]],tabela_registros[REGISTRO],DADOS!$N$6,tabela_registros[TIPO],DADOS!$AJ$3,tabela_registros[CATEGORIA],reservafixaconsolidadoout[[#This Row],[ATUAL]])</f>
        <v>0</v>
      </c>
      <c r="W177" s="119" t="n">
        <f aca="false">SUMIFS(tabela_registros[VALOR],tabela_registros[MÊS],$AE$1,tabela_registros[DIA],reservafixaconsolidadoout[[#Headers],[19]],tabela_registros[REGISTRO],DADOS!$N$6,tabela_registros[TIPO],DADOS!$AJ$3,tabela_registros[CATEGORIA],reservafixaconsolidadoout[[#This Row],[ATUAL]])</f>
        <v>0</v>
      </c>
      <c r="X177" s="119" t="n">
        <f aca="false">SUMIFS(tabela_registros[VALOR],tabela_registros[MÊS],$AE$1,tabela_registros[DIA],reservafixaconsolidadoout[[#Headers],[20]],tabela_registros[REGISTRO],DADOS!$N$6,tabela_registros[TIPO],DADOS!$AJ$3,tabela_registros[CATEGORIA],reservafixaconsolidadoout[[#This Row],[ATUAL]])</f>
        <v>0</v>
      </c>
      <c r="Y177" s="119" t="n">
        <f aca="false">SUMIFS(tabela_registros[VALOR],tabela_registros[MÊS],$AE$1,tabela_registros[DIA],reservafixaconsolidadoout[[#Headers],[21]],tabela_registros[REGISTRO],DADOS!$N$6,tabela_registros[TIPO],DADOS!$AJ$3,tabela_registros[CATEGORIA],reservafixaconsolidadoout[[#This Row],[ATUAL]])</f>
        <v>0</v>
      </c>
      <c r="Z177" s="119" t="n">
        <f aca="false">SUMIFS(tabela_registros[VALOR],tabela_registros[MÊS],$AE$1,tabela_registros[DIA],reservafixaconsolidadoout[[#Headers],[22]],tabela_registros[REGISTRO],DADOS!$N$6,tabela_registros[TIPO],DADOS!$AJ$3,tabela_registros[CATEGORIA],reservafixaconsolidadoout[[#This Row],[ATUAL]])</f>
        <v>0</v>
      </c>
      <c r="AA177" s="119" t="n">
        <f aca="false">SUMIFS(tabela_registros[VALOR],tabela_registros[MÊS],$AE$1,tabela_registros[DIA],reservafixaconsolidadoout[[#Headers],[23]],tabela_registros[REGISTRO],DADOS!$N$6,tabela_registros[TIPO],DADOS!$AJ$3,tabela_registros[CATEGORIA],reservafixaconsolidadoout[[#This Row],[ATUAL]])</f>
        <v>0</v>
      </c>
      <c r="AB177" s="119" t="n">
        <f aca="false">SUMIFS(tabela_registros[VALOR],tabela_registros[MÊS],$AE$1,tabela_registros[DIA],reservafixaconsolidadoout[[#Headers],[24]],tabela_registros[REGISTRO],DADOS!$N$6,tabela_registros[TIPO],DADOS!$AJ$3,tabela_registros[CATEGORIA],reservafixaconsolidadoout[[#This Row],[ATUAL]])</f>
        <v>0</v>
      </c>
      <c r="AC177" s="119" t="n">
        <f aca="false">SUMIFS(tabela_registros[VALOR],tabela_registros[MÊS],$AE$1,tabela_registros[DIA],reservafixaconsolidadoout[[#Headers],[25]],tabela_registros[REGISTRO],DADOS!$N$6,tabela_registros[TIPO],DADOS!$AJ$3,tabela_registros[CATEGORIA],reservafixaconsolidadoout[[#This Row],[ATUAL]])</f>
        <v>0</v>
      </c>
      <c r="AD177" s="119" t="n">
        <f aca="false">SUMIFS(tabela_registros[VALOR],tabela_registros[MÊS],$AE$1,tabela_registros[DIA],reservafixaconsolidadoout[[#Headers],[26]],tabela_registros[REGISTRO],DADOS!$N$6,tabela_registros[TIPO],DADOS!$AJ$3,tabela_registros[CATEGORIA],reservafixaconsolidadoout[[#This Row],[ATUAL]])</f>
        <v>0</v>
      </c>
      <c r="AE177" s="119" t="n">
        <f aca="false">SUMIFS(tabela_registros[VALOR],tabela_registros[MÊS],$AE$1,tabela_registros[DIA],reservafixaconsolidadoout[[#Headers],[27]],tabela_registros[REGISTRO],DADOS!$N$6,tabela_registros[TIPO],DADOS!$AJ$3,tabela_registros[CATEGORIA],reservafixaconsolidadoout[[#This Row],[ATUAL]])</f>
        <v>0</v>
      </c>
      <c r="AF177" s="119" t="n">
        <f aca="false">SUMIFS(tabela_registros[VALOR],tabela_registros[MÊS],$AE$1,tabela_registros[DIA],reservafixaconsolidadoout[[#Headers],[28]],tabela_registros[REGISTRO],DADOS!$N$6,tabela_registros[TIPO],DADOS!$AJ$3,tabela_registros[CATEGORIA],reservafixaconsolidadoout[[#This Row],[ATUAL]])</f>
        <v>0</v>
      </c>
      <c r="AG177" s="119" t="n">
        <f aca="false">SUMIFS(tabela_registros[VALOR],tabela_registros[MÊS],$AE$1,tabela_registros[DIA],reservafixaconsolidadoout[[#Headers],[29]],tabela_registros[REGISTRO],DADOS!$N$6,tabela_registros[TIPO],DADOS!$AJ$3,tabela_registros[CATEGORIA],reservafixaconsolidadoout[[#This Row],[ATUAL]])</f>
        <v>0</v>
      </c>
      <c r="AH177" s="119" t="n">
        <f aca="false">SUMIFS(tabela_registros[VALOR],tabela_registros[MÊS],$AE$1,tabela_registros[DIA],reservafixaconsolidadoout[[#Headers],[30]],tabela_registros[REGISTRO],DADOS!$N$6,tabela_registros[TIPO],DADOS!$AJ$3,tabela_registros[CATEGORIA],reservafixaconsolidadoout[[#This Row],[ATUAL]])</f>
        <v>0</v>
      </c>
      <c r="AI177" s="218" t="n">
        <f aca="false">SUMIFS(tabela_registros[VALOR],tabela_registros[MÊS],$AE$1,tabela_registros[DIA],reservafixaconsolidadoout[[#Headers],[31]],tabela_registros[REGISTRO],DADOS!$N$6,tabela_registros[TIPO],DADOS!$AJ$3,tabela_registros[CATEGORIA],reservafixaconsolidadoout[[#This Row],[ATUAL]])</f>
        <v>0</v>
      </c>
      <c r="AJ177" s="219" t="n">
        <f aca="false">SUM(reservafixaconsolidadoout[[#This Row],[1]:[31]])</f>
        <v>0</v>
      </c>
      <c r="AK177" s="165"/>
    </row>
    <row r="178" s="122" customFormat="true" ht="21" hidden="false" customHeight="true" outlineLevel="0" collapsed="false">
      <c r="B178" s="152"/>
      <c r="C178" s="153" t="s">
        <v>2</v>
      </c>
      <c r="D178" s="166"/>
      <c r="E178" s="155" t="n">
        <f aca="false">SUM(E168:E177)</f>
        <v>0</v>
      </c>
      <c r="F178" s="156" t="n">
        <f aca="false">SUM(F168:F177)+reservafixaconsolidadoout[[#This Row],[1]]</f>
        <v>0</v>
      </c>
      <c r="G178" s="156" t="n">
        <f aca="false">SUM(G168:G177)+reservafixaconsolidadoout[[#This Row],[2]]</f>
        <v>0</v>
      </c>
      <c r="H178" s="156" t="n">
        <f aca="false">SUM(H168:H177)+reservafixaconsolidadoout[[#This Row],[3]]</f>
        <v>0</v>
      </c>
      <c r="I178" s="156" t="n">
        <f aca="false">SUM(I168:I177)+reservafixaconsolidadoout[[#This Row],[4]]</f>
        <v>0</v>
      </c>
      <c r="J178" s="156" t="n">
        <f aca="false">SUM(J168:J177)+reservafixaconsolidadoout[[#This Row],[5]]</f>
        <v>0</v>
      </c>
      <c r="K178" s="156" t="n">
        <f aca="false">SUM(K168:K177)+reservafixaconsolidadoout[[#This Row],[6]]</f>
        <v>0</v>
      </c>
      <c r="L178" s="156" t="n">
        <f aca="false">SUM(L168:L177)+reservafixaconsolidadoout[[#This Row],[7]]</f>
        <v>0</v>
      </c>
      <c r="M178" s="156" t="n">
        <f aca="false">SUM(M168:M177)+reservafixaconsolidadoout[[#This Row],[8]]</f>
        <v>0</v>
      </c>
      <c r="N178" s="156" t="n">
        <f aca="false">SUM(N168:N177)+reservafixaconsolidadoout[[#This Row],[9]]</f>
        <v>0</v>
      </c>
      <c r="O178" s="156" t="n">
        <f aca="false">SUM(O168:O177)+reservafixaconsolidadoout[[#This Row],[10]]</f>
        <v>0</v>
      </c>
      <c r="P178" s="156" t="n">
        <f aca="false">SUM(P168:P177)+reservafixaconsolidadoout[[#This Row],[11]]</f>
        <v>0</v>
      </c>
      <c r="Q178" s="156" t="n">
        <f aca="false">SUM(Q168:Q177)+reservafixaconsolidadoout[[#This Row],[12]]</f>
        <v>0</v>
      </c>
      <c r="R178" s="156" t="n">
        <f aca="false">SUM(R168:R177)+reservafixaconsolidadoout[[#This Row],[13]]</f>
        <v>0</v>
      </c>
      <c r="S178" s="156" t="n">
        <f aca="false">SUM(S168:S177)+reservafixaconsolidadoout[[#This Row],[14]]</f>
        <v>0</v>
      </c>
      <c r="T178" s="156" t="n">
        <f aca="false">SUM(T168:T177)+reservafixaconsolidadoout[[#This Row],[15]]</f>
        <v>0</v>
      </c>
      <c r="U178" s="156" t="n">
        <f aca="false">SUM(U168:U177)+reservafixaconsolidadoout[[#This Row],[16]]</f>
        <v>0</v>
      </c>
      <c r="V178" s="156" t="n">
        <f aca="false">SUM(V168:V177)+reservafixaconsolidadoout[[#This Row],[17]]</f>
        <v>0</v>
      </c>
      <c r="W178" s="156" t="n">
        <f aca="false">SUM(W168:W177)+reservafixaconsolidadoout[[#This Row],[18]]</f>
        <v>0</v>
      </c>
      <c r="X178" s="156" t="n">
        <f aca="false">SUM(X168:X177)+reservafixaconsolidadoout[[#This Row],[19]]</f>
        <v>0</v>
      </c>
      <c r="Y178" s="156" t="n">
        <f aca="false">SUM(Y168:Y177)+reservafixaconsolidadoout[[#This Row],[20]]</f>
        <v>0</v>
      </c>
      <c r="Z178" s="156" t="n">
        <f aca="false">SUM(Z168:Z177)+reservafixaconsolidadoout[[#This Row],[21]]</f>
        <v>0</v>
      </c>
      <c r="AA178" s="156" t="n">
        <f aca="false">SUM(AA168:AA177)+reservafixaconsolidadoout[[#This Row],[22]]</f>
        <v>0</v>
      </c>
      <c r="AB178" s="156" t="n">
        <f aca="false">SUM(AB168:AB177)+reservafixaconsolidadoout[[#This Row],[23]]</f>
        <v>0</v>
      </c>
      <c r="AC178" s="156" t="n">
        <f aca="false">SUM(AC168:AC177)+reservafixaconsolidadoout[[#This Row],[24]]</f>
        <v>0</v>
      </c>
      <c r="AD178" s="156" t="n">
        <f aca="false">SUM(AD168:AD177)+reservafixaconsolidadoout[[#This Row],[25]]</f>
        <v>0</v>
      </c>
      <c r="AE178" s="156" t="n">
        <f aca="false">SUM(AE168:AE177)+reservafixaconsolidadoout[[#This Row],[26]]</f>
        <v>0</v>
      </c>
      <c r="AF178" s="156" t="n">
        <f aca="false">SUM(AF168:AF177)+reservafixaconsolidadoout[[#This Row],[27]]</f>
        <v>0</v>
      </c>
      <c r="AG178" s="156" t="n">
        <f aca="false">SUM(AG168:AG177)+reservafixaconsolidadoout[[#This Row],[28]]</f>
        <v>0</v>
      </c>
      <c r="AH178" s="156" t="n">
        <f aca="false">SUM(AH168:AH177)+reservafixaconsolidadoout[[#This Row],[29]]</f>
        <v>0</v>
      </c>
      <c r="AI178" s="223" t="n">
        <f aca="false">SUM(AI168:AI177)+reservafixaconsolidadoout[[#This Row],[30]]</f>
        <v>0</v>
      </c>
      <c r="AJ178" s="157" t="n">
        <f aca="false">reservafixaconsolidadoout[[#This Row],[31]]</f>
        <v>0</v>
      </c>
      <c r="AK178" s="158"/>
    </row>
    <row r="179" customFormat="false" ht="6.75" hidden="false" customHeight="true" outlineLevel="0" collapsed="false">
      <c r="B179" s="97"/>
      <c r="C179" s="162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233"/>
      <c r="AJ179" s="164"/>
      <c r="AK179" s="244"/>
    </row>
    <row r="180" s="78" customFormat="true" ht="12.75" hidden="false" customHeight="false" outlineLevel="0" collapsed="false">
      <c r="E180" s="100"/>
    </row>
    <row r="181" s="78" customFormat="true" ht="12" hidden="false" customHeight="false" outlineLevel="0" collapsed="false"/>
    <row r="182" s="78" customFormat="true" ht="12" hidden="false" customHeight="false" outlineLevel="0" collapsed="false"/>
    <row r="183" customFormat="false" ht="39.75" hidden="false" customHeight="true" outlineLevel="0" collapsed="false">
      <c r="C183" s="101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3" t="s">
        <v>2</v>
      </c>
    </row>
    <row r="184" s="78" customFormat="true" ht="12.75" hidden="false" customHeight="false" outlineLevel="0" collapsed="false">
      <c r="B184" s="161"/>
      <c r="AJ184" s="106" t="s">
        <v>64</v>
      </c>
    </row>
    <row r="185" customFormat="false" ht="6.75" hidden="false" customHeight="true" outlineLevel="0" collapsed="false">
      <c r="B185" s="86"/>
      <c r="C185" s="162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233"/>
      <c r="AK185" s="139"/>
    </row>
    <row r="186" customFormat="false" ht="13.5" hidden="true" customHeight="false" outlineLevel="0" collapsed="false">
      <c r="B186" s="86"/>
      <c r="C186" s="109" t="s">
        <v>68</v>
      </c>
      <c r="D186" s="110" t="s">
        <v>69</v>
      </c>
      <c r="E186" s="110" t="s">
        <v>30</v>
      </c>
      <c r="F186" s="110" t="s">
        <v>31</v>
      </c>
      <c r="G186" s="110" t="s">
        <v>32</v>
      </c>
      <c r="H186" s="110" t="s">
        <v>33</v>
      </c>
      <c r="I186" s="110" t="s">
        <v>34</v>
      </c>
      <c r="J186" s="110" t="s">
        <v>35</v>
      </c>
      <c r="K186" s="110" t="s">
        <v>36</v>
      </c>
      <c r="L186" s="110" t="s">
        <v>37</v>
      </c>
      <c r="M186" s="110" t="s">
        <v>38</v>
      </c>
      <c r="N186" s="110" t="s">
        <v>39</v>
      </c>
      <c r="O186" s="110" t="s">
        <v>40</v>
      </c>
      <c r="P186" s="110" t="s">
        <v>41</v>
      </c>
      <c r="Q186" s="110" t="s">
        <v>81</v>
      </c>
      <c r="R186" s="110" t="s">
        <v>82</v>
      </c>
      <c r="S186" s="110" t="s">
        <v>83</v>
      </c>
      <c r="T186" s="110" t="s">
        <v>84</v>
      </c>
      <c r="U186" s="110" t="s">
        <v>85</v>
      </c>
      <c r="V186" s="110" t="s">
        <v>86</v>
      </c>
      <c r="W186" s="110" t="s">
        <v>87</v>
      </c>
      <c r="X186" s="110" t="s">
        <v>88</v>
      </c>
      <c r="Y186" s="110" t="s">
        <v>89</v>
      </c>
      <c r="Z186" s="110" t="s">
        <v>90</v>
      </c>
      <c r="AA186" s="110" t="s">
        <v>91</v>
      </c>
      <c r="AB186" s="110" t="s">
        <v>92</v>
      </c>
      <c r="AC186" s="110" t="s">
        <v>93</v>
      </c>
      <c r="AD186" s="110" t="s">
        <v>94</v>
      </c>
      <c r="AE186" s="110" t="s">
        <v>95</v>
      </c>
      <c r="AF186" s="110" t="s">
        <v>96</v>
      </c>
      <c r="AG186" s="110" t="s">
        <v>97</v>
      </c>
      <c r="AH186" s="110" t="s">
        <v>98</v>
      </c>
      <c r="AI186" s="110" t="s">
        <v>99</v>
      </c>
      <c r="AJ186" s="111" t="s">
        <v>70</v>
      </c>
      <c r="AK186" s="86"/>
    </row>
    <row r="187" customFormat="false" ht="19.5" hidden="false" customHeight="true" outlineLevel="0" collapsed="false">
      <c r="B187" s="143"/>
      <c r="C187" s="144" t="str">
        <f aca="false">DADOS!$AN$3</f>
        <v>📝 AÇÃO</v>
      </c>
      <c r="D187" s="145" t="str">
        <f aca="false">IF(reservavariáveisconsolidadoout[[#This Row],[TOTAL (R$)]]=0,"",IF(OR(reservavariáveisconsolidadoout[[#This Row],[TOTAL (R$)]]=LARGE($AJ$187:$AJ$196,1),reservavariáveisconsolidadoout[[#This Row],[TOTAL (R$)]]=LARGE($AJ$187:$AJ$196,2)),DADOS!$I$11,""))</f>
        <v/>
      </c>
      <c r="E187" s="148" t="n">
        <f aca="false">SUMIFS(tabela_registros[VALOR],tabela_registros[MÊS],$AE$1,tabela_registros[DIA],reservavariáveisconsolidadoout[[#Headers],[1]],tabela_registros[REGISTRO],DADOS!$N$6,tabela_registros[TIPO],DADOS!$AJ$4,tabela_registros[CATEGORIA],reservavariáveisconsolidadoout[[#This Row],[ATUAL]])</f>
        <v>0</v>
      </c>
      <c r="F187" s="119" t="n">
        <f aca="false">SUMIFS(tabela_registros[VALOR],tabela_registros[MÊS],$AE$1,tabela_registros[DIA],reservavariáveisconsolidadoout[[#Headers],[2]],tabela_registros[REGISTRO],DADOS!$N$6,tabela_registros[TIPO],DADOS!$AJ$4,tabela_registros[CATEGORIA],reservavariáveisconsolidadoout[[#This Row],[ATUAL]])</f>
        <v>0</v>
      </c>
      <c r="G187" s="119" t="n">
        <f aca="false">SUMIFS(tabela_registros[VALOR],tabela_registros[MÊS],$AE$1,tabela_registros[DIA],reservavariáveisconsolidadoout[[#Headers],[3]],tabela_registros[REGISTRO],DADOS!$N$6,tabela_registros[TIPO],DADOS!$AJ$4,tabela_registros[CATEGORIA],reservavariáveisconsolidadoout[[#This Row],[ATUAL]])</f>
        <v>0</v>
      </c>
      <c r="H187" s="119" t="n">
        <f aca="false">SUMIFS(tabela_registros[VALOR],tabela_registros[MÊS],$AE$1,tabela_registros[DIA],reservavariáveisconsolidadoout[[#Headers],[4]],tabela_registros[REGISTRO],DADOS!$N$6,tabela_registros[TIPO],DADOS!$AJ$4,tabela_registros[CATEGORIA],reservavariáveisconsolidadoout[[#This Row],[ATUAL]])</f>
        <v>0</v>
      </c>
      <c r="I187" s="119" t="n">
        <f aca="false">SUMIFS(tabela_registros[VALOR],tabela_registros[MÊS],$AE$1,tabela_registros[DIA],reservavariáveisconsolidadoout[[#Headers],[5]],tabela_registros[REGISTRO],DADOS!$N$6,tabela_registros[TIPO],DADOS!$AJ$4,tabela_registros[CATEGORIA],reservavariáveisconsolidadoout[[#This Row],[ATUAL]])</f>
        <v>0</v>
      </c>
      <c r="J187" s="119" t="n">
        <f aca="false">SUMIFS(tabela_registros[VALOR],tabela_registros[MÊS],$AE$1,tabela_registros[DIA],reservavariáveisconsolidadoout[[#Headers],[6]],tabela_registros[REGISTRO],DADOS!$N$6,tabela_registros[TIPO],DADOS!$AJ$4,tabela_registros[CATEGORIA],reservavariáveisconsolidadoout[[#This Row],[ATUAL]])</f>
        <v>0</v>
      </c>
      <c r="K187" s="119" t="n">
        <f aca="false">SUMIFS(tabela_registros[VALOR],tabela_registros[MÊS],$AE$1,tabela_registros[DIA],reservavariáveisconsolidadoout[[#Headers],[7]],tabela_registros[REGISTRO],DADOS!$N$6,tabela_registros[TIPO],DADOS!$AJ$4,tabela_registros[CATEGORIA],reservavariáveisconsolidadoout[[#This Row],[ATUAL]])</f>
        <v>0</v>
      </c>
      <c r="L187" s="119" t="n">
        <f aca="false">SUMIFS(tabela_registros[VALOR],tabela_registros[MÊS],$AE$1,tabela_registros[DIA],reservavariáveisconsolidadoout[[#Headers],[8]],tabela_registros[REGISTRO],DADOS!$N$6,tabela_registros[TIPO],DADOS!$AJ$4,tabela_registros[CATEGORIA],reservavariáveisconsolidadoout[[#This Row],[ATUAL]])</f>
        <v>0</v>
      </c>
      <c r="M187" s="119" t="n">
        <f aca="false">SUMIFS(tabela_registros[VALOR],tabela_registros[MÊS],$AE$1,tabela_registros[DIA],reservavariáveisconsolidadoout[[#Headers],[9]],tabela_registros[REGISTRO],DADOS!$N$6,tabela_registros[TIPO],DADOS!$AJ$4,tabela_registros[CATEGORIA],reservavariáveisconsolidadoout[[#This Row],[ATUAL]])</f>
        <v>0</v>
      </c>
      <c r="N187" s="119" t="n">
        <f aca="false">SUMIFS(tabela_registros[VALOR],tabela_registros[MÊS],$AE$1,tabela_registros[DIA],reservavariáveisconsolidadoout[[#Headers],[10]],tabela_registros[REGISTRO],DADOS!$N$6,tabela_registros[TIPO],DADOS!$AJ$4,tabela_registros[CATEGORIA],reservavariáveisconsolidadoout[[#This Row],[ATUAL]])</f>
        <v>0</v>
      </c>
      <c r="O187" s="119" t="n">
        <f aca="false">SUMIFS(tabela_registros[VALOR],tabela_registros[MÊS],$AE$1,tabela_registros[DIA],reservavariáveisconsolidadoout[[#Headers],[11]],tabela_registros[REGISTRO],DADOS!$N$6,tabela_registros[TIPO],DADOS!$AJ$4,tabela_registros[CATEGORIA],reservavariáveisconsolidadoout[[#This Row],[ATUAL]])</f>
        <v>0</v>
      </c>
      <c r="P187" s="119" t="n">
        <f aca="false">SUMIFS(tabela_registros[VALOR],tabela_registros[MÊS],$AE$1,tabela_registros[DIA],reservavariáveisconsolidadoout[[#Headers],[12]],tabela_registros[REGISTRO],DADOS!$N$6,tabela_registros[TIPO],DADOS!$AJ$4,tabela_registros[CATEGORIA],reservavariáveisconsolidadoout[[#This Row],[ATUAL]])</f>
        <v>0</v>
      </c>
      <c r="Q187" s="119" t="n">
        <f aca="false">SUMIFS(tabela_registros[VALOR],tabela_registros[MÊS],$AE$1,tabela_registros[DIA],reservavariáveisconsolidadoout[[#Headers],[13]],tabela_registros[REGISTRO],DADOS!$N$6,tabela_registros[TIPO],DADOS!$AJ$4,tabela_registros[CATEGORIA],reservavariáveisconsolidadoout[[#This Row],[ATUAL]])</f>
        <v>0</v>
      </c>
      <c r="R187" s="119" t="n">
        <f aca="false">SUMIFS(tabela_registros[VALOR],tabela_registros[MÊS],$AE$1,tabela_registros[DIA],reservavariáveisconsolidadoout[[#Headers],[14]],tabela_registros[REGISTRO],DADOS!$N$6,tabela_registros[TIPO],DADOS!$AJ$4,tabela_registros[CATEGORIA],reservavariáveisconsolidadoout[[#This Row],[ATUAL]])</f>
        <v>0</v>
      </c>
      <c r="S187" s="119" t="n">
        <f aca="false">SUMIFS(tabela_registros[VALOR],tabela_registros[MÊS],$AE$1,tabela_registros[DIA],reservavariáveisconsolidadoout[[#Headers],[15]],tabela_registros[REGISTRO],DADOS!$N$6,tabela_registros[TIPO],DADOS!$AJ$4,tabela_registros[CATEGORIA],reservavariáveisconsolidadoout[[#This Row],[ATUAL]])</f>
        <v>0</v>
      </c>
      <c r="T187" s="119" t="n">
        <f aca="false">SUMIFS(tabela_registros[VALOR],tabela_registros[MÊS],$AE$1,tabela_registros[DIA],reservavariáveisconsolidadoout[[#Headers],[16]],tabela_registros[REGISTRO],DADOS!$N$6,tabela_registros[TIPO],DADOS!$AJ$4,tabela_registros[CATEGORIA],reservavariáveisconsolidadoout[[#This Row],[ATUAL]])</f>
        <v>0</v>
      </c>
      <c r="U187" s="119" t="n">
        <f aca="false">SUMIFS(tabela_registros[VALOR],tabela_registros[MÊS],$AE$1,tabela_registros[DIA],reservavariáveisconsolidadoout[[#Headers],[17]],tabela_registros[REGISTRO],DADOS!$N$6,tabela_registros[TIPO],DADOS!$AJ$4,tabela_registros[CATEGORIA],reservavariáveisconsolidadoout[[#This Row],[ATUAL]])</f>
        <v>0</v>
      </c>
      <c r="V187" s="119" t="n">
        <f aca="false">SUMIFS(tabela_registros[VALOR],tabela_registros[MÊS],$AE$1,tabela_registros[DIA],reservavariáveisconsolidadoout[[#Headers],[18]],tabela_registros[REGISTRO],DADOS!$N$6,tabela_registros[TIPO],DADOS!$AJ$4,tabela_registros[CATEGORIA],reservavariáveisconsolidadoout[[#This Row],[ATUAL]])</f>
        <v>0</v>
      </c>
      <c r="W187" s="119" t="n">
        <f aca="false">SUMIFS(tabela_registros[VALOR],tabela_registros[MÊS],$AE$1,tabela_registros[DIA],reservavariáveisconsolidadoout[[#Headers],[19]],tabela_registros[REGISTRO],DADOS!$N$6,tabela_registros[TIPO],DADOS!$AJ$4,tabela_registros[CATEGORIA],reservavariáveisconsolidadoout[[#This Row],[ATUAL]])</f>
        <v>0</v>
      </c>
      <c r="X187" s="119" t="n">
        <f aca="false">SUMIFS(tabela_registros[VALOR],tabela_registros[MÊS],$AE$1,tabela_registros[DIA],reservavariáveisconsolidadoout[[#Headers],[20]],tabela_registros[REGISTRO],DADOS!$N$6,tabela_registros[TIPO],DADOS!$AJ$4,tabela_registros[CATEGORIA],reservavariáveisconsolidadoout[[#This Row],[ATUAL]])</f>
        <v>0</v>
      </c>
      <c r="Y187" s="119" t="n">
        <f aca="false">SUMIFS(tabela_registros[VALOR],tabela_registros[MÊS],$AE$1,tabela_registros[DIA],reservavariáveisconsolidadoout[[#Headers],[21]],tabela_registros[REGISTRO],DADOS!$N$6,tabela_registros[TIPO],DADOS!$AJ$4,tabela_registros[CATEGORIA],reservavariáveisconsolidadoout[[#This Row],[ATUAL]])</f>
        <v>0</v>
      </c>
      <c r="Z187" s="119" t="n">
        <f aca="false">SUMIFS(tabela_registros[VALOR],tabela_registros[MÊS],$AE$1,tabela_registros[DIA],reservavariáveisconsolidadoout[[#Headers],[22]],tabela_registros[REGISTRO],DADOS!$N$6,tabela_registros[TIPO],DADOS!$AJ$4,tabela_registros[CATEGORIA],reservavariáveisconsolidadoout[[#This Row],[ATUAL]])</f>
        <v>0</v>
      </c>
      <c r="AA187" s="119" t="n">
        <f aca="false">SUMIFS(tabela_registros[VALOR],tabela_registros[MÊS],$AE$1,tabela_registros[DIA],reservavariáveisconsolidadoout[[#Headers],[23]],tabela_registros[REGISTRO],DADOS!$N$6,tabela_registros[TIPO],DADOS!$AJ$4,tabela_registros[CATEGORIA],reservavariáveisconsolidadoout[[#This Row],[ATUAL]])</f>
        <v>0</v>
      </c>
      <c r="AB187" s="119" t="n">
        <f aca="false">SUMIFS(tabela_registros[VALOR],tabela_registros[MÊS],$AE$1,tabela_registros[DIA],reservavariáveisconsolidadoout[[#Headers],[24]],tabela_registros[REGISTRO],DADOS!$N$6,tabela_registros[TIPO],DADOS!$AJ$4,tabela_registros[CATEGORIA],reservavariáveisconsolidadoout[[#This Row],[ATUAL]])</f>
        <v>0</v>
      </c>
      <c r="AC187" s="119" t="n">
        <f aca="false">SUMIFS(tabela_registros[VALOR],tabela_registros[MÊS],$AE$1,tabela_registros[DIA],reservavariáveisconsolidadoout[[#Headers],[25]],tabela_registros[REGISTRO],DADOS!$N$6,tabela_registros[TIPO],DADOS!$AJ$4,tabela_registros[CATEGORIA],reservavariáveisconsolidadoout[[#This Row],[ATUAL]])</f>
        <v>0</v>
      </c>
      <c r="AD187" s="119" t="n">
        <f aca="false">SUMIFS(tabela_registros[VALOR],tabela_registros[MÊS],$AE$1,tabela_registros[DIA],reservavariáveisconsolidadoout[[#Headers],[26]],tabela_registros[REGISTRO],DADOS!$N$6,tabela_registros[TIPO],DADOS!$AJ$4,tabela_registros[CATEGORIA],reservavariáveisconsolidadoout[[#This Row],[ATUAL]])</f>
        <v>0</v>
      </c>
      <c r="AE187" s="119" t="n">
        <f aca="false">SUMIFS(tabela_registros[VALOR],tabela_registros[MÊS],$AE$1,tabela_registros[DIA],reservavariáveisconsolidadoout[[#Headers],[27]],tabela_registros[REGISTRO],DADOS!$N$6,tabela_registros[TIPO],DADOS!$AJ$4,tabela_registros[CATEGORIA],reservavariáveisconsolidadoout[[#This Row],[ATUAL]])</f>
        <v>0</v>
      </c>
      <c r="AF187" s="119" t="n">
        <f aca="false">SUMIFS(tabela_registros[VALOR],tabela_registros[MÊS],$AE$1,tabela_registros[DIA],reservavariáveisconsolidadoout[[#Headers],[28]],tabela_registros[REGISTRO],DADOS!$N$6,tabela_registros[TIPO],DADOS!$AJ$4,tabela_registros[CATEGORIA],reservavariáveisconsolidadoout[[#This Row],[ATUAL]])</f>
        <v>0</v>
      </c>
      <c r="AG187" s="119" t="n">
        <f aca="false">SUMIFS(tabela_registros[VALOR],tabela_registros[MÊS],$AE$1,tabela_registros[DIA],reservavariáveisconsolidadoout[[#Headers],[29]],tabela_registros[REGISTRO],DADOS!$N$6,tabela_registros[TIPO],DADOS!$AJ$4,tabela_registros[CATEGORIA],reservavariáveisconsolidadoout[[#This Row],[ATUAL]])</f>
        <v>0</v>
      </c>
      <c r="AH187" s="119" t="n">
        <f aca="false">SUMIFS(tabela_registros[VALOR],tabela_registros[MÊS],$AE$1,tabela_registros[DIA],reservavariáveisconsolidadoout[[#Headers],[30]],tabela_registros[REGISTRO],DADOS!$N$6,tabela_registros[TIPO],DADOS!$AJ$4,tabela_registros[CATEGORIA],reservavariáveisconsolidadoout[[#This Row],[ATUAL]])</f>
        <v>0</v>
      </c>
      <c r="AI187" s="217" t="n">
        <f aca="false">SUMIFS(tabela_registros[VALOR],tabela_registros[MÊS],$AE$1,tabela_registros[DIA],reservavariáveisconsolidadoout[[#Headers],[31]],tabela_registros[REGISTRO],DADOS!$N$6,tabela_registros[TIPO],DADOS!$AJ$4,tabela_registros[CATEGORIA],reservavariáveisconsolidadoout[[#This Row],[ATUAL]])</f>
        <v>0</v>
      </c>
      <c r="AJ187" s="149" t="n">
        <f aca="false">SUM(reservavariáveisconsolidadoout[[#This Row],[1]:[31]])</f>
        <v>0</v>
      </c>
      <c r="AK187" s="165"/>
    </row>
    <row r="188" customFormat="false" ht="19.5" hidden="false" customHeight="true" outlineLevel="0" collapsed="false">
      <c r="B188" s="143"/>
      <c r="C188" s="144" t="str">
        <f aca="false">DADOS!$AN$4</f>
        <v>📝 COMÓDITE</v>
      </c>
      <c r="D188" s="145" t="str">
        <f aca="false">IF(reservavariáveisconsolidadoout[[#This Row],[TOTAL (R$)]]=0,"",IF(OR(reservavariáveisconsolidadoout[[#This Row],[TOTAL (R$)]]=LARGE($AJ$187:$AJ$196,1),reservavariáveisconsolidadoout[[#This Row],[TOTAL (R$)]]=LARGE($AJ$187:$AJ$196,2)),DADOS!$I$11,""))</f>
        <v/>
      </c>
      <c r="E188" s="148" t="n">
        <f aca="false">SUMIFS(tabela_registros[VALOR],tabela_registros[MÊS],$AE$1,tabela_registros[DIA],reservavariáveisconsolidadoout[[#Headers],[1]],tabela_registros[REGISTRO],DADOS!$N$6,tabela_registros[TIPO],DADOS!$AJ$4,tabela_registros[CATEGORIA],reservavariáveisconsolidadoout[[#This Row],[ATUAL]])</f>
        <v>0</v>
      </c>
      <c r="F188" s="119" t="n">
        <f aca="false">SUMIFS(tabela_registros[VALOR],tabela_registros[MÊS],$AE$1,tabela_registros[DIA],reservavariáveisconsolidadoout[[#Headers],[2]],tabela_registros[REGISTRO],DADOS!$N$6,tabela_registros[TIPO],DADOS!$AJ$4,tabela_registros[CATEGORIA],reservavariáveisconsolidadoout[[#This Row],[ATUAL]])</f>
        <v>0</v>
      </c>
      <c r="G188" s="119" t="n">
        <f aca="false">SUMIFS(tabela_registros[VALOR],tabela_registros[MÊS],$AE$1,tabela_registros[DIA],reservavariáveisconsolidadoout[[#Headers],[3]],tabela_registros[REGISTRO],DADOS!$N$6,tabela_registros[TIPO],DADOS!$AJ$4,tabela_registros[CATEGORIA],reservavariáveisconsolidadoout[[#This Row],[ATUAL]])</f>
        <v>0</v>
      </c>
      <c r="H188" s="119" t="n">
        <f aca="false">SUMIFS(tabela_registros[VALOR],tabela_registros[MÊS],$AE$1,tabela_registros[DIA],reservavariáveisconsolidadoout[[#Headers],[4]],tabela_registros[REGISTRO],DADOS!$N$6,tabela_registros[TIPO],DADOS!$AJ$4,tabela_registros[CATEGORIA],reservavariáveisconsolidadoout[[#This Row],[ATUAL]])</f>
        <v>0</v>
      </c>
      <c r="I188" s="119" t="n">
        <f aca="false">SUMIFS(tabela_registros[VALOR],tabela_registros[MÊS],$AE$1,tabela_registros[DIA],reservavariáveisconsolidadoout[[#Headers],[5]],tabela_registros[REGISTRO],DADOS!$N$6,tabela_registros[TIPO],DADOS!$AJ$4,tabela_registros[CATEGORIA],reservavariáveisconsolidadoout[[#This Row],[ATUAL]])</f>
        <v>0</v>
      </c>
      <c r="J188" s="119" t="n">
        <f aca="false">SUMIFS(tabela_registros[VALOR],tabela_registros[MÊS],$AE$1,tabela_registros[DIA],reservavariáveisconsolidadoout[[#Headers],[6]],tabela_registros[REGISTRO],DADOS!$N$6,tabela_registros[TIPO],DADOS!$AJ$4,tabela_registros[CATEGORIA],reservavariáveisconsolidadoout[[#This Row],[ATUAL]])</f>
        <v>0</v>
      </c>
      <c r="K188" s="119" t="n">
        <f aca="false">SUMIFS(tabela_registros[VALOR],tabela_registros[MÊS],$AE$1,tabela_registros[DIA],reservavariáveisconsolidadoout[[#Headers],[7]],tabela_registros[REGISTRO],DADOS!$N$6,tabela_registros[TIPO],DADOS!$AJ$4,tabela_registros[CATEGORIA],reservavariáveisconsolidadoout[[#This Row],[ATUAL]])</f>
        <v>0</v>
      </c>
      <c r="L188" s="119" t="n">
        <f aca="false">SUMIFS(tabela_registros[VALOR],tabela_registros[MÊS],$AE$1,tabela_registros[DIA],reservavariáveisconsolidadoout[[#Headers],[8]],tabela_registros[REGISTRO],DADOS!$N$6,tabela_registros[TIPO],DADOS!$AJ$4,tabela_registros[CATEGORIA],reservavariáveisconsolidadoout[[#This Row],[ATUAL]])</f>
        <v>0</v>
      </c>
      <c r="M188" s="119" t="n">
        <f aca="false">SUMIFS(tabela_registros[VALOR],tabela_registros[MÊS],$AE$1,tabela_registros[DIA],reservavariáveisconsolidadoout[[#Headers],[9]],tabela_registros[REGISTRO],DADOS!$N$6,tabela_registros[TIPO],DADOS!$AJ$4,tabela_registros[CATEGORIA],reservavariáveisconsolidadoout[[#This Row],[ATUAL]])</f>
        <v>0</v>
      </c>
      <c r="N188" s="119" t="n">
        <f aca="false">SUMIFS(tabela_registros[VALOR],tabela_registros[MÊS],$AE$1,tabela_registros[DIA],reservavariáveisconsolidadoout[[#Headers],[10]],tabela_registros[REGISTRO],DADOS!$N$6,tabela_registros[TIPO],DADOS!$AJ$4,tabela_registros[CATEGORIA],reservavariáveisconsolidadoout[[#This Row],[ATUAL]])</f>
        <v>0</v>
      </c>
      <c r="O188" s="119" t="n">
        <f aca="false">SUMIFS(tabela_registros[VALOR],tabela_registros[MÊS],$AE$1,tabela_registros[DIA],reservavariáveisconsolidadoout[[#Headers],[11]],tabela_registros[REGISTRO],DADOS!$N$6,tabela_registros[TIPO],DADOS!$AJ$4,tabela_registros[CATEGORIA],reservavariáveisconsolidadoout[[#This Row],[ATUAL]])</f>
        <v>0</v>
      </c>
      <c r="P188" s="119" t="n">
        <f aca="false">SUMIFS(tabela_registros[VALOR],tabela_registros[MÊS],$AE$1,tabela_registros[DIA],reservavariáveisconsolidadoout[[#Headers],[12]],tabela_registros[REGISTRO],DADOS!$N$6,tabela_registros[TIPO],DADOS!$AJ$4,tabela_registros[CATEGORIA],reservavariáveisconsolidadoout[[#This Row],[ATUAL]])</f>
        <v>0</v>
      </c>
      <c r="Q188" s="119" t="n">
        <f aca="false">SUMIFS(tabela_registros[VALOR],tabela_registros[MÊS],$AE$1,tabela_registros[DIA],reservavariáveisconsolidadoout[[#Headers],[13]],tabela_registros[REGISTRO],DADOS!$N$6,tabela_registros[TIPO],DADOS!$AJ$4,tabela_registros[CATEGORIA],reservavariáveisconsolidadoout[[#This Row],[ATUAL]])</f>
        <v>0</v>
      </c>
      <c r="R188" s="119" t="n">
        <f aca="false">SUMIFS(tabela_registros[VALOR],tabela_registros[MÊS],$AE$1,tabela_registros[DIA],reservavariáveisconsolidadoout[[#Headers],[14]],tabela_registros[REGISTRO],DADOS!$N$6,tabela_registros[TIPO],DADOS!$AJ$4,tabela_registros[CATEGORIA],reservavariáveisconsolidadoout[[#This Row],[ATUAL]])</f>
        <v>0</v>
      </c>
      <c r="S188" s="119" t="n">
        <f aca="false">SUMIFS(tabela_registros[VALOR],tabela_registros[MÊS],$AE$1,tabela_registros[DIA],reservavariáveisconsolidadoout[[#Headers],[15]],tabela_registros[REGISTRO],DADOS!$N$6,tabela_registros[TIPO],DADOS!$AJ$4,tabela_registros[CATEGORIA],reservavariáveisconsolidadoout[[#This Row],[ATUAL]])</f>
        <v>0</v>
      </c>
      <c r="T188" s="119" t="n">
        <f aca="false">SUMIFS(tabela_registros[VALOR],tabela_registros[MÊS],$AE$1,tabela_registros[DIA],reservavariáveisconsolidadoout[[#Headers],[16]],tabela_registros[REGISTRO],DADOS!$N$6,tabela_registros[TIPO],DADOS!$AJ$4,tabela_registros[CATEGORIA],reservavariáveisconsolidadoout[[#This Row],[ATUAL]])</f>
        <v>0</v>
      </c>
      <c r="U188" s="119" t="n">
        <f aca="false">SUMIFS(tabela_registros[VALOR],tabela_registros[MÊS],$AE$1,tabela_registros[DIA],reservavariáveisconsolidadoout[[#Headers],[17]],tabela_registros[REGISTRO],DADOS!$N$6,tabela_registros[TIPO],DADOS!$AJ$4,tabela_registros[CATEGORIA],reservavariáveisconsolidadoout[[#This Row],[ATUAL]])</f>
        <v>0</v>
      </c>
      <c r="V188" s="119" t="n">
        <f aca="false">SUMIFS(tabela_registros[VALOR],tabela_registros[MÊS],$AE$1,tabela_registros[DIA],reservavariáveisconsolidadoout[[#Headers],[18]],tabela_registros[REGISTRO],DADOS!$N$6,tabela_registros[TIPO],DADOS!$AJ$4,tabela_registros[CATEGORIA],reservavariáveisconsolidadoout[[#This Row],[ATUAL]])</f>
        <v>0</v>
      </c>
      <c r="W188" s="119" t="n">
        <f aca="false">SUMIFS(tabela_registros[VALOR],tabela_registros[MÊS],$AE$1,tabela_registros[DIA],reservavariáveisconsolidadoout[[#Headers],[19]],tabela_registros[REGISTRO],DADOS!$N$6,tabela_registros[TIPO],DADOS!$AJ$4,tabela_registros[CATEGORIA],reservavariáveisconsolidadoout[[#This Row],[ATUAL]])</f>
        <v>0</v>
      </c>
      <c r="X188" s="119" t="n">
        <f aca="false">SUMIFS(tabela_registros[VALOR],tabela_registros[MÊS],$AE$1,tabela_registros[DIA],reservavariáveisconsolidadoout[[#Headers],[20]],tabela_registros[REGISTRO],DADOS!$N$6,tabela_registros[TIPO],DADOS!$AJ$4,tabela_registros[CATEGORIA],reservavariáveisconsolidadoout[[#This Row],[ATUAL]])</f>
        <v>0</v>
      </c>
      <c r="Y188" s="119" t="n">
        <f aca="false">SUMIFS(tabela_registros[VALOR],tabela_registros[MÊS],$AE$1,tabela_registros[DIA],reservavariáveisconsolidadoout[[#Headers],[21]],tabela_registros[REGISTRO],DADOS!$N$6,tabela_registros[TIPO],DADOS!$AJ$4,tabela_registros[CATEGORIA],reservavariáveisconsolidadoout[[#This Row],[ATUAL]])</f>
        <v>0</v>
      </c>
      <c r="Z188" s="119" t="n">
        <f aca="false">SUMIFS(tabela_registros[VALOR],tabela_registros[MÊS],$AE$1,tabela_registros[DIA],reservavariáveisconsolidadoout[[#Headers],[22]],tabela_registros[REGISTRO],DADOS!$N$6,tabela_registros[TIPO],DADOS!$AJ$4,tabela_registros[CATEGORIA],reservavariáveisconsolidadoout[[#This Row],[ATUAL]])</f>
        <v>0</v>
      </c>
      <c r="AA188" s="119" t="n">
        <f aca="false">SUMIFS(tabela_registros[VALOR],tabela_registros[MÊS],$AE$1,tabela_registros[DIA],reservavariáveisconsolidadoout[[#Headers],[23]],tabela_registros[REGISTRO],DADOS!$N$6,tabela_registros[TIPO],DADOS!$AJ$4,tabela_registros[CATEGORIA],reservavariáveisconsolidadoout[[#This Row],[ATUAL]])</f>
        <v>0</v>
      </c>
      <c r="AB188" s="119" t="n">
        <f aca="false">SUMIFS(tabela_registros[VALOR],tabela_registros[MÊS],$AE$1,tabela_registros[DIA],reservavariáveisconsolidadoout[[#Headers],[24]],tabela_registros[REGISTRO],DADOS!$N$6,tabela_registros[TIPO],DADOS!$AJ$4,tabela_registros[CATEGORIA],reservavariáveisconsolidadoout[[#This Row],[ATUAL]])</f>
        <v>0</v>
      </c>
      <c r="AC188" s="119" t="n">
        <f aca="false">SUMIFS(tabela_registros[VALOR],tabela_registros[MÊS],$AE$1,tabela_registros[DIA],reservavariáveisconsolidadoout[[#Headers],[25]],tabela_registros[REGISTRO],DADOS!$N$6,tabela_registros[TIPO],DADOS!$AJ$4,tabela_registros[CATEGORIA],reservavariáveisconsolidadoout[[#This Row],[ATUAL]])</f>
        <v>0</v>
      </c>
      <c r="AD188" s="119" t="n">
        <f aca="false">SUMIFS(tabela_registros[VALOR],tabela_registros[MÊS],$AE$1,tabela_registros[DIA],reservavariáveisconsolidadoout[[#Headers],[26]],tabela_registros[REGISTRO],DADOS!$N$6,tabela_registros[TIPO],DADOS!$AJ$4,tabela_registros[CATEGORIA],reservavariáveisconsolidadoout[[#This Row],[ATUAL]])</f>
        <v>0</v>
      </c>
      <c r="AE188" s="119" t="n">
        <f aca="false">SUMIFS(tabela_registros[VALOR],tabela_registros[MÊS],$AE$1,tabela_registros[DIA],reservavariáveisconsolidadoout[[#Headers],[27]],tabela_registros[REGISTRO],DADOS!$N$6,tabela_registros[TIPO],DADOS!$AJ$4,tabela_registros[CATEGORIA],reservavariáveisconsolidadoout[[#This Row],[ATUAL]])</f>
        <v>0</v>
      </c>
      <c r="AF188" s="119" t="n">
        <f aca="false">SUMIFS(tabela_registros[VALOR],tabela_registros[MÊS],$AE$1,tabela_registros[DIA],reservavariáveisconsolidadoout[[#Headers],[28]],tabela_registros[REGISTRO],DADOS!$N$6,tabela_registros[TIPO],DADOS!$AJ$4,tabela_registros[CATEGORIA],reservavariáveisconsolidadoout[[#This Row],[ATUAL]])</f>
        <v>0</v>
      </c>
      <c r="AG188" s="119" t="n">
        <f aca="false">SUMIFS(tabela_registros[VALOR],tabela_registros[MÊS],$AE$1,tabela_registros[DIA],reservavariáveisconsolidadoout[[#Headers],[29]],tabela_registros[REGISTRO],DADOS!$N$6,tabela_registros[TIPO],DADOS!$AJ$4,tabela_registros[CATEGORIA],reservavariáveisconsolidadoout[[#This Row],[ATUAL]])</f>
        <v>0</v>
      </c>
      <c r="AH188" s="119" t="n">
        <f aca="false">SUMIFS(tabela_registros[VALOR],tabela_registros[MÊS],$AE$1,tabela_registros[DIA],reservavariáveisconsolidadoout[[#Headers],[30]],tabela_registros[REGISTRO],DADOS!$N$6,tabela_registros[TIPO],DADOS!$AJ$4,tabela_registros[CATEGORIA],reservavariáveisconsolidadoout[[#This Row],[ATUAL]])</f>
        <v>0</v>
      </c>
      <c r="AI188" s="217" t="n">
        <f aca="false">SUMIFS(tabela_registros[VALOR],tabela_registros[MÊS],$AE$1,tabela_registros[DIA],reservavariáveisconsolidadoout[[#Headers],[31]],tabela_registros[REGISTRO],DADOS!$N$6,tabela_registros[TIPO],DADOS!$AJ$4,tabela_registros[CATEGORIA],reservavariáveisconsolidadoout[[#This Row],[ATUAL]])</f>
        <v>0</v>
      </c>
      <c r="AJ188" s="149" t="n">
        <f aca="false">SUM(reservavariáveisconsolidadoout[[#This Row],[1]:[31]])</f>
        <v>0</v>
      </c>
      <c r="AK188" s="165"/>
    </row>
    <row r="189" customFormat="false" ht="19.5" hidden="false" customHeight="true" outlineLevel="0" collapsed="false">
      <c r="B189" s="143"/>
      <c r="C189" s="144" t="str">
        <f aca="false">DADOS!$AN$5</f>
        <v>📝 CONTRATO DE FUTUROS</v>
      </c>
      <c r="D189" s="145" t="str">
        <f aca="false">IF(reservavariáveisconsolidadoout[[#This Row],[TOTAL (R$)]]=0,"",IF(OR(reservavariáveisconsolidadoout[[#This Row],[TOTAL (R$)]]=LARGE($AJ$187:$AJ$196,1),reservavariáveisconsolidadoout[[#This Row],[TOTAL (R$)]]=LARGE($AJ$187:$AJ$196,2)),DADOS!$I$11,""))</f>
        <v/>
      </c>
      <c r="E189" s="148" t="n">
        <f aca="false">SUMIFS(tabela_registros[VALOR],tabela_registros[MÊS],$AE$1,tabela_registros[DIA],reservavariáveisconsolidadoout[[#Headers],[1]],tabela_registros[REGISTRO],DADOS!$N$6,tabela_registros[TIPO],DADOS!$AJ$4,tabela_registros[CATEGORIA],reservavariáveisconsolidadoout[[#This Row],[ATUAL]])</f>
        <v>0</v>
      </c>
      <c r="F189" s="119" t="n">
        <f aca="false">SUMIFS(tabela_registros[VALOR],tabela_registros[MÊS],$AE$1,tabela_registros[DIA],reservavariáveisconsolidadoout[[#Headers],[2]],tabela_registros[REGISTRO],DADOS!$N$6,tabela_registros[TIPO],DADOS!$AJ$4,tabela_registros[CATEGORIA],reservavariáveisconsolidadoout[[#This Row],[ATUAL]])</f>
        <v>0</v>
      </c>
      <c r="G189" s="119" t="n">
        <f aca="false">SUMIFS(tabela_registros[VALOR],tabela_registros[MÊS],$AE$1,tabela_registros[DIA],reservavariáveisconsolidadoout[[#Headers],[3]],tabela_registros[REGISTRO],DADOS!$N$6,tabela_registros[TIPO],DADOS!$AJ$4,tabela_registros[CATEGORIA],reservavariáveisconsolidadoout[[#This Row],[ATUAL]])</f>
        <v>0</v>
      </c>
      <c r="H189" s="119" t="n">
        <f aca="false">SUMIFS(tabela_registros[VALOR],tabela_registros[MÊS],$AE$1,tabela_registros[DIA],reservavariáveisconsolidadoout[[#Headers],[4]],tabela_registros[REGISTRO],DADOS!$N$6,tabela_registros[TIPO],DADOS!$AJ$4,tabela_registros[CATEGORIA],reservavariáveisconsolidadoout[[#This Row],[ATUAL]])</f>
        <v>0</v>
      </c>
      <c r="I189" s="119" t="n">
        <f aca="false">SUMIFS(tabela_registros[VALOR],tabela_registros[MÊS],$AE$1,tabela_registros[DIA],reservavariáveisconsolidadoout[[#Headers],[5]],tabela_registros[REGISTRO],DADOS!$N$6,tabela_registros[TIPO],DADOS!$AJ$4,tabela_registros[CATEGORIA],reservavariáveisconsolidadoout[[#This Row],[ATUAL]])</f>
        <v>0</v>
      </c>
      <c r="J189" s="119" t="n">
        <f aca="false">SUMIFS(tabela_registros[VALOR],tabela_registros[MÊS],$AE$1,tabela_registros[DIA],reservavariáveisconsolidadoout[[#Headers],[6]],tabela_registros[REGISTRO],DADOS!$N$6,tabela_registros[TIPO],DADOS!$AJ$4,tabela_registros[CATEGORIA],reservavariáveisconsolidadoout[[#This Row],[ATUAL]])</f>
        <v>0</v>
      </c>
      <c r="K189" s="119" t="n">
        <f aca="false">SUMIFS(tabela_registros[VALOR],tabela_registros[MÊS],$AE$1,tabela_registros[DIA],reservavariáveisconsolidadoout[[#Headers],[7]],tabela_registros[REGISTRO],DADOS!$N$6,tabela_registros[TIPO],DADOS!$AJ$4,tabela_registros[CATEGORIA],reservavariáveisconsolidadoout[[#This Row],[ATUAL]])</f>
        <v>0</v>
      </c>
      <c r="L189" s="119" t="n">
        <f aca="false">SUMIFS(tabela_registros[VALOR],tabela_registros[MÊS],$AE$1,tabela_registros[DIA],reservavariáveisconsolidadoout[[#Headers],[8]],tabela_registros[REGISTRO],DADOS!$N$6,tabela_registros[TIPO],DADOS!$AJ$4,tabela_registros[CATEGORIA],reservavariáveisconsolidadoout[[#This Row],[ATUAL]])</f>
        <v>0</v>
      </c>
      <c r="M189" s="119" t="n">
        <f aca="false">SUMIFS(tabela_registros[VALOR],tabela_registros[MÊS],$AE$1,tabela_registros[DIA],reservavariáveisconsolidadoout[[#Headers],[9]],tabela_registros[REGISTRO],DADOS!$N$6,tabela_registros[TIPO],DADOS!$AJ$4,tabela_registros[CATEGORIA],reservavariáveisconsolidadoout[[#This Row],[ATUAL]])</f>
        <v>0</v>
      </c>
      <c r="N189" s="119" t="n">
        <f aca="false">SUMIFS(tabela_registros[VALOR],tabela_registros[MÊS],$AE$1,tabela_registros[DIA],reservavariáveisconsolidadoout[[#Headers],[10]],tabela_registros[REGISTRO],DADOS!$N$6,tabela_registros[TIPO],DADOS!$AJ$4,tabela_registros[CATEGORIA],reservavariáveisconsolidadoout[[#This Row],[ATUAL]])</f>
        <v>0</v>
      </c>
      <c r="O189" s="119" t="n">
        <f aca="false">SUMIFS(tabela_registros[VALOR],tabela_registros[MÊS],$AE$1,tabela_registros[DIA],reservavariáveisconsolidadoout[[#Headers],[11]],tabela_registros[REGISTRO],DADOS!$N$6,tabela_registros[TIPO],DADOS!$AJ$4,tabela_registros[CATEGORIA],reservavariáveisconsolidadoout[[#This Row],[ATUAL]])</f>
        <v>0</v>
      </c>
      <c r="P189" s="119" t="n">
        <f aca="false">SUMIFS(tabela_registros[VALOR],tabela_registros[MÊS],$AE$1,tabela_registros[DIA],reservavariáveisconsolidadoout[[#Headers],[12]],tabela_registros[REGISTRO],DADOS!$N$6,tabela_registros[TIPO],DADOS!$AJ$4,tabela_registros[CATEGORIA],reservavariáveisconsolidadoout[[#This Row],[ATUAL]])</f>
        <v>0</v>
      </c>
      <c r="Q189" s="119" t="n">
        <f aca="false">SUMIFS(tabela_registros[VALOR],tabela_registros[MÊS],$AE$1,tabela_registros[DIA],reservavariáveisconsolidadoout[[#Headers],[13]],tabela_registros[REGISTRO],DADOS!$N$6,tabela_registros[TIPO],DADOS!$AJ$4,tabela_registros[CATEGORIA],reservavariáveisconsolidadoout[[#This Row],[ATUAL]])</f>
        <v>0</v>
      </c>
      <c r="R189" s="119" t="n">
        <f aca="false">SUMIFS(tabela_registros[VALOR],tabela_registros[MÊS],$AE$1,tabela_registros[DIA],reservavariáveisconsolidadoout[[#Headers],[14]],tabela_registros[REGISTRO],DADOS!$N$6,tabela_registros[TIPO],DADOS!$AJ$4,tabela_registros[CATEGORIA],reservavariáveisconsolidadoout[[#This Row],[ATUAL]])</f>
        <v>0</v>
      </c>
      <c r="S189" s="119" t="n">
        <f aca="false">SUMIFS(tabela_registros[VALOR],tabela_registros[MÊS],$AE$1,tabela_registros[DIA],reservavariáveisconsolidadoout[[#Headers],[15]],tabela_registros[REGISTRO],DADOS!$N$6,tabela_registros[TIPO],DADOS!$AJ$4,tabela_registros[CATEGORIA],reservavariáveisconsolidadoout[[#This Row],[ATUAL]])</f>
        <v>0</v>
      </c>
      <c r="T189" s="119" t="n">
        <f aca="false">SUMIFS(tabela_registros[VALOR],tabela_registros[MÊS],$AE$1,tabela_registros[DIA],reservavariáveisconsolidadoout[[#Headers],[16]],tabela_registros[REGISTRO],DADOS!$N$6,tabela_registros[TIPO],DADOS!$AJ$4,tabela_registros[CATEGORIA],reservavariáveisconsolidadoout[[#This Row],[ATUAL]])</f>
        <v>0</v>
      </c>
      <c r="U189" s="119" t="n">
        <f aca="false">SUMIFS(tabela_registros[VALOR],tabela_registros[MÊS],$AE$1,tabela_registros[DIA],reservavariáveisconsolidadoout[[#Headers],[17]],tabela_registros[REGISTRO],DADOS!$N$6,tabela_registros[TIPO],DADOS!$AJ$4,tabela_registros[CATEGORIA],reservavariáveisconsolidadoout[[#This Row],[ATUAL]])</f>
        <v>0</v>
      </c>
      <c r="V189" s="119" t="n">
        <f aca="false">SUMIFS(tabela_registros[VALOR],tabela_registros[MÊS],$AE$1,tabela_registros[DIA],reservavariáveisconsolidadoout[[#Headers],[18]],tabela_registros[REGISTRO],DADOS!$N$6,tabela_registros[TIPO],DADOS!$AJ$4,tabela_registros[CATEGORIA],reservavariáveisconsolidadoout[[#This Row],[ATUAL]])</f>
        <v>0</v>
      </c>
      <c r="W189" s="119" t="n">
        <f aca="false">SUMIFS(tabela_registros[VALOR],tabela_registros[MÊS],$AE$1,tabela_registros[DIA],reservavariáveisconsolidadoout[[#Headers],[19]],tabela_registros[REGISTRO],DADOS!$N$6,tabela_registros[TIPO],DADOS!$AJ$4,tabela_registros[CATEGORIA],reservavariáveisconsolidadoout[[#This Row],[ATUAL]])</f>
        <v>0</v>
      </c>
      <c r="X189" s="119" t="n">
        <f aca="false">SUMIFS(tabela_registros[VALOR],tabela_registros[MÊS],$AE$1,tabela_registros[DIA],reservavariáveisconsolidadoout[[#Headers],[20]],tabela_registros[REGISTRO],DADOS!$N$6,tabela_registros[TIPO],DADOS!$AJ$4,tabela_registros[CATEGORIA],reservavariáveisconsolidadoout[[#This Row],[ATUAL]])</f>
        <v>0</v>
      </c>
      <c r="Y189" s="119" t="n">
        <f aca="false">SUMIFS(tabela_registros[VALOR],tabela_registros[MÊS],$AE$1,tabela_registros[DIA],reservavariáveisconsolidadoout[[#Headers],[21]],tabela_registros[REGISTRO],DADOS!$N$6,tabela_registros[TIPO],DADOS!$AJ$4,tabela_registros[CATEGORIA],reservavariáveisconsolidadoout[[#This Row],[ATUAL]])</f>
        <v>0</v>
      </c>
      <c r="Z189" s="119" t="n">
        <f aca="false">SUMIFS(tabela_registros[VALOR],tabela_registros[MÊS],$AE$1,tabela_registros[DIA],reservavariáveisconsolidadoout[[#Headers],[22]],tabela_registros[REGISTRO],DADOS!$N$6,tabela_registros[TIPO],DADOS!$AJ$4,tabela_registros[CATEGORIA],reservavariáveisconsolidadoout[[#This Row],[ATUAL]])</f>
        <v>0</v>
      </c>
      <c r="AA189" s="119" t="n">
        <f aca="false">SUMIFS(tabela_registros[VALOR],tabela_registros[MÊS],$AE$1,tabela_registros[DIA],reservavariáveisconsolidadoout[[#Headers],[23]],tabela_registros[REGISTRO],DADOS!$N$6,tabela_registros[TIPO],DADOS!$AJ$4,tabela_registros[CATEGORIA],reservavariáveisconsolidadoout[[#This Row],[ATUAL]])</f>
        <v>0</v>
      </c>
      <c r="AB189" s="119" t="n">
        <f aca="false">SUMIFS(tabela_registros[VALOR],tabela_registros[MÊS],$AE$1,tabela_registros[DIA],reservavariáveisconsolidadoout[[#Headers],[24]],tabela_registros[REGISTRO],DADOS!$N$6,tabela_registros[TIPO],DADOS!$AJ$4,tabela_registros[CATEGORIA],reservavariáveisconsolidadoout[[#This Row],[ATUAL]])</f>
        <v>0</v>
      </c>
      <c r="AC189" s="119" t="n">
        <f aca="false">SUMIFS(tabela_registros[VALOR],tabela_registros[MÊS],$AE$1,tabela_registros[DIA],reservavariáveisconsolidadoout[[#Headers],[25]],tabela_registros[REGISTRO],DADOS!$N$6,tabela_registros[TIPO],DADOS!$AJ$4,tabela_registros[CATEGORIA],reservavariáveisconsolidadoout[[#This Row],[ATUAL]])</f>
        <v>0</v>
      </c>
      <c r="AD189" s="119" t="n">
        <f aca="false">SUMIFS(tabela_registros[VALOR],tabela_registros[MÊS],$AE$1,tabela_registros[DIA],reservavariáveisconsolidadoout[[#Headers],[26]],tabela_registros[REGISTRO],DADOS!$N$6,tabela_registros[TIPO],DADOS!$AJ$4,tabela_registros[CATEGORIA],reservavariáveisconsolidadoout[[#This Row],[ATUAL]])</f>
        <v>0</v>
      </c>
      <c r="AE189" s="119" t="n">
        <f aca="false">SUMIFS(tabela_registros[VALOR],tabela_registros[MÊS],$AE$1,tabela_registros[DIA],reservavariáveisconsolidadoout[[#Headers],[27]],tabela_registros[REGISTRO],DADOS!$N$6,tabela_registros[TIPO],DADOS!$AJ$4,tabela_registros[CATEGORIA],reservavariáveisconsolidadoout[[#This Row],[ATUAL]])</f>
        <v>0</v>
      </c>
      <c r="AF189" s="119" t="n">
        <f aca="false">SUMIFS(tabela_registros[VALOR],tabela_registros[MÊS],$AE$1,tabela_registros[DIA],reservavariáveisconsolidadoout[[#Headers],[28]],tabela_registros[REGISTRO],DADOS!$N$6,tabela_registros[TIPO],DADOS!$AJ$4,tabela_registros[CATEGORIA],reservavariáveisconsolidadoout[[#This Row],[ATUAL]])</f>
        <v>0</v>
      </c>
      <c r="AG189" s="119" t="n">
        <f aca="false">SUMIFS(tabela_registros[VALOR],tabela_registros[MÊS],$AE$1,tabela_registros[DIA],reservavariáveisconsolidadoout[[#Headers],[29]],tabela_registros[REGISTRO],DADOS!$N$6,tabela_registros[TIPO],DADOS!$AJ$4,tabela_registros[CATEGORIA],reservavariáveisconsolidadoout[[#This Row],[ATUAL]])</f>
        <v>0</v>
      </c>
      <c r="AH189" s="119" t="n">
        <f aca="false">SUMIFS(tabela_registros[VALOR],tabela_registros[MÊS],$AE$1,tabela_registros[DIA],reservavariáveisconsolidadoout[[#Headers],[30]],tabela_registros[REGISTRO],DADOS!$N$6,tabela_registros[TIPO],DADOS!$AJ$4,tabela_registros[CATEGORIA],reservavariáveisconsolidadoout[[#This Row],[ATUAL]])</f>
        <v>0</v>
      </c>
      <c r="AI189" s="217" t="n">
        <f aca="false">SUMIFS(tabela_registros[VALOR],tabela_registros[MÊS],$AE$1,tabela_registros[DIA],reservavariáveisconsolidadoout[[#Headers],[31]],tabela_registros[REGISTRO],DADOS!$N$6,tabela_registros[TIPO],DADOS!$AJ$4,tabela_registros[CATEGORIA],reservavariáveisconsolidadoout[[#This Row],[ATUAL]])</f>
        <v>0</v>
      </c>
      <c r="AJ189" s="149" t="n">
        <f aca="false">SUM(reservavariáveisconsolidadoout[[#This Row],[1]:[31]])</f>
        <v>0</v>
      </c>
      <c r="AK189" s="165"/>
    </row>
    <row r="190" customFormat="false" ht="19.5" hidden="false" customHeight="true" outlineLevel="0" collapsed="false">
      <c r="B190" s="143"/>
      <c r="C190" s="144" t="str">
        <f aca="false">DADOS!$AN$6</f>
        <v>📝 CONTRATO DE OPÇÕES</v>
      </c>
      <c r="D190" s="145" t="str">
        <f aca="false">IF(reservavariáveisconsolidadoout[[#This Row],[TOTAL (R$)]]=0,"",IF(OR(reservavariáveisconsolidadoout[[#This Row],[TOTAL (R$)]]=LARGE($AJ$187:$AJ$196,1),reservavariáveisconsolidadoout[[#This Row],[TOTAL (R$)]]=LARGE($AJ$187:$AJ$196,2)),DADOS!$I$11,""))</f>
        <v/>
      </c>
      <c r="E190" s="148" t="n">
        <f aca="false">SUMIFS(tabela_registros[VALOR],tabela_registros[MÊS],$AE$1,tabela_registros[DIA],reservavariáveisconsolidadoout[[#Headers],[1]],tabela_registros[REGISTRO],DADOS!$N$6,tabela_registros[TIPO],DADOS!$AJ$4,tabela_registros[CATEGORIA],reservavariáveisconsolidadoout[[#This Row],[ATUAL]])</f>
        <v>0</v>
      </c>
      <c r="F190" s="119" t="n">
        <f aca="false">SUMIFS(tabela_registros[VALOR],tabela_registros[MÊS],$AE$1,tabela_registros[DIA],reservavariáveisconsolidadoout[[#Headers],[2]],tabela_registros[REGISTRO],DADOS!$N$6,tabela_registros[TIPO],DADOS!$AJ$4,tabela_registros[CATEGORIA],reservavariáveisconsolidadoout[[#This Row],[ATUAL]])</f>
        <v>0</v>
      </c>
      <c r="G190" s="119" t="n">
        <f aca="false">SUMIFS(tabela_registros[VALOR],tabela_registros[MÊS],$AE$1,tabela_registros[DIA],reservavariáveisconsolidadoout[[#Headers],[3]],tabela_registros[REGISTRO],DADOS!$N$6,tabela_registros[TIPO],DADOS!$AJ$4,tabela_registros[CATEGORIA],reservavariáveisconsolidadoout[[#This Row],[ATUAL]])</f>
        <v>0</v>
      </c>
      <c r="H190" s="119" t="n">
        <f aca="false">SUMIFS(tabela_registros[VALOR],tabela_registros[MÊS],$AE$1,tabela_registros[DIA],reservavariáveisconsolidadoout[[#Headers],[4]],tabela_registros[REGISTRO],DADOS!$N$6,tabela_registros[TIPO],DADOS!$AJ$4,tabela_registros[CATEGORIA],reservavariáveisconsolidadoout[[#This Row],[ATUAL]])</f>
        <v>0</v>
      </c>
      <c r="I190" s="119" t="n">
        <f aca="false">SUMIFS(tabela_registros[VALOR],tabela_registros[MÊS],$AE$1,tabela_registros[DIA],reservavariáveisconsolidadoout[[#Headers],[5]],tabela_registros[REGISTRO],DADOS!$N$6,tabela_registros[TIPO],DADOS!$AJ$4,tabela_registros[CATEGORIA],reservavariáveisconsolidadoout[[#This Row],[ATUAL]])</f>
        <v>0</v>
      </c>
      <c r="J190" s="119" t="n">
        <f aca="false">SUMIFS(tabela_registros[VALOR],tabela_registros[MÊS],$AE$1,tabela_registros[DIA],reservavariáveisconsolidadoout[[#Headers],[6]],tabela_registros[REGISTRO],DADOS!$N$6,tabela_registros[TIPO],DADOS!$AJ$4,tabela_registros[CATEGORIA],reservavariáveisconsolidadoout[[#This Row],[ATUAL]])</f>
        <v>0</v>
      </c>
      <c r="K190" s="119" t="n">
        <f aca="false">SUMIFS(tabela_registros[VALOR],tabela_registros[MÊS],$AE$1,tabela_registros[DIA],reservavariáveisconsolidadoout[[#Headers],[7]],tabela_registros[REGISTRO],DADOS!$N$6,tabela_registros[TIPO],DADOS!$AJ$4,tabela_registros[CATEGORIA],reservavariáveisconsolidadoout[[#This Row],[ATUAL]])</f>
        <v>0</v>
      </c>
      <c r="L190" s="119" t="n">
        <f aca="false">SUMIFS(tabela_registros[VALOR],tabela_registros[MÊS],$AE$1,tabela_registros[DIA],reservavariáveisconsolidadoout[[#Headers],[8]],tabela_registros[REGISTRO],DADOS!$N$6,tabela_registros[TIPO],DADOS!$AJ$4,tabela_registros[CATEGORIA],reservavariáveisconsolidadoout[[#This Row],[ATUAL]])</f>
        <v>0</v>
      </c>
      <c r="M190" s="119" t="n">
        <f aca="false">SUMIFS(tabela_registros[VALOR],tabela_registros[MÊS],$AE$1,tabela_registros[DIA],reservavariáveisconsolidadoout[[#Headers],[9]],tabela_registros[REGISTRO],DADOS!$N$6,tabela_registros[TIPO],DADOS!$AJ$4,tabela_registros[CATEGORIA],reservavariáveisconsolidadoout[[#This Row],[ATUAL]])</f>
        <v>0</v>
      </c>
      <c r="N190" s="119" t="n">
        <f aca="false">SUMIFS(tabela_registros[VALOR],tabela_registros[MÊS],$AE$1,tabela_registros[DIA],reservavariáveisconsolidadoout[[#Headers],[10]],tabela_registros[REGISTRO],DADOS!$N$6,tabela_registros[TIPO],DADOS!$AJ$4,tabela_registros[CATEGORIA],reservavariáveisconsolidadoout[[#This Row],[ATUAL]])</f>
        <v>0</v>
      </c>
      <c r="O190" s="119" t="n">
        <f aca="false">SUMIFS(tabela_registros[VALOR],tabela_registros[MÊS],$AE$1,tabela_registros[DIA],reservavariáveisconsolidadoout[[#Headers],[11]],tabela_registros[REGISTRO],DADOS!$N$6,tabela_registros[TIPO],DADOS!$AJ$4,tabela_registros[CATEGORIA],reservavariáveisconsolidadoout[[#This Row],[ATUAL]])</f>
        <v>0</v>
      </c>
      <c r="P190" s="119" t="n">
        <f aca="false">SUMIFS(tabela_registros[VALOR],tabela_registros[MÊS],$AE$1,tabela_registros[DIA],reservavariáveisconsolidadoout[[#Headers],[12]],tabela_registros[REGISTRO],DADOS!$N$6,tabela_registros[TIPO],DADOS!$AJ$4,tabela_registros[CATEGORIA],reservavariáveisconsolidadoout[[#This Row],[ATUAL]])</f>
        <v>0</v>
      </c>
      <c r="Q190" s="119" t="n">
        <f aca="false">SUMIFS(tabela_registros[VALOR],tabela_registros[MÊS],$AE$1,tabela_registros[DIA],reservavariáveisconsolidadoout[[#Headers],[13]],tabela_registros[REGISTRO],DADOS!$N$6,tabela_registros[TIPO],DADOS!$AJ$4,tabela_registros[CATEGORIA],reservavariáveisconsolidadoout[[#This Row],[ATUAL]])</f>
        <v>0</v>
      </c>
      <c r="R190" s="119" t="n">
        <f aca="false">SUMIFS(tabela_registros[VALOR],tabela_registros[MÊS],$AE$1,tabela_registros[DIA],reservavariáveisconsolidadoout[[#Headers],[14]],tabela_registros[REGISTRO],DADOS!$N$6,tabela_registros[TIPO],DADOS!$AJ$4,tabela_registros[CATEGORIA],reservavariáveisconsolidadoout[[#This Row],[ATUAL]])</f>
        <v>0</v>
      </c>
      <c r="S190" s="119" t="n">
        <f aca="false">SUMIFS(tabela_registros[VALOR],tabela_registros[MÊS],$AE$1,tabela_registros[DIA],reservavariáveisconsolidadoout[[#Headers],[15]],tabela_registros[REGISTRO],DADOS!$N$6,tabela_registros[TIPO],DADOS!$AJ$4,tabela_registros[CATEGORIA],reservavariáveisconsolidadoout[[#This Row],[ATUAL]])</f>
        <v>0</v>
      </c>
      <c r="T190" s="119" t="n">
        <f aca="false">SUMIFS(tabela_registros[VALOR],tabela_registros[MÊS],$AE$1,tabela_registros[DIA],reservavariáveisconsolidadoout[[#Headers],[16]],tabela_registros[REGISTRO],DADOS!$N$6,tabela_registros[TIPO],DADOS!$AJ$4,tabela_registros[CATEGORIA],reservavariáveisconsolidadoout[[#This Row],[ATUAL]])</f>
        <v>0</v>
      </c>
      <c r="U190" s="119" t="n">
        <f aca="false">SUMIFS(tabela_registros[VALOR],tabela_registros[MÊS],$AE$1,tabela_registros[DIA],reservavariáveisconsolidadoout[[#Headers],[17]],tabela_registros[REGISTRO],DADOS!$N$6,tabela_registros[TIPO],DADOS!$AJ$4,tabela_registros[CATEGORIA],reservavariáveisconsolidadoout[[#This Row],[ATUAL]])</f>
        <v>0</v>
      </c>
      <c r="V190" s="119" t="n">
        <f aca="false">SUMIFS(tabela_registros[VALOR],tabela_registros[MÊS],$AE$1,tabela_registros[DIA],reservavariáveisconsolidadoout[[#Headers],[18]],tabela_registros[REGISTRO],DADOS!$N$6,tabela_registros[TIPO],DADOS!$AJ$4,tabela_registros[CATEGORIA],reservavariáveisconsolidadoout[[#This Row],[ATUAL]])</f>
        <v>0</v>
      </c>
      <c r="W190" s="119" t="n">
        <f aca="false">SUMIFS(tabela_registros[VALOR],tabela_registros[MÊS],$AE$1,tabela_registros[DIA],reservavariáveisconsolidadoout[[#Headers],[19]],tabela_registros[REGISTRO],DADOS!$N$6,tabela_registros[TIPO],DADOS!$AJ$4,tabela_registros[CATEGORIA],reservavariáveisconsolidadoout[[#This Row],[ATUAL]])</f>
        <v>0</v>
      </c>
      <c r="X190" s="119" t="n">
        <f aca="false">SUMIFS(tabela_registros[VALOR],tabela_registros[MÊS],$AE$1,tabela_registros[DIA],reservavariáveisconsolidadoout[[#Headers],[20]],tabela_registros[REGISTRO],DADOS!$N$6,tabela_registros[TIPO],DADOS!$AJ$4,tabela_registros[CATEGORIA],reservavariáveisconsolidadoout[[#This Row],[ATUAL]])</f>
        <v>0</v>
      </c>
      <c r="Y190" s="119" t="n">
        <f aca="false">SUMIFS(tabela_registros[VALOR],tabela_registros[MÊS],$AE$1,tabela_registros[DIA],reservavariáveisconsolidadoout[[#Headers],[21]],tabela_registros[REGISTRO],DADOS!$N$6,tabela_registros[TIPO],DADOS!$AJ$4,tabela_registros[CATEGORIA],reservavariáveisconsolidadoout[[#This Row],[ATUAL]])</f>
        <v>0</v>
      </c>
      <c r="Z190" s="119" t="n">
        <f aca="false">SUMIFS(tabela_registros[VALOR],tabela_registros[MÊS],$AE$1,tabela_registros[DIA],reservavariáveisconsolidadoout[[#Headers],[22]],tabela_registros[REGISTRO],DADOS!$N$6,tabela_registros[TIPO],DADOS!$AJ$4,tabela_registros[CATEGORIA],reservavariáveisconsolidadoout[[#This Row],[ATUAL]])</f>
        <v>0</v>
      </c>
      <c r="AA190" s="119" t="n">
        <f aca="false">SUMIFS(tabela_registros[VALOR],tabela_registros[MÊS],$AE$1,tabela_registros[DIA],reservavariáveisconsolidadoout[[#Headers],[23]],tabela_registros[REGISTRO],DADOS!$N$6,tabela_registros[TIPO],DADOS!$AJ$4,tabela_registros[CATEGORIA],reservavariáveisconsolidadoout[[#This Row],[ATUAL]])</f>
        <v>0</v>
      </c>
      <c r="AB190" s="119" t="n">
        <f aca="false">SUMIFS(tabela_registros[VALOR],tabela_registros[MÊS],$AE$1,tabela_registros[DIA],reservavariáveisconsolidadoout[[#Headers],[24]],tabela_registros[REGISTRO],DADOS!$N$6,tabela_registros[TIPO],DADOS!$AJ$4,tabela_registros[CATEGORIA],reservavariáveisconsolidadoout[[#This Row],[ATUAL]])</f>
        <v>0</v>
      </c>
      <c r="AC190" s="119" t="n">
        <f aca="false">SUMIFS(tabela_registros[VALOR],tabela_registros[MÊS],$AE$1,tabela_registros[DIA],reservavariáveisconsolidadoout[[#Headers],[25]],tabela_registros[REGISTRO],DADOS!$N$6,tabela_registros[TIPO],DADOS!$AJ$4,tabela_registros[CATEGORIA],reservavariáveisconsolidadoout[[#This Row],[ATUAL]])</f>
        <v>0</v>
      </c>
      <c r="AD190" s="119" t="n">
        <f aca="false">SUMIFS(tabela_registros[VALOR],tabela_registros[MÊS],$AE$1,tabela_registros[DIA],reservavariáveisconsolidadoout[[#Headers],[26]],tabela_registros[REGISTRO],DADOS!$N$6,tabela_registros[TIPO],DADOS!$AJ$4,tabela_registros[CATEGORIA],reservavariáveisconsolidadoout[[#This Row],[ATUAL]])</f>
        <v>0</v>
      </c>
      <c r="AE190" s="119" t="n">
        <f aca="false">SUMIFS(tabela_registros[VALOR],tabela_registros[MÊS],$AE$1,tabela_registros[DIA],reservavariáveisconsolidadoout[[#Headers],[27]],tabela_registros[REGISTRO],DADOS!$N$6,tabela_registros[TIPO],DADOS!$AJ$4,tabela_registros[CATEGORIA],reservavariáveisconsolidadoout[[#This Row],[ATUAL]])</f>
        <v>0</v>
      </c>
      <c r="AF190" s="119" t="n">
        <f aca="false">SUMIFS(tabela_registros[VALOR],tabela_registros[MÊS],$AE$1,tabela_registros[DIA],reservavariáveisconsolidadoout[[#Headers],[28]],tabela_registros[REGISTRO],DADOS!$N$6,tabela_registros[TIPO],DADOS!$AJ$4,tabela_registros[CATEGORIA],reservavariáveisconsolidadoout[[#This Row],[ATUAL]])</f>
        <v>0</v>
      </c>
      <c r="AG190" s="119" t="n">
        <f aca="false">SUMIFS(tabela_registros[VALOR],tabela_registros[MÊS],$AE$1,tabela_registros[DIA],reservavariáveisconsolidadoout[[#Headers],[29]],tabela_registros[REGISTRO],DADOS!$N$6,tabela_registros[TIPO],DADOS!$AJ$4,tabela_registros[CATEGORIA],reservavariáveisconsolidadoout[[#This Row],[ATUAL]])</f>
        <v>0</v>
      </c>
      <c r="AH190" s="119" t="n">
        <f aca="false">SUMIFS(tabela_registros[VALOR],tabela_registros[MÊS],$AE$1,tabela_registros[DIA],reservavariáveisconsolidadoout[[#Headers],[30]],tabela_registros[REGISTRO],DADOS!$N$6,tabela_registros[TIPO],DADOS!$AJ$4,tabela_registros[CATEGORIA],reservavariáveisconsolidadoout[[#This Row],[ATUAL]])</f>
        <v>0</v>
      </c>
      <c r="AI190" s="217" t="n">
        <f aca="false">SUMIFS(tabela_registros[VALOR],tabela_registros[MÊS],$AE$1,tabela_registros[DIA],reservavariáveisconsolidadoout[[#Headers],[31]],tabela_registros[REGISTRO],DADOS!$N$6,tabela_registros[TIPO],DADOS!$AJ$4,tabela_registros[CATEGORIA],reservavariáveisconsolidadoout[[#This Row],[ATUAL]])</f>
        <v>0</v>
      </c>
      <c r="AJ190" s="149" t="n">
        <f aca="false">SUM(reservavariáveisconsolidadoout[[#This Row],[1]:[31]])</f>
        <v>0</v>
      </c>
      <c r="AK190" s="165"/>
    </row>
    <row r="191" customFormat="false" ht="19.5" hidden="false" customHeight="true" outlineLevel="0" collapsed="false">
      <c r="B191" s="143"/>
      <c r="C191" s="144" t="str">
        <f aca="false">DADOS!$AN$7</f>
        <v>📝 CRIPTOMOEDA</v>
      </c>
      <c r="D191" s="145" t="str">
        <f aca="false">IF(reservavariáveisconsolidadoout[[#This Row],[TOTAL (R$)]]=0,"",IF(OR(reservavariáveisconsolidadoout[[#This Row],[TOTAL (R$)]]=LARGE($AJ$187:$AJ$196,1),reservavariáveisconsolidadoout[[#This Row],[TOTAL (R$)]]=LARGE($AJ$187:$AJ$196,2)),DADOS!$I$11,""))</f>
        <v/>
      </c>
      <c r="E191" s="148" t="n">
        <f aca="false">SUMIFS(tabela_registros[VALOR],tabela_registros[MÊS],$AE$1,tabela_registros[DIA],reservavariáveisconsolidadoout[[#Headers],[1]],tabela_registros[REGISTRO],DADOS!$N$6,tabela_registros[TIPO],DADOS!$AJ$4,tabela_registros[CATEGORIA],reservavariáveisconsolidadoout[[#This Row],[ATUAL]])</f>
        <v>0</v>
      </c>
      <c r="F191" s="119" t="n">
        <f aca="false">SUMIFS(tabela_registros[VALOR],tabela_registros[MÊS],$AE$1,tabela_registros[DIA],reservavariáveisconsolidadoout[[#Headers],[2]],tabela_registros[REGISTRO],DADOS!$N$6,tabela_registros[TIPO],DADOS!$AJ$4,tabela_registros[CATEGORIA],reservavariáveisconsolidadoout[[#This Row],[ATUAL]])</f>
        <v>0</v>
      </c>
      <c r="G191" s="119" t="n">
        <f aca="false">SUMIFS(tabela_registros[VALOR],tabela_registros[MÊS],$AE$1,tabela_registros[DIA],reservavariáveisconsolidadoout[[#Headers],[3]],tabela_registros[REGISTRO],DADOS!$N$6,tabela_registros[TIPO],DADOS!$AJ$4,tabela_registros[CATEGORIA],reservavariáveisconsolidadoout[[#This Row],[ATUAL]])</f>
        <v>0</v>
      </c>
      <c r="H191" s="119" t="n">
        <f aca="false">SUMIFS(tabela_registros[VALOR],tabela_registros[MÊS],$AE$1,tabela_registros[DIA],reservavariáveisconsolidadoout[[#Headers],[4]],tabela_registros[REGISTRO],DADOS!$N$6,tabela_registros[TIPO],DADOS!$AJ$4,tabela_registros[CATEGORIA],reservavariáveisconsolidadoout[[#This Row],[ATUAL]])</f>
        <v>0</v>
      </c>
      <c r="I191" s="119" t="n">
        <f aca="false">SUMIFS(tabela_registros[VALOR],tabela_registros[MÊS],$AE$1,tabela_registros[DIA],reservavariáveisconsolidadoout[[#Headers],[5]],tabela_registros[REGISTRO],DADOS!$N$6,tabela_registros[TIPO],DADOS!$AJ$4,tabela_registros[CATEGORIA],reservavariáveisconsolidadoout[[#This Row],[ATUAL]])</f>
        <v>0</v>
      </c>
      <c r="J191" s="119" t="n">
        <f aca="false">SUMIFS(tabela_registros[VALOR],tabela_registros[MÊS],$AE$1,tabela_registros[DIA],reservavariáveisconsolidadoout[[#Headers],[6]],tabela_registros[REGISTRO],DADOS!$N$6,tabela_registros[TIPO],DADOS!$AJ$4,tabela_registros[CATEGORIA],reservavariáveisconsolidadoout[[#This Row],[ATUAL]])</f>
        <v>0</v>
      </c>
      <c r="K191" s="119" t="n">
        <f aca="false">SUMIFS(tabela_registros[VALOR],tabela_registros[MÊS],$AE$1,tabela_registros[DIA],reservavariáveisconsolidadoout[[#Headers],[7]],tabela_registros[REGISTRO],DADOS!$N$6,tabela_registros[TIPO],DADOS!$AJ$4,tabela_registros[CATEGORIA],reservavariáveisconsolidadoout[[#This Row],[ATUAL]])</f>
        <v>0</v>
      </c>
      <c r="L191" s="119" t="n">
        <f aca="false">SUMIFS(tabela_registros[VALOR],tabela_registros[MÊS],$AE$1,tabela_registros[DIA],reservavariáveisconsolidadoout[[#Headers],[8]],tabela_registros[REGISTRO],DADOS!$N$6,tabela_registros[TIPO],DADOS!$AJ$4,tabela_registros[CATEGORIA],reservavariáveisconsolidadoout[[#This Row],[ATUAL]])</f>
        <v>0</v>
      </c>
      <c r="M191" s="119" t="n">
        <f aca="false">SUMIFS(tabela_registros[VALOR],tabela_registros[MÊS],$AE$1,tabela_registros[DIA],reservavariáveisconsolidadoout[[#Headers],[9]],tabela_registros[REGISTRO],DADOS!$N$6,tabela_registros[TIPO],DADOS!$AJ$4,tabela_registros[CATEGORIA],reservavariáveisconsolidadoout[[#This Row],[ATUAL]])</f>
        <v>0</v>
      </c>
      <c r="N191" s="119" t="n">
        <f aca="false">SUMIFS(tabela_registros[VALOR],tabela_registros[MÊS],$AE$1,tabela_registros[DIA],reservavariáveisconsolidadoout[[#Headers],[10]],tabela_registros[REGISTRO],DADOS!$N$6,tabela_registros[TIPO],DADOS!$AJ$4,tabela_registros[CATEGORIA],reservavariáveisconsolidadoout[[#This Row],[ATUAL]])</f>
        <v>0</v>
      </c>
      <c r="O191" s="119" t="n">
        <f aca="false">SUMIFS(tabela_registros[VALOR],tabela_registros[MÊS],$AE$1,tabela_registros[DIA],reservavariáveisconsolidadoout[[#Headers],[11]],tabela_registros[REGISTRO],DADOS!$N$6,tabela_registros[TIPO],DADOS!$AJ$4,tabela_registros[CATEGORIA],reservavariáveisconsolidadoout[[#This Row],[ATUAL]])</f>
        <v>0</v>
      </c>
      <c r="P191" s="119" t="n">
        <f aca="false">SUMIFS(tabela_registros[VALOR],tabela_registros[MÊS],$AE$1,tabela_registros[DIA],reservavariáveisconsolidadoout[[#Headers],[12]],tabela_registros[REGISTRO],DADOS!$N$6,tabela_registros[TIPO],DADOS!$AJ$4,tabela_registros[CATEGORIA],reservavariáveisconsolidadoout[[#This Row],[ATUAL]])</f>
        <v>0</v>
      </c>
      <c r="Q191" s="119" t="n">
        <f aca="false">SUMIFS(tabela_registros[VALOR],tabela_registros[MÊS],$AE$1,tabela_registros[DIA],reservavariáveisconsolidadoout[[#Headers],[13]],tabela_registros[REGISTRO],DADOS!$N$6,tabela_registros[TIPO],DADOS!$AJ$4,tabela_registros[CATEGORIA],reservavariáveisconsolidadoout[[#This Row],[ATUAL]])</f>
        <v>0</v>
      </c>
      <c r="R191" s="119" t="n">
        <f aca="false">SUMIFS(tabela_registros[VALOR],tabela_registros[MÊS],$AE$1,tabela_registros[DIA],reservavariáveisconsolidadoout[[#Headers],[14]],tabela_registros[REGISTRO],DADOS!$N$6,tabela_registros[TIPO],DADOS!$AJ$4,tabela_registros[CATEGORIA],reservavariáveisconsolidadoout[[#This Row],[ATUAL]])</f>
        <v>0</v>
      </c>
      <c r="S191" s="119" t="n">
        <f aca="false">SUMIFS(tabela_registros[VALOR],tabela_registros[MÊS],$AE$1,tabela_registros[DIA],reservavariáveisconsolidadoout[[#Headers],[15]],tabela_registros[REGISTRO],DADOS!$N$6,tabela_registros[TIPO],DADOS!$AJ$4,tabela_registros[CATEGORIA],reservavariáveisconsolidadoout[[#This Row],[ATUAL]])</f>
        <v>0</v>
      </c>
      <c r="T191" s="119" t="n">
        <f aca="false">SUMIFS(tabela_registros[VALOR],tabela_registros[MÊS],$AE$1,tabela_registros[DIA],reservavariáveisconsolidadoout[[#Headers],[16]],tabela_registros[REGISTRO],DADOS!$N$6,tabela_registros[TIPO],DADOS!$AJ$4,tabela_registros[CATEGORIA],reservavariáveisconsolidadoout[[#This Row],[ATUAL]])</f>
        <v>0</v>
      </c>
      <c r="U191" s="119" t="n">
        <f aca="false">SUMIFS(tabela_registros[VALOR],tabela_registros[MÊS],$AE$1,tabela_registros[DIA],reservavariáveisconsolidadoout[[#Headers],[17]],tabela_registros[REGISTRO],DADOS!$N$6,tabela_registros[TIPO],DADOS!$AJ$4,tabela_registros[CATEGORIA],reservavariáveisconsolidadoout[[#This Row],[ATUAL]])</f>
        <v>0</v>
      </c>
      <c r="V191" s="119" t="n">
        <f aca="false">SUMIFS(tabela_registros[VALOR],tabela_registros[MÊS],$AE$1,tabela_registros[DIA],reservavariáveisconsolidadoout[[#Headers],[18]],tabela_registros[REGISTRO],DADOS!$N$6,tabela_registros[TIPO],DADOS!$AJ$4,tabela_registros[CATEGORIA],reservavariáveisconsolidadoout[[#This Row],[ATUAL]])</f>
        <v>0</v>
      </c>
      <c r="W191" s="119" t="n">
        <f aca="false">SUMIFS(tabela_registros[VALOR],tabela_registros[MÊS],$AE$1,tabela_registros[DIA],reservavariáveisconsolidadoout[[#Headers],[19]],tabela_registros[REGISTRO],DADOS!$N$6,tabela_registros[TIPO],DADOS!$AJ$4,tabela_registros[CATEGORIA],reservavariáveisconsolidadoout[[#This Row],[ATUAL]])</f>
        <v>0</v>
      </c>
      <c r="X191" s="119" t="n">
        <f aca="false">SUMIFS(tabela_registros[VALOR],tabela_registros[MÊS],$AE$1,tabela_registros[DIA],reservavariáveisconsolidadoout[[#Headers],[20]],tabela_registros[REGISTRO],DADOS!$N$6,tabela_registros[TIPO],DADOS!$AJ$4,tabela_registros[CATEGORIA],reservavariáveisconsolidadoout[[#This Row],[ATUAL]])</f>
        <v>0</v>
      </c>
      <c r="Y191" s="119" t="n">
        <f aca="false">SUMIFS(tabela_registros[VALOR],tabela_registros[MÊS],$AE$1,tabela_registros[DIA],reservavariáveisconsolidadoout[[#Headers],[21]],tabela_registros[REGISTRO],DADOS!$N$6,tabela_registros[TIPO],DADOS!$AJ$4,tabela_registros[CATEGORIA],reservavariáveisconsolidadoout[[#This Row],[ATUAL]])</f>
        <v>0</v>
      </c>
      <c r="Z191" s="119" t="n">
        <f aca="false">SUMIFS(tabela_registros[VALOR],tabela_registros[MÊS],$AE$1,tabela_registros[DIA],reservavariáveisconsolidadoout[[#Headers],[22]],tabela_registros[REGISTRO],DADOS!$N$6,tabela_registros[TIPO],DADOS!$AJ$4,tabela_registros[CATEGORIA],reservavariáveisconsolidadoout[[#This Row],[ATUAL]])</f>
        <v>0</v>
      </c>
      <c r="AA191" s="119" t="n">
        <f aca="false">SUMIFS(tabela_registros[VALOR],tabela_registros[MÊS],$AE$1,tabela_registros[DIA],reservavariáveisconsolidadoout[[#Headers],[23]],tabela_registros[REGISTRO],DADOS!$N$6,tabela_registros[TIPO],DADOS!$AJ$4,tabela_registros[CATEGORIA],reservavariáveisconsolidadoout[[#This Row],[ATUAL]])</f>
        <v>0</v>
      </c>
      <c r="AB191" s="119" t="n">
        <f aca="false">SUMIFS(tabela_registros[VALOR],tabela_registros[MÊS],$AE$1,tabela_registros[DIA],reservavariáveisconsolidadoout[[#Headers],[24]],tabela_registros[REGISTRO],DADOS!$N$6,tabela_registros[TIPO],DADOS!$AJ$4,tabela_registros[CATEGORIA],reservavariáveisconsolidadoout[[#This Row],[ATUAL]])</f>
        <v>0</v>
      </c>
      <c r="AC191" s="119" t="n">
        <f aca="false">SUMIFS(tabela_registros[VALOR],tabela_registros[MÊS],$AE$1,tabela_registros[DIA],reservavariáveisconsolidadoout[[#Headers],[25]],tabela_registros[REGISTRO],DADOS!$N$6,tabela_registros[TIPO],DADOS!$AJ$4,tabela_registros[CATEGORIA],reservavariáveisconsolidadoout[[#This Row],[ATUAL]])</f>
        <v>0</v>
      </c>
      <c r="AD191" s="119" t="n">
        <f aca="false">SUMIFS(tabela_registros[VALOR],tabela_registros[MÊS],$AE$1,tabela_registros[DIA],reservavariáveisconsolidadoout[[#Headers],[26]],tabela_registros[REGISTRO],DADOS!$N$6,tabela_registros[TIPO],DADOS!$AJ$4,tabela_registros[CATEGORIA],reservavariáveisconsolidadoout[[#This Row],[ATUAL]])</f>
        <v>0</v>
      </c>
      <c r="AE191" s="119" t="n">
        <f aca="false">SUMIFS(tabela_registros[VALOR],tabela_registros[MÊS],$AE$1,tabela_registros[DIA],reservavariáveisconsolidadoout[[#Headers],[27]],tabela_registros[REGISTRO],DADOS!$N$6,tabela_registros[TIPO],DADOS!$AJ$4,tabela_registros[CATEGORIA],reservavariáveisconsolidadoout[[#This Row],[ATUAL]])</f>
        <v>0</v>
      </c>
      <c r="AF191" s="119" t="n">
        <f aca="false">SUMIFS(tabela_registros[VALOR],tabela_registros[MÊS],$AE$1,tabela_registros[DIA],reservavariáveisconsolidadoout[[#Headers],[28]],tabela_registros[REGISTRO],DADOS!$N$6,tabela_registros[TIPO],DADOS!$AJ$4,tabela_registros[CATEGORIA],reservavariáveisconsolidadoout[[#This Row],[ATUAL]])</f>
        <v>0</v>
      </c>
      <c r="AG191" s="119" t="n">
        <f aca="false">SUMIFS(tabela_registros[VALOR],tabela_registros[MÊS],$AE$1,tabela_registros[DIA],reservavariáveisconsolidadoout[[#Headers],[29]],tabela_registros[REGISTRO],DADOS!$N$6,tabela_registros[TIPO],DADOS!$AJ$4,tabela_registros[CATEGORIA],reservavariáveisconsolidadoout[[#This Row],[ATUAL]])</f>
        <v>0</v>
      </c>
      <c r="AH191" s="119" t="n">
        <f aca="false">SUMIFS(tabela_registros[VALOR],tabela_registros[MÊS],$AE$1,tabela_registros[DIA],reservavariáveisconsolidadoout[[#Headers],[30]],tabela_registros[REGISTRO],DADOS!$N$6,tabela_registros[TIPO],DADOS!$AJ$4,tabela_registros[CATEGORIA],reservavariáveisconsolidadoout[[#This Row],[ATUAL]])</f>
        <v>0</v>
      </c>
      <c r="AI191" s="217" t="n">
        <f aca="false">SUMIFS(tabela_registros[VALOR],tabela_registros[MÊS],$AE$1,tabela_registros[DIA],reservavariáveisconsolidadoout[[#Headers],[31]],tabela_registros[REGISTRO],DADOS!$N$6,tabela_registros[TIPO],DADOS!$AJ$4,tabela_registros[CATEGORIA],reservavariáveisconsolidadoout[[#This Row],[ATUAL]])</f>
        <v>0</v>
      </c>
      <c r="AJ191" s="149" t="n">
        <f aca="false">SUM(reservavariáveisconsolidadoout[[#This Row],[1]:[31]])</f>
        <v>0</v>
      </c>
      <c r="AK191" s="165"/>
    </row>
    <row r="192" customFormat="false" ht="19.5" hidden="false" customHeight="true" outlineLevel="0" collapsed="false">
      <c r="B192" s="143"/>
      <c r="C192" s="144" t="str">
        <f aca="false">DADOS!$AN$8</f>
        <v>📝 ETF</v>
      </c>
      <c r="D192" s="145" t="str">
        <f aca="false">IF(reservavariáveisconsolidadoout[[#This Row],[TOTAL (R$)]]=0,"",IF(OR(reservavariáveisconsolidadoout[[#This Row],[TOTAL (R$)]]=LARGE($AJ$187:$AJ$196,1),reservavariáveisconsolidadoout[[#This Row],[TOTAL (R$)]]=LARGE($AJ$187:$AJ$196,2)),DADOS!$I$11,""))</f>
        <v/>
      </c>
      <c r="E192" s="148" t="n">
        <f aca="false">SUMIFS(tabela_registros[VALOR],tabela_registros[MÊS],$AE$1,tabela_registros[DIA],reservavariáveisconsolidadoout[[#Headers],[1]],tabela_registros[REGISTRO],DADOS!$N$6,tabela_registros[TIPO],DADOS!$AJ$4,tabela_registros[CATEGORIA],reservavariáveisconsolidadoout[[#This Row],[ATUAL]])</f>
        <v>0</v>
      </c>
      <c r="F192" s="119" t="n">
        <f aca="false">SUMIFS(tabela_registros[VALOR],tabela_registros[MÊS],$AE$1,tabela_registros[DIA],reservavariáveisconsolidadoout[[#Headers],[2]],tabela_registros[REGISTRO],DADOS!$N$6,tabela_registros[TIPO],DADOS!$AJ$4,tabela_registros[CATEGORIA],reservavariáveisconsolidadoout[[#This Row],[ATUAL]])</f>
        <v>0</v>
      </c>
      <c r="G192" s="119" t="n">
        <f aca="false">SUMIFS(tabela_registros[VALOR],tabela_registros[MÊS],$AE$1,tabela_registros[DIA],reservavariáveisconsolidadoout[[#Headers],[3]],tabela_registros[REGISTRO],DADOS!$N$6,tabela_registros[TIPO],DADOS!$AJ$4,tabela_registros[CATEGORIA],reservavariáveisconsolidadoout[[#This Row],[ATUAL]])</f>
        <v>0</v>
      </c>
      <c r="H192" s="119" t="n">
        <f aca="false">SUMIFS(tabela_registros[VALOR],tabela_registros[MÊS],$AE$1,tabela_registros[DIA],reservavariáveisconsolidadoout[[#Headers],[4]],tabela_registros[REGISTRO],DADOS!$N$6,tabela_registros[TIPO],DADOS!$AJ$4,tabela_registros[CATEGORIA],reservavariáveisconsolidadoout[[#This Row],[ATUAL]])</f>
        <v>0</v>
      </c>
      <c r="I192" s="119" t="n">
        <f aca="false">SUMIFS(tabela_registros[VALOR],tabela_registros[MÊS],$AE$1,tabela_registros[DIA],reservavariáveisconsolidadoout[[#Headers],[5]],tabela_registros[REGISTRO],DADOS!$N$6,tabela_registros[TIPO],DADOS!$AJ$4,tabela_registros[CATEGORIA],reservavariáveisconsolidadoout[[#This Row],[ATUAL]])</f>
        <v>0</v>
      </c>
      <c r="J192" s="119" t="n">
        <f aca="false">SUMIFS(tabela_registros[VALOR],tabela_registros[MÊS],$AE$1,tabela_registros[DIA],reservavariáveisconsolidadoout[[#Headers],[6]],tabela_registros[REGISTRO],DADOS!$N$6,tabela_registros[TIPO],DADOS!$AJ$4,tabela_registros[CATEGORIA],reservavariáveisconsolidadoout[[#This Row],[ATUAL]])</f>
        <v>0</v>
      </c>
      <c r="K192" s="119" t="n">
        <f aca="false">SUMIFS(tabela_registros[VALOR],tabela_registros[MÊS],$AE$1,tabela_registros[DIA],reservavariáveisconsolidadoout[[#Headers],[7]],tabela_registros[REGISTRO],DADOS!$N$6,tabela_registros[TIPO],DADOS!$AJ$4,tabela_registros[CATEGORIA],reservavariáveisconsolidadoout[[#This Row],[ATUAL]])</f>
        <v>0</v>
      </c>
      <c r="L192" s="119" t="n">
        <f aca="false">SUMIFS(tabela_registros[VALOR],tabela_registros[MÊS],$AE$1,tabela_registros[DIA],reservavariáveisconsolidadoout[[#Headers],[8]],tabela_registros[REGISTRO],DADOS!$N$6,tabela_registros[TIPO],DADOS!$AJ$4,tabela_registros[CATEGORIA],reservavariáveisconsolidadoout[[#This Row],[ATUAL]])</f>
        <v>0</v>
      </c>
      <c r="M192" s="119" t="n">
        <f aca="false">SUMIFS(tabela_registros[VALOR],tabela_registros[MÊS],$AE$1,tabela_registros[DIA],reservavariáveisconsolidadoout[[#Headers],[9]],tabela_registros[REGISTRO],DADOS!$N$6,tabela_registros[TIPO],DADOS!$AJ$4,tabela_registros[CATEGORIA],reservavariáveisconsolidadoout[[#This Row],[ATUAL]])</f>
        <v>0</v>
      </c>
      <c r="N192" s="119" t="n">
        <f aca="false">SUMIFS(tabela_registros[VALOR],tabela_registros[MÊS],$AE$1,tabela_registros[DIA],reservavariáveisconsolidadoout[[#Headers],[10]],tabela_registros[REGISTRO],DADOS!$N$6,tabela_registros[TIPO],DADOS!$AJ$4,tabela_registros[CATEGORIA],reservavariáveisconsolidadoout[[#This Row],[ATUAL]])</f>
        <v>0</v>
      </c>
      <c r="O192" s="119" t="n">
        <f aca="false">SUMIFS(tabela_registros[VALOR],tabela_registros[MÊS],$AE$1,tabela_registros[DIA],reservavariáveisconsolidadoout[[#Headers],[11]],tabela_registros[REGISTRO],DADOS!$N$6,tabela_registros[TIPO],DADOS!$AJ$4,tabela_registros[CATEGORIA],reservavariáveisconsolidadoout[[#This Row],[ATUAL]])</f>
        <v>0</v>
      </c>
      <c r="P192" s="119" t="n">
        <f aca="false">SUMIFS(tabela_registros[VALOR],tabela_registros[MÊS],$AE$1,tabela_registros[DIA],reservavariáveisconsolidadoout[[#Headers],[12]],tabela_registros[REGISTRO],DADOS!$N$6,tabela_registros[TIPO],DADOS!$AJ$4,tabela_registros[CATEGORIA],reservavariáveisconsolidadoout[[#This Row],[ATUAL]])</f>
        <v>0</v>
      </c>
      <c r="Q192" s="119" t="n">
        <f aca="false">SUMIFS(tabela_registros[VALOR],tabela_registros[MÊS],$AE$1,tabela_registros[DIA],reservavariáveisconsolidadoout[[#Headers],[13]],tabela_registros[REGISTRO],DADOS!$N$6,tabela_registros[TIPO],DADOS!$AJ$4,tabela_registros[CATEGORIA],reservavariáveisconsolidadoout[[#This Row],[ATUAL]])</f>
        <v>0</v>
      </c>
      <c r="R192" s="119" t="n">
        <f aca="false">SUMIFS(tabela_registros[VALOR],tabela_registros[MÊS],$AE$1,tabela_registros[DIA],reservavariáveisconsolidadoout[[#Headers],[14]],tabela_registros[REGISTRO],DADOS!$N$6,tabela_registros[TIPO],DADOS!$AJ$4,tabela_registros[CATEGORIA],reservavariáveisconsolidadoout[[#This Row],[ATUAL]])</f>
        <v>0</v>
      </c>
      <c r="S192" s="119" t="n">
        <f aca="false">SUMIFS(tabela_registros[VALOR],tabela_registros[MÊS],$AE$1,tabela_registros[DIA],reservavariáveisconsolidadoout[[#Headers],[15]],tabela_registros[REGISTRO],DADOS!$N$6,tabela_registros[TIPO],DADOS!$AJ$4,tabela_registros[CATEGORIA],reservavariáveisconsolidadoout[[#This Row],[ATUAL]])</f>
        <v>0</v>
      </c>
      <c r="T192" s="119" t="n">
        <f aca="false">SUMIFS(tabela_registros[VALOR],tabela_registros[MÊS],$AE$1,tabela_registros[DIA],reservavariáveisconsolidadoout[[#Headers],[16]],tabela_registros[REGISTRO],DADOS!$N$6,tabela_registros[TIPO],DADOS!$AJ$4,tabela_registros[CATEGORIA],reservavariáveisconsolidadoout[[#This Row],[ATUAL]])</f>
        <v>0</v>
      </c>
      <c r="U192" s="119" t="n">
        <f aca="false">SUMIFS(tabela_registros[VALOR],tabela_registros[MÊS],$AE$1,tabela_registros[DIA],reservavariáveisconsolidadoout[[#Headers],[17]],tabela_registros[REGISTRO],DADOS!$N$6,tabela_registros[TIPO],DADOS!$AJ$4,tabela_registros[CATEGORIA],reservavariáveisconsolidadoout[[#This Row],[ATUAL]])</f>
        <v>0</v>
      </c>
      <c r="V192" s="119" t="n">
        <f aca="false">SUMIFS(tabela_registros[VALOR],tabela_registros[MÊS],$AE$1,tabela_registros[DIA],reservavariáveisconsolidadoout[[#Headers],[18]],tabela_registros[REGISTRO],DADOS!$N$6,tabela_registros[TIPO],DADOS!$AJ$4,tabela_registros[CATEGORIA],reservavariáveisconsolidadoout[[#This Row],[ATUAL]])</f>
        <v>0</v>
      </c>
      <c r="W192" s="119" t="n">
        <f aca="false">SUMIFS(tabela_registros[VALOR],tabela_registros[MÊS],$AE$1,tabela_registros[DIA],reservavariáveisconsolidadoout[[#Headers],[19]],tabela_registros[REGISTRO],DADOS!$N$6,tabela_registros[TIPO],DADOS!$AJ$4,tabela_registros[CATEGORIA],reservavariáveisconsolidadoout[[#This Row],[ATUAL]])</f>
        <v>0</v>
      </c>
      <c r="X192" s="119" t="n">
        <f aca="false">SUMIFS(tabela_registros[VALOR],tabela_registros[MÊS],$AE$1,tabela_registros[DIA],reservavariáveisconsolidadoout[[#Headers],[20]],tabela_registros[REGISTRO],DADOS!$N$6,tabela_registros[TIPO],DADOS!$AJ$4,tabela_registros[CATEGORIA],reservavariáveisconsolidadoout[[#This Row],[ATUAL]])</f>
        <v>0</v>
      </c>
      <c r="Y192" s="119" t="n">
        <f aca="false">SUMIFS(tabela_registros[VALOR],tabela_registros[MÊS],$AE$1,tabela_registros[DIA],reservavariáveisconsolidadoout[[#Headers],[21]],tabela_registros[REGISTRO],DADOS!$N$6,tabela_registros[TIPO],DADOS!$AJ$4,tabela_registros[CATEGORIA],reservavariáveisconsolidadoout[[#This Row],[ATUAL]])</f>
        <v>0</v>
      </c>
      <c r="Z192" s="119" t="n">
        <f aca="false">SUMIFS(tabela_registros[VALOR],tabela_registros[MÊS],$AE$1,tabela_registros[DIA],reservavariáveisconsolidadoout[[#Headers],[22]],tabela_registros[REGISTRO],DADOS!$N$6,tabela_registros[TIPO],DADOS!$AJ$4,tabela_registros[CATEGORIA],reservavariáveisconsolidadoout[[#This Row],[ATUAL]])</f>
        <v>0</v>
      </c>
      <c r="AA192" s="119" t="n">
        <f aca="false">SUMIFS(tabela_registros[VALOR],tabela_registros[MÊS],$AE$1,tabela_registros[DIA],reservavariáveisconsolidadoout[[#Headers],[23]],tabela_registros[REGISTRO],DADOS!$N$6,tabela_registros[TIPO],DADOS!$AJ$4,tabela_registros[CATEGORIA],reservavariáveisconsolidadoout[[#This Row],[ATUAL]])</f>
        <v>0</v>
      </c>
      <c r="AB192" s="119" t="n">
        <f aca="false">SUMIFS(tabela_registros[VALOR],tabela_registros[MÊS],$AE$1,tabela_registros[DIA],reservavariáveisconsolidadoout[[#Headers],[24]],tabela_registros[REGISTRO],DADOS!$N$6,tabela_registros[TIPO],DADOS!$AJ$4,tabela_registros[CATEGORIA],reservavariáveisconsolidadoout[[#This Row],[ATUAL]])</f>
        <v>0</v>
      </c>
      <c r="AC192" s="119" t="n">
        <f aca="false">SUMIFS(tabela_registros[VALOR],tabela_registros[MÊS],$AE$1,tabela_registros[DIA],reservavariáveisconsolidadoout[[#Headers],[25]],tabela_registros[REGISTRO],DADOS!$N$6,tabela_registros[TIPO],DADOS!$AJ$4,tabela_registros[CATEGORIA],reservavariáveisconsolidadoout[[#This Row],[ATUAL]])</f>
        <v>0</v>
      </c>
      <c r="AD192" s="119" t="n">
        <f aca="false">SUMIFS(tabela_registros[VALOR],tabela_registros[MÊS],$AE$1,tabela_registros[DIA],reservavariáveisconsolidadoout[[#Headers],[26]],tabela_registros[REGISTRO],DADOS!$N$6,tabela_registros[TIPO],DADOS!$AJ$4,tabela_registros[CATEGORIA],reservavariáveisconsolidadoout[[#This Row],[ATUAL]])</f>
        <v>0</v>
      </c>
      <c r="AE192" s="119" t="n">
        <f aca="false">SUMIFS(tabela_registros[VALOR],tabela_registros[MÊS],$AE$1,tabela_registros[DIA],reservavariáveisconsolidadoout[[#Headers],[27]],tabela_registros[REGISTRO],DADOS!$N$6,tabela_registros[TIPO],DADOS!$AJ$4,tabela_registros[CATEGORIA],reservavariáveisconsolidadoout[[#This Row],[ATUAL]])</f>
        <v>0</v>
      </c>
      <c r="AF192" s="119" t="n">
        <f aca="false">SUMIFS(tabela_registros[VALOR],tabela_registros[MÊS],$AE$1,tabela_registros[DIA],reservavariáveisconsolidadoout[[#Headers],[28]],tabela_registros[REGISTRO],DADOS!$N$6,tabela_registros[TIPO],DADOS!$AJ$4,tabela_registros[CATEGORIA],reservavariáveisconsolidadoout[[#This Row],[ATUAL]])</f>
        <v>0</v>
      </c>
      <c r="AG192" s="119" t="n">
        <f aca="false">SUMIFS(tabela_registros[VALOR],tabela_registros[MÊS],$AE$1,tabela_registros[DIA],reservavariáveisconsolidadoout[[#Headers],[29]],tabela_registros[REGISTRO],DADOS!$N$6,tabela_registros[TIPO],DADOS!$AJ$4,tabela_registros[CATEGORIA],reservavariáveisconsolidadoout[[#This Row],[ATUAL]])</f>
        <v>0</v>
      </c>
      <c r="AH192" s="119" t="n">
        <f aca="false">SUMIFS(tabela_registros[VALOR],tabela_registros[MÊS],$AE$1,tabela_registros[DIA],reservavariáveisconsolidadoout[[#Headers],[30]],tabela_registros[REGISTRO],DADOS!$N$6,tabela_registros[TIPO],DADOS!$AJ$4,tabela_registros[CATEGORIA],reservavariáveisconsolidadoout[[#This Row],[ATUAL]])</f>
        <v>0</v>
      </c>
      <c r="AI192" s="217" t="n">
        <f aca="false">SUMIFS(tabela_registros[VALOR],tabela_registros[MÊS],$AE$1,tabela_registros[DIA],reservavariáveisconsolidadoout[[#Headers],[31]],tabela_registros[REGISTRO],DADOS!$N$6,tabela_registros[TIPO],DADOS!$AJ$4,tabela_registros[CATEGORIA],reservavariáveisconsolidadoout[[#This Row],[ATUAL]])</f>
        <v>0</v>
      </c>
      <c r="AJ192" s="149" t="n">
        <f aca="false">SUM(reservavariáveisconsolidadoout[[#This Row],[1]:[31]])</f>
        <v>0</v>
      </c>
      <c r="AK192" s="165"/>
    </row>
    <row r="193" customFormat="false" ht="19.5" hidden="false" customHeight="true" outlineLevel="0" collapsed="false">
      <c r="B193" s="143"/>
      <c r="C193" s="144" t="str">
        <f aca="false">DADOS!$AN$9</f>
        <v>📝 EXTERIOR</v>
      </c>
      <c r="D193" s="145" t="str">
        <f aca="false">IF(reservavariáveisconsolidadoout[[#This Row],[TOTAL (R$)]]=0,"",IF(OR(reservavariáveisconsolidadoout[[#This Row],[TOTAL (R$)]]=LARGE($AJ$187:$AJ$196,1),reservavariáveisconsolidadoout[[#This Row],[TOTAL (R$)]]=LARGE($AJ$187:$AJ$196,2)),DADOS!$I$11,""))</f>
        <v/>
      </c>
      <c r="E193" s="148" t="n">
        <f aca="false">SUMIFS(tabela_registros[VALOR],tabela_registros[MÊS],$AE$1,tabela_registros[DIA],reservavariáveisconsolidadoout[[#Headers],[1]],tabela_registros[REGISTRO],DADOS!$N$6,tabela_registros[TIPO],DADOS!$AJ$4,tabela_registros[CATEGORIA],reservavariáveisconsolidadoout[[#This Row],[ATUAL]])</f>
        <v>0</v>
      </c>
      <c r="F193" s="119" t="n">
        <f aca="false">SUMIFS(tabela_registros[VALOR],tabela_registros[MÊS],$AE$1,tabela_registros[DIA],reservavariáveisconsolidadoout[[#Headers],[2]],tabela_registros[REGISTRO],DADOS!$N$6,tabela_registros[TIPO],DADOS!$AJ$4,tabela_registros[CATEGORIA],reservavariáveisconsolidadoout[[#This Row],[ATUAL]])</f>
        <v>0</v>
      </c>
      <c r="G193" s="119" t="n">
        <f aca="false">SUMIFS(tabela_registros[VALOR],tabela_registros[MÊS],$AE$1,tabela_registros[DIA],reservavariáveisconsolidadoout[[#Headers],[3]],tabela_registros[REGISTRO],DADOS!$N$6,tabela_registros[TIPO],DADOS!$AJ$4,tabela_registros[CATEGORIA],reservavariáveisconsolidadoout[[#This Row],[ATUAL]])</f>
        <v>0</v>
      </c>
      <c r="H193" s="119" t="n">
        <f aca="false">SUMIFS(tabela_registros[VALOR],tabela_registros[MÊS],$AE$1,tabela_registros[DIA],reservavariáveisconsolidadoout[[#Headers],[4]],tabela_registros[REGISTRO],DADOS!$N$6,tabela_registros[TIPO],DADOS!$AJ$4,tabela_registros[CATEGORIA],reservavariáveisconsolidadoout[[#This Row],[ATUAL]])</f>
        <v>0</v>
      </c>
      <c r="I193" s="119" t="n">
        <f aca="false">SUMIFS(tabela_registros[VALOR],tabela_registros[MÊS],$AE$1,tabela_registros[DIA],reservavariáveisconsolidadoout[[#Headers],[5]],tabela_registros[REGISTRO],DADOS!$N$6,tabela_registros[TIPO],DADOS!$AJ$4,tabela_registros[CATEGORIA],reservavariáveisconsolidadoout[[#This Row],[ATUAL]])</f>
        <v>0</v>
      </c>
      <c r="J193" s="119" t="n">
        <f aca="false">SUMIFS(tabela_registros[VALOR],tabela_registros[MÊS],$AE$1,tabela_registros[DIA],reservavariáveisconsolidadoout[[#Headers],[6]],tabela_registros[REGISTRO],DADOS!$N$6,tabela_registros[TIPO],DADOS!$AJ$4,tabela_registros[CATEGORIA],reservavariáveisconsolidadoout[[#This Row],[ATUAL]])</f>
        <v>0</v>
      </c>
      <c r="K193" s="119" t="n">
        <f aca="false">SUMIFS(tabela_registros[VALOR],tabela_registros[MÊS],$AE$1,tabela_registros[DIA],reservavariáveisconsolidadoout[[#Headers],[7]],tabela_registros[REGISTRO],DADOS!$N$6,tabela_registros[TIPO],DADOS!$AJ$4,tabela_registros[CATEGORIA],reservavariáveisconsolidadoout[[#This Row],[ATUAL]])</f>
        <v>0</v>
      </c>
      <c r="L193" s="119" t="n">
        <f aca="false">SUMIFS(tabela_registros[VALOR],tabela_registros[MÊS],$AE$1,tabela_registros[DIA],reservavariáveisconsolidadoout[[#Headers],[8]],tabela_registros[REGISTRO],DADOS!$N$6,tabela_registros[TIPO],DADOS!$AJ$4,tabela_registros[CATEGORIA],reservavariáveisconsolidadoout[[#This Row],[ATUAL]])</f>
        <v>0</v>
      </c>
      <c r="M193" s="119" t="n">
        <f aca="false">SUMIFS(tabela_registros[VALOR],tabela_registros[MÊS],$AE$1,tabela_registros[DIA],reservavariáveisconsolidadoout[[#Headers],[9]],tabela_registros[REGISTRO],DADOS!$N$6,tabela_registros[TIPO],DADOS!$AJ$4,tabela_registros[CATEGORIA],reservavariáveisconsolidadoout[[#This Row],[ATUAL]])</f>
        <v>0</v>
      </c>
      <c r="N193" s="119" t="n">
        <f aca="false">SUMIFS(tabela_registros[VALOR],tabela_registros[MÊS],$AE$1,tabela_registros[DIA],reservavariáveisconsolidadoout[[#Headers],[10]],tabela_registros[REGISTRO],DADOS!$N$6,tabela_registros[TIPO],DADOS!$AJ$4,tabela_registros[CATEGORIA],reservavariáveisconsolidadoout[[#This Row],[ATUAL]])</f>
        <v>0</v>
      </c>
      <c r="O193" s="119" t="n">
        <f aca="false">SUMIFS(tabela_registros[VALOR],tabela_registros[MÊS],$AE$1,tabela_registros[DIA],reservavariáveisconsolidadoout[[#Headers],[11]],tabela_registros[REGISTRO],DADOS!$N$6,tabela_registros[TIPO],DADOS!$AJ$4,tabela_registros[CATEGORIA],reservavariáveisconsolidadoout[[#This Row],[ATUAL]])</f>
        <v>0</v>
      </c>
      <c r="P193" s="119" t="n">
        <f aca="false">SUMIFS(tabela_registros[VALOR],tabela_registros[MÊS],$AE$1,tabela_registros[DIA],reservavariáveisconsolidadoout[[#Headers],[12]],tabela_registros[REGISTRO],DADOS!$N$6,tabela_registros[TIPO],DADOS!$AJ$4,tabela_registros[CATEGORIA],reservavariáveisconsolidadoout[[#This Row],[ATUAL]])</f>
        <v>0</v>
      </c>
      <c r="Q193" s="119" t="n">
        <f aca="false">SUMIFS(tabela_registros[VALOR],tabela_registros[MÊS],$AE$1,tabela_registros[DIA],reservavariáveisconsolidadoout[[#Headers],[13]],tabela_registros[REGISTRO],DADOS!$N$6,tabela_registros[TIPO],DADOS!$AJ$4,tabela_registros[CATEGORIA],reservavariáveisconsolidadoout[[#This Row],[ATUAL]])</f>
        <v>0</v>
      </c>
      <c r="R193" s="119" t="n">
        <f aca="false">SUMIFS(tabela_registros[VALOR],tabela_registros[MÊS],$AE$1,tabela_registros[DIA],reservavariáveisconsolidadoout[[#Headers],[14]],tabela_registros[REGISTRO],DADOS!$N$6,tabela_registros[TIPO],DADOS!$AJ$4,tabela_registros[CATEGORIA],reservavariáveisconsolidadoout[[#This Row],[ATUAL]])</f>
        <v>0</v>
      </c>
      <c r="S193" s="119" t="n">
        <f aca="false">SUMIFS(tabela_registros[VALOR],tabela_registros[MÊS],$AE$1,tabela_registros[DIA],reservavariáveisconsolidadoout[[#Headers],[15]],tabela_registros[REGISTRO],DADOS!$N$6,tabela_registros[TIPO],DADOS!$AJ$4,tabela_registros[CATEGORIA],reservavariáveisconsolidadoout[[#This Row],[ATUAL]])</f>
        <v>0</v>
      </c>
      <c r="T193" s="119" t="n">
        <f aca="false">SUMIFS(tabela_registros[VALOR],tabela_registros[MÊS],$AE$1,tabela_registros[DIA],reservavariáveisconsolidadoout[[#Headers],[16]],tabela_registros[REGISTRO],DADOS!$N$6,tabela_registros[TIPO],DADOS!$AJ$4,tabela_registros[CATEGORIA],reservavariáveisconsolidadoout[[#This Row],[ATUAL]])</f>
        <v>0</v>
      </c>
      <c r="U193" s="119" t="n">
        <f aca="false">SUMIFS(tabela_registros[VALOR],tabela_registros[MÊS],$AE$1,tabela_registros[DIA],reservavariáveisconsolidadoout[[#Headers],[17]],tabela_registros[REGISTRO],DADOS!$N$6,tabela_registros[TIPO],DADOS!$AJ$4,tabela_registros[CATEGORIA],reservavariáveisconsolidadoout[[#This Row],[ATUAL]])</f>
        <v>0</v>
      </c>
      <c r="V193" s="119" t="n">
        <f aca="false">SUMIFS(tabela_registros[VALOR],tabela_registros[MÊS],$AE$1,tabela_registros[DIA],reservavariáveisconsolidadoout[[#Headers],[18]],tabela_registros[REGISTRO],DADOS!$N$6,tabela_registros[TIPO],DADOS!$AJ$4,tabela_registros[CATEGORIA],reservavariáveisconsolidadoout[[#This Row],[ATUAL]])</f>
        <v>0</v>
      </c>
      <c r="W193" s="119" t="n">
        <f aca="false">SUMIFS(tabela_registros[VALOR],tabela_registros[MÊS],$AE$1,tabela_registros[DIA],reservavariáveisconsolidadoout[[#Headers],[19]],tabela_registros[REGISTRO],DADOS!$N$6,tabela_registros[TIPO],DADOS!$AJ$4,tabela_registros[CATEGORIA],reservavariáveisconsolidadoout[[#This Row],[ATUAL]])</f>
        <v>0</v>
      </c>
      <c r="X193" s="119" t="n">
        <f aca="false">SUMIFS(tabela_registros[VALOR],tabela_registros[MÊS],$AE$1,tabela_registros[DIA],reservavariáveisconsolidadoout[[#Headers],[20]],tabela_registros[REGISTRO],DADOS!$N$6,tabela_registros[TIPO],DADOS!$AJ$4,tabela_registros[CATEGORIA],reservavariáveisconsolidadoout[[#This Row],[ATUAL]])</f>
        <v>0</v>
      </c>
      <c r="Y193" s="119" t="n">
        <f aca="false">SUMIFS(tabela_registros[VALOR],tabela_registros[MÊS],$AE$1,tabela_registros[DIA],reservavariáveisconsolidadoout[[#Headers],[21]],tabela_registros[REGISTRO],DADOS!$N$6,tabela_registros[TIPO],DADOS!$AJ$4,tabela_registros[CATEGORIA],reservavariáveisconsolidadoout[[#This Row],[ATUAL]])</f>
        <v>0</v>
      </c>
      <c r="Z193" s="119" t="n">
        <f aca="false">SUMIFS(tabela_registros[VALOR],tabela_registros[MÊS],$AE$1,tabela_registros[DIA],reservavariáveisconsolidadoout[[#Headers],[22]],tabela_registros[REGISTRO],DADOS!$N$6,tabela_registros[TIPO],DADOS!$AJ$4,tabela_registros[CATEGORIA],reservavariáveisconsolidadoout[[#This Row],[ATUAL]])</f>
        <v>0</v>
      </c>
      <c r="AA193" s="119" t="n">
        <f aca="false">SUMIFS(tabela_registros[VALOR],tabela_registros[MÊS],$AE$1,tabela_registros[DIA],reservavariáveisconsolidadoout[[#Headers],[23]],tabela_registros[REGISTRO],DADOS!$N$6,tabela_registros[TIPO],DADOS!$AJ$4,tabela_registros[CATEGORIA],reservavariáveisconsolidadoout[[#This Row],[ATUAL]])</f>
        <v>0</v>
      </c>
      <c r="AB193" s="119" t="n">
        <f aca="false">SUMIFS(tabela_registros[VALOR],tabela_registros[MÊS],$AE$1,tabela_registros[DIA],reservavariáveisconsolidadoout[[#Headers],[24]],tabela_registros[REGISTRO],DADOS!$N$6,tabela_registros[TIPO],DADOS!$AJ$4,tabela_registros[CATEGORIA],reservavariáveisconsolidadoout[[#This Row],[ATUAL]])</f>
        <v>0</v>
      </c>
      <c r="AC193" s="119" t="n">
        <f aca="false">SUMIFS(tabela_registros[VALOR],tabela_registros[MÊS],$AE$1,tabela_registros[DIA],reservavariáveisconsolidadoout[[#Headers],[25]],tabela_registros[REGISTRO],DADOS!$N$6,tabela_registros[TIPO],DADOS!$AJ$4,tabela_registros[CATEGORIA],reservavariáveisconsolidadoout[[#This Row],[ATUAL]])</f>
        <v>0</v>
      </c>
      <c r="AD193" s="119" t="n">
        <f aca="false">SUMIFS(tabela_registros[VALOR],tabela_registros[MÊS],$AE$1,tabela_registros[DIA],reservavariáveisconsolidadoout[[#Headers],[26]],tabela_registros[REGISTRO],DADOS!$N$6,tabela_registros[TIPO],DADOS!$AJ$4,tabela_registros[CATEGORIA],reservavariáveisconsolidadoout[[#This Row],[ATUAL]])</f>
        <v>0</v>
      </c>
      <c r="AE193" s="119" t="n">
        <f aca="false">SUMIFS(tabela_registros[VALOR],tabela_registros[MÊS],$AE$1,tabela_registros[DIA],reservavariáveisconsolidadoout[[#Headers],[27]],tabela_registros[REGISTRO],DADOS!$N$6,tabela_registros[TIPO],DADOS!$AJ$4,tabela_registros[CATEGORIA],reservavariáveisconsolidadoout[[#This Row],[ATUAL]])</f>
        <v>0</v>
      </c>
      <c r="AF193" s="119" t="n">
        <f aca="false">SUMIFS(tabela_registros[VALOR],tabela_registros[MÊS],$AE$1,tabela_registros[DIA],reservavariáveisconsolidadoout[[#Headers],[28]],tabela_registros[REGISTRO],DADOS!$N$6,tabela_registros[TIPO],DADOS!$AJ$4,tabela_registros[CATEGORIA],reservavariáveisconsolidadoout[[#This Row],[ATUAL]])</f>
        <v>0</v>
      </c>
      <c r="AG193" s="119" t="n">
        <f aca="false">SUMIFS(tabela_registros[VALOR],tabela_registros[MÊS],$AE$1,tabela_registros[DIA],reservavariáveisconsolidadoout[[#Headers],[29]],tabela_registros[REGISTRO],DADOS!$N$6,tabela_registros[TIPO],DADOS!$AJ$4,tabela_registros[CATEGORIA],reservavariáveisconsolidadoout[[#This Row],[ATUAL]])</f>
        <v>0</v>
      </c>
      <c r="AH193" s="119" t="n">
        <f aca="false">SUMIFS(tabela_registros[VALOR],tabela_registros[MÊS],$AE$1,tabela_registros[DIA],reservavariáveisconsolidadoout[[#Headers],[30]],tabela_registros[REGISTRO],DADOS!$N$6,tabela_registros[TIPO],DADOS!$AJ$4,tabela_registros[CATEGORIA],reservavariáveisconsolidadoout[[#This Row],[ATUAL]])</f>
        <v>0</v>
      </c>
      <c r="AI193" s="217" t="n">
        <f aca="false">SUMIFS(tabela_registros[VALOR],tabela_registros[MÊS],$AE$1,tabela_registros[DIA],reservavariáveisconsolidadoout[[#Headers],[31]],tabela_registros[REGISTRO],DADOS!$N$6,tabela_registros[TIPO],DADOS!$AJ$4,tabela_registros[CATEGORIA],reservavariáveisconsolidadoout[[#This Row],[ATUAL]])</f>
        <v>0</v>
      </c>
      <c r="AJ193" s="149" t="n">
        <f aca="false">SUM(reservavariáveisconsolidadoout[[#This Row],[1]:[31]])</f>
        <v>0</v>
      </c>
      <c r="AK193" s="165"/>
    </row>
    <row r="194" customFormat="false" ht="19.5" hidden="false" customHeight="true" outlineLevel="0" collapsed="false">
      <c r="B194" s="143"/>
      <c r="C194" s="144" t="str">
        <f aca="false">DADOS!$AN$10</f>
        <v>📝 FII</v>
      </c>
      <c r="D194" s="145" t="str">
        <f aca="false">IF(reservavariáveisconsolidadoout[[#This Row],[TOTAL (R$)]]=0,"",IF(OR(reservavariáveisconsolidadoout[[#This Row],[TOTAL (R$)]]=LARGE($AJ$187:$AJ$196,1),reservavariáveisconsolidadoout[[#This Row],[TOTAL (R$)]]=LARGE($AJ$187:$AJ$196,2)),DADOS!$I$11,""))</f>
        <v/>
      </c>
      <c r="E194" s="148" t="n">
        <f aca="false">SUMIFS(tabela_registros[VALOR],tabela_registros[MÊS],$AE$1,tabela_registros[DIA],reservavariáveisconsolidadoout[[#Headers],[1]],tabela_registros[REGISTRO],DADOS!$N$6,tabela_registros[TIPO],DADOS!$AJ$4,tabela_registros[CATEGORIA],reservavariáveisconsolidadoout[[#This Row],[ATUAL]])</f>
        <v>0</v>
      </c>
      <c r="F194" s="119" t="n">
        <f aca="false">SUMIFS(tabela_registros[VALOR],tabela_registros[MÊS],$AE$1,tabela_registros[DIA],reservavariáveisconsolidadoout[[#Headers],[2]],tabela_registros[REGISTRO],DADOS!$N$6,tabela_registros[TIPO],DADOS!$AJ$4,tabela_registros[CATEGORIA],reservavariáveisconsolidadoout[[#This Row],[ATUAL]])</f>
        <v>0</v>
      </c>
      <c r="G194" s="119" t="n">
        <f aca="false">SUMIFS(tabela_registros[VALOR],tabela_registros[MÊS],$AE$1,tabela_registros[DIA],reservavariáveisconsolidadoout[[#Headers],[3]],tabela_registros[REGISTRO],DADOS!$N$6,tabela_registros[TIPO],DADOS!$AJ$4,tabela_registros[CATEGORIA],reservavariáveisconsolidadoout[[#This Row],[ATUAL]])</f>
        <v>0</v>
      </c>
      <c r="H194" s="119" t="n">
        <f aca="false">SUMIFS(tabela_registros[VALOR],tabela_registros[MÊS],$AE$1,tabela_registros[DIA],reservavariáveisconsolidadoout[[#Headers],[4]],tabela_registros[REGISTRO],DADOS!$N$6,tabela_registros[TIPO],DADOS!$AJ$4,tabela_registros[CATEGORIA],reservavariáveisconsolidadoout[[#This Row],[ATUAL]])</f>
        <v>0</v>
      </c>
      <c r="I194" s="119" t="n">
        <f aca="false">SUMIFS(tabela_registros[VALOR],tabela_registros[MÊS],$AE$1,tabela_registros[DIA],reservavariáveisconsolidadoout[[#Headers],[5]],tabela_registros[REGISTRO],DADOS!$N$6,tabela_registros[TIPO],DADOS!$AJ$4,tabela_registros[CATEGORIA],reservavariáveisconsolidadoout[[#This Row],[ATUAL]])</f>
        <v>0</v>
      </c>
      <c r="J194" s="119" t="n">
        <f aca="false">SUMIFS(tabela_registros[VALOR],tabela_registros[MÊS],$AE$1,tabela_registros[DIA],reservavariáveisconsolidadoout[[#Headers],[6]],tabela_registros[REGISTRO],DADOS!$N$6,tabela_registros[TIPO],DADOS!$AJ$4,tabela_registros[CATEGORIA],reservavariáveisconsolidadoout[[#This Row],[ATUAL]])</f>
        <v>0</v>
      </c>
      <c r="K194" s="119" t="n">
        <f aca="false">SUMIFS(tabela_registros[VALOR],tabela_registros[MÊS],$AE$1,tabela_registros[DIA],reservavariáveisconsolidadoout[[#Headers],[7]],tabela_registros[REGISTRO],DADOS!$N$6,tabela_registros[TIPO],DADOS!$AJ$4,tabela_registros[CATEGORIA],reservavariáveisconsolidadoout[[#This Row],[ATUAL]])</f>
        <v>0</v>
      </c>
      <c r="L194" s="119" t="n">
        <f aca="false">SUMIFS(tabela_registros[VALOR],tabela_registros[MÊS],$AE$1,tabela_registros[DIA],reservavariáveisconsolidadoout[[#Headers],[8]],tabela_registros[REGISTRO],DADOS!$N$6,tabela_registros[TIPO],DADOS!$AJ$4,tabela_registros[CATEGORIA],reservavariáveisconsolidadoout[[#This Row],[ATUAL]])</f>
        <v>0</v>
      </c>
      <c r="M194" s="119" t="n">
        <f aca="false">SUMIFS(tabela_registros[VALOR],tabela_registros[MÊS],$AE$1,tabela_registros[DIA],reservavariáveisconsolidadoout[[#Headers],[9]],tabela_registros[REGISTRO],DADOS!$N$6,tabela_registros[TIPO],DADOS!$AJ$4,tabela_registros[CATEGORIA],reservavariáveisconsolidadoout[[#This Row],[ATUAL]])</f>
        <v>0</v>
      </c>
      <c r="N194" s="119" t="n">
        <f aca="false">SUMIFS(tabela_registros[VALOR],tabela_registros[MÊS],$AE$1,tabela_registros[DIA],reservavariáveisconsolidadoout[[#Headers],[10]],tabela_registros[REGISTRO],DADOS!$N$6,tabela_registros[TIPO],DADOS!$AJ$4,tabela_registros[CATEGORIA],reservavariáveisconsolidadoout[[#This Row],[ATUAL]])</f>
        <v>0</v>
      </c>
      <c r="O194" s="119" t="n">
        <f aca="false">SUMIFS(tabela_registros[VALOR],tabela_registros[MÊS],$AE$1,tabela_registros[DIA],reservavariáveisconsolidadoout[[#Headers],[11]],tabela_registros[REGISTRO],DADOS!$N$6,tabela_registros[TIPO],DADOS!$AJ$4,tabela_registros[CATEGORIA],reservavariáveisconsolidadoout[[#This Row],[ATUAL]])</f>
        <v>0</v>
      </c>
      <c r="P194" s="119" t="n">
        <f aca="false">SUMIFS(tabela_registros[VALOR],tabela_registros[MÊS],$AE$1,tabela_registros[DIA],reservavariáveisconsolidadoout[[#Headers],[12]],tabela_registros[REGISTRO],DADOS!$N$6,tabela_registros[TIPO],DADOS!$AJ$4,tabela_registros[CATEGORIA],reservavariáveisconsolidadoout[[#This Row],[ATUAL]])</f>
        <v>0</v>
      </c>
      <c r="Q194" s="119" t="n">
        <f aca="false">SUMIFS(tabela_registros[VALOR],tabela_registros[MÊS],$AE$1,tabela_registros[DIA],reservavariáveisconsolidadoout[[#Headers],[13]],tabela_registros[REGISTRO],DADOS!$N$6,tabela_registros[TIPO],DADOS!$AJ$4,tabela_registros[CATEGORIA],reservavariáveisconsolidadoout[[#This Row],[ATUAL]])</f>
        <v>0</v>
      </c>
      <c r="R194" s="119" t="n">
        <f aca="false">SUMIFS(tabela_registros[VALOR],tabela_registros[MÊS],$AE$1,tabela_registros[DIA],reservavariáveisconsolidadoout[[#Headers],[14]],tabela_registros[REGISTRO],DADOS!$N$6,tabela_registros[TIPO],DADOS!$AJ$4,tabela_registros[CATEGORIA],reservavariáveisconsolidadoout[[#This Row],[ATUAL]])</f>
        <v>0</v>
      </c>
      <c r="S194" s="119" t="n">
        <f aca="false">SUMIFS(tabela_registros[VALOR],tabela_registros[MÊS],$AE$1,tabela_registros[DIA],reservavariáveisconsolidadoout[[#Headers],[15]],tabela_registros[REGISTRO],DADOS!$N$6,tabela_registros[TIPO],DADOS!$AJ$4,tabela_registros[CATEGORIA],reservavariáveisconsolidadoout[[#This Row],[ATUAL]])</f>
        <v>0</v>
      </c>
      <c r="T194" s="119" t="n">
        <f aca="false">SUMIFS(tabela_registros[VALOR],tabela_registros[MÊS],$AE$1,tabela_registros[DIA],reservavariáveisconsolidadoout[[#Headers],[16]],tabela_registros[REGISTRO],DADOS!$N$6,tabela_registros[TIPO],DADOS!$AJ$4,tabela_registros[CATEGORIA],reservavariáveisconsolidadoout[[#This Row],[ATUAL]])</f>
        <v>0</v>
      </c>
      <c r="U194" s="119" t="n">
        <f aca="false">SUMIFS(tabela_registros[VALOR],tabela_registros[MÊS],$AE$1,tabela_registros[DIA],reservavariáveisconsolidadoout[[#Headers],[17]],tabela_registros[REGISTRO],DADOS!$N$6,tabela_registros[TIPO],DADOS!$AJ$4,tabela_registros[CATEGORIA],reservavariáveisconsolidadoout[[#This Row],[ATUAL]])</f>
        <v>0</v>
      </c>
      <c r="V194" s="119" t="n">
        <f aca="false">SUMIFS(tabela_registros[VALOR],tabela_registros[MÊS],$AE$1,tabela_registros[DIA],reservavariáveisconsolidadoout[[#Headers],[18]],tabela_registros[REGISTRO],DADOS!$N$6,tabela_registros[TIPO],DADOS!$AJ$4,tabela_registros[CATEGORIA],reservavariáveisconsolidadoout[[#This Row],[ATUAL]])</f>
        <v>0</v>
      </c>
      <c r="W194" s="119" t="n">
        <f aca="false">SUMIFS(tabela_registros[VALOR],tabela_registros[MÊS],$AE$1,tabela_registros[DIA],reservavariáveisconsolidadoout[[#Headers],[19]],tabela_registros[REGISTRO],DADOS!$N$6,tabela_registros[TIPO],DADOS!$AJ$4,tabela_registros[CATEGORIA],reservavariáveisconsolidadoout[[#This Row],[ATUAL]])</f>
        <v>0</v>
      </c>
      <c r="X194" s="119" t="n">
        <f aca="false">SUMIFS(tabela_registros[VALOR],tabela_registros[MÊS],$AE$1,tabela_registros[DIA],reservavariáveisconsolidadoout[[#Headers],[20]],tabela_registros[REGISTRO],DADOS!$N$6,tabela_registros[TIPO],DADOS!$AJ$4,tabela_registros[CATEGORIA],reservavariáveisconsolidadoout[[#This Row],[ATUAL]])</f>
        <v>0</v>
      </c>
      <c r="Y194" s="119" t="n">
        <f aca="false">SUMIFS(tabela_registros[VALOR],tabela_registros[MÊS],$AE$1,tabela_registros[DIA],reservavariáveisconsolidadoout[[#Headers],[21]],tabela_registros[REGISTRO],DADOS!$N$6,tabela_registros[TIPO],DADOS!$AJ$4,tabela_registros[CATEGORIA],reservavariáveisconsolidadoout[[#This Row],[ATUAL]])</f>
        <v>0</v>
      </c>
      <c r="Z194" s="119" t="n">
        <f aca="false">SUMIFS(tabela_registros[VALOR],tabela_registros[MÊS],$AE$1,tabela_registros[DIA],reservavariáveisconsolidadoout[[#Headers],[22]],tabela_registros[REGISTRO],DADOS!$N$6,tabela_registros[TIPO],DADOS!$AJ$4,tabela_registros[CATEGORIA],reservavariáveisconsolidadoout[[#This Row],[ATUAL]])</f>
        <v>0</v>
      </c>
      <c r="AA194" s="119" t="n">
        <f aca="false">SUMIFS(tabela_registros[VALOR],tabela_registros[MÊS],$AE$1,tabela_registros[DIA],reservavariáveisconsolidadoout[[#Headers],[23]],tabela_registros[REGISTRO],DADOS!$N$6,tabela_registros[TIPO],DADOS!$AJ$4,tabela_registros[CATEGORIA],reservavariáveisconsolidadoout[[#This Row],[ATUAL]])</f>
        <v>0</v>
      </c>
      <c r="AB194" s="119" t="n">
        <f aca="false">SUMIFS(tabela_registros[VALOR],tabela_registros[MÊS],$AE$1,tabela_registros[DIA],reservavariáveisconsolidadoout[[#Headers],[24]],tabela_registros[REGISTRO],DADOS!$N$6,tabela_registros[TIPO],DADOS!$AJ$4,tabela_registros[CATEGORIA],reservavariáveisconsolidadoout[[#This Row],[ATUAL]])</f>
        <v>0</v>
      </c>
      <c r="AC194" s="119" t="n">
        <f aca="false">SUMIFS(tabela_registros[VALOR],tabela_registros[MÊS],$AE$1,tabela_registros[DIA],reservavariáveisconsolidadoout[[#Headers],[25]],tabela_registros[REGISTRO],DADOS!$N$6,tabela_registros[TIPO],DADOS!$AJ$4,tabela_registros[CATEGORIA],reservavariáveisconsolidadoout[[#This Row],[ATUAL]])</f>
        <v>0</v>
      </c>
      <c r="AD194" s="119" t="n">
        <f aca="false">SUMIFS(tabela_registros[VALOR],tabela_registros[MÊS],$AE$1,tabela_registros[DIA],reservavariáveisconsolidadoout[[#Headers],[26]],tabela_registros[REGISTRO],DADOS!$N$6,tabela_registros[TIPO],DADOS!$AJ$4,tabela_registros[CATEGORIA],reservavariáveisconsolidadoout[[#This Row],[ATUAL]])</f>
        <v>0</v>
      </c>
      <c r="AE194" s="119" t="n">
        <f aca="false">SUMIFS(tabela_registros[VALOR],tabela_registros[MÊS],$AE$1,tabela_registros[DIA],reservavariáveisconsolidadoout[[#Headers],[27]],tabela_registros[REGISTRO],DADOS!$N$6,tabela_registros[TIPO],DADOS!$AJ$4,tabela_registros[CATEGORIA],reservavariáveisconsolidadoout[[#This Row],[ATUAL]])</f>
        <v>0</v>
      </c>
      <c r="AF194" s="119" t="n">
        <f aca="false">SUMIFS(tabela_registros[VALOR],tabela_registros[MÊS],$AE$1,tabela_registros[DIA],reservavariáveisconsolidadoout[[#Headers],[28]],tabela_registros[REGISTRO],DADOS!$N$6,tabela_registros[TIPO],DADOS!$AJ$4,tabela_registros[CATEGORIA],reservavariáveisconsolidadoout[[#This Row],[ATUAL]])</f>
        <v>0</v>
      </c>
      <c r="AG194" s="119" t="n">
        <f aca="false">SUMIFS(tabela_registros[VALOR],tabela_registros[MÊS],$AE$1,tabela_registros[DIA],reservavariáveisconsolidadoout[[#Headers],[29]],tabela_registros[REGISTRO],DADOS!$N$6,tabela_registros[TIPO],DADOS!$AJ$4,tabela_registros[CATEGORIA],reservavariáveisconsolidadoout[[#This Row],[ATUAL]])</f>
        <v>0</v>
      </c>
      <c r="AH194" s="119" t="n">
        <f aca="false">SUMIFS(tabela_registros[VALOR],tabela_registros[MÊS],$AE$1,tabela_registros[DIA],reservavariáveisconsolidadoout[[#Headers],[30]],tabela_registros[REGISTRO],DADOS!$N$6,tabela_registros[TIPO],DADOS!$AJ$4,tabela_registros[CATEGORIA],reservavariáveisconsolidadoout[[#This Row],[ATUAL]])</f>
        <v>0</v>
      </c>
      <c r="AI194" s="217" t="n">
        <f aca="false">SUMIFS(tabela_registros[VALOR],tabela_registros[MÊS],$AE$1,tabela_registros[DIA],reservavariáveisconsolidadoout[[#Headers],[31]],tabela_registros[REGISTRO],DADOS!$N$6,tabela_registros[TIPO],DADOS!$AJ$4,tabela_registros[CATEGORIA],reservavariáveisconsolidadoout[[#This Row],[ATUAL]])</f>
        <v>0</v>
      </c>
      <c r="AJ194" s="149" t="n">
        <f aca="false">SUM(reservavariáveisconsolidadoout[[#This Row],[1]:[31]])</f>
        <v>0</v>
      </c>
      <c r="AK194" s="165"/>
    </row>
    <row r="195" customFormat="false" ht="19.5" hidden="false" customHeight="true" outlineLevel="0" collapsed="false">
      <c r="B195" s="143"/>
      <c r="C195" s="144" t="str">
        <f aca="false">DADOS!$AN$11</f>
        <v>📝 MOEDA</v>
      </c>
      <c r="D195" s="145" t="str">
        <f aca="false">IF(reservavariáveisconsolidadoout[[#This Row],[TOTAL (R$)]]=0,"",IF(OR(reservavariáveisconsolidadoout[[#This Row],[TOTAL (R$)]]=LARGE($AJ$187:$AJ$196,1),reservavariáveisconsolidadoout[[#This Row],[TOTAL (R$)]]=LARGE($AJ$187:$AJ$196,2)),DADOS!$I$11,""))</f>
        <v/>
      </c>
      <c r="E195" s="148" t="n">
        <f aca="false">SUMIFS(tabela_registros[VALOR],tabela_registros[MÊS],$AE$1,tabela_registros[DIA],reservavariáveisconsolidadoout[[#Headers],[1]],tabela_registros[REGISTRO],DADOS!$N$6,tabela_registros[TIPO],DADOS!$AJ$4,tabela_registros[CATEGORIA],reservavariáveisconsolidadoout[[#This Row],[ATUAL]])</f>
        <v>0</v>
      </c>
      <c r="F195" s="119" t="n">
        <f aca="false">SUMIFS(tabela_registros[VALOR],tabela_registros[MÊS],$AE$1,tabela_registros[DIA],reservavariáveisconsolidadoout[[#Headers],[2]],tabela_registros[REGISTRO],DADOS!$N$6,tabela_registros[TIPO],DADOS!$AJ$4,tabela_registros[CATEGORIA],reservavariáveisconsolidadoout[[#This Row],[ATUAL]])</f>
        <v>0</v>
      </c>
      <c r="G195" s="119" t="n">
        <f aca="false">SUMIFS(tabela_registros[VALOR],tabela_registros[MÊS],$AE$1,tabela_registros[DIA],reservavariáveisconsolidadoout[[#Headers],[3]],tabela_registros[REGISTRO],DADOS!$N$6,tabela_registros[TIPO],DADOS!$AJ$4,tabela_registros[CATEGORIA],reservavariáveisconsolidadoout[[#This Row],[ATUAL]])</f>
        <v>0</v>
      </c>
      <c r="H195" s="119" t="n">
        <f aca="false">SUMIFS(tabela_registros[VALOR],tabela_registros[MÊS],$AE$1,tabela_registros[DIA],reservavariáveisconsolidadoout[[#Headers],[4]],tabela_registros[REGISTRO],DADOS!$N$6,tabela_registros[TIPO],DADOS!$AJ$4,tabela_registros[CATEGORIA],reservavariáveisconsolidadoout[[#This Row],[ATUAL]])</f>
        <v>0</v>
      </c>
      <c r="I195" s="119" t="n">
        <f aca="false">SUMIFS(tabela_registros[VALOR],tabela_registros[MÊS],$AE$1,tabela_registros[DIA],reservavariáveisconsolidadoout[[#Headers],[5]],tabela_registros[REGISTRO],DADOS!$N$6,tabela_registros[TIPO],DADOS!$AJ$4,tabela_registros[CATEGORIA],reservavariáveisconsolidadoout[[#This Row],[ATUAL]])</f>
        <v>0</v>
      </c>
      <c r="J195" s="119" t="n">
        <f aca="false">SUMIFS(tabela_registros[VALOR],tabela_registros[MÊS],$AE$1,tabela_registros[DIA],reservavariáveisconsolidadoout[[#Headers],[6]],tabela_registros[REGISTRO],DADOS!$N$6,tabela_registros[TIPO],DADOS!$AJ$4,tabela_registros[CATEGORIA],reservavariáveisconsolidadoout[[#This Row],[ATUAL]])</f>
        <v>0</v>
      </c>
      <c r="K195" s="119" t="n">
        <f aca="false">SUMIFS(tabela_registros[VALOR],tabela_registros[MÊS],$AE$1,tabela_registros[DIA],reservavariáveisconsolidadoout[[#Headers],[7]],tabela_registros[REGISTRO],DADOS!$N$6,tabela_registros[TIPO],DADOS!$AJ$4,tabela_registros[CATEGORIA],reservavariáveisconsolidadoout[[#This Row],[ATUAL]])</f>
        <v>0</v>
      </c>
      <c r="L195" s="119" t="n">
        <f aca="false">SUMIFS(tabela_registros[VALOR],tabela_registros[MÊS],$AE$1,tabela_registros[DIA],reservavariáveisconsolidadoout[[#Headers],[8]],tabela_registros[REGISTRO],DADOS!$N$6,tabela_registros[TIPO],DADOS!$AJ$4,tabela_registros[CATEGORIA],reservavariáveisconsolidadoout[[#This Row],[ATUAL]])</f>
        <v>0</v>
      </c>
      <c r="M195" s="119" t="n">
        <f aca="false">SUMIFS(tabela_registros[VALOR],tabela_registros[MÊS],$AE$1,tabela_registros[DIA],reservavariáveisconsolidadoout[[#Headers],[9]],tabela_registros[REGISTRO],DADOS!$N$6,tabela_registros[TIPO],DADOS!$AJ$4,tabela_registros[CATEGORIA],reservavariáveisconsolidadoout[[#This Row],[ATUAL]])</f>
        <v>0</v>
      </c>
      <c r="N195" s="119" t="n">
        <f aca="false">SUMIFS(tabela_registros[VALOR],tabela_registros[MÊS],$AE$1,tabela_registros[DIA],reservavariáveisconsolidadoout[[#Headers],[10]],tabela_registros[REGISTRO],DADOS!$N$6,tabela_registros[TIPO],DADOS!$AJ$4,tabela_registros[CATEGORIA],reservavariáveisconsolidadoout[[#This Row],[ATUAL]])</f>
        <v>0</v>
      </c>
      <c r="O195" s="119" t="n">
        <f aca="false">SUMIFS(tabela_registros[VALOR],tabela_registros[MÊS],$AE$1,tabela_registros[DIA],reservavariáveisconsolidadoout[[#Headers],[11]],tabela_registros[REGISTRO],DADOS!$N$6,tabela_registros[TIPO],DADOS!$AJ$4,tabela_registros[CATEGORIA],reservavariáveisconsolidadoout[[#This Row],[ATUAL]])</f>
        <v>0</v>
      </c>
      <c r="P195" s="119" t="n">
        <f aca="false">SUMIFS(tabela_registros[VALOR],tabela_registros[MÊS],$AE$1,tabela_registros[DIA],reservavariáveisconsolidadoout[[#Headers],[12]],tabela_registros[REGISTRO],DADOS!$N$6,tabela_registros[TIPO],DADOS!$AJ$4,tabela_registros[CATEGORIA],reservavariáveisconsolidadoout[[#This Row],[ATUAL]])</f>
        <v>0</v>
      </c>
      <c r="Q195" s="119" t="n">
        <f aca="false">SUMIFS(tabela_registros[VALOR],tabela_registros[MÊS],$AE$1,tabela_registros[DIA],reservavariáveisconsolidadoout[[#Headers],[13]],tabela_registros[REGISTRO],DADOS!$N$6,tabela_registros[TIPO],DADOS!$AJ$4,tabela_registros[CATEGORIA],reservavariáveisconsolidadoout[[#This Row],[ATUAL]])</f>
        <v>0</v>
      </c>
      <c r="R195" s="119" t="n">
        <f aca="false">SUMIFS(tabela_registros[VALOR],tabela_registros[MÊS],$AE$1,tabela_registros[DIA],reservavariáveisconsolidadoout[[#Headers],[14]],tabela_registros[REGISTRO],DADOS!$N$6,tabela_registros[TIPO],DADOS!$AJ$4,tabela_registros[CATEGORIA],reservavariáveisconsolidadoout[[#This Row],[ATUAL]])</f>
        <v>0</v>
      </c>
      <c r="S195" s="119" t="n">
        <f aca="false">SUMIFS(tabela_registros[VALOR],tabela_registros[MÊS],$AE$1,tabela_registros[DIA],reservavariáveisconsolidadoout[[#Headers],[15]],tabela_registros[REGISTRO],DADOS!$N$6,tabela_registros[TIPO],DADOS!$AJ$4,tabela_registros[CATEGORIA],reservavariáveisconsolidadoout[[#This Row],[ATUAL]])</f>
        <v>0</v>
      </c>
      <c r="T195" s="119" t="n">
        <f aca="false">SUMIFS(tabela_registros[VALOR],tabela_registros[MÊS],$AE$1,tabela_registros[DIA],reservavariáveisconsolidadoout[[#Headers],[16]],tabela_registros[REGISTRO],DADOS!$N$6,tabela_registros[TIPO],DADOS!$AJ$4,tabela_registros[CATEGORIA],reservavariáveisconsolidadoout[[#This Row],[ATUAL]])</f>
        <v>0</v>
      </c>
      <c r="U195" s="119" t="n">
        <f aca="false">SUMIFS(tabela_registros[VALOR],tabela_registros[MÊS],$AE$1,tabela_registros[DIA],reservavariáveisconsolidadoout[[#Headers],[17]],tabela_registros[REGISTRO],DADOS!$N$6,tabela_registros[TIPO],DADOS!$AJ$4,tabela_registros[CATEGORIA],reservavariáveisconsolidadoout[[#This Row],[ATUAL]])</f>
        <v>0</v>
      </c>
      <c r="V195" s="119" t="n">
        <f aca="false">SUMIFS(tabela_registros[VALOR],tabela_registros[MÊS],$AE$1,tabela_registros[DIA],reservavariáveisconsolidadoout[[#Headers],[18]],tabela_registros[REGISTRO],DADOS!$N$6,tabela_registros[TIPO],DADOS!$AJ$4,tabela_registros[CATEGORIA],reservavariáveisconsolidadoout[[#This Row],[ATUAL]])</f>
        <v>0</v>
      </c>
      <c r="W195" s="119" t="n">
        <f aca="false">SUMIFS(tabela_registros[VALOR],tabela_registros[MÊS],$AE$1,tabela_registros[DIA],reservavariáveisconsolidadoout[[#Headers],[19]],tabela_registros[REGISTRO],DADOS!$N$6,tabela_registros[TIPO],DADOS!$AJ$4,tabela_registros[CATEGORIA],reservavariáveisconsolidadoout[[#This Row],[ATUAL]])</f>
        <v>0</v>
      </c>
      <c r="X195" s="119" t="n">
        <f aca="false">SUMIFS(tabela_registros[VALOR],tabela_registros[MÊS],$AE$1,tabela_registros[DIA],reservavariáveisconsolidadoout[[#Headers],[20]],tabela_registros[REGISTRO],DADOS!$N$6,tabela_registros[TIPO],DADOS!$AJ$4,tabela_registros[CATEGORIA],reservavariáveisconsolidadoout[[#This Row],[ATUAL]])</f>
        <v>0</v>
      </c>
      <c r="Y195" s="119" t="n">
        <f aca="false">SUMIFS(tabela_registros[VALOR],tabela_registros[MÊS],$AE$1,tabela_registros[DIA],reservavariáveisconsolidadoout[[#Headers],[21]],tabela_registros[REGISTRO],DADOS!$N$6,tabela_registros[TIPO],DADOS!$AJ$4,tabela_registros[CATEGORIA],reservavariáveisconsolidadoout[[#This Row],[ATUAL]])</f>
        <v>0</v>
      </c>
      <c r="Z195" s="119" t="n">
        <f aca="false">SUMIFS(tabela_registros[VALOR],tabela_registros[MÊS],$AE$1,tabela_registros[DIA],reservavariáveisconsolidadoout[[#Headers],[22]],tabela_registros[REGISTRO],DADOS!$N$6,tabela_registros[TIPO],DADOS!$AJ$4,tabela_registros[CATEGORIA],reservavariáveisconsolidadoout[[#This Row],[ATUAL]])</f>
        <v>0</v>
      </c>
      <c r="AA195" s="119" t="n">
        <f aca="false">SUMIFS(tabela_registros[VALOR],tabela_registros[MÊS],$AE$1,tabela_registros[DIA],reservavariáveisconsolidadoout[[#Headers],[23]],tabela_registros[REGISTRO],DADOS!$N$6,tabela_registros[TIPO],DADOS!$AJ$4,tabela_registros[CATEGORIA],reservavariáveisconsolidadoout[[#This Row],[ATUAL]])</f>
        <v>0</v>
      </c>
      <c r="AB195" s="119" t="n">
        <f aca="false">SUMIFS(tabela_registros[VALOR],tabela_registros[MÊS],$AE$1,tabela_registros[DIA],reservavariáveisconsolidadoout[[#Headers],[24]],tabela_registros[REGISTRO],DADOS!$N$6,tabela_registros[TIPO],DADOS!$AJ$4,tabela_registros[CATEGORIA],reservavariáveisconsolidadoout[[#This Row],[ATUAL]])</f>
        <v>0</v>
      </c>
      <c r="AC195" s="119" t="n">
        <f aca="false">SUMIFS(tabela_registros[VALOR],tabela_registros[MÊS],$AE$1,tabela_registros[DIA],reservavariáveisconsolidadoout[[#Headers],[25]],tabela_registros[REGISTRO],DADOS!$N$6,tabela_registros[TIPO],DADOS!$AJ$4,tabela_registros[CATEGORIA],reservavariáveisconsolidadoout[[#This Row],[ATUAL]])</f>
        <v>0</v>
      </c>
      <c r="AD195" s="119" t="n">
        <f aca="false">SUMIFS(tabela_registros[VALOR],tabela_registros[MÊS],$AE$1,tabela_registros[DIA],reservavariáveisconsolidadoout[[#Headers],[26]],tabela_registros[REGISTRO],DADOS!$N$6,tabela_registros[TIPO],DADOS!$AJ$4,tabela_registros[CATEGORIA],reservavariáveisconsolidadoout[[#This Row],[ATUAL]])</f>
        <v>0</v>
      </c>
      <c r="AE195" s="119" t="n">
        <f aca="false">SUMIFS(tabela_registros[VALOR],tabela_registros[MÊS],$AE$1,tabela_registros[DIA],reservavariáveisconsolidadoout[[#Headers],[27]],tabela_registros[REGISTRO],DADOS!$N$6,tabela_registros[TIPO],DADOS!$AJ$4,tabela_registros[CATEGORIA],reservavariáveisconsolidadoout[[#This Row],[ATUAL]])</f>
        <v>0</v>
      </c>
      <c r="AF195" s="119" t="n">
        <f aca="false">SUMIFS(tabela_registros[VALOR],tabela_registros[MÊS],$AE$1,tabela_registros[DIA],reservavariáveisconsolidadoout[[#Headers],[28]],tabela_registros[REGISTRO],DADOS!$N$6,tabela_registros[TIPO],DADOS!$AJ$4,tabela_registros[CATEGORIA],reservavariáveisconsolidadoout[[#This Row],[ATUAL]])</f>
        <v>0</v>
      </c>
      <c r="AG195" s="119" t="n">
        <f aca="false">SUMIFS(tabela_registros[VALOR],tabela_registros[MÊS],$AE$1,tabela_registros[DIA],reservavariáveisconsolidadoout[[#Headers],[29]],tabela_registros[REGISTRO],DADOS!$N$6,tabela_registros[TIPO],DADOS!$AJ$4,tabela_registros[CATEGORIA],reservavariáveisconsolidadoout[[#This Row],[ATUAL]])</f>
        <v>0</v>
      </c>
      <c r="AH195" s="119" t="n">
        <f aca="false">SUMIFS(tabela_registros[VALOR],tabela_registros[MÊS],$AE$1,tabela_registros[DIA],reservavariáveisconsolidadoout[[#Headers],[30]],tabela_registros[REGISTRO],DADOS!$N$6,tabela_registros[TIPO],DADOS!$AJ$4,tabela_registros[CATEGORIA],reservavariáveisconsolidadoout[[#This Row],[ATUAL]])</f>
        <v>0</v>
      </c>
      <c r="AI195" s="217" t="n">
        <f aca="false">SUMIFS(tabela_registros[VALOR],tabela_registros[MÊS],$AE$1,tabela_registros[DIA],reservavariáveisconsolidadoout[[#Headers],[31]],tabela_registros[REGISTRO],DADOS!$N$6,tabela_registros[TIPO],DADOS!$AJ$4,tabela_registros[CATEGORIA],reservavariáveisconsolidadoout[[#This Row],[ATUAL]])</f>
        <v>0</v>
      </c>
      <c r="AJ195" s="149" t="n">
        <f aca="false">SUM(reservavariáveisconsolidadoout[[#This Row],[1]:[31]])</f>
        <v>0</v>
      </c>
      <c r="AK195" s="165"/>
    </row>
    <row r="196" customFormat="false" ht="19.5" hidden="false" customHeight="true" outlineLevel="0" collapsed="false">
      <c r="B196" s="143"/>
      <c r="C196" s="144" t="str">
        <f aca="false">DADOS!$AN$12</f>
        <v>📎 OUTROS</v>
      </c>
      <c r="D196" s="145" t="str">
        <f aca="false">IF(reservavariáveisconsolidadoout[[#This Row],[TOTAL (R$)]]=0,"",IF(OR(reservavariáveisconsolidadoout[[#This Row],[TOTAL (R$)]]=LARGE($AJ$187:$AJ$196,1),reservavariáveisconsolidadoout[[#This Row],[TOTAL (R$)]]=LARGE($AJ$187:$AJ$196,2)),DADOS!$I$11,""))</f>
        <v/>
      </c>
      <c r="E196" s="148" t="n">
        <f aca="false">SUMIFS(tabela_registros[VALOR],tabela_registros[MÊS],$AE$1,tabela_registros[DIA],reservavariáveisconsolidadoout[[#Headers],[1]],tabela_registros[REGISTRO],DADOS!$N$6,tabela_registros[TIPO],DADOS!$AJ$4,tabela_registros[CATEGORIA],reservavariáveisconsolidadoout[[#This Row],[ATUAL]])</f>
        <v>0</v>
      </c>
      <c r="F196" s="119" t="n">
        <f aca="false">SUMIFS(tabela_registros[VALOR],tabela_registros[MÊS],$AE$1,tabela_registros[DIA],reservavariáveisconsolidadoout[[#Headers],[2]],tabela_registros[REGISTRO],DADOS!$N$6,tabela_registros[TIPO],DADOS!$AJ$4,tabela_registros[CATEGORIA],reservavariáveisconsolidadoout[[#This Row],[ATUAL]])</f>
        <v>0</v>
      </c>
      <c r="G196" s="119" t="n">
        <f aca="false">SUMIFS(tabela_registros[VALOR],tabela_registros[MÊS],$AE$1,tabela_registros[DIA],reservavariáveisconsolidadoout[[#Headers],[3]],tabela_registros[REGISTRO],DADOS!$N$6,tabela_registros[TIPO],DADOS!$AJ$4,tabela_registros[CATEGORIA],reservavariáveisconsolidadoout[[#This Row],[ATUAL]])</f>
        <v>0</v>
      </c>
      <c r="H196" s="119" t="n">
        <f aca="false">SUMIFS(tabela_registros[VALOR],tabela_registros[MÊS],$AE$1,tabela_registros[DIA],reservavariáveisconsolidadoout[[#Headers],[4]],tabela_registros[REGISTRO],DADOS!$N$6,tabela_registros[TIPO],DADOS!$AJ$4,tabela_registros[CATEGORIA],reservavariáveisconsolidadoout[[#This Row],[ATUAL]])</f>
        <v>0</v>
      </c>
      <c r="I196" s="119" t="n">
        <f aca="false">SUMIFS(tabela_registros[VALOR],tabela_registros[MÊS],$AE$1,tabela_registros[DIA],reservavariáveisconsolidadoout[[#Headers],[5]],tabela_registros[REGISTRO],DADOS!$N$6,tabela_registros[TIPO],DADOS!$AJ$4,tabela_registros[CATEGORIA],reservavariáveisconsolidadoout[[#This Row],[ATUAL]])</f>
        <v>0</v>
      </c>
      <c r="J196" s="119" t="n">
        <f aca="false">SUMIFS(tabela_registros[VALOR],tabela_registros[MÊS],$AE$1,tabela_registros[DIA],reservavariáveisconsolidadoout[[#Headers],[6]],tabela_registros[REGISTRO],DADOS!$N$6,tabela_registros[TIPO],DADOS!$AJ$4,tabela_registros[CATEGORIA],reservavariáveisconsolidadoout[[#This Row],[ATUAL]])</f>
        <v>0</v>
      </c>
      <c r="K196" s="119" t="n">
        <f aca="false">SUMIFS(tabela_registros[VALOR],tabela_registros[MÊS],$AE$1,tabela_registros[DIA],reservavariáveisconsolidadoout[[#Headers],[7]],tabela_registros[REGISTRO],DADOS!$N$6,tabela_registros[TIPO],DADOS!$AJ$4,tabela_registros[CATEGORIA],reservavariáveisconsolidadoout[[#This Row],[ATUAL]])</f>
        <v>0</v>
      </c>
      <c r="L196" s="119" t="n">
        <f aca="false">SUMIFS(tabela_registros[VALOR],tabela_registros[MÊS],$AE$1,tabela_registros[DIA],reservavariáveisconsolidadoout[[#Headers],[8]],tabela_registros[REGISTRO],DADOS!$N$6,tabela_registros[TIPO],DADOS!$AJ$4,tabela_registros[CATEGORIA],reservavariáveisconsolidadoout[[#This Row],[ATUAL]])</f>
        <v>0</v>
      </c>
      <c r="M196" s="119" t="n">
        <f aca="false">SUMIFS(tabela_registros[VALOR],tabela_registros[MÊS],$AE$1,tabela_registros[DIA],reservavariáveisconsolidadoout[[#Headers],[9]],tabela_registros[REGISTRO],DADOS!$N$6,tabela_registros[TIPO],DADOS!$AJ$4,tabela_registros[CATEGORIA],reservavariáveisconsolidadoout[[#This Row],[ATUAL]])</f>
        <v>0</v>
      </c>
      <c r="N196" s="119" t="n">
        <f aca="false">SUMIFS(tabela_registros[VALOR],tabela_registros[MÊS],$AE$1,tabela_registros[DIA],reservavariáveisconsolidadoout[[#Headers],[10]],tabela_registros[REGISTRO],DADOS!$N$6,tabela_registros[TIPO],DADOS!$AJ$4,tabela_registros[CATEGORIA],reservavariáveisconsolidadoout[[#This Row],[ATUAL]])</f>
        <v>0</v>
      </c>
      <c r="O196" s="119" t="n">
        <f aca="false">SUMIFS(tabela_registros[VALOR],tabela_registros[MÊS],$AE$1,tabela_registros[DIA],reservavariáveisconsolidadoout[[#Headers],[11]],tabela_registros[REGISTRO],DADOS!$N$6,tabela_registros[TIPO],DADOS!$AJ$4,tabela_registros[CATEGORIA],reservavariáveisconsolidadoout[[#This Row],[ATUAL]])</f>
        <v>0</v>
      </c>
      <c r="P196" s="119" t="n">
        <f aca="false">SUMIFS(tabela_registros[VALOR],tabela_registros[MÊS],$AE$1,tabela_registros[DIA],reservavariáveisconsolidadoout[[#Headers],[12]],tabela_registros[REGISTRO],DADOS!$N$6,tabela_registros[TIPO],DADOS!$AJ$4,tabela_registros[CATEGORIA],reservavariáveisconsolidadoout[[#This Row],[ATUAL]])</f>
        <v>0</v>
      </c>
      <c r="Q196" s="119" t="n">
        <f aca="false">SUMIFS(tabela_registros[VALOR],tabela_registros[MÊS],$AE$1,tabela_registros[DIA],reservavariáveisconsolidadoout[[#Headers],[13]],tabela_registros[REGISTRO],DADOS!$N$6,tabela_registros[TIPO],DADOS!$AJ$4,tabela_registros[CATEGORIA],reservavariáveisconsolidadoout[[#This Row],[ATUAL]])</f>
        <v>0</v>
      </c>
      <c r="R196" s="119" t="n">
        <f aca="false">SUMIFS(tabela_registros[VALOR],tabela_registros[MÊS],$AE$1,tabela_registros[DIA],reservavariáveisconsolidadoout[[#Headers],[14]],tabela_registros[REGISTRO],DADOS!$N$6,tabela_registros[TIPO],DADOS!$AJ$4,tabela_registros[CATEGORIA],reservavariáveisconsolidadoout[[#This Row],[ATUAL]])</f>
        <v>0</v>
      </c>
      <c r="S196" s="119" t="n">
        <f aca="false">SUMIFS(tabela_registros[VALOR],tabela_registros[MÊS],$AE$1,tabela_registros[DIA],reservavariáveisconsolidadoout[[#Headers],[15]],tabela_registros[REGISTRO],DADOS!$N$6,tabela_registros[TIPO],DADOS!$AJ$4,tabela_registros[CATEGORIA],reservavariáveisconsolidadoout[[#This Row],[ATUAL]])</f>
        <v>0</v>
      </c>
      <c r="T196" s="119" t="n">
        <f aca="false">SUMIFS(tabela_registros[VALOR],tabela_registros[MÊS],$AE$1,tabela_registros[DIA],reservavariáveisconsolidadoout[[#Headers],[16]],tabela_registros[REGISTRO],DADOS!$N$6,tabela_registros[TIPO],DADOS!$AJ$4,tabela_registros[CATEGORIA],reservavariáveisconsolidadoout[[#This Row],[ATUAL]])</f>
        <v>0</v>
      </c>
      <c r="U196" s="119" t="n">
        <f aca="false">SUMIFS(tabela_registros[VALOR],tabela_registros[MÊS],$AE$1,tabela_registros[DIA],reservavariáveisconsolidadoout[[#Headers],[17]],tabela_registros[REGISTRO],DADOS!$N$6,tabela_registros[TIPO],DADOS!$AJ$4,tabela_registros[CATEGORIA],reservavariáveisconsolidadoout[[#This Row],[ATUAL]])</f>
        <v>0</v>
      </c>
      <c r="V196" s="119" t="n">
        <f aca="false">SUMIFS(tabela_registros[VALOR],tabela_registros[MÊS],$AE$1,tabela_registros[DIA],reservavariáveisconsolidadoout[[#Headers],[18]],tabela_registros[REGISTRO],DADOS!$N$6,tabela_registros[TIPO],DADOS!$AJ$4,tabela_registros[CATEGORIA],reservavariáveisconsolidadoout[[#This Row],[ATUAL]])</f>
        <v>0</v>
      </c>
      <c r="W196" s="119" t="n">
        <f aca="false">SUMIFS(tabela_registros[VALOR],tabela_registros[MÊS],$AE$1,tabela_registros[DIA],reservavariáveisconsolidadoout[[#Headers],[19]],tabela_registros[REGISTRO],DADOS!$N$6,tabela_registros[TIPO],DADOS!$AJ$4,tabela_registros[CATEGORIA],reservavariáveisconsolidadoout[[#This Row],[ATUAL]])</f>
        <v>0</v>
      </c>
      <c r="X196" s="119" t="n">
        <f aca="false">SUMIFS(tabela_registros[VALOR],tabela_registros[MÊS],$AE$1,tabela_registros[DIA],reservavariáveisconsolidadoout[[#Headers],[20]],tabela_registros[REGISTRO],DADOS!$N$6,tabela_registros[TIPO],DADOS!$AJ$4,tabela_registros[CATEGORIA],reservavariáveisconsolidadoout[[#This Row],[ATUAL]])</f>
        <v>0</v>
      </c>
      <c r="Y196" s="119" t="n">
        <f aca="false">SUMIFS(tabela_registros[VALOR],tabela_registros[MÊS],$AE$1,tabela_registros[DIA],reservavariáveisconsolidadoout[[#Headers],[21]],tabela_registros[REGISTRO],DADOS!$N$6,tabela_registros[TIPO],DADOS!$AJ$4,tabela_registros[CATEGORIA],reservavariáveisconsolidadoout[[#This Row],[ATUAL]])</f>
        <v>0</v>
      </c>
      <c r="Z196" s="119" t="n">
        <f aca="false">SUMIFS(tabela_registros[VALOR],tabela_registros[MÊS],$AE$1,tabela_registros[DIA],reservavariáveisconsolidadoout[[#Headers],[22]],tabela_registros[REGISTRO],DADOS!$N$6,tabela_registros[TIPO],DADOS!$AJ$4,tabela_registros[CATEGORIA],reservavariáveisconsolidadoout[[#This Row],[ATUAL]])</f>
        <v>0</v>
      </c>
      <c r="AA196" s="119" t="n">
        <f aca="false">SUMIFS(tabela_registros[VALOR],tabela_registros[MÊS],$AE$1,tabela_registros[DIA],reservavariáveisconsolidadoout[[#Headers],[23]],tabela_registros[REGISTRO],DADOS!$N$6,tabela_registros[TIPO],DADOS!$AJ$4,tabela_registros[CATEGORIA],reservavariáveisconsolidadoout[[#This Row],[ATUAL]])</f>
        <v>0</v>
      </c>
      <c r="AB196" s="119" t="n">
        <f aca="false">SUMIFS(tabela_registros[VALOR],tabela_registros[MÊS],$AE$1,tabela_registros[DIA],reservavariáveisconsolidadoout[[#Headers],[24]],tabela_registros[REGISTRO],DADOS!$N$6,tabela_registros[TIPO],DADOS!$AJ$4,tabela_registros[CATEGORIA],reservavariáveisconsolidadoout[[#This Row],[ATUAL]])</f>
        <v>0</v>
      </c>
      <c r="AC196" s="119" t="n">
        <f aca="false">SUMIFS(tabela_registros[VALOR],tabela_registros[MÊS],$AE$1,tabela_registros[DIA],reservavariáveisconsolidadoout[[#Headers],[25]],tabela_registros[REGISTRO],DADOS!$N$6,tabela_registros[TIPO],DADOS!$AJ$4,tabela_registros[CATEGORIA],reservavariáveisconsolidadoout[[#This Row],[ATUAL]])</f>
        <v>0</v>
      </c>
      <c r="AD196" s="119" t="n">
        <f aca="false">SUMIFS(tabela_registros[VALOR],tabela_registros[MÊS],$AE$1,tabela_registros[DIA],reservavariáveisconsolidadoout[[#Headers],[26]],tabela_registros[REGISTRO],DADOS!$N$6,tabela_registros[TIPO],DADOS!$AJ$4,tabela_registros[CATEGORIA],reservavariáveisconsolidadoout[[#This Row],[ATUAL]])</f>
        <v>0</v>
      </c>
      <c r="AE196" s="119" t="n">
        <f aca="false">SUMIFS(tabela_registros[VALOR],tabela_registros[MÊS],$AE$1,tabela_registros[DIA],reservavariáveisconsolidadoout[[#Headers],[27]],tabela_registros[REGISTRO],DADOS!$N$6,tabela_registros[TIPO],DADOS!$AJ$4,tabela_registros[CATEGORIA],reservavariáveisconsolidadoout[[#This Row],[ATUAL]])</f>
        <v>0</v>
      </c>
      <c r="AF196" s="119" t="n">
        <f aca="false">SUMIFS(tabela_registros[VALOR],tabela_registros[MÊS],$AE$1,tabela_registros[DIA],reservavariáveisconsolidadoout[[#Headers],[28]],tabela_registros[REGISTRO],DADOS!$N$6,tabela_registros[TIPO],DADOS!$AJ$4,tabela_registros[CATEGORIA],reservavariáveisconsolidadoout[[#This Row],[ATUAL]])</f>
        <v>0</v>
      </c>
      <c r="AG196" s="119" t="n">
        <f aca="false">SUMIFS(tabela_registros[VALOR],tabela_registros[MÊS],$AE$1,tabela_registros[DIA],reservavariáveisconsolidadoout[[#Headers],[29]],tabela_registros[REGISTRO],DADOS!$N$6,tabela_registros[TIPO],DADOS!$AJ$4,tabela_registros[CATEGORIA],reservavariáveisconsolidadoout[[#This Row],[ATUAL]])</f>
        <v>0</v>
      </c>
      <c r="AH196" s="119" t="n">
        <f aca="false">SUMIFS(tabela_registros[VALOR],tabela_registros[MÊS],$AE$1,tabela_registros[DIA],reservavariáveisconsolidadoout[[#Headers],[30]],tabela_registros[REGISTRO],DADOS!$N$6,tabela_registros[TIPO],DADOS!$AJ$4,tabela_registros[CATEGORIA],reservavariáveisconsolidadoout[[#This Row],[ATUAL]])</f>
        <v>0</v>
      </c>
      <c r="AI196" s="218" t="n">
        <f aca="false">SUMIFS(tabela_registros[VALOR],tabela_registros[MÊS],$AE$1,tabela_registros[DIA],reservavariáveisconsolidadoout[[#Headers],[31]],tabela_registros[REGISTRO],DADOS!$N$6,tabela_registros[TIPO],DADOS!$AJ$4,tabela_registros[CATEGORIA],reservavariáveisconsolidadoout[[#This Row],[ATUAL]])</f>
        <v>0</v>
      </c>
      <c r="AJ196" s="219" t="n">
        <f aca="false">SUM(reservavariáveisconsolidadoout[[#This Row],[1]:[31]])</f>
        <v>0</v>
      </c>
      <c r="AK196" s="165"/>
    </row>
    <row r="197" s="122" customFormat="true" ht="21" hidden="false" customHeight="true" outlineLevel="0" collapsed="false">
      <c r="B197" s="152"/>
      <c r="C197" s="153" t="s">
        <v>2</v>
      </c>
      <c r="D197" s="166"/>
      <c r="E197" s="155" t="n">
        <f aca="false">SUM(E187:E196)</f>
        <v>0</v>
      </c>
      <c r="F197" s="156" t="n">
        <f aca="false">SUM(F187:F196)+reservavariáveisconsolidadoout[[#This Row],[1]]</f>
        <v>0</v>
      </c>
      <c r="G197" s="156" t="n">
        <f aca="false">SUM(G187:G196)+reservavariáveisconsolidadoout[[#This Row],[2]]</f>
        <v>0</v>
      </c>
      <c r="H197" s="156" t="n">
        <f aca="false">SUM(H187:H196)+reservavariáveisconsolidadoout[[#This Row],[3]]</f>
        <v>0</v>
      </c>
      <c r="I197" s="156" t="n">
        <f aca="false">SUM(I187:I196)+reservavariáveisconsolidadoout[[#This Row],[4]]</f>
        <v>0</v>
      </c>
      <c r="J197" s="156" t="n">
        <f aca="false">SUM(J187:J196)+reservavariáveisconsolidadoout[[#This Row],[5]]</f>
        <v>0</v>
      </c>
      <c r="K197" s="156" t="n">
        <f aca="false">SUM(K187:K196)+reservavariáveisconsolidadoout[[#This Row],[6]]</f>
        <v>0</v>
      </c>
      <c r="L197" s="156" t="n">
        <f aca="false">SUM(L187:L196)+reservavariáveisconsolidadoout[[#This Row],[7]]</f>
        <v>0</v>
      </c>
      <c r="M197" s="156" t="n">
        <f aca="false">SUM(M187:M196)+reservavariáveisconsolidadoout[[#This Row],[8]]</f>
        <v>0</v>
      </c>
      <c r="N197" s="156" t="n">
        <f aca="false">SUM(N187:N196)+reservavariáveisconsolidadoout[[#This Row],[9]]</f>
        <v>0</v>
      </c>
      <c r="O197" s="156" t="n">
        <f aca="false">SUM(O187:O196)+reservavariáveisconsolidadoout[[#This Row],[10]]</f>
        <v>0</v>
      </c>
      <c r="P197" s="156" t="n">
        <f aca="false">SUM(P187:P196)+reservavariáveisconsolidadoout[[#This Row],[11]]</f>
        <v>0</v>
      </c>
      <c r="Q197" s="156" t="n">
        <f aca="false">SUM(Q187:Q196)+reservavariáveisconsolidadoout[[#This Row],[12]]</f>
        <v>0</v>
      </c>
      <c r="R197" s="156" t="n">
        <f aca="false">SUM(R187:R196)+reservavariáveisconsolidadoout[[#This Row],[13]]</f>
        <v>0</v>
      </c>
      <c r="S197" s="156" t="n">
        <f aca="false">SUM(S187:S196)+reservavariáveisconsolidadoout[[#This Row],[14]]</f>
        <v>0</v>
      </c>
      <c r="T197" s="156" t="n">
        <f aca="false">SUM(T187:T196)+reservavariáveisconsolidadoout[[#This Row],[15]]</f>
        <v>0</v>
      </c>
      <c r="U197" s="156" t="n">
        <f aca="false">SUM(U187:U196)+reservavariáveisconsolidadoout[[#This Row],[16]]</f>
        <v>0</v>
      </c>
      <c r="V197" s="156" t="n">
        <f aca="false">SUM(V187:V196)+reservavariáveisconsolidadoout[[#This Row],[17]]</f>
        <v>0</v>
      </c>
      <c r="W197" s="156" t="n">
        <f aca="false">SUM(W187:W196)+reservavariáveisconsolidadoout[[#This Row],[18]]</f>
        <v>0</v>
      </c>
      <c r="X197" s="156" t="n">
        <f aca="false">SUM(X187:X196)+reservavariáveisconsolidadoout[[#This Row],[19]]</f>
        <v>0</v>
      </c>
      <c r="Y197" s="156" t="n">
        <f aca="false">SUM(Y187:Y196)+reservavariáveisconsolidadoout[[#This Row],[20]]</f>
        <v>0</v>
      </c>
      <c r="Z197" s="156" t="n">
        <f aca="false">SUM(Z187:Z196)+reservavariáveisconsolidadoout[[#This Row],[21]]</f>
        <v>0</v>
      </c>
      <c r="AA197" s="156" t="n">
        <f aca="false">SUM(AA187:AA196)+reservavariáveisconsolidadoout[[#This Row],[22]]</f>
        <v>0</v>
      </c>
      <c r="AB197" s="156" t="n">
        <f aca="false">SUM(AB187:AB196)+reservavariáveisconsolidadoout[[#This Row],[23]]</f>
        <v>0</v>
      </c>
      <c r="AC197" s="156" t="n">
        <f aca="false">SUM(AC187:AC196)+reservavariáveisconsolidadoout[[#This Row],[24]]</f>
        <v>0</v>
      </c>
      <c r="AD197" s="156" t="n">
        <f aca="false">SUM(AD187:AD196)+reservavariáveisconsolidadoout[[#This Row],[25]]</f>
        <v>0</v>
      </c>
      <c r="AE197" s="156" t="n">
        <f aca="false">SUM(AE187:AE196)+reservavariáveisconsolidadoout[[#This Row],[26]]</f>
        <v>0</v>
      </c>
      <c r="AF197" s="156" t="n">
        <f aca="false">SUM(AF187:AF196)+reservavariáveisconsolidadoout[[#This Row],[27]]</f>
        <v>0</v>
      </c>
      <c r="AG197" s="156" t="n">
        <f aca="false">SUM(AG187:AG196)+reservavariáveisconsolidadoout[[#This Row],[28]]</f>
        <v>0</v>
      </c>
      <c r="AH197" s="156" t="n">
        <f aca="false">SUM(AH187:AH196)+reservavariáveisconsolidadoout[[#This Row],[29]]</f>
        <v>0</v>
      </c>
      <c r="AI197" s="223" t="n">
        <f aca="false">SUM(AI187:AI196)+reservavariáveisconsolidadoout[[#This Row],[30]]</f>
        <v>0</v>
      </c>
      <c r="AJ197" s="157" t="n">
        <f aca="false">reservavariáveisconsolidadoout[[#This Row],[31]]</f>
        <v>0</v>
      </c>
      <c r="AK197" s="158"/>
    </row>
    <row r="198" customFormat="false" ht="6.75" hidden="false" customHeight="true" outlineLevel="0" collapsed="false">
      <c r="B198" s="97"/>
      <c r="C198" s="162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233"/>
      <c r="AJ198" s="164"/>
      <c r="AK198" s="244"/>
    </row>
    <row r="199" s="78" customFormat="true" ht="12.75" hidden="false" customHeight="false" outlineLevel="0" collapsed="false">
      <c r="E199" s="100"/>
    </row>
    <row r="200" s="78" customFormat="true" ht="12" hidden="false" customHeight="false" outlineLevel="0" collapsed="false"/>
    <row r="201" s="78" customFormat="true" ht="12" hidden="false" customHeight="false" outlineLevel="0" collapsed="false"/>
    <row r="202" customFormat="false" ht="39.75" hidden="false" customHeight="true" outlineLevel="0" collapsed="false">
      <c r="C202" s="101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3" t="s">
        <v>2</v>
      </c>
    </row>
    <row r="203" s="78" customFormat="true" ht="12.75" hidden="false" customHeight="false" outlineLevel="0" collapsed="false">
      <c r="B203" s="161"/>
      <c r="AJ203" s="106" t="s">
        <v>64</v>
      </c>
    </row>
    <row r="204" customFormat="false" ht="6.75" hidden="false" customHeight="true" outlineLevel="0" collapsed="false">
      <c r="B204" s="86"/>
      <c r="C204" s="162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233"/>
      <c r="AK204" s="139"/>
    </row>
    <row r="205" customFormat="false" ht="13.5" hidden="true" customHeight="false" outlineLevel="0" collapsed="false">
      <c r="B205" s="86"/>
      <c r="C205" s="109" t="s">
        <v>68</v>
      </c>
      <c r="D205" s="110" t="s">
        <v>69</v>
      </c>
      <c r="E205" s="110" t="s">
        <v>30</v>
      </c>
      <c r="F205" s="110" t="s">
        <v>31</v>
      </c>
      <c r="G205" s="110" t="s">
        <v>32</v>
      </c>
      <c r="H205" s="110" t="s">
        <v>33</v>
      </c>
      <c r="I205" s="110" t="s">
        <v>34</v>
      </c>
      <c r="J205" s="110" t="s">
        <v>35</v>
      </c>
      <c r="K205" s="110" t="s">
        <v>36</v>
      </c>
      <c r="L205" s="110" t="s">
        <v>37</v>
      </c>
      <c r="M205" s="110" t="s">
        <v>38</v>
      </c>
      <c r="N205" s="110" t="s">
        <v>39</v>
      </c>
      <c r="O205" s="110" t="s">
        <v>40</v>
      </c>
      <c r="P205" s="110" t="s">
        <v>41</v>
      </c>
      <c r="Q205" s="110" t="s">
        <v>81</v>
      </c>
      <c r="R205" s="110" t="s">
        <v>82</v>
      </c>
      <c r="S205" s="110" t="s">
        <v>83</v>
      </c>
      <c r="T205" s="110" t="s">
        <v>84</v>
      </c>
      <c r="U205" s="110" t="s">
        <v>85</v>
      </c>
      <c r="V205" s="110" t="s">
        <v>86</v>
      </c>
      <c r="W205" s="110" t="s">
        <v>87</v>
      </c>
      <c r="X205" s="110" t="s">
        <v>88</v>
      </c>
      <c r="Y205" s="110" t="s">
        <v>89</v>
      </c>
      <c r="Z205" s="110" t="s">
        <v>90</v>
      </c>
      <c r="AA205" s="110" t="s">
        <v>91</v>
      </c>
      <c r="AB205" s="110" t="s">
        <v>92</v>
      </c>
      <c r="AC205" s="110" t="s">
        <v>93</v>
      </c>
      <c r="AD205" s="110" t="s">
        <v>94</v>
      </c>
      <c r="AE205" s="110" t="s">
        <v>95</v>
      </c>
      <c r="AF205" s="110" t="s">
        <v>96</v>
      </c>
      <c r="AG205" s="110" t="s">
        <v>97</v>
      </c>
      <c r="AH205" s="110" t="s">
        <v>98</v>
      </c>
      <c r="AI205" s="110" t="s">
        <v>99</v>
      </c>
      <c r="AJ205" s="111" t="s">
        <v>70</v>
      </c>
      <c r="AK205" s="86"/>
    </row>
    <row r="206" customFormat="false" ht="19.5" hidden="false" customHeight="true" outlineLevel="0" collapsed="false">
      <c r="B206" s="143"/>
      <c r="C206" s="144" t="str">
        <f aca="false">DADOS!$AP$3</f>
        <v>📝 COE</v>
      </c>
      <c r="D206" s="145" t="str">
        <f aca="false">IF(reservaoutrosconsolidadoout[[#This Row],[TOTAL (R$)]]=0,"",IF(OR(reservaoutrosconsolidadoout[[#This Row],[TOTAL (R$)]]=LARGE($AJ$206:$AJ$213,1),reservaoutrosconsolidadoout[[#This Row],[TOTAL (R$)]]=LARGE($AJ$206:$AJ$213,2)),DADOS!$I$11,""))</f>
        <v/>
      </c>
      <c r="E206" s="148" t="n">
        <f aca="false">SUMIFS(tabela_registros[VALOR],tabela_registros[MÊS],$AE$1,tabela_registros[DIA],reservaoutrosconsolidadoout[[#Headers],[1]],tabela_registros[REGISTRO],DADOS!$N$6,tabela_registros[TIPO],DADOS!$AJ$5,tabela_registros[CATEGORIA],reservaoutrosconsolidadoout[[#This Row],[ATUAL]])</f>
        <v>0</v>
      </c>
      <c r="F206" s="119" t="n">
        <f aca="false">SUMIFS(tabela_registros[VALOR],tabela_registros[MÊS],$AE$1,tabela_registros[DIA],reservaoutrosconsolidadoout[[#Headers],[2]],tabela_registros[REGISTRO],DADOS!$N$6,tabela_registros[TIPO],DADOS!$AJ$5,tabela_registros[CATEGORIA],reservaoutrosconsolidadoout[[#This Row],[ATUAL]])</f>
        <v>0</v>
      </c>
      <c r="G206" s="119" t="n">
        <f aca="false">SUMIFS(tabela_registros[VALOR],tabela_registros[MÊS],$AE$1,tabela_registros[DIA],reservaoutrosconsolidadoout[[#Headers],[3]],tabela_registros[REGISTRO],DADOS!$N$6,tabela_registros[TIPO],DADOS!$AJ$5,tabela_registros[CATEGORIA],reservaoutrosconsolidadoout[[#This Row],[ATUAL]])</f>
        <v>0</v>
      </c>
      <c r="H206" s="119" t="n">
        <f aca="false">SUMIFS(tabela_registros[VALOR],tabela_registros[MÊS],$AE$1,tabela_registros[DIA],reservaoutrosconsolidadoout[[#Headers],[4]],tabela_registros[REGISTRO],DADOS!$N$6,tabela_registros[TIPO],DADOS!$AJ$5,tabela_registros[CATEGORIA],reservaoutrosconsolidadoout[[#This Row],[ATUAL]])</f>
        <v>0</v>
      </c>
      <c r="I206" s="119" t="n">
        <f aca="false">SUMIFS(tabela_registros[VALOR],tabela_registros[MÊS],$AE$1,tabela_registros[DIA],reservaoutrosconsolidadoout[[#Headers],[5]],tabela_registros[REGISTRO],DADOS!$N$6,tabela_registros[TIPO],DADOS!$AJ$5,tabela_registros[CATEGORIA],reservaoutrosconsolidadoout[[#This Row],[ATUAL]])</f>
        <v>0</v>
      </c>
      <c r="J206" s="119" t="n">
        <f aca="false">SUMIFS(tabela_registros[VALOR],tabela_registros[MÊS],$AE$1,tabela_registros[DIA],reservaoutrosconsolidadoout[[#Headers],[6]],tabela_registros[REGISTRO],DADOS!$N$6,tabela_registros[TIPO],DADOS!$AJ$5,tabela_registros[CATEGORIA],reservaoutrosconsolidadoout[[#This Row],[ATUAL]])</f>
        <v>0</v>
      </c>
      <c r="K206" s="119" t="n">
        <f aca="false">SUMIFS(tabela_registros[VALOR],tabela_registros[MÊS],$AE$1,tabela_registros[DIA],reservaoutrosconsolidadoout[[#Headers],[7]],tabela_registros[REGISTRO],DADOS!$N$6,tabela_registros[TIPO],DADOS!$AJ$5,tabela_registros[CATEGORIA],reservaoutrosconsolidadoout[[#This Row],[ATUAL]])</f>
        <v>0</v>
      </c>
      <c r="L206" s="119" t="n">
        <f aca="false">SUMIFS(tabela_registros[VALOR],tabela_registros[MÊS],$AE$1,tabela_registros[DIA],reservaoutrosconsolidadoout[[#Headers],[8]],tabela_registros[REGISTRO],DADOS!$N$6,tabela_registros[TIPO],DADOS!$AJ$5,tabela_registros[CATEGORIA],reservaoutrosconsolidadoout[[#This Row],[ATUAL]])</f>
        <v>0</v>
      </c>
      <c r="M206" s="119" t="n">
        <f aca="false">SUMIFS(tabela_registros[VALOR],tabela_registros[MÊS],$AE$1,tabela_registros[DIA],reservaoutrosconsolidadoout[[#Headers],[9]],tabela_registros[REGISTRO],DADOS!$N$6,tabela_registros[TIPO],DADOS!$AJ$5,tabela_registros[CATEGORIA],reservaoutrosconsolidadoout[[#This Row],[ATUAL]])</f>
        <v>0</v>
      </c>
      <c r="N206" s="119" t="n">
        <f aca="false">SUMIFS(tabela_registros[VALOR],tabela_registros[MÊS],$AE$1,tabela_registros[DIA],reservaoutrosconsolidadoout[[#Headers],[10]],tabela_registros[REGISTRO],DADOS!$N$6,tabela_registros[TIPO],DADOS!$AJ$5,tabela_registros[CATEGORIA],reservaoutrosconsolidadoout[[#This Row],[ATUAL]])</f>
        <v>0</v>
      </c>
      <c r="O206" s="119" t="n">
        <f aca="false">SUMIFS(tabela_registros[VALOR],tabela_registros[MÊS],$AE$1,tabela_registros[DIA],reservaoutrosconsolidadoout[[#Headers],[11]],tabela_registros[REGISTRO],DADOS!$N$6,tabela_registros[TIPO],DADOS!$AJ$5,tabela_registros[CATEGORIA],reservaoutrosconsolidadoout[[#This Row],[ATUAL]])</f>
        <v>0</v>
      </c>
      <c r="P206" s="119" t="n">
        <f aca="false">SUMIFS(tabela_registros[VALOR],tabela_registros[MÊS],$AE$1,tabela_registros[DIA],reservaoutrosconsolidadoout[[#Headers],[12]],tabela_registros[REGISTRO],DADOS!$N$6,tabela_registros[TIPO],DADOS!$AJ$5,tabela_registros[CATEGORIA],reservaoutrosconsolidadoout[[#This Row],[ATUAL]])</f>
        <v>0</v>
      </c>
      <c r="Q206" s="119" t="n">
        <f aca="false">SUMIFS(tabela_registros[VALOR],tabela_registros[MÊS],$AE$1,tabela_registros[DIA],reservaoutrosconsolidadoout[[#Headers],[13]],tabela_registros[REGISTRO],DADOS!$N$6,tabela_registros[TIPO],DADOS!$AJ$5,tabela_registros[CATEGORIA],reservaoutrosconsolidadoout[[#This Row],[ATUAL]])</f>
        <v>0</v>
      </c>
      <c r="R206" s="119" t="n">
        <f aca="false">SUMIFS(tabela_registros[VALOR],tabela_registros[MÊS],$AE$1,tabela_registros[DIA],reservaoutrosconsolidadoout[[#Headers],[14]],tabela_registros[REGISTRO],DADOS!$N$6,tabela_registros[TIPO],DADOS!$AJ$5,tabela_registros[CATEGORIA],reservaoutrosconsolidadoout[[#This Row],[ATUAL]])</f>
        <v>0</v>
      </c>
      <c r="S206" s="119" t="n">
        <f aca="false">SUMIFS(tabela_registros[VALOR],tabela_registros[MÊS],$AE$1,tabela_registros[DIA],reservaoutrosconsolidadoout[[#Headers],[15]],tabela_registros[REGISTRO],DADOS!$N$6,tabela_registros[TIPO],DADOS!$AJ$5,tabela_registros[CATEGORIA],reservaoutrosconsolidadoout[[#This Row],[ATUAL]])</f>
        <v>0</v>
      </c>
      <c r="T206" s="119" t="n">
        <f aca="false">SUMIFS(tabela_registros[VALOR],tabela_registros[MÊS],$AE$1,tabela_registros[DIA],reservaoutrosconsolidadoout[[#Headers],[16]],tabela_registros[REGISTRO],DADOS!$N$6,tabela_registros[TIPO],DADOS!$AJ$5,tabela_registros[CATEGORIA],reservaoutrosconsolidadoout[[#This Row],[ATUAL]])</f>
        <v>0</v>
      </c>
      <c r="U206" s="119" t="n">
        <f aca="false">SUMIFS(tabela_registros[VALOR],tabela_registros[MÊS],$AE$1,tabela_registros[DIA],reservaoutrosconsolidadoout[[#Headers],[17]],tabela_registros[REGISTRO],DADOS!$N$6,tabela_registros[TIPO],DADOS!$AJ$5,tabela_registros[CATEGORIA],reservaoutrosconsolidadoout[[#This Row],[ATUAL]])</f>
        <v>0</v>
      </c>
      <c r="V206" s="119" t="n">
        <f aca="false">SUMIFS(tabela_registros[VALOR],tabela_registros[MÊS],$AE$1,tabela_registros[DIA],reservaoutrosconsolidadoout[[#Headers],[18]],tabela_registros[REGISTRO],DADOS!$N$6,tabela_registros[TIPO],DADOS!$AJ$5,tabela_registros[CATEGORIA],reservaoutrosconsolidadoout[[#This Row],[ATUAL]])</f>
        <v>0</v>
      </c>
      <c r="W206" s="119" t="n">
        <f aca="false">SUMIFS(tabela_registros[VALOR],tabela_registros[MÊS],$AE$1,tabela_registros[DIA],reservaoutrosconsolidadoout[[#Headers],[19]],tabela_registros[REGISTRO],DADOS!$N$6,tabela_registros[TIPO],DADOS!$AJ$5,tabela_registros[CATEGORIA],reservaoutrosconsolidadoout[[#This Row],[ATUAL]])</f>
        <v>0</v>
      </c>
      <c r="X206" s="119" t="n">
        <f aca="false">SUMIFS(tabela_registros[VALOR],tabela_registros[MÊS],$AE$1,tabela_registros[DIA],reservaoutrosconsolidadoout[[#Headers],[20]],tabela_registros[REGISTRO],DADOS!$N$6,tabela_registros[TIPO],DADOS!$AJ$5,tabela_registros[CATEGORIA],reservaoutrosconsolidadoout[[#This Row],[ATUAL]])</f>
        <v>0</v>
      </c>
      <c r="Y206" s="119" t="n">
        <f aca="false">SUMIFS(tabela_registros[VALOR],tabela_registros[MÊS],$AE$1,tabela_registros[DIA],reservaoutrosconsolidadoout[[#Headers],[21]],tabela_registros[REGISTRO],DADOS!$N$6,tabela_registros[TIPO],DADOS!$AJ$5,tabela_registros[CATEGORIA],reservaoutrosconsolidadoout[[#This Row],[ATUAL]])</f>
        <v>0</v>
      </c>
      <c r="Z206" s="119" t="n">
        <f aca="false">SUMIFS(tabela_registros[VALOR],tabela_registros[MÊS],$AE$1,tabela_registros[DIA],reservaoutrosconsolidadoout[[#Headers],[22]],tabela_registros[REGISTRO],DADOS!$N$6,tabela_registros[TIPO],DADOS!$AJ$5,tabela_registros[CATEGORIA],reservaoutrosconsolidadoout[[#This Row],[ATUAL]])</f>
        <v>0</v>
      </c>
      <c r="AA206" s="119" t="n">
        <f aca="false">SUMIFS(tabela_registros[VALOR],tabela_registros[MÊS],$AE$1,tabela_registros[DIA],reservaoutrosconsolidadoout[[#Headers],[23]],tabela_registros[REGISTRO],DADOS!$N$6,tabela_registros[TIPO],DADOS!$AJ$5,tabela_registros[CATEGORIA],reservaoutrosconsolidadoout[[#This Row],[ATUAL]])</f>
        <v>0</v>
      </c>
      <c r="AB206" s="119" t="n">
        <f aca="false">SUMIFS(tabela_registros[VALOR],tabela_registros[MÊS],$AE$1,tabela_registros[DIA],reservaoutrosconsolidadoout[[#Headers],[24]],tabela_registros[REGISTRO],DADOS!$N$6,tabela_registros[TIPO],DADOS!$AJ$5,tabela_registros[CATEGORIA],reservaoutrosconsolidadoout[[#This Row],[ATUAL]])</f>
        <v>0</v>
      </c>
      <c r="AC206" s="119" t="n">
        <f aca="false">SUMIFS(tabela_registros[VALOR],tabela_registros[MÊS],$AE$1,tabela_registros[DIA],reservaoutrosconsolidadoout[[#Headers],[25]],tabela_registros[REGISTRO],DADOS!$N$6,tabela_registros[TIPO],DADOS!$AJ$5,tabela_registros[CATEGORIA],reservaoutrosconsolidadoout[[#This Row],[ATUAL]])</f>
        <v>0</v>
      </c>
      <c r="AD206" s="119" t="n">
        <f aca="false">SUMIFS(tabela_registros[VALOR],tabela_registros[MÊS],$AE$1,tabela_registros[DIA],reservaoutrosconsolidadoout[[#Headers],[26]],tabela_registros[REGISTRO],DADOS!$N$6,tabela_registros[TIPO],DADOS!$AJ$5,tabela_registros[CATEGORIA],reservaoutrosconsolidadoout[[#This Row],[ATUAL]])</f>
        <v>0</v>
      </c>
      <c r="AE206" s="119" t="n">
        <f aca="false">SUMIFS(tabela_registros[VALOR],tabela_registros[MÊS],$AE$1,tabela_registros[DIA],reservaoutrosconsolidadoout[[#Headers],[27]],tabela_registros[REGISTRO],DADOS!$N$6,tabela_registros[TIPO],DADOS!$AJ$5,tabela_registros[CATEGORIA],reservaoutrosconsolidadoout[[#This Row],[ATUAL]])</f>
        <v>0</v>
      </c>
      <c r="AF206" s="119" t="n">
        <f aca="false">SUMIFS(tabela_registros[VALOR],tabela_registros[MÊS],$AE$1,tabela_registros[DIA],reservaoutrosconsolidadoout[[#Headers],[28]],tabela_registros[REGISTRO],DADOS!$N$6,tabela_registros[TIPO],DADOS!$AJ$5,tabela_registros[CATEGORIA],reservaoutrosconsolidadoout[[#This Row],[ATUAL]])</f>
        <v>0</v>
      </c>
      <c r="AG206" s="119" t="n">
        <f aca="false">SUMIFS(tabela_registros[VALOR],tabela_registros[MÊS],$AE$1,tabela_registros[DIA],reservaoutrosconsolidadoout[[#Headers],[29]],tabela_registros[REGISTRO],DADOS!$N$6,tabela_registros[TIPO],DADOS!$AJ$5,tabela_registros[CATEGORIA],reservaoutrosconsolidadoout[[#This Row],[ATUAL]])</f>
        <v>0</v>
      </c>
      <c r="AH206" s="119" t="n">
        <f aca="false">SUMIFS(tabela_registros[VALOR],tabela_registros[MÊS],$AE$1,tabela_registros[DIA],reservaoutrosconsolidadoout[[#Headers],[30]],tabela_registros[REGISTRO],DADOS!$N$6,tabela_registros[TIPO],DADOS!$AJ$5,tabela_registros[CATEGORIA],reservaoutrosconsolidadoout[[#This Row],[ATUAL]])</f>
        <v>0</v>
      </c>
      <c r="AI206" s="217" t="n">
        <f aca="false">SUMIFS(tabela_registros[VALOR],tabela_registros[MÊS],$AE$1,tabela_registros[DIA],reservaoutrosconsolidadoout[[#Headers],[31]],tabela_registros[REGISTRO],DADOS!$N$6,tabela_registros[TIPO],DADOS!$AJ$5,tabela_registros[CATEGORIA],reservaoutrosconsolidadoout[[#This Row],[ATUAL]])</f>
        <v>0</v>
      </c>
      <c r="AJ206" s="149" t="n">
        <f aca="false">SUM(reservaoutrosconsolidadoout[[#This Row],[1]:[31]])</f>
        <v>0</v>
      </c>
      <c r="AK206" s="165"/>
    </row>
    <row r="207" customFormat="false" ht="19.5" hidden="false" customHeight="true" outlineLevel="0" collapsed="false">
      <c r="B207" s="143"/>
      <c r="C207" s="144" t="str">
        <f aca="false">DADOS!$AP$4</f>
        <v>📝 FOREX</v>
      </c>
      <c r="D207" s="145" t="str">
        <f aca="false">IF(reservaoutrosconsolidadoout[[#This Row],[TOTAL (R$)]]=0,"",IF(OR(reservaoutrosconsolidadoout[[#This Row],[TOTAL (R$)]]=LARGE($AJ$206:$AJ$213,1),reservaoutrosconsolidadoout[[#This Row],[TOTAL (R$)]]=LARGE($AJ$206:$AJ$213,2)),DADOS!$I$11,""))</f>
        <v/>
      </c>
      <c r="E207" s="148" t="n">
        <f aca="false">SUMIFS(tabela_registros[VALOR],tabela_registros[MÊS],$AE$1,tabela_registros[DIA],reservaoutrosconsolidadoout[[#Headers],[1]],tabela_registros[REGISTRO],DADOS!$N$6,tabela_registros[TIPO],DADOS!$AJ$5,tabela_registros[CATEGORIA],reservaoutrosconsolidadoout[[#This Row],[ATUAL]])</f>
        <v>0</v>
      </c>
      <c r="F207" s="119" t="n">
        <f aca="false">SUMIFS(tabela_registros[VALOR],tabela_registros[MÊS],$AE$1,tabela_registros[DIA],reservaoutrosconsolidadoout[[#Headers],[2]],tabela_registros[REGISTRO],DADOS!$N$6,tabela_registros[TIPO],DADOS!$AJ$5,tabela_registros[CATEGORIA],reservaoutrosconsolidadoout[[#This Row],[ATUAL]])</f>
        <v>0</v>
      </c>
      <c r="G207" s="119" t="n">
        <f aca="false">SUMIFS(tabela_registros[VALOR],tabela_registros[MÊS],$AE$1,tabela_registros[DIA],reservaoutrosconsolidadoout[[#Headers],[3]],tabela_registros[REGISTRO],DADOS!$N$6,tabela_registros[TIPO],DADOS!$AJ$5,tabela_registros[CATEGORIA],reservaoutrosconsolidadoout[[#This Row],[ATUAL]])</f>
        <v>0</v>
      </c>
      <c r="H207" s="119" t="n">
        <f aca="false">SUMIFS(tabela_registros[VALOR],tabela_registros[MÊS],$AE$1,tabela_registros[DIA],reservaoutrosconsolidadoout[[#Headers],[4]],tabela_registros[REGISTRO],DADOS!$N$6,tabela_registros[TIPO],DADOS!$AJ$5,tabela_registros[CATEGORIA],reservaoutrosconsolidadoout[[#This Row],[ATUAL]])</f>
        <v>0</v>
      </c>
      <c r="I207" s="119" t="n">
        <f aca="false">SUMIFS(tabela_registros[VALOR],tabela_registros[MÊS],$AE$1,tabela_registros[DIA],reservaoutrosconsolidadoout[[#Headers],[5]],tabela_registros[REGISTRO],DADOS!$N$6,tabela_registros[TIPO],DADOS!$AJ$5,tabela_registros[CATEGORIA],reservaoutrosconsolidadoout[[#This Row],[ATUAL]])</f>
        <v>0</v>
      </c>
      <c r="J207" s="119" t="n">
        <f aca="false">SUMIFS(tabela_registros[VALOR],tabela_registros[MÊS],$AE$1,tabela_registros[DIA],reservaoutrosconsolidadoout[[#Headers],[6]],tabela_registros[REGISTRO],DADOS!$N$6,tabela_registros[TIPO],DADOS!$AJ$5,tabela_registros[CATEGORIA],reservaoutrosconsolidadoout[[#This Row],[ATUAL]])</f>
        <v>0</v>
      </c>
      <c r="K207" s="119" t="n">
        <f aca="false">SUMIFS(tabela_registros[VALOR],tabela_registros[MÊS],$AE$1,tabela_registros[DIA],reservaoutrosconsolidadoout[[#Headers],[7]],tabela_registros[REGISTRO],DADOS!$N$6,tabela_registros[TIPO],DADOS!$AJ$5,tabela_registros[CATEGORIA],reservaoutrosconsolidadoout[[#This Row],[ATUAL]])</f>
        <v>0</v>
      </c>
      <c r="L207" s="119" t="n">
        <f aca="false">SUMIFS(tabela_registros[VALOR],tabela_registros[MÊS],$AE$1,tabela_registros[DIA],reservaoutrosconsolidadoout[[#Headers],[8]],tabela_registros[REGISTRO],DADOS!$N$6,tabela_registros[TIPO],DADOS!$AJ$5,tabela_registros[CATEGORIA],reservaoutrosconsolidadoout[[#This Row],[ATUAL]])</f>
        <v>0</v>
      </c>
      <c r="M207" s="119" t="n">
        <f aca="false">SUMIFS(tabela_registros[VALOR],tabela_registros[MÊS],$AE$1,tabela_registros[DIA],reservaoutrosconsolidadoout[[#Headers],[9]],tabela_registros[REGISTRO],DADOS!$N$6,tabela_registros[TIPO],DADOS!$AJ$5,tabela_registros[CATEGORIA],reservaoutrosconsolidadoout[[#This Row],[ATUAL]])</f>
        <v>0</v>
      </c>
      <c r="N207" s="119" t="n">
        <f aca="false">SUMIFS(tabela_registros[VALOR],tabela_registros[MÊS],$AE$1,tabela_registros[DIA],reservaoutrosconsolidadoout[[#Headers],[10]],tabela_registros[REGISTRO],DADOS!$N$6,tabela_registros[TIPO],DADOS!$AJ$5,tabela_registros[CATEGORIA],reservaoutrosconsolidadoout[[#This Row],[ATUAL]])</f>
        <v>0</v>
      </c>
      <c r="O207" s="119" t="n">
        <f aca="false">SUMIFS(tabela_registros[VALOR],tabela_registros[MÊS],$AE$1,tabela_registros[DIA],reservaoutrosconsolidadoout[[#Headers],[11]],tabela_registros[REGISTRO],DADOS!$N$6,tabela_registros[TIPO],DADOS!$AJ$5,tabela_registros[CATEGORIA],reservaoutrosconsolidadoout[[#This Row],[ATUAL]])</f>
        <v>0</v>
      </c>
      <c r="P207" s="119" t="n">
        <f aca="false">SUMIFS(tabela_registros[VALOR],tabela_registros[MÊS],$AE$1,tabela_registros[DIA],reservaoutrosconsolidadoout[[#Headers],[12]],tabela_registros[REGISTRO],DADOS!$N$6,tabela_registros[TIPO],DADOS!$AJ$5,tabela_registros[CATEGORIA],reservaoutrosconsolidadoout[[#This Row],[ATUAL]])</f>
        <v>0</v>
      </c>
      <c r="Q207" s="119" t="n">
        <f aca="false">SUMIFS(tabela_registros[VALOR],tabela_registros[MÊS],$AE$1,tabela_registros[DIA],reservaoutrosconsolidadoout[[#Headers],[13]],tabela_registros[REGISTRO],DADOS!$N$6,tabela_registros[TIPO],DADOS!$AJ$5,tabela_registros[CATEGORIA],reservaoutrosconsolidadoout[[#This Row],[ATUAL]])</f>
        <v>0</v>
      </c>
      <c r="R207" s="119" t="n">
        <f aca="false">SUMIFS(tabela_registros[VALOR],tabela_registros[MÊS],$AE$1,tabela_registros[DIA],reservaoutrosconsolidadoout[[#Headers],[14]],tabela_registros[REGISTRO],DADOS!$N$6,tabela_registros[TIPO],DADOS!$AJ$5,tabela_registros[CATEGORIA],reservaoutrosconsolidadoout[[#This Row],[ATUAL]])</f>
        <v>0</v>
      </c>
      <c r="S207" s="119" t="n">
        <f aca="false">SUMIFS(tabela_registros[VALOR],tabela_registros[MÊS],$AE$1,tabela_registros[DIA],reservaoutrosconsolidadoout[[#Headers],[15]],tabela_registros[REGISTRO],DADOS!$N$6,tabela_registros[TIPO],DADOS!$AJ$5,tabela_registros[CATEGORIA],reservaoutrosconsolidadoout[[#This Row],[ATUAL]])</f>
        <v>0</v>
      </c>
      <c r="T207" s="119" t="n">
        <f aca="false">SUMIFS(tabela_registros[VALOR],tabela_registros[MÊS],$AE$1,tabela_registros[DIA],reservaoutrosconsolidadoout[[#Headers],[16]],tabela_registros[REGISTRO],DADOS!$N$6,tabela_registros[TIPO],DADOS!$AJ$5,tabela_registros[CATEGORIA],reservaoutrosconsolidadoout[[#This Row],[ATUAL]])</f>
        <v>0</v>
      </c>
      <c r="U207" s="119" t="n">
        <f aca="false">SUMIFS(tabela_registros[VALOR],tabela_registros[MÊS],$AE$1,tabela_registros[DIA],reservaoutrosconsolidadoout[[#Headers],[17]],tabela_registros[REGISTRO],DADOS!$N$6,tabela_registros[TIPO],DADOS!$AJ$5,tabela_registros[CATEGORIA],reservaoutrosconsolidadoout[[#This Row],[ATUAL]])</f>
        <v>0</v>
      </c>
      <c r="V207" s="119" t="n">
        <f aca="false">SUMIFS(tabela_registros[VALOR],tabela_registros[MÊS],$AE$1,tabela_registros[DIA],reservaoutrosconsolidadoout[[#Headers],[18]],tabela_registros[REGISTRO],DADOS!$N$6,tabela_registros[TIPO],DADOS!$AJ$5,tabela_registros[CATEGORIA],reservaoutrosconsolidadoout[[#This Row],[ATUAL]])</f>
        <v>0</v>
      </c>
      <c r="W207" s="119" t="n">
        <f aca="false">SUMIFS(tabela_registros[VALOR],tabela_registros[MÊS],$AE$1,tabela_registros[DIA],reservaoutrosconsolidadoout[[#Headers],[19]],tabela_registros[REGISTRO],DADOS!$N$6,tabela_registros[TIPO],DADOS!$AJ$5,tabela_registros[CATEGORIA],reservaoutrosconsolidadoout[[#This Row],[ATUAL]])</f>
        <v>0</v>
      </c>
      <c r="X207" s="119" t="n">
        <f aca="false">SUMIFS(tabela_registros[VALOR],tabela_registros[MÊS],$AE$1,tabela_registros[DIA],reservaoutrosconsolidadoout[[#Headers],[20]],tabela_registros[REGISTRO],DADOS!$N$6,tabela_registros[TIPO],DADOS!$AJ$5,tabela_registros[CATEGORIA],reservaoutrosconsolidadoout[[#This Row],[ATUAL]])</f>
        <v>0</v>
      </c>
      <c r="Y207" s="119" t="n">
        <f aca="false">SUMIFS(tabela_registros[VALOR],tabela_registros[MÊS],$AE$1,tabela_registros[DIA],reservaoutrosconsolidadoout[[#Headers],[21]],tabela_registros[REGISTRO],DADOS!$N$6,tabela_registros[TIPO],DADOS!$AJ$5,tabela_registros[CATEGORIA],reservaoutrosconsolidadoout[[#This Row],[ATUAL]])</f>
        <v>0</v>
      </c>
      <c r="Z207" s="119" t="n">
        <f aca="false">SUMIFS(tabela_registros[VALOR],tabela_registros[MÊS],$AE$1,tabela_registros[DIA],reservaoutrosconsolidadoout[[#Headers],[22]],tabela_registros[REGISTRO],DADOS!$N$6,tabela_registros[TIPO],DADOS!$AJ$5,tabela_registros[CATEGORIA],reservaoutrosconsolidadoout[[#This Row],[ATUAL]])</f>
        <v>0</v>
      </c>
      <c r="AA207" s="119" t="n">
        <f aca="false">SUMIFS(tabela_registros[VALOR],tabela_registros[MÊS],$AE$1,tabela_registros[DIA],reservaoutrosconsolidadoout[[#Headers],[23]],tabela_registros[REGISTRO],DADOS!$N$6,tabela_registros[TIPO],DADOS!$AJ$5,tabela_registros[CATEGORIA],reservaoutrosconsolidadoout[[#This Row],[ATUAL]])</f>
        <v>0</v>
      </c>
      <c r="AB207" s="119" t="n">
        <f aca="false">SUMIFS(tabela_registros[VALOR],tabela_registros[MÊS],$AE$1,tabela_registros[DIA],reservaoutrosconsolidadoout[[#Headers],[24]],tabela_registros[REGISTRO],DADOS!$N$6,tabela_registros[TIPO],DADOS!$AJ$5,tabela_registros[CATEGORIA],reservaoutrosconsolidadoout[[#This Row],[ATUAL]])</f>
        <v>0</v>
      </c>
      <c r="AC207" s="119" t="n">
        <f aca="false">SUMIFS(tabela_registros[VALOR],tabela_registros[MÊS],$AE$1,tabela_registros[DIA],reservaoutrosconsolidadoout[[#Headers],[25]],tabela_registros[REGISTRO],DADOS!$N$6,tabela_registros[TIPO],DADOS!$AJ$5,tabela_registros[CATEGORIA],reservaoutrosconsolidadoout[[#This Row],[ATUAL]])</f>
        <v>0</v>
      </c>
      <c r="AD207" s="119" t="n">
        <f aca="false">SUMIFS(tabela_registros[VALOR],tabela_registros[MÊS],$AE$1,tabela_registros[DIA],reservaoutrosconsolidadoout[[#Headers],[26]],tabela_registros[REGISTRO],DADOS!$N$6,tabela_registros[TIPO],DADOS!$AJ$5,tabela_registros[CATEGORIA],reservaoutrosconsolidadoout[[#This Row],[ATUAL]])</f>
        <v>0</v>
      </c>
      <c r="AE207" s="119" t="n">
        <f aca="false">SUMIFS(tabela_registros[VALOR],tabela_registros[MÊS],$AE$1,tabela_registros[DIA],reservaoutrosconsolidadoout[[#Headers],[27]],tabela_registros[REGISTRO],DADOS!$N$6,tabela_registros[TIPO],DADOS!$AJ$5,tabela_registros[CATEGORIA],reservaoutrosconsolidadoout[[#This Row],[ATUAL]])</f>
        <v>0</v>
      </c>
      <c r="AF207" s="119" t="n">
        <f aca="false">SUMIFS(tabela_registros[VALOR],tabela_registros[MÊS],$AE$1,tabela_registros[DIA],reservaoutrosconsolidadoout[[#Headers],[28]],tabela_registros[REGISTRO],DADOS!$N$6,tabela_registros[TIPO],DADOS!$AJ$5,tabela_registros[CATEGORIA],reservaoutrosconsolidadoout[[#This Row],[ATUAL]])</f>
        <v>0</v>
      </c>
      <c r="AG207" s="119" t="n">
        <f aca="false">SUMIFS(tabela_registros[VALOR],tabela_registros[MÊS],$AE$1,tabela_registros[DIA],reservaoutrosconsolidadoout[[#Headers],[29]],tabela_registros[REGISTRO],DADOS!$N$6,tabela_registros[TIPO],DADOS!$AJ$5,tabela_registros[CATEGORIA],reservaoutrosconsolidadoout[[#This Row],[ATUAL]])</f>
        <v>0</v>
      </c>
      <c r="AH207" s="119" t="n">
        <f aca="false">SUMIFS(tabela_registros[VALOR],tabela_registros[MÊS],$AE$1,tabela_registros[DIA],reservaoutrosconsolidadoout[[#Headers],[30]],tabela_registros[REGISTRO],DADOS!$N$6,tabela_registros[TIPO],DADOS!$AJ$5,tabela_registros[CATEGORIA],reservaoutrosconsolidadoout[[#This Row],[ATUAL]])</f>
        <v>0</v>
      </c>
      <c r="AI207" s="217" t="n">
        <f aca="false">SUMIFS(tabela_registros[VALOR],tabela_registros[MÊS],$AE$1,tabela_registros[DIA],reservaoutrosconsolidadoout[[#Headers],[31]],tabela_registros[REGISTRO],DADOS!$N$6,tabela_registros[TIPO],DADOS!$AJ$5,tabela_registros[CATEGORIA],reservaoutrosconsolidadoout[[#This Row],[ATUAL]])</f>
        <v>0</v>
      </c>
      <c r="AJ207" s="149" t="n">
        <f aca="false">SUM(reservaoutrosconsolidadoout[[#This Row],[1]:[31]])</f>
        <v>0</v>
      </c>
      <c r="AK207" s="165"/>
    </row>
    <row r="208" customFormat="false" ht="19.5" hidden="false" customHeight="true" outlineLevel="0" collapsed="false">
      <c r="B208" s="143"/>
      <c r="C208" s="144" t="str">
        <f aca="false">DADOS!$AP$5</f>
        <v>📝 FUNDO DE INVESTIMENTO</v>
      </c>
      <c r="D208" s="145" t="str">
        <f aca="false">IF(reservaoutrosconsolidadoout[[#This Row],[TOTAL (R$)]]=0,"",IF(OR(reservaoutrosconsolidadoout[[#This Row],[TOTAL (R$)]]=LARGE($AJ$206:$AJ$213,1),reservaoutrosconsolidadoout[[#This Row],[TOTAL (R$)]]=LARGE($AJ$206:$AJ$213,2)),DADOS!$I$11,""))</f>
        <v/>
      </c>
      <c r="E208" s="148" t="n">
        <f aca="false">SUMIFS(tabela_registros[VALOR],tabela_registros[MÊS],$AE$1,tabela_registros[DIA],reservaoutrosconsolidadoout[[#Headers],[1]],tabela_registros[REGISTRO],DADOS!$N$6,tabela_registros[TIPO],DADOS!$AJ$5,tabela_registros[CATEGORIA],reservaoutrosconsolidadoout[[#This Row],[ATUAL]])</f>
        <v>0</v>
      </c>
      <c r="F208" s="119" t="n">
        <f aca="false">SUMIFS(tabela_registros[VALOR],tabela_registros[MÊS],$AE$1,tabela_registros[DIA],reservaoutrosconsolidadoout[[#Headers],[2]],tabela_registros[REGISTRO],DADOS!$N$6,tabela_registros[TIPO],DADOS!$AJ$5,tabela_registros[CATEGORIA],reservaoutrosconsolidadoout[[#This Row],[ATUAL]])</f>
        <v>0</v>
      </c>
      <c r="G208" s="119" t="n">
        <f aca="false">SUMIFS(tabela_registros[VALOR],tabela_registros[MÊS],$AE$1,tabela_registros[DIA],reservaoutrosconsolidadoout[[#Headers],[3]],tabela_registros[REGISTRO],DADOS!$N$6,tabela_registros[TIPO],DADOS!$AJ$5,tabela_registros[CATEGORIA],reservaoutrosconsolidadoout[[#This Row],[ATUAL]])</f>
        <v>0</v>
      </c>
      <c r="H208" s="119" t="n">
        <f aca="false">SUMIFS(tabela_registros[VALOR],tabela_registros[MÊS],$AE$1,tabela_registros[DIA],reservaoutrosconsolidadoout[[#Headers],[4]],tabela_registros[REGISTRO],DADOS!$N$6,tabela_registros[TIPO],DADOS!$AJ$5,tabela_registros[CATEGORIA],reservaoutrosconsolidadoout[[#This Row],[ATUAL]])</f>
        <v>0</v>
      </c>
      <c r="I208" s="119" t="n">
        <f aca="false">SUMIFS(tabela_registros[VALOR],tabela_registros[MÊS],$AE$1,tabela_registros[DIA],reservaoutrosconsolidadoout[[#Headers],[5]],tabela_registros[REGISTRO],DADOS!$N$6,tabela_registros[TIPO],DADOS!$AJ$5,tabela_registros[CATEGORIA],reservaoutrosconsolidadoout[[#This Row],[ATUAL]])</f>
        <v>0</v>
      </c>
      <c r="J208" s="119" t="n">
        <f aca="false">SUMIFS(tabela_registros[VALOR],tabela_registros[MÊS],$AE$1,tabela_registros[DIA],reservaoutrosconsolidadoout[[#Headers],[6]],tabela_registros[REGISTRO],DADOS!$N$6,tabela_registros[TIPO],DADOS!$AJ$5,tabela_registros[CATEGORIA],reservaoutrosconsolidadoout[[#This Row],[ATUAL]])</f>
        <v>0</v>
      </c>
      <c r="K208" s="119" t="n">
        <f aca="false">SUMIFS(tabela_registros[VALOR],tabela_registros[MÊS],$AE$1,tabela_registros[DIA],reservaoutrosconsolidadoout[[#Headers],[7]],tabela_registros[REGISTRO],DADOS!$N$6,tabela_registros[TIPO],DADOS!$AJ$5,tabela_registros[CATEGORIA],reservaoutrosconsolidadoout[[#This Row],[ATUAL]])</f>
        <v>0</v>
      </c>
      <c r="L208" s="119" t="n">
        <f aca="false">SUMIFS(tabela_registros[VALOR],tabela_registros[MÊS],$AE$1,tabela_registros[DIA],reservaoutrosconsolidadoout[[#Headers],[8]],tabela_registros[REGISTRO],DADOS!$N$6,tabela_registros[TIPO],DADOS!$AJ$5,tabela_registros[CATEGORIA],reservaoutrosconsolidadoout[[#This Row],[ATUAL]])</f>
        <v>0</v>
      </c>
      <c r="M208" s="119" t="n">
        <f aca="false">SUMIFS(tabela_registros[VALOR],tabela_registros[MÊS],$AE$1,tabela_registros[DIA],reservaoutrosconsolidadoout[[#Headers],[9]],tabela_registros[REGISTRO],DADOS!$N$6,tabela_registros[TIPO],DADOS!$AJ$5,tabela_registros[CATEGORIA],reservaoutrosconsolidadoout[[#This Row],[ATUAL]])</f>
        <v>0</v>
      </c>
      <c r="N208" s="119" t="n">
        <f aca="false">SUMIFS(tabela_registros[VALOR],tabela_registros[MÊS],$AE$1,tabela_registros[DIA],reservaoutrosconsolidadoout[[#Headers],[10]],tabela_registros[REGISTRO],DADOS!$N$6,tabela_registros[TIPO],DADOS!$AJ$5,tabela_registros[CATEGORIA],reservaoutrosconsolidadoout[[#This Row],[ATUAL]])</f>
        <v>0</v>
      </c>
      <c r="O208" s="119" t="n">
        <f aca="false">SUMIFS(tabela_registros[VALOR],tabela_registros[MÊS],$AE$1,tabela_registros[DIA],reservaoutrosconsolidadoout[[#Headers],[11]],tabela_registros[REGISTRO],DADOS!$N$6,tabela_registros[TIPO],DADOS!$AJ$5,tabela_registros[CATEGORIA],reservaoutrosconsolidadoout[[#This Row],[ATUAL]])</f>
        <v>0</v>
      </c>
      <c r="P208" s="119" t="n">
        <f aca="false">SUMIFS(tabela_registros[VALOR],tabela_registros[MÊS],$AE$1,tabela_registros[DIA],reservaoutrosconsolidadoout[[#Headers],[12]],tabela_registros[REGISTRO],DADOS!$N$6,tabela_registros[TIPO],DADOS!$AJ$5,tabela_registros[CATEGORIA],reservaoutrosconsolidadoout[[#This Row],[ATUAL]])</f>
        <v>0</v>
      </c>
      <c r="Q208" s="119" t="n">
        <f aca="false">SUMIFS(tabela_registros[VALOR],tabela_registros[MÊS],$AE$1,tabela_registros[DIA],reservaoutrosconsolidadoout[[#Headers],[13]],tabela_registros[REGISTRO],DADOS!$N$6,tabela_registros[TIPO],DADOS!$AJ$5,tabela_registros[CATEGORIA],reservaoutrosconsolidadoout[[#This Row],[ATUAL]])</f>
        <v>0</v>
      </c>
      <c r="R208" s="119" t="n">
        <f aca="false">SUMIFS(tabela_registros[VALOR],tabela_registros[MÊS],$AE$1,tabela_registros[DIA],reservaoutrosconsolidadoout[[#Headers],[14]],tabela_registros[REGISTRO],DADOS!$N$6,tabela_registros[TIPO],DADOS!$AJ$5,tabela_registros[CATEGORIA],reservaoutrosconsolidadoout[[#This Row],[ATUAL]])</f>
        <v>0</v>
      </c>
      <c r="S208" s="119" t="n">
        <f aca="false">SUMIFS(tabela_registros[VALOR],tabela_registros[MÊS],$AE$1,tabela_registros[DIA],reservaoutrosconsolidadoout[[#Headers],[15]],tabela_registros[REGISTRO],DADOS!$N$6,tabela_registros[TIPO],DADOS!$AJ$5,tabela_registros[CATEGORIA],reservaoutrosconsolidadoout[[#This Row],[ATUAL]])</f>
        <v>0</v>
      </c>
      <c r="T208" s="119" t="n">
        <f aca="false">SUMIFS(tabela_registros[VALOR],tabela_registros[MÊS],$AE$1,tabela_registros[DIA],reservaoutrosconsolidadoout[[#Headers],[16]],tabela_registros[REGISTRO],DADOS!$N$6,tabela_registros[TIPO],DADOS!$AJ$5,tabela_registros[CATEGORIA],reservaoutrosconsolidadoout[[#This Row],[ATUAL]])</f>
        <v>0</v>
      </c>
      <c r="U208" s="119" t="n">
        <f aca="false">SUMIFS(tabela_registros[VALOR],tabela_registros[MÊS],$AE$1,tabela_registros[DIA],reservaoutrosconsolidadoout[[#Headers],[17]],tabela_registros[REGISTRO],DADOS!$N$6,tabela_registros[TIPO],DADOS!$AJ$5,tabela_registros[CATEGORIA],reservaoutrosconsolidadoout[[#This Row],[ATUAL]])</f>
        <v>0</v>
      </c>
      <c r="V208" s="119" t="n">
        <f aca="false">SUMIFS(tabela_registros[VALOR],tabela_registros[MÊS],$AE$1,tabela_registros[DIA],reservaoutrosconsolidadoout[[#Headers],[18]],tabela_registros[REGISTRO],DADOS!$N$6,tabela_registros[TIPO],DADOS!$AJ$5,tabela_registros[CATEGORIA],reservaoutrosconsolidadoout[[#This Row],[ATUAL]])</f>
        <v>0</v>
      </c>
      <c r="W208" s="119" t="n">
        <f aca="false">SUMIFS(tabela_registros[VALOR],tabela_registros[MÊS],$AE$1,tabela_registros[DIA],reservaoutrosconsolidadoout[[#Headers],[19]],tabela_registros[REGISTRO],DADOS!$N$6,tabela_registros[TIPO],DADOS!$AJ$5,tabela_registros[CATEGORIA],reservaoutrosconsolidadoout[[#This Row],[ATUAL]])</f>
        <v>0</v>
      </c>
      <c r="X208" s="119" t="n">
        <f aca="false">SUMIFS(tabela_registros[VALOR],tabela_registros[MÊS],$AE$1,tabela_registros[DIA],reservaoutrosconsolidadoout[[#Headers],[20]],tabela_registros[REGISTRO],DADOS!$N$6,tabela_registros[TIPO],DADOS!$AJ$5,tabela_registros[CATEGORIA],reservaoutrosconsolidadoout[[#This Row],[ATUAL]])</f>
        <v>0</v>
      </c>
      <c r="Y208" s="119" t="n">
        <f aca="false">SUMIFS(tabela_registros[VALOR],tabela_registros[MÊS],$AE$1,tabela_registros[DIA],reservaoutrosconsolidadoout[[#Headers],[21]],tabela_registros[REGISTRO],DADOS!$N$6,tabela_registros[TIPO],DADOS!$AJ$5,tabela_registros[CATEGORIA],reservaoutrosconsolidadoout[[#This Row],[ATUAL]])</f>
        <v>0</v>
      </c>
      <c r="Z208" s="119" t="n">
        <f aca="false">SUMIFS(tabela_registros[VALOR],tabela_registros[MÊS],$AE$1,tabela_registros[DIA],reservaoutrosconsolidadoout[[#Headers],[22]],tabela_registros[REGISTRO],DADOS!$N$6,tabela_registros[TIPO],DADOS!$AJ$5,tabela_registros[CATEGORIA],reservaoutrosconsolidadoout[[#This Row],[ATUAL]])</f>
        <v>0</v>
      </c>
      <c r="AA208" s="119" t="n">
        <f aca="false">SUMIFS(tabela_registros[VALOR],tabela_registros[MÊS],$AE$1,tabela_registros[DIA],reservaoutrosconsolidadoout[[#Headers],[23]],tabela_registros[REGISTRO],DADOS!$N$6,tabela_registros[TIPO],DADOS!$AJ$5,tabela_registros[CATEGORIA],reservaoutrosconsolidadoout[[#This Row],[ATUAL]])</f>
        <v>0</v>
      </c>
      <c r="AB208" s="119" t="n">
        <f aca="false">SUMIFS(tabela_registros[VALOR],tabela_registros[MÊS],$AE$1,tabela_registros[DIA],reservaoutrosconsolidadoout[[#Headers],[24]],tabela_registros[REGISTRO],DADOS!$N$6,tabela_registros[TIPO],DADOS!$AJ$5,tabela_registros[CATEGORIA],reservaoutrosconsolidadoout[[#This Row],[ATUAL]])</f>
        <v>0</v>
      </c>
      <c r="AC208" s="119" t="n">
        <f aca="false">SUMIFS(tabela_registros[VALOR],tabela_registros[MÊS],$AE$1,tabela_registros[DIA],reservaoutrosconsolidadoout[[#Headers],[25]],tabela_registros[REGISTRO],DADOS!$N$6,tabela_registros[TIPO],DADOS!$AJ$5,tabela_registros[CATEGORIA],reservaoutrosconsolidadoout[[#This Row],[ATUAL]])</f>
        <v>0</v>
      </c>
      <c r="AD208" s="119" t="n">
        <f aca="false">SUMIFS(tabela_registros[VALOR],tabela_registros[MÊS],$AE$1,tabela_registros[DIA],reservaoutrosconsolidadoout[[#Headers],[26]],tabela_registros[REGISTRO],DADOS!$N$6,tabela_registros[TIPO],DADOS!$AJ$5,tabela_registros[CATEGORIA],reservaoutrosconsolidadoout[[#This Row],[ATUAL]])</f>
        <v>0</v>
      </c>
      <c r="AE208" s="119" t="n">
        <f aca="false">SUMIFS(tabela_registros[VALOR],tabela_registros[MÊS],$AE$1,tabela_registros[DIA],reservaoutrosconsolidadoout[[#Headers],[27]],tabela_registros[REGISTRO],DADOS!$N$6,tabela_registros[TIPO],DADOS!$AJ$5,tabela_registros[CATEGORIA],reservaoutrosconsolidadoout[[#This Row],[ATUAL]])</f>
        <v>0</v>
      </c>
      <c r="AF208" s="119" t="n">
        <f aca="false">SUMIFS(tabela_registros[VALOR],tabela_registros[MÊS],$AE$1,tabela_registros[DIA],reservaoutrosconsolidadoout[[#Headers],[28]],tabela_registros[REGISTRO],DADOS!$N$6,tabela_registros[TIPO],DADOS!$AJ$5,tabela_registros[CATEGORIA],reservaoutrosconsolidadoout[[#This Row],[ATUAL]])</f>
        <v>0</v>
      </c>
      <c r="AG208" s="119" t="n">
        <f aca="false">SUMIFS(tabela_registros[VALOR],tabela_registros[MÊS],$AE$1,tabela_registros[DIA],reservaoutrosconsolidadoout[[#Headers],[29]],tabela_registros[REGISTRO],DADOS!$N$6,tabela_registros[TIPO],DADOS!$AJ$5,tabela_registros[CATEGORIA],reservaoutrosconsolidadoout[[#This Row],[ATUAL]])</f>
        <v>0</v>
      </c>
      <c r="AH208" s="119" t="n">
        <f aca="false">SUMIFS(tabela_registros[VALOR],tabela_registros[MÊS],$AE$1,tabela_registros[DIA],reservaoutrosconsolidadoout[[#Headers],[30]],tabela_registros[REGISTRO],DADOS!$N$6,tabela_registros[TIPO],DADOS!$AJ$5,tabela_registros[CATEGORIA],reservaoutrosconsolidadoout[[#This Row],[ATUAL]])</f>
        <v>0</v>
      </c>
      <c r="AI208" s="217" t="n">
        <f aca="false">SUMIFS(tabela_registros[VALOR],tabela_registros[MÊS],$AE$1,tabela_registros[DIA],reservaoutrosconsolidadoout[[#Headers],[31]],tabela_registros[REGISTRO],DADOS!$N$6,tabela_registros[TIPO],DADOS!$AJ$5,tabela_registros[CATEGORIA],reservaoutrosconsolidadoout[[#This Row],[ATUAL]])</f>
        <v>0</v>
      </c>
      <c r="AJ208" s="149" t="n">
        <f aca="false">SUM(reservaoutrosconsolidadoout[[#This Row],[1]:[31]])</f>
        <v>0</v>
      </c>
      <c r="AK208" s="165"/>
    </row>
    <row r="209" customFormat="false" ht="19.5" hidden="false" customHeight="true" outlineLevel="0" collapsed="false">
      <c r="B209" s="143"/>
      <c r="C209" s="144" t="str">
        <f aca="false">DADOS!$AP$6</f>
        <v>📝 NOVA EMPRESA</v>
      </c>
      <c r="D209" s="145" t="str">
        <f aca="false">IF(reservaoutrosconsolidadoout[[#This Row],[TOTAL (R$)]]=0,"",IF(OR(reservaoutrosconsolidadoout[[#This Row],[TOTAL (R$)]]=LARGE($AJ$206:$AJ$213,1),reservaoutrosconsolidadoout[[#This Row],[TOTAL (R$)]]=LARGE($AJ$206:$AJ$213,2)),DADOS!$I$11,""))</f>
        <v/>
      </c>
      <c r="E209" s="148" t="n">
        <f aca="false">SUMIFS(tabela_registros[VALOR],tabela_registros[MÊS],$AE$1,tabela_registros[DIA],reservaoutrosconsolidadoout[[#Headers],[1]],tabela_registros[REGISTRO],DADOS!$N$6,tabela_registros[TIPO],DADOS!$AJ$5,tabela_registros[CATEGORIA],reservaoutrosconsolidadoout[[#This Row],[ATUAL]])</f>
        <v>0</v>
      </c>
      <c r="F209" s="119" t="n">
        <f aca="false">SUMIFS(tabela_registros[VALOR],tabela_registros[MÊS],$AE$1,tabela_registros[DIA],reservaoutrosconsolidadoout[[#Headers],[2]],tabela_registros[REGISTRO],DADOS!$N$6,tabela_registros[TIPO],DADOS!$AJ$5,tabela_registros[CATEGORIA],reservaoutrosconsolidadoout[[#This Row],[ATUAL]])</f>
        <v>0</v>
      </c>
      <c r="G209" s="119" t="n">
        <f aca="false">SUMIFS(tabela_registros[VALOR],tabela_registros[MÊS],$AE$1,tabela_registros[DIA],reservaoutrosconsolidadoout[[#Headers],[3]],tabela_registros[REGISTRO],DADOS!$N$6,tabela_registros[TIPO],DADOS!$AJ$5,tabela_registros[CATEGORIA],reservaoutrosconsolidadoout[[#This Row],[ATUAL]])</f>
        <v>0</v>
      </c>
      <c r="H209" s="119" t="n">
        <f aca="false">SUMIFS(tabela_registros[VALOR],tabela_registros[MÊS],$AE$1,tabela_registros[DIA],reservaoutrosconsolidadoout[[#Headers],[4]],tabela_registros[REGISTRO],DADOS!$N$6,tabela_registros[TIPO],DADOS!$AJ$5,tabela_registros[CATEGORIA],reservaoutrosconsolidadoout[[#This Row],[ATUAL]])</f>
        <v>0</v>
      </c>
      <c r="I209" s="119" t="n">
        <f aca="false">SUMIFS(tabela_registros[VALOR],tabela_registros[MÊS],$AE$1,tabela_registros[DIA],reservaoutrosconsolidadoout[[#Headers],[5]],tabela_registros[REGISTRO],DADOS!$N$6,tabela_registros[TIPO],DADOS!$AJ$5,tabela_registros[CATEGORIA],reservaoutrosconsolidadoout[[#This Row],[ATUAL]])</f>
        <v>0</v>
      </c>
      <c r="J209" s="119" t="n">
        <f aca="false">SUMIFS(tabela_registros[VALOR],tabela_registros[MÊS],$AE$1,tabela_registros[DIA],reservaoutrosconsolidadoout[[#Headers],[6]],tabela_registros[REGISTRO],DADOS!$N$6,tabela_registros[TIPO],DADOS!$AJ$5,tabela_registros[CATEGORIA],reservaoutrosconsolidadoout[[#This Row],[ATUAL]])</f>
        <v>0</v>
      </c>
      <c r="K209" s="119" t="n">
        <f aca="false">SUMIFS(tabela_registros[VALOR],tabela_registros[MÊS],$AE$1,tabela_registros[DIA],reservaoutrosconsolidadoout[[#Headers],[7]],tabela_registros[REGISTRO],DADOS!$N$6,tabela_registros[TIPO],DADOS!$AJ$5,tabela_registros[CATEGORIA],reservaoutrosconsolidadoout[[#This Row],[ATUAL]])</f>
        <v>0</v>
      </c>
      <c r="L209" s="119" t="n">
        <f aca="false">SUMIFS(tabela_registros[VALOR],tabela_registros[MÊS],$AE$1,tabela_registros[DIA],reservaoutrosconsolidadoout[[#Headers],[8]],tabela_registros[REGISTRO],DADOS!$N$6,tabela_registros[TIPO],DADOS!$AJ$5,tabela_registros[CATEGORIA],reservaoutrosconsolidadoout[[#This Row],[ATUAL]])</f>
        <v>0</v>
      </c>
      <c r="M209" s="119" t="n">
        <f aca="false">SUMIFS(tabela_registros[VALOR],tabela_registros[MÊS],$AE$1,tabela_registros[DIA],reservaoutrosconsolidadoout[[#Headers],[9]],tabela_registros[REGISTRO],DADOS!$N$6,tabela_registros[TIPO],DADOS!$AJ$5,tabela_registros[CATEGORIA],reservaoutrosconsolidadoout[[#This Row],[ATUAL]])</f>
        <v>0</v>
      </c>
      <c r="N209" s="119" t="n">
        <f aca="false">SUMIFS(tabela_registros[VALOR],tabela_registros[MÊS],$AE$1,tabela_registros[DIA],reservaoutrosconsolidadoout[[#Headers],[10]],tabela_registros[REGISTRO],DADOS!$N$6,tabela_registros[TIPO],DADOS!$AJ$5,tabela_registros[CATEGORIA],reservaoutrosconsolidadoout[[#This Row],[ATUAL]])</f>
        <v>0</v>
      </c>
      <c r="O209" s="119" t="n">
        <f aca="false">SUMIFS(tabela_registros[VALOR],tabela_registros[MÊS],$AE$1,tabela_registros[DIA],reservaoutrosconsolidadoout[[#Headers],[11]],tabela_registros[REGISTRO],DADOS!$N$6,tabela_registros[TIPO],DADOS!$AJ$5,tabela_registros[CATEGORIA],reservaoutrosconsolidadoout[[#This Row],[ATUAL]])</f>
        <v>0</v>
      </c>
      <c r="P209" s="119" t="n">
        <f aca="false">SUMIFS(tabela_registros[VALOR],tabela_registros[MÊS],$AE$1,tabela_registros[DIA],reservaoutrosconsolidadoout[[#Headers],[12]],tabela_registros[REGISTRO],DADOS!$N$6,tabela_registros[TIPO],DADOS!$AJ$5,tabela_registros[CATEGORIA],reservaoutrosconsolidadoout[[#This Row],[ATUAL]])</f>
        <v>0</v>
      </c>
      <c r="Q209" s="119" t="n">
        <f aca="false">SUMIFS(tabela_registros[VALOR],tabela_registros[MÊS],$AE$1,tabela_registros[DIA],reservaoutrosconsolidadoout[[#Headers],[13]],tabela_registros[REGISTRO],DADOS!$N$6,tabela_registros[TIPO],DADOS!$AJ$5,tabela_registros[CATEGORIA],reservaoutrosconsolidadoout[[#This Row],[ATUAL]])</f>
        <v>0</v>
      </c>
      <c r="R209" s="119" t="n">
        <f aca="false">SUMIFS(tabela_registros[VALOR],tabela_registros[MÊS],$AE$1,tabela_registros[DIA],reservaoutrosconsolidadoout[[#Headers],[14]],tabela_registros[REGISTRO],DADOS!$N$6,tabela_registros[TIPO],DADOS!$AJ$5,tabela_registros[CATEGORIA],reservaoutrosconsolidadoout[[#This Row],[ATUAL]])</f>
        <v>0</v>
      </c>
      <c r="S209" s="119" t="n">
        <f aca="false">SUMIFS(tabela_registros[VALOR],tabela_registros[MÊS],$AE$1,tabela_registros[DIA],reservaoutrosconsolidadoout[[#Headers],[15]],tabela_registros[REGISTRO],DADOS!$N$6,tabela_registros[TIPO],DADOS!$AJ$5,tabela_registros[CATEGORIA],reservaoutrosconsolidadoout[[#This Row],[ATUAL]])</f>
        <v>0</v>
      </c>
      <c r="T209" s="119" t="n">
        <f aca="false">SUMIFS(tabela_registros[VALOR],tabela_registros[MÊS],$AE$1,tabela_registros[DIA],reservaoutrosconsolidadoout[[#Headers],[16]],tabela_registros[REGISTRO],DADOS!$N$6,tabela_registros[TIPO],DADOS!$AJ$5,tabela_registros[CATEGORIA],reservaoutrosconsolidadoout[[#This Row],[ATUAL]])</f>
        <v>0</v>
      </c>
      <c r="U209" s="119" t="n">
        <f aca="false">SUMIFS(tabela_registros[VALOR],tabela_registros[MÊS],$AE$1,tabela_registros[DIA],reservaoutrosconsolidadoout[[#Headers],[17]],tabela_registros[REGISTRO],DADOS!$N$6,tabela_registros[TIPO],DADOS!$AJ$5,tabela_registros[CATEGORIA],reservaoutrosconsolidadoout[[#This Row],[ATUAL]])</f>
        <v>0</v>
      </c>
      <c r="V209" s="119" t="n">
        <f aca="false">SUMIFS(tabela_registros[VALOR],tabela_registros[MÊS],$AE$1,tabela_registros[DIA],reservaoutrosconsolidadoout[[#Headers],[18]],tabela_registros[REGISTRO],DADOS!$N$6,tabela_registros[TIPO],DADOS!$AJ$5,tabela_registros[CATEGORIA],reservaoutrosconsolidadoout[[#This Row],[ATUAL]])</f>
        <v>0</v>
      </c>
      <c r="W209" s="119" t="n">
        <f aca="false">SUMIFS(tabela_registros[VALOR],tabela_registros[MÊS],$AE$1,tabela_registros[DIA],reservaoutrosconsolidadoout[[#Headers],[19]],tabela_registros[REGISTRO],DADOS!$N$6,tabela_registros[TIPO],DADOS!$AJ$5,tabela_registros[CATEGORIA],reservaoutrosconsolidadoout[[#This Row],[ATUAL]])</f>
        <v>0</v>
      </c>
      <c r="X209" s="119" t="n">
        <f aca="false">SUMIFS(tabela_registros[VALOR],tabela_registros[MÊS],$AE$1,tabela_registros[DIA],reservaoutrosconsolidadoout[[#Headers],[20]],tabela_registros[REGISTRO],DADOS!$N$6,tabela_registros[TIPO],DADOS!$AJ$5,tabela_registros[CATEGORIA],reservaoutrosconsolidadoout[[#This Row],[ATUAL]])</f>
        <v>0</v>
      </c>
      <c r="Y209" s="119" t="n">
        <f aca="false">SUMIFS(tabela_registros[VALOR],tabela_registros[MÊS],$AE$1,tabela_registros[DIA],reservaoutrosconsolidadoout[[#Headers],[21]],tabela_registros[REGISTRO],DADOS!$N$6,tabela_registros[TIPO],DADOS!$AJ$5,tabela_registros[CATEGORIA],reservaoutrosconsolidadoout[[#This Row],[ATUAL]])</f>
        <v>0</v>
      </c>
      <c r="Z209" s="119" t="n">
        <f aca="false">SUMIFS(tabela_registros[VALOR],tabela_registros[MÊS],$AE$1,tabela_registros[DIA],reservaoutrosconsolidadoout[[#Headers],[22]],tabela_registros[REGISTRO],DADOS!$N$6,tabela_registros[TIPO],DADOS!$AJ$5,tabela_registros[CATEGORIA],reservaoutrosconsolidadoout[[#This Row],[ATUAL]])</f>
        <v>0</v>
      </c>
      <c r="AA209" s="119" t="n">
        <f aca="false">SUMIFS(tabela_registros[VALOR],tabela_registros[MÊS],$AE$1,tabela_registros[DIA],reservaoutrosconsolidadoout[[#Headers],[23]],tabela_registros[REGISTRO],DADOS!$N$6,tabela_registros[TIPO],DADOS!$AJ$5,tabela_registros[CATEGORIA],reservaoutrosconsolidadoout[[#This Row],[ATUAL]])</f>
        <v>0</v>
      </c>
      <c r="AB209" s="119" t="n">
        <f aca="false">SUMIFS(tabela_registros[VALOR],tabela_registros[MÊS],$AE$1,tabela_registros[DIA],reservaoutrosconsolidadoout[[#Headers],[24]],tabela_registros[REGISTRO],DADOS!$N$6,tabela_registros[TIPO],DADOS!$AJ$5,tabela_registros[CATEGORIA],reservaoutrosconsolidadoout[[#This Row],[ATUAL]])</f>
        <v>0</v>
      </c>
      <c r="AC209" s="119" t="n">
        <f aca="false">SUMIFS(tabela_registros[VALOR],tabela_registros[MÊS],$AE$1,tabela_registros[DIA],reservaoutrosconsolidadoout[[#Headers],[25]],tabela_registros[REGISTRO],DADOS!$N$6,tabela_registros[TIPO],DADOS!$AJ$5,tabela_registros[CATEGORIA],reservaoutrosconsolidadoout[[#This Row],[ATUAL]])</f>
        <v>0</v>
      </c>
      <c r="AD209" s="119" t="n">
        <f aca="false">SUMIFS(tabela_registros[VALOR],tabela_registros[MÊS],$AE$1,tabela_registros[DIA],reservaoutrosconsolidadoout[[#Headers],[26]],tabela_registros[REGISTRO],DADOS!$N$6,tabela_registros[TIPO],DADOS!$AJ$5,tabela_registros[CATEGORIA],reservaoutrosconsolidadoout[[#This Row],[ATUAL]])</f>
        <v>0</v>
      </c>
      <c r="AE209" s="119" t="n">
        <f aca="false">SUMIFS(tabela_registros[VALOR],tabela_registros[MÊS],$AE$1,tabela_registros[DIA],reservaoutrosconsolidadoout[[#Headers],[27]],tabela_registros[REGISTRO],DADOS!$N$6,tabela_registros[TIPO],DADOS!$AJ$5,tabela_registros[CATEGORIA],reservaoutrosconsolidadoout[[#This Row],[ATUAL]])</f>
        <v>0</v>
      </c>
      <c r="AF209" s="119" t="n">
        <f aca="false">SUMIFS(tabela_registros[VALOR],tabela_registros[MÊS],$AE$1,tabela_registros[DIA],reservaoutrosconsolidadoout[[#Headers],[28]],tabela_registros[REGISTRO],DADOS!$N$6,tabela_registros[TIPO],DADOS!$AJ$5,tabela_registros[CATEGORIA],reservaoutrosconsolidadoout[[#This Row],[ATUAL]])</f>
        <v>0</v>
      </c>
      <c r="AG209" s="119" t="n">
        <f aca="false">SUMIFS(tabela_registros[VALOR],tabela_registros[MÊS],$AE$1,tabela_registros[DIA],reservaoutrosconsolidadoout[[#Headers],[29]],tabela_registros[REGISTRO],DADOS!$N$6,tabela_registros[TIPO],DADOS!$AJ$5,tabela_registros[CATEGORIA],reservaoutrosconsolidadoout[[#This Row],[ATUAL]])</f>
        <v>0</v>
      </c>
      <c r="AH209" s="119" t="n">
        <f aca="false">SUMIFS(tabela_registros[VALOR],tabela_registros[MÊS],$AE$1,tabela_registros[DIA],reservaoutrosconsolidadoout[[#Headers],[30]],tabela_registros[REGISTRO],DADOS!$N$6,tabela_registros[TIPO],DADOS!$AJ$5,tabela_registros[CATEGORIA],reservaoutrosconsolidadoout[[#This Row],[ATUAL]])</f>
        <v>0</v>
      </c>
      <c r="AI209" s="217" t="n">
        <f aca="false">SUMIFS(tabela_registros[VALOR],tabela_registros[MÊS],$AE$1,tabela_registros[DIA],reservaoutrosconsolidadoout[[#Headers],[31]],tabela_registros[REGISTRO],DADOS!$N$6,tabela_registros[TIPO],DADOS!$AJ$5,tabela_registros[CATEGORIA],reservaoutrosconsolidadoout[[#This Row],[ATUAL]])</f>
        <v>0</v>
      </c>
      <c r="AJ209" s="149" t="n">
        <f aca="false">SUM(reservaoutrosconsolidadoout[[#This Row],[1]:[31]])</f>
        <v>0</v>
      </c>
      <c r="AK209" s="165"/>
    </row>
    <row r="210" customFormat="false" ht="19.5" hidden="false" customHeight="true" outlineLevel="0" collapsed="false">
      <c r="B210" s="143"/>
      <c r="C210" s="144" t="str">
        <f aca="false">DADOS!$AP$7</f>
        <v>📝 PEER TO COMPANY</v>
      </c>
      <c r="D210" s="145" t="str">
        <f aca="false">IF(reservaoutrosconsolidadoout[[#This Row],[TOTAL (R$)]]=0,"",IF(OR(reservaoutrosconsolidadoout[[#This Row],[TOTAL (R$)]]=LARGE($AJ$206:$AJ$213,1),reservaoutrosconsolidadoout[[#This Row],[TOTAL (R$)]]=LARGE($AJ$206:$AJ$213,2)),DADOS!$I$11,""))</f>
        <v/>
      </c>
      <c r="E210" s="148" t="n">
        <f aca="false">SUMIFS(tabela_registros[VALOR],tabela_registros[MÊS],$AE$1,tabela_registros[DIA],reservaoutrosconsolidadoout[[#Headers],[1]],tabela_registros[REGISTRO],DADOS!$N$6,tabela_registros[TIPO],DADOS!$AJ$5,tabela_registros[CATEGORIA],reservaoutrosconsolidadoout[[#This Row],[ATUAL]])</f>
        <v>0</v>
      </c>
      <c r="F210" s="119" t="n">
        <f aca="false">SUMIFS(tabela_registros[VALOR],tabela_registros[MÊS],$AE$1,tabela_registros[DIA],reservaoutrosconsolidadoout[[#Headers],[2]],tabela_registros[REGISTRO],DADOS!$N$6,tabela_registros[TIPO],DADOS!$AJ$5,tabela_registros[CATEGORIA],reservaoutrosconsolidadoout[[#This Row],[ATUAL]])</f>
        <v>0</v>
      </c>
      <c r="G210" s="119" t="n">
        <f aca="false">SUMIFS(tabela_registros[VALOR],tabela_registros[MÊS],$AE$1,tabela_registros[DIA],reservaoutrosconsolidadoout[[#Headers],[3]],tabela_registros[REGISTRO],DADOS!$N$6,tabela_registros[TIPO],DADOS!$AJ$5,tabela_registros[CATEGORIA],reservaoutrosconsolidadoout[[#This Row],[ATUAL]])</f>
        <v>0</v>
      </c>
      <c r="H210" s="119" t="n">
        <f aca="false">SUMIFS(tabela_registros[VALOR],tabela_registros[MÊS],$AE$1,tabela_registros[DIA],reservaoutrosconsolidadoout[[#Headers],[4]],tabela_registros[REGISTRO],DADOS!$N$6,tabela_registros[TIPO],DADOS!$AJ$5,tabela_registros[CATEGORIA],reservaoutrosconsolidadoout[[#This Row],[ATUAL]])</f>
        <v>0</v>
      </c>
      <c r="I210" s="119" t="n">
        <f aca="false">SUMIFS(tabela_registros[VALOR],tabela_registros[MÊS],$AE$1,tabela_registros[DIA],reservaoutrosconsolidadoout[[#Headers],[5]],tabela_registros[REGISTRO],DADOS!$N$6,tabela_registros[TIPO],DADOS!$AJ$5,tabela_registros[CATEGORIA],reservaoutrosconsolidadoout[[#This Row],[ATUAL]])</f>
        <v>0</v>
      </c>
      <c r="J210" s="119" t="n">
        <f aca="false">SUMIFS(tabela_registros[VALOR],tabela_registros[MÊS],$AE$1,tabela_registros[DIA],reservaoutrosconsolidadoout[[#Headers],[6]],tabela_registros[REGISTRO],DADOS!$N$6,tabela_registros[TIPO],DADOS!$AJ$5,tabela_registros[CATEGORIA],reservaoutrosconsolidadoout[[#This Row],[ATUAL]])</f>
        <v>0</v>
      </c>
      <c r="K210" s="119" t="n">
        <f aca="false">SUMIFS(tabela_registros[VALOR],tabela_registros[MÊS],$AE$1,tabela_registros[DIA],reservaoutrosconsolidadoout[[#Headers],[7]],tabela_registros[REGISTRO],DADOS!$N$6,tabela_registros[TIPO],DADOS!$AJ$5,tabela_registros[CATEGORIA],reservaoutrosconsolidadoout[[#This Row],[ATUAL]])</f>
        <v>0</v>
      </c>
      <c r="L210" s="119" t="n">
        <f aca="false">SUMIFS(tabela_registros[VALOR],tabela_registros[MÊS],$AE$1,tabela_registros[DIA],reservaoutrosconsolidadoout[[#Headers],[8]],tabela_registros[REGISTRO],DADOS!$N$6,tabela_registros[TIPO],DADOS!$AJ$5,tabela_registros[CATEGORIA],reservaoutrosconsolidadoout[[#This Row],[ATUAL]])</f>
        <v>0</v>
      </c>
      <c r="M210" s="119" t="n">
        <f aca="false">SUMIFS(tabela_registros[VALOR],tabela_registros[MÊS],$AE$1,tabela_registros[DIA],reservaoutrosconsolidadoout[[#Headers],[9]],tabela_registros[REGISTRO],DADOS!$N$6,tabela_registros[TIPO],DADOS!$AJ$5,tabela_registros[CATEGORIA],reservaoutrosconsolidadoout[[#This Row],[ATUAL]])</f>
        <v>0</v>
      </c>
      <c r="N210" s="119" t="n">
        <f aca="false">SUMIFS(tabela_registros[VALOR],tabela_registros[MÊS],$AE$1,tabela_registros[DIA],reservaoutrosconsolidadoout[[#Headers],[10]],tabela_registros[REGISTRO],DADOS!$N$6,tabela_registros[TIPO],DADOS!$AJ$5,tabela_registros[CATEGORIA],reservaoutrosconsolidadoout[[#This Row],[ATUAL]])</f>
        <v>0</v>
      </c>
      <c r="O210" s="119" t="n">
        <f aca="false">SUMIFS(tabela_registros[VALOR],tabela_registros[MÊS],$AE$1,tabela_registros[DIA],reservaoutrosconsolidadoout[[#Headers],[11]],tabela_registros[REGISTRO],DADOS!$N$6,tabela_registros[TIPO],DADOS!$AJ$5,tabela_registros[CATEGORIA],reservaoutrosconsolidadoout[[#This Row],[ATUAL]])</f>
        <v>0</v>
      </c>
      <c r="P210" s="119" t="n">
        <f aca="false">SUMIFS(tabela_registros[VALOR],tabela_registros[MÊS],$AE$1,tabela_registros[DIA],reservaoutrosconsolidadoout[[#Headers],[12]],tabela_registros[REGISTRO],DADOS!$N$6,tabela_registros[TIPO],DADOS!$AJ$5,tabela_registros[CATEGORIA],reservaoutrosconsolidadoout[[#This Row],[ATUAL]])</f>
        <v>0</v>
      </c>
      <c r="Q210" s="119" t="n">
        <f aca="false">SUMIFS(tabela_registros[VALOR],tabela_registros[MÊS],$AE$1,tabela_registros[DIA],reservaoutrosconsolidadoout[[#Headers],[13]],tabela_registros[REGISTRO],DADOS!$N$6,tabela_registros[TIPO],DADOS!$AJ$5,tabela_registros[CATEGORIA],reservaoutrosconsolidadoout[[#This Row],[ATUAL]])</f>
        <v>0</v>
      </c>
      <c r="R210" s="119" t="n">
        <f aca="false">SUMIFS(tabela_registros[VALOR],tabela_registros[MÊS],$AE$1,tabela_registros[DIA],reservaoutrosconsolidadoout[[#Headers],[14]],tabela_registros[REGISTRO],DADOS!$N$6,tabela_registros[TIPO],DADOS!$AJ$5,tabela_registros[CATEGORIA],reservaoutrosconsolidadoout[[#This Row],[ATUAL]])</f>
        <v>0</v>
      </c>
      <c r="S210" s="119" t="n">
        <f aca="false">SUMIFS(tabela_registros[VALOR],tabela_registros[MÊS],$AE$1,tabela_registros[DIA],reservaoutrosconsolidadoout[[#Headers],[15]],tabela_registros[REGISTRO],DADOS!$N$6,tabela_registros[TIPO],DADOS!$AJ$5,tabela_registros[CATEGORIA],reservaoutrosconsolidadoout[[#This Row],[ATUAL]])</f>
        <v>0</v>
      </c>
      <c r="T210" s="119" t="n">
        <f aca="false">SUMIFS(tabela_registros[VALOR],tabela_registros[MÊS],$AE$1,tabela_registros[DIA],reservaoutrosconsolidadoout[[#Headers],[16]],tabela_registros[REGISTRO],DADOS!$N$6,tabela_registros[TIPO],DADOS!$AJ$5,tabela_registros[CATEGORIA],reservaoutrosconsolidadoout[[#This Row],[ATUAL]])</f>
        <v>0</v>
      </c>
      <c r="U210" s="119" t="n">
        <f aca="false">SUMIFS(tabela_registros[VALOR],tabela_registros[MÊS],$AE$1,tabela_registros[DIA],reservaoutrosconsolidadoout[[#Headers],[17]],tabela_registros[REGISTRO],DADOS!$N$6,tabela_registros[TIPO],DADOS!$AJ$5,tabela_registros[CATEGORIA],reservaoutrosconsolidadoout[[#This Row],[ATUAL]])</f>
        <v>0</v>
      </c>
      <c r="V210" s="119" t="n">
        <f aca="false">SUMIFS(tabela_registros[VALOR],tabela_registros[MÊS],$AE$1,tabela_registros[DIA],reservaoutrosconsolidadoout[[#Headers],[18]],tabela_registros[REGISTRO],DADOS!$N$6,tabela_registros[TIPO],DADOS!$AJ$5,tabela_registros[CATEGORIA],reservaoutrosconsolidadoout[[#This Row],[ATUAL]])</f>
        <v>0</v>
      </c>
      <c r="W210" s="119" t="n">
        <f aca="false">SUMIFS(tabela_registros[VALOR],tabela_registros[MÊS],$AE$1,tabela_registros[DIA],reservaoutrosconsolidadoout[[#Headers],[19]],tabela_registros[REGISTRO],DADOS!$N$6,tabela_registros[TIPO],DADOS!$AJ$5,tabela_registros[CATEGORIA],reservaoutrosconsolidadoout[[#This Row],[ATUAL]])</f>
        <v>0</v>
      </c>
      <c r="X210" s="119" t="n">
        <f aca="false">SUMIFS(tabela_registros[VALOR],tabela_registros[MÊS],$AE$1,tabela_registros[DIA],reservaoutrosconsolidadoout[[#Headers],[20]],tabela_registros[REGISTRO],DADOS!$N$6,tabela_registros[TIPO],DADOS!$AJ$5,tabela_registros[CATEGORIA],reservaoutrosconsolidadoout[[#This Row],[ATUAL]])</f>
        <v>0</v>
      </c>
      <c r="Y210" s="119" t="n">
        <f aca="false">SUMIFS(tabela_registros[VALOR],tabela_registros[MÊS],$AE$1,tabela_registros[DIA],reservaoutrosconsolidadoout[[#Headers],[21]],tabela_registros[REGISTRO],DADOS!$N$6,tabela_registros[TIPO],DADOS!$AJ$5,tabela_registros[CATEGORIA],reservaoutrosconsolidadoout[[#This Row],[ATUAL]])</f>
        <v>0</v>
      </c>
      <c r="Z210" s="119" t="n">
        <f aca="false">SUMIFS(tabela_registros[VALOR],tabela_registros[MÊS],$AE$1,tabela_registros[DIA],reservaoutrosconsolidadoout[[#Headers],[22]],tabela_registros[REGISTRO],DADOS!$N$6,tabela_registros[TIPO],DADOS!$AJ$5,tabela_registros[CATEGORIA],reservaoutrosconsolidadoout[[#This Row],[ATUAL]])</f>
        <v>0</v>
      </c>
      <c r="AA210" s="119" t="n">
        <f aca="false">SUMIFS(tabela_registros[VALOR],tabela_registros[MÊS],$AE$1,tabela_registros[DIA],reservaoutrosconsolidadoout[[#Headers],[23]],tabela_registros[REGISTRO],DADOS!$N$6,tabela_registros[TIPO],DADOS!$AJ$5,tabela_registros[CATEGORIA],reservaoutrosconsolidadoout[[#This Row],[ATUAL]])</f>
        <v>0</v>
      </c>
      <c r="AB210" s="119" t="n">
        <f aca="false">SUMIFS(tabela_registros[VALOR],tabela_registros[MÊS],$AE$1,tabela_registros[DIA],reservaoutrosconsolidadoout[[#Headers],[24]],tabela_registros[REGISTRO],DADOS!$N$6,tabela_registros[TIPO],DADOS!$AJ$5,tabela_registros[CATEGORIA],reservaoutrosconsolidadoout[[#This Row],[ATUAL]])</f>
        <v>0</v>
      </c>
      <c r="AC210" s="119" t="n">
        <f aca="false">SUMIFS(tabela_registros[VALOR],tabela_registros[MÊS],$AE$1,tabela_registros[DIA],reservaoutrosconsolidadoout[[#Headers],[25]],tabela_registros[REGISTRO],DADOS!$N$6,tabela_registros[TIPO],DADOS!$AJ$5,tabela_registros[CATEGORIA],reservaoutrosconsolidadoout[[#This Row],[ATUAL]])</f>
        <v>0</v>
      </c>
      <c r="AD210" s="119" t="n">
        <f aca="false">SUMIFS(tabela_registros[VALOR],tabela_registros[MÊS],$AE$1,tabela_registros[DIA],reservaoutrosconsolidadoout[[#Headers],[26]],tabela_registros[REGISTRO],DADOS!$N$6,tabela_registros[TIPO],DADOS!$AJ$5,tabela_registros[CATEGORIA],reservaoutrosconsolidadoout[[#This Row],[ATUAL]])</f>
        <v>0</v>
      </c>
      <c r="AE210" s="119" t="n">
        <f aca="false">SUMIFS(tabela_registros[VALOR],tabela_registros[MÊS],$AE$1,tabela_registros[DIA],reservaoutrosconsolidadoout[[#Headers],[27]],tabela_registros[REGISTRO],DADOS!$N$6,tabela_registros[TIPO],DADOS!$AJ$5,tabela_registros[CATEGORIA],reservaoutrosconsolidadoout[[#This Row],[ATUAL]])</f>
        <v>0</v>
      </c>
      <c r="AF210" s="119" t="n">
        <f aca="false">SUMIFS(tabela_registros[VALOR],tabela_registros[MÊS],$AE$1,tabela_registros[DIA],reservaoutrosconsolidadoout[[#Headers],[28]],tabela_registros[REGISTRO],DADOS!$N$6,tabela_registros[TIPO],DADOS!$AJ$5,tabela_registros[CATEGORIA],reservaoutrosconsolidadoout[[#This Row],[ATUAL]])</f>
        <v>0</v>
      </c>
      <c r="AG210" s="119" t="n">
        <f aca="false">SUMIFS(tabela_registros[VALOR],tabela_registros[MÊS],$AE$1,tabela_registros[DIA],reservaoutrosconsolidadoout[[#Headers],[29]],tabela_registros[REGISTRO],DADOS!$N$6,tabela_registros[TIPO],DADOS!$AJ$5,tabela_registros[CATEGORIA],reservaoutrosconsolidadoout[[#This Row],[ATUAL]])</f>
        <v>0</v>
      </c>
      <c r="AH210" s="119" t="n">
        <f aca="false">SUMIFS(tabela_registros[VALOR],tabela_registros[MÊS],$AE$1,tabela_registros[DIA],reservaoutrosconsolidadoout[[#Headers],[30]],tabela_registros[REGISTRO],DADOS!$N$6,tabela_registros[TIPO],DADOS!$AJ$5,tabela_registros[CATEGORIA],reservaoutrosconsolidadoout[[#This Row],[ATUAL]])</f>
        <v>0</v>
      </c>
      <c r="AI210" s="217" t="n">
        <f aca="false">SUMIFS(tabela_registros[VALOR],tabela_registros[MÊS],$AE$1,tabela_registros[DIA],reservaoutrosconsolidadoout[[#Headers],[31]],tabela_registros[REGISTRO],DADOS!$N$6,tabela_registros[TIPO],DADOS!$AJ$5,tabela_registros[CATEGORIA],reservaoutrosconsolidadoout[[#This Row],[ATUAL]])</f>
        <v>0</v>
      </c>
      <c r="AJ210" s="149" t="n">
        <f aca="false">SUM(reservaoutrosconsolidadoout[[#This Row],[1]:[31]])</f>
        <v>0</v>
      </c>
      <c r="AK210" s="165"/>
    </row>
    <row r="211" customFormat="false" ht="19.5" hidden="false" customHeight="true" outlineLevel="0" collapsed="false">
      <c r="B211" s="143"/>
      <c r="C211" s="144" t="str">
        <f aca="false">DADOS!$AP$8</f>
        <v>📝 PEER TO PEER</v>
      </c>
      <c r="D211" s="145" t="str">
        <f aca="false">IF(reservaoutrosconsolidadoout[[#This Row],[TOTAL (R$)]]=0,"",IF(OR(reservaoutrosconsolidadoout[[#This Row],[TOTAL (R$)]]=LARGE($AJ$206:$AJ$213,1),reservaoutrosconsolidadoout[[#This Row],[TOTAL (R$)]]=LARGE($AJ$206:$AJ$213,2)),DADOS!$I$11,""))</f>
        <v/>
      </c>
      <c r="E211" s="148" t="n">
        <f aca="false">SUMIFS(tabela_registros[VALOR],tabela_registros[MÊS],$AE$1,tabela_registros[DIA],reservaoutrosconsolidadoout[[#Headers],[1]],tabela_registros[REGISTRO],DADOS!$N$6,tabela_registros[TIPO],DADOS!$AJ$5,tabela_registros[CATEGORIA],reservaoutrosconsolidadoout[[#This Row],[ATUAL]])</f>
        <v>0</v>
      </c>
      <c r="F211" s="119" t="n">
        <f aca="false">SUMIFS(tabela_registros[VALOR],tabela_registros[MÊS],$AE$1,tabela_registros[DIA],reservaoutrosconsolidadoout[[#Headers],[2]],tabela_registros[REGISTRO],DADOS!$N$6,tabela_registros[TIPO],DADOS!$AJ$5,tabela_registros[CATEGORIA],reservaoutrosconsolidadoout[[#This Row],[ATUAL]])</f>
        <v>0</v>
      </c>
      <c r="G211" s="119" t="n">
        <f aca="false">SUMIFS(tabela_registros[VALOR],tabela_registros[MÊS],$AE$1,tabela_registros[DIA],reservaoutrosconsolidadoout[[#Headers],[3]],tabela_registros[REGISTRO],DADOS!$N$6,tabela_registros[TIPO],DADOS!$AJ$5,tabela_registros[CATEGORIA],reservaoutrosconsolidadoout[[#This Row],[ATUAL]])</f>
        <v>0</v>
      </c>
      <c r="H211" s="119" t="n">
        <f aca="false">SUMIFS(tabela_registros[VALOR],tabela_registros[MÊS],$AE$1,tabela_registros[DIA],reservaoutrosconsolidadoout[[#Headers],[4]],tabela_registros[REGISTRO],DADOS!$N$6,tabela_registros[TIPO],DADOS!$AJ$5,tabela_registros[CATEGORIA],reservaoutrosconsolidadoout[[#This Row],[ATUAL]])</f>
        <v>0</v>
      </c>
      <c r="I211" s="119" t="n">
        <f aca="false">SUMIFS(tabela_registros[VALOR],tabela_registros[MÊS],$AE$1,tabela_registros[DIA],reservaoutrosconsolidadoout[[#Headers],[5]],tabela_registros[REGISTRO],DADOS!$N$6,tabela_registros[TIPO],DADOS!$AJ$5,tabela_registros[CATEGORIA],reservaoutrosconsolidadoout[[#This Row],[ATUAL]])</f>
        <v>0</v>
      </c>
      <c r="J211" s="119" t="n">
        <f aca="false">SUMIFS(tabela_registros[VALOR],tabela_registros[MÊS],$AE$1,tabela_registros[DIA],reservaoutrosconsolidadoout[[#Headers],[6]],tabela_registros[REGISTRO],DADOS!$N$6,tabela_registros[TIPO],DADOS!$AJ$5,tabela_registros[CATEGORIA],reservaoutrosconsolidadoout[[#This Row],[ATUAL]])</f>
        <v>0</v>
      </c>
      <c r="K211" s="119" t="n">
        <f aca="false">SUMIFS(tabela_registros[VALOR],tabela_registros[MÊS],$AE$1,tabela_registros[DIA],reservaoutrosconsolidadoout[[#Headers],[7]],tabela_registros[REGISTRO],DADOS!$N$6,tabela_registros[TIPO],DADOS!$AJ$5,tabela_registros[CATEGORIA],reservaoutrosconsolidadoout[[#This Row],[ATUAL]])</f>
        <v>0</v>
      </c>
      <c r="L211" s="119" t="n">
        <f aca="false">SUMIFS(tabela_registros[VALOR],tabela_registros[MÊS],$AE$1,tabela_registros[DIA],reservaoutrosconsolidadoout[[#Headers],[8]],tabela_registros[REGISTRO],DADOS!$N$6,tabela_registros[TIPO],DADOS!$AJ$5,tabela_registros[CATEGORIA],reservaoutrosconsolidadoout[[#This Row],[ATUAL]])</f>
        <v>0</v>
      </c>
      <c r="M211" s="119" t="n">
        <f aca="false">SUMIFS(tabela_registros[VALOR],tabela_registros[MÊS],$AE$1,tabela_registros[DIA],reservaoutrosconsolidadoout[[#Headers],[9]],tabela_registros[REGISTRO],DADOS!$N$6,tabela_registros[TIPO],DADOS!$AJ$5,tabela_registros[CATEGORIA],reservaoutrosconsolidadoout[[#This Row],[ATUAL]])</f>
        <v>0</v>
      </c>
      <c r="N211" s="119" t="n">
        <f aca="false">SUMIFS(tabela_registros[VALOR],tabela_registros[MÊS],$AE$1,tabela_registros[DIA],reservaoutrosconsolidadoout[[#Headers],[10]],tabela_registros[REGISTRO],DADOS!$N$6,tabela_registros[TIPO],DADOS!$AJ$5,tabela_registros[CATEGORIA],reservaoutrosconsolidadoout[[#This Row],[ATUAL]])</f>
        <v>0</v>
      </c>
      <c r="O211" s="119" t="n">
        <f aca="false">SUMIFS(tabela_registros[VALOR],tabela_registros[MÊS],$AE$1,tabela_registros[DIA],reservaoutrosconsolidadoout[[#Headers],[11]],tabela_registros[REGISTRO],DADOS!$N$6,tabela_registros[TIPO],DADOS!$AJ$5,tabela_registros[CATEGORIA],reservaoutrosconsolidadoout[[#This Row],[ATUAL]])</f>
        <v>0</v>
      </c>
      <c r="P211" s="119" t="n">
        <f aca="false">SUMIFS(tabela_registros[VALOR],tabela_registros[MÊS],$AE$1,tabela_registros[DIA],reservaoutrosconsolidadoout[[#Headers],[12]],tabela_registros[REGISTRO],DADOS!$N$6,tabela_registros[TIPO],DADOS!$AJ$5,tabela_registros[CATEGORIA],reservaoutrosconsolidadoout[[#This Row],[ATUAL]])</f>
        <v>0</v>
      </c>
      <c r="Q211" s="119" t="n">
        <f aca="false">SUMIFS(tabela_registros[VALOR],tabela_registros[MÊS],$AE$1,tabela_registros[DIA],reservaoutrosconsolidadoout[[#Headers],[13]],tabela_registros[REGISTRO],DADOS!$N$6,tabela_registros[TIPO],DADOS!$AJ$5,tabela_registros[CATEGORIA],reservaoutrosconsolidadoout[[#This Row],[ATUAL]])</f>
        <v>0</v>
      </c>
      <c r="R211" s="119" t="n">
        <f aca="false">SUMIFS(tabela_registros[VALOR],tabela_registros[MÊS],$AE$1,tabela_registros[DIA],reservaoutrosconsolidadoout[[#Headers],[14]],tabela_registros[REGISTRO],DADOS!$N$6,tabela_registros[TIPO],DADOS!$AJ$5,tabela_registros[CATEGORIA],reservaoutrosconsolidadoout[[#This Row],[ATUAL]])</f>
        <v>0</v>
      </c>
      <c r="S211" s="119" t="n">
        <f aca="false">SUMIFS(tabela_registros[VALOR],tabela_registros[MÊS],$AE$1,tabela_registros[DIA],reservaoutrosconsolidadoout[[#Headers],[15]],tabela_registros[REGISTRO],DADOS!$N$6,tabela_registros[TIPO],DADOS!$AJ$5,tabela_registros[CATEGORIA],reservaoutrosconsolidadoout[[#This Row],[ATUAL]])</f>
        <v>0</v>
      </c>
      <c r="T211" s="119" t="n">
        <f aca="false">SUMIFS(tabela_registros[VALOR],tabela_registros[MÊS],$AE$1,tabela_registros[DIA],reservaoutrosconsolidadoout[[#Headers],[16]],tabela_registros[REGISTRO],DADOS!$N$6,tabela_registros[TIPO],DADOS!$AJ$5,tabela_registros[CATEGORIA],reservaoutrosconsolidadoout[[#This Row],[ATUAL]])</f>
        <v>0</v>
      </c>
      <c r="U211" s="119" t="n">
        <f aca="false">SUMIFS(tabela_registros[VALOR],tabela_registros[MÊS],$AE$1,tabela_registros[DIA],reservaoutrosconsolidadoout[[#Headers],[17]],tabela_registros[REGISTRO],DADOS!$N$6,tabela_registros[TIPO],DADOS!$AJ$5,tabela_registros[CATEGORIA],reservaoutrosconsolidadoout[[#This Row],[ATUAL]])</f>
        <v>0</v>
      </c>
      <c r="V211" s="119" t="n">
        <f aca="false">SUMIFS(tabela_registros[VALOR],tabela_registros[MÊS],$AE$1,tabela_registros[DIA],reservaoutrosconsolidadoout[[#Headers],[18]],tabela_registros[REGISTRO],DADOS!$N$6,tabela_registros[TIPO],DADOS!$AJ$5,tabela_registros[CATEGORIA],reservaoutrosconsolidadoout[[#This Row],[ATUAL]])</f>
        <v>0</v>
      </c>
      <c r="W211" s="119" t="n">
        <f aca="false">SUMIFS(tabela_registros[VALOR],tabela_registros[MÊS],$AE$1,tabela_registros[DIA],reservaoutrosconsolidadoout[[#Headers],[19]],tabela_registros[REGISTRO],DADOS!$N$6,tabela_registros[TIPO],DADOS!$AJ$5,tabela_registros[CATEGORIA],reservaoutrosconsolidadoout[[#This Row],[ATUAL]])</f>
        <v>0</v>
      </c>
      <c r="X211" s="119" t="n">
        <f aca="false">SUMIFS(tabela_registros[VALOR],tabela_registros[MÊS],$AE$1,tabela_registros[DIA],reservaoutrosconsolidadoout[[#Headers],[20]],tabela_registros[REGISTRO],DADOS!$N$6,tabela_registros[TIPO],DADOS!$AJ$5,tabela_registros[CATEGORIA],reservaoutrosconsolidadoout[[#This Row],[ATUAL]])</f>
        <v>0</v>
      </c>
      <c r="Y211" s="119" t="n">
        <f aca="false">SUMIFS(tabela_registros[VALOR],tabela_registros[MÊS],$AE$1,tabela_registros[DIA],reservaoutrosconsolidadoout[[#Headers],[21]],tabela_registros[REGISTRO],DADOS!$N$6,tabela_registros[TIPO],DADOS!$AJ$5,tabela_registros[CATEGORIA],reservaoutrosconsolidadoout[[#This Row],[ATUAL]])</f>
        <v>0</v>
      </c>
      <c r="Z211" s="119" t="n">
        <f aca="false">SUMIFS(tabela_registros[VALOR],tabela_registros[MÊS],$AE$1,tabela_registros[DIA],reservaoutrosconsolidadoout[[#Headers],[22]],tabela_registros[REGISTRO],DADOS!$N$6,tabela_registros[TIPO],DADOS!$AJ$5,tabela_registros[CATEGORIA],reservaoutrosconsolidadoout[[#This Row],[ATUAL]])</f>
        <v>0</v>
      </c>
      <c r="AA211" s="119" t="n">
        <f aca="false">SUMIFS(tabela_registros[VALOR],tabela_registros[MÊS],$AE$1,tabela_registros[DIA],reservaoutrosconsolidadoout[[#Headers],[23]],tabela_registros[REGISTRO],DADOS!$N$6,tabela_registros[TIPO],DADOS!$AJ$5,tabela_registros[CATEGORIA],reservaoutrosconsolidadoout[[#This Row],[ATUAL]])</f>
        <v>0</v>
      </c>
      <c r="AB211" s="119" t="n">
        <f aca="false">SUMIFS(tabela_registros[VALOR],tabela_registros[MÊS],$AE$1,tabela_registros[DIA],reservaoutrosconsolidadoout[[#Headers],[24]],tabela_registros[REGISTRO],DADOS!$N$6,tabela_registros[TIPO],DADOS!$AJ$5,tabela_registros[CATEGORIA],reservaoutrosconsolidadoout[[#This Row],[ATUAL]])</f>
        <v>0</v>
      </c>
      <c r="AC211" s="119" t="n">
        <f aca="false">SUMIFS(tabela_registros[VALOR],tabela_registros[MÊS],$AE$1,tabela_registros[DIA],reservaoutrosconsolidadoout[[#Headers],[25]],tabela_registros[REGISTRO],DADOS!$N$6,tabela_registros[TIPO],DADOS!$AJ$5,tabela_registros[CATEGORIA],reservaoutrosconsolidadoout[[#This Row],[ATUAL]])</f>
        <v>0</v>
      </c>
      <c r="AD211" s="119" t="n">
        <f aca="false">SUMIFS(tabela_registros[VALOR],tabela_registros[MÊS],$AE$1,tabela_registros[DIA],reservaoutrosconsolidadoout[[#Headers],[26]],tabela_registros[REGISTRO],DADOS!$N$6,tabela_registros[TIPO],DADOS!$AJ$5,tabela_registros[CATEGORIA],reservaoutrosconsolidadoout[[#This Row],[ATUAL]])</f>
        <v>0</v>
      </c>
      <c r="AE211" s="119" t="n">
        <f aca="false">SUMIFS(tabela_registros[VALOR],tabela_registros[MÊS],$AE$1,tabela_registros[DIA],reservaoutrosconsolidadoout[[#Headers],[27]],tabela_registros[REGISTRO],DADOS!$N$6,tabela_registros[TIPO],DADOS!$AJ$5,tabela_registros[CATEGORIA],reservaoutrosconsolidadoout[[#This Row],[ATUAL]])</f>
        <v>0</v>
      </c>
      <c r="AF211" s="119" t="n">
        <f aca="false">SUMIFS(tabela_registros[VALOR],tabela_registros[MÊS],$AE$1,tabela_registros[DIA],reservaoutrosconsolidadoout[[#Headers],[28]],tabela_registros[REGISTRO],DADOS!$N$6,tabela_registros[TIPO],DADOS!$AJ$5,tabela_registros[CATEGORIA],reservaoutrosconsolidadoout[[#This Row],[ATUAL]])</f>
        <v>0</v>
      </c>
      <c r="AG211" s="119" t="n">
        <f aca="false">SUMIFS(tabela_registros[VALOR],tabela_registros[MÊS],$AE$1,tabela_registros[DIA],reservaoutrosconsolidadoout[[#Headers],[29]],tabela_registros[REGISTRO],DADOS!$N$6,tabela_registros[TIPO],DADOS!$AJ$5,tabela_registros[CATEGORIA],reservaoutrosconsolidadoout[[#This Row],[ATUAL]])</f>
        <v>0</v>
      </c>
      <c r="AH211" s="119" t="n">
        <f aca="false">SUMIFS(tabela_registros[VALOR],tabela_registros[MÊS],$AE$1,tabela_registros[DIA],reservaoutrosconsolidadoout[[#Headers],[30]],tabela_registros[REGISTRO],DADOS!$N$6,tabela_registros[TIPO],DADOS!$AJ$5,tabela_registros[CATEGORIA],reservaoutrosconsolidadoout[[#This Row],[ATUAL]])</f>
        <v>0</v>
      </c>
      <c r="AI211" s="217" t="n">
        <f aca="false">SUMIFS(tabela_registros[VALOR],tabela_registros[MÊS],$AE$1,tabela_registros[DIA],reservaoutrosconsolidadoout[[#Headers],[31]],tabela_registros[REGISTRO],DADOS!$N$6,tabela_registros[TIPO],DADOS!$AJ$5,tabela_registros[CATEGORIA],reservaoutrosconsolidadoout[[#This Row],[ATUAL]])</f>
        <v>0</v>
      </c>
      <c r="AJ211" s="149" t="n">
        <f aca="false">SUM(reservaoutrosconsolidadoout[[#This Row],[1]:[31]])</f>
        <v>0</v>
      </c>
      <c r="AK211" s="165"/>
    </row>
    <row r="212" customFormat="false" ht="19.5" hidden="false" customHeight="true" outlineLevel="0" collapsed="false">
      <c r="B212" s="143"/>
      <c r="C212" s="144" t="str">
        <f aca="false">DADOS!$AP$9</f>
        <v>📝 PREVIDÊNCIA PRIVADA</v>
      </c>
      <c r="D212" s="145" t="str">
        <f aca="false">IF(reservaoutrosconsolidadoout[[#This Row],[TOTAL (R$)]]=0,"",IF(OR(reservaoutrosconsolidadoout[[#This Row],[TOTAL (R$)]]=LARGE($AJ$206:$AJ$213,1),reservaoutrosconsolidadoout[[#This Row],[TOTAL (R$)]]=LARGE($AJ$206:$AJ$213,2)),DADOS!$I$11,""))</f>
        <v/>
      </c>
      <c r="E212" s="148" t="n">
        <f aca="false">SUMIFS(tabela_registros[VALOR],tabela_registros[MÊS],$AE$1,tabela_registros[DIA],reservaoutrosconsolidadoout[[#Headers],[1]],tabela_registros[REGISTRO],DADOS!$N$6,tabela_registros[TIPO],DADOS!$AJ$5,tabela_registros[CATEGORIA],reservaoutrosconsolidadoout[[#This Row],[ATUAL]])</f>
        <v>0</v>
      </c>
      <c r="F212" s="119" t="n">
        <f aca="false">SUMIFS(tabela_registros[VALOR],tabela_registros[MÊS],$AE$1,tabela_registros[DIA],reservaoutrosconsolidadoout[[#Headers],[2]],tabela_registros[REGISTRO],DADOS!$N$6,tabela_registros[TIPO],DADOS!$AJ$5,tabela_registros[CATEGORIA],reservaoutrosconsolidadoout[[#This Row],[ATUAL]])</f>
        <v>0</v>
      </c>
      <c r="G212" s="119" t="n">
        <f aca="false">SUMIFS(tabela_registros[VALOR],tabela_registros[MÊS],$AE$1,tabela_registros[DIA],reservaoutrosconsolidadoout[[#Headers],[3]],tabela_registros[REGISTRO],DADOS!$N$6,tabela_registros[TIPO],DADOS!$AJ$5,tabela_registros[CATEGORIA],reservaoutrosconsolidadoout[[#This Row],[ATUAL]])</f>
        <v>0</v>
      </c>
      <c r="H212" s="119" t="n">
        <f aca="false">SUMIFS(tabela_registros[VALOR],tabela_registros[MÊS],$AE$1,tabela_registros[DIA],reservaoutrosconsolidadoout[[#Headers],[4]],tabela_registros[REGISTRO],DADOS!$N$6,tabela_registros[TIPO],DADOS!$AJ$5,tabela_registros[CATEGORIA],reservaoutrosconsolidadoout[[#This Row],[ATUAL]])</f>
        <v>0</v>
      </c>
      <c r="I212" s="119" t="n">
        <f aca="false">SUMIFS(tabela_registros[VALOR],tabela_registros[MÊS],$AE$1,tabela_registros[DIA],reservaoutrosconsolidadoout[[#Headers],[5]],tabela_registros[REGISTRO],DADOS!$N$6,tabela_registros[TIPO],DADOS!$AJ$5,tabela_registros[CATEGORIA],reservaoutrosconsolidadoout[[#This Row],[ATUAL]])</f>
        <v>0</v>
      </c>
      <c r="J212" s="119" t="n">
        <f aca="false">SUMIFS(tabela_registros[VALOR],tabela_registros[MÊS],$AE$1,tabela_registros[DIA],reservaoutrosconsolidadoout[[#Headers],[6]],tabela_registros[REGISTRO],DADOS!$N$6,tabela_registros[TIPO],DADOS!$AJ$5,tabela_registros[CATEGORIA],reservaoutrosconsolidadoout[[#This Row],[ATUAL]])</f>
        <v>0</v>
      </c>
      <c r="K212" s="119" t="n">
        <f aca="false">SUMIFS(tabela_registros[VALOR],tabela_registros[MÊS],$AE$1,tabela_registros[DIA],reservaoutrosconsolidadoout[[#Headers],[7]],tabela_registros[REGISTRO],DADOS!$N$6,tabela_registros[TIPO],DADOS!$AJ$5,tabela_registros[CATEGORIA],reservaoutrosconsolidadoout[[#This Row],[ATUAL]])</f>
        <v>0</v>
      </c>
      <c r="L212" s="119" t="n">
        <f aca="false">SUMIFS(tabela_registros[VALOR],tabela_registros[MÊS],$AE$1,tabela_registros[DIA],reservaoutrosconsolidadoout[[#Headers],[8]],tabela_registros[REGISTRO],DADOS!$N$6,tabela_registros[TIPO],DADOS!$AJ$5,tabela_registros[CATEGORIA],reservaoutrosconsolidadoout[[#This Row],[ATUAL]])</f>
        <v>0</v>
      </c>
      <c r="M212" s="119" t="n">
        <f aca="false">SUMIFS(tabela_registros[VALOR],tabela_registros[MÊS],$AE$1,tabela_registros[DIA],reservaoutrosconsolidadoout[[#Headers],[9]],tabela_registros[REGISTRO],DADOS!$N$6,tabela_registros[TIPO],DADOS!$AJ$5,tabela_registros[CATEGORIA],reservaoutrosconsolidadoout[[#This Row],[ATUAL]])</f>
        <v>0</v>
      </c>
      <c r="N212" s="119" t="n">
        <f aca="false">SUMIFS(tabela_registros[VALOR],tabela_registros[MÊS],$AE$1,tabela_registros[DIA],reservaoutrosconsolidadoout[[#Headers],[10]],tabela_registros[REGISTRO],DADOS!$N$6,tabela_registros[TIPO],DADOS!$AJ$5,tabela_registros[CATEGORIA],reservaoutrosconsolidadoout[[#This Row],[ATUAL]])</f>
        <v>0</v>
      </c>
      <c r="O212" s="119" t="n">
        <f aca="false">SUMIFS(tabela_registros[VALOR],tabela_registros[MÊS],$AE$1,tabela_registros[DIA],reservaoutrosconsolidadoout[[#Headers],[11]],tabela_registros[REGISTRO],DADOS!$N$6,tabela_registros[TIPO],DADOS!$AJ$5,tabela_registros[CATEGORIA],reservaoutrosconsolidadoout[[#This Row],[ATUAL]])</f>
        <v>0</v>
      </c>
      <c r="P212" s="119" t="n">
        <f aca="false">SUMIFS(tabela_registros[VALOR],tabela_registros[MÊS],$AE$1,tabela_registros[DIA],reservaoutrosconsolidadoout[[#Headers],[12]],tabela_registros[REGISTRO],DADOS!$N$6,tabela_registros[TIPO],DADOS!$AJ$5,tabela_registros[CATEGORIA],reservaoutrosconsolidadoout[[#This Row],[ATUAL]])</f>
        <v>0</v>
      </c>
      <c r="Q212" s="119" t="n">
        <f aca="false">SUMIFS(tabela_registros[VALOR],tabela_registros[MÊS],$AE$1,tabela_registros[DIA],reservaoutrosconsolidadoout[[#Headers],[13]],tabela_registros[REGISTRO],DADOS!$N$6,tabela_registros[TIPO],DADOS!$AJ$5,tabela_registros[CATEGORIA],reservaoutrosconsolidadoout[[#This Row],[ATUAL]])</f>
        <v>0</v>
      </c>
      <c r="R212" s="119" t="n">
        <f aca="false">SUMIFS(tabela_registros[VALOR],tabela_registros[MÊS],$AE$1,tabela_registros[DIA],reservaoutrosconsolidadoout[[#Headers],[14]],tabela_registros[REGISTRO],DADOS!$N$6,tabela_registros[TIPO],DADOS!$AJ$5,tabela_registros[CATEGORIA],reservaoutrosconsolidadoout[[#This Row],[ATUAL]])</f>
        <v>0</v>
      </c>
      <c r="S212" s="119" t="n">
        <f aca="false">SUMIFS(tabela_registros[VALOR],tabela_registros[MÊS],$AE$1,tabela_registros[DIA],reservaoutrosconsolidadoout[[#Headers],[15]],tabela_registros[REGISTRO],DADOS!$N$6,tabela_registros[TIPO],DADOS!$AJ$5,tabela_registros[CATEGORIA],reservaoutrosconsolidadoout[[#This Row],[ATUAL]])</f>
        <v>0</v>
      </c>
      <c r="T212" s="119" t="n">
        <f aca="false">SUMIFS(tabela_registros[VALOR],tabela_registros[MÊS],$AE$1,tabela_registros[DIA],reservaoutrosconsolidadoout[[#Headers],[16]],tabela_registros[REGISTRO],DADOS!$N$6,tabela_registros[TIPO],DADOS!$AJ$5,tabela_registros[CATEGORIA],reservaoutrosconsolidadoout[[#This Row],[ATUAL]])</f>
        <v>0</v>
      </c>
      <c r="U212" s="119" t="n">
        <f aca="false">SUMIFS(tabela_registros[VALOR],tabela_registros[MÊS],$AE$1,tabela_registros[DIA],reservaoutrosconsolidadoout[[#Headers],[17]],tabela_registros[REGISTRO],DADOS!$N$6,tabela_registros[TIPO],DADOS!$AJ$5,tabela_registros[CATEGORIA],reservaoutrosconsolidadoout[[#This Row],[ATUAL]])</f>
        <v>0</v>
      </c>
      <c r="V212" s="119" t="n">
        <f aca="false">SUMIFS(tabela_registros[VALOR],tabela_registros[MÊS],$AE$1,tabela_registros[DIA],reservaoutrosconsolidadoout[[#Headers],[18]],tabela_registros[REGISTRO],DADOS!$N$6,tabela_registros[TIPO],DADOS!$AJ$5,tabela_registros[CATEGORIA],reservaoutrosconsolidadoout[[#This Row],[ATUAL]])</f>
        <v>0</v>
      </c>
      <c r="W212" s="119" t="n">
        <f aca="false">SUMIFS(tabela_registros[VALOR],tabela_registros[MÊS],$AE$1,tabela_registros[DIA],reservaoutrosconsolidadoout[[#Headers],[19]],tabela_registros[REGISTRO],DADOS!$N$6,tabela_registros[TIPO],DADOS!$AJ$5,tabela_registros[CATEGORIA],reservaoutrosconsolidadoout[[#This Row],[ATUAL]])</f>
        <v>0</v>
      </c>
      <c r="X212" s="119" t="n">
        <f aca="false">SUMIFS(tabela_registros[VALOR],tabela_registros[MÊS],$AE$1,tabela_registros[DIA],reservaoutrosconsolidadoout[[#Headers],[20]],tabela_registros[REGISTRO],DADOS!$N$6,tabela_registros[TIPO],DADOS!$AJ$5,tabela_registros[CATEGORIA],reservaoutrosconsolidadoout[[#This Row],[ATUAL]])</f>
        <v>0</v>
      </c>
      <c r="Y212" s="119" t="n">
        <f aca="false">SUMIFS(tabela_registros[VALOR],tabela_registros[MÊS],$AE$1,tabela_registros[DIA],reservaoutrosconsolidadoout[[#Headers],[21]],tabela_registros[REGISTRO],DADOS!$N$6,tabela_registros[TIPO],DADOS!$AJ$5,tabela_registros[CATEGORIA],reservaoutrosconsolidadoout[[#This Row],[ATUAL]])</f>
        <v>0</v>
      </c>
      <c r="Z212" s="119" t="n">
        <f aca="false">SUMIFS(tabela_registros[VALOR],tabela_registros[MÊS],$AE$1,tabela_registros[DIA],reservaoutrosconsolidadoout[[#Headers],[22]],tabela_registros[REGISTRO],DADOS!$N$6,tabela_registros[TIPO],DADOS!$AJ$5,tabela_registros[CATEGORIA],reservaoutrosconsolidadoout[[#This Row],[ATUAL]])</f>
        <v>0</v>
      </c>
      <c r="AA212" s="119" t="n">
        <f aca="false">SUMIFS(tabela_registros[VALOR],tabela_registros[MÊS],$AE$1,tabela_registros[DIA],reservaoutrosconsolidadoout[[#Headers],[23]],tabela_registros[REGISTRO],DADOS!$N$6,tabela_registros[TIPO],DADOS!$AJ$5,tabela_registros[CATEGORIA],reservaoutrosconsolidadoout[[#This Row],[ATUAL]])</f>
        <v>0</v>
      </c>
      <c r="AB212" s="119" t="n">
        <f aca="false">SUMIFS(tabela_registros[VALOR],tabela_registros[MÊS],$AE$1,tabela_registros[DIA],reservaoutrosconsolidadoout[[#Headers],[24]],tabela_registros[REGISTRO],DADOS!$N$6,tabela_registros[TIPO],DADOS!$AJ$5,tabela_registros[CATEGORIA],reservaoutrosconsolidadoout[[#This Row],[ATUAL]])</f>
        <v>0</v>
      </c>
      <c r="AC212" s="119" t="n">
        <f aca="false">SUMIFS(tabela_registros[VALOR],tabela_registros[MÊS],$AE$1,tabela_registros[DIA],reservaoutrosconsolidadoout[[#Headers],[25]],tabela_registros[REGISTRO],DADOS!$N$6,tabela_registros[TIPO],DADOS!$AJ$5,tabela_registros[CATEGORIA],reservaoutrosconsolidadoout[[#This Row],[ATUAL]])</f>
        <v>0</v>
      </c>
      <c r="AD212" s="119" t="n">
        <f aca="false">SUMIFS(tabela_registros[VALOR],tabela_registros[MÊS],$AE$1,tabela_registros[DIA],reservaoutrosconsolidadoout[[#Headers],[26]],tabela_registros[REGISTRO],DADOS!$N$6,tabela_registros[TIPO],DADOS!$AJ$5,tabela_registros[CATEGORIA],reservaoutrosconsolidadoout[[#This Row],[ATUAL]])</f>
        <v>0</v>
      </c>
      <c r="AE212" s="119" t="n">
        <f aca="false">SUMIFS(tabela_registros[VALOR],tabela_registros[MÊS],$AE$1,tabela_registros[DIA],reservaoutrosconsolidadoout[[#Headers],[27]],tabela_registros[REGISTRO],DADOS!$N$6,tabela_registros[TIPO],DADOS!$AJ$5,tabela_registros[CATEGORIA],reservaoutrosconsolidadoout[[#This Row],[ATUAL]])</f>
        <v>0</v>
      </c>
      <c r="AF212" s="119" t="n">
        <f aca="false">SUMIFS(tabela_registros[VALOR],tabela_registros[MÊS],$AE$1,tabela_registros[DIA],reservaoutrosconsolidadoout[[#Headers],[28]],tabela_registros[REGISTRO],DADOS!$N$6,tabela_registros[TIPO],DADOS!$AJ$5,tabela_registros[CATEGORIA],reservaoutrosconsolidadoout[[#This Row],[ATUAL]])</f>
        <v>0</v>
      </c>
      <c r="AG212" s="119" t="n">
        <f aca="false">SUMIFS(tabela_registros[VALOR],tabela_registros[MÊS],$AE$1,tabela_registros[DIA],reservaoutrosconsolidadoout[[#Headers],[29]],tabela_registros[REGISTRO],DADOS!$N$6,tabela_registros[TIPO],DADOS!$AJ$5,tabela_registros[CATEGORIA],reservaoutrosconsolidadoout[[#This Row],[ATUAL]])</f>
        <v>0</v>
      </c>
      <c r="AH212" s="119" t="n">
        <f aca="false">SUMIFS(tabela_registros[VALOR],tabela_registros[MÊS],$AE$1,tabela_registros[DIA],reservaoutrosconsolidadoout[[#Headers],[30]],tabela_registros[REGISTRO],DADOS!$N$6,tabela_registros[TIPO],DADOS!$AJ$5,tabela_registros[CATEGORIA],reservaoutrosconsolidadoout[[#This Row],[ATUAL]])</f>
        <v>0</v>
      </c>
      <c r="AI212" s="217" t="n">
        <f aca="false">SUMIFS(tabela_registros[VALOR],tabela_registros[MÊS],$AE$1,tabela_registros[DIA],reservaoutrosconsolidadoout[[#Headers],[31]],tabela_registros[REGISTRO],DADOS!$N$6,tabela_registros[TIPO],DADOS!$AJ$5,tabela_registros[CATEGORIA],reservaoutrosconsolidadoout[[#This Row],[ATUAL]])</f>
        <v>0</v>
      </c>
      <c r="AJ212" s="149" t="n">
        <f aca="false">SUM(reservaoutrosconsolidadoout[[#This Row],[1]:[31]])</f>
        <v>0</v>
      </c>
      <c r="AK212" s="165"/>
    </row>
    <row r="213" customFormat="false" ht="19.5" hidden="false" customHeight="true" outlineLevel="0" collapsed="false">
      <c r="B213" s="143"/>
      <c r="C213" s="144" t="str">
        <f aca="false">DADOS!$AP$10</f>
        <v>📎 OUTROS</v>
      </c>
      <c r="D213" s="145" t="str">
        <f aca="false">IF(reservaoutrosconsolidadoout[[#This Row],[TOTAL (R$)]]=0,"",IF(OR(reservaoutrosconsolidadoout[[#This Row],[TOTAL (R$)]]=LARGE($AJ$206:$AJ$213,1),reservaoutrosconsolidadoout[[#This Row],[TOTAL (R$)]]=LARGE($AJ$206:$AJ$213,2)),DADOS!$I$11,""))</f>
        <v/>
      </c>
      <c r="E213" s="148" t="n">
        <f aca="false">SUMIFS(tabela_registros[VALOR],tabela_registros[MÊS],$AE$1,tabela_registros[DIA],reservaoutrosconsolidadoout[[#Headers],[1]],tabela_registros[REGISTRO],DADOS!$N$6,tabela_registros[TIPO],DADOS!$AJ$5,tabela_registros[CATEGORIA],reservaoutrosconsolidadoout[[#This Row],[ATUAL]])</f>
        <v>0</v>
      </c>
      <c r="F213" s="119" t="n">
        <f aca="false">SUMIFS(tabela_registros[VALOR],tabela_registros[MÊS],$AE$1,tabela_registros[DIA],reservaoutrosconsolidadoout[[#Headers],[2]],tabela_registros[REGISTRO],DADOS!$N$6,tabela_registros[TIPO],DADOS!$AJ$5,tabela_registros[CATEGORIA],reservaoutrosconsolidadoout[[#This Row],[ATUAL]])</f>
        <v>0</v>
      </c>
      <c r="G213" s="119" t="n">
        <f aca="false">SUMIFS(tabela_registros[VALOR],tabela_registros[MÊS],$AE$1,tabela_registros[DIA],reservaoutrosconsolidadoout[[#Headers],[3]],tabela_registros[REGISTRO],DADOS!$N$6,tabela_registros[TIPO],DADOS!$AJ$5,tabela_registros[CATEGORIA],reservaoutrosconsolidadoout[[#This Row],[ATUAL]])</f>
        <v>0</v>
      </c>
      <c r="H213" s="119" t="n">
        <f aca="false">SUMIFS(tabela_registros[VALOR],tabela_registros[MÊS],$AE$1,tabela_registros[DIA],reservaoutrosconsolidadoout[[#Headers],[4]],tabela_registros[REGISTRO],DADOS!$N$6,tabela_registros[TIPO],DADOS!$AJ$5,tabela_registros[CATEGORIA],reservaoutrosconsolidadoout[[#This Row],[ATUAL]])</f>
        <v>0</v>
      </c>
      <c r="I213" s="119" t="n">
        <f aca="false">SUMIFS(tabela_registros[VALOR],tabela_registros[MÊS],$AE$1,tabela_registros[DIA],reservaoutrosconsolidadoout[[#Headers],[5]],tabela_registros[REGISTRO],DADOS!$N$6,tabela_registros[TIPO],DADOS!$AJ$5,tabela_registros[CATEGORIA],reservaoutrosconsolidadoout[[#This Row],[ATUAL]])</f>
        <v>0</v>
      </c>
      <c r="J213" s="119" t="n">
        <f aca="false">SUMIFS(tabela_registros[VALOR],tabela_registros[MÊS],$AE$1,tabela_registros[DIA],reservaoutrosconsolidadoout[[#Headers],[6]],tabela_registros[REGISTRO],DADOS!$N$6,tabela_registros[TIPO],DADOS!$AJ$5,tabela_registros[CATEGORIA],reservaoutrosconsolidadoout[[#This Row],[ATUAL]])</f>
        <v>0</v>
      </c>
      <c r="K213" s="119" t="n">
        <f aca="false">SUMIFS(tabela_registros[VALOR],tabela_registros[MÊS],$AE$1,tabela_registros[DIA],reservaoutrosconsolidadoout[[#Headers],[7]],tabela_registros[REGISTRO],DADOS!$N$6,tabela_registros[TIPO],DADOS!$AJ$5,tabela_registros[CATEGORIA],reservaoutrosconsolidadoout[[#This Row],[ATUAL]])</f>
        <v>0</v>
      </c>
      <c r="L213" s="119" t="n">
        <f aca="false">SUMIFS(tabela_registros[VALOR],tabela_registros[MÊS],$AE$1,tabela_registros[DIA],reservaoutrosconsolidadoout[[#Headers],[8]],tabela_registros[REGISTRO],DADOS!$N$6,tabela_registros[TIPO],DADOS!$AJ$5,tabela_registros[CATEGORIA],reservaoutrosconsolidadoout[[#This Row],[ATUAL]])</f>
        <v>0</v>
      </c>
      <c r="M213" s="119" t="n">
        <f aca="false">SUMIFS(tabela_registros[VALOR],tabela_registros[MÊS],$AE$1,tabela_registros[DIA],reservaoutrosconsolidadoout[[#Headers],[9]],tabela_registros[REGISTRO],DADOS!$N$6,tabela_registros[TIPO],DADOS!$AJ$5,tabela_registros[CATEGORIA],reservaoutrosconsolidadoout[[#This Row],[ATUAL]])</f>
        <v>0</v>
      </c>
      <c r="N213" s="119" t="n">
        <f aca="false">SUMIFS(tabela_registros[VALOR],tabela_registros[MÊS],$AE$1,tabela_registros[DIA],reservaoutrosconsolidadoout[[#Headers],[10]],tabela_registros[REGISTRO],DADOS!$N$6,tabela_registros[TIPO],DADOS!$AJ$5,tabela_registros[CATEGORIA],reservaoutrosconsolidadoout[[#This Row],[ATUAL]])</f>
        <v>0</v>
      </c>
      <c r="O213" s="119" t="n">
        <f aca="false">SUMIFS(tabela_registros[VALOR],tabela_registros[MÊS],$AE$1,tabela_registros[DIA],reservaoutrosconsolidadoout[[#Headers],[11]],tabela_registros[REGISTRO],DADOS!$N$6,tabela_registros[TIPO],DADOS!$AJ$5,tabela_registros[CATEGORIA],reservaoutrosconsolidadoout[[#This Row],[ATUAL]])</f>
        <v>0</v>
      </c>
      <c r="P213" s="119" t="n">
        <f aca="false">SUMIFS(tabela_registros[VALOR],tabela_registros[MÊS],$AE$1,tabela_registros[DIA],reservaoutrosconsolidadoout[[#Headers],[12]],tabela_registros[REGISTRO],DADOS!$N$6,tabela_registros[TIPO],DADOS!$AJ$5,tabela_registros[CATEGORIA],reservaoutrosconsolidadoout[[#This Row],[ATUAL]])</f>
        <v>0</v>
      </c>
      <c r="Q213" s="119" t="n">
        <f aca="false">SUMIFS(tabela_registros[VALOR],tabela_registros[MÊS],$AE$1,tabela_registros[DIA],reservaoutrosconsolidadoout[[#Headers],[13]],tabela_registros[REGISTRO],DADOS!$N$6,tabela_registros[TIPO],DADOS!$AJ$5,tabela_registros[CATEGORIA],reservaoutrosconsolidadoout[[#This Row],[ATUAL]])</f>
        <v>0</v>
      </c>
      <c r="R213" s="119" t="n">
        <f aca="false">SUMIFS(tabela_registros[VALOR],tabela_registros[MÊS],$AE$1,tabela_registros[DIA],reservaoutrosconsolidadoout[[#Headers],[14]],tabela_registros[REGISTRO],DADOS!$N$6,tabela_registros[TIPO],DADOS!$AJ$5,tabela_registros[CATEGORIA],reservaoutrosconsolidadoout[[#This Row],[ATUAL]])</f>
        <v>0</v>
      </c>
      <c r="S213" s="119" t="n">
        <f aca="false">SUMIFS(tabela_registros[VALOR],tabela_registros[MÊS],$AE$1,tabela_registros[DIA],reservaoutrosconsolidadoout[[#Headers],[15]],tabela_registros[REGISTRO],DADOS!$N$6,tabela_registros[TIPO],DADOS!$AJ$5,tabela_registros[CATEGORIA],reservaoutrosconsolidadoout[[#This Row],[ATUAL]])</f>
        <v>0</v>
      </c>
      <c r="T213" s="119" t="n">
        <f aca="false">SUMIFS(tabela_registros[VALOR],tabela_registros[MÊS],$AE$1,tabela_registros[DIA],reservaoutrosconsolidadoout[[#Headers],[16]],tabela_registros[REGISTRO],DADOS!$N$6,tabela_registros[TIPO],DADOS!$AJ$5,tabela_registros[CATEGORIA],reservaoutrosconsolidadoout[[#This Row],[ATUAL]])</f>
        <v>0</v>
      </c>
      <c r="U213" s="119" t="n">
        <f aca="false">SUMIFS(tabela_registros[VALOR],tabela_registros[MÊS],$AE$1,tabela_registros[DIA],reservaoutrosconsolidadoout[[#Headers],[17]],tabela_registros[REGISTRO],DADOS!$N$6,tabela_registros[TIPO],DADOS!$AJ$5,tabela_registros[CATEGORIA],reservaoutrosconsolidadoout[[#This Row],[ATUAL]])</f>
        <v>0</v>
      </c>
      <c r="V213" s="119" t="n">
        <f aca="false">SUMIFS(tabela_registros[VALOR],tabela_registros[MÊS],$AE$1,tabela_registros[DIA],reservaoutrosconsolidadoout[[#Headers],[18]],tabela_registros[REGISTRO],DADOS!$N$6,tabela_registros[TIPO],DADOS!$AJ$5,tabela_registros[CATEGORIA],reservaoutrosconsolidadoout[[#This Row],[ATUAL]])</f>
        <v>0</v>
      </c>
      <c r="W213" s="119" t="n">
        <f aca="false">SUMIFS(tabela_registros[VALOR],tabela_registros[MÊS],$AE$1,tabela_registros[DIA],reservaoutrosconsolidadoout[[#Headers],[19]],tabela_registros[REGISTRO],DADOS!$N$6,tabela_registros[TIPO],DADOS!$AJ$5,tabela_registros[CATEGORIA],reservaoutrosconsolidadoout[[#This Row],[ATUAL]])</f>
        <v>0</v>
      </c>
      <c r="X213" s="119" t="n">
        <f aca="false">SUMIFS(tabela_registros[VALOR],tabela_registros[MÊS],$AE$1,tabela_registros[DIA],reservaoutrosconsolidadoout[[#Headers],[20]],tabela_registros[REGISTRO],DADOS!$N$6,tabela_registros[TIPO],DADOS!$AJ$5,tabela_registros[CATEGORIA],reservaoutrosconsolidadoout[[#This Row],[ATUAL]])</f>
        <v>0</v>
      </c>
      <c r="Y213" s="119" t="n">
        <f aca="false">SUMIFS(tabela_registros[VALOR],tabela_registros[MÊS],$AE$1,tabela_registros[DIA],reservaoutrosconsolidadoout[[#Headers],[21]],tabela_registros[REGISTRO],DADOS!$N$6,tabela_registros[TIPO],DADOS!$AJ$5,tabela_registros[CATEGORIA],reservaoutrosconsolidadoout[[#This Row],[ATUAL]])</f>
        <v>0</v>
      </c>
      <c r="Z213" s="119" t="n">
        <f aca="false">SUMIFS(tabela_registros[VALOR],tabela_registros[MÊS],$AE$1,tabela_registros[DIA],reservaoutrosconsolidadoout[[#Headers],[22]],tabela_registros[REGISTRO],DADOS!$N$6,tabela_registros[TIPO],DADOS!$AJ$5,tabela_registros[CATEGORIA],reservaoutrosconsolidadoout[[#This Row],[ATUAL]])</f>
        <v>0</v>
      </c>
      <c r="AA213" s="119" t="n">
        <f aca="false">SUMIFS(tabela_registros[VALOR],tabela_registros[MÊS],$AE$1,tabela_registros[DIA],reservaoutrosconsolidadoout[[#Headers],[23]],tabela_registros[REGISTRO],DADOS!$N$6,tabela_registros[TIPO],DADOS!$AJ$5,tabela_registros[CATEGORIA],reservaoutrosconsolidadoout[[#This Row],[ATUAL]])</f>
        <v>0</v>
      </c>
      <c r="AB213" s="119" t="n">
        <f aca="false">SUMIFS(tabela_registros[VALOR],tabela_registros[MÊS],$AE$1,tabela_registros[DIA],reservaoutrosconsolidadoout[[#Headers],[24]],tabela_registros[REGISTRO],DADOS!$N$6,tabela_registros[TIPO],DADOS!$AJ$5,tabela_registros[CATEGORIA],reservaoutrosconsolidadoout[[#This Row],[ATUAL]])</f>
        <v>0</v>
      </c>
      <c r="AC213" s="119" t="n">
        <f aca="false">SUMIFS(tabela_registros[VALOR],tabela_registros[MÊS],$AE$1,tabela_registros[DIA],reservaoutrosconsolidadoout[[#Headers],[25]],tabela_registros[REGISTRO],DADOS!$N$6,tabela_registros[TIPO],DADOS!$AJ$5,tabela_registros[CATEGORIA],reservaoutrosconsolidadoout[[#This Row],[ATUAL]])</f>
        <v>0</v>
      </c>
      <c r="AD213" s="119" t="n">
        <f aca="false">SUMIFS(tabela_registros[VALOR],tabela_registros[MÊS],$AE$1,tabela_registros[DIA],reservaoutrosconsolidadoout[[#Headers],[26]],tabela_registros[REGISTRO],DADOS!$N$6,tabela_registros[TIPO],DADOS!$AJ$5,tabela_registros[CATEGORIA],reservaoutrosconsolidadoout[[#This Row],[ATUAL]])</f>
        <v>0</v>
      </c>
      <c r="AE213" s="119" t="n">
        <f aca="false">SUMIFS(tabela_registros[VALOR],tabela_registros[MÊS],$AE$1,tabela_registros[DIA],reservaoutrosconsolidadoout[[#Headers],[27]],tabela_registros[REGISTRO],DADOS!$N$6,tabela_registros[TIPO],DADOS!$AJ$5,tabela_registros[CATEGORIA],reservaoutrosconsolidadoout[[#This Row],[ATUAL]])</f>
        <v>0</v>
      </c>
      <c r="AF213" s="119" t="n">
        <f aca="false">SUMIFS(tabela_registros[VALOR],tabela_registros[MÊS],$AE$1,tabela_registros[DIA],reservaoutrosconsolidadoout[[#Headers],[28]],tabela_registros[REGISTRO],DADOS!$N$6,tabela_registros[TIPO],DADOS!$AJ$5,tabela_registros[CATEGORIA],reservaoutrosconsolidadoout[[#This Row],[ATUAL]])</f>
        <v>0</v>
      </c>
      <c r="AG213" s="119" t="n">
        <f aca="false">SUMIFS(tabela_registros[VALOR],tabela_registros[MÊS],$AE$1,tabela_registros[DIA],reservaoutrosconsolidadoout[[#Headers],[29]],tabela_registros[REGISTRO],DADOS!$N$6,tabela_registros[TIPO],DADOS!$AJ$5,tabela_registros[CATEGORIA],reservaoutrosconsolidadoout[[#This Row],[ATUAL]])</f>
        <v>0</v>
      </c>
      <c r="AH213" s="119" t="n">
        <f aca="false">SUMIFS(tabela_registros[VALOR],tabela_registros[MÊS],$AE$1,tabela_registros[DIA],reservaoutrosconsolidadoout[[#Headers],[30]],tabela_registros[REGISTRO],DADOS!$N$6,tabela_registros[TIPO],DADOS!$AJ$5,tabela_registros[CATEGORIA],reservaoutrosconsolidadoout[[#This Row],[ATUAL]])</f>
        <v>0</v>
      </c>
      <c r="AI213" s="218" t="n">
        <f aca="false">SUMIFS(tabela_registros[VALOR],tabela_registros[MÊS],$AE$1,tabela_registros[DIA],reservaoutrosconsolidadoout[[#Headers],[31]],tabela_registros[REGISTRO],DADOS!$N$6,tabela_registros[TIPO],DADOS!$AJ$5,tabela_registros[CATEGORIA],reservaoutrosconsolidadoout[[#This Row],[ATUAL]])</f>
        <v>0</v>
      </c>
      <c r="AJ213" s="219" t="n">
        <f aca="false">SUM(reservaoutrosconsolidadoout[[#This Row],[1]:[31]])</f>
        <v>0</v>
      </c>
      <c r="AK213" s="165"/>
    </row>
    <row r="214" s="122" customFormat="true" ht="21" hidden="false" customHeight="true" outlineLevel="0" collapsed="false">
      <c r="B214" s="152"/>
      <c r="C214" s="153" t="s">
        <v>2</v>
      </c>
      <c r="D214" s="166"/>
      <c r="E214" s="155" t="n">
        <f aca="false">SUM(E206:E213)</f>
        <v>0</v>
      </c>
      <c r="F214" s="156" t="n">
        <f aca="false">SUM(F206:F213)+reservaoutrosconsolidadoout[[#This Row],[1]]</f>
        <v>0</v>
      </c>
      <c r="G214" s="156" t="n">
        <f aca="false">SUM(G206:G213)+reservaoutrosconsolidadoout[[#This Row],[2]]</f>
        <v>0</v>
      </c>
      <c r="H214" s="156" t="n">
        <f aca="false">SUM(H206:H213)+reservaoutrosconsolidadoout[[#This Row],[3]]</f>
        <v>0</v>
      </c>
      <c r="I214" s="156" t="n">
        <f aca="false">SUM(I206:I213)+reservaoutrosconsolidadoout[[#This Row],[4]]</f>
        <v>0</v>
      </c>
      <c r="J214" s="156" t="n">
        <f aca="false">SUM(J206:J213)+reservaoutrosconsolidadoout[[#This Row],[5]]</f>
        <v>0</v>
      </c>
      <c r="K214" s="156" t="n">
        <f aca="false">SUM(K206:K213)+reservaoutrosconsolidadoout[[#This Row],[6]]</f>
        <v>0</v>
      </c>
      <c r="L214" s="156" t="n">
        <f aca="false">SUM(L206:L213)+reservaoutrosconsolidadoout[[#This Row],[7]]</f>
        <v>0</v>
      </c>
      <c r="M214" s="156" t="n">
        <f aca="false">SUM(M206:M213)+reservaoutrosconsolidadoout[[#This Row],[8]]</f>
        <v>0</v>
      </c>
      <c r="N214" s="156" t="n">
        <f aca="false">SUM(N206:N213)+reservaoutrosconsolidadoout[[#This Row],[9]]</f>
        <v>0</v>
      </c>
      <c r="O214" s="156" t="n">
        <f aca="false">SUM(O206:O213)+reservaoutrosconsolidadoout[[#This Row],[10]]</f>
        <v>0</v>
      </c>
      <c r="P214" s="156" t="n">
        <f aca="false">SUM(P206:P213)+reservaoutrosconsolidadoout[[#This Row],[11]]</f>
        <v>0</v>
      </c>
      <c r="Q214" s="156" t="n">
        <f aca="false">SUM(Q206:Q213)+reservaoutrosconsolidadoout[[#This Row],[12]]</f>
        <v>0</v>
      </c>
      <c r="R214" s="156" t="n">
        <f aca="false">SUM(R206:R213)+reservaoutrosconsolidadoout[[#This Row],[13]]</f>
        <v>0</v>
      </c>
      <c r="S214" s="156" t="n">
        <f aca="false">SUM(S206:S213)+reservaoutrosconsolidadoout[[#This Row],[14]]</f>
        <v>0</v>
      </c>
      <c r="T214" s="156" t="n">
        <f aca="false">SUM(T206:T213)+reservaoutrosconsolidadoout[[#This Row],[15]]</f>
        <v>0</v>
      </c>
      <c r="U214" s="156" t="n">
        <f aca="false">SUM(U206:U213)+reservaoutrosconsolidadoout[[#This Row],[16]]</f>
        <v>0</v>
      </c>
      <c r="V214" s="156" t="n">
        <f aca="false">SUM(V206:V213)+reservaoutrosconsolidadoout[[#This Row],[17]]</f>
        <v>0</v>
      </c>
      <c r="W214" s="156" t="n">
        <f aca="false">SUM(W206:W213)+reservaoutrosconsolidadoout[[#This Row],[18]]</f>
        <v>0</v>
      </c>
      <c r="X214" s="156" t="n">
        <f aca="false">SUM(X206:X213)+reservaoutrosconsolidadoout[[#This Row],[19]]</f>
        <v>0</v>
      </c>
      <c r="Y214" s="156" t="n">
        <f aca="false">SUM(Y206:Y213)+reservaoutrosconsolidadoout[[#This Row],[20]]</f>
        <v>0</v>
      </c>
      <c r="Z214" s="156" t="n">
        <f aca="false">SUM(Z206:Z213)+reservaoutrosconsolidadoout[[#This Row],[21]]</f>
        <v>0</v>
      </c>
      <c r="AA214" s="156" t="n">
        <f aca="false">SUM(AA206:AA213)+reservaoutrosconsolidadoout[[#This Row],[22]]</f>
        <v>0</v>
      </c>
      <c r="AB214" s="156" t="n">
        <f aca="false">SUM(AB206:AB213)+reservaoutrosconsolidadoout[[#This Row],[23]]</f>
        <v>0</v>
      </c>
      <c r="AC214" s="156" t="n">
        <f aca="false">SUM(AC206:AC213)+reservaoutrosconsolidadoout[[#This Row],[24]]</f>
        <v>0</v>
      </c>
      <c r="AD214" s="156" t="n">
        <f aca="false">SUM(AD206:AD213)+reservaoutrosconsolidadoout[[#This Row],[25]]</f>
        <v>0</v>
      </c>
      <c r="AE214" s="156" t="n">
        <f aca="false">SUM(AE206:AE213)+reservaoutrosconsolidadoout[[#This Row],[26]]</f>
        <v>0</v>
      </c>
      <c r="AF214" s="156" t="n">
        <f aca="false">SUM(AF206:AF213)+reservaoutrosconsolidadoout[[#This Row],[27]]</f>
        <v>0</v>
      </c>
      <c r="AG214" s="156" t="n">
        <f aca="false">SUM(AG206:AG213)+reservaoutrosconsolidadoout[[#This Row],[28]]</f>
        <v>0</v>
      </c>
      <c r="AH214" s="156" t="n">
        <f aca="false">SUM(AH206:AH213)+reservaoutrosconsolidadoout[[#This Row],[29]]</f>
        <v>0</v>
      </c>
      <c r="AI214" s="223" t="n">
        <f aca="false">SUM(AI206:AI213)+reservaoutrosconsolidadoout[[#This Row],[30]]</f>
        <v>0</v>
      </c>
      <c r="AJ214" s="157" t="n">
        <f aca="false">reservaoutrosconsolidadoout[[#This Row],[31]]</f>
        <v>0</v>
      </c>
      <c r="AK214" s="158"/>
    </row>
    <row r="215" customFormat="false" ht="6.75" hidden="false" customHeight="true" outlineLevel="0" collapsed="false">
      <c r="B215" s="97"/>
      <c r="C215" s="162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233"/>
      <c r="AJ215" s="164"/>
      <c r="AK215" s="244"/>
    </row>
    <row r="216" customFormat="false" ht="12.75" hidden="false" customHeight="false" outlineLevel="0" collapsed="false"/>
    <row r="217" customFormat="false" ht="12" hidden="false" customHeight="false" outlineLevel="0" collapsed="false"/>
  </sheetData>
  <sheetProtection algorithmName="SHA-512" hashValue="YFRmPXu5Pyg+m+53I4ZMb6RhVDbZvk6+epi1qRMQKinVy2Vz68oAawh8lERZJdghXT1DmmODikhXeTh7D6prhQ==" saltValue="IaXXqWpOBdSgF9KpX6OVmA==" spinCount="100000" sheet="true" objects="true" scenarios="true" selectLockedCells="true" selectUnlockedCells="true"/>
  <mergeCells count="26">
    <mergeCell ref="C2:C6"/>
    <mergeCell ref="E3:G3"/>
    <mergeCell ref="I3:K3"/>
    <mergeCell ref="M3:O3"/>
    <mergeCell ref="Q3:S3"/>
    <mergeCell ref="U3:W3"/>
    <mergeCell ref="Z3:AA4"/>
    <mergeCell ref="AC3:AD4"/>
    <mergeCell ref="AF3:AG4"/>
    <mergeCell ref="E4:G4"/>
    <mergeCell ref="I4:K4"/>
    <mergeCell ref="M4:O4"/>
    <mergeCell ref="Q4:S4"/>
    <mergeCell ref="U4:W4"/>
    <mergeCell ref="E10:AI10"/>
    <mergeCell ref="E21:AI21"/>
    <mergeCell ref="E33:AI33"/>
    <mergeCell ref="E56:AI56"/>
    <mergeCell ref="E78:AI78"/>
    <mergeCell ref="E92:AI92"/>
    <mergeCell ref="E109:AI109"/>
    <mergeCell ref="E128:AI128"/>
    <mergeCell ref="E147:AI147"/>
    <mergeCell ref="E164:AI164"/>
    <mergeCell ref="E183:AI183"/>
    <mergeCell ref="E202:AI202"/>
  </mergeCells>
  <hyperlinks>
    <hyperlink ref="Z3" location="'🔒'!A1" display="REGISTROS"/>
    <hyperlink ref="AC3" location="'📈'!A1" display="RADAR"/>
    <hyperlink ref="AF3" location="ANUAL!A1" display="ANUA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17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24" activeCellId="0" sqref="D24"/>
    </sheetView>
  </sheetViews>
  <sheetFormatPr defaultColWidth="2.1484375" defaultRowHeight="12" zeroHeight="true" outlineLevelRow="0" outlineLevelCol="0"/>
  <cols>
    <col collapsed="false" customWidth="false" hidden="false" outlineLevel="0" max="1" min="1" style="78" width="2.14"/>
    <col collapsed="false" customWidth="true" hidden="false" outlineLevel="0" max="2" min="2" style="78" width="1.58"/>
    <col collapsed="false" customWidth="true" hidden="false" outlineLevel="0" max="3" min="3" style="78" width="29.29"/>
    <col collapsed="false" customWidth="true" hidden="false" outlineLevel="0" max="4" min="4" style="78" width="4.71"/>
    <col collapsed="false" customWidth="true" hidden="false" outlineLevel="0" max="34" min="5" style="78" width="5.57"/>
    <col collapsed="false" customWidth="true" hidden="true" outlineLevel="0" max="35" min="35" style="167" width="5.57"/>
    <col collapsed="false" customWidth="true" hidden="false" outlineLevel="0" max="36" min="36" style="78" width="9.58"/>
    <col collapsed="false" customWidth="true" hidden="false" outlineLevel="0" max="37" min="37" style="78" width="1.58"/>
    <col collapsed="false" customWidth="true" hidden="false" outlineLevel="0" max="38" min="38" style="78" width="2"/>
    <col collapsed="false" customWidth="false" hidden="true" outlineLevel="0" max="1024" min="39" style="78" width="2.14"/>
  </cols>
  <sheetData>
    <row r="1" customFormat="false" ht="29.25" hidden="true" customHeight="true" outlineLevel="0" collapsed="false">
      <c r="A1" s="81"/>
      <c r="B1" s="81"/>
      <c r="C1" s="81"/>
      <c r="D1" s="82"/>
      <c r="AD1" s="78" t="s">
        <v>19</v>
      </c>
      <c r="AE1" s="168" t="n">
        <v>11</v>
      </c>
      <c r="AH1" s="78" t="s">
        <v>42</v>
      </c>
      <c r="AI1" s="169" t="n">
        <f aca="false">IF('⚙️'!$Q$3=$AE$1,'⚙️'!$F$13,0)</f>
        <v>0</v>
      </c>
      <c r="AK1" s="169"/>
    </row>
    <row r="2" customFormat="false" ht="15.75" hidden="false" customHeight="true" outlineLevel="0" collapsed="false">
      <c r="A2" s="84"/>
      <c r="B2" s="84"/>
      <c r="C2" s="85" t="s">
        <v>109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7"/>
      <c r="U2" s="87"/>
      <c r="V2" s="87"/>
      <c r="W2" s="87"/>
      <c r="X2" s="87"/>
      <c r="Y2" s="87"/>
      <c r="Z2" s="87"/>
      <c r="AA2" s="87"/>
      <c r="AB2" s="87"/>
      <c r="AC2" s="238"/>
      <c r="AD2" s="239"/>
      <c r="AE2" s="239"/>
      <c r="AF2" s="239"/>
      <c r="AG2" s="239"/>
      <c r="AH2" s="239"/>
      <c r="AI2" s="239"/>
      <c r="AJ2" s="239"/>
      <c r="AK2" s="239"/>
      <c r="AL2" s="239"/>
    </row>
    <row r="3" s="180" customFormat="true" ht="18" hidden="false" customHeight="true" outlineLevel="0" collapsed="false">
      <c r="A3" s="89"/>
      <c r="B3" s="89"/>
      <c r="C3" s="85"/>
      <c r="D3" s="86"/>
      <c r="E3" s="90" t="s">
        <v>45</v>
      </c>
      <c r="F3" s="90"/>
      <c r="G3" s="90"/>
      <c r="H3" s="87"/>
      <c r="I3" s="90" t="s">
        <v>46</v>
      </c>
      <c r="J3" s="90"/>
      <c r="K3" s="90"/>
      <c r="L3" s="87"/>
      <c r="M3" s="90" t="s">
        <v>47</v>
      </c>
      <c r="N3" s="90"/>
      <c r="O3" s="90"/>
      <c r="P3" s="87"/>
      <c r="Q3" s="90" t="s">
        <v>48</v>
      </c>
      <c r="R3" s="90"/>
      <c r="S3" s="90"/>
      <c r="T3" s="87"/>
      <c r="U3" s="90" t="s">
        <v>49</v>
      </c>
      <c r="V3" s="90"/>
      <c r="W3" s="90"/>
      <c r="X3" s="87"/>
      <c r="Y3" s="87"/>
      <c r="Z3" s="178" t="s">
        <v>50</v>
      </c>
      <c r="AA3" s="178"/>
      <c r="AB3" s="239"/>
      <c r="AC3" s="178" t="s">
        <v>51</v>
      </c>
      <c r="AD3" s="178"/>
      <c r="AE3" s="239"/>
      <c r="AF3" s="178" t="s">
        <v>17</v>
      </c>
      <c r="AG3" s="178"/>
      <c r="AH3" s="240"/>
      <c r="AI3" s="240"/>
      <c r="AJ3" s="240"/>
      <c r="AK3" s="239"/>
      <c r="AL3" s="239"/>
    </row>
    <row r="4" s="180" customFormat="true" ht="18" hidden="false" customHeight="true" outlineLevel="0" collapsed="false">
      <c r="A4" s="89"/>
      <c r="B4" s="89"/>
      <c r="C4" s="85"/>
      <c r="D4" s="86"/>
      <c r="E4" s="94" t="n">
        <f aca="false">$AJ$16</f>
        <v>0</v>
      </c>
      <c r="F4" s="94"/>
      <c r="G4" s="94"/>
      <c r="H4" s="87"/>
      <c r="I4" s="94" t="n">
        <f aca="false">$AJ$14</f>
        <v>0</v>
      </c>
      <c r="J4" s="94"/>
      <c r="K4" s="94"/>
      <c r="L4" s="87"/>
      <c r="M4" s="94" t="n">
        <f aca="false">$AJ$15</f>
        <v>0</v>
      </c>
      <c r="N4" s="94"/>
      <c r="O4" s="94"/>
      <c r="P4" s="87"/>
      <c r="Q4" s="94" t="n">
        <f aca="false">$AJ$25</f>
        <v>0</v>
      </c>
      <c r="R4" s="94"/>
      <c r="S4" s="94"/>
      <c r="T4" s="87"/>
      <c r="U4" s="94" t="n">
        <f aca="false">$AJ$26</f>
        <v>0</v>
      </c>
      <c r="V4" s="94"/>
      <c r="W4" s="94"/>
      <c r="X4" s="87"/>
      <c r="Y4" s="87"/>
      <c r="Z4" s="178"/>
      <c r="AA4" s="178"/>
      <c r="AB4" s="239"/>
      <c r="AC4" s="178"/>
      <c r="AD4" s="178"/>
      <c r="AE4" s="239"/>
      <c r="AF4" s="178"/>
      <c r="AG4" s="178"/>
      <c r="AH4" s="240"/>
      <c r="AI4" s="240" t="s">
        <v>54</v>
      </c>
      <c r="AJ4" s="240"/>
      <c r="AK4" s="239"/>
      <c r="AL4" s="239"/>
    </row>
    <row r="5" customFormat="false" ht="11.25" hidden="false" customHeight="true" outlineLevel="0" collapsed="false">
      <c r="A5" s="89"/>
      <c r="B5" s="89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7"/>
      <c r="Y5" s="86"/>
      <c r="Z5" s="86"/>
      <c r="AA5" s="87"/>
      <c r="AB5" s="87"/>
      <c r="AC5" s="241"/>
      <c r="AD5" s="242"/>
      <c r="AE5" s="242"/>
      <c r="AF5" s="242"/>
      <c r="AG5" s="242"/>
      <c r="AH5" s="242"/>
      <c r="AI5" s="242"/>
      <c r="AJ5" s="239"/>
      <c r="AK5" s="239"/>
      <c r="AL5" s="239"/>
    </row>
    <row r="6" customFormat="false" ht="13.5" hidden="false" customHeight="true" outlineLevel="0" collapsed="false">
      <c r="A6" s="96"/>
      <c r="B6" s="96"/>
      <c r="C6" s="85"/>
      <c r="D6" s="97"/>
      <c r="E6" s="98" t="s">
        <v>30</v>
      </c>
      <c r="F6" s="98" t="s">
        <v>31</v>
      </c>
      <c r="G6" s="99" t="s">
        <v>32</v>
      </c>
      <c r="H6" s="99" t="s">
        <v>33</v>
      </c>
      <c r="I6" s="99" t="s">
        <v>34</v>
      </c>
      <c r="J6" s="99" t="s">
        <v>35</v>
      </c>
      <c r="K6" s="99" t="s">
        <v>36</v>
      </c>
      <c r="L6" s="99" t="s">
        <v>37</v>
      </c>
      <c r="M6" s="99" t="s">
        <v>38</v>
      </c>
      <c r="N6" s="99" t="s">
        <v>39</v>
      </c>
      <c r="O6" s="99" t="s">
        <v>40</v>
      </c>
      <c r="P6" s="99" t="s">
        <v>41</v>
      </c>
      <c r="Q6" s="99" t="s">
        <v>81</v>
      </c>
      <c r="R6" s="99" t="s">
        <v>82</v>
      </c>
      <c r="S6" s="99" t="s">
        <v>83</v>
      </c>
      <c r="T6" s="99" t="s">
        <v>84</v>
      </c>
      <c r="U6" s="99" t="s">
        <v>85</v>
      </c>
      <c r="V6" s="99" t="s">
        <v>86</v>
      </c>
      <c r="W6" s="99" t="s">
        <v>87</v>
      </c>
      <c r="X6" s="99" t="s">
        <v>88</v>
      </c>
      <c r="Y6" s="99" t="s">
        <v>89</v>
      </c>
      <c r="Z6" s="99" t="s">
        <v>90</v>
      </c>
      <c r="AA6" s="99" t="s">
        <v>91</v>
      </c>
      <c r="AB6" s="99" t="s">
        <v>92</v>
      </c>
      <c r="AC6" s="99" t="s">
        <v>93</v>
      </c>
      <c r="AD6" s="99" t="s">
        <v>94</v>
      </c>
      <c r="AE6" s="99" t="s">
        <v>95</v>
      </c>
      <c r="AF6" s="99" t="s">
        <v>96</v>
      </c>
      <c r="AG6" s="99" t="s">
        <v>97</v>
      </c>
      <c r="AH6" s="99" t="s">
        <v>98</v>
      </c>
      <c r="AI6" s="243" t="s">
        <v>99</v>
      </c>
      <c r="AJ6" s="239"/>
      <c r="AK6" s="239"/>
      <c r="AL6" s="239"/>
    </row>
    <row r="7" s="78" customFormat="true" ht="12.75" hidden="false" customHeight="false" outlineLevel="0" collapsed="false">
      <c r="E7" s="100"/>
    </row>
    <row r="8" s="78" customFormat="true" ht="12" hidden="false" customHeight="false" outlineLevel="0" collapsed="false"/>
    <row r="9" s="78" customFormat="true" ht="12" hidden="false" customHeight="false" outlineLevel="0" collapsed="false"/>
    <row r="10" customFormat="false" ht="39.75" hidden="false" customHeight="true" outlineLevel="0" collapsed="false">
      <c r="C10" s="101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3" t="s">
        <v>2</v>
      </c>
    </row>
    <row r="11" s="78" customFormat="true" ht="12.75" hidden="false" customHeight="false" outlineLevel="0" collapsed="false">
      <c r="AJ11" s="106" t="s">
        <v>64</v>
      </c>
    </row>
    <row r="12" customFormat="false" ht="6.75" hidden="false" customHeight="tru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94"/>
      <c r="AK12" s="107"/>
    </row>
    <row r="13" customFormat="false" ht="13.5" hidden="true" customHeight="false" outlineLevel="0" collapsed="false">
      <c r="B13" s="86"/>
      <c r="C13" s="109" t="s">
        <v>68</v>
      </c>
      <c r="D13" s="110" t="s">
        <v>69</v>
      </c>
      <c r="E13" s="110" t="s">
        <v>30</v>
      </c>
      <c r="F13" s="110" t="s">
        <v>31</v>
      </c>
      <c r="G13" s="110" t="s">
        <v>32</v>
      </c>
      <c r="H13" s="110" t="s">
        <v>33</v>
      </c>
      <c r="I13" s="110" t="s">
        <v>34</v>
      </c>
      <c r="J13" s="110" t="s">
        <v>35</v>
      </c>
      <c r="K13" s="110" t="s">
        <v>36</v>
      </c>
      <c r="L13" s="110" t="s">
        <v>37</v>
      </c>
      <c r="M13" s="110" t="s">
        <v>38</v>
      </c>
      <c r="N13" s="110" t="s">
        <v>39</v>
      </c>
      <c r="O13" s="110" t="s">
        <v>40</v>
      </c>
      <c r="P13" s="110" t="s">
        <v>41</v>
      </c>
      <c r="Q13" s="110" t="s">
        <v>81</v>
      </c>
      <c r="R13" s="110" t="s">
        <v>82</v>
      </c>
      <c r="S13" s="110" t="s">
        <v>83</v>
      </c>
      <c r="T13" s="110" t="s">
        <v>84</v>
      </c>
      <c r="U13" s="110" t="s">
        <v>85</v>
      </c>
      <c r="V13" s="110" t="s">
        <v>86</v>
      </c>
      <c r="W13" s="110" t="s">
        <v>87</v>
      </c>
      <c r="X13" s="110" t="s">
        <v>88</v>
      </c>
      <c r="Y13" s="110" t="s">
        <v>89</v>
      </c>
      <c r="Z13" s="110" t="s">
        <v>90</v>
      </c>
      <c r="AA13" s="110" t="s">
        <v>91</v>
      </c>
      <c r="AB13" s="110" t="s">
        <v>92</v>
      </c>
      <c r="AC13" s="110" t="s">
        <v>93</v>
      </c>
      <c r="AD13" s="110" t="s">
        <v>94</v>
      </c>
      <c r="AE13" s="110" t="s">
        <v>95</v>
      </c>
      <c r="AF13" s="110" t="s">
        <v>96</v>
      </c>
      <c r="AG13" s="110" t="s">
        <v>97</v>
      </c>
      <c r="AH13" s="110" t="s">
        <v>98</v>
      </c>
      <c r="AI13" s="110" t="s">
        <v>99</v>
      </c>
      <c r="AJ13" s="111" t="s">
        <v>70</v>
      </c>
      <c r="AK13" s="107"/>
    </row>
    <row r="14" customFormat="false" ht="19.5" hidden="false" customHeight="true" outlineLevel="0" collapsed="false">
      <c r="B14" s="107"/>
      <c r="C14" s="112" t="s">
        <v>71</v>
      </c>
      <c r="D14" s="113"/>
      <c r="E14" s="114" t="n">
        <f aca="false">SUMIFS(tabela_registros[VALOR],tabela_registros[MÊS],$AE$1,tabela_registros[DIA],novtotal3059718395107119131143155[[#Headers],[1]],tabela_registros[REGISTRO],DADOS!$N$3)</f>
        <v>0</v>
      </c>
      <c r="F14" s="114" t="n">
        <f aca="false">SUMIFS(tabela_registros[VALOR],tabela_registros[MÊS],$AE$1,tabela_registros[DIA],novtotal3059718395107119131143155[[#Headers],[2]],tabela_registros[REGISTRO],DADOS!$N$3)</f>
        <v>0</v>
      </c>
      <c r="G14" s="114" t="n">
        <f aca="false">SUMIFS(tabela_registros[VALOR],tabela_registros[MÊS],$AE$1,tabela_registros[DIA],novtotal3059718395107119131143155[[#Headers],[3]],tabela_registros[REGISTRO],DADOS!$N$3)</f>
        <v>0</v>
      </c>
      <c r="H14" s="114" t="n">
        <f aca="false">SUMIFS(tabela_registros[VALOR],tabela_registros[MÊS],$AE$1,tabela_registros[DIA],novtotal3059718395107119131143155[[#Headers],[4]],tabela_registros[REGISTRO],DADOS!$N$3)</f>
        <v>0</v>
      </c>
      <c r="I14" s="114" t="n">
        <f aca="false">SUMIFS(tabela_registros[VALOR],tabela_registros[MÊS],$AE$1,tabela_registros[DIA],novtotal3059718395107119131143155[[#Headers],[5]],tabela_registros[REGISTRO],DADOS!$N$3)</f>
        <v>0</v>
      </c>
      <c r="J14" s="114" t="n">
        <f aca="false">SUMIFS(tabela_registros[VALOR],tabela_registros[MÊS],$AE$1,tabela_registros[DIA],novtotal3059718395107119131143155[[#Headers],[6]],tabela_registros[REGISTRO],DADOS!$N$3)</f>
        <v>0</v>
      </c>
      <c r="K14" s="114" t="n">
        <f aca="false">SUMIFS(tabela_registros[VALOR],tabela_registros[MÊS],$AE$1,tabela_registros[DIA],novtotal3059718395107119131143155[[#Headers],[7]],tabela_registros[REGISTRO],DADOS!$N$3)</f>
        <v>0</v>
      </c>
      <c r="L14" s="114" t="n">
        <f aca="false">SUMIFS(tabela_registros[VALOR],tabela_registros[MÊS],$AE$1,tabela_registros[DIA],novtotal3059718395107119131143155[[#Headers],[8]],tabela_registros[REGISTRO],DADOS!$N$3)</f>
        <v>0</v>
      </c>
      <c r="M14" s="114" t="n">
        <f aca="false">SUMIFS(tabela_registros[VALOR],tabela_registros[MÊS],$AE$1,tabela_registros[DIA],novtotal3059718395107119131143155[[#Headers],[9]],tabela_registros[REGISTRO],DADOS!$N$3)</f>
        <v>0</v>
      </c>
      <c r="N14" s="114" t="n">
        <f aca="false">SUMIFS(tabela_registros[VALOR],tabela_registros[MÊS],$AE$1,tabela_registros[DIA],novtotal3059718395107119131143155[[#Headers],[10]],tabela_registros[REGISTRO],DADOS!$N$3)</f>
        <v>0</v>
      </c>
      <c r="O14" s="114" t="n">
        <f aca="false">SUMIFS(tabela_registros[VALOR],tabela_registros[MÊS],$AE$1,tabela_registros[DIA],novtotal3059718395107119131143155[[#Headers],[11]],tabela_registros[REGISTRO],DADOS!$N$3)</f>
        <v>0</v>
      </c>
      <c r="P14" s="114" t="n">
        <f aca="false">SUMIFS(tabela_registros[VALOR],tabela_registros[MÊS],$AE$1,tabela_registros[DIA],novtotal3059718395107119131143155[[#Headers],[12]],tabela_registros[REGISTRO],DADOS!$N$3)</f>
        <v>0</v>
      </c>
      <c r="Q14" s="114" t="n">
        <f aca="false">SUMIFS(tabela_registros[VALOR],tabela_registros[MÊS],$AE$1,tabela_registros[DIA],novtotal3059718395107119131143155[[#Headers],[13]],tabela_registros[REGISTRO],DADOS!$N$3)</f>
        <v>0</v>
      </c>
      <c r="R14" s="114" t="n">
        <f aca="false">SUMIFS(tabela_registros[VALOR],tabela_registros[MÊS],$AE$1,tabela_registros[DIA],novtotal3059718395107119131143155[[#Headers],[14]],tabela_registros[REGISTRO],DADOS!$N$3)</f>
        <v>0</v>
      </c>
      <c r="S14" s="114" t="n">
        <f aca="false">SUMIFS(tabela_registros[VALOR],tabela_registros[MÊS],$AE$1,tabela_registros[DIA],novtotal3059718395107119131143155[[#Headers],[15]],tabela_registros[REGISTRO],DADOS!$N$3)</f>
        <v>0</v>
      </c>
      <c r="T14" s="114" t="n">
        <f aca="false">SUMIFS(tabela_registros[VALOR],tabela_registros[MÊS],$AE$1,tabela_registros[DIA],novtotal3059718395107119131143155[[#Headers],[16]],tabela_registros[REGISTRO],DADOS!$N$3)</f>
        <v>0</v>
      </c>
      <c r="U14" s="114" t="n">
        <f aca="false">SUMIFS(tabela_registros[VALOR],tabela_registros[MÊS],$AE$1,tabela_registros[DIA],novtotal3059718395107119131143155[[#Headers],[17]],tabela_registros[REGISTRO],DADOS!$N$3)</f>
        <v>0</v>
      </c>
      <c r="V14" s="114" t="n">
        <f aca="false">SUMIFS(tabela_registros[VALOR],tabela_registros[MÊS],$AE$1,tabela_registros[DIA],novtotal3059718395107119131143155[[#Headers],[18]],tabela_registros[REGISTRO],DADOS!$N$3)</f>
        <v>0</v>
      </c>
      <c r="W14" s="114" t="n">
        <f aca="false">SUMIFS(tabela_registros[VALOR],tabela_registros[MÊS],$AE$1,tabela_registros[DIA],novtotal3059718395107119131143155[[#Headers],[19]],tabela_registros[REGISTRO],DADOS!$N$3)</f>
        <v>0</v>
      </c>
      <c r="X14" s="114" t="n">
        <f aca="false">SUMIFS(tabela_registros[VALOR],tabela_registros[MÊS],$AE$1,tabela_registros[DIA],novtotal3059718395107119131143155[[#Headers],[20]],tabela_registros[REGISTRO],DADOS!$N$3)</f>
        <v>0</v>
      </c>
      <c r="Y14" s="114" t="n">
        <f aca="false">SUMIFS(tabela_registros[VALOR],tabela_registros[MÊS],$AE$1,tabela_registros[DIA],novtotal3059718395107119131143155[[#Headers],[21]],tabela_registros[REGISTRO],DADOS!$N$3)</f>
        <v>0</v>
      </c>
      <c r="Z14" s="114" t="n">
        <f aca="false">SUMIFS(tabela_registros[VALOR],tabela_registros[MÊS],$AE$1,tabela_registros[DIA],novtotal3059718395107119131143155[[#Headers],[22]],tabela_registros[REGISTRO],DADOS!$N$3)</f>
        <v>0</v>
      </c>
      <c r="AA14" s="114" t="n">
        <f aca="false">SUMIFS(tabela_registros[VALOR],tabela_registros[MÊS],$AE$1,tabela_registros[DIA],novtotal3059718395107119131143155[[#Headers],[23]],tabela_registros[REGISTRO],DADOS!$N$3)</f>
        <v>0</v>
      </c>
      <c r="AB14" s="114" t="n">
        <f aca="false">SUMIFS(tabela_registros[VALOR],tabela_registros[MÊS],$AE$1,tabela_registros[DIA],novtotal3059718395107119131143155[[#Headers],[24]],tabela_registros[REGISTRO],DADOS!$N$3)</f>
        <v>0</v>
      </c>
      <c r="AC14" s="114" t="n">
        <f aca="false">SUMIFS(tabela_registros[VALOR],tabela_registros[MÊS],$AE$1,tabela_registros[DIA],novtotal3059718395107119131143155[[#Headers],[25]],tabela_registros[REGISTRO],DADOS!$N$3)</f>
        <v>0</v>
      </c>
      <c r="AD14" s="114" t="n">
        <f aca="false">SUMIFS(tabela_registros[VALOR],tabela_registros[MÊS],$AE$1,tabela_registros[DIA],novtotal3059718395107119131143155[[#Headers],[26]],tabela_registros[REGISTRO],DADOS!$N$3)</f>
        <v>0</v>
      </c>
      <c r="AE14" s="114" t="n">
        <f aca="false">SUMIFS(tabela_registros[VALOR],tabela_registros[MÊS],$AE$1,tabela_registros[DIA],novtotal3059718395107119131143155[[#Headers],[27]],tabela_registros[REGISTRO],DADOS!$N$3)</f>
        <v>0</v>
      </c>
      <c r="AF14" s="114" t="n">
        <f aca="false">SUMIFS(tabela_registros[VALOR],tabela_registros[MÊS],$AE$1,tabela_registros[DIA],novtotal3059718395107119131143155[[#Headers],[28]],tabela_registros[REGISTRO],DADOS!$N$3)</f>
        <v>0</v>
      </c>
      <c r="AG14" s="114" t="n">
        <f aca="false">SUMIFS(tabela_registros[VALOR],tabela_registros[MÊS],$AE$1,tabela_registros[DIA],novtotal3059718395107119131143155[[#Headers],[29]],tabela_registros[REGISTRO],DADOS!$N$3)</f>
        <v>0</v>
      </c>
      <c r="AH14" s="115" t="n">
        <f aca="false">SUMIFS(tabela_registros[VALOR],tabela_registros[MÊS],$AE$1,tabela_registros[DIA],novtotal3059718395107119131143155[[#Headers],[30]],tabela_registros[REGISTRO],DADOS!$N$3)</f>
        <v>0</v>
      </c>
      <c r="AI14" s="116" t="n">
        <f aca="false">SUMIFS(tabela_registros[VALOR],tabela_registros[MÊS],$AE$1,tabela_registros[DIA],novtotal3059718395107119131143155[[#Headers],[31]],tabela_registros[REGISTRO],DADOS!$N$3)</f>
        <v>0</v>
      </c>
      <c r="AJ14" s="115" t="n">
        <f aca="false">SUM(novtotal3059718395107119131143155[[#This Row],[1]:[31]])</f>
        <v>0</v>
      </c>
      <c r="AK14" s="107"/>
    </row>
    <row r="15" customFormat="false" ht="18" hidden="false" customHeight="true" outlineLevel="0" collapsed="false">
      <c r="B15" s="107"/>
      <c r="C15" s="112" t="s">
        <v>72</v>
      </c>
      <c r="D15" s="113"/>
      <c r="E15" s="119" t="n">
        <f aca="false">SUMIFS(tabela_registros[VALOR],tabela_registros[MÊS],$AE$1,tabela_registros[DIA],novtotal3059718395107119131143155[[#Headers],[1]],tabela_registros[REGISTRO],DADOS!$N$4)</f>
        <v>0</v>
      </c>
      <c r="F15" s="119" t="n">
        <f aca="false">SUMIFS(tabela_registros[VALOR],tabela_registros[MÊS],$AE$1,tabela_registros[DIA],novtotal3059718395107119131143155[[#Headers],[2]],tabela_registros[REGISTRO],DADOS!$N$4)</f>
        <v>0</v>
      </c>
      <c r="G15" s="119" t="n">
        <f aca="false">SUMIFS(tabela_registros[VALOR],tabela_registros[MÊS],$AE$1,tabela_registros[DIA],novtotal3059718395107119131143155[[#Headers],[3]],tabela_registros[REGISTRO],DADOS!$N$4)</f>
        <v>0</v>
      </c>
      <c r="H15" s="119" t="n">
        <f aca="false">SUMIFS(tabela_registros[VALOR],tabela_registros[MÊS],$AE$1,tabela_registros[DIA],novtotal3059718395107119131143155[[#Headers],[4]],tabela_registros[REGISTRO],DADOS!$N$4)</f>
        <v>0</v>
      </c>
      <c r="I15" s="119" t="n">
        <f aca="false">SUMIFS(tabela_registros[VALOR],tabela_registros[MÊS],$AE$1,tabela_registros[DIA],novtotal3059718395107119131143155[[#Headers],[5]],tabela_registros[REGISTRO],DADOS!$N$4)</f>
        <v>0</v>
      </c>
      <c r="J15" s="119" t="n">
        <f aca="false">SUMIFS(tabela_registros[VALOR],tabela_registros[MÊS],$AE$1,tabela_registros[DIA],novtotal3059718395107119131143155[[#Headers],[6]],tabela_registros[REGISTRO],DADOS!$N$4)</f>
        <v>0</v>
      </c>
      <c r="K15" s="119" t="n">
        <f aca="false">SUMIFS(tabela_registros[VALOR],tabela_registros[MÊS],$AE$1,tabela_registros[DIA],novtotal3059718395107119131143155[[#Headers],[7]],tabela_registros[REGISTRO],DADOS!$N$4)</f>
        <v>0</v>
      </c>
      <c r="L15" s="119" t="n">
        <f aca="false">SUMIFS(tabela_registros[VALOR],tabela_registros[MÊS],$AE$1,tabela_registros[DIA],novtotal3059718395107119131143155[[#Headers],[8]],tabela_registros[REGISTRO],DADOS!$N$4)</f>
        <v>0</v>
      </c>
      <c r="M15" s="119" t="n">
        <f aca="false">SUMIFS(tabela_registros[VALOR],tabela_registros[MÊS],$AE$1,tabela_registros[DIA],novtotal3059718395107119131143155[[#Headers],[9]],tabela_registros[REGISTRO],DADOS!$N$4)</f>
        <v>0</v>
      </c>
      <c r="N15" s="119" t="n">
        <f aca="false">SUMIFS(tabela_registros[VALOR],tabela_registros[MÊS],$AE$1,tabela_registros[DIA],novtotal3059718395107119131143155[[#Headers],[10]],tabela_registros[REGISTRO],DADOS!$N$4)</f>
        <v>0</v>
      </c>
      <c r="O15" s="119" t="n">
        <f aca="false">SUMIFS(tabela_registros[VALOR],tabela_registros[MÊS],$AE$1,tabela_registros[DIA],novtotal3059718395107119131143155[[#Headers],[11]],tabela_registros[REGISTRO],DADOS!$N$4)</f>
        <v>0</v>
      </c>
      <c r="P15" s="119" t="n">
        <f aca="false">SUMIFS(tabela_registros[VALOR],tabela_registros[MÊS],$AE$1,tabela_registros[DIA],novtotal3059718395107119131143155[[#Headers],[12]],tabela_registros[REGISTRO],DADOS!$N$4)</f>
        <v>0</v>
      </c>
      <c r="Q15" s="119" t="n">
        <f aca="false">SUMIFS(tabela_registros[VALOR],tabela_registros[MÊS],$AE$1,tabela_registros[DIA],novtotal3059718395107119131143155[[#Headers],[13]],tabela_registros[REGISTRO],DADOS!$N$4)</f>
        <v>0</v>
      </c>
      <c r="R15" s="119" t="n">
        <f aca="false">SUMIFS(tabela_registros[VALOR],tabela_registros[MÊS],$AE$1,tabela_registros[DIA],novtotal3059718395107119131143155[[#Headers],[14]],tabela_registros[REGISTRO],DADOS!$N$4)</f>
        <v>0</v>
      </c>
      <c r="S15" s="119" t="n">
        <f aca="false">SUMIFS(tabela_registros[VALOR],tabela_registros[MÊS],$AE$1,tabela_registros[DIA],novtotal3059718395107119131143155[[#Headers],[15]],tabela_registros[REGISTRO],DADOS!$N$4)</f>
        <v>0</v>
      </c>
      <c r="T15" s="119" t="n">
        <f aca="false">SUMIFS(tabela_registros[VALOR],tabela_registros[MÊS],$AE$1,tabela_registros[DIA],novtotal3059718395107119131143155[[#Headers],[16]],tabela_registros[REGISTRO],DADOS!$N$4)</f>
        <v>0</v>
      </c>
      <c r="U15" s="119" t="n">
        <f aca="false">SUMIFS(tabela_registros[VALOR],tabela_registros[MÊS],$AE$1,tabela_registros[DIA],novtotal3059718395107119131143155[[#Headers],[17]],tabela_registros[REGISTRO],DADOS!$N$4)</f>
        <v>0</v>
      </c>
      <c r="V15" s="119" t="n">
        <f aca="false">SUMIFS(tabela_registros[VALOR],tabela_registros[MÊS],$AE$1,tabela_registros[DIA],novtotal3059718395107119131143155[[#Headers],[18]],tabela_registros[REGISTRO],DADOS!$N$4)</f>
        <v>0</v>
      </c>
      <c r="W15" s="119" t="n">
        <f aca="false">SUMIFS(tabela_registros[VALOR],tabela_registros[MÊS],$AE$1,tabela_registros[DIA],novtotal3059718395107119131143155[[#Headers],[19]],tabela_registros[REGISTRO],DADOS!$N$4)</f>
        <v>0</v>
      </c>
      <c r="X15" s="119" t="n">
        <f aca="false">SUMIFS(tabela_registros[VALOR],tabela_registros[MÊS],$AE$1,tabela_registros[DIA],novtotal3059718395107119131143155[[#Headers],[20]],tabela_registros[REGISTRO],DADOS!$N$4)</f>
        <v>0</v>
      </c>
      <c r="Y15" s="119" t="n">
        <f aca="false">SUMIFS(tabela_registros[VALOR],tabela_registros[MÊS],$AE$1,tabela_registros[DIA],novtotal3059718395107119131143155[[#Headers],[21]],tabela_registros[REGISTRO],DADOS!$N$4)</f>
        <v>0</v>
      </c>
      <c r="Z15" s="119" t="n">
        <f aca="false">SUMIFS(tabela_registros[VALOR],tabela_registros[MÊS],$AE$1,tabela_registros[DIA],novtotal3059718395107119131143155[[#Headers],[22]],tabela_registros[REGISTRO],DADOS!$N$4)</f>
        <v>0</v>
      </c>
      <c r="AA15" s="119" t="n">
        <f aca="false">SUMIFS(tabela_registros[VALOR],tabela_registros[MÊS],$AE$1,tabela_registros[DIA],novtotal3059718395107119131143155[[#Headers],[23]],tabela_registros[REGISTRO],DADOS!$N$4)</f>
        <v>0</v>
      </c>
      <c r="AB15" s="119" t="n">
        <f aca="false">SUMIFS(tabela_registros[VALOR],tabela_registros[MÊS],$AE$1,tabela_registros[DIA],novtotal3059718395107119131143155[[#Headers],[24]],tabela_registros[REGISTRO],DADOS!$N$4)</f>
        <v>0</v>
      </c>
      <c r="AC15" s="119" t="n">
        <f aca="false">SUMIFS(tabela_registros[VALOR],tabela_registros[MÊS],$AE$1,tabela_registros[DIA],novtotal3059718395107119131143155[[#Headers],[25]],tabela_registros[REGISTRO],DADOS!$N$4)</f>
        <v>0</v>
      </c>
      <c r="AD15" s="119" t="n">
        <f aca="false">SUMIFS(tabela_registros[VALOR],tabela_registros[MÊS],$AE$1,tabela_registros[DIA],novtotal3059718395107119131143155[[#Headers],[26]],tabela_registros[REGISTRO],DADOS!$N$4)</f>
        <v>0</v>
      </c>
      <c r="AE15" s="119" t="n">
        <f aca="false">SUMIFS(tabela_registros[VALOR],tabela_registros[MÊS],$AE$1,tabela_registros[DIA],novtotal3059718395107119131143155[[#Headers],[27]],tabela_registros[REGISTRO],DADOS!$N$4)</f>
        <v>0</v>
      </c>
      <c r="AF15" s="119" t="n">
        <f aca="false">SUMIFS(tabela_registros[VALOR],tabela_registros[MÊS],$AE$1,tabela_registros[DIA],novtotal3059718395107119131143155[[#Headers],[28]],tabela_registros[REGISTRO],DADOS!$N$4)</f>
        <v>0</v>
      </c>
      <c r="AG15" s="119" t="n">
        <f aca="false">SUMIFS(tabela_registros[VALOR],tabela_registros[MÊS],$AE$1,tabela_registros[DIA],novtotal3059718395107119131143155[[#Headers],[29]],tabela_registros[REGISTRO],DADOS!$N$4)</f>
        <v>0</v>
      </c>
      <c r="AH15" s="120" t="n">
        <f aca="false">SUMIFS(tabela_registros[VALOR],tabela_registros[MÊS],$AE$1,tabela_registros[DIA],novtotal3059718395107119131143155[[#Headers],[30]],tabela_registros[REGISTRO],DADOS!$N$4)</f>
        <v>0</v>
      </c>
      <c r="AI15" s="121" t="n">
        <f aca="false">SUMIFS(tabela_registros[VALOR],tabela_registros[MÊS],$AE$1,tabela_registros[DIA],novtotal3059718395107119131143155[[#Headers],[31]],tabela_registros[REGISTRO],DADOS!$N$4)</f>
        <v>0</v>
      </c>
      <c r="AJ15" s="120" t="n">
        <f aca="false">SUM(novtotal3059718395107119131143155[[#This Row],[1]:[31]])</f>
        <v>0</v>
      </c>
      <c r="AK15" s="107"/>
    </row>
    <row r="16" s="122" customFormat="true" ht="21" hidden="false" customHeight="true" outlineLevel="0" collapsed="false">
      <c r="B16" s="123"/>
      <c r="C16" s="124" t="s">
        <v>73</v>
      </c>
      <c r="D16" s="125"/>
      <c r="E16" s="126" t="n">
        <f aca="false">(E14-E15)+AI1</f>
        <v>0</v>
      </c>
      <c r="F16" s="127" t="n">
        <f aca="false">novtotal3059718395107119131143155[[#This Row],[1]]+(F14-F15)</f>
        <v>0</v>
      </c>
      <c r="G16" s="127" t="n">
        <f aca="false">novtotal3059718395107119131143155[[#This Row],[2]]+(G14-G15)</f>
        <v>0</v>
      </c>
      <c r="H16" s="127" t="n">
        <f aca="false">novtotal3059718395107119131143155[[#This Row],[3]]+(H14-H15)</f>
        <v>0</v>
      </c>
      <c r="I16" s="127" t="n">
        <f aca="false">novtotal3059718395107119131143155[[#This Row],[4]]+(I14-I15)</f>
        <v>0</v>
      </c>
      <c r="J16" s="127" t="n">
        <f aca="false">novtotal3059718395107119131143155[[#This Row],[5]]+(J14-J15)</f>
        <v>0</v>
      </c>
      <c r="K16" s="127" t="n">
        <f aca="false">novtotal3059718395107119131143155[[#This Row],[6]]+(K14-K15)</f>
        <v>0</v>
      </c>
      <c r="L16" s="127" t="n">
        <f aca="false">novtotal3059718395107119131143155[[#This Row],[7]]+(L14-L15)</f>
        <v>0</v>
      </c>
      <c r="M16" s="127" t="n">
        <f aca="false">novtotal3059718395107119131143155[[#This Row],[8]]+(M14-M15)</f>
        <v>0</v>
      </c>
      <c r="N16" s="127" t="n">
        <f aca="false">novtotal3059718395107119131143155[[#This Row],[9]]+(N14-N15)</f>
        <v>0</v>
      </c>
      <c r="O16" s="127" t="n">
        <f aca="false">novtotal3059718395107119131143155[[#This Row],[10]]+(O14-O15)</f>
        <v>0</v>
      </c>
      <c r="P16" s="127" t="n">
        <f aca="false">novtotal3059718395107119131143155[[#This Row],[11]]+(P14-P15)</f>
        <v>0</v>
      </c>
      <c r="Q16" s="127" t="n">
        <f aca="false">novtotal3059718395107119131143155[[#This Row],[12]]+(Q14-Q15)</f>
        <v>0</v>
      </c>
      <c r="R16" s="127" t="n">
        <f aca="false">novtotal3059718395107119131143155[[#This Row],[13]]+(R14-R15)</f>
        <v>0</v>
      </c>
      <c r="S16" s="127" t="n">
        <f aca="false">novtotal3059718395107119131143155[[#This Row],[14]]+(S14-S15)</f>
        <v>0</v>
      </c>
      <c r="T16" s="127" t="n">
        <f aca="false">novtotal3059718395107119131143155[[#This Row],[15]]+(T14-T15)</f>
        <v>0</v>
      </c>
      <c r="U16" s="127" t="n">
        <f aca="false">novtotal3059718395107119131143155[[#This Row],[16]]+(U14-U15)</f>
        <v>0</v>
      </c>
      <c r="V16" s="127" t="n">
        <f aca="false">novtotal3059718395107119131143155[[#This Row],[17]]+(V14-V15)</f>
        <v>0</v>
      </c>
      <c r="W16" s="127" t="n">
        <f aca="false">novtotal3059718395107119131143155[[#This Row],[18]]+(W14-W15)</f>
        <v>0</v>
      </c>
      <c r="X16" s="127" t="n">
        <f aca="false">novtotal3059718395107119131143155[[#This Row],[19]]+(X14-X15)</f>
        <v>0</v>
      </c>
      <c r="Y16" s="127" t="n">
        <f aca="false">novtotal3059718395107119131143155[[#This Row],[20]]+(Y14-Y15)</f>
        <v>0</v>
      </c>
      <c r="Z16" s="127" t="n">
        <f aca="false">novtotal3059718395107119131143155[[#This Row],[21]]+(Z14-Z15)</f>
        <v>0</v>
      </c>
      <c r="AA16" s="127" t="n">
        <f aca="false">novtotal3059718395107119131143155[[#This Row],[22]]+(AA14-AA15)</f>
        <v>0</v>
      </c>
      <c r="AB16" s="127" t="n">
        <f aca="false">novtotal3059718395107119131143155[[#This Row],[23]]+(AB14-AB15)</f>
        <v>0</v>
      </c>
      <c r="AC16" s="127" t="n">
        <f aca="false">novtotal3059718395107119131143155[[#This Row],[24]]+(AC14-AC15)</f>
        <v>0</v>
      </c>
      <c r="AD16" s="127" t="n">
        <f aca="false">novtotal3059718395107119131143155[[#This Row],[25]]+(AD14-AD15)</f>
        <v>0</v>
      </c>
      <c r="AE16" s="127" t="n">
        <f aca="false">novtotal3059718395107119131143155[[#This Row],[26]]+(AE14-AE15)</f>
        <v>0</v>
      </c>
      <c r="AF16" s="127" t="n">
        <f aca="false">novtotal3059718395107119131143155[[#This Row],[27]]+(AF14-AF15)</f>
        <v>0</v>
      </c>
      <c r="AG16" s="127" t="n">
        <f aca="false">novtotal3059718395107119131143155[[#This Row],[28]]+(AG14-AG15)</f>
        <v>0</v>
      </c>
      <c r="AH16" s="128" t="n">
        <f aca="false">novtotal3059718395107119131143155[[#This Row],[29]]+(AH14-AH15)</f>
        <v>0</v>
      </c>
      <c r="AI16" s="129" t="n">
        <f aca="false">novtotal3059718395107119131143155[[#This Row],[30]]+(AI14-AI15)</f>
        <v>0</v>
      </c>
      <c r="AJ16" s="128" t="n">
        <f aca="false">novtotal3059718395107119131143155[[#This Row],[31]]</f>
        <v>0</v>
      </c>
      <c r="AK16" s="123"/>
    </row>
    <row r="17" customFormat="false" ht="6.75" hidden="false" customHeight="true" outlineLevel="0" collapsed="false"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94"/>
      <c r="AJ17" s="107"/>
      <c r="AK17" s="107"/>
    </row>
    <row r="18" customFormat="false" ht="12.75" hidden="false" customHeight="false" outlineLevel="0" collapsed="false">
      <c r="C18" s="133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</row>
    <row r="19" customFormat="false" ht="12" hidden="false" customHeight="false" outlineLevel="0" collapsed="false">
      <c r="C19" s="133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</row>
    <row r="20" customFormat="false" ht="12" hidden="false" customHeight="false" outlineLevel="0" collapsed="false">
      <c r="A20" s="133"/>
      <c r="B20" s="133"/>
      <c r="C20" s="133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</row>
    <row r="21" customFormat="false" ht="39.75" hidden="false" customHeight="true" outlineLevel="0" collapsed="false">
      <c r="A21" s="133"/>
      <c r="B21" s="133"/>
      <c r="C21" s="133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3" t="s">
        <v>2</v>
      </c>
    </row>
    <row r="22" s="78" customFormat="true" ht="11.25" hidden="false" customHeight="true" outlineLevel="0" collapsed="false">
      <c r="C22" s="101"/>
      <c r="AJ22" s="106" t="s">
        <v>64</v>
      </c>
    </row>
    <row r="23" customFormat="false" ht="6.75" hidden="false" customHeight="true" outlineLevel="0" collapsed="false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94"/>
      <c r="AK23" s="107"/>
    </row>
    <row r="24" customFormat="false" ht="13.5" hidden="true" customHeight="false" outlineLevel="0" collapsed="false">
      <c r="B24" s="86"/>
      <c r="C24" s="110" t="s">
        <v>68</v>
      </c>
      <c r="D24" s="107" t="s">
        <v>69</v>
      </c>
      <c r="E24" s="110" t="s">
        <v>30</v>
      </c>
      <c r="F24" s="110" t="s">
        <v>31</v>
      </c>
      <c r="G24" s="110" t="s">
        <v>32</v>
      </c>
      <c r="H24" s="110" t="s">
        <v>33</v>
      </c>
      <c r="I24" s="110" t="s">
        <v>34</v>
      </c>
      <c r="J24" s="110" t="s">
        <v>35</v>
      </c>
      <c r="K24" s="110" t="s">
        <v>36</v>
      </c>
      <c r="L24" s="110" t="s">
        <v>37</v>
      </c>
      <c r="M24" s="110" t="s">
        <v>38</v>
      </c>
      <c r="N24" s="110" t="s">
        <v>39</v>
      </c>
      <c r="O24" s="110" t="s">
        <v>40</v>
      </c>
      <c r="P24" s="110" t="s">
        <v>41</v>
      </c>
      <c r="Q24" s="110" t="s">
        <v>81</v>
      </c>
      <c r="R24" s="110" t="s">
        <v>82</v>
      </c>
      <c r="S24" s="110" t="s">
        <v>83</v>
      </c>
      <c r="T24" s="110" t="s">
        <v>84</v>
      </c>
      <c r="U24" s="110" t="s">
        <v>85</v>
      </c>
      <c r="V24" s="110" t="s">
        <v>86</v>
      </c>
      <c r="W24" s="110" t="s">
        <v>87</v>
      </c>
      <c r="X24" s="110" t="s">
        <v>88</v>
      </c>
      <c r="Y24" s="110" t="s">
        <v>89</v>
      </c>
      <c r="Z24" s="110" t="s">
        <v>90</v>
      </c>
      <c r="AA24" s="110" t="s">
        <v>91</v>
      </c>
      <c r="AB24" s="110" t="s">
        <v>92</v>
      </c>
      <c r="AC24" s="110" t="s">
        <v>93</v>
      </c>
      <c r="AD24" s="110" t="s">
        <v>94</v>
      </c>
      <c r="AE24" s="110" t="s">
        <v>95</v>
      </c>
      <c r="AF24" s="110" t="s">
        <v>96</v>
      </c>
      <c r="AG24" s="110" t="s">
        <v>97</v>
      </c>
      <c r="AH24" s="110" t="s">
        <v>98</v>
      </c>
      <c r="AI24" s="110" t="s">
        <v>99</v>
      </c>
      <c r="AJ24" s="111" t="s">
        <v>70</v>
      </c>
      <c r="AK24" s="107"/>
    </row>
    <row r="25" customFormat="false" ht="19.5" hidden="false" customHeight="true" outlineLevel="0" collapsed="false">
      <c r="B25" s="107"/>
      <c r="C25" s="112" t="s">
        <v>15</v>
      </c>
      <c r="D25" s="113"/>
      <c r="E25" s="114" t="n">
        <f aca="false">SUMIFS(tabela_registros[VALOR],tabela_registros[MÊS],$AE$1,tabela_registros[DIA],novtotal3059718395107119131143155[[#Headers],[1]],tabela_registros[REGISTRO],DADOS!$N$5)</f>
        <v>0</v>
      </c>
      <c r="F25" s="114" t="n">
        <f aca="false">SUMIFS(tabela_registros[VALOR],tabela_registros[MÊS],$AE$1,tabela_registros[DIA],novtotal3059718395107119131143155[[#Headers],[2]],tabela_registros[REGISTRO],DADOS!$N$5)</f>
        <v>0</v>
      </c>
      <c r="G25" s="114" t="n">
        <f aca="false">SUMIFS(tabela_registros[VALOR],tabela_registros[MÊS],$AE$1,tabela_registros[DIA],novtotal3059718395107119131143155[[#Headers],[3]],tabela_registros[REGISTRO],DADOS!$N$5)</f>
        <v>0</v>
      </c>
      <c r="H25" s="114" t="n">
        <f aca="false">SUMIFS(tabela_registros[VALOR],tabela_registros[MÊS],$AE$1,tabela_registros[DIA],novtotal3059718395107119131143155[[#Headers],[4]],tabela_registros[REGISTRO],DADOS!$N$5)</f>
        <v>0</v>
      </c>
      <c r="I25" s="114" t="n">
        <f aca="false">SUMIFS(tabela_registros[VALOR],tabela_registros[MÊS],$AE$1,tabela_registros[DIA],novtotal3059718395107119131143155[[#Headers],[5]],tabela_registros[REGISTRO],DADOS!$N$5)</f>
        <v>0</v>
      </c>
      <c r="J25" s="114" t="n">
        <f aca="false">SUMIFS(tabela_registros[VALOR],tabela_registros[MÊS],$AE$1,tabela_registros[DIA],novtotal3059718395107119131143155[[#Headers],[6]],tabela_registros[REGISTRO],DADOS!$N$5)</f>
        <v>0</v>
      </c>
      <c r="K25" s="114" t="n">
        <f aca="false">SUMIFS(tabela_registros[VALOR],tabela_registros[MÊS],$AE$1,tabela_registros[DIA],novtotal3059718395107119131143155[[#Headers],[7]],tabela_registros[REGISTRO],DADOS!$N$5)</f>
        <v>0</v>
      </c>
      <c r="L25" s="114" t="n">
        <f aca="false">SUMIFS(tabela_registros[VALOR],tabela_registros[MÊS],$AE$1,tabela_registros[DIA],novtotal3059718395107119131143155[[#Headers],[8]],tabela_registros[REGISTRO],DADOS!$N$5)</f>
        <v>0</v>
      </c>
      <c r="M25" s="114" t="n">
        <f aca="false">SUMIFS(tabela_registros[VALOR],tabela_registros[MÊS],$AE$1,tabela_registros[DIA],novtotal3059718395107119131143155[[#Headers],[9]],tabela_registros[REGISTRO],DADOS!$N$5)</f>
        <v>0</v>
      </c>
      <c r="N25" s="114" t="n">
        <f aca="false">SUMIFS(tabela_registros[VALOR],tabela_registros[MÊS],$AE$1,tabela_registros[DIA],novtotal3059718395107119131143155[[#Headers],[10]],tabela_registros[REGISTRO],DADOS!$N$5)</f>
        <v>0</v>
      </c>
      <c r="O25" s="114" t="n">
        <f aca="false">SUMIFS(tabela_registros[VALOR],tabela_registros[MÊS],$AE$1,tabela_registros[DIA],novtotal3059718395107119131143155[[#Headers],[11]],tabela_registros[REGISTRO],DADOS!$N$5)</f>
        <v>0</v>
      </c>
      <c r="P25" s="114" t="n">
        <f aca="false">SUMIFS(tabela_registros[VALOR],tabela_registros[MÊS],$AE$1,tabela_registros[DIA],novtotal3059718395107119131143155[[#Headers],[12]],tabela_registros[REGISTRO],DADOS!$N$5)</f>
        <v>0</v>
      </c>
      <c r="Q25" s="114" t="n">
        <f aca="false">SUMIFS(tabela_registros[VALOR],tabela_registros[MÊS],$AE$1,tabela_registros[DIA],novtotal3059718395107119131143155[[#Headers],[13]],tabela_registros[REGISTRO],DADOS!$N$5)</f>
        <v>0</v>
      </c>
      <c r="R25" s="114" t="n">
        <f aca="false">SUMIFS(tabela_registros[VALOR],tabela_registros[MÊS],$AE$1,tabela_registros[DIA],novtotal3059718395107119131143155[[#Headers],[14]],tabela_registros[REGISTRO],DADOS!$N$5)</f>
        <v>0</v>
      </c>
      <c r="S25" s="114" t="n">
        <f aca="false">SUMIFS(tabela_registros[VALOR],tabela_registros[MÊS],$AE$1,tabela_registros[DIA],novtotal3059718395107119131143155[[#Headers],[15]],tabela_registros[REGISTRO],DADOS!$N$5)</f>
        <v>0</v>
      </c>
      <c r="T25" s="114" t="n">
        <f aca="false">SUMIFS(tabela_registros[VALOR],tabela_registros[MÊS],$AE$1,tabela_registros[DIA],novtotal3059718395107119131143155[[#Headers],[16]],tabela_registros[REGISTRO],DADOS!$N$5)</f>
        <v>0</v>
      </c>
      <c r="U25" s="114" t="n">
        <f aca="false">SUMIFS(tabela_registros[VALOR],tabela_registros[MÊS],$AE$1,tabela_registros[DIA],novtotal3059718395107119131143155[[#Headers],[17]],tabela_registros[REGISTRO],DADOS!$N$5)</f>
        <v>0</v>
      </c>
      <c r="V25" s="114" t="n">
        <f aca="false">SUMIFS(tabela_registros[VALOR],tabela_registros[MÊS],$AE$1,tabela_registros[DIA],novtotal3059718395107119131143155[[#Headers],[18]],tabela_registros[REGISTRO],DADOS!$N$5)</f>
        <v>0</v>
      </c>
      <c r="W25" s="114" t="n">
        <f aca="false">SUMIFS(tabela_registros[VALOR],tabela_registros[MÊS],$AE$1,tabela_registros[DIA],novtotal3059718395107119131143155[[#Headers],[19]],tabela_registros[REGISTRO],DADOS!$N$5)</f>
        <v>0</v>
      </c>
      <c r="X25" s="114" t="n">
        <f aca="false">SUMIFS(tabela_registros[VALOR],tabela_registros[MÊS],$AE$1,tabela_registros[DIA],novtotal3059718395107119131143155[[#Headers],[20]],tabela_registros[REGISTRO],DADOS!$N$5)</f>
        <v>0</v>
      </c>
      <c r="Y25" s="114" t="n">
        <f aca="false">SUMIFS(tabela_registros[VALOR],tabela_registros[MÊS],$AE$1,tabela_registros[DIA],novtotal3059718395107119131143155[[#Headers],[21]],tabela_registros[REGISTRO],DADOS!$N$5)</f>
        <v>0</v>
      </c>
      <c r="Z25" s="114" t="n">
        <f aca="false">SUMIFS(tabela_registros[VALOR],tabela_registros[MÊS],$AE$1,tabela_registros[DIA],novtotal3059718395107119131143155[[#Headers],[22]],tabela_registros[REGISTRO],DADOS!$N$5)</f>
        <v>0</v>
      </c>
      <c r="AA25" s="114" t="n">
        <f aca="false">SUMIFS(tabela_registros[VALOR],tabela_registros[MÊS],$AE$1,tabela_registros[DIA],novtotal3059718395107119131143155[[#Headers],[23]],tabela_registros[REGISTRO],DADOS!$N$5)</f>
        <v>0</v>
      </c>
      <c r="AB25" s="114" t="n">
        <f aca="false">SUMIFS(tabela_registros[VALOR],tabela_registros[MÊS],$AE$1,tabela_registros[DIA],novtotal3059718395107119131143155[[#Headers],[24]],tabela_registros[REGISTRO],DADOS!$N$5)</f>
        <v>0</v>
      </c>
      <c r="AC25" s="114" t="n">
        <f aca="false">SUMIFS(tabela_registros[VALOR],tabela_registros[MÊS],$AE$1,tabela_registros[DIA],novtotal3059718395107119131143155[[#Headers],[25]],tabela_registros[REGISTRO],DADOS!$N$5)</f>
        <v>0</v>
      </c>
      <c r="AD25" s="114" t="n">
        <f aca="false">SUMIFS(tabela_registros[VALOR],tabela_registros[MÊS],$AE$1,tabela_registros[DIA],novtotal3059718395107119131143155[[#Headers],[26]],tabela_registros[REGISTRO],DADOS!$N$5)</f>
        <v>0</v>
      </c>
      <c r="AE25" s="114" t="n">
        <f aca="false">SUMIFS(tabela_registros[VALOR],tabela_registros[MÊS],$AE$1,tabela_registros[DIA],novtotal3059718395107119131143155[[#Headers],[27]],tabela_registros[REGISTRO],DADOS!$N$5)</f>
        <v>0</v>
      </c>
      <c r="AF25" s="114" t="n">
        <f aca="false">SUMIFS(tabela_registros[VALOR],tabela_registros[MÊS],$AE$1,tabela_registros[DIA],novtotal3059718395107119131143155[[#Headers],[28]],tabela_registros[REGISTRO],DADOS!$N$5)</f>
        <v>0</v>
      </c>
      <c r="AG25" s="114" t="n">
        <f aca="false">SUMIFS(tabela_registros[VALOR],tabela_registros[MÊS],$AE$1,tabela_registros[DIA],novtotal3059718395107119131143155[[#Headers],[29]],tabela_registros[REGISTRO],DADOS!$N$5)</f>
        <v>0</v>
      </c>
      <c r="AH25" s="115" t="n">
        <f aca="false">SUMIFS(tabela_registros[VALOR],tabela_registros[MÊS],$AE$1,tabela_registros[DIA],novtotal3059718395107119131143155[[#Headers],[30]],tabela_registros[REGISTRO],DADOS!$N$5)</f>
        <v>0</v>
      </c>
      <c r="AI25" s="116" t="n">
        <f aca="false">SUMIFS(tabela_registros[VALOR],tabela_registros[MÊS],$AE$1,tabela_registros[DIA],novtotal3059718395107119131143155[[#Headers],[31]],tabela_registros[REGISTRO],DADOS!$N$5)</f>
        <v>0</v>
      </c>
      <c r="AJ25" s="115" t="n">
        <f aca="false">SUM(E25:AI25)</f>
        <v>0</v>
      </c>
      <c r="AK25" s="107"/>
    </row>
    <row r="26" customFormat="false" ht="18" hidden="false" customHeight="true" outlineLevel="0" collapsed="false">
      <c r="B26" s="107"/>
      <c r="C26" s="135" t="s">
        <v>14</v>
      </c>
      <c r="D26" s="136"/>
      <c r="E26" s="119" t="n">
        <f aca="false">SUMIFS(tabela_registros[VALOR],tabela_registros[MÊS],$AE$1,tabela_registros[DIA],novtotal3059718395107119131143155[[#Headers],[1]],tabela_registros[REGISTRO],DADOS!$N$6)</f>
        <v>0</v>
      </c>
      <c r="F26" s="119" t="n">
        <f aca="false">SUMIFS(tabela_registros[VALOR],tabela_registros[MÊS],$AE$1,tabela_registros[DIA],novtotal3059718395107119131143155[[#Headers],[2]],tabela_registros[REGISTRO],DADOS!$N$6)</f>
        <v>0</v>
      </c>
      <c r="G26" s="119" t="n">
        <f aca="false">SUMIFS(tabela_registros[VALOR],tabela_registros[MÊS],$AE$1,tabela_registros[DIA],novtotal3059718395107119131143155[[#Headers],[3]],tabela_registros[REGISTRO],DADOS!$N$6)</f>
        <v>0</v>
      </c>
      <c r="H26" s="119" t="n">
        <f aca="false">SUMIFS(tabela_registros[VALOR],tabela_registros[MÊS],$AE$1,tabela_registros[DIA],novtotal3059718395107119131143155[[#Headers],[4]],tabela_registros[REGISTRO],DADOS!$N$6)</f>
        <v>0</v>
      </c>
      <c r="I26" s="119" t="n">
        <f aca="false">SUMIFS(tabela_registros[VALOR],tabela_registros[MÊS],$AE$1,tabela_registros[DIA],novtotal3059718395107119131143155[[#Headers],[5]],tabela_registros[REGISTRO],DADOS!$N$6)</f>
        <v>0</v>
      </c>
      <c r="J26" s="119" t="n">
        <f aca="false">SUMIFS(tabela_registros[VALOR],tabela_registros[MÊS],$AE$1,tabela_registros[DIA],novtotal3059718395107119131143155[[#Headers],[6]],tabela_registros[REGISTRO],DADOS!$N$6)</f>
        <v>0</v>
      </c>
      <c r="K26" s="119" t="n">
        <f aca="false">SUMIFS(tabela_registros[VALOR],tabela_registros[MÊS],$AE$1,tabela_registros[DIA],novtotal3059718395107119131143155[[#Headers],[7]],tabela_registros[REGISTRO],DADOS!$N$6)</f>
        <v>0</v>
      </c>
      <c r="L26" s="119" t="n">
        <f aca="false">SUMIFS(tabela_registros[VALOR],tabela_registros[MÊS],$AE$1,tabela_registros[DIA],novtotal3059718395107119131143155[[#Headers],[8]],tabela_registros[REGISTRO],DADOS!$N$6)</f>
        <v>0</v>
      </c>
      <c r="M26" s="119" t="n">
        <f aca="false">SUMIFS(tabela_registros[VALOR],tabela_registros[MÊS],$AE$1,tabela_registros[DIA],novtotal3059718395107119131143155[[#Headers],[9]],tabela_registros[REGISTRO],DADOS!$N$6)</f>
        <v>0</v>
      </c>
      <c r="N26" s="119" t="n">
        <f aca="false">SUMIFS(tabela_registros[VALOR],tabela_registros[MÊS],$AE$1,tabela_registros[DIA],novtotal3059718395107119131143155[[#Headers],[10]],tabela_registros[REGISTRO],DADOS!$N$6)</f>
        <v>0</v>
      </c>
      <c r="O26" s="119" t="n">
        <f aca="false">SUMIFS(tabela_registros[VALOR],tabela_registros[MÊS],$AE$1,tabela_registros[DIA],novtotal3059718395107119131143155[[#Headers],[11]],tabela_registros[REGISTRO],DADOS!$N$6)</f>
        <v>0</v>
      </c>
      <c r="P26" s="119" t="n">
        <f aca="false">SUMIFS(tabela_registros[VALOR],tabela_registros[MÊS],$AE$1,tabela_registros[DIA],novtotal3059718395107119131143155[[#Headers],[12]],tabela_registros[REGISTRO],DADOS!$N$6)</f>
        <v>0</v>
      </c>
      <c r="Q26" s="119" t="n">
        <f aca="false">SUMIFS(tabela_registros[VALOR],tabela_registros[MÊS],$AE$1,tabela_registros[DIA],novtotal3059718395107119131143155[[#Headers],[13]],tabela_registros[REGISTRO],DADOS!$N$6)</f>
        <v>0</v>
      </c>
      <c r="R26" s="119" t="n">
        <f aca="false">SUMIFS(tabela_registros[VALOR],tabela_registros[MÊS],$AE$1,tabela_registros[DIA],novtotal3059718395107119131143155[[#Headers],[14]],tabela_registros[REGISTRO],DADOS!$N$6)</f>
        <v>0</v>
      </c>
      <c r="S26" s="119" t="n">
        <f aca="false">SUMIFS(tabela_registros[VALOR],tabela_registros[MÊS],$AE$1,tabela_registros[DIA],novtotal3059718395107119131143155[[#Headers],[15]],tabela_registros[REGISTRO],DADOS!$N$6)</f>
        <v>0</v>
      </c>
      <c r="T26" s="119" t="n">
        <f aca="false">SUMIFS(tabela_registros[VALOR],tabela_registros[MÊS],$AE$1,tabela_registros[DIA],novtotal3059718395107119131143155[[#Headers],[16]],tabela_registros[REGISTRO],DADOS!$N$6)</f>
        <v>0</v>
      </c>
      <c r="U26" s="119" t="n">
        <f aca="false">SUMIFS(tabela_registros[VALOR],tabela_registros[MÊS],$AE$1,tabela_registros[DIA],novtotal3059718395107119131143155[[#Headers],[17]],tabela_registros[REGISTRO],DADOS!$N$6)</f>
        <v>0</v>
      </c>
      <c r="V26" s="119" t="n">
        <f aca="false">SUMIFS(tabela_registros[VALOR],tabela_registros[MÊS],$AE$1,tabela_registros[DIA],novtotal3059718395107119131143155[[#Headers],[18]],tabela_registros[REGISTRO],DADOS!$N$6)</f>
        <v>0</v>
      </c>
      <c r="W26" s="119" t="n">
        <f aca="false">SUMIFS(tabela_registros[VALOR],tabela_registros[MÊS],$AE$1,tabela_registros[DIA],novtotal3059718395107119131143155[[#Headers],[19]],tabela_registros[REGISTRO],DADOS!$N$6)</f>
        <v>0</v>
      </c>
      <c r="X26" s="119" t="n">
        <f aca="false">SUMIFS(tabela_registros[VALOR],tabela_registros[MÊS],$AE$1,tabela_registros[DIA],novtotal3059718395107119131143155[[#Headers],[20]],tabela_registros[REGISTRO],DADOS!$N$6)</f>
        <v>0</v>
      </c>
      <c r="Y26" s="119" t="n">
        <f aca="false">SUMIFS(tabela_registros[VALOR],tabela_registros[MÊS],$AE$1,tabela_registros[DIA],novtotal3059718395107119131143155[[#Headers],[21]],tabela_registros[REGISTRO],DADOS!$N$6)</f>
        <v>0</v>
      </c>
      <c r="Z26" s="119" t="n">
        <f aca="false">SUMIFS(tabela_registros[VALOR],tabela_registros[MÊS],$AE$1,tabela_registros[DIA],novtotal3059718395107119131143155[[#Headers],[22]],tabela_registros[REGISTRO],DADOS!$N$6)</f>
        <v>0</v>
      </c>
      <c r="AA26" s="119" t="n">
        <f aca="false">SUMIFS(tabela_registros[VALOR],tabela_registros[MÊS],$AE$1,tabela_registros[DIA],novtotal3059718395107119131143155[[#Headers],[23]],tabela_registros[REGISTRO],DADOS!$N$6)</f>
        <v>0</v>
      </c>
      <c r="AB26" s="119" t="n">
        <f aca="false">SUMIFS(tabela_registros[VALOR],tabela_registros[MÊS],$AE$1,tabela_registros[DIA],novtotal3059718395107119131143155[[#Headers],[24]],tabela_registros[REGISTRO],DADOS!$N$6)</f>
        <v>0</v>
      </c>
      <c r="AC26" s="119" t="n">
        <f aca="false">SUMIFS(tabela_registros[VALOR],tabela_registros[MÊS],$AE$1,tabela_registros[DIA],novtotal3059718395107119131143155[[#Headers],[25]],tabela_registros[REGISTRO],DADOS!$N$6)</f>
        <v>0</v>
      </c>
      <c r="AD26" s="119" t="n">
        <f aca="false">SUMIFS(tabela_registros[VALOR],tabela_registros[MÊS],$AE$1,tabela_registros[DIA],novtotal3059718395107119131143155[[#Headers],[26]],tabela_registros[REGISTRO],DADOS!$N$6)</f>
        <v>0</v>
      </c>
      <c r="AE26" s="119" t="n">
        <f aca="false">SUMIFS(tabela_registros[VALOR],tabela_registros[MÊS],$AE$1,tabela_registros[DIA],novtotal3059718395107119131143155[[#Headers],[27]],tabela_registros[REGISTRO],DADOS!$N$6)</f>
        <v>0</v>
      </c>
      <c r="AF26" s="119" t="n">
        <f aca="false">SUMIFS(tabela_registros[VALOR],tabela_registros[MÊS],$AE$1,tabela_registros[DIA],novtotal3059718395107119131143155[[#Headers],[28]],tabela_registros[REGISTRO],DADOS!$N$6)</f>
        <v>0</v>
      </c>
      <c r="AG26" s="119" t="n">
        <f aca="false">SUMIFS(tabela_registros[VALOR],tabela_registros[MÊS],$AE$1,tabela_registros[DIA],novtotal3059718395107119131143155[[#Headers],[29]],tabela_registros[REGISTRO],DADOS!$N$6)</f>
        <v>0</v>
      </c>
      <c r="AH26" s="120" t="n">
        <f aca="false">SUMIFS(tabela_registros[VALOR],tabela_registros[MÊS],$AE$1,tabela_registros[DIA],novtotal3059718395107119131143155[[#Headers],[30]],tabela_registros[REGISTRO],DADOS!$N$6)</f>
        <v>0</v>
      </c>
      <c r="AI26" s="121" t="n">
        <f aca="false">SUMIFS(tabela_registros[VALOR],tabela_registros[MÊS],$AE$1,tabela_registros[DIA],novtotal3059718395107119131143155[[#Headers],[31]],tabela_registros[REGISTRO],DADOS!$N$6)</f>
        <v>0</v>
      </c>
      <c r="AJ26" s="120" t="n">
        <f aca="false">SUM(E26:AI26)</f>
        <v>0</v>
      </c>
      <c r="AK26" s="107"/>
    </row>
    <row r="27" s="122" customFormat="true" ht="21" hidden="false" customHeight="true" outlineLevel="0" collapsed="false">
      <c r="B27" s="123"/>
      <c r="C27" s="124" t="s">
        <v>2</v>
      </c>
      <c r="D27" s="137"/>
      <c r="E27" s="126" t="n">
        <f aca="false">SUM(E25:E26)</f>
        <v>0</v>
      </c>
      <c r="F27" s="127" t="n">
        <f aca="false">SUM(F25:F26)+novinvestir2158708294106118130142154[[#This Row],[1]]</f>
        <v>0</v>
      </c>
      <c r="G27" s="127" t="n">
        <f aca="false">SUM(G25:G26)+novinvestir2158708294106118130142154[[#This Row],[2]]</f>
        <v>0</v>
      </c>
      <c r="H27" s="127" t="n">
        <f aca="false">SUM(H25:H26)+novinvestir2158708294106118130142154[[#This Row],[3]]</f>
        <v>0</v>
      </c>
      <c r="I27" s="127" t="n">
        <f aca="false">SUM(I25:I26)+novinvestir2158708294106118130142154[[#This Row],[4]]</f>
        <v>0</v>
      </c>
      <c r="J27" s="127" t="n">
        <f aca="false">SUM(J25:J26)+novinvestir2158708294106118130142154[[#This Row],[5]]</f>
        <v>0</v>
      </c>
      <c r="K27" s="127" t="n">
        <f aca="false">SUM(K25:K26)+novinvestir2158708294106118130142154[[#This Row],[6]]</f>
        <v>0</v>
      </c>
      <c r="L27" s="127" t="n">
        <f aca="false">SUM(L25:L26)+novinvestir2158708294106118130142154[[#This Row],[7]]</f>
        <v>0</v>
      </c>
      <c r="M27" s="127" t="n">
        <f aca="false">SUM(M25:M26)+novinvestir2158708294106118130142154[[#This Row],[8]]</f>
        <v>0</v>
      </c>
      <c r="N27" s="127" t="n">
        <f aca="false">SUM(N25:N26)+novinvestir2158708294106118130142154[[#This Row],[9]]</f>
        <v>0</v>
      </c>
      <c r="O27" s="127" t="n">
        <f aca="false">SUM(O25:O26)+novinvestir2158708294106118130142154[[#This Row],[10]]</f>
        <v>0</v>
      </c>
      <c r="P27" s="127" t="n">
        <f aca="false">SUM(P25:P26)+novinvestir2158708294106118130142154[[#This Row],[11]]</f>
        <v>0</v>
      </c>
      <c r="Q27" s="127" t="n">
        <f aca="false">SUM(Q25:Q26)+novinvestir2158708294106118130142154[[#This Row],[12]]</f>
        <v>0</v>
      </c>
      <c r="R27" s="127" t="n">
        <f aca="false">SUM(R25:R26)+novinvestir2158708294106118130142154[[#This Row],[13]]</f>
        <v>0</v>
      </c>
      <c r="S27" s="127" t="n">
        <f aca="false">SUM(S25:S26)+novinvestir2158708294106118130142154[[#This Row],[14]]</f>
        <v>0</v>
      </c>
      <c r="T27" s="127" t="n">
        <f aca="false">SUM(T25:T26)+novinvestir2158708294106118130142154[[#This Row],[15]]</f>
        <v>0</v>
      </c>
      <c r="U27" s="127" t="n">
        <f aca="false">SUM(U25:U26)+novinvestir2158708294106118130142154[[#This Row],[16]]</f>
        <v>0</v>
      </c>
      <c r="V27" s="127" t="n">
        <f aca="false">SUM(V25:V26)+novinvestir2158708294106118130142154[[#This Row],[17]]</f>
        <v>0</v>
      </c>
      <c r="W27" s="127" t="n">
        <f aca="false">SUM(W25:W26)+novinvestir2158708294106118130142154[[#This Row],[18]]</f>
        <v>0</v>
      </c>
      <c r="X27" s="127" t="n">
        <f aca="false">SUM(X25:X26)+novinvestir2158708294106118130142154[[#This Row],[19]]</f>
        <v>0</v>
      </c>
      <c r="Y27" s="127" t="n">
        <f aca="false">SUM(Y25:Y26)+novinvestir2158708294106118130142154[[#This Row],[20]]</f>
        <v>0</v>
      </c>
      <c r="Z27" s="127" t="n">
        <f aca="false">SUM(Z25:Z26)+novinvestir2158708294106118130142154[[#This Row],[21]]</f>
        <v>0</v>
      </c>
      <c r="AA27" s="127" t="n">
        <f aca="false">SUM(AA25:AA26)+novinvestir2158708294106118130142154[[#This Row],[22]]</f>
        <v>0</v>
      </c>
      <c r="AB27" s="127" t="n">
        <f aca="false">SUM(AB25:AB26)+novinvestir2158708294106118130142154[[#This Row],[23]]</f>
        <v>0</v>
      </c>
      <c r="AC27" s="127" t="n">
        <f aca="false">SUM(AC25:AC26)+novinvestir2158708294106118130142154[[#This Row],[24]]</f>
        <v>0</v>
      </c>
      <c r="AD27" s="127" t="n">
        <f aca="false">SUM(AD25:AD26)+novinvestir2158708294106118130142154[[#This Row],[25]]</f>
        <v>0</v>
      </c>
      <c r="AE27" s="127" t="n">
        <f aca="false">SUM(AE25:AE26)+novinvestir2158708294106118130142154[[#This Row],[26]]</f>
        <v>0</v>
      </c>
      <c r="AF27" s="127" t="n">
        <f aca="false">SUM(AF25:AF26)+novinvestir2158708294106118130142154[[#This Row],[27]]</f>
        <v>0</v>
      </c>
      <c r="AG27" s="127" t="n">
        <f aca="false">SUM(AG25:AG26)+novinvestir2158708294106118130142154[[#This Row],[28]]</f>
        <v>0</v>
      </c>
      <c r="AH27" s="128" t="n">
        <f aca="false">SUM(AH25:AH26)+novinvestir2158708294106118130142154[[#This Row],[29]]</f>
        <v>0</v>
      </c>
      <c r="AI27" s="129" t="n">
        <f aca="false">SUM(AI25:AI26)+novinvestir2158708294106118130142154[[#This Row],[30]]</f>
        <v>0</v>
      </c>
      <c r="AJ27" s="128" t="n">
        <f aca="false">novinvestir2158708294106118130142154[[#This Row],[31]]</f>
        <v>0</v>
      </c>
      <c r="AK27" s="123"/>
    </row>
    <row r="28" customFormat="false" ht="6.75" hidden="true" customHeight="true" outlineLevel="0" collapsed="false">
      <c r="B28" s="107"/>
      <c r="C28" s="78" t="s">
        <v>73</v>
      </c>
      <c r="E28" s="138" t="n">
        <f aca="false">SUBTOTAL(109,novinvestir2158708294106118130142154[1])</f>
        <v>0</v>
      </c>
      <c r="F28" s="138" t="n">
        <f aca="false">SUBTOTAL(109,novinvestir2158708294106118130142154[2])</f>
        <v>0</v>
      </c>
      <c r="G28" s="138" t="n">
        <f aca="false">SUBTOTAL(109,novinvestir2158708294106118130142154[3])</f>
        <v>0</v>
      </c>
      <c r="H28" s="138" t="n">
        <f aca="false">SUBTOTAL(109,novinvestir2158708294106118130142154[4])</f>
        <v>0</v>
      </c>
      <c r="I28" s="138" t="n">
        <f aca="false">SUBTOTAL(109,novinvestir2158708294106118130142154[5])</f>
        <v>0</v>
      </c>
      <c r="J28" s="138" t="n">
        <f aca="false">SUBTOTAL(109,novinvestir2158708294106118130142154[6])</f>
        <v>0</v>
      </c>
      <c r="K28" s="138" t="n">
        <f aca="false">SUBTOTAL(109,novinvestir2158708294106118130142154[7])</f>
        <v>0</v>
      </c>
      <c r="L28" s="138" t="n">
        <f aca="false">SUBTOTAL(109,novinvestir2158708294106118130142154[8])</f>
        <v>0</v>
      </c>
      <c r="M28" s="138" t="n">
        <f aca="false">SUBTOTAL(109,novinvestir2158708294106118130142154[9])</f>
        <v>0</v>
      </c>
      <c r="N28" s="138" t="n">
        <f aca="false">SUBTOTAL(109,novinvestir2158708294106118130142154[10])</f>
        <v>0</v>
      </c>
      <c r="O28" s="138" t="n">
        <f aca="false">SUBTOTAL(109,novinvestir2158708294106118130142154[11])</f>
        <v>0</v>
      </c>
      <c r="P28" s="138" t="n">
        <f aca="false">SUBTOTAL(109,novinvestir2158708294106118130142154[12])</f>
        <v>0</v>
      </c>
      <c r="Q28" s="138" t="n">
        <f aca="false">SUBTOTAL(109,novinvestir2158708294106118130142154[13])</f>
        <v>0</v>
      </c>
      <c r="R28" s="138" t="n">
        <f aca="false">SUBTOTAL(109,novinvestir2158708294106118130142154[14])</f>
        <v>0</v>
      </c>
      <c r="S28" s="138" t="n">
        <f aca="false">SUBTOTAL(109,novinvestir2158708294106118130142154[15])</f>
        <v>0</v>
      </c>
      <c r="T28" s="138" t="n">
        <f aca="false">SUBTOTAL(109,novinvestir2158708294106118130142154[16])</f>
        <v>0</v>
      </c>
      <c r="U28" s="138" t="n">
        <f aca="false">SUBTOTAL(109,novinvestir2158708294106118130142154[17])</f>
        <v>0</v>
      </c>
      <c r="V28" s="138" t="n">
        <f aca="false">SUBTOTAL(109,novinvestir2158708294106118130142154[18])</f>
        <v>0</v>
      </c>
      <c r="W28" s="138" t="n">
        <f aca="false">SUBTOTAL(109,novinvestir2158708294106118130142154[19])</f>
        <v>0</v>
      </c>
      <c r="X28" s="138" t="n">
        <f aca="false">SUBTOTAL(109,novinvestir2158708294106118130142154[20])</f>
        <v>0</v>
      </c>
      <c r="Y28" s="138" t="n">
        <f aca="false">SUBTOTAL(109,novinvestir2158708294106118130142154[21])</f>
        <v>0</v>
      </c>
      <c r="Z28" s="138" t="n">
        <f aca="false">SUBTOTAL(109,novinvestir2158708294106118130142154[22])</f>
        <v>0</v>
      </c>
      <c r="AA28" s="138" t="n">
        <f aca="false">SUBTOTAL(109,novinvestir2158708294106118130142154[23])</f>
        <v>0</v>
      </c>
      <c r="AB28" s="138" t="n">
        <f aca="false">SUBTOTAL(109,novinvestir2158708294106118130142154[24])</f>
        <v>0</v>
      </c>
      <c r="AC28" s="138" t="n">
        <f aca="false">SUBTOTAL(109,novinvestir2158708294106118130142154[25])</f>
        <v>0</v>
      </c>
      <c r="AD28" s="138" t="n">
        <f aca="false">SUBTOTAL(109,novinvestir2158708294106118130142154[26])</f>
        <v>0</v>
      </c>
      <c r="AE28" s="138" t="n">
        <f aca="false">SUBTOTAL(109,novinvestir2158708294106118130142154[27])</f>
        <v>0</v>
      </c>
      <c r="AF28" s="138" t="n">
        <f aca="false">SUBTOTAL(109,novinvestir2158708294106118130142154[28])</f>
        <v>0</v>
      </c>
      <c r="AG28" s="138" t="n">
        <f aca="false">SUBTOTAL(109,novinvestir2158708294106118130142154[29])</f>
        <v>0</v>
      </c>
      <c r="AH28" s="138" t="n">
        <f aca="false">SUBTOTAL(109,novinvestir2158708294106118130142154[30])</f>
        <v>0</v>
      </c>
      <c r="AI28" s="138" t="n">
        <f aca="false">SUBTOTAL(109,novinvestir2158708294106118130142154[31])</f>
        <v>0</v>
      </c>
      <c r="AJ28" s="138" t="n">
        <f aca="false">SUBTOTAL(109,novinvestir2158708294106118130142154[TOTAL (R$)])</f>
        <v>0</v>
      </c>
      <c r="AK28" s="107"/>
    </row>
    <row r="29" customFormat="false" ht="6.75" hidden="false" customHeight="true" outlineLevel="0" collapsed="false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94"/>
      <c r="AJ29" s="107"/>
      <c r="AK29" s="107"/>
    </row>
    <row r="30" customFormat="false" ht="12.75" hidden="false" customHeight="false" outlineLevel="0" collapsed="false">
      <c r="C30" s="133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</row>
    <row r="31" customFormat="false" ht="12" hidden="false" customHeight="false" outlineLevel="0" collapsed="false">
      <c r="C31" s="133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</row>
    <row r="32" customFormat="false" ht="12" hidden="false" customHeight="false" outlineLevel="0" collapsed="false">
      <c r="C32" s="133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</row>
    <row r="33" customFormat="false" ht="39.75" hidden="false" customHeight="true" outlineLevel="0" collapsed="false">
      <c r="C33" s="133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3" t="s">
        <v>2</v>
      </c>
    </row>
    <row r="34" s="78" customFormat="true" ht="11.25" hidden="false" customHeight="true" outlineLevel="0" collapsed="false">
      <c r="C34" s="101"/>
      <c r="AJ34" s="106" t="s">
        <v>64</v>
      </c>
    </row>
    <row r="35" customFormat="false" ht="6.75" hidden="false" customHeight="true" outlineLevel="0" collapsed="false">
      <c r="B35" s="139"/>
      <c r="C35" s="140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212"/>
      <c r="AK35" s="139"/>
    </row>
    <row r="36" customFormat="false" ht="12.75" hidden="true" customHeight="false" outlineLevel="0" collapsed="false">
      <c r="B36" s="86"/>
      <c r="C36" s="109" t="s">
        <v>74</v>
      </c>
      <c r="D36" s="110" t="s">
        <v>69</v>
      </c>
      <c r="E36" s="110" t="s">
        <v>30</v>
      </c>
      <c r="F36" s="110" t="s">
        <v>31</v>
      </c>
      <c r="G36" s="110" t="s">
        <v>32</v>
      </c>
      <c r="H36" s="110" t="s">
        <v>33</v>
      </c>
      <c r="I36" s="110" t="s">
        <v>34</v>
      </c>
      <c r="J36" s="110" t="s">
        <v>35</v>
      </c>
      <c r="K36" s="110" t="s">
        <v>36</v>
      </c>
      <c r="L36" s="110" t="s">
        <v>37</v>
      </c>
      <c r="M36" s="110" t="s">
        <v>38</v>
      </c>
      <c r="N36" s="110" t="s">
        <v>39</v>
      </c>
      <c r="O36" s="110" t="s">
        <v>40</v>
      </c>
      <c r="P36" s="110" t="s">
        <v>41</v>
      </c>
      <c r="Q36" s="110" t="s">
        <v>81</v>
      </c>
      <c r="R36" s="110" t="s">
        <v>82</v>
      </c>
      <c r="S36" s="110" t="s">
        <v>83</v>
      </c>
      <c r="T36" s="110" t="s">
        <v>84</v>
      </c>
      <c r="U36" s="110" t="s">
        <v>85</v>
      </c>
      <c r="V36" s="110" t="s">
        <v>86</v>
      </c>
      <c r="W36" s="110" t="s">
        <v>87</v>
      </c>
      <c r="X36" s="110" t="s">
        <v>88</v>
      </c>
      <c r="Y36" s="110" t="s">
        <v>89</v>
      </c>
      <c r="Z36" s="110" t="s">
        <v>90</v>
      </c>
      <c r="AA36" s="110" t="s">
        <v>91</v>
      </c>
      <c r="AB36" s="110" t="s">
        <v>92</v>
      </c>
      <c r="AC36" s="110" t="s">
        <v>93</v>
      </c>
      <c r="AD36" s="110" t="s">
        <v>94</v>
      </c>
      <c r="AE36" s="110" t="s">
        <v>95</v>
      </c>
      <c r="AF36" s="110" t="s">
        <v>96</v>
      </c>
      <c r="AG36" s="110" t="s">
        <v>97</v>
      </c>
      <c r="AH36" s="110" t="s">
        <v>98</v>
      </c>
      <c r="AI36" s="110" t="s">
        <v>99</v>
      </c>
      <c r="AJ36" s="142" t="s">
        <v>2</v>
      </c>
      <c r="AK36" s="86" t="s">
        <v>75</v>
      </c>
    </row>
    <row r="37" customFormat="false" ht="19.5" hidden="false" customHeight="true" outlineLevel="0" collapsed="false">
      <c r="B37" s="143"/>
      <c r="C37" s="144" t="str">
        <f aca="false">DADOS!$R$3</f>
        <v>💧 ÁGUA</v>
      </c>
      <c r="D37" s="145" t="str">
        <f aca="false">IF(despesafixaconsolidadonov[[#This Row],[TOTAL]]=0,"",IF(OR(despesafixaconsolidadonov[[#This Row],[TOTAL]]=LARGE($AJ$37:$AJ$50,1),despesafixaconsolidadonov[[#This Row],[TOTAL]]=LARGE($AJ$37:$AJ$50,2),despesafixaconsolidadonov[[#This Row],[TOTAL]]=LARGE($AJ$37:$AJ$50,3),despesafixaconsolidadonov[[#This Row],[TOTAL]]=LARGE($AJ$37:$AJ$50,4),despesafixaconsolidadonov[[#This Row],[TOTAL]]=LARGE($AJ$37:$AJ$50,5)),DADOS!$I$8,""))</f>
        <v/>
      </c>
      <c r="E37" s="146" t="n">
        <f aca="false">SUMIFS(tabela_registros[VALOR],tabela_registros[MÊS],$AE$1,tabela_registros[DIA],novtotal3059718395107119131143155[[#Headers],[1]],tabela_registros[REGISTRO],DADOS!$N$4,tabela_registros[TIPO],DADOS!$P$3,tabela_registros[CATEGORIA],despesafixaconsolidadonov[[#This Row],[DESPESA FIXA]])</f>
        <v>0</v>
      </c>
      <c r="F37" s="114" t="n">
        <f aca="false">SUMIFS(tabela_registros[VALOR],tabela_registros[MÊS],$AE$1,tabela_registros[DIA],novtotal3059718395107119131143155[[#Headers],[2]],tabela_registros[REGISTRO],DADOS!$N$4,tabela_registros[TIPO],DADOS!$P$3,tabela_registros[CATEGORIA],despesafixaconsolidadonov[[#This Row],[DESPESA FIXA]])</f>
        <v>0</v>
      </c>
      <c r="G37" s="114" t="n">
        <f aca="false">SUMIFS(tabela_registros[VALOR],tabela_registros[MÊS],$AE$1,tabela_registros[DIA],novtotal3059718395107119131143155[[#Headers],[3]],tabela_registros[REGISTRO],DADOS!$N$4,tabela_registros[TIPO],DADOS!$P$3,tabela_registros[CATEGORIA],despesafixaconsolidadonov[[#This Row],[DESPESA FIXA]])</f>
        <v>0</v>
      </c>
      <c r="H37" s="114" t="n">
        <f aca="false">SUMIFS(tabela_registros[VALOR],tabela_registros[MÊS],$AE$1,tabela_registros[DIA],novtotal3059718395107119131143155[[#Headers],[4]],tabela_registros[REGISTRO],DADOS!$N$4,tabela_registros[TIPO],DADOS!$P$3,tabela_registros[CATEGORIA],despesafixaconsolidadonov[[#This Row],[DESPESA FIXA]])</f>
        <v>0</v>
      </c>
      <c r="I37" s="114" t="n">
        <f aca="false">SUMIFS(tabela_registros[VALOR],tabela_registros[MÊS],$AE$1,tabela_registros[DIA],novtotal3059718395107119131143155[[#Headers],[5]],tabela_registros[REGISTRO],DADOS!$N$4,tabela_registros[TIPO],DADOS!$P$3,tabela_registros[CATEGORIA],despesafixaconsolidadonov[[#This Row],[DESPESA FIXA]])</f>
        <v>0</v>
      </c>
      <c r="J37" s="114" t="n">
        <f aca="false">SUMIFS(tabela_registros[VALOR],tabela_registros[MÊS],$AE$1,tabela_registros[DIA],novtotal3059718395107119131143155[[#Headers],[6]],tabela_registros[REGISTRO],DADOS!$N$4,tabela_registros[TIPO],DADOS!$P$3,tabela_registros[CATEGORIA],despesafixaconsolidadonov[[#This Row],[DESPESA FIXA]])</f>
        <v>0</v>
      </c>
      <c r="K37" s="114" t="n">
        <f aca="false">SUMIFS(tabela_registros[VALOR],tabela_registros[MÊS],$AE$1,tabela_registros[DIA],novtotal3059718395107119131143155[[#Headers],[7]],tabela_registros[REGISTRO],DADOS!$N$4,tabela_registros[TIPO],DADOS!$P$3,tabela_registros[CATEGORIA],despesafixaconsolidadonov[[#This Row],[DESPESA FIXA]])</f>
        <v>0</v>
      </c>
      <c r="L37" s="114" t="n">
        <f aca="false">SUMIFS(tabela_registros[VALOR],tabela_registros[MÊS],$AE$1,tabela_registros[DIA],novtotal3059718395107119131143155[[#Headers],[8]],tabela_registros[REGISTRO],DADOS!$N$4,tabela_registros[TIPO],DADOS!$P$3,tabela_registros[CATEGORIA],despesafixaconsolidadonov[[#This Row],[DESPESA FIXA]])</f>
        <v>0</v>
      </c>
      <c r="M37" s="114" t="n">
        <f aca="false">SUMIFS(tabela_registros[VALOR],tabela_registros[MÊS],$AE$1,tabela_registros[DIA],novtotal3059718395107119131143155[[#Headers],[9]],tabela_registros[REGISTRO],DADOS!$N$4,tabela_registros[TIPO],DADOS!$P$3,tabela_registros[CATEGORIA],despesafixaconsolidadonov[[#This Row],[DESPESA FIXA]])</f>
        <v>0</v>
      </c>
      <c r="N37" s="114" t="n">
        <f aca="false">SUMIFS(tabela_registros[VALOR],tabela_registros[MÊS],$AE$1,tabela_registros[DIA],novtotal3059718395107119131143155[[#Headers],[10]],tabela_registros[REGISTRO],DADOS!$N$4,tabela_registros[TIPO],DADOS!$P$3,tabela_registros[CATEGORIA],despesafixaconsolidadonov[[#This Row],[DESPESA FIXA]])</f>
        <v>0</v>
      </c>
      <c r="O37" s="114" t="n">
        <f aca="false">SUMIFS(tabela_registros[VALOR],tabela_registros[MÊS],$AE$1,tabela_registros[DIA],novtotal3059718395107119131143155[[#Headers],[11]],tabela_registros[REGISTRO],DADOS!$N$4,tabela_registros[TIPO],DADOS!$P$3,tabela_registros[CATEGORIA],despesafixaconsolidadonov[[#This Row],[DESPESA FIXA]])</f>
        <v>0</v>
      </c>
      <c r="P37" s="114" t="n">
        <f aca="false">SUMIFS(tabela_registros[VALOR],tabela_registros[MÊS],$AE$1,tabela_registros[DIA],novtotal3059718395107119131143155[[#Headers],[12]],tabela_registros[REGISTRO],DADOS!$N$4,tabela_registros[TIPO],DADOS!$P$3,tabela_registros[CATEGORIA],despesafixaconsolidadonov[[#This Row],[DESPESA FIXA]])</f>
        <v>0</v>
      </c>
      <c r="Q37" s="114" t="n">
        <f aca="false">SUMIFS(tabela_registros[VALOR],tabela_registros[MÊS],$AE$1,tabela_registros[DIA],novtotal3059718395107119131143155[[#Headers],[13]],tabela_registros[REGISTRO],DADOS!$N$4,tabela_registros[TIPO],DADOS!$P$3,tabela_registros[CATEGORIA],despesafixaconsolidadonov[[#This Row],[DESPESA FIXA]])</f>
        <v>0</v>
      </c>
      <c r="R37" s="114" t="n">
        <f aca="false">SUMIFS(tabela_registros[VALOR],tabela_registros[MÊS],$AE$1,tabela_registros[DIA],novtotal3059718395107119131143155[[#Headers],[14]],tabela_registros[REGISTRO],DADOS!$N$4,tabela_registros[TIPO],DADOS!$P$3,tabela_registros[CATEGORIA],despesafixaconsolidadonov[[#This Row],[DESPESA FIXA]])</f>
        <v>0</v>
      </c>
      <c r="S37" s="114" t="n">
        <f aca="false">SUMIFS(tabela_registros[VALOR],tabela_registros[MÊS],$AE$1,tabela_registros[DIA],novtotal3059718395107119131143155[[#Headers],[15]],tabela_registros[REGISTRO],DADOS!$N$4,tabela_registros[TIPO],DADOS!$P$3,tabela_registros[CATEGORIA],despesafixaconsolidadonov[[#This Row],[DESPESA FIXA]])</f>
        <v>0</v>
      </c>
      <c r="T37" s="114" t="n">
        <f aca="false">SUMIFS(tabela_registros[VALOR],tabela_registros[MÊS],$AE$1,tabela_registros[DIA],novtotal3059718395107119131143155[[#Headers],[16]],tabela_registros[REGISTRO],DADOS!$N$4,tabela_registros[TIPO],DADOS!$P$3,tabela_registros[CATEGORIA],despesafixaconsolidadonov[[#This Row],[DESPESA FIXA]])</f>
        <v>0</v>
      </c>
      <c r="U37" s="114" t="n">
        <f aca="false">SUMIFS(tabela_registros[VALOR],tabela_registros[MÊS],$AE$1,tabela_registros[DIA],novtotal3059718395107119131143155[[#Headers],[17]],tabela_registros[REGISTRO],DADOS!$N$4,tabela_registros[TIPO],DADOS!$P$3,tabela_registros[CATEGORIA],despesafixaconsolidadonov[[#This Row],[DESPESA FIXA]])</f>
        <v>0</v>
      </c>
      <c r="V37" s="114" t="n">
        <f aca="false">SUMIFS(tabela_registros[VALOR],tabela_registros[MÊS],$AE$1,tabela_registros[DIA],novtotal3059718395107119131143155[[#Headers],[18]],tabela_registros[REGISTRO],DADOS!$N$4,tabela_registros[TIPO],DADOS!$P$3,tabela_registros[CATEGORIA],despesafixaconsolidadonov[[#This Row],[DESPESA FIXA]])</f>
        <v>0</v>
      </c>
      <c r="W37" s="114" t="n">
        <f aca="false">SUMIFS(tabela_registros[VALOR],tabela_registros[MÊS],$AE$1,tabela_registros[DIA],novtotal3059718395107119131143155[[#Headers],[19]],tabela_registros[REGISTRO],DADOS!$N$4,tabela_registros[TIPO],DADOS!$P$3,tabela_registros[CATEGORIA],despesafixaconsolidadonov[[#This Row],[DESPESA FIXA]])</f>
        <v>0</v>
      </c>
      <c r="X37" s="114" t="n">
        <f aca="false">SUMIFS(tabela_registros[VALOR],tabela_registros[MÊS],$AE$1,tabela_registros[DIA],novtotal3059718395107119131143155[[#Headers],[20]],tabela_registros[REGISTRO],DADOS!$N$4,tabela_registros[TIPO],DADOS!$P$3,tabela_registros[CATEGORIA],despesafixaconsolidadonov[[#This Row],[DESPESA FIXA]])</f>
        <v>0</v>
      </c>
      <c r="Y37" s="114" t="n">
        <f aca="false">SUMIFS(tabela_registros[VALOR],tabela_registros[MÊS],$AE$1,tabela_registros[DIA],novtotal3059718395107119131143155[[#Headers],[21]],tabela_registros[REGISTRO],DADOS!$N$4,tabela_registros[TIPO],DADOS!$P$3,tabela_registros[CATEGORIA],despesafixaconsolidadonov[[#This Row],[DESPESA FIXA]])</f>
        <v>0</v>
      </c>
      <c r="Z37" s="114" t="n">
        <f aca="false">SUMIFS(tabela_registros[VALOR],tabela_registros[MÊS],$AE$1,tabela_registros[DIA],novtotal3059718395107119131143155[[#Headers],[22]],tabela_registros[REGISTRO],DADOS!$N$4,tabela_registros[TIPO],DADOS!$P$3,tabela_registros[CATEGORIA],despesafixaconsolidadonov[[#This Row],[DESPESA FIXA]])</f>
        <v>0</v>
      </c>
      <c r="AA37" s="114" t="n">
        <f aca="false">SUMIFS(tabela_registros[VALOR],tabela_registros[MÊS],$AE$1,tabela_registros[DIA],novtotal3059718395107119131143155[[#Headers],[23]],tabela_registros[REGISTRO],DADOS!$N$4,tabela_registros[TIPO],DADOS!$P$3,tabela_registros[CATEGORIA],despesafixaconsolidadonov[[#This Row],[DESPESA FIXA]])</f>
        <v>0</v>
      </c>
      <c r="AB37" s="114" t="n">
        <f aca="false">SUMIFS(tabela_registros[VALOR],tabela_registros[MÊS],$AE$1,tabela_registros[DIA],novtotal3059718395107119131143155[[#Headers],[24]],tabela_registros[REGISTRO],DADOS!$N$4,tabela_registros[TIPO],DADOS!$P$3,tabela_registros[CATEGORIA],despesafixaconsolidadonov[[#This Row],[DESPESA FIXA]])</f>
        <v>0</v>
      </c>
      <c r="AC37" s="114" t="n">
        <f aca="false">SUMIFS(tabela_registros[VALOR],tabela_registros[MÊS],$AE$1,tabela_registros[DIA],novtotal3059718395107119131143155[[#Headers],[25]],tabela_registros[REGISTRO],DADOS!$N$4,tabela_registros[TIPO],DADOS!$P$3,tabela_registros[CATEGORIA],despesafixaconsolidadonov[[#This Row],[DESPESA FIXA]])</f>
        <v>0</v>
      </c>
      <c r="AD37" s="114" t="n">
        <f aca="false">SUMIFS(tabela_registros[VALOR],tabela_registros[MÊS],$AE$1,tabela_registros[DIA],novtotal3059718395107119131143155[[#Headers],[26]],tabela_registros[REGISTRO],DADOS!$N$4,tabela_registros[TIPO],DADOS!$P$3,tabela_registros[CATEGORIA],despesafixaconsolidadonov[[#This Row],[DESPESA FIXA]])</f>
        <v>0</v>
      </c>
      <c r="AE37" s="114" t="n">
        <f aca="false">SUMIFS(tabela_registros[VALOR],tabela_registros[MÊS],$AE$1,tabela_registros[DIA],novtotal3059718395107119131143155[[#Headers],[27]],tabela_registros[REGISTRO],DADOS!$N$4,tabela_registros[TIPO],DADOS!$P$3,tabela_registros[CATEGORIA],despesafixaconsolidadonov[[#This Row],[DESPESA FIXA]])</f>
        <v>0</v>
      </c>
      <c r="AF37" s="114" t="n">
        <f aca="false">SUMIFS(tabela_registros[VALOR],tabela_registros[MÊS],$AE$1,tabela_registros[DIA],novtotal3059718395107119131143155[[#Headers],[28]],tabela_registros[REGISTRO],DADOS!$N$4,tabela_registros[TIPO],DADOS!$P$3,tabela_registros[CATEGORIA],despesafixaconsolidadonov[[#This Row],[DESPESA FIXA]])</f>
        <v>0</v>
      </c>
      <c r="AG37" s="114" t="n">
        <f aca="false">SUMIFS(tabela_registros[VALOR],tabela_registros[MÊS],$AE$1,tabela_registros[DIA],novtotal3059718395107119131143155[[#Headers],[29]],tabela_registros[REGISTRO],DADOS!$N$4,tabela_registros[TIPO],DADOS!$P$3,tabela_registros[CATEGORIA],despesafixaconsolidadonov[[#This Row],[DESPESA FIXA]])</f>
        <v>0</v>
      </c>
      <c r="AH37" s="114" t="n">
        <f aca="false">SUMIFS(tabela_registros[VALOR],tabela_registros[MÊS],$AE$1,tabela_registros[DIA],novtotal3059718395107119131143155[[#Headers],[30]],tabela_registros[REGISTRO],DADOS!$N$4,tabela_registros[TIPO],DADOS!$P$3,tabela_registros[CATEGORIA],despesafixaconsolidadonov[[#This Row],[DESPESA FIXA]])</f>
        <v>0</v>
      </c>
      <c r="AI37" s="216" t="n">
        <f aca="false">SUMIFS(tabela_registros[VALOR],tabela_registros[MÊS],$AE$1,tabela_registros[DIA],novtotal3059718395107119131143155[[#Headers],[31]],tabela_registros[REGISTRO],DADOS!$N$4,tabela_registros[TIPO],DADOS!$P$3,tabela_registros[CATEGORIA],despesafixaconsolidadonov[[#This Row],[DESPESA FIXA]])</f>
        <v>0</v>
      </c>
      <c r="AJ37" s="147" t="n">
        <f aca="false">SUM(despesafixaconsolidadonov[[#This Row],[1]:[31]])</f>
        <v>0</v>
      </c>
      <c r="AK37" s="143"/>
    </row>
    <row r="38" customFormat="false" ht="18" hidden="false" customHeight="true" outlineLevel="0" collapsed="false">
      <c r="B38" s="143"/>
      <c r="C38" s="144" t="str">
        <f aca="false">DADOS!$R$4</f>
        <v>🐶 ANIMAIS DE ESTIMAÇÃO</v>
      </c>
      <c r="D38" s="145" t="str">
        <f aca="false">IF(despesafixaconsolidadonov[[#This Row],[TOTAL]]=0,"",IF(OR(despesafixaconsolidadonov[[#This Row],[TOTAL]]=LARGE($AJ$37:$AJ$50,1),despesafixaconsolidadonov[[#This Row],[TOTAL]]=LARGE($AJ$37:$AJ$50,2),despesafixaconsolidadonov[[#This Row],[TOTAL]]=LARGE($AJ$37:$AJ$50,3),despesafixaconsolidadonov[[#This Row],[TOTAL]]=LARGE($AJ$37:$AJ$50,4),despesafixaconsolidadonov[[#This Row],[TOTAL]]=LARGE($AJ$37:$AJ$50,5)),DADOS!$I$8,""))</f>
        <v/>
      </c>
      <c r="E38" s="148" t="n">
        <f aca="false">SUMIFS(tabela_registros[VALOR],tabela_registros[MÊS],$AE$1,tabela_registros[DIA],novtotal3059718395107119131143155[[#Headers],[1]],tabela_registros[REGISTRO],DADOS!$N$4,tabela_registros[TIPO],DADOS!$P$3,tabela_registros[CATEGORIA],despesafixaconsolidadonov[[#This Row],[DESPESA FIXA]])</f>
        <v>0</v>
      </c>
      <c r="F38" s="119" t="n">
        <f aca="false">SUMIFS(tabela_registros[VALOR],tabela_registros[MÊS],$AE$1,tabela_registros[DIA],novtotal3059718395107119131143155[[#Headers],[2]],tabela_registros[REGISTRO],DADOS!$N$4,tabela_registros[TIPO],DADOS!$P$3,tabela_registros[CATEGORIA],despesafixaconsolidadonov[[#This Row],[DESPESA FIXA]])</f>
        <v>0</v>
      </c>
      <c r="G38" s="119" t="n">
        <f aca="false">SUMIFS(tabela_registros[VALOR],tabela_registros[MÊS],$AE$1,tabela_registros[DIA],novtotal3059718395107119131143155[[#Headers],[3]],tabela_registros[REGISTRO],DADOS!$N$4,tabela_registros[TIPO],DADOS!$P$3,tabela_registros[CATEGORIA],despesafixaconsolidadonov[[#This Row],[DESPESA FIXA]])</f>
        <v>0</v>
      </c>
      <c r="H38" s="119" t="n">
        <f aca="false">SUMIFS(tabela_registros[VALOR],tabela_registros[MÊS],$AE$1,tabela_registros[DIA],novtotal3059718395107119131143155[[#Headers],[4]],tabela_registros[REGISTRO],DADOS!$N$4,tabela_registros[TIPO],DADOS!$P$3,tabela_registros[CATEGORIA],despesafixaconsolidadonov[[#This Row],[DESPESA FIXA]])</f>
        <v>0</v>
      </c>
      <c r="I38" s="119" t="n">
        <f aca="false">SUMIFS(tabela_registros[VALOR],tabela_registros[MÊS],$AE$1,tabela_registros[DIA],novtotal3059718395107119131143155[[#Headers],[5]],tabela_registros[REGISTRO],DADOS!$N$4,tabela_registros[TIPO],DADOS!$P$3,tabela_registros[CATEGORIA],despesafixaconsolidadonov[[#This Row],[DESPESA FIXA]])</f>
        <v>0</v>
      </c>
      <c r="J38" s="119" t="n">
        <f aca="false">SUMIFS(tabela_registros[VALOR],tabela_registros[MÊS],$AE$1,tabela_registros[DIA],novtotal3059718395107119131143155[[#Headers],[6]],tabela_registros[REGISTRO],DADOS!$N$4,tabela_registros[TIPO],DADOS!$P$3,tabela_registros[CATEGORIA],despesafixaconsolidadonov[[#This Row],[DESPESA FIXA]])</f>
        <v>0</v>
      </c>
      <c r="K38" s="119" t="n">
        <f aca="false">SUMIFS(tabela_registros[VALOR],tabela_registros[MÊS],$AE$1,tabela_registros[DIA],novtotal3059718395107119131143155[[#Headers],[7]],tabela_registros[REGISTRO],DADOS!$N$4,tabela_registros[TIPO],DADOS!$P$3,tabela_registros[CATEGORIA],despesafixaconsolidadonov[[#This Row],[DESPESA FIXA]])</f>
        <v>0</v>
      </c>
      <c r="L38" s="119" t="n">
        <f aca="false">SUMIFS(tabela_registros[VALOR],tabela_registros[MÊS],$AE$1,tabela_registros[DIA],novtotal3059718395107119131143155[[#Headers],[8]],tabela_registros[REGISTRO],DADOS!$N$4,tabela_registros[TIPO],DADOS!$P$3,tabela_registros[CATEGORIA],despesafixaconsolidadonov[[#This Row],[DESPESA FIXA]])</f>
        <v>0</v>
      </c>
      <c r="M38" s="119" t="n">
        <f aca="false">SUMIFS(tabela_registros[VALOR],tabela_registros[MÊS],$AE$1,tabela_registros[DIA],novtotal3059718395107119131143155[[#Headers],[9]],tabela_registros[REGISTRO],DADOS!$N$4,tabela_registros[TIPO],DADOS!$P$3,tabela_registros[CATEGORIA],despesafixaconsolidadonov[[#This Row],[DESPESA FIXA]])</f>
        <v>0</v>
      </c>
      <c r="N38" s="119" t="n">
        <f aca="false">SUMIFS(tabela_registros[VALOR],tabela_registros[MÊS],$AE$1,tabela_registros[DIA],novtotal3059718395107119131143155[[#Headers],[10]],tabela_registros[REGISTRO],DADOS!$N$4,tabela_registros[TIPO],DADOS!$P$3,tabela_registros[CATEGORIA],despesafixaconsolidadonov[[#This Row],[DESPESA FIXA]])</f>
        <v>0</v>
      </c>
      <c r="O38" s="119" t="n">
        <f aca="false">SUMIFS(tabela_registros[VALOR],tabela_registros[MÊS],$AE$1,tabela_registros[DIA],novtotal3059718395107119131143155[[#Headers],[11]],tabela_registros[REGISTRO],DADOS!$N$4,tabela_registros[TIPO],DADOS!$P$3,tabela_registros[CATEGORIA],despesafixaconsolidadonov[[#This Row],[DESPESA FIXA]])</f>
        <v>0</v>
      </c>
      <c r="P38" s="119" t="n">
        <f aca="false">SUMIFS(tabela_registros[VALOR],tabela_registros[MÊS],$AE$1,tabela_registros[DIA],novtotal3059718395107119131143155[[#Headers],[12]],tabela_registros[REGISTRO],DADOS!$N$4,tabela_registros[TIPO],DADOS!$P$3,tabela_registros[CATEGORIA],despesafixaconsolidadonov[[#This Row],[DESPESA FIXA]])</f>
        <v>0</v>
      </c>
      <c r="Q38" s="119" t="n">
        <f aca="false">SUMIFS(tabela_registros[VALOR],tabela_registros[MÊS],$AE$1,tabela_registros[DIA],novtotal3059718395107119131143155[[#Headers],[13]],tabela_registros[REGISTRO],DADOS!$N$4,tabela_registros[TIPO],DADOS!$P$3,tabela_registros[CATEGORIA],despesafixaconsolidadonov[[#This Row],[DESPESA FIXA]])</f>
        <v>0</v>
      </c>
      <c r="R38" s="119" t="n">
        <f aca="false">SUMIFS(tabela_registros[VALOR],tabela_registros[MÊS],$AE$1,tabela_registros[DIA],novtotal3059718395107119131143155[[#Headers],[14]],tabela_registros[REGISTRO],DADOS!$N$4,tabela_registros[TIPO],DADOS!$P$3,tabela_registros[CATEGORIA],despesafixaconsolidadonov[[#This Row],[DESPESA FIXA]])</f>
        <v>0</v>
      </c>
      <c r="S38" s="119" t="n">
        <f aca="false">SUMIFS(tabela_registros[VALOR],tabela_registros[MÊS],$AE$1,tabela_registros[DIA],novtotal3059718395107119131143155[[#Headers],[15]],tabela_registros[REGISTRO],DADOS!$N$4,tabela_registros[TIPO],DADOS!$P$3,tabela_registros[CATEGORIA],despesafixaconsolidadonov[[#This Row],[DESPESA FIXA]])</f>
        <v>0</v>
      </c>
      <c r="T38" s="119" t="n">
        <f aca="false">SUMIFS(tabela_registros[VALOR],tabela_registros[MÊS],$AE$1,tabela_registros[DIA],novtotal3059718395107119131143155[[#Headers],[16]],tabela_registros[REGISTRO],DADOS!$N$4,tabela_registros[TIPO],DADOS!$P$3,tabela_registros[CATEGORIA],despesafixaconsolidadonov[[#This Row],[DESPESA FIXA]])</f>
        <v>0</v>
      </c>
      <c r="U38" s="119" t="n">
        <f aca="false">SUMIFS(tabela_registros[VALOR],tabela_registros[MÊS],$AE$1,tabela_registros[DIA],novtotal3059718395107119131143155[[#Headers],[17]],tabela_registros[REGISTRO],DADOS!$N$4,tabela_registros[TIPO],DADOS!$P$3,tabela_registros[CATEGORIA],despesafixaconsolidadonov[[#This Row],[DESPESA FIXA]])</f>
        <v>0</v>
      </c>
      <c r="V38" s="119" t="n">
        <f aca="false">SUMIFS(tabela_registros[VALOR],tabela_registros[MÊS],$AE$1,tabela_registros[DIA],novtotal3059718395107119131143155[[#Headers],[18]],tabela_registros[REGISTRO],DADOS!$N$4,tabela_registros[TIPO],DADOS!$P$3,tabela_registros[CATEGORIA],despesafixaconsolidadonov[[#This Row],[DESPESA FIXA]])</f>
        <v>0</v>
      </c>
      <c r="W38" s="119" t="n">
        <f aca="false">SUMIFS(tabela_registros[VALOR],tabela_registros[MÊS],$AE$1,tabela_registros[DIA],novtotal3059718395107119131143155[[#Headers],[19]],tabela_registros[REGISTRO],DADOS!$N$4,tabela_registros[TIPO],DADOS!$P$3,tabela_registros[CATEGORIA],despesafixaconsolidadonov[[#This Row],[DESPESA FIXA]])</f>
        <v>0</v>
      </c>
      <c r="X38" s="119" t="n">
        <f aca="false">SUMIFS(tabela_registros[VALOR],tabela_registros[MÊS],$AE$1,tabela_registros[DIA],novtotal3059718395107119131143155[[#Headers],[20]],tabela_registros[REGISTRO],DADOS!$N$4,tabela_registros[TIPO],DADOS!$P$3,tabela_registros[CATEGORIA],despesafixaconsolidadonov[[#This Row],[DESPESA FIXA]])</f>
        <v>0</v>
      </c>
      <c r="Y38" s="119" t="n">
        <f aca="false">SUMIFS(tabela_registros[VALOR],tabela_registros[MÊS],$AE$1,tabela_registros[DIA],novtotal3059718395107119131143155[[#Headers],[21]],tabela_registros[REGISTRO],DADOS!$N$4,tabela_registros[TIPO],DADOS!$P$3,tabela_registros[CATEGORIA],despesafixaconsolidadonov[[#This Row],[DESPESA FIXA]])</f>
        <v>0</v>
      </c>
      <c r="Z38" s="119" t="n">
        <f aca="false">SUMIFS(tabela_registros[VALOR],tabela_registros[MÊS],$AE$1,tabela_registros[DIA],novtotal3059718395107119131143155[[#Headers],[22]],tabela_registros[REGISTRO],DADOS!$N$4,tabela_registros[TIPO],DADOS!$P$3,tabela_registros[CATEGORIA],despesafixaconsolidadonov[[#This Row],[DESPESA FIXA]])</f>
        <v>0</v>
      </c>
      <c r="AA38" s="119" t="n">
        <f aca="false">SUMIFS(tabela_registros[VALOR],tabela_registros[MÊS],$AE$1,tabela_registros[DIA],novtotal3059718395107119131143155[[#Headers],[23]],tabela_registros[REGISTRO],DADOS!$N$4,tabela_registros[TIPO],DADOS!$P$3,tabela_registros[CATEGORIA],despesafixaconsolidadonov[[#This Row],[DESPESA FIXA]])</f>
        <v>0</v>
      </c>
      <c r="AB38" s="119" t="n">
        <f aca="false">SUMIFS(tabela_registros[VALOR],tabela_registros[MÊS],$AE$1,tabela_registros[DIA],novtotal3059718395107119131143155[[#Headers],[24]],tabela_registros[REGISTRO],DADOS!$N$4,tabela_registros[TIPO],DADOS!$P$3,tabela_registros[CATEGORIA],despesafixaconsolidadonov[[#This Row],[DESPESA FIXA]])</f>
        <v>0</v>
      </c>
      <c r="AC38" s="119" t="n">
        <f aca="false">SUMIFS(tabela_registros[VALOR],tabela_registros[MÊS],$AE$1,tabela_registros[DIA],novtotal3059718395107119131143155[[#Headers],[25]],tabela_registros[REGISTRO],DADOS!$N$4,tabela_registros[TIPO],DADOS!$P$3,tabela_registros[CATEGORIA],despesafixaconsolidadonov[[#This Row],[DESPESA FIXA]])</f>
        <v>0</v>
      </c>
      <c r="AD38" s="119" t="n">
        <f aca="false">SUMIFS(tabela_registros[VALOR],tabela_registros[MÊS],$AE$1,tabela_registros[DIA],novtotal3059718395107119131143155[[#Headers],[26]],tabela_registros[REGISTRO],DADOS!$N$4,tabela_registros[TIPO],DADOS!$P$3,tabela_registros[CATEGORIA],despesafixaconsolidadonov[[#This Row],[DESPESA FIXA]])</f>
        <v>0</v>
      </c>
      <c r="AE38" s="119" t="n">
        <f aca="false">SUMIFS(tabela_registros[VALOR],tabela_registros[MÊS],$AE$1,tabela_registros[DIA],novtotal3059718395107119131143155[[#Headers],[27]],tabela_registros[REGISTRO],DADOS!$N$4,tabela_registros[TIPO],DADOS!$P$3,tabela_registros[CATEGORIA],despesafixaconsolidadonov[[#This Row],[DESPESA FIXA]])</f>
        <v>0</v>
      </c>
      <c r="AF38" s="119" t="n">
        <f aca="false">SUMIFS(tabela_registros[VALOR],tabela_registros[MÊS],$AE$1,tabela_registros[DIA],novtotal3059718395107119131143155[[#Headers],[28]],tabela_registros[REGISTRO],DADOS!$N$4,tabela_registros[TIPO],DADOS!$P$3,tabela_registros[CATEGORIA],despesafixaconsolidadonov[[#This Row],[DESPESA FIXA]])</f>
        <v>0</v>
      </c>
      <c r="AG38" s="119" t="n">
        <f aca="false">SUMIFS(tabela_registros[VALOR],tabela_registros[MÊS],$AE$1,tabela_registros[DIA],novtotal3059718395107119131143155[[#Headers],[29]],tabela_registros[REGISTRO],DADOS!$N$4,tabela_registros[TIPO],DADOS!$P$3,tabela_registros[CATEGORIA],despesafixaconsolidadonov[[#This Row],[DESPESA FIXA]])</f>
        <v>0</v>
      </c>
      <c r="AH38" s="119" t="n">
        <f aca="false">SUMIFS(tabela_registros[VALOR],tabela_registros[MÊS],$AE$1,tabela_registros[DIA],novtotal3059718395107119131143155[[#Headers],[30]],tabela_registros[REGISTRO],DADOS!$N$4,tabela_registros[TIPO],DADOS!$P$3,tabela_registros[CATEGORIA],despesafixaconsolidadonov[[#This Row],[DESPESA FIXA]])</f>
        <v>0</v>
      </c>
      <c r="AI38" s="217" t="n">
        <f aca="false">SUMIFS(tabela_registros[VALOR],tabela_registros[MÊS],$AE$1,tabela_registros[DIA],novtotal3059718395107119131143155[[#Headers],[31]],tabela_registros[REGISTRO],DADOS!$N$4,tabela_registros[TIPO],DADOS!$P$3,tabela_registros[CATEGORIA],despesafixaconsolidadonov[[#This Row],[DESPESA FIXA]])</f>
        <v>0</v>
      </c>
      <c r="AJ38" s="149" t="n">
        <f aca="false">SUM(despesafixaconsolidadonov[[#This Row],[1]:[31]])</f>
        <v>0</v>
      </c>
      <c r="AK38" s="143"/>
    </row>
    <row r="39" customFormat="false" ht="18" hidden="false" customHeight="true" outlineLevel="0" collapsed="false">
      <c r="B39" s="143"/>
      <c r="C39" s="144" t="str">
        <f aca="false">DADOS!$R$5</f>
        <v>🔖 ASSINATURAS E SERVIÇOS</v>
      </c>
      <c r="D39" s="145" t="str">
        <f aca="false">IF(despesafixaconsolidadonov[[#This Row],[TOTAL]]=0,"",IF(OR(despesafixaconsolidadonov[[#This Row],[TOTAL]]=LARGE($AJ$37:$AJ$50,1),despesafixaconsolidadonov[[#This Row],[TOTAL]]=LARGE($AJ$37:$AJ$50,2),despesafixaconsolidadonov[[#This Row],[TOTAL]]=LARGE($AJ$37:$AJ$50,3),despesafixaconsolidadonov[[#This Row],[TOTAL]]=LARGE($AJ$37:$AJ$50,4),despesafixaconsolidadonov[[#This Row],[TOTAL]]=LARGE($AJ$37:$AJ$50,5)),DADOS!$I$8,""))</f>
        <v/>
      </c>
      <c r="E39" s="148" t="n">
        <f aca="false">SUMIFS(tabela_registros[VALOR],tabela_registros[MÊS],$AE$1,tabela_registros[DIA],novtotal3059718395107119131143155[[#Headers],[1]],tabela_registros[REGISTRO],DADOS!$N$4,tabela_registros[TIPO],DADOS!$P$3,tabela_registros[CATEGORIA],despesafixaconsolidadonov[[#This Row],[DESPESA FIXA]])</f>
        <v>0</v>
      </c>
      <c r="F39" s="119" t="n">
        <f aca="false">SUMIFS(tabela_registros[VALOR],tabela_registros[MÊS],$AE$1,tabela_registros[DIA],novtotal3059718395107119131143155[[#Headers],[2]],tabela_registros[REGISTRO],DADOS!$N$4,tabela_registros[TIPO],DADOS!$P$3,tabela_registros[CATEGORIA],despesafixaconsolidadonov[[#This Row],[DESPESA FIXA]])</f>
        <v>0</v>
      </c>
      <c r="G39" s="119" t="n">
        <f aca="false">SUMIFS(tabela_registros[VALOR],tabela_registros[MÊS],$AE$1,tabela_registros[DIA],novtotal3059718395107119131143155[[#Headers],[3]],tabela_registros[REGISTRO],DADOS!$N$4,tabela_registros[TIPO],DADOS!$P$3,tabela_registros[CATEGORIA],despesafixaconsolidadonov[[#This Row],[DESPESA FIXA]])</f>
        <v>0</v>
      </c>
      <c r="H39" s="119" t="n">
        <f aca="false">SUMIFS(tabela_registros[VALOR],tabela_registros[MÊS],$AE$1,tabela_registros[DIA],novtotal3059718395107119131143155[[#Headers],[4]],tabela_registros[REGISTRO],DADOS!$N$4,tabela_registros[TIPO],DADOS!$P$3,tabela_registros[CATEGORIA],despesafixaconsolidadonov[[#This Row],[DESPESA FIXA]])</f>
        <v>0</v>
      </c>
      <c r="I39" s="119" t="n">
        <f aca="false">SUMIFS(tabela_registros[VALOR],tabela_registros[MÊS],$AE$1,tabela_registros[DIA],novtotal3059718395107119131143155[[#Headers],[5]],tabela_registros[REGISTRO],DADOS!$N$4,tabela_registros[TIPO],DADOS!$P$3,tabela_registros[CATEGORIA],despesafixaconsolidadonov[[#This Row],[DESPESA FIXA]])</f>
        <v>0</v>
      </c>
      <c r="J39" s="119" t="n">
        <f aca="false">SUMIFS(tabela_registros[VALOR],tabela_registros[MÊS],$AE$1,tabela_registros[DIA],novtotal3059718395107119131143155[[#Headers],[6]],tabela_registros[REGISTRO],DADOS!$N$4,tabela_registros[TIPO],DADOS!$P$3,tabela_registros[CATEGORIA],despesafixaconsolidadonov[[#This Row],[DESPESA FIXA]])</f>
        <v>0</v>
      </c>
      <c r="K39" s="119" t="n">
        <f aca="false">SUMIFS(tabela_registros[VALOR],tabela_registros[MÊS],$AE$1,tabela_registros[DIA],novtotal3059718395107119131143155[[#Headers],[7]],tabela_registros[REGISTRO],DADOS!$N$4,tabela_registros[TIPO],DADOS!$P$3,tabela_registros[CATEGORIA],despesafixaconsolidadonov[[#This Row],[DESPESA FIXA]])</f>
        <v>0</v>
      </c>
      <c r="L39" s="119" t="n">
        <f aca="false">SUMIFS(tabela_registros[VALOR],tabela_registros[MÊS],$AE$1,tabela_registros[DIA],novtotal3059718395107119131143155[[#Headers],[8]],tabela_registros[REGISTRO],DADOS!$N$4,tabela_registros[TIPO],DADOS!$P$3,tabela_registros[CATEGORIA],despesafixaconsolidadonov[[#This Row],[DESPESA FIXA]])</f>
        <v>0</v>
      </c>
      <c r="M39" s="119" t="n">
        <f aca="false">SUMIFS(tabela_registros[VALOR],tabela_registros[MÊS],$AE$1,tabela_registros[DIA],novtotal3059718395107119131143155[[#Headers],[9]],tabela_registros[REGISTRO],DADOS!$N$4,tabela_registros[TIPO],DADOS!$P$3,tabela_registros[CATEGORIA],despesafixaconsolidadonov[[#This Row],[DESPESA FIXA]])</f>
        <v>0</v>
      </c>
      <c r="N39" s="119" t="n">
        <f aca="false">SUMIFS(tabela_registros[VALOR],tabela_registros[MÊS],$AE$1,tabela_registros[DIA],novtotal3059718395107119131143155[[#Headers],[10]],tabela_registros[REGISTRO],DADOS!$N$4,tabela_registros[TIPO],DADOS!$P$3,tabela_registros[CATEGORIA],despesafixaconsolidadonov[[#This Row],[DESPESA FIXA]])</f>
        <v>0</v>
      </c>
      <c r="O39" s="119" t="n">
        <f aca="false">SUMIFS(tabela_registros[VALOR],tabela_registros[MÊS],$AE$1,tabela_registros[DIA],novtotal3059718395107119131143155[[#Headers],[11]],tabela_registros[REGISTRO],DADOS!$N$4,tabela_registros[TIPO],DADOS!$P$3,tabela_registros[CATEGORIA],despesafixaconsolidadonov[[#This Row],[DESPESA FIXA]])</f>
        <v>0</v>
      </c>
      <c r="P39" s="119" t="n">
        <f aca="false">SUMIFS(tabela_registros[VALOR],tabela_registros[MÊS],$AE$1,tabela_registros[DIA],novtotal3059718395107119131143155[[#Headers],[12]],tabela_registros[REGISTRO],DADOS!$N$4,tabela_registros[TIPO],DADOS!$P$3,tabela_registros[CATEGORIA],despesafixaconsolidadonov[[#This Row],[DESPESA FIXA]])</f>
        <v>0</v>
      </c>
      <c r="Q39" s="119" t="n">
        <f aca="false">SUMIFS(tabela_registros[VALOR],tabela_registros[MÊS],$AE$1,tabela_registros[DIA],novtotal3059718395107119131143155[[#Headers],[13]],tabela_registros[REGISTRO],DADOS!$N$4,tabela_registros[TIPO],DADOS!$P$3,tabela_registros[CATEGORIA],despesafixaconsolidadonov[[#This Row],[DESPESA FIXA]])</f>
        <v>0</v>
      </c>
      <c r="R39" s="119" t="n">
        <f aca="false">SUMIFS(tabela_registros[VALOR],tabela_registros[MÊS],$AE$1,tabela_registros[DIA],novtotal3059718395107119131143155[[#Headers],[14]],tabela_registros[REGISTRO],DADOS!$N$4,tabela_registros[TIPO],DADOS!$P$3,tabela_registros[CATEGORIA],despesafixaconsolidadonov[[#This Row],[DESPESA FIXA]])</f>
        <v>0</v>
      </c>
      <c r="S39" s="119" t="n">
        <f aca="false">SUMIFS(tabela_registros[VALOR],tabela_registros[MÊS],$AE$1,tabela_registros[DIA],novtotal3059718395107119131143155[[#Headers],[15]],tabela_registros[REGISTRO],DADOS!$N$4,tabela_registros[TIPO],DADOS!$P$3,tabela_registros[CATEGORIA],despesafixaconsolidadonov[[#This Row],[DESPESA FIXA]])</f>
        <v>0</v>
      </c>
      <c r="T39" s="119" t="n">
        <f aca="false">SUMIFS(tabela_registros[VALOR],tabela_registros[MÊS],$AE$1,tabela_registros[DIA],novtotal3059718395107119131143155[[#Headers],[16]],tabela_registros[REGISTRO],DADOS!$N$4,tabela_registros[TIPO],DADOS!$P$3,tabela_registros[CATEGORIA],despesafixaconsolidadonov[[#This Row],[DESPESA FIXA]])</f>
        <v>0</v>
      </c>
      <c r="U39" s="119" t="n">
        <f aca="false">SUMIFS(tabela_registros[VALOR],tabela_registros[MÊS],$AE$1,tabela_registros[DIA],novtotal3059718395107119131143155[[#Headers],[17]],tabela_registros[REGISTRO],DADOS!$N$4,tabela_registros[TIPO],DADOS!$P$3,tabela_registros[CATEGORIA],despesafixaconsolidadonov[[#This Row],[DESPESA FIXA]])</f>
        <v>0</v>
      </c>
      <c r="V39" s="119" t="n">
        <f aca="false">SUMIFS(tabela_registros[VALOR],tabela_registros[MÊS],$AE$1,tabela_registros[DIA],novtotal3059718395107119131143155[[#Headers],[18]],tabela_registros[REGISTRO],DADOS!$N$4,tabela_registros[TIPO],DADOS!$P$3,tabela_registros[CATEGORIA],despesafixaconsolidadonov[[#This Row],[DESPESA FIXA]])</f>
        <v>0</v>
      </c>
      <c r="W39" s="119" t="n">
        <f aca="false">SUMIFS(tabela_registros[VALOR],tabela_registros[MÊS],$AE$1,tabela_registros[DIA],novtotal3059718395107119131143155[[#Headers],[19]],tabela_registros[REGISTRO],DADOS!$N$4,tabela_registros[TIPO],DADOS!$P$3,tabela_registros[CATEGORIA],despesafixaconsolidadonov[[#This Row],[DESPESA FIXA]])</f>
        <v>0</v>
      </c>
      <c r="X39" s="119" t="n">
        <f aca="false">SUMIFS(tabela_registros[VALOR],tabela_registros[MÊS],$AE$1,tabela_registros[DIA],novtotal3059718395107119131143155[[#Headers],[20]],tabela_registros[REGISTRO],DADOS!$N$4,tabela_registros[TIPO],DADOS!$P$3,tabela_registros[CATEGORIA],despesafixaconsolidadonov[[#This Row],[DESPESA FIXA]])</f>
        <v>0</v>
      </c>
      <c r="Y39" s="119" t="n">
        <f aca="false">SUMIFS(tabela_registros[VALOR],tabela_registros[MÊS],$AE$1,tabela_registros[DIA],novtotal3059718395107119131143155[[#Headers],[21]],tabela_registros[REGISTRO],DADOS!$N$4,tabela_registros[TIPO],DADOS!$P$3,tabela_registros[CATEGORIA],despesafixaconsolidadonov[[#This Row],[DESPESA FIXA]])</f>
        <v>0</v>
      </c>
      <c r="Z39" s="119" t="n">
        <f aca="false">SUMIFS(tabela_registros[VALOR],tabela_registros[MÊS],$AE$1,tabela_registros[DIA],novtotal3059718395107119131143155[[#Headers],[22]],tabela_registros[REGISTRO],DADOS!$N$4,tabela_registros[TIPO],DADOS!$P$3,tabela_registros[CATEGORIA],despesafixaconsolidadonov[[#This Row],[DESPESA FIXA]])</f>
        <v>0</v>
      </c>
      <c r="AA39" s="119" t="n">
        <f aca="false">SUMIFS(tabela_registros[VALOR],tabela_registros[MÊS],$AE$1,tabela_registros[DIA],novtotal3059718395107119131143155[[#Headers],[23]],tabela_registros[REGISTRO],DADOS!$N$4,tabela_registros[TIPO],DADOS!$P$3,tabela_registros[CATEGORIA],despesafixaconsolidadonov[[#This Row],[DESPESA FIXA]])</f>
        <v>0</v>
      </c>
      <c r="AB39" s="119" t="n">
        <f aca="false">SUMIFS(tabela_registros[VALOR],tabela_registros[MÊS],$AE$1,tabela_registros[DIA],novtotal3059718395107119131143155[[#Headers],[24]],tabela_registros[REGISTRO],DADOS!$N$4,tabela_registros[TIPO],DADOS!$P$3,tabela_registros[CATEGORIA],despesafixaconsolidadonov[[#This Row],[DESPESA FIXA]])</f>
        <v>0</v>
      </c>
      <c r="AC39" s="119" t="n">
        <f aca="false">SUMIFS(tabela_registros[VALOR],tabela_registros[MÊS],$AE$1,tabela_registros[DIA],novtotal3059718395107119131143155[[#Headers],[25]],tabela_registros[REGISTRO],DADOS!$N$4,tabela_registros[TIPO],DADOS!$P$3,tabela_registros[CATEGORIA],despesafixaconsolidadonov[[#This Row],[DESPESA FIXA]])</f>
        <v>0</v>
      </c>
      <c r="AD39" s="119" t="n">
        <f aca="false">SUMIFS(tabela_registros[VALOR],tabela_registros[MÊS],$AE$1,tabela_registros[DIA],novtotal3059718395107119131143155[[#Headers],[26]],tabela_registros[REGISTRO],DADOS!$N$4,tabela_registros[TIPO],DADOS!$P$3,tabela_registros[CATEGORIA],despesafixaconsolidadonov[[#This Row],[DESPESA FIXA]])</f>
        <v>0</v>
      </c>
      <c r="AE39" s="119" t="n">
        <f aca="false">SUMIFS(tabela_registros[VALOR],tabela_registros[MÊS],$AE$1,tabela_registros[DIA],novtotal3059718395107119131143155[[#Headers],[27]],tabela_registros[REGISTRO],DADOS!$N$4,tabela_registros[TIPO],DADOS!$P$3,tabela_registros[CATEGORIA],despesafixaconsolidadonov[[#This Row],[DESPESA FIXA]])</f>
        <v>0</v>
      </c>
      <c r="AF39" s="119" t="n">
        <f aca="false">SUMIFS(tabela_registros[VALOR],tabela_registros[MÊS],$AE$1,tabela_registros[DIA],novtotal3059718395107119131143155[[#Headers],[28]],tabela_registros[REGISTRO],DADOS!$N$4,tabela_registros[TIPO],DADOS!$P$3,tabela_registros[CATEGORIA],despesafixaconsolidadonov[[#This Row],[DESPESA FIXA]])</f>
        <v>0</v>
      </c>
      <c r="AG39" s="119" t="n">
        <f aca="false">SUMIFS(tabela_registros[VALOR],tabela_registros[MÊS],$AE$1,tabela_registros[DIA],novtotal3059718395107119131143155[[#Headers],[29]],tabela_registros[REGISTRO],DADOS!$N$4,tabela_registros[TIPO],DADOS!$P$3,tabela_registros[CATEGORIA],despesafixaconsolidadonov[[#This Row],[DESPESA FIXA]])</f>
        <v>0</v>
      </c>
      <c r="AH39" s="119" t="n">
        <f aca="false">SUMIFS(tabela_registros[VALOR],tabela_registros[MÊS],$AE$1,tabela_registros[DIA],novtotal3059718395107119131143155[[#Headers],[30]],tabela_registros[REGISTRO],DADOS!$N$4,tabela_registros[TIPO],DADOS!$P$3,tabela_registros[CATEGORIA],despesafixaconsolidadonov[[#This Row],[DESPESA FIXA]])</f>
        <v>0</v>
      </c>
      <c r="AI39" s="217" t="n">
        <f aca="false">SUMIFS(tabela_registros[VALOR],tabela_registros[MÊS],$AE$1,tabela_registros[DIA],novtotal3059718395107119131143155[[#Headers],[31]],tabela_registros[REGISTRO],DADOS!$N$4,tabela_registros[TIPO],DADOS!$P$3,tabela_registros[CATEGORIA],despesafixaconsolidadonov[[#This Row],[DESPESA FIXA]])</f>
        <v>0</v>
      </c>
      <c r="AJ39" s="149" t="n">
        <f aca="false">SUM(despesafixaconsolidadonov[[#This Row],[1]:[31]])</f>
        <v>0</v>
      </c>
      <c r="AK39" s="143"/>
    </row>
    <row r="40" customFormat="false" ht="18" hidden="false" customHeight="true" outlineLevel="0" collapsed="false">
      <c r="B40" s="143"/>
      <c r="C40" s="144" t="str">
        <f aca="false">DADOS!$R$6</f>
        <v>📱 CELULAR</v>
      </c>
      <c r="D40" s="145" t="str">
        <f aca="false">IF(despesafixaconsolidadonov[[#This Row],[TOTAL]]=0,"",IF(OR(despesafixaconsolidadonov[[#This Row],[TOTAL]]=LARGE($AJ$37:$AJ$50,1),despesafixaconsolidadonov[[#This Row],[TOTAL]]=LARGE($AJ$37:$AJ$50,2),despesafixaconsolidadonov[[#This Row],[TOTAL]]=LARGE($AJ$37:$AJ$50,3),despesafixaconsolidadonov[[#This Row],[TOTAL]]=LARGE($AJ$37:$AJ$50,4),despesafixaconsolidadonov[[#This Row],[TOTAL]]=LARGE($AJ$37:$AJ$50,5)),DADOS!$I$8,""))</f>
        <v/>
      </c>
      <c r="E40" s="148" t="n">
        <f aca="false">SUMIFS(tabela_registros[VALOR],tabela_registros[MÊS],$AE$1,tabela_registros[DIA],novtotal3059718395107119131143155[[#Headers],[1]],tabela_registros[REGISTRO],DADOS!$N$4,tabela_registros[TIPO],DADOS!$P$3,tabela_registros[CATEGORIA],despesafixaconsolidadonov[[#This Row],[DESPESA FIXA]])</f>
        <v>0</v>
      </c>
      <c r="F40" s="119" t="n">
        <f aca="false">SUMIFS(tabela_registros[VALOR],tabela_registros[MÊS],$AE$1,tabela_registros[DIA],novtotal3059718395107119131143155[[#Headers],[2]],tabela_registros[REGISTRO],DADOS!$N$4,tabela_registros[TIPO],DADOS!$P$3,tabela_registros[CATEGORIA],despesafixaconsolidadonov[[#This Row],[DESPESA FIXA]])</f>
        <v>0</v>
      </c>
      <c r="G40" s="119" t="n">
        <f aca="false">SUMIFS(tabela_registros[VALOR],tabela_registros[MÊS],$AE$1,tabela_registros[DIA],novtotal3059718395107119131143155[[#Headers],[3]],tabela_registros[REGISTRO],DADOS!$N$4,tabela_registros[TIPO],DADOS!$P$3,tabela_registros[CATEGORIA],despesafixaconsolidadonov[[#This Row],[DESPESA FIXA]])</f>
        <v>0</v>
      </c>
      <c r="H40" s="119" t="n">
        <f aca="false">SUMIFS(tabela_registros[VALOR],tabela_registros[MÊS],$AE$1,tabela_registros[DIA],novtotal3059718395107119131143155[[#Headers],[4]],tabela_registros[REGISTRO],DADOS!$N$4,tabela_registros[TIPO],DADOS!$P$3,tabela_registros[CATEGORIA],despesafixaconsolidadonov[[#This Row],[DESPESA FIXA]])</f>
        <v>0</v>
      </c>
      <c r="I40" s="119" t="n">
        <f aca="false">SUMIFS(tabela_registros[VALOR],tabela_registros[MÊS],$AE$1,tabela_registros[DIA],novtotal3059718395107119131143155[[#Headers],[5]],tabela_registros[REGISTRO],DADOS!$N$4,tabela_registros[TIPO],DADOS!$P$3,tabela_registros[CATEGORIA],despesafixaconsolidadonov[[#This Row],[DESPESA FIXA]])</f>
        <v>0</v>
      </c>
      <c r="J40" s="119" t="n">
        <f aca="false">SUMIFS(tabela_registros[VALOR],tabela_registros[MÊS],$AE$1,tabela_registros[DIA],novtotal3059718395107119131143155[[#Headers],[6]],tabela_registros[REGISTRO],DADOS!$N$4,tabela_registros[TIPO],DADOS!$P$3,tabela_registros[CATEGORIA],despesafixaconsolidadonov[[#This Row],[DESPESA FIXA]])</f>
        <v>0</v>
      </c>
      <c r="K40" s="119" t="n">
        <f aca="false">SUMIFS(tabela_registros[VALOR],tabela_registros[MÊS],$AE$1,tabela_registros[DIA],novtotal3059718395107119131143155[[#Headers],[7]],tabela_registros[REGISTRO],DADOS!$N$4,tabela_registros[TIPO],DADOS!$P$3,tabela_registros[CATEGORIA],despesafixaconsolidadonov[[#This Row],[DESPESA FIXA]])</f>
        <v>0</v>
      </c>
      <c r="L40" s="119" t="n">
        <f aca="false">SUMIFS(tabela_registros[VALOR],tabela_registros[MÊS],$AE$1,tabela_registros[DIA],novtotal3059718395107119131143155[[#Headers],[8]],tabela_registros[REGISTRO],DADOS!$N$4,tabela_registros[TIPO],DADOS!$P$3,tabela_registros[CATEGORIA],despesafixaconsolidadonov[[#This Row],[DESPESA FIXA]])</f>
        <v>0</v>
      </c>
      <c r="M40" s="119" t="n">
        <f aca="false">SUMIFS(tabela_registros[VALOR],tabela_registros[MÊS],$AE$1,tabela_registros[DIA],novtotal3059718395107119131143155[[#Headers],[9]],tabela_registros[REGISTRO],DADOS!$N$4,tabela_registros[TIPO],DADOS!$P$3,tabela_registros[CATEGORIA],despesafixaconsolidadonov[[#This Row],[DESPESA FIXA]])</f>
        <v>0</v>
      </c>
      <c r="N40" s="119" t="n">
        <f aca="false">SUMIFS(tabela_registros[VALOR],tabela_registros[MÊS],$AE$1,tabela_registros[DIA],novtotal3059718395107119131143155[[#Headers],[10]],tabela_registros[REGISTRO],DADOS!$N$4,tabela_registros[TIPO],DADOS!$P$3,tabela_registros[CATEGORIA],despesafixaconsolidadonov[[#This Row],[DESPESA FIXA]])</f>
        <v>0</v>
      </c>
      <c r="O40" s="119" t="n">
        <f aca="false">SUMIFS(tabela_registros[VALOR],tabela_registros[MÊS],$AE$1,tabela_registros[DIA],novtotal3059718395107119131143155[[#Headers],[11]],tabela_registros[REGISTRO],DADOS!$N$4,tabela_registros[TIPO],DADOS!$P$3,tabela_registros[CATEGORIA],despesafixaconsolidadonov[[#This Row],[DESPESA FIXA]])</f>
        <v>0</v>
      </c>
      <c r="P40" s="119" t="n">
        <f aca="false">SUMIFS(tabela_registros[VALOR],tabela_registros[MÊS],$AE$1,tabela_registros[DIA],novtotal3059718395107119131143155[[#Headers],[12]],tabela_registros[REGISTRO],DADOS!$N$4,tabela_registros[TIPO],DADOS!$P$3,tabela_registros[CATEGORIA],despesafixaconsolidadonov[[#This Row],[DESPESA FIXA]])</f>
        <v>0</v>
      </c>
      <c r="Q40" s="119" t="n">
        <f aca="false">SUMIFS(tabela_registros[VALOR],tabela_registros[MÊS],$AE$1,tabela_registros[DIA],novtotal3059718395107119131143155[[#Headers],[13]],tabela_registros[REGISTRO],DADOS!$N$4,tabela_registros[TIPO],DADOS!$P$3,tabela_registros[CATEGORIA],despesafixaconsolidadonov[[#This Row],[DESPESA FIXA]])</f>
        <v>0</v>
      </c>
      <c r="R40" s="119" t="n">
        <f aca="false">SUMIFS(tabela_registros[VALOR],tabela_registros[MÊS],$AE$1,tabela_registros[DIA],novtotal3059718395107119131143155[[#Headers],[14]],tabela_registros[REGISTRO],DADOS!$N$4,tabela_registros[TIPO],DADOS!$P$3,tabela_registros[CATEGORIA],despesafixaconsolidadonov[[#This Row],[DESPESA FIXA]])</f>
        <v>0</v>
      </c>
      <c r="S40" s="119" t="n">
        <f aca="false">SUMIFS(tabela_registros[VALOR],tabela_registros[MÊS],$AE$1,tabela_registros[DIA],novtotal3059718395107119131143155[[#Headers],[15]],tabela_registros[REGISTRO],DADOS!$N$4,tabela_registros[TIPO],DADOS!$P$3,tabela_registros[CATEGORIA],despesafixaconsolidadonov[[#This Row],[DESPESA FIXA]])</f>
        <v>0</v>
      </c>
      <c r="T40" s="119" t="n">
        <f aca="false">SUMIFS(tabela_registros[VALOR],tabela_registros[MÊS],$AE$1,tabela_registros[DIA],novtotal3059718395107119131143155[[#Headers],[16]],tabela_registros[REGISTRO],DADOS!$N$4,tabela_registros[TIPO],DADOS!$P$3,tabela_registros[CATEGORIA],despesafixaconsolidadonov[[#This Row],[DESPESA FIXA]])</f>
        <v>0</v>
      </c>
      <c r="U40" s="119" t="n">
        <f aca="false">SUMIFS(tabela_registros[VALOR],tabela_registros[MÊS],$AE$1,tabela_registros[DIA],novtotal3059718395107119131143155[[#Headers],[17]],tabela_registros[REGISTRO],DADOS!$N$4,tabela_registros[TIPO],DADOS!$P$3,tabela_registros[CATEGORIA],despesafixaconsolidadonov[[#This Row],[DESPESA FIXA]])</f>
        <v>0</v>
      </c>
      <c r="V40" s="119" t="n">
        <f aca="false">SUMIFS(tabela_registros[VALOR],tabela_registros[MÊS],$AE$1,tabela_registros[DIA],novtotal3059718395107119131143155[[#Headers],[18]],tabela_registros[REGISTRO],DADOS!$N$4,tabela_registros[TIPO],DADOS!$P$3,tabela_registros[CATEGORIA],despesafixaconsolidadonov[[#This Row],[DESPESA FIXA]])</f>
        <v>0</v>
      </c>
      <c r="W40" s="119" t="n">
        <f aca="false">SUMIFS(tabela_registros[VALOR],tabela_registros[MÊS],$AE$1,tabela_registros[DIA],novtotal3059718395107119131143155[[#Headers],[19]],tabela_registros[REGISTRO],DADOS!$N$4,tabela_registros[TIPO],DADOS!$P$3,tabela_registros[CATEGORIA],despesafixaconsolidadonov[[#This Row],[DESPESA FIXA]])</f>
        <v>0</v>
      </c>
      <c r="X40" s="119" t="n">
        <f aca="false">SUMIFS(tabela_registros[VALOR],tabela_registros[MÊS],$AE$1,tabela_registros[DIA],novtotal3059718395107119131143155[[#Headers],[20]],tabela_registros[REGISTRO],DADOS!$N$4,tabela_registros[TIPO],DADOS!$P$3,tabela_registros[CATEGORIA],despesafixaconsolidadonov[[#This Row],[DESPESA FIXA]])</f>
        <v>0</v>
      </c>
      <c r="Y40" s="119" t="n">
        <f aca="false">SUMIFS(tabela_registros[VALOR],tabela_registros[MÊS],$AE$1,tabela_registros[DIA],novtotal3059718395107119131143155[[#Headers],[21]],tabela_registros[REGISTRO],DADOS!$N$4,tabela_registros[TIPO],DADOS!$P$3,tabela_registros[CATEGORIA],despesafixaconsolidadonov[[#This Row],[DESPESA FIXA]])</f>
        <v>0</v>
      </c>
      <c r="Z40" s="119" t="n">
        <f aca="false">SUMIFS(tabela_registros[VALOR],tabela_registros[MÊS],$AE$1,tabela_registros[DIA],novtotal3059718395107119131143155[[#Headers],[22]],tabela_registros[REGISTRO],DADOS!$N$4,tabela_registros[TIPO],DADOS!$P$3,tabela_registros[CATEGORIA],despesafixaconsolidadonov[[#This Row],[DESPESA FIXA]])</f>
        <v>0</v>
      </c>
      <c r="AA40" s="119" t="n">
        <f aca="false">SUMIFS(tabela_registros[VALOR],tabela_registros[MÊS],$AE$1,tabela_registros[DIA],novtotal3059718395107119131143155[[#Headers],[23]],tabela_registros[REGISTRO],DADOS!$N$4,tabela_registros[TIPO],DADOS!$P$3,tabela_registros[CATEGORIA],despesafixaconsolidadonov[[#This Row],[DESPESA FIXA]])</f>
        <v>0</v>
      </c>
      <c r="AB40" s="119" t="n">
        <f aca="false">SUMIFS(tabela_registros[VALOR],tabela_registros[MÊS],$AE$1,tabela_registros[DIA],novtotal3059718395107119131143155[[#Headers],[24]],tabela_registros[REGISTRO],DADOS!$N$4,tabela_registros[TIPO],DADOS!$P$3,tabela_registros[CATEGORIA],despesafixaconsolidadonov[[#This Row],[DESPESA FIXA]])</f>
        <v>0</v>
      </c>
      <c r="AC40" s="119" t="n">
        <f aca="false">SUMIFS(tabela_registros[VALOR],tabela_registros[MÊS],$AE$1,tabela_registros[DIA],novtotal3059718395107119131143155[[#Headers],[25]],tabela_registros[REGISTRO],DADOS!$N$4,tabela_registros[TIPO],DADOS!$P$3,tabela_registros[CATEGORIA],despesafixaconsolidadonov[[#This Row],[DESPESA FIXA]])</f>
        <v>0</v>
      </c>
      <c r="AD40" s="119" t="n">
        <f aca="false">SUMIFS(tabela_registros[VALOR],tabela_registros[MÊS],$AE$1,tabela_registros[DIA],novtotal3059718395107119131143155[[#Headers],[26]],tabela_registros[REGISTRO],DADOS!$N$4,tabela_registros[TIPO],DADOS!$P$3,tabela_registros[CATEGORIA],despesafixaconsolidadonov[[#This Row],[DESPESA FIXA]])</f>
        <v>0</v>
      </c>
      <c r="AE40" s="119" t="n">
        <f aca="false">SUMIFS(tabela_registros[VALOR],tabela_registros[MÊS],$AE$1,tabela_registros[DIA],novtotal3059718395107119131143155[[#Headers],[27]],tabela_registros[REGISTRO],DADOS!$N$4,tabela_registros[TIPO],DADOS!$P$3,tabela_registros[CATEGORIA],despesafixaconsolidadonov[[#This Row],[DESPESA FIXA]])</f>
        <v>0</v>
      </c>
      <c r="AF40" s="119" t="n">
        <f aca="false">SUMIFS(tabela_registros[VALOR],tabela_registros[MÊS],$AE$1,tabela_registros[DIA],novtotal3059718395107119131143155[[#Headers],[28]],tabela_registros[REGISTRO],DADOS!$N$4,tabela_registros[TIPO],DADOS!$P$3,tabela_registros[CATEGORIA],despesafixaconsolidadonov[[#This Row],[DESPESA FIXA]])</f>
        <v>0</v>
      </c>
      <c r="AG40" s="119" t="n">
        <f aca="false">SUMIFS(tabela_registros[VALOR],tabela_registros[MÊS],$AE$1,tabela_registros[DIA],novtotal3059718395107119131143155[[#Headers],[29]],tabela_registros[REGISTRO],DADOS!$N$4,tabela_registros[TIPO],DADOS!$P$3,tabela_registros[CATEGORIA],despesafixaconsolidadonov[[#This Row],[DESPESA FIXA]])</f>
        <v>0</v>
      </c>
      <c r="AH40" s="119" t="n">
        <f aca="false">SUMIFS(tabela_registros[VALOR],tabela_registros[MÊS],$AE$1,tabela_registros[DIA],novtotal3059718395107119131143155[[#Headers],[30]],tabela_registros[REGISTRO],DADOS!$N$4,tabela_registros[TIPO],DADOS!$P$3,tabela_registros[CATEGORIA],despesafixaconsolidadonov[[#This Row],[DESPESA FIXA]])</f>
        <v>0</v>
      </c>
      <c r="AI40" s="217" t="n">
        <f aca="false">SUMIFS(tabela_registros[VALOR],tabela_registros[MÊS],$AE$1,tabela_registros[DIA],novtotal3059718395107119131143155[[#Headers],[31]],tabela_registros[REGISTRO],DADOS!$N$4,tabela_registros[TIPO],DADOS!$P$3,tabela_registros[CATEGORIA],despesafixaconsolidadonov[[#This Row],[DESPESA FIXA]])</f>
        <v>0</v>
      </c>
      <c r="AJ40" s="149" t="n">
        <f aca="false">SUM(despesafixaconsolidadonov[[#This Row],[1]:[31]])</f>
        <v>0</v>
      </c>
      <c r="AK40" s="143"/>
    </row>
    <row r="41" customFormat="false" ht="18" hidden="false" customHeight="true" outlineLevel="0" collapsed="false">
      <c r="B41" s="143"/>
      <c r="C41" s="144" t="str">
        <f aca="false">DADOS!$R$7</f>
        <v>📖 EDUCAÇÃO</v>
      </c>
      <c r="D41" s="145" t="str">
        <f aca="false">IF(despesafixaconsolidadonov[[#This Row],[TOTAL]]=0,"",IF(OR(despesafixaconsolidadonov[[#This Row],[TOTAL]]=LARGE($AJ$37:$AJ$50,1),despesafixaconsolidadonov[[#This Row],[TOTAL]]=LARGE($AJ$37:$AJ$50,2),despesafixaconsolidadonov[[#This Row],[TOTAL]]=LARGE($AJ$37:$AJ$50,3),despesafixaconsolidadonov[[#This Row],[TOTAL]]=LARGE($AJ$37:$AJ$50,4),despesafixaconsolidadonov[[#This Row],[TOTAL]]=LARGE($AJ$37:$AJ$50,5)),DADOS!$I$8,""))</f>
        <v/>
      </c>
      <c r="E41" s="148" t="n">
        <f aca="false">SUMIFS(tabela_registros[VALOR],tabela_registros[MÊS],$AE$1,tabela_registros[DIA],novtotal3059718395107119131143155[[#Headers],[1]],tabela_registros[REGISTRO],DADOS!$N$4,tabela_registros[TIPO],DADOS!$P$3,tabela_registros[CATEGORIA],despesafixaconsolidadonov[[#This Row],[DESPESA FIXA]])</f>
        <v>0</v>
      </c>
      <c r="F41" s="119" t="n">
        <f aca="false">SUMIFS(tabela_registros[VALOR],tabela_registros[MÊS],$AE$1,tabela_registros[DIA],novtotal3059718395107119131143155[[#Headers],[2]],tabela_registros[REGISTRO],DADOS!$N$4,tabela_registros[TIPO],DADOS!$P$3,tabela_registros[CATEGORIA],despesafixaconsolidadonov[[#This Row],[DESPESA FIXA]])</f>
        <v>0</v>
      </c>
      <c r="G41" s="119" t="n">
        <f aca="false">SUMIFS(tabela_registros[VALOR],tabela_registros[MÊS],$AE$1,tabela_registros[DIA],novtotal3059718395107119131143155[[#Headers],[3]],tabela_registros[REGISTRO],DADOS!$N$4,tabela_registros[TIPO],DADOS!$P$3,tabela_registros[CATEGORIA],despesafixaconsolidadonov[[#This Row],[DESPESA FIXA]])</f>
        <v>0</v>
      </c>
      <c r="H41" s="119" t="n">
        <f aca="false">SUMIFS(tabela_registros[VALOR],tabela_registros[MÊS],$AE$1,tabela_registros[DIA],novtotal3059718395107119131143155[[#Headers],[4]],tabela_registros[REGISTRO],DADOS!$N$4,tabela_registros[TIPO],DADOS!$P$3,tabela_registros[CATEGORIA],despesafixaconsolidadonov[[#This Row],[DESPESA FIXA]])</f>
        <v>0</v>
      </c>
      <c r="I41" s="119" t="n">
        <f aca="false">SUMIFS(tabela_registros[VALOR],tabela_registros[MÊS],$AE$1,tabela_registros[DIA],novtotal3059718395107119131143155[[#Headers],[5]],tabela_registros[REGISTRO],DADOS!$N$4,tabela_registros[TIPO],DADOS!$P$3,tabela_registros[CATEGORIA],despesafixaconsolidadonov[[#This Row],[DESPESA FIXA]])</f>
        <v>0</v>
      </c>
      <c r="J41" s="119" t="n">
        <f aca="false">SUMIFS(tabela_registros[VALOR],tabela_registros[MÊS],$AE$1,tabela_registros[DIA],novtotal3059718395107119131143155[[#Headers],[6]],tabela_registros[REGISTRO],DADOS!$N$4,tabela_registros[TIPO],DADOS!$P$3,tabela_registros[CATEGORIA],despesafixaconsolidadonov[[#This Row],[DESPESA FIXA]])</f>
        <v>0</v>
      </c>
      <c r="K41" s="119" t="n">
        <f aca="false">SUMIFS(tabela_registros[VALOR],tabela_registros[MÊS],$AE$1,tabela_registros[DIA],novtotal3059718395107119131143155[[#Headers],[7]],tabela_registros[REGISTRO],DADOS!$N$4,tabela_registros[TIPO],DADOS!$P$3,tabela_registros[CATEGORIA],despesafixaconsolidadonov[[#This Row],[DESPESA FIXA]])</f>
        <v>0</v>
      </c>
      <c r="L41" s="119" t="n">
        <f aca="false">SUMIFS(tabela_registros[VALOR],tabela_registros[MÊS],$AE$1,tabela_registros[DIA],novtotal3059718395107119131143155[[#Headers],[8]],tabela_registros[REGISTRO],DADOS!$N$4,tabela_registros[TIPO],DADOS!$P$3,tabela_registros[CATEGORIA],despesafixaconsolidadonov[[#This Row],[DESPESA FIXA]])</f>
        <v>0</v>
      </c>
      <c r="M41" s="119" t="n">
        <f aca="false">SUMIFS(tabela_registros[VALOR],tabela_registros[MÊS],$AE$1,tabela_registros[DIA],novtotal3059718395107119131143155[[#Headers],[9]],tabela_registros[REGISTRO],DADOS!$N$4,tabela_registros[TIPO],DADOS!$P$3,tabela_registros[CATEGORIA],despesafixaconsolidadonov[[#This Row],[DESPESA FIXA]])</f>
        <v>0</v>
      </c>
      <c r="N41" s="119" t="n">
        <f aca="false">SUMIFS(tabela_registros[VALOR],tabela_registros[MÊS],$AE$1,tabela_registros[DIA],novtotal3059718395107119131143155[[#Headers],[10]],tabela_registros[REGISTRO],DADOS!$N$4,tabela_registros[TIPO],DADOS!$P$3,tabela_registros[CATEGORIA],despesafixaconsolidadonov[[#This Row],[DESPESA FIXA]])</f>
        <v>0</v>
      </c>
      <c r="O41" s="119" t="n">
        <f aca="false">SUMIFS(tabela_registros[VALOR],tabela_registros[MÊS],$AE$1,tabela_registros[DIA],novtotal3059718395107119131143155[[#Headers],[11]],tabela_registros[REGISTRO],DADOS!$N$4,tabela_registros[TIPO],DADOS!$P$3,tabela_registros[CATEGORIA],despesafixaconsolidadonov[[#This Row],[DESPESA FIXA]])</f>
        <v>0</v>
      </c>
      <c r="P41" s="119" t="n">
        <f aca="false">SUMIFS(tabela_registros[VALOR],tabela_registros[MÊS],$AE$1,tabela_registros[DIA],novtotal3059718395107119131143155[[#Headers],[12]],tabela_registros[REGISTRO],DADOS!$N$4,tabela_registros[TIPO],DADOS!$P$3,tabela_registros[CATEGORIA],despesafixaconsolidadonov[[#This Row],[DESPESA FIXA]])</f>
        <v>0</v>
      </c>
      <c r="Q41" s="119" t="n">
        <f aca="false">SUMIFS(tabela_registros[VALOR],tabela_registros[MÊS],$AE$1,tabela_registros[DIA],novtotal3059718395107119131143155[[#Headers],[13]],tabela_registros[REGISTRO],DADOS!$N$4,tabela_registros[TIPO],DADOS!$P$3,tabela_registros[CATEGORIA],despesafixaconsolidadonov[[#This Row],[DESPESA FIXA]])</f>
        <v>0</v>
      </c>
      <c r="R41" s="119" t="n">
        <f aca="false">SUMIFS(tabela_registros[VALOR],tabela_registros[MÊS],$AE$1,tabela_registros[DIA],novtotal3059718395107119131143155[[#Headers],[14]],tabela_registros[REGISTRO],DADOS!$N$4,tabela_registros[TIPO],DADOS!$P$3,tabela_registros[CATEGORIA],despesafixaconsolidadonov[[#This Row],[DESPESA FIXA]])</f>
        <v>0</v>
      </c>
      <c r="S41" s="119" t="n">
        <f aca="false">SUMIFS(tabela_registros[VALOR],tabela_registros[MÊS],$AE$1,tabela_registros[DIA],novtotal3059718395107119131143155[[#Headers],[15]],tabela_registros[REGISTRO],DADOS!$N$4,tabela_registros[TIPO],DADOS!$P$3,tabela_registros[CATEGORIA],despesafixaconsolidadonov[[#This Row],[DESPESA FIXA]])</f>
        <v>0</v>
      </c>
      <c r="T41" s="119" t="n">
        <f aca="false">SUMIFS(tabela_registros[VALOR],tabela_registros[MÊS],$AE$1,tabela_registros[DIA],novtotal3059718395107119131143155[[#Headers],[16]],tabela_registros[REGISTRO],DADOS!$N$4,tabela_registros[TIPO],DADOS!$P$3,tabela_registros[CATEGORIA],despesafixaconsolidadonov[[#This Row],[DESPESA FIXA]])</f>
        <v>0</v>
      </c>
      <c r="U41" s="119" t="n">
        <f aca="false">SUMIFS(tabela_registros[VALOR],tabela_registros[MÊS],$AE$1,tabela_registros[DIA],novtotal3059718395107119131143155[[#Headers],[17]],tabela_registros[REGISTRO],DADOS!$N$4,tabela_registros[TIPO],DADOS!$P$3,tabela_registros[CATEGORIA],despesafixaconsolidadonov[[#This Row],[DESPESA FIXA]])</f>
        <v>0</v>
      </c>
      <c r="V41" s="119" t="n">
        <f aca="false">SUMIFS(tabela_registros[VALOR],tabela_registros[MÊS],$AE$1,tabela_registros[DIA],novtotal3059718395107119131143155[[#Headers],[18]],tabela_registros[REGISTRO],DADOS!$N$4,tabela_registros[TIPO],DADOS!$P$3,tabela_registros[CATEGORIA],despesafixaconsolidadonov[[#This Row],[DESPESA FIXA]])</f>
        <v>0</v>
      </c>
      <c r="W41" s="119" t="n">
        <f aca="false">SUMIFS(tabela_registros[VALOR],tabela_registros[MÊS],$AE$1,tabela_registros[DIA],novtotal3059718395107119131143155[[#Headers],[19]],tabela_registros[REGISTRO],DADOS!$N$4,tabela_registros[TIPO],DADOS!$P$3,tabela_registros[CATEGORIA],despesafixaconsolidadonov[[#This Row],[DESPESA FIXA]])</f>
        <v>0</v>
      </c>
      <c r="X41" s="119" t="n">
        <f aca="false">SUMIFS(tabela_registros[VALOR],tabela_registros[MÊS],$AE$1,tabela_registros[DIA],novtotal3059718395107119131143155[[#Headers],[20]],tabela_registros[REGISTRO],DADOS!$N$4,tabela_registros[TIPO],DADOS!$P$3,tabela_registros[CATEGORIA],despesafixaconsolidadonov[[#This Row],[DESPESA FIXA]])</f>
        <v>0</v>
      </c>
      <c r="Y41" s="119" t="n">
        <f aca="false">SUMIFS(tabela_registros[VALOR],tabela_registros[MÊS],$AE$1,tabela_registros[DIA],novtotal3059718395107119131143155[[#Headers],[21]],tabela_registros[REGISTRO],DADOS!$N$4,tabela_registros[TIPO],DADOS!$P$3,tabela_registros[CATEGORIA],despesafixaconsolidadonov[[#This Row],[DESPESA FIXA]])</f>
        <v>0</v>
      </c>
      <c r="Z41" s="119" t="n">
        <f aca="false">SUMIFS(tabela_registros[VALOR],tabela_registros[MÊS],$AE$1,tabela_registros[DIA],novtotal3059718395107119131143155[[#Headers],[22]],tabela_registros[REGISTRO],DADOS!$N$4,tabela_registros[TIPO],DADOS!$P$3,tabela_registros[CATEGORIA],despesafixaconsolidadonov[[#This Row],[DESPESA FIXA]])</f>
        <v>0</v>
      </c>
      <c r="AA41" s="119" t="n">
        <f aca="false">SUMIFS(tabela_registros[VALOR],tabela_registros[MÊS],$AE$1,tabela_registros[DIA],novtotal3059718395107119131143155[[#Headers],[23]],tabela_registros[REGISTRO],DADOS!$N$4,tabela_registros[TIPO],DADOS!$P$3,tabela_registros[CATEGORIA],despesafixaconsolidadonov[[#This Row],[DESPESA FIXA]])</f>
        <v>0</v>
      </c>
      <c r="AB41" s="119" t="n">
        <f aca="false">SUMIFS(tabela_registros[VALOR],tabela_registros[MÊS],$AE$1,tabela_registros[DIA],novtotal3059718395107119131143155[[#Headers],[24]],tabela_registros[REGISTRO],DADOS!$N$4,tabela_registros[TIPO],DADOS!$P$3,tabela_registros[CATEGORIA],despesafixaconsolidadonov[[#This Row],[DESPESA FIXA]])</f>
        <v>0</v>
      </c>
      <c r="AC41" s="119" t="n">
        <f aca="false">SUMIFS(tabela_registros[VALOR],tabela_registros[MÊS],$AE$1,tabela_registros[DIA],novtotal3059718395107119131143155[[#Headers],[25]],tabela_registros[REGISTRO],DADOS!$N$4,tabela_registros[TIPO],DADOS!$P$3,tabela_registros[CATEGORIA],despesafixaconsolidadonov[[#This Row],[DESPESA FIXA]])</f>
        <v>0</v>
      </c>
      <c r="AD41" s="119" t="n">
        <f aca="false">SUMIFS(tabela_registros[VALOR],tabela_registros[MÊS],$AE$1,tabela_registros[DIA],novtotal3059718395107119131143155[[#Headers],[26]],tabela_registros[REGISTRO],DADOS!$N$4,tabela_registros[TIPO],DADOS!$P$3,tabela_registros[CATEGORIA],despesafixaconsolidadonov[[#This Row],[DESPESA FIXA]])</f>
        <v>0</v>
      </c>
      <c r="AE41" s="119" t="n">
        <f aca="false">SUMIFS(tabela_registros[VALOR],tabela_registros[MÊS],$AE$1,tabela_registros[DIA],novtotal3059718395107119131143155[[#Headers],[27]],tabela_registros[REGISTRO],DADOS!$N$4,tabela_registros[TIPO],DADOS!$P$3,tabela_registros[CATEGORIA],despesafixaconsolidadonov[[#This Row],[DESPESA FIXA]])</f>
        <v>0</v>
      </c>
      <c r="AF41" s="119" t="n">
        <f aca="false">SUMIFS(tabela_registros[VALOR],tabela_registros[MÊS],$AE$1,tabela_registros[DIA],novtotal3059718395107119131143155[[#Headers],[28]],tabela_registros[REGISTRO],DADOS!$N$4,tabela_registros[TIPO],DADOS!$P$3,tabela_registros[CATEGORIA],despesafixaconsolidadonov[[#This Row],[DESPESA FIXA]])</f>
        <v>0</v>
      </c>
      <c r="AG41" s="119" t="n">
        <f aca="false">SUMIFS(tabela_registros[VALOR],tabela_registros[MÊS],$AE$1,tabela_registros[DIA],novtotal3059718395107119131143155[[#Headers],[29]],tabela_registros[REGISTRO],DADOS!$N$4,tabela_registros[TIPO],DADOS!$P$3,tabela_registros[CATEGORIA],despesafixaconsolidadonov[[#This Row],[DESPESA FIXA]])</f>
        <v>0</v>
      </c>
      <c r="AH41" s="119" t="n">
        <f aca="false">SUMIFS(tabela_registros[VALOR],tabela_registros[MÊS],$AE$1,tabela_registros[DIA],novtotal3059718395107119131143155[[#Headers],[30]],tabela_registros[REGISTRO],DADOS!$N$4,tabela_registros[TIPO],DADOS!$P$3,tabela_registros[CATEGORIA],despesafixaconsolidadonov[[#This Row],[DESPESA FIXA]])</f>
        <v>0</v>
      </c>
      <c r="AI41" s="217" t="n">
        <f aca="false">SUMIFS(tabela_registros[VALOR],tabela_registros[MÊS],$AE$1,tabela_registros[DIA],novtotal3059718395107119131143155[[#Headers],[31]],tabela_registros[REGISTRO],DADOS!$N$4,tabela_registros[TIPO],DADOS!$P$3,tabela_registros[CATEGORIA],despesafixaconsolidadonov[[#This Row],[DESPESA FIXA]])</f>
        <v>0</v>
      </c>
      <c r="AJ41" s="149" t="n">
        <f aca="false">SUM(despesafixaconsolidadonov[[#This Row],[1]:[31]])</f>
        <v>0</v>
      </c>
      <c r="AK41" s="143"/>
    </row>
    <row r="42" customFormat="false" ht="18" hidden="false" customHeight="true" outlineLevel="0" collapsed="false">
      <c r="B42" s="143"/>
      <c r="C42" s="144" t="str">
        <f aca="false">DADOS!$R$8</f>
        <v>🏦 EMPRÉSTIMO</v>
      </c>
      <c r="D42" s="145" t="str">
        <f aca="false">IF(despesafixaconsolidadonov[[#This Row],[TOTAL]]=0,"",IF(OR(despesafixaconsolidadonov[[#This Row],[TOTAL]]=LARGE($AJ$37:$AJ$50,1),despesafixaconsolidadonov[[#This Row],[TOTAL]]=LARGE($AJ$37:$AJ$50,2),despesafixaconsolidadonov[[#This Row],[TOTAL]]=LARGE($AJ$37:$AJ$50,3),despesafixaconsolidadonov[[#This Row],[TOTAL]]=LARGE($AJ$37:$AJ$50,4),despesafixaconsolidadonov[[#This Row],[TOTAL]]=LARGE($AJ$37:$AJ$50,5)),DADOS!$I$8,""))</f>
        <v/>
      </c>
      <c r="E42" s="148" t="n">
        <f aca="false">SUMIFS(tabela_registros[VALOR],tabela_registros[MÊS],$AE$1,tabela_registros[DIA],novtotal3059718395107119131143155[[#Headers],[1]],tabela_registros[REGISTRO],DADOS!$N$4,tabela_registros[TIPO],DADOS!$P$3,tabela_registros[CATEGORIA],despesafixaconsolidadonov[[#This Row],[DESPESA FIXA]])</f>
        <v>0</v>
      </c>
      <c r="F42" s="119" t="n">
        <f aca="false">SUMIFS(tabela_registros[VALOR],tabela_registros[MÊS],$AE$1,tabela_registros[DIA],novtotal3059718395107119131143155[[#Headers],[2]],tabela_registros[REGISTRO],DADOS!$N$4,tabela_registros[TIPO],DADOS!$P$3,tabela_registros[CATEGORIA],despesafixaconsolidadonov[[#This Row],[DESPESA FIXA]])</f>
        <v>0</v>
      </c>
      <c r="G42" s="119" t="n">
        <f aca="false">SUMIFS(tabela_registros[VALOR],tabela_registros[MÊS],$AE$1,tabela_registros[DIA],novtotal3059718395107119131143155[[#Headers],[3]],tabela_registros[REGISTRO],DADOS!$N$4,tabela_registros[TIPO],DADOS!$P$3,tabela_registros[CATEGORIA],despesafixaconsolidadonov[[#This Row],[DESPESA FIXA]])</f>
        <v>0</v>
      </c>
      <c r="H42" s="119" t="n">
        <f aca="false">SUMIFS(tabela_registros[VALOR],tabela_registros[MÊS],$AE$1,tabela_registros[DIA],novtotal3059718395107119131143155[[#Headers],[4]],tabela_registros[REGISTRO],DADOS!$N$4,tabela_registros[TIPO],DADOS!$P$3,tabela_registros[CATEGORIA],despesafixaconsolidadonov[[#This Row],[DESPESA FIXA]])</f>
        <v>0</v>
      </c>
      <c r="I42" s="119" t="n">
        <f aca="false">SUMIFS(tabela_registros[VALOR],tabela_registros[MÊS],$AE$1,tabela_registros[DIA],novtotal3059718395107119131143155[[#Headers],[5]],tabela_registros[REGISTRO],DADOS!$N$4,tabela_registros[TIPO],DADOS!$P$3,tabela_registros[CATEGORIA],despesafixaconsolidadonov[[#This Row],[DESPESA FIXA]])</f>
        <v>0</v>
      </c>
      <c r="J42" s="119" t="n">
        <f aca="false">SUMIFS(tabela_registros[VALOR],tabela_registros[MÊS],$AE$1,tabela_registros[DIA],novtotal3059718395107119131143155[[#Headers],[6]],tabela_registros[REGISTRO],DADOS!$N$4,tabela_registros[TIPO],DADOS!$P$3,tabela_registros[CATEGORIA],despesafixaconsolidadonov[[#This Row],[DESPESA FIXA]])</f>
        <v>0</v>
      </c>
      <c r="K42" s="119" t="n">
        <f aca="false">SUMIFS(tabela_registros[VALOR],tabela_registros[MÊS],$AE$1,tabela_registros[DIA],novtotal3059718395107119131143155[[#Headers],[7]],tabela_registros[REGISTRO],DADOS!$N$4,tabela_registros[TIPO],DADOS!$P$3,tabela_registros[CATEGORIA],despesafixaconsolidadonov[[#This Row],[DESPESA FIXA]])</f>
        <v>0</v>
      </c>
      <c r="L42" s="119" t="n">
        <f aca="false">SUMIFS(tabela_registros[VALOR],tabela_registros[MÊS],$AE$1,tabela_registros[DIA],novtotal3059718395107119131143155[[#Headers],[8]],tabela_registros[REGISTRO],DADOS!$N$4,tabela_registros[TIPO],DADOS!$P$3,tabela_registros[CATEGORIA],despesafixaconsolidadonov[[#This Row],[DESPESA FIXA]])</f>
        <v>0</v>
      </c>
      <c r="M42" s="119" t="n">
        <f aca="false">SUMIFS(tabela_registros[VALOR],tabela_registros[MÊS],$AE$1,tabela_registros[DIA],novtotal3059718395107119131143155[[#Headers],[9]],tabela_registros[REGISTRO],DADOS!$N$4,tabela_registros[TIPO],DADOS!$P$3,tabela_registros[CATEGORIA],despesafixaconsolidadonov[[#This Row],[DESPESA FIXA]])</f>
        <v>0</v>
      </c>
      <c r="N42" s="119" t="n">
        <f aca="false">SUMIFS(tabela_registros[VALOR],tabela_registros[MÊS],$AE$1,tabela_registros[DIA],novtotal3059718395107119131143155[[#Headers],[10]],tabela_registros[REGISTRO],DADOS!$N$4,tabela_registros[TIPO],DADOS!$P$3,tabela_registros[CATEGORIA],despesafixaconsolidadonov[[#This Row],[DESPESA FIXA]])</f>
        <v>0</v>
      </c>
      <c r="O42" s="119" t="n">
        <f aca="false">SUMIFS(tabela_registros[VALOR],tabela_registros[MÊS],$AE$1,tabela_registros[DIA],novtotal3059718395107119131143155[[#Headers],[11]],tabela_registros[REGISTRO],DADOS!$N$4,tabela_registros[TIPO],DADOS!$P$3,tabela_registros[CATEGORIA],despesafixaconsolidadonov[[#This Row],[DESPESA FIXA]])</f>
        <v>0</v>
      </c>
      <c r="P42" s="119" t="n">
        <f aca="false">SUMIFS(tabela_registros[VALOR],tabela_registros[MÊS],$AE$1,tabela_registros[DIA],novtotal3059718395107119131143155[[#Headers],[12]],tabela_registros[REGISTRO],DADOS!$N$4,tabela_registros[TIPO],DADOS!$P$3,tabela_registros[CATEGORIA],despesafixaconsolidadonov[[#This Row],[DESPESA FIXA]])</f>
        <v>0</v>
      </c>
      <c r="Q42" s="119" t="n">
        <f aca="false">SUMIFS(tabela_registros[VALOR],tabela_registros[MÊS],$AE$1,tabela_registros[DIA],novtotal3059718395107119131143155[[#Headers],[13]],tabela_registros[REGISTRO],DADOS!$N$4,tabela_registros[TIPO],DADOS!$P$3,tabela_registros[CATEGORIA],despesafixaconsolidadonov[[#This Row],[DESPESA FIXA]])</f>
        <v>0</v>
      </c>
      <c r="R42" s="119" t="n">
        <f aca="false">SUMIFS(tabela_registros[VALOR],tabela_registros[MÊS],$AE$1,tabela_registros[DIA],novtotal3059718395107119131143155[[#Headers],[14]],tabela_registros[REGISTRO],DADOS!$N$4,tabela_registros[TIPO],DADOS!$P$3,tabela_registros[CATEGORIA],despesafixaconsolidadonov[[#This Row],[DESPESA FIXA]])</f>
        <v>0</v>
      </c>
      <c r="S42" s="119" t="n">
        <f aca="false">SUMIFS(tabela_registros[VALOR],tabela_registros[MÊS],$AE$1,tabela_registros[DIA],novtotal3059718395107119131143155[[#Headers],[15]],tabela_registros[REGISTRO],DADOS!$N$4,tabela_registros[TIPO],DADOS!$P$3,tabela_registros[CATEGORIA],despesafixaconsolidadonov[[#This Row],[DESPESA FIXA]])</f>
        <v>0</v>
      </c>
      <c r="T42" s="119" t="n">
        <f aca="false">SUMIFS(tabela_registros[VALOR],tabela_registros[MÊS],$AE$1,tabela_registros[DIA],novtotal3059718395107119131143155[[#Headers],[16]],tabela_registros[REGISTRO],DADOS!$N$4,tabela_registros[TIPO],DADOS!$P$3,tabela_registros[CATEGORIA],despesafixaconsolidadonov[[#This Row],[DESPESA FIXA]])</f>
        <v>0</v>
      </c>
      <c r="U42" s="119" t="n">
        <f aca="false">SUMIFS(tabela_registros[VALOR],tabela_registros[MÊS],$AE$1,tabela_registros[DIA],novtotal3059718395107119131143155[[#Headers],[17]],tabela_registros[REGISTRO],DADOS!$N$4,tabela_registros[TIPO],DADOS!$P$3,tabela_registros[CATEGORIA],despesafixaconsolidadonov[[#This Row],[DESPESA FIXA]])</f>
        <v>0</v>
      </c>
      <c r="V42" s="119" t="n">
        <f aca="false">SUMIFS(tabela_registros[VALOR],tabela_registros[MÊS],$AE$1,tabela_registros[DIA],novtotal3059718395107119131143155[[#Headers],[18]],tabela_registros[REGISTRO],DADOS!$N$4,tabela_registros[TIPO],DADOS!$P$3,tabela_registros[CATEGORIA],despesafixaconsolidadonov[[#This Row],[DESPESA FIXA]])</f>
        <v>0</v>
      </c>
      <c r="W42" s="119" t="n">
        <f aca="false">SUMIFS(tabela_registros[VALOR],tabela_registros[MÊS],$AE$1,tabela_registros[DIA],novtotal3059718395107119131143155[[#Headers],[19]],tabela_registros[REGISTRO],DADOS!$N$4,tabela_registros[TIPO],DADOS!$P$3,tabela_registros[CATEGORIA],despesafixaconsolidadonov[[#This Row],[DESPESA FIXA]])</f>
        <v>0</v>
      </c>
      <c r="X42" s="119" t="n">
        <f aca="false">SUMIFS(tabela_registros[VALOR],tabela_registros[MÊS],$AE$1,tabela_registros[DIA],novtotal3059718395107119131143155[[#Headers],[20]],tabela_registros[REGISTRO],DADOS!$N$4,tabela_registros[TIPO],DADOS!$P$3,tabela_registros[CATEGORIA],despesafixaconsolidadonov[[#This Row],[DESPESA FIXA]])</f>
        <v>0</v>
      </c>
      <c r="Y42" s="119" t="n">
        <f aca="false">SUMIFS(tabela_registros[VALOR],tabela_registros[MÊS],$AE$1,tabela_registros[DIA],novtotal3059718395107119131143155[[#Headers],[21]],tabela_registros[REGISTRO],DADOS!$N$4,tabela_registros[TIPO],DADOS!$P$3,tabela_registros[CATEGORIA],despesafixaconsolidadonov[[#This Row],[DESPESA FIXA]])</f>
        <v>0</v>
      </c>
      <c r="Z42" s="119" t="n">
        <f aca="false">SUMIFS(tabela_registros[VALOR],tabela_registros[MÊS],$AE$1,tabela_registros[DIA],novtotal3059718395107119131143155[[#Headers],[22]],tabela_registros[REGISTRO],DADOS!$N$4,tabela_registros[TIPO],DADOS!$P$3,tabela_registros[CATEGORIA],despesafixaconsolidadonov[[#This Row],[DESPESA FIXA]])</f>
        <v>0</v>
      </c>
      <c r="AA42" s="119" t="n">
        <f aca="false">SUMIFS(tabela_registros[VALOR],tabela_registros[MÊS],$AE$1,tabela_registros[DIA],novtotal3059718395107119131143155[[#Headers],[23]],tabela_registros[REGISTRO],DADOS!$N$4,tabela_registros[TIPO],DADOS!$P$3,tabela_registros[CATEGORIA],despesafixaconsolidadonov[[#This Row],[DESPESA FIXA]])</f>
        <v>0</v>
      </c>
      <c r="AB42" s="119" t="n">
        <f aca="false">SUMIFS(tabela_registros[VALOR],tabela_registros[MÊS],$AE$1,tabela_registros[DIA],novtotal3059718395107119131143155[[#Headers],[24]],tabela_registros[REGISTRO],DADOS!$N$4,tabela_registros[TIPO],DADOS!$P$3,tabela_registros[CATEGORIA],despesafixaconsolidadonov[[#This Row],[DESPESA FIXA]])</f>
        <v>0</v>
      </c>
      <c r="AC42" s="119" t="n">
        <f aca="false">SUMIFS(tabela_registros[VALOR],tabela_registros[MÊS],$AE$1,tabela_registros[DIA],novtotal3059718395107119131143155[[#Headers],[25]],tabela_registros[REGISTRO],DADOS!$N$4,tabela_registros[TIPO],DADOS!$P$3,tabela_registros[CATEGORIA],despesafixaconsolidadonov[[#This Row],[DESPESA FIXA]])</f>
        <v>0</v>
      </c>
      <c r="AD42" s="119" t="n">
        <f aca="false">SUMIFS(tabela_registros[VALOR],tabela_registros[MÊS],$AE$1,tabela_registros[DIA],novtotal3059718395107119131143155[[#Headers],[26]],tabela_registros[REGISTRO],DADOS!$N$4,tabela_registros[TIPO],DADOS!$P$3,tabela_registros[CATEGORIA],despesafixaconsolidadonov[[#This Row],[DESPESA FIXA]])</f>
        <v>0</v>
      </c>
      <c r="AE42" s="119" t="n">
        <f aca="false">SUMIFS(tabela_registros[VALOR],tabela_registros[MÊS],$AE$1,tabela_registros[DIA],novtotal3059718395107119131143155[[#Headers],[27]],tabela_registros[REGISTRO],DADOS!$N$4,tabela_registros[TIPO],DADOS!$P$3,tabela_registros[CATEGORIA],despesafixaconsolidadonov[[#This Row],[DESPESA FIXA]])</f>
        <v>0</v>
      </c>
      <c r="AF42" s="119" t="n">
        <f aca="false">SUMIFS(tabela_registros[VALOR],tabela_registros[MÊS],$AE$1,tabela_registros[DIA],novtotal3059718395107119131143155[[#Headers],[28]],tabela_registros[REGISTRO],DADOS!$N$4,tabela_registros[TIPO],DADOS!$P$3,tabela_registros[CATEGORIA],despesafixaconsolidadonov[[#This Row],[DESPESA FIXA]])</f>
        <v>0</v>
      </c>
      <c r="AG42" s="119" t="n">
        <f aca="false">SUMIFS(tabela_registros[VALOR],tabela_registros[MÊS],$AE$1,tabela_registros[DIA],novtotal3059718395107119131143155[[#Headers],[29]],tabela_registros[REGISTRO],DADOS!$N$4,tabela_registros[TIPO],DADOS!$P$3,tabela_registros[CATEGORIA],despesafixaconsolidadonov[[#This Row],[DESPESA FIXA]])</f>
        <v>0</v>
      </c>
      <c r="AH42" s="119" t="n">
        <f aca="false">SUMIFS(tabela_registros[VALOR],tabela_registros[MÊS],$AE$1,tabela_registros[DIA],novtotal3059718395107119131143155[[#Headers],[30]],tabela_registros[REGISTRO],DADOS!$N$4,tabela_registros[TIPO],DADOS!$P$3,tabela_registros[CATEGORIA],despesafixaconsolidadonov[[#This Row],[DESPESA FIXA]])</f>
        <v>0</v>
      </c>
      <c r="AI42" s="217" t="n">
        <f aca="false">SUMIFS(tabela_registros[VALOR],tabela_registros[MÊS],$AE$1,tabela_registros[DIA],novtotal3059718395107119131143155[[#Headers],[31]],tabela_registros[REGISTRO],DADOS!$N$4,tabela_registros[TIPO],DADOS!$P$3,tabela_registros[CATEGORIA],despesafixaconsolidadonov[[#This Row],[DESPESA FIXA]])</f>
        <v>0</v>
      </c>
      <c r="AJ42" s="149" t="n">
        <f aca="false">SUM(despesafixaconsolidadonov[[#This Row],[1]:[31]])</f>
        <v>0</v>
      </c>
      <c r="AK42" s="143"/>
    </row>
    <row r="43" customFormat="false" ht="18" hidden="false" customHeight="true" outlineLevel="0" collapsed="false">
      <c r="B43" s="143"/>
      <c r="C43" s="144" t="str">
        <f aca="false">DADOS!$R$9</f>
        <v>💡 ENERGIA</v>
      </c>
      <c r="D43" s="145" t="str">
        <f aca="false">IF(despesafixaconsolidadonov[[#This Row],[TOTAL]]=0,"",IF(OR(despesafixaconsolidadonov[[#This Row],[TOTAL]]=LARGE($AJ$37:$AJ$50,1),despesafixaconsolidadonov[[#This Row],[TOTAL]]=LARGE($AJ$37:$AJ$50,2),despesafixaconsolidadonov[[#This Row],[TOTAL]]=LARGE($AJ$37:$AJ$50,3),despesafixaconsolidadonov[[#This Row],[TOTAL]]=LARGE($AJ$37:$AJ$50,4),despesafixaconsolidadonov[[#This Row],[TOTAL]]=LARGE($AJ$37:$AJ$50,5)),DADOS!$I$8,""))</f>
        <v/>
      </c>
      <c r="E43" s="148" t="n">
        <f aca="false">SUMIFS(tabela_registros[VALOR],tabela_registros[MÊS],$AE$1,tabela_registros[DIA],novtotal3059718395107119131143155[[#Headers],[1]],tabela_registros[REGISTRO],DADOS!$N$4,tabela_registros[TIPO],DADOS!$P$3,tabela_registros[CATEGORIA],despesafixaconsolidadonov[[#This Row],[DESPESA FIXA]])</f>
        <v>0</v>
      </c>
      <c r="F43" s="119" t="n">
        <f aca="false">SUMIFS(tabela_registros[VALOR],tabela_registros[MÊS],$AE$1,tabela_registros[DIA],novtotal3059718395107119131143155[[#Headers],[2]],tabela_registros[REGISTRO],DADOS!$N$4,tabela_registros[TIPO],DADOS!$P$3,tabela_registros[CATEGORIA],despesafixaconsolidadonov[[#This Row],[DESPESA FIXA]])</f>
        <v>0</v>
      </c>
      <c r="G43" s="119" t="n">
        <f aca="false">SUMIFS(tabela_registros[VALOR],tabela_registros[MÊS],$AE$1,tabela_registros[DIA],novtotal3059718395107119131143155[[#Headers],[3]],tabela_registros[REGISTRO],DADOS!$N$4,tabela_registros[TIPO],DADOS!$P$3,tabela_registros[CATEGORIA],despesafixaconsolidadonov[[#This Row],[DESPESA FIXA]])</f>
        <v>0</v>
      </c>
      <c r="H43" s="119" t="n">
        <f aca="false">SUMIFS(tabela_registros[VALOR],tabela_registros[MÊS],$AE$1,tabela_registros[DIA],novtotal3059718395107119131143155[[#Headers],[4]],tabela_registros[REGISTRO],DADOS!$N$4,tabela_registros[TIPO],DADOS!$P$3,tabela_registros[CATEGORIA],despesafixaconsolidadonov[[#This Row],[DESPESA FIXA]])</f>
        <v>0</v>
      </c>
      <c r="I43" s="119" t="n">
        <f aca="false">SUMIFS(tabela_registros[VALOR],tabela_registros[MÊS],$AE$1,tabela_registros[DIA],novtotal3059718395107119131143155[[#Headers],[5]],tabela_registros[REGISTRO],DADOS!$N$4,tabela_registros[TIPO],DADOS!$P$3,tabela_registros[CATEGORIA],despesafixaconsolidadonov[[#This Row],[DESPESA FIXA]])</f>
        <v>0</v>
      </c>
      <c r="J43" s="119" t="n">
        <f aca="false">SUMIFS(tabela_registros[VALOR],tabela_registros[MÊS],$AE$1,tabela_registros[DIA],novtotal3059718395107119131143155[[#Headers],[6]],tabela_registros[REGISTRO],DADOS!$N$4,tabela_registros[TIPO],DADOS!$P$3,tabela_registros[CATEGORIA],despesafixaconsolidadonov[[#This Row],[DESPESA FIXA]])</f>
        <v>0</v>
      </c>
      <c r="K43" s="119" t="n">
        <f aca="false">SUMIFS(tabela_registros[VALOR],tabela_registros[MÊS],$AE$1,tabela_registros[DIA],novtotal3059718395107119131143155[[#Headers],[7]],tabela_registros[REGISTRO],DADOS!$N$4,tabela_registros[TIPO],DADOS!$P$3,tabela_registros[CATEGORIA],despesafixaconsolidadonov[[#This Row],[DESPESA FIXA]])</f>
        <v>0</v>
      </c>
      <c r="L43" s="119" t="n">
        <f aca="false">SUMIFS(tabela_registros[VALOR],tabela_registros[MÊS],$AE$1,tabela_registros[DIA],novtotal3059718395107119131143155[[#Headers],[8]],tabela_registros[REGISTRO],DADOS!$N$4,tabela_registros[TIPO],DADOS!$P$3,tabela_registros[CATEGORIA],despesafixaconsolidadonov[[#This Row],[DESPESA FIXA]])</f>
        <v>0</v>
      </c>
      <c r="M43" s="119" t="n">
        <f aca="false">SUMIFS(tabela_registros[VALOR],tabela_registros[MÊS],$AE$1,tabela_registros[DIA],novtotal3059718395107119131143155[[#Headers],[9]],tabela_registros[REGISTRO],DADOS!$N$4,tabela_registros[TIPO],DADOS!$P$3,tabela_registros[CATEGORIA],despesafixaconsolidadonov[[#This Row],[DESPESA FIXA]])</f>
        <v>0</v>
      </c>
      <c r="N43" s="119" t="n">
        <f aca="false">SUMIFS(tabela_registros[VALOR],tabela_registros[MÊS],$AE$1,tabela_registros[DIA],novtotal3059718395107119131143155[[#Headers],[10]],tabela_registros[REGISTRO],DADOS!$N$4,tabela_registros[TIPO],DADOS!$P$3,tabela_registros[CATEGORIA],despesafixaconsolidadonov[[#This Row],[DESPESA FIXA]])</f>
        <v>0</v>
      </c>
      <c r="O43" s="119" t="n">
        <f aca="false">SUMIFS(tabela_registros[VALOR],tabela_registros[MÊS],$AE$1,tabela_registros[DIA],novtotal3059718395107119131143155[[#Headers],[11]],tabela_registros[REGISTRO],DADOS!$N$4,tabela_registros[TIPO],DADOS!$P$3,tabela_registros[CATEGORIA],despesafixaconsolidadonov[[#This Row],[DESPESA FIXA]])</f>
        <v>0</v>
      </c>
      <c r="P43" s="119" t="n">
        <f aca="false">SUMIFS(tabela_registros[VALOR],tabela_registros[MÊS],$AE$1,tabela_registros[DIA],novtotal3059718395107119131143155[[#Headers],[12]],tabela_registros[REGISTRO],DADOS!$N$4,tabela_registros[TIPO],DADOS!$P$3,tabela_registros[CATEGORIA],despesafixaconsolidadonov[[#This Row],[DESPESA FIXA]])</f>
        <v>0</v>
      </c>
      <c r="Q43" s="119" t="n">
        <f aca="false">SUMIFS(tabela_registros[VALOR],tabela_registros[MÊS],$AE$1,tabela_registros[DIA],novtotal3059718395107119131143155[[#Headers],[13]],tabela_registros[REGISTRO],DADOS!$N$4,tabela_registros[TIPO],DADOS!$P$3,tabela_registros[CATEGORIA],despesafixaconsolidadonov[[#This Row],[DESPESA FIXA]])</f>
        <v>0</v>
      </c>
      <c r="R43" s="119" t="n">
        <f aca="false">SUMIFS(tabela_registros[VALOR],tabela_registros[MÊS],$AE$1,tabela_registros[DIA],novtotal3059718395107119131143155[[#Headers],[14]],tabela_registros[REGISTRO],DADOS!$N$4,tabela_registros[TIPO],DADOS!$P$3,tabela_registros[CATEGORIA],despesafixaconsolidadonov[[#This Row],[DESPESA FIXA]])</f>
        <v>0</v>
      </c>
      <c r="S43" s="119" t="n">
        <f aca="false">SUMIFS(tabela_registros[VALOR],tabela_registros[MÊS],$AE$1,tabela_registros[DIA],novtotal3059718395107119131143155[[#Headers],[15]],tabela_registros[REGISTRO],DADOS!$N$4,tabela_registros[TIPO],DADOS!$P$3,tabela_registros[CATEGORIA],despesafixaconsolidadonov[[#This Row],[DESPESA FIXA]])</f>
        <v>0</v>
      </c>
      <c r="T43" s="119" t="n">
        <f aca="false">SUMIFS(tabela_registros[VALOR],tabela_registros[MÊS],$AE$1,tabela_registros[DIA],novtotal3059718395107119131143155[[#Headers],[16]],tabela_registros[REGISTRO],DADOS!$N$4,tabela_registros[TIPO],DADOS!$P$3,tabela_registros[CATEGORIA],despesafixaconsolidadonov[[#This Row],[DESPESA FIXA]])</f>
        <v>0</v>
      </c>
      <c r="U43" s="119" t="n">
        <f aca="false">SUMIFS(tabela_registros[VALOR],tabela_registros[MÊS],$AE$1,tabela_registros[DIA],novtotal3059718395107119131143155[[#Headers],[17]],tabela_registros[REGISTRO],DADOS!$N$4,tabela_registros[TIPO],DADOS!$P$3,tabela_registros[CATEGORIA],despesafixaconsolidadonov[[#This Row],[DESPESA FIXA]])</f>
        <v>0</v>
      </c>
      <c r="V43" s="119" t="n">
        <f aca="false">SUMIFS(tabela_registros[VALOR],tabela_registros[MÊS],$AE$1,tabela_registros[DIA],novtotal3059718395107119131143155[[#Headers],[18]],tabela_registros[REGISTRO],DADOS!$N$4,tabela_registros[TIPO],DADOS!$P$3,tabela_registros[CATEGORIA],despesafixaconsolidadonov[[#This Row],[DESPESA FIXA]])</f>
        <v>0</v>
      </c>
      <c r="W43" s="119" t="n">
        <f aca="false">SUMIFS(tabela_registros[VALOR],tabela_registros[MÊS],$AE$1,tabela_registros[DIA],novtotal3059718395107119131143155[[#Headers],[19]],tabela_registros[REGISTRO],DADOS!$N$4,tabela_registros[TIPO],DADOS!$P$3,tabela_registros[CATEGORIA],despesafixaconsolidadonov[[#This Row],[DESPESA FIXA]])</f>
        <v>0</v>
      </c>
      <c r="X43" s="119" t="n">
        <f aca="false">SUMIFS(tabela_registros[VALOR],tabela_registros[MÊS],$AE$1,tabela_registros[DIA],novtotal3059718395107119131143155[[#Headers],[20]],tabela_registros[REGISTRO],DADOS!$N$4,tabela_registros[TIPO],DADOS!$P$3,tabela_registros[CATEGORIA],despesafixaconsolidadonov[[#This Row],[DESPESA FIXA]])</f>
        <v>0</v>
      </c>
      <c r="Y43" s="119" t="n">
        <f aca="false">SUMIFS(tabela_registros[VALOR],tabela_registros[MÊS],$AE$1,tabela_registros[DIA],novtotal3059718395107119131143155[[#Headers],[21]],tabela_registros[REGISTRO],DADOS!$N$4,tabela_registros[TIPO],DADOS!$P$3,tabela_registros[CATEGORIA],despesafixaconsolidadonov[[#This Row],[DESPESA FIXA]])</f>
        <v>0</v>
      </c>
      <c r="Z43" s="119" t="n">
        <f aca="false">SUMIFS(tabela_registros[VALOR],tabela_registros[MÊS],$AE$1,tabela_registros[DIA],novtotal3059718395107119131143155[[#Headers],[22]],tabela_registros[REGISTRO],DADOS!$N$4,tabela_registros[TIPO],DADOS!$P$3,tabela_registros[CATEGORIA],despesafixaconsolidadonov[[#This Row],[DESPESA FIXA]])</f>
        <v>0</v>
      </c>
      <c r="AA43" s="119" t="n">
        <f aca="false">SUMIFS(tabela_registros[VALOR],tabela_registros[MÊS],$AE$1,tabela_registros[DIA],novtotal3059718395107119131143155[[#Headers],[23]],tabela_registros[REGISTRO],DADOS!$N$4,tabela_registros[TIPO],DADOS!$P$3,tabela_registros[CATEGORIA],despesafixaconsolidadonov[[#This Row],[DESPESA FIXA]])</f>
        <v>0</v>
      </c>
      <c r="AB43" s="119" t="n">
        <f aca="false">SUMIFS(tabela_registros[VALOR],tabela_registros[MÊS],$AE$1,tabela_registros[DIA],novtotal3059718395107119131143155[[#Headers],[24]],tabela_registros[REGISTRO],DADOS!$N$4,tabela_registros[TIPO],DADOS!$P$3,tabela_registros[CATEGORIA],despesafixaconsolidadonov[[#This Row],[DESPESA FIXA]])</f>
        <v>0</v>
      </c>
      <c r="AC43" s="119" t="n">
        <f aca="false">SUMIFS(tabela_registros[VALOR],tabela_registros[MÊS],$AE$1,tabela_registros[DIA],novtotal3059718395107119131143155[[#Headers],[25]],tabela_registros[REGISTRO],DADOS!$N$4,tabela_registros[TIPO],DADOS!$P$3,tabela_registros[CATEGORIA],despesafixaconsolidadonov[[#This Row],[DESPESA FIXA]])</f>
        <v>0</v>
      </c>
      <c r="AD43" s="119" t="n">
        <f aca="false">SUMIFS(tabela_registros[VALOR],tabela_registros[MÊS],$AE$1,tabela_registros[DIA],novtotal3059718395107119131143155[[#Headers],[26]],tabela_registros[REGISTRO],DADOS!$N$4,tabela_registros[TIPO],DADOS!$P$3,tabela_registros[CATEGORIA],despesafixaconsolidadonov[[#This Row],[DESPESA FIXA]])</f>
        <v>0</v>
      </c>
      <c r="AE43" s="119" t="n">
        <f aca="false">SUMIFS(tabela_registros[VALOR],tabela_registros[MÊS],$AE$1,tabela_registros[DIA],novtotal3059718395107119131143155[[#Headers],[27]],tabela_registros[REGISTRO],DADOS!$N$4,tabela_registros[TIPO],DADOS!$P$3,tabela_registros[CATEGORIA],despesafixaconsolidadonov[[#This Row],[DESPESA FIXA]])</f>
        <v>0</v>
      </c>
      <c r="AF43" s="119" t="n">
        <f aca="false">SUMIFS(tabela_registros[VALOR],tabela_registros[MÊS],$AE$1,tabela_registros[DIA],novtotal3059718395107119131143155[[#Headers],[28]],tabela_registros[REGISTRO],DADOS!$N$4,tabela_registros[TIPO],DADOS!$P$3,tabela_registros[CATEGORIA],despesafixaconsolidadonov[[#This Row],[DESPESA FIXA]])</f>
        <v>0</v>
      </c>
      <c r="AG43" s="119" t="n">
        <f aca="false">SUMIFS(tabela_registros[VALOR],tabela_registros[MÊS],$AE$1,tabela_registros[DIA],novtotal3059718395107119131143155[[#Headers],[29]],tabela_registros[REGISTRO],DADOS!$N$4,tabela_registros[TIPO],DADOS!$P$3,tabela_registros[CATEGORIA],despesafixaconsolidadonov[[#This Row],[DESPESA FIXA]])</f>
        <v>0</v>
      </c>
      <c r="AH43" s="119" t="n">
        <f aca="false">SUMIFS(tabela_registros[VALOR],tabela_registros[MÊS],$AE$1,tabela_registros[DIA],novtotal3059718395107119131143155[[#Headers],[30]],tabela_registros[REGISTRO],DADOS!$N$4,tabela_registros[TIPO],DADOS!$P$3,tabela_registros[CATEGORIA],despesafixaconsolidadonov[[#This Row],[DESPESA FIXA]])</f>
        <v>0</v>
      </c>
      <c r="AI43" s="217" t="n">
        <f aca="false">SUMIFS(tabela_registros[VALOR],tabela_registros[MÊS],$AE$1,tabela_registros[DIA],novtotal3059718395107119131143155[[#Headers],[31]],tabela_registros[REGISTRO],DADOS!$N$4,tabela_registros[TIPO],DADOS!$P$3,tabela_registros[CATEGORIA],despesafixaconsolidadonov[[#This Row],[DESPESA FIXA]])</f>
        <v>0</v>
      </c>
      <c r="AJ43" s="149" t="n">
        <f aca="false">SUM(despesafixaconsolidadonov[[#This Row],[1]:[31]])</f>
        <v>0</v>
      </c>
      <c r="AK43" s="143"/>
    </row>
    <row r="44" customFormat="false" ht="18" hidden="false" customHeight="true" outlineLevel="0" collapsed="false">
      <c r="B44" s="143"/>
      <c r="C44" s="144" t="str">
        <f aca="false">DADOS!$R$10</f>
        <v>👨‍👩‍👧 FAMÍLIA</v>
      </c>
      <c r="D44" s="145" t="str">
        <f aca="false">IF(despesafixaconsolidadonov[[#This Row],[TOTAL]]=0,"",IF(OR(despesafixaconsolidadonov[[#This Row],[TOTAL]]=LARGE($AJ$37:$AJ$50,1),despesafixaconsolidadonov[[#This Row],[TOTAL]]=LARGE($AJ$37:$AJ$50,2),despesafixaconsolidadonov[[#This Row],[TOTAL]]=LARGE($AJ$37:$AJ$50,3),despesafixaconsolidadonov[[#This Row],[TOTAL]]=LARGE($AJ$37:$AJ$50,4),despesafixaconsolidadonov[[#This Row],[TOTAL]]=LARGE($AJ$37:$AJ$50,5)),DADOS!$I$8,""))</f>
        <v/>
      </c>
      <c r="E44" s="148" t="n">
        <f aca="false">SUMIFS(tabela_registros[VALOR],tabela_registros[MÊS],$AE$1,tabela_registros[DIA],novtotal3059718395107119131143155[[#Headers],[1]],tabela_registros[REGISTRO],DADOS!$N$4,tabela_registros[TIPO],DADOS!$P$3,tabela_registros[CATEGORIA],despesafixaconsolidadonov[[#This Row],[DESPESA FIXA]])</f>
        <v>0</v>
      </c>
      <c r="F44" s="119" t="n">
        <f aca="false">SUMIFS(tabela_registros[VALOR],tabela_registros[MÊS],$AE$1,tabela_registros[DIA],novtotal3059718395107119131143155[[#Headers],[2]],tabela_registros[REGISTRO],DADOS!$N$4,tabela_registros[TIPO],DADOS!$P$3,tabela_registros[CATEGORIA],despesafixaconsolidadonov[[#This Row],[DESPESA FIXA]])</f>
        <v>0</v>
      </c>
      <c r="G44" s="119" t="n">
        <f aca="false">SUMIFS(tabela_registros[VALOR],tabela_registros[MÊS],$AE$1,tabela_registros[DIA],novtotal3059718395107119131143155[[#Headers],[3]],tabela_registros[REGISTRO],DADOS!$N$4,tabela_registros[TIPO],DADOS!$P$3,tabela_registros[CATEGORIA],despesafixaconsolidadonov[[#This Row],[DESPESA FIXA]])</f>
        <v>0</v>
      </c>
      <c r="H44" s="119" t="n">
        <f aca="false">SUMIFS(tabela_registros[VALOR],tabela_registros[MÊS],$AE$1,tabela_registros[DIA],novtotal3059718395107119131143155[[#Headers],[4]],tabela_registros[REGISTRO],DADOS!$N$4,tabela_registros[TIPO],DADOS!$P$3,tabela_registros[CATEGORIA],despesafixaconsolidadonov[[#This Row],[DESPESA FIXA]])</f>
        <v>0</v>
      </c>
      <c r="I44" s="119" t="n">
        <f aca="false">SUMIFS(tabela_registros[VALOR],tabela_registros[MÊS],$AE$1,tabela_registros[DIA],novtotal3059718395107119131143155[[#Headers],[5]],tabela_registros[REGISTRO],DADOS!$N$4,tabela_registros[TIPO],DADOS!$P$3,tabela_registros[CATEGORIA],despesafixaconsolidadonov[[#This Row],[DESPESA FIXA]])</f>
        <v>0</v>
      </c>
      <c r="J44" s="119" t="n">
        <f aca="false">SUMIFS(tabela_registros[VALOR],tabela_registros[MÊS],$AE$1,tabela_registros[DIA],novtotal3059718395107119131143155[[#Headers],[6]],tabela_registros[REGISTRO],DADOS!$N$4,tabela_registros[TIPO],DADOS!$P$3,tabela_registros[CATEGORIA],despesafixaconsolidadonov[[#This Row],[DESPESA FIXA]])</f>
        <v>0</v>
      </c>
      <c r="K44" s="119" t="n">
        <f aca="false">SUMIFS(tabela_registros[VALOR],tabela_registros[MÊS],$AE$1,tabela_registros[DIA],novtotal3059718395107119131143155[[#Headers],[7]],tabela_registros[REGISTRO],DADOS!$N$4,tabela_registros[TIPO],DADOS!$P$3,tabela_registros[CATEGORIA],despesafixaconsolidadonov[[#This Row],[DESPESA FIXA]])</f>
        <v>0</v>
      </c>
      <c r="L44" s="119" t="n">
        <f aca="false">SUMIFS(tabela_registros[VALOR],tabela_registros[MÊS],$AE$1,tabela_registros[DIA],novtotal3059718395107119131143155[[#Headers],[8]],tabela_registros[REGISTRO],DADOS!$N$4,tabela_registros[TIPO],DADOS!$P$3,tabela_registros[CATEGORIA],despesafixaconsolidadonov[[#This Row],[DESPESA FIXA]])</f>
        <v>0</v>
      </c>
      <c r="M44" s="119" t="n">
        <f aca="false">SUMIFS(tabela_registros[VALOR],tabela_registros[MÊS],$AE$1,tabela_registros[DIA],novtotal3059718395107119131143155[[#Headers],[9]],tabela_registros[REGISTRO],DADOS!$N$4,tabela_registros[TIPO],DADOS!$P$3,tabela_registros[CATEGORIA],despesafixaconsolidadonov[[#This Row],[DESPESA FIXA]])</f>
        <v>0</v>
      </c>
      <c r="N44" s="119" t="n">
        <f aca="false">SUMIFS(tabela_registros[VALOR],tabela_registros[MÊS],$AE$1,tabela_registros[DIA],novtotal3059718395107119131143155[[#Headers],[10]],tabela_registros[REGISTRO],DADOS!$N$4,tabela_registros[TIPO],DADOS!$P$3,tabela_registros[CATEGORIA],despesafixaconsolidadonov[[#This Row],[DESPESA FIXA]])</f>
        <v>0</v>
      </c>
      <c r="O44" s="119" t="n">
        <f aca="false">SUMIFS(tabela_registros[VALOR],tabela_registros[MÊS],$AE$1,tabela_registros[DIA],novtotal3059718395107119131143155[[#Headers],[11]],tabela_registros[REGISTRO],DADOS!$N$4,tabela_registros[TIPO],DADOS!$P$3,tabela_registros[CATEGORIA],despesafixaconsolidadonov[[#This Row],[DESPESA FIXA]])</f>
        <v>0</v>
      </c>
      <c r="P44" s="119" t="n">
        <f aca="false">SUMIFS(tabela_registros[VALOR],tabela_registros[MÊS],$AE$1,tabela_registros[DIA],novtotal3059718395107119131143155[[#Headers],[12]],tabela_registros[REGISTRO],DADOS!$N$4,tabela_registros[TIPO],DADOS!$P$3,tabela_registros[CATEGORIA],despesafixaconsolidadonov[[#This Row],[DESPESA FIXA]])</f>
        <v>0</v>
      </c>
      <c r="Q44" s="119" t="n">
        <f aca="false">SUMIFS(tabela_registros[VALOR],tabela_registros[MÊS],$AE$1,tabela_registros[DIA],novtotal3059718395107119131143155[[#Headers],[13]],tabela_registros[REGISTRO],DADOS!$N$4,tabela_registros[TIPO],DADOS!$P$3,tabela_registros[CATEGORIA],despesafixaconsolidadonov[[#This Row],[DESPESA FIXA]])</f>
        <v>0</v>
      </c>
      <c r="R44" s="119" t="n">
        <f aca="false">SUMIFS(tabela_registros[VALOR],tabela_registros[MÊS],$AE$1,tabela_registros[DIA],novtotal3059718395107119131143155[[#Headers],[14]],tabela_registros[REGISTRO],DADOS!$N$4,tabela_registros[TIPO],DADOS!$P$3,tabela_registros[CATEGORIA],despesafixaconsolidadonov[[#This Row],[DESPESA FIXA]])</f>
        <v>0</v>
      </c>
      <c r="S44" s="119" t="n">
        <f aca="false">SUMIFS(tabela_registros[VALOR],tabela_registros[MÊS],$AE$1,tabela_registros[DIA],novtotal3059718395107119131143155[[#Headers],[15]],tabela_registros[REGISTRO],DADOS!$N$4,tabela_registros[TIPO],DADOS!$P$3,tabela_registros[CATEGORIA],despesafixaconsolidadonov[[#This Row],[DESPESA FIXA]])</f>
        <v>0</v>
      </c>
      <c r="T44" s="119" t="n">
        <f aca="false">SUMIFS(tabela_registros[VALOR],tabela_registros[MÊS],$AE$1,tabela_registros[DIA],novtotal3059718395107119131143155[[#Headers],[16]],tabela_registros[REGISTRO],DADOS!$N$4,tabela_registros[TIPO],DADOS!$P$3,tabela_registros[CATEGORIA],despesafixaconsolidadonov[[#This Row],[DESPESA FIXA]])</f>
        <v>0</v>
      </c>
      <c r="U44" s="119" t="n">
        <f aca="false">SUMIFS(tabela_registros[VALOR],tabela_registros[MÊS],$AE$1,tabela_registros[DIA],novtotal3059718395107119131143155[[#Headers],[17]],tabela_registros[REGISTRO],DADOS!$N$4,tabela_registros[TIPO],DADOS!$P$3,tabela_registros[CATEGORIA],despesafixaconsolidadonov[[#This Row],[DESPESA FIXA]])</f>
        <v>0</v>
      </c>
      <c r="V44" s="119" t="n">
        <f aca="false">SUMIFS(tabela_registros[VALOR],tabela_registros[MÊS],$AE$1,tabela_registros[DIA],novtotal3059718395107119131143155[[#Headers],[18]],tabela_registros[REGISTRO],DADOS!$N$4,tabela_registros[TIPO],DADOS!$P$3,tabela_registros[CATEGORIA],despesafixaconsolidadonov[[#This Row],[DESPESA FIXA]])</f>
        <v>0</v>
      </c>
      <c r="W44" s="119" t="n">
        <f aca="false">SUMIFS(tabela_registros[VALOR],tabela_registros[MÊS],$AE$1,tabela_registros[DIA],novtotal3059718395107119131143155[[#Headers],[19]],tabela_registros[REGISTRO],DADOS!$N$4,tabela_registros[TIPO],DADOS!$P$3,tabela_registros[CATEGORIA],despesafixaconsolidadonov[[#This Row],[DESPESA FIXA]])</f>
        <v>0</v>
      </c>
      <c r="X44" s="119" t="n">
        <f aca="false">SUMIFS(tabela_registros[VALOR],tabela_registros[MÊS],$AE$1,tabela_registros[DIA],novtotal3059718395107119131143155[[#Headers],[20]],tabela_registros[REGISTRO],DADOS!$N$4,tabela_registros[TIPO],DADOS!$P$3,tabela_registros[CATEGORIA],despesafixaconsolidadonov[[#This Row],[DESPESA FIXA]])</f>
        <v>0</v>
      </c>
      <c r="Y44" s="119" t="n">
        <f aca="false">SUMIFS(tabela_registros[VALOR],tabela_registros[MÊS],$AE$1,tabela_registros[DIA],novtotal3059718395107119131143155[[#Headers],[21]],tabela_registros[REGISTRO],DADOS!$N$4,tabela_registros[TIPO],DADOS!$P$3,tabela_registros[CATEGORIA],despesafixaconsolidadonov[[#This Row],[DESPESA FIXA]])</f>
        <v>0</v>
      </c>
      <c r="Z44" s="119" t="n">
        <f aca="false">SUMIFS(tabela_registros[VALOR],tabela_registros[MÊS],$AE$1,tabela_registros[DIA],novtotal3059718395107119131143155[[#Headers],[22]],tabela_registros[REGISTRO],DADOS!$N$4,tabela_registros[TIPO],DADOS!$P$3,tabela_registros[CATEGORIA],despesafixaconsolidadonov[[#This Row],[DESPESA FIXA]])</f>
        <v>0</v>
      </c>
      <c r="AA44" s="119" t="n">
        <f aca="false">SUMIFS(tabela_registros[VALOR],tabela_registros[MÊS],$AE$1,tabela_registros[DIA],novtotal3059718395107119131143155[[#Headers],[23]],tabela_registros[REGISTRO],DADOS!$N$4,tabela_registros[TIPO],DADOS!$P$3,tabela_registros[CATEGORIA],despesafixaconsolidadonov[[#This Row],[DESPESA FIXA]])</f>
        <v>0</v>
      </c>
      <c r="AB44" s="119" t="n">
        <f aca="false">SUMIFS(tabela_registros[VALOR],tabela_registros[MÊS],$AE$1,tabela_registros[DIA],novtotal3059718395107119131143155[[#Headers],[24]],tabela_registros[REGISTRO],DADOS!$N$4,tabela_registros[TIPO],DADOS!$P$3,tabela_registros[CATEGORIA],despesafixaconsolidadonov[[#This Row],[DESPESA FIXA]])</f>
        <v>0</v>
      </c>
      <c r="AC44" s="119" t="n">
        <f aca="false">SUMIFS(tabela_registros[VALOR],tabela_registros[MÊS],$AE$1,tabela_registros[DIA],novtotal3059718395107119131143155[[#Headers],[25]],tabela_registros[REGISTRO],DADOS!$N$4,tabela_registros[TIPO],DADOS!$P$3,tabela_registros[CATEGORIA],despesafixaconsolidadonov[[#This Row],[DESPESA FIXA]])</f>
        <v>0</v>
      </c>
      <c r="AD44" s="119" t="n">
        <f aca="false">SUMIFS(tabela_registros[VALOR],tabela_registros[MÊS],$AE$1,tabela_registros[DIA],novtotal3059718395107119131143155[[#Headers],[26]],tabela_registros[REGISTRO],DADOS!$N$4,tabela_registros[TIPO],DADOS!$P$3,tabela_registros[CATEGORIA],despesafixaconsolidadonov[[#This Row],[DESPESA FIXA]])</f>
        <v>0</v>
      </c>
      <c r="AE44" s="119" t="n">
        <f aca="false">SUMIFS(tabela_registros[VALOR],tabela_registros[MÊS],$AE$1,tabela_registros[DIA],novtotal3059718395107119131143155[[#Headers],[27]],tabela_registros[REGISTRO],DADOS!$N$4,tabela_registros[TIPO],DADOS!$P$3,tabela_registros[CATEGORIA],despesafixaconsolidadonov[[#This Row],[DESPESA FIXA]])</f>
        <v>0</v>
      </c>
      <c r="AF44" s="119" t="n">
        <f aca="false">SUMIFS(tabela_registros[VALOR],tabela_registros[MÊS],$AE$1,tabela_registros[DIA],novtotal3059718395107119131143155[[#Headers],[28]],tabela_registros[REGISTRO],DADOS!$N$4,tabela_registros[TIPO],DADOS!$P$3,tabela_registros[CATEGORIA],despesafixaconsolidadonov[[#This Row],[DESPESA FIXA]])</f>
        <v>0</v>
      </c>
      <c r="AG44" s="119" t="n">
        <f aca="false">SUMIFS(tabela_registros[VALOR],tabela_registros[MÊS],$AE$1,tabela_registros[DIA],novtotal3059718395107119131143155[[#Headers],[29]],tabela_registros[REGISTRO],DADOS!$N$4,tabela_registros[TIPO],DADOS!$P$3,tabela_registros[CATEGORIA],despesafixaconsolidadonov[[#This Row],[DESPESA FIXA]])</f>
        <v>0</v>
      </c>
      <c r="AH44" s="119" t="n">
        <f aca="false">SUMIFS(tabela_registros[VALOR],tabela_registros[MÊS],$AE$1,tabela_registros[DIA],novtotal3059718395107119131143155[[#Headers],[30]],tabela_registros[REGISTRO],DADOS!$N$4,tabela_registros[TIPO],DADOS!$P$3,tabela_registros[CATEGORIA],despesafixaconsolidadonov[[#This Row],[DESPESA FIXA]])</f>
        <v>0</v>
      </c>
      <c r="AI44" s="217" t="n">
        <f aca="false">SUMIFS(tabela_registros[VALOR],tabela_registros[MÊS],$AE$1,tabela_registros[DIA],novtotal3059718395107119131143155[[#Headers],[31]],tabela_registros[REGISTRO],DADOS!$N$4,tabela_registros[TIPO],DADOS!$P$3,tabela_registros[CATEGORIA],despesafixaconsolidadonov[[#This Row],[DESPESA FIXA]])</f>
        <v>0</v>
      </c>
      <c r="AJ44" s="149" t="n">
        <f aca="false">SUM(despesafixaconsolidadonov[[#This Row],[1]:[31]])</f>
        <v>0</v>
      </c>
      <c r="AK44" s="143"/>
    </row>
    <row r="45" customFormat="false" ht="18" hidden="false" customHeight="true" outlineLevel="0" collapsed="false">
      <c r="B45" s="143"/>
      <c r="C45" s="144" t="str">
        <f aca="false">DADOS!$R$11</f>
        <v>🔢 IMPOSTOS</v>
      </c>
      <c r="D45" s="145" t="str">
        <f aca="false">IF(despesafixaconsolidadonov[[#This Row],[TOTAL]]=0,"",IF(OR(despesafixaconsolidadonov[[#This Row],[TOTAL]]=LARGE($AJ$37:$AJ$50,1),despesafixaconsolidadonov[[#This Row],[TOTAL]]=LARGE($AJ$37:$AJ$50,2),despesafixaconsolidadonov[[#This Row],[TOTAL]]=LARGE($AJ$37:$AJ$50,3),despesafixaconsolidadonov[[#This Row],[TOTAL]]=LARGE($AJ$37:$AJ$50,4),despesafixaconsolidadonov[[#This Row],[TOTAL]]=LARGE($AJ$37:$AJ$50,5)),DADOS!$I$8,""))</f>
        <v/>
      </c>
      <c r="E45" s="148" t="n">
        <f aca="false">SUMIFS(tabela_registros[VALOR],tabela_registros[MÊS],$AE$1,tabela_registros[DIA],novtotal3059718395107119131143155[[#Headers],[1]],tabela_registros[REGISTRO],DADOS!$N$4,tabela_registros[TIPO],DADOS!$P$3,tabela_registros[CATEGORIA],despesafixaconsolidadonov[[#This Row],[DESPESA FIXA]])</f>
        <v>0</v>
      </c>
      <c r="F45" s="119" t="n">
        <f aca="false">SUMIFS(tabela_registros[VALOR],tabela_registros[MÊS],$AE$1,tabela_registros[DIA],novtotal3059718395107119131143155[[#Headers],[2]],tabela_registros[REGISTRO],DADOS!$N$4,tabela_registros[TIPO],DADOS!$P$3,tabela_registros[CATEGORIA],despesafixaconsolidadonov[[#This Row],[DESPESA FIXA]])</f>
        <v>0</v>
      </c>
      <c r="G45" s="119" t="n">
        <f aca="false">SUMIFS(tabela_registros[VALOR],tabela_registros[MÊS],$AE$1,tabela_registros[DIA],novtotal3059718395107119131143155[[#Headers],[3]],tabela_registros[REGISTRO],DADOS!$N$4,tabela_registros[TIPO],DADOS!$P$3,tabela_registros[CATEGORIA],despesafixaconsolidadonov[[#This Row],[DESPESA FIXA]])</f>
        <v>0</v>
      </c>
      <c r="H45" s="119" t="n">
        <f aca="false">SUMIFS(tabela_registros[VALOR],tabela_registros[MÊS],$AE$1,tabela_registros[DIA],novtotal3059718395107119131143155[[#Headers],[4]],tabela_registros[REGISTRO],DADOS!$N$4,tabela_registros[TIPO],DADOS!$P$3,tabela_registros[CATEGORIA],despesafixaconsolidadonov[[#This Row],[DESPESA FIXA]])</f>
        <v>0</v>
      </c>
      <c r="I45" s="119" t="n">
        <f aca="false">SUMIFS(tabela_registros[VALOR],tabela_registros[MÊS],$AE$1,tabela_registros[DIA],novtotal3059718395107119131143155[[#Headers],[5]],tabela_registros[REGISTRO],DADOS!$N$4,tabela_registros[TIPO],DADOS!$P$3,tabela_registros[CATEGORIA],despesafixaconsolidadonov[[#This Row],[DESPESA FIXA]])</f>
        <v>0</v>
      </c>
      <c r="J45" s="119" t="n">
        <f aca="false">SUMIFS(tabela_registros[VALOR],tabela_registros[MÊS],$AE$1,tabela_registros[DIA],novtotal3059718395107119131143155[[#Headers],[6]],tabela_registros[REGISTRO],DADOS!$N$4,tabela_registros[TIPO],DADOS!$P$3,tabela_registros[CATEGORIA],despesafixaconsolidadonov[[#This Row],[DESPESA FIXA]])</f>
        <v>0</v>
      </c>
      <c r="K45" s="119" t="n">
        <f aca="false">SUMIFS(tabela_registros[VALOR],tabela_registros[MÊS],$AE$1,tabela_registros[DIA],novtotal3059718395107119131143155[[#Headers],[7]],tabela_registros[REGISTRO],DADOS!$N$4,tabela_registros[TIPO],DADOS!$P$3,tabela_registros[CATEGORIA],despesafixaconsolidadonov[[#This Row],[DESPESA FIXA]])</f>
        <v>0</v>
      </c>
      <c r="L45" s="119" t="n">
        <f aca="false">SUMIFS(tabela_registros[VALOR],tabela_registros[MÊS],$AE$1,tabela_registros[DIA],novtotal3059718395107119131143155[[#Headers],[8]],tabela_registros[REGISTRO],DADOS!$N$4,tabela_registros[TIPO],DADOS!$P$3,tabela_registros[CATEGORIA],despesafixaconsolidadonov[[#This Row],[DESPESA FIXA]])</f>
        <v>0</v>
      </c>
      <c r="M45" s="119" t="n">
        <f aca="false">SUMIFS(tabela_registros[VALOR],tabela_registros[MÊS],$AE$1,tabela_registros[DIA],novtotal3059718395107119131143155[[#Headers],[9]],tabela_registros[REGISTRO],DADOS!$N$4,tabela_registros[TIPO],DADOS!$P$3,tabela_registros[CATEGORIA],despesafixaconsolidadonov[[#This Row],[DESPESA FIXA]])</f>
        <v>0</v>
      </c>
      <c r="N45" s="119" t="n">
        <f aca="false">SUMIFS(tabela_registros[VALOR],tabela_registros[MÊS],$AE$1,tabela_registros[DIA],novtotal3059718395107119131143155[[#Headers],[10]],tabela_registros[REGISTRO],DADOS!$N$4,tabela_registros[TIPO],DADOS!$P$3,tabela_registros[CATEGORIA],despesafixaconsolidadonov[[#This Row],[DESPESA FIXA]])</f>
        <v>0</v>
      </c>
      <c r="O45" s="119" t="n">
        <f aca="false">SUMIFS(tabela_registros[VALOR],tabela_registros[MÊS],$AE$1,tabela_registros[DIA],novtotal3059718395107119131143155[[#Headers],[11]],tabela_registros[REGISTRO],DADOS!$N$4,tabela_registros[TIPO],DADOS!$P$3,tabela_registros[CATEGORIA],despesafixaconsolidadonov[[#This Row],[DESPESA FIXA]])</f>
        <v>0</v>
      </c>
      <c r="P45" s="119" t="n">
        <f aca="false">SUMIFS(tabela_registros[VALOR],tabela_registros[MÊS],$AE$1,tabela_registros[DIA],novtotal3059718395107119131143155[[#Headers],[12]],tabela_registros[REGISTRO],DADOS!$N$4,tabela_registros[TIPO],DADOS!$P$3,tabela_registros[CATEGORIA],despesafixaconsolidadonov[[#This Row],[DESPESA FIXA]])</f>
        <v>0</v>
      </c>
      <c r="Q45" s="119" t="n">
        <f aca="false">SUMIFS(tabela_registros[VALOR],tabela_registros[MÊS],$AE$1,tabela_registros[DIA],novtotal3059718395107119131143155[[#Headers],[13]],tabela_registros[REGISTRO],DADOS!$N$4,tabela_registros[TIPO],DADOS!$P$3,tabela_registros[CATEGORIA],despesafixaconsolidadonov[[#This Row],[DESPESA FIXA]])</f>
        <v>0</v>
      </c>
      <c r="R45" s="119" t="n">
        <f aca="false">SUMIFS(tabela_registros[VALOR],tabela_registros[MÊS],$AE$1,tabela_registros[DIA],novtotal3059718395107119131143155[[#Headers],[14]],tabela_registros[REGISTRO],DADOS!$N$4,tabela_registros[TIPO],DADOS!$P$3,tabela_registros[CATEGORIA],despesafixaconsolidadonov[[#This Row],[DESPESA FIXA]])</f>
        <v>0</v>
      </c>
      <c r="S45" s="119" t="n">
        <f aca="false">SUMIFS(tabela_registros[VALOR],tabela_registros[MÊS],$AE$1,tabela_registros[DIA],novtotal3059718395107119131143155[[#Headers],[15]],tabela_registros[REGISTRO],DADOS!$N$4,tabela_registros[TIPO],DADOS!$P$3,tabela_registros[CATEGORIA],despesafixaconsolidadonov[[#This Row],[DESPESA FIXA]])</f>
        <v>0</v>
      </c>
      <c r="T45" s="119" t="n">
        <f aca="false">SUMIFS(tabela_registros[VALOR],tabela_registros[MÊS],$AE$1,tabela_registros[DIA],novtotal3059718395107119131143155[[#Headers],[16]],tabela_registros[REGISTRO],DADOS!$N$4,tabela_registros[TIPO],DADOS!$P$3,tabela_registros[CATEGORIA],despesafixaconsolidadonov[[#This Row],[DESPESA FIXA]])</f>
        <v>0</v>
      </c>
      <c r="U45" s="119" t="n">
        <f aca="false">SUMIFS(tabela_registros[VALOR],tabela_registros[MÊS],$AE$1,tabela_registros[DIA],novtotal3059718395107119131143155[[#Headers],[17]],tabela_registros[REGISTRO],DADOS!$N$4,tabela_registros[TIPO],DADOS!$P$3,tabela_registros[CATEGORIA],despesafixaconsolidadonov[[#This Row],[DESPESA FIXA]])</f>
        <v>0</v>
      </c>
      <c r="V45" s="119" t="n">
        <f aca="false">SUMIFS(tabela_registros[VALOR],tabela_registros[MÊS],$AE$1,tabela_registros[DIA],novtotal3059718395107119131143155[[#Headers],[18]],tabela_registros[REGISTRO],DADOS!$N$4,tabela_registros[TIPO],DADOS!$P$3,tabela_registros[CATEGORIA],despesafixaconsolidadonov[[#This Row],[DESPESA FIXA]])</f>
        <v>0</v>
      </c>
      <c r="W45" s="119" t="n">
        <f aca="false">SUMIFS(tabela_registros[VALOR],tabela_registros[MÊS],$AE$1,tabela_registros[DIA],novtotal3059718395107119131143155[[#Headers],[19]],tabela_registros[REGISTRO],DADOS!$N$4,tabela_registros[TIPO],DADOS!$P$3,tabela_registros[CATEGORIA],despesafixaconsolidadonov[[#This Row],[DESPESA FIXA]])</f>
        <v>0</v>
      </c>
      <c r="X45" s="119" t="n">
        <f aca="false">SUMIFS(tabela_registros[VALOR],tabela_registros[MÊS],$AE$1,tabela_registros[DIA],novtotal3059718395107119131143155[[#Headers],[20]],tabela_registros[REGISTRO],DADOS!$N$4,tabela_registros[TIPO],DADOS!$P$3,tabela_registros[CATEGORIA],despesafixaconsolidadonov[[#This Row],[DESPESA FIXA]])</f>
        <v>0</v>
      </c>
      <c r="Y45" s="119" t="n">
        <f aca="false">SUMIFS(tabela_registros[VALOR],tabela_registros[MÊS],$AE$1,tabela_registros[DIA],novtotal3059718395107119131143155[[#Headers],[21]],tabela_registros[REGISTRO],DADOS!$N$4,tabela_registros[TIPO],DADOS!$P$3,tabela_registros[CATEGORIA],despesafixaconsolidadonov[[#This Row],[DESPESA FIXA]])</f>
        <v>0</v>
      </c>
      <c r="Z45" s="119" t="n">
        <f aca="false">SUMIFS(tabela_registros[VALOR],tabela_registros[MÊS],$AE$1,tabela_registros[DIA],novtotal3059718395107119131143155[[#Headers],[22]],tabela_registros[REGISTRO],DADOS!$N$4,tabela_registros[TIPO],DADOS!$P$3,tabela_registros[CATEGORIA],despesafixaconsolidadonov[[#This Row],[DESPESA FIXA]])</f>
        <v>0</v>
      </c>
      <c r="AA45" s="119" t="n">
        <f aca="false">SUMIFS(tabela_registros[VALOR],tabela_registros[MÊS],$AE$1,tabela_registros[DIA],novtotal3059718395107119131143155[[#Headers],[23]],tabela_registros[REGISTRO],DADOS!$N$4,tabela_registros[TIPO],DADOS!$P$3,tabela_registros[CATEGORIA],despesafixaconsolidadonov[[#This Row],[DESPESA FIXA]])</f>
        <v>0</v>
      </c>
      <c r="AB45" s="119" t="n">
        <f aca="false">SUMIFS(tabela_registros[VALOR],tabela_registros[MÊS],$AE$1,tabela_registros[DIA],novtotal3059718395107119131143155[[#Headers],[24]],tabela_registros[REGISTRO],DADOS!$N$4,tabela_registros[TIPO],DADOS!$P$3,tabela_registros[CATEGORIA],despesafixaconsolidadonov[[#This Row],[DESPESA FIXA]])</f>
        <v>0</v>
      </c>
      <c r="AC45" s="119" t="n">
        <f aca="false">SUMIFS(tabela_registros[VALOR],tabela_registros[MÊS],$AE$1,tabela_registros[DIA],novtotal3059718395107119131143155[[#Headers],[25]],tabela_registros[REGISTRO],DADOS!$N$4,tabela_registros[TIPO],DADOS!$P$3,tabela_registros[CATEGORIA],despesafixaconsolidadonov[[#This Row],[DESPESA FIXA]])</f>
        <v>0</v>
      </c>
      <c r="AD45" s="119" t="n">
        <f aca="false">SUMIFS(tabela_registros[VALOR],tabela_registros[MÊS],$AE$1,tabela_registros[DIA],novtotal3059718395107119131143155[[#Headers],[26]],tabela_registros[REGISTRO],DADOS!$N$4,tabela_registros[TIPO],DADOS!$P$3,tabela_registros[CATEGORIA],despesafixaconsolidadonov[[#This Row],[DESPESA FIXA]])</f>
        <v>0</v>
      </c>
      <c r="AE45" s="119" t="n">
        <f aca="false">SUMIFS(tabela_registros[VALOR],tabela_registros[MÊS],$AE$1,tabela_registros[DIA],novtotal3059718395107119131143155[[#Headers],[27]],tabela_registros[REGISTRO],DADOS!$N$4,tabela_registros[TIPO],DADOS!$P$3,tabela_registros[CATEGORIA],despesafixaconsolidadonov[[#This Row],[DESPESA FIXA]])</f>
        <v>0</v>
      </c>
      <c r="AF45" s="119" t="n">
        <f aca="false">SUMIFS(tabela_registros[VALOR],tabela_registros[MÊS],$AE$1,tabela_registros[DIA],novtotal3059718395107119131143155[[#Headers],[28]],tabela_registros[REGISTRO],DADOS!$N$4,tabela_registros[TIPO],DADOS!$P$3,tabela_registros[CATEGORIA],despesafixaconsolidadonov[[#This Row],[DESPESA FIXA]])</f>
        <v>0</v>
      </c>
      <c r="AG45" s="119" t="n">
        <f aca="false">SUMIFS(tabela_registros[VALOR],tabela_registros[MÊS],$AE$1,tabela_registros[DIA],novtotal3059718395107119131143155[[#Headers],[29]],tabela_registros[REGISTRO],DADOS!$N$4,tabela_registros[TIPO],DADOS!$P$3,tabela_registros[CATEGORIA],despesafixaconsolidadonov[[#This Row],[DESPESA FIXA]])</f>
        <v>0</v>
      </c>
      <c r="AH45" s="119" t="n">
        <f aca="false">SUMIFS(tabela_registros[VALOR],tabela_registros[MÊS],$AE$1,tabela_registros[DIA],novtotal3059718395107119131143155[[#Headers],[30]],tabela_registros[REGISTRO],DADOS!$N$4,tabela_registros[TIPO],DADOS!$P$3,tabela_registros[CATEGORIA],despesafixaconsolidadonov[[#This Row],[DESPESA FIXA]])</f>
        <v>0</v>
      </c>
      <c r="AI45" s="217" t="n">
        <f aca="false">SUMIFS(tabela_registros[VALOR],tabela_registros[MÊS],$AE$1,tabela_registros[DIA],novtotal3059718395107119131143155[[#Headers],[31]],tabela_registros[REGISTRO],DADOS!$N$4,tabela_registros[TIPO],DADOS!$P$3,tabela_registros[CATEGORIA],despesafixaconsolidadonov[[#This Row],[DESPESA FIXA]])</f>
        <v>0</v>
      </c>
      <c r="AJ45" s="149" t="n">
        <f aca="false">SUM(despesafixaconsolidadonov[[#This Row],[1]:[31]])</f>
        <v>0</v>
      </c>
      <c r="AK45" s="143"/>
    </row>
    <row r="46" customFormat="false" ht="18" hidden="false" customHeight="true" outlineLevel="0" collapsed="false">
      <c r="B46" s="143"/>
      <c r="C46" s="144" t="str">
        <f aca="false">DADOS!$R$12</f>
        <v>🖱️ INTERNET</v>
      </c>
      <c r="D46" s="145" t="str">
        <f aca="false">IF(despesafixaconsolidadonov[[#This Row],[TOTAL]]=0,"",IF(OR(despesafixaconsolidadonov[[#This Row],[TOTAL]]=LARGE($AJ$37:$AJ$50,1),despesafixaconsolidadonov[[#This Row],[TOTAL]]=LARGE($AJ$37:$AJ$50,2),despesafixaconsolidadonov[[#This Row],[TOTAL]]=LARGE($AJ$37:$AJ$50,3),despesafixaconsolidadonov[[#This Row],[TOTAL]]=LARGE($AJ$37:$AJ$50,4),despesafixaconsolidadonov[[#This Row],[TOTAL]]=LARGE($AJ$37:$AJ$50,5)),DADOS!$I$8,""))</f>
        <v/>
      </c>
      <c r="E46" s="148" t="n">
        <f aca="false">SUMIFS(tabela_registros[VALOR],tabela_registros[MÊS],$AE$1,tabela_registros[DIA],novtotal3059718395107119131143155[[#Headers],[1]],tabela_registros[REGISTRO],DADOS!$N$4,tabela_registros[TIPO],DADOS!$P$3,tabela_registros[CATEGORIA],despesafixaconsolidadonov[[#This Row],[DESPESA FIXA]])</f>
        <v>0</v>
      </c>
      <c r="F46" s="119" t="n">
        <f aca="false">SUMIFS(tabela_registros[VALOR],tabela_registros[MÊS],$AE$1,tabela_registros[DIA],novtotal3059718395107119131143155[[#Headers],[2]],tabela_registros[REGISTRO],DADOS!$N$4,tabela_registros[TIPO],DADOS!$P$3,tabela_registros[CATEGORIA],despesafixaconsolidadonov[[#This Row],[DESPESA FIXA]])</f>
        <v>0</v>
      </c>
      <c r="G46" s="119" t="n">
        <f aca="false">SUMIFS(tabela_registros[VALOR],tabela_registros[MÊS],$AE$1,tabela_registros[DIA],novtotal3059718395107119131143155[[#Headers],[3]],tabela_registros[REGISTRO],DADOS!$N$4,tabela_registros[TIPO],DADOS!$P$3,tabela_registros[CATEGORIA],despesafixaconsolidadonov[[#This Row],[DESPESA FIXA]])</f>
        <v>0</v>
      </c>
      <c r="H46" s="119" t="n">
        <f aca="false">SUMIFS(tabela_registros[VALOR],tabela_registros[MÊS],$AE$1,tabela_registros[DIA],novtotal3059718395107119131143155[[#Headers],[4]],tabela_registros[REGISTRO],DADOS!$N$4,tabela_registros[TIPO],DADOS!$P$3,tabela_registros[CATEGORIA],despesafixaconsolidadonov[[#This Row],[DESPESA FIXA]])</f>
        <v>0</v>
      </c>
      <c r="I46" s="119" t="n">
        <f aca="false">SUMIFS(tabela_registros[VALOR],tabela_registros[MÊS],$AE$1,tabela_registros[DIA],novtotal3059718395107119131143155[[#Headers],[5]],tabela_registros[REGISTRO],DADOS!$N$4,tabela_registros[TIPO],DADOS!$P$3,tabela_registros[CATEGORIA],despesafixaconsolidadonov[[#This Row],[DESPESA FIXA]])</f>
        <v>0</v>
      </c>
      <c r="J46" s="119" t="n">
        <f aca="false">SUMIFS(tabela_registros[VALOR],tabela_registros[MÊS],$AE$1,tabela_registros[DIA],novtotal3059718395107119131143155[[#Headers],[6]],tabela_registros[REGISTRO],DADOS!$N$4,tabela_registros[TIPO],DADOS!$P$3,tabela_registros[CATEGORIA],despesafixaconsolidadonov[[#This Row],[DESPESA FIXA]])</f>
        <v>0</v>
      </c>
      <c r="K46" s="119" t="n">
        <f aca="false">SUMIFS(tabela_registros[VALOR],tabela_registros[MÊS],$AE$1,tabela_registros[DIA],novtotal3059718395107119131143155[[#Headers],[7]],tabela_registros[REGISTRO],DADOS!$N$4,tabela_registros[TIPO],DADOS!$P$3,tabela_registros[CATEGORIA],despesafixaconsolidadonov[[#This Row],[DESPESA FIXA]])</f>
        <v>0</v>
      </c>
      <c r="L46" s="119" t="n">
        <f aca="false">SUMIFS(tabela_registros[VALOR],tabela_registros[MÊS],$AE$1,tabela_registros[DIA],novtotal3059718395107119131143155[[#Headers],[8]],tabela_registros[REGISTRO],DADOS!$N$4,tabela_registros[TIPO],DADOS!$P$3,tabela_registros[CATEGORIA],despesafixaconsolidadonov[[#This Row],[DESPESA FIXA]])</f>
        <v>0</v>
      </c>
      <c r="M46" s="119" t="n">
        <f aca="false">SUMIFS(tabela_registros[VALOR],tabela_registros[MÊS],$AE$1,tabela_registros[DIA],novtotal3059718395107119131143155[[#Headers],[9]],tabela_registros[REGISTRO],DADOS!$N$4,tabela_registros[TIPO],DADOS!$P$3,tabela_registros[CATEGORIA],despesafixaconsolidadonov[[#This Row],[DESPESA FIXA]])</f>
        <v>0</v>
      </c>
      <c r="N46" s="119" t="n">
        <f aca="false">SUMIFS(tabela_registros[VALOR],tabela_registros[MÊS],$AE$1,tabela_registros[DIA],novtotal3059718395107119131143155[[#Headers],[10]],tabela_registros[REGISTRO],DADOS!$N$4,tabela_registros[TIPO],DADOS!$P$3,tabela_registros[CATEGORIA],despesafixaconsolidadonov[[#This Row],[DESPESA FIXA]])</f>
        <v>0</v>
      </c>
      <c r="O46" s="119" t="n">
        <f aca="false">SUMIFS(tabela_registros[VALOR],tabela_registros[MÊS],$AE$1,tabela_registros[DIA],novtotal3059718395107119131143155[[#Headers],[11]],tabela_registros[REGISTRO],DADOS!$N$4,tabela_registros[TIPO],DADOS!$P$3,tabela_registros[CATEGORIA],despesafixaconsolidadonov[[#This Row],[DESPESA FIXA]])</f>
        <v>0</v>
      </c>
      <c r="P46" s="119" t="n">
        <f aca="false">SUMIFS(tabela_registros[VALOR],tabela_registros[MÊS],$AE$1,tabela_registros[DIA],novtotal3059718395107119131143155[[#Headers],[12]],tabela_registros[REGISTRO],DADOS!$N$4,tabela_registros[TIPO],DADOS!$P$3,tabela_registros[CATEGORIA],despesafixaconsolidadonov[[#This Row],[DESPESA FIXA]])</f>
        <v>0</v>
      </c>
      <c r="Q46" s="119" t="n">
        <f aca="false">SUMIFS(tabela_registros[VALOR],tabela_registros[MÊS],$AE$1,tabela_registros[DIA],novtotal3059718395107119131143155[[#Headers],[13]],tabela_registros[REGISTRO],DADOS!$N$4,tabela_registros[TIPO],DADOS!$P$3,tabela_registros[CATEGORIA],despesafixaconsolidadonov[[#This Row],[DESPESA FIXA]])</f>
        <v>0</v>
      </c>
      <c r="R46" s="119" t="n">
        <f aca="false">SUMIFS(tabela_registros[VALOR],tabela_registros[MÊS],$AE$1,tabela_registros[DIA],novtotal3059718395107119131143155[[#Headers],[14]],tabela_registros[REGISTRO],DADOS!$N$4,tabela_registros[TIPO],DADOS!$P$3,tabela_registros[CATEGORIA],despesafixaconsolidadonov[[#This Row],[DESPESA FIXA]])</f>
        <v>0</v>
      </c>
      <c r="S46" s="119" t="n">
        <f aca="false">SUMIFS(tabela_registros[VALOR],tabela_registros[MÊS],$AE$1,tabela_registros[DIA],novtotal3059718395107119131143155[[#Headers],[15]],tabela_registros[REGISTRO],DADOS!$N$4,tabela_registros[TIPO],DADOS!$P$3,tabela_registros[CATEGORIA],despesafixaconsolidadonov[[#This Row],[DESPESA FIXA]])</f>
        <v>0</v>
      </c>
      <c r="T46" s="119" t="n">
        <f aca="false">SUMIFS(tabela_registros[VALOR],tabela_registros[MÊS],$AE$1,tabela_registros[DIA],novtotal3059718395107119131143155[[#Headers],[16]],tabela_registros[REGISTRO],DADOS!$N$4,tabela_registros[TIPO],DADOS!$P$3,tabela_registros[CATEGORIA],despesafixaconsolidadonov[[#This Row],[DESPESA FIXA]])</f>
        <v>0</v>
      </c>
      <c r="U46" s="119" t="n">
        <f aca="false">SUMIFS(tabela_registros[VALOR],tabela_registros[MÊS],$AE$1,tabela_registros[DIA],novtotal3059718395107119131143155[[#Headers],[17]],tabela_registros[REGISTRO],DADOS!$N$4,tabela_registros[TIPO],DADOS!$P$3,tabela_registros[CATEGORIA],despesafixaconsolidadonov[[#This Row],[DESPESA FIXA]])</f>
        <v>0</v>
      </c>
      <c r="V46" s="119" t="n">
        <f aca="false">SUMIFS(tabela_registros[VALOR],tabela_registros[MÊS],$AE$1,tabela_registros[DIA],novtotal3059718395107119131143155[[#Headers],[18]],tabela_registros[REGISTRO],DADOS!$N$4,tabela_registros[TIPO],DADOS!$P$3,tabela_registros[CATEGORIA],despesafixaconsolidadonov[[#This Row],[DESPESA FIXA]])</f>
        <v>0</v>
      </c>
      <c r="W46" s="119" t="n">
        <f aca="false">SUMIFS(tabela_registros[VALOR],tabela_registros[MÊS],$AE$1,tabela_registros[DIA],novtotal3059718395107119131143155[[#Headers],[19]],tabela_registros[REGISTRO],DADOS!$N$4,tabela_registros[TIPO],DADOS!$P$3,tabela_registros[CATEGORIA],despesafixaconsolidadonov[[#This Row],[DESPESA FIXA]])</f>
        <v>0</v>
      </c>
      <c r="X46" s="119" t="n">
        <f aca="false">SUMIFS(tabela_registros[VALOR],tabela_registros[MÊS],$AE$1,tabela_registros[DIA],novtotal3059718395107119131143155[[#Headers],[20]],tabela_registros[REGISTRO],DADOS!$N$4,tabela_registros[TIPO],DADOS!$P$3,tabela_registros[CATEGORIA],despesafixaconsolidadonov[[#This Row],[DESPESA FIXA]])</f>
        <v>0</v>
      </c>
      <c r="Y46" s="119" t="n">
        <f aca="false">SUMIFS(tabela_registros[VALOR],tabela_registros[MÊS],$AE$1,tabela_registros[DIA],novtotal3059718395107119131143155[[#Headers],[21]],tabela_registros[REGISTRO],DADOS!$N$4,tabela_registros[TIPO],DADOS!$P$3,tabela_registros[CATEGORIA],despesafixaconsolidadonov[[#This Row],[DESPESA FIXA]])</f>
        <v>0</v>
      </c>
      <c r="Z46" s="119" t="n">
        <f aca="false">SUMIFS(tabela_registros[VALOR],tabela_registros[MÊS],$AE$1,tabela_registros[DIA],novtotal3059718395107119131143155[[#Headers],[22]],tabela_registros[REGISTRO],DADOS!$N$4,tabela_registros[TIPO],DADOS!$P$3,tabela_registros[CATEGORIA],despesafixaconsolidadonov[[#This Row],[DESPESA FIXA]])</f>
        <v>0</v>
      </c>
      <c r="AA46" s="119" t="n">
        <f aca="false">SUMIFS(tabela_registros[VALOR],tabela_registros[MÊS],$AE$1,tabela_registros[DIA],novtotal3059718395107119131143155[[#Headers],[23]],tabela_registros[REGISTRO],DADOS!$N$4,tabela_registros[TIPO],DADOS!$P$3,tabela_registros[CATEGORIA],despesafixaconsolidadonov[[#This Row],[DESPESA FIXA]])</f>
        <v>0</v>
      </c>
      <c r="AB46" s="119" t="n">
        <f aca="false">SUMIFS(tabela_registros[VALOR],tabela_registros[MÊS],$AE$1,tabela_registros[DIA],novtotal3059718395107119131143155[[#Headers],[24]],tabela_registros[REGISTRO],DADOS!$N$4,tabela_registros[TIPO],DADOS!$P$3,tabela_registros[CATEGORIA],despesafixaconsolidadonov[[#This Row],[DESPESA FIXA]])</f>
        <v>0</v>
      </c>
      <c r="AC46" s="119" t="n">
        <f aca="false">SUMIFS(tabela_registros[VALOR],tabela_registros[MÊS],$AE$1,tabela_registros[DIA],novtotal3059718395107119131143155[[#Headers],[25]],tabela_registros[REGISTRO],DADOS!$N$4,tabela_registros[TIPO],DADOS!$P$3,tabela_registros[CATEGORIA],despesafixaconsolidadonov[[#This Row],[DESPESA FIXA]])</f>
        <v>0</v>
      </c>
      <c r="AD46" s="119" t="n">
        <f aca="false">SUMIFS(tabela_registros[VALOR],tabela_registros[MÊS],$AE$1,tabela_registros[DIA],novtotal3059718395107119131143155[[#Headers],[26]],tabela_registros[REGISTRO],DADOS!$N$4,tabela_registros[TIPO],DADOS!$P$3,tabela_registros[CATEGORIA],despesafixaconsolidadonov[[#This Row],[DESPESA FIXA]])</f>
        <v>0</v>
      </c>
      <c r="AE46" s="119" t="n">
        <f aca="false">SUMIFS(tabela_registros[VALOR],tabela_registros[MÊS],$AE$1,tabela_registros[DIA],novtotal3059718395107119131143155[[#Headers],[27]],tabela_registros[REGISTRO],DADOS!$N$4,tabela_registros[TIPO],DADOS!$P$3,tabela_registros[CATEGORIA],despesafixaconsolidadonov[[#This Row],[DESPESA FIXA]])</f>
        <v>0</v>
      </c>
      <c r="AF46" s="119" t="n">
        <f aca="false">SUMIFS(tabela_registros[VALOR],tabela_registros[MÊS],$AE$1,tabela_registros[DIA],novtotal3059718395107119131143155[[#Headers],[28]],tabela_registros[REGISTRO],DADOS!$N$4,tabela_registros[TIPO],DADOS!$P$3,tabela_registros[CATEGORIA],despesafixaconsolidadonov[[#This Row],[DESPESA FIXA]])</f>
        <v>0</v>
      </c>
      <c r="AG46" s="119" t="n">
        <f aca="false">SUMIFS(tabela_registros[VALOR],tabela_registros[MÊS],$AE$1,tabela_registros[DIA],novtotal3059718395107119131143155[[#Headers],[29]],tabela_registros[REGISTRO],DADOS!$N$4,tabela_registros[TIPO],DADOS!$P$3,tabela_registros[CATEGORIA],despesafixaconsolidadonov[[#This Row],[DESPESA FIXA]])</f>
        <v>0</v>
      </c>
      <c r="AH46" s="119" t="n">
        <f aca="false">SUMIFS(tabela_registros[VALOR],tabela_registros[MÊS],$AE$1,tabela_registros[DIA],novtotal3059718395107119131143155[[#Headers],[30]],tabela_registros[REGISTRO],DADOS!$N$4,tabela_registros[TIPO],DADOS!$P$3,tabela_registros[CATEGORIA],despesafixaconsolidadonov[[#This Row],[DESPESA FIXA]])</f>
        <v>0</v>
      </c>
      <c r="AI46" s="217" t="n">
        <f aca="false">SUMIFS(tabela_registros[VALOR],tabela_registros[MÊS],$AE$1,tabela_registros[DIA],novtotal3059718395107119131143155[[#Headers],[31]],tabela_registros[REGISTRO],DADOS!$N$4,tabela_registros[TIPO],DADOS!$P$3,tabela_registros[CATEGORIA],despesafixaconsolidadonov[[#This Row],[DESPESA FIXA]])</f>
        <v>0</v>
      </c>
      <c r="AJ46" s="149" t="n">
        <f aca="false">SUM(despesafixaconsolidadonov[[#This Row],[1]:[31]])</f>
        <v>0</v>
      </c>
      <c r="AK46" s="143"/>
    </row>
    <row r="47" customFormat="false" ht="18" hidden="false" customHeight="true" outlineLevel="0" collapsed="false">
      <c r="B47" s="143"/>
      <c r="C47" s="144" t="str">
        <f aca="false">DADOS!$R$13</f>
        <v>🏠 MORADIA</v>
      </c>
      <c r="D47" s="145" t="str">
        <f aca="false">IF(despesafixaconsolidadonov[[#This Row],[TOTAL]]=0,"",IF(OR(despesafixaconsolidadonov[[#This Row],[TOTAL]]=LARGE($AJ$37:$AJ$50,1),despesafixaconsolidadonov[[#This Row],[TOTAL]]=LARGE($AJ$37:$AJ$50,2),despesafixaconsolidadonov[[#This Row],[TOTAL]]=LARGE($AJ$37:$AJ$50,3),despesafixaconsolidadonov[[#This Row],[TOTAL]]=LARGE($AJ$37:$AJ$50,4),despesafixaconsolidadonov[[#This Row],[TOTAL]]=LARGE($AJ$37:$AJ$50,5)),DADOS!$I$8,""))</f>
        <v/>
      </c>
      <c r="E47" s="148" t="n">
        <f aca="false">SUMIFS(tabela_registros[VALOR],tabela_registros[MÊS],$AE$1,tabela_registros[DIA],novtotal3059718395107119131143155[[#Headers],[1]],tabela_registros[REGISTRO],DADOS!$N$4,tabela_registros[TIPO],DADOS!$P$3,tabela_registros[CATEGORIA],despesafixaconsolidadonov[[#This Row],[DESPESA FIXA]])</f>
        <v>0</v>
      </c>
      <c r="F47" s="119" t="n">
        <f aca="false">SUMIFS(tabela_registros[VALOR],tabela_registros[MÊS],$AE$1,tabela_registros[DIA],novtotal3059718395107119131143155[[#Headers],[2]],tabela_registros[REGISTRO],DADOS!$N$4,tabela_registros[TIPO],DADOS!$P$3,tabela_registros[CATEGORIA],despesafixaconsolidadonov[[#This Row],[DESPESA FIXA]])</f>
        <v>0</v>
      </c>
      <c r="G47" s="119" t="n">
        <f aca="false">SUMIFS(tabela_registros[VALOR],tabela_registros[MÊS],$AE$1,tabela_registros[DIA],novtotal3059718395107119131143155[[#Headers],[3]],tabela_registros[REGISTRO],DADOS!$N$4,tabela_registros[TIPO],DADOS!$P$3,tabela_registros[CATEGORIA],despesafixaconsolidadonov[[#This Row],[DESPESA FIXA]])</f>
        <v>0</v>
      </c>
      <c r="H47" s="119" t="n">
        <f aca="false">SUMIFS(tabela_registros[VALOR],tabela_registros[MÊS],$AE$1,tabela_registros[DIA],novtotal3059718395107119131143155[[#Headers],[4]],tabela_registros[REGISTRO],DADOS!$N$4,tabela_registros[TIPO],DADOS!$P$3,tabela_registros[CATEGORIA],despesafixaconsolidadonov[[#This Row],[DESPESA FIXA]])</f>
        <v>0</v>
      </c>
      <c r="I47" s="119" t="n">
        <f aca="false">SUMIFS(tabela_registros[VALOR],tabela_registros[MÊS],$AE$1,tabela_registros[DIA],novtotal3059718395107119131143155[[#Headers],[5]],tabela_registros[REGISTRO],DADOS!$N$4,tabela_registros[TIPO],DADOS!$P$3,tabela_registros[CATEGORIA],despesafixaconsolidadonov[[#This Row],[DESPESA FIXA]])</f>
        <v>0</v>
      </c>
      <c r="J47" s="119" t="n">
        <f aca="false">SUMIFS(tabela_registros[VALOR],tabela_registros[MÊS],$AE$1,tabela_registros[DIA],novtotal3059718395107119131143155[[#Headers],[6]],tabela_registros[REGISTRO],DADOS!$N$4,tabela_registros[TIPO],DADOS!$P$3,tabela_registros[CATEGORIA],despesafixaconsolidadonov[[#This Row],[DESPESA FIXA]])</f>
        <v>0</v>
      </c>
      <c r="K47" s="119" t="n">
        <f aca="false">SUMIFS(tabela_registros[VALOR],tabela_registros[MÊS],$AE$1,tabela_registros[DIA],novtotal3059718395107119131143155[[#Headers],[7]],tabela_registros[REGISTRO],DADOS!$N$4,tabela_registros[TIPO],DADOS!$P$3,tabela_registros[CATEGORIA],despesafixaconsolidadonov[[#This Row],[DESPESA FIXA]])</f>
        <v>0</v>
      </c>
      <c r="L47" s="119" t="n">
        <f aca="false">SUMIFS(tabela_registros[VALOR],tabela_registros[MÊS],$AE$1,tabela_registros[DIA],novtotal3059718395107119131143155[[#Headers],[8]],tabela_registros[REGISTRO],DADOS!$N$4,tabela_registros[TIPO],DADOS!$P$3,tabela_registros[CATEGORIA],despesafixaconsolidadonov[[#This Row],[DESPESA FIXA]])</f>
        <v>0</v>
      </c>
      <c r="M47" s="119" t="n">
        <f aca="false">SUMIFS(tabela_registros[VALOR],tabela_registros[MÊS],$AE$1,tabela_registros[DIA],novtotal3059718395107119131143155[[#Headers],[9]],tabela_registros[REGISTRO],DADOS!$N$4,tabela_registros[TIPO],DADOS!$P$3,tabela_registros[CATEGORIA],despesafixaconsolidadonov[[#This Row],[DESPESA FIXA]])</f>
        <v>0</v>
      </c>
      <c r="N47" s="119" t="n">
        <f aca="false">SUMIFS(tabela_registros[VALOR],tabela_registros[MÊS],$AE$1,tabela_registros[DIA],novtotal3059718395107119131143155[[#Headers],[10]],tabela_registros[REGISTRO],DADOS!$N$4,tabela_registros[TIPO],DADOS!$P$3,tabela_registros[CATEGORIA],despesafixaconsolidadonov[[#This Row],[DESPESA FIXA]])</f>
        <v>0</v>
      </c>
      <c r="O47" s="119" t="n">
        <f aca="false">SUMIFS(tabela_registros[VALOR],tabela_registros[MÊS],$AE$1,tabela_registros[DIA],novtotal3059718395107119131143155[[#Headers],[11]],tabela_registros[REGISTRO],DADOS!$N$4,tabela_registros[TIPO],DADOS!$P$3,tabela_registros[CATEGORIA],despesafixaconsolidadonov[[#This Row],[DESPESA FIXA]])</f>
        <v>0</v>
      </c>
      <c r="P47" s="119" t="n">
        <f aca="false">SUMIFS(tabela_registros[VALOR],tabela_registros[MÊS],$AE$1,tabela_registros[DIA],novtotal3059718395107119131143155[[#Headers],[12]],tabela_registros[REGISTRO],DADOS!$N$4,tabela_registros[TIPO],DADOS!$P$3,tabela_registros[CATEGORIA],despesafixaconsolidadonov[[#This Row],[DESPESA FIXA]])</f>
        <v>0</v>
      </c>
      <c r="Q47" s="119" t="n">
        <f aca="false">SUMIFS(tabela_registros[VALOR],tabela_registros[MÊS],$AE$1,tabela_registros[DIA],novtotal3059718395107119131143155[[#Headers],[13]],tabela_registros[REGISTRO],DADOS!$N$4,tabela_registros[TIPO],DADOS!$P$3,tabela_registros[CATEGORIA],despesafixaconsolidadonov[[#This Row],[DESPESA FIXA]])</f>
        <v>0</v>
      </c>
      <c r="R47" s="119" t="n">
        <f aca="false">SUMIFS(tabela_registros[VALOR],tabela_registros[MÊS],$AE$1,tabela_registros[DIA],novtotal3059718395107119131143155[[#Headers],[14]],tabela_registros[REGISTRO],DADOS!$N$4,tabela_registros[TIPO],DADOS!$P$3,tabela_registros[CATEGORIA],despesafixaconsolidadonov[[#This Row],[DESPESA FIXA]])</f>
        <v>0</v>
      </c>
      <c r="S47" s="119" t="n">
        <f aca="false">SUMIFS(tabela_registros[VALOR],tabela_registros[MÊS],$AE$1,tabela_registros[DIA],novtotal3059718395107119131143155[[#Headers],[15]],tabela_registros[REGISTRO],DADOS!$N$4,tabela_registros[TIPO],DADOS!$P$3,tabela_registros[CATEGORIA],despesafixaconsolidadonov[[#This Row],[DESPESA FIXA]])</f>
        <v>0</v>
      </c>
      <c r="T47" s="119" t="n">
        <f aca="false">SUMIFS(tabela_registros[VALOR],tabela_registros[MÊS],$AE$1,tabela_registros[DIA],novtotal3059718395107119131143155[[#Headers],[16]],tabela_registros[REGISTRO],DADOS!$N$4,tabela_registros[TIPO],DADOS!$P$3,tabela_registros[CATEGORIA],despesafixaconsolidadonov[[#This Row],[DESPESA FIXA]])</f>
        <v>0</v>
      </c>
      <c r="U47" s="119" t="n">
        <f aca="false">SUMIFS(tabela_registros[VALOR],tabela_registros[MÊS],$AE$1,tabela_registros[DIA],novtotal3059718395107119131143155[[#Headers],[17]],tabela_registros[REGISTRO],DADOS!$N$4,tabela_registros[TIPO],DADOS!$P$3,tabela_registros[CATEGORIA],despesafixaconsolidadonov[[#This Row],[DESPESA FIXA]])</f>
        <v>0</v>
      </c>
      <c r="V47" s="119" t="n">
        <f aca="false">SUMIFS(tabela_registros[VALOR],tabela_registros[MÊS],$AE$1,tabela_registros[DIA],novtotal3059718395107119131143155[[#Headers],[18]],tabela_registros[REGISTRO],DADOS!$N$4,tabela_registros[TIPO],DADOS!$P$3,tabela_registros[CATEGORIA],despesafixaconsolidadonov[[#This Row],[DESPESA FIXA]])</f>
        <v>0</v>
      </c>
      <c r="W47" s="119" t="n">
        <f aca="false">SUMIFS(tabela_registros[VALOR],tabela_registros[MÊS],$AE$1,tabela_registros[DIA],novtotal3059718395107119131143155[[#Headers],[19]],tabela_registros[REGISTRO],DADOS!$N$4,tabela_registros[TIPO],DADOS!$P$3,tabela_registros[CATEGORIA],despesafixaconsolidadonov[[#This Row],[DESPESA FIXA]])</f>
        <v>0</v>
      </c>
      <c r="X47" s="119" t="n">
        <f aca="false">SUMIFS(tabela_registros[VALOR],tabela_registros[MÊS],$AE$1,tabela_registros[DIA],novtotal3059718395107119131143155[[#Headers],[20]],tabela_registros[REGISTRO],DADOS!$N$4,tabela_registros[TIPO],DADOS!$P$3,tabela_registros[CATEGORIA],despesafixaconsolidadonov[[#This Row],[DESPESA FIXA]])</f>
        <v>0</v>
      </c>
      <c r="Y47" s="119" t="n">
        <f aca="false">SUMIFS(tabela_registros[VALOR],tabela_registros[MÊS],$AE$1,tabela_registros[DIA],novtotal3059718395107119131143155[[#Headers],[21]],tabela_registros[REGISTRO],DADOS!$N$4,tabela_registros[TIPO],DADOS!$P$3,tabela_registros[CATEGORIA],despesafixaconsolidadonov[[#This Row],[DESPESA FIXA]])</f>
        <v>0</v>
      </c>
      <c r="Z47" s="119" t="n">
        <f aca="false">SUMIFS(tabela_registros[VALOR],tabela_registros[MÊS],$AE$1,tabela_registros[DIA],novtotal3059718395107119131143155[[#Headers],[22]],tabela_registros[REGISTRO],DADOS!$N$4,tabela_registros[TIPO],DADOS!$P$3,tabela_registros[CATEGORIA],despesafixaconsolidadonov[[#This Row],[DESPESA FIXA]])</f>
        <v>0</v>
      </c>
      <c r="AA47" s="119" t="n">
        <f aca="false">SUMIFS(tabela_registros[VALOR],tabela_registros[MÊS],$AE$1,tabela_registros[DIA],novtotal3059718395107119131143155[[#Headers],[23]],tabela_registros[REGISTRO],DADOS!$N$4,tabela_registros[TIPO],DADOS!$P$3,tabela_registros[CATEGORIA],despesafixaconsolidadonov[[#This Row],[DESPESA FIXA]])</f>
        <v>0</v>
      </c>
      <c r="AB47" s="119" t="n">
        <f aca="false">SUMIFS(tabela_registros[VALOR],tabela_registros[MÊS],$AE$1,tabela_registros[DIA],novtotal3059718395107119131143155[[#Headers],[24]],tabela_registros[REGISTRO],DADOS!$N$4,tabela_registros[TIPO],DADOS!$P$3,tabela_registros[CATEGORIA],despesafixaconsolidadonov[[#This Row],[DESPESA FIXA]])</f>
        <v>0</v>
      </c>
      <c r="AC47" s="119" t="n">
        <f aca="false">SUMIFS(tabela_registros[VALOR],tabela_registros[MÊS],$AE$1,tabela_registros[DIA],novtotal3059718395107119131143155[[#Headers],[25]],tabela_registros[REGISTRO],DADOS!$N$4,tabela_registros[TIPO],DADOS!$P$3,tabela_registros[CATEGORIA],despesafixaconsolidadonov[[#This Row],[DESPESA FIXA]])</f>
        <v>0</v>
      </c>
      <c r="AD47" s="119" t="n">
        <f aca="false">SUMIFS(tabela_registros[VALOR],tabela_registros[MÊS],$AE$1,tabela_registros[DIA],novtotal3059718395107119131143155[[#Headers],[26]],tabela_registros[REGISTRO],DADOS!$N$4,tabela_registros[TIPO],DADOS!$P$3,tabela_registros[CATEGORIA],despesafixaconsolidadonov[[#This Row],[DESPESA FIXA]])</f>
        <v>0</v>
      </c>
      <c r="AE47" s="119" t="n">
        <f aca="false">SUMIFS(tabela_registros[VALOR],tabela_registros[MÊS],$AE$1,tabela_registros[DIA],novtotal3059718395107119131143155[[#Headers],[27]],tabela_registros[REGISTRO],DADOS!$N$4,tabela_registros[TIPO],DADOS!$P$3,tabela_registros[CATEGORIA],despesafixaconsolidadonov[[#This Row],[DESPESA FIXA]])</f>
        <v>0</v>
      </c>
      <c r="AF47" s="119" t="n">
        <f aca="false">SUMIFS(tabela_registros[VALOR],tabela_registros[MÊS],$AE$1,tabela_registros[DIA],novtotal3059718395107119131143155[[#Headers],[28]],tabela_registros[REGISTRO],DADOS!$N$4,tabela_registros[TIPO],DADOS!$P$3,tabela_registros[CATEGORIA],despesafixaconsolidadonov[[#This Row],[DESPESA FIXA]])</f>
        <v>0</v>
      </c>
      <c r="AG47" s="119" t="n">
        <f aca="false">SUMIFS(tabela_registros[VALOR],tabela_registros[MÊS],$AE$1,tabela_registros[DIA],novtotal3059718395107119131143155[[#Headers],[29]],tabela_registros[REGISTRO],DADOS!$N$4,tabela_registros[TIPO],DADOS!$P$3,tabela_registros[CATEGORIA],despesafixaconsolidadonov[[#This Row],[DESPESA FIXA]])</f>
        <v>0</v>
      </c>
      <c r="AH47" s="119" t="n">
        <f aca="false">SUMIFS(tabela_registros[VALOR],tabela_registros[MÊS],$AE$1,tabela_registros[DIA],novtotal3059718395107119131143155[[#Headers],[30]],tabela_registros[REGISTRO],DADOS!$N$4,tabela_registros[TIPO],DADOS!$P$3,tabela_registros[CATEGORIA],despesafixaconsolidadonov[[#This Row],[DESPESA FIXA]])</f>
        <v>0</v>
      </c>
      <c r="AI47" s="217" t="n">
        <f aca="false">SUMIFS(tabela_registros[VALOR],tabela_registros[MÊS],$AE$1,tabela_registros[DIA],novtotal3059718395107119131143155[[#Headers],[31]],tabela_registros[REGISTRO],DADOS!$N$4,tabela_registros[TIPO],DADOS!$P$3,tabela_registros[CATEGORIA],despesafixaconsolidadonov[[#This Row],[DESPESA FIXA]])</f>
        <v>0</v>
      </c>
      <c r="AJ47" s="149" t="n">
        <f aca="false">SUM(despesafixaconsolidadonov[[#This Row],[1]:[31]])</f>
        <v>0</v>
      </c>
      <c r="AK47" s="143"/>
    </row>
    <row r="48" customFormat="false" ht="18" hidden="false" customHeight="true" outlineLevel="0" collapsed="false">
      <c r="B48" s="143"/>
      <c r="C48" s="144" t="str">
        <f aca="false">DADOS!$R$14</f>
        <v>💊 SAÚDE</v>
      </c>
      <c r="D48" s="145" t="str">
        <f aca="false">IF(despesafixaconsolidadonov[[#This Row],[TOTAL]]=0,"",IF(OR(despesafixaconsolidadonov[[#This Row],[TOTAL]]=LARGE($AJ$37:$AJ$50,1),despesafixaconsolidadonov[[#This Row],[TOTAL]]=LARGE($AJ$37:$AJ$50,2),despesafixaconsolidadonov[[#This Row],[TOTAL]]=LARGE($AJ$37:$AJ$50,3),despesafixaconsolidadonov[[#This Row],[TOTAL]]=LARGE($AJ$37:$AJ$50,4),despesafixaconsolidadonov[[#This Row],[TOTAL]]=LARGE($AJ$37:$AJ$50,5)),DADOS!$I$8,""))</f>
        <v/>
      </c>
      <c r="E48" s="148" t="n">
        <f aca="false">SUMIFS(tabela_registros[VALOR],tabela_registros[MÊS],$AE$1,tabela_registros[DIA],novtotal3059718395107119131143155[[#Headers],[1]],tabela_registros[REGISTRO],DADOS!$N$4,tabela_registros[TIPO],DADOS!$P$3,tabela_registros[CATEGORIA],despesafixaconsolidadonov[[#This Row],[DESPESA FIXA]])</f>
        <v>0</v>
      </c>
      <c r="F48" s="119" t="n">
        <f aca="false">SUMIFS(tabela_registros[VALOR],tabela_registros[MÊS],$AE$1,tabela_registros[DIA],novtotal3059718395107119131143155[[#Headers],[2]],tabela_registros[REGISTRO],DADOS!$N$4,tabela_registros[TIPO],DADOS!$P$3,tabela_registros[CATEGORIA],despesafixaconsolidadonov[[#This Row],[DESPESA FIXA]])</f>
        <v>0</v>
      </c>
      <c r="G48" s="119" t="n">
        <f aca="false">SUMIFS(tabela_registros[VALOR],tabela_registros[MÊS],$AE$1,tabela_registros[DIA],novtotal3059718395107119131143155[[#Headers],[3]],tabela_registros[REGISTRO],DADOS!$N$4,tabela_registros[TIPO],DADOS!$P$3,tabela_registros[CATEGORIA],despesafixaconsolidadonov[[#This Row],[DESPESA FIXA]])</f>
        <v>0</v>
      </c>
      <c r="H48" s="119" t="n">
        <f aca="false">SUMIFS(tabela_registros[VALOR],tabela_registros[MÊS],$AE$1,tabela_registros[DIA],novtotal3059718395107119131143155[[#Headers],[4]],tabela_registros[REGISTRO],DADOS!$N$4,tabela_registros[TIPO],DADOS!$P$3,tabela_registros[CATEGORIA],despesafixaconsolidadonov[[#This Row],[DESPESA FIXA]])</f>
        <v>0</v>
      </c>
      <c r="I48" s="119" t="n">
        <f aca="false">SUMIFS(tabela_registros[VALOR],tabela_registros[MÊS],$AE$1,tabela_registros[DIA],novtotal3059718395107119131143155[[#Headers],[5]],tabela_registros[REGISTRO],DADOS!$N$4,tabela_registros[TIPO],DADOS!$P$3,tabela_registros[CATEGORIA],despesafixaconsolidadonov[[#This Row],[DESPESA FIXA]])</f>
        <v>0</v>
      </c>
      <c r="J48" s="119" t="n">
        <f aca="false">SUMIFS(tabela_registros[VALOR],tabela_registros[MÊS],$AE$1,tabela_registros[DIA],novtotal3059718395107119131143155[[#Headers],[6]],tabela_registros[REGISTRO],DADOS!$N$4,tabela_registros[TIPO],DADOS!$P$3,tabela_registros[CATEGORIA],despesafixaconsolidadonov[[#This Row],[DESPESA FIXA]])</f>
        <v>0</v>
      </c>
      <c r="K48" s="119" t="n">
        <f aca="false">SUMIFS(tabela_registros[VALOR],tabela_registros[MÊS],$AE$1,tabela_registros[DIA],novtotal3059718395107119131143155[[#Headers],[7]],tabela_registros[REGISTRO],DADOS!$N$4,tabela_registros[TIPO],DADOS!$P$3,tabela_registros[CATEGORIA],despesafixaconsolidadonov[[#This Row],[DESPESA FIXA]])</f>
        <v>0</v>
      </c>
      <c r="L48" s="119" t="n">
        <f aca="false">SUMIFS(tabela_registros[VALOR],tabela_registros[MÊS],$AE$1,tabela_registros[DIA],novtotal3059718395107119131143155[[#Headers],[8]],tabela_registros[REGISTRO],DADOS!$N$4,tabela_registros[TIPO],DADOS!$P$3,tabela_registros[CATEGORIA],despesafixaconsolidadonov[[#This Row],[DESPESA FIXA]])</f>
        <v>0</v>
      </c>
      <c r="M48" s="119" t="n">
        <f aca="false">SUMIFS(tabela_registros[VALOR],tabela_registros[MÊS],$AE$1,tabela_registros[DIA],novtotal3059718395107119131143155[[#Headers],[9]],tabela_registros[REGISTRO],DADOS!$N$4,tabela_registros[TIPO],DADOS!$P$3,tabela_registros[CATEGORIA],despesafixaconsolidadonov[[#This Row],[DESPESA FIXA]])</f>
        <v>0</v>
      </c>
      <c r="N48" s="119" t="n">
        <f aca="false">SUMIFS(tabela_registros[VALOR],tabela_registros[MÊS],$AE$1,tabela_registros[DIA],novtotal3059718395107119131143155[[#Headers],[10]],tabela_registros[REGISTRO],DADOS!$N$4,tabela_registros[TIPO],DADOS!$P$3,tabela_registros[CATEGORIA],despesafixaconsolidadonov[[#This Row],[DESPESA FIXA]])</f>
        <v>0</v>
      </c>
      <c r="O48" s="119" t="n">
        <f aca="false">SUMIFS(tabela_registros[VALOR],tabela_registros[MÊS],$AE$1,tabela_registros[DIA],novtotal3059718395107119131143155[[#Headers],[11]],tabela_registros[REGISTRO],DADOS!$N$4,tabela_registros[TIPO],DADOS!$P$3,tabela_registros[CATEGORIA],despesafixaconsolidadonov[[#This Row],[DESPESA FIXA]])</f>
        <v>0</v>
      </c>
      <c r="P48" s="119" t="n">
        <f aca="false">SUMIFS(tabela_registros[VALOR],tabela_registros[MÊS],$AE$1,tabela_registros[DIA],novtotal3059718395107119131143155[[#Headers],[12]],tabela_registros[REGISTRO],DADOS!$N$4,tabela_registros[TIPO],DADOS!$P$3,tabela_registros[CATEGORIA],despesafixaconsolidadonov[[#This Row],[DESPESA FIXA]])</f>
        <v>0</v>
      </c>
      <c r="Q48" s="119" t="n">
        <f aca="false">SUMIFS(tabela_registros[VALOR],tabela_registros[MÊS],$AE$1,tabela_registros[DIA],novtotal3059718395107119131143155[[#Headers],[13]],tabela_registros[REGISTRO],DADOS!$N$4,tabela_registros[TIPO],DADOS!$P$3,tabela_registros[CATEGORIA],despesafixaconsolidadonov[[#This Row],[DESPESA FIXA]])</f>
        <v>0</v>
      </c>
      <c r="R48" s="119" t="n">
        <f aca="false">SUMIFS(tabela_registros[VALOR],tabela_registros[MÊS],$AE$1,tabela_registros[DIA],novtotal3059718395107119131143155[[#Headers],[14]],tabela_registros[REGISTRO],DADOS!$N$4,tabela_registros[TIPO],DADOS!$P$3,tabela_registros[CATEGORIA],despesafixaconsolidadonov[[#This Row],[DESPESA FIXA]])</f>
        <v>0</v>
      </c>
      <c r="S48" s="119" t="n">
        <f aca="false">SUMIFS(tabela_registros[VALOR],tabela_registros[MÊS],$AE$1,tabela_registros[DIA],novtotal3059718395107119131143155[[#Headers],[15]],tabela_registros[REGISTRO],DADOS!$N$4,tabela_registros[TIPO],DADOS!$P$3,tabela_registros[CATEGORIA],despesafixaconsolidadonov[[#This Row],[DESPESA FIXA]])</f>
        <v>0</v>
      </c>
      <c r="T48" s="119" t="n">
        <f aca="false">SUMIFS(tabela_registros[VALOR],tabela_registros[MÊS],$AE$1,tabela_registros[DIA],novtotal3059718395107119131143155[[#Headers],[16]],tabela_registros[REGISTRO],DADOS!$N$4,tabela_registros[TIPO],DADOS!$P$3,tabela_registros[CATEGORIA],despesafixaconsolidadonov[[#This Row],[DESPESA FIXA]])</f>
        <v>0</v>
      </c>
      <c r="U48" s="119" t="n">
        <f aca="false">SUMIFS(tabela_registros[VALOR],tabela_registros[MÊS],$AE$1,tabela_registros[DIA],novtotal3059718395107119131143155[[#Headers],[17]],tabela_registros[REGISTRO],DADOS!$N$4,tabela_registros[TIPO],DADOS!$P$3,tabela_registros[CATEGORIA],despesafixaconsolidadonov[[#This Row],[DESPESA FIXA]])</f>
        <v>0</v>
      </c>
      <c r="V48" s="119" t="n">
        <f aca="false">SUMIFS(tabela_registros[VALOR],tabela_registros[MÊS],$AE$1,tabela_registros[DIA],novtotal3059718395107119131143155[[#Headers],[18]],tabela_registros[REGISTRO],DADOS!$N$4,tabela_registros[TIPO],DADOS!$P$3,tabela_registros[CATEGORIA],despesafixaconsolidadonov[[#This Row],[DESPESA FIXA]])</f>
        <v>0</v>
      </c>
      <c r="W48" s="119" t="n">
        <f aca="false">SUMIFS(tabela_registros[VALOR],tabela_registros[MÊS],$AE$1,tabela_registros[DIA],novtotal3059718395107119131143155[[#Headers],[19]],tabela_registros[REGISTRO],DADOS!$N$4,tabela_registros[TIPO],DADOS!$P$3,tabela_registros[CATEGORIA],despesafixaconsolidadonov[[#This Row],[DESPESA FIXA]])</f>
        <v>0</v>
      </c>
      <c r="X48" s="119" t="n">
        <f aca="false">SUMIFS(tabela_registros[VALOR],tabela_registros[MÊS],$AE$1,tabela_registros[DIA],novtotal3059718395107119131143155[[#Headers],[20]],tabela_registros[REGISTRO],DADOS!$N$4,tabela_registros[TIPO],DADOS!$P$3,tabela_registros[CATEGORIA],despesafixaconsolidadonov[[#This Row],[DESPESA FIXA]])</f>
        <v>0</v>
      </c>
      <c r="Y48" s="119" t="n">
        <f aca="false">SUMIFS(tabela_registros[VALOR],tabela_registros[MÊS],$AE$1,tabela_registros[DIA],novtotal3059718395107119131143155[[#Headers],[21]],tabela_registros[REGISTRO],DADOS!$N$4,tabela_registros[TIPO],DADOS!$P$3,tabela_registros[CATEGORIA],despesafixaconsolidadonov[[#This Row],[DESPESA FIXA]])</f>
        <v>0</v>
      </c>
      <c r="Z48" s="119" t="n">
        <f aca="false">SUMIFS(tabela_registros[VALOR],tabela_registros[MÊS],$AE$1,tabela_registros[DIA],novtotal3059718395107119131143155[[#Headers],[22]],tabela_registros[REGISTRO],DADOS!$N$4,tabela_registros[TIPO],DADOS!$P$3,tabela_registros[CATEGORIA],despesafixaconsolidadonov[[#This Row],[DESPESA FIXA]])</f>
        <v>0</v>
      </c>
      <c r="AA48" s="119" t="n">
        <f aca="false">SUMIFS(tabela_registros[VALOR],tabela_registros[MÊS],$AE$1,tabela_registros[DIA],novtotal3059718395107119131143155[[#Headers],[23]],tabela_registros[REGISTRO],DADOS!$N$4,tabela_registros[TIPO],DADOS!$P$3,tabela_registros[CATEGORIA],despesafixaconsolidadonov[[#This Row],[DESPESA FIXA]])</f>
        <v>0</v>
      </c>
      <c r="AB48" s="119" t="n">
        <f aca="false">SUMIFS(tabela_registros[VALOR],tabela_registros[MÊS],$AE$1,tabela_registros[DIA],novtotal3059718395107119131143155[[#Headers],[24]],tabela_registros[REGISTRO],DADOS!$N$4,tabela_registros[TIPO],DADOS!$P$3,tabela_registros[CATEGORIA],despesafixaconsolidadonov[[#This Row],[DESPESA FIXA]])</f>
        <v>0</v>
      </c>
      <c r="AC48" s="119" t="n">
        <f aca="false">SUMIFS(tabela_registros[VALOR],tabela_registros[MÊS],$AE$1,tabela_registros[DIA],novtotal3059718395107119131143155[[#Headers],[25]],tabela_registros[REGISTRO],DADOS!$N$4,tabela_registros[TIPO],DADOS!$P$3,tabela_registros[CATEGORIA],despesafixaconsolidadonov[[#This Row],[DESPESA FIXA]])</f>
        <v>0</v>
      </c>
      <c r="AD48" s="119" t="n">
        <f aca="false">SUMIFS(tabela_registros[VALOR],tabela_registros[MÊS],$AE$1,tabela_registros[DIA],novtotal3059718395107119131143155[[#Headers],[26]],tabela_registros[REGISTRO],DADOS!$N$4,tabela_registros[TIPO],DADOS!$P$3,tabela_registros[CATEGORIA],despesafixaconsolidadonov[[#This Row],[DESPESA FIXA]])</f>
        <v>0</v>
      </c>
      <c r="AE48" s="119" t="n">
        <f aca="false">SUMIFS(tabela_registros[VALOR],tabela_registros[MÊS],$AE$1,tabela_registros[DIA],novtotal3059718395107119131143155[[#Headers],[27]],tabela_registros[REGISTRO],DADOS!$N$4,tabela_registros[TIPO],DADOS!$P$3,tabela_registros[CATEGORIA],despesafixaconsolidadonov[[#This Row],[DESPESA FIXA]])</f>
        <v>0</v>
      </c>
      <c r="AF48" s="119" t="n">
        <f aca="false">SUMIFS(tabela_registros[VALOR],tabela_registros[MÊS],$AE$1,tabela_registros[DIA],novtotal3059718395107119131143155[[#Headers],[28]],tabela_registros[REGISTRO],DADOS!$N$4,tabela_registros[TIPO],DADOS!$P$3,tabela_registros[CATEGORIA],despesafixaconsolidadonov[[#This Row],[DESPESA FIXA]])</f>
        <v>0</v>
      </c>
      <c r="AG48" s="119" t="n">
        <f aca="false">SUMIFS(tabela_registros[VALOR],tabela_registros[MÊS],$AE$1,tabela_registros[DIA],novtotal3059718395107119131143155[[#Headers],[29]],tabela_registros[REGISTRO],DADOS!$N$4,tabela_registros[TIPO],DADOS!$P$3,tabela_registros[CATEGORIA],despesafixaconsolidadonov[[#This Row],[DESPESA FIXA]])</f>
        <v>0</v>
      </c>
      <c r="AH48" s="119" t="n">
        <f aca="false">SUMIFS(tabela_registros[VALOR],tabela_registros[MÊS],$AE$1,tabela_registros[DIA],novtotal3059718395107119131143155[[#Headers],[30]],tabela_registros[REGISTRO],DADOS!$N$4,tabela_registros[TIPO],DADOS!$P$3,tabela_registros[CATEGORIA],despesafixaconsolidadonov[[#This Row],[DESPESA FIXA]])</f>
        <v>0</v>
      </c>
      <c r="AI48" s="217" t="n">
        <f aca="false">SUMIFS(tabela_registros[VALOR],tabela_registros[MÊS],$AE$1,tabela_registros[DIA],novtotal3059718395107119131143155[[#Headers],[31]],tabela_registros[REGISTRO],DADOS!$N$4,tabela_registros[TIPO],DADOS!$P$3,tabela_registros[CATEGORIA],despesafixaconsolidadonov[[#This Row],[DESPESA FIXA]])</f>
        <v>0</v>
      </c>
      <c r="AJ48" s="149" t="n">
        <f aca="false">SUM(despesafixaconsolidadonov[[#This Row],[1]:[31]])</f>
        <v>0</v>
      </c>
      <c r="AK48" s="143"/>
    </row>
    <row r="49" customFormat="false" ht="18" hidden="false" customHeight="true" outlineLevel="0" collapsed="false">
      <c r="B49" s="143"/>
      <c r="C49" s="144" t="str">
        <f aca="false">DADOS!$R$15</f>
        <v>📞 TELEFONE</v>
      </c>
      <c r="D49" s="145" t="str">
        <f aca="false">IF(despesafixaconsolidadonov[[#This Row],[TOTAL]]=0,"",IF(OR(despesafixaconsolidadonov[[#This Row],[TOTAL]]=LARGE($AJ$37:$AJ$50,1),despesafixaconsolidadonov[[#This Row],[TOTAL]]=LARGE($AJ$37:$AJ$50,2),despesafixaconsolidadonov[[#This Row],[TOTAL]]=LARGE($AJ$37:$AJ$50,3),despesafixaconsolidadonov[[#This Row],[TOTAL]]=LARGE($AJ$37:$AJ$50,4),despesafixaconsolidadonov[[#This Row],[TOTAL]]=LARGE($AJ$37:$AJ$50,5)),DADOS!$I$8,""))</f>
        <v/>
      </c>
      <c r="E49" s="148" t="n">
        <f aca="false">SUMIFS(tabela_registros[VALOR],tabela_registros[MÊS],$AE$1,tabela_registros[DIA],novtotal3059718395107119131143155[[#Headers],[1]],tabela_registros[REGISTRO],DADOS!$N$4,tabela_registros[TIPO],DADOS!$P$3,tabela_registros[CATEGORIA],despesafixaconsolidadonov[[#This Row],[DESPESA FIXA]])</f>
        <v>0</v>
      </c>
      <c r="F49" s="119" t="n">
        <f aca="false">SUMIFS(tabela_registros[VALOR],tabela_registros[MÊS],$AE$1,tabela_registros[DIA],novtotal3059718395107119131143155[[#Headers],[2]],tabela_registros[REGISTRO],DADOS!$N$4,tabela_registros[TIPO],DADOS!$P$3,tabela_registros[CATEGORIA],despesafixaconsolidadonov[[#This Row],[DESPESA FIXA]])</f>
        <v>0</v>
      </c>
      <c r="G49" s="119" t="n">
        <f aca="false">SUMIFS(tabela_registros[VALOR],tabela_registros[MÊS],$AE$1,tabela_registros[DIA],novtotal3059718395107119131143155[[#Headers],[3]],tabela_registros[REGISTRO],DADOS!$N$4,tabela_registros[TIPO],DADOS!$P$3,tabela_registros[CATEGORIA],despesafixaconsolidadonov[[#This Row],[DESPESA FIXA]])</f>
        <v>0</v>
      </c>
      <c r="H49" s="119" t="n">
        <f aca="false">SUMIFS(tabela_registros[VALOR],tabela_registros[MÊS],$AE$1,tabela_registros[DIA],novtotal3059718395107119131143155[[#Headers],[4]],tabela_registros[REGISTRO],DADOS!$N$4,tabela_registros[TIPO],DADOS!$P$3,tabela_registros[CATEGORIA],despesafixaconsolidadonov[[#This Row],[DESPESA FIXA]])</f>
        <v>0</v>
      </c>
      <c r="I49" s="119" t="n">
        <f aca="false">SUMIFS(tabela_registros[VALOR],tabela_registros[MÊS],$AE$1,tabela_registros[DIA],novtotal3059718395107119131143155[[#Headers],[5]],tabela_registros[REGISTRO],DADOS!$N$4,tabela_registros[TIPO],DADOS!$P$3,tabela_registros[CATEGORIA],despesafixaconsolidadonov[[#This Row],[DESPESA FIXA]])</f>
        <v>0</v>
      </c>
      <c r="J49" s="119" t="n">
        <f aca="false">SUMIFS(tabela_registros[VALOR],tabela_registros[MÊS],$AE$1,tabela_registros[DIA],novtotal3059718395107119131143155[[#Headers],[6]],tabela_registros[REGISTRO],DADOS!$N$4,tabela_registros[TIPO],DADOS!$P$3,tabela_registros[CATEGORIA],despesafixaconsolidadonov[[#This Row],[DESPESA FIXA]])</f>
        <v>0</v>
      </c>
      <c r="K49" s="119" t="n">
        <f aca="false">SUMIFS(tabela_registros[VALOR],tabela_registros[MÊS],$AE$1,tabela_registros[DIA],novtotal3059718395107119131143155[[#Headers],[7]],tabela_registros[REGISTRO],DADOS!$N$4,tabela_registros[TIPO],DADOS!$P$3,tabela_registros[CATEGORIA],despesafixaconsolidadonov[[#This Row],[DESPESA FIXA]])</f>
        <v>0</v>
      </c>
      <c r="L49" s="119" t="n">
        <f aca="false">SUMIFS(tabela_registros[VALOR],tabela_registros[MÊS],$AE$1,tabela_registros[DIA],novtotal3059718395107119131143155[[#Headers],[8]],tabela_registros[REGISTRO],DADOS!$N$4,tabela_registros[TIPO],DADOS!$P$3,tabela_registros[CATEGORIA],despesafixaconsolidadonov[[#This Row],[DESPESA FIXA]])</f>
        <v>0</v>
      </c>
      <c r="M49" s="119" t="n">
        <f aca="false">SUMIFS(tabela_registros[VALOR],tabela_registros[MÊS],$AE$1,tabela_registros[DIA],novtotal3059718395107119131143155[[#Headers],[9]],tabela_registros[REGISTRO],DADOS!$N$4,tabela_registros[TIPO],DADOS!$P$3,tabela_registros[CATEGORIA],despesafixaconsolidadonov[[#This Row],[DESPESA FIXA]])</f>
        <v>0</v>
      </c>
      <c r="N49" s="119" t="n">
        <f aca="false">SUMIFS(tabela_registros[VALOR],tabela_registros[MÊS],$AE$1,tabela_registros[DIA],novtotal3059718395107119131143155[[#Headers],[10]],tabela_registros[REGISTRO],DADOS!$N$4,tabela_registros[TIPO],DADOS!$P$3,tabela_registros[CATEGORIA],despesafixaconsolidadonov[[#This Row],[DESPESA FIXA]])</f>
        <v>0</v>
      </c>
      <c r="O49" s="119" t="n">
        <f aca="false">SUMIFS(tabela_registros[VALOR],tabela_registros[MÊS],$AE$1,tabela_registros[DIA],novtotal3059718395107119131143155[[#Headers],[11]],tabela_registros[REGISTRO],DADOS!$N$4,tabela_registros[TIPO],DADOS!$P$3,tabela_registros[CATEGORIA],despesafixaconsolidadonov[[#This Row],[DESPESA FIXA]])</f>
        <v>0</v>
      </c>
      <c r="P49" s="119" t="n">
        <f aca="false">SUMIFS(tabela_registros[VALOR],tabela_registros[MÊS],$AE$1,tabela_registros[DIA],novtotal3059718395107119131143155[[#Headers],[12]],tabela_registros[REGISTRO],DADOS!$N$4,tabela_registros[TIPO],DADOS!$P$3,tabela_registros[CATEGORIA],despesafixaconsolidadonov[[#This Row],[DESPESA FIXA]])</f>
        <v>0</v>
      </c>
      <c r="Q49" s="119" t="n">
        <f aca="false">SUMIFS(tabela_registros[VALOR],tabela_registros[MÊS],$AE$1,tabela_registros[DIA],novtotal3059718395107119131143155[[#Headers],[13]],tabela_registros[REGISTRO],DADOS!$N$4,tabela_registros[TIPO],DADOS!$P$3,tabela_registros[CATEGORIA],despesafixaconsolidadonov[[#This Row],[DESPESA FIXA]])</f>
        <v>0</v>
      </c>
      <c r="R49" s="119" t="n">
        <f aca="false">SUMIFS(tabela_registros[VALOR],tabela_registros[MÊS],$AE$1,tabela_registros[DIA],novtotal3059718395107119131143155[[#Headers],[14]],tabela_registros[REGISTRO],DADOS!$N$4,tabela_registros[TIPO],DADOS!$P$3,tabela_registros[CATEGORIA],despesafixaconsolidadonov[[#This Row],[DESPESA FIXA]])</f>
        <v>0</v>
      </c>
      <c r="S49" s="119" t="n">
        <f aca="false">SUMIFS(tabela_registros[VALOR],tabela_registros[MÊS],$AE$1,tabela_registros[DIA],novtotal3059718395107119131143155[[#Headers],[15]],tabela_registros[REGISTRO],DADOS!$N$4,tabela_registros[TIPO],DADOS!$P$3,tabela_registros[CATEGORIA],despesafixaconsolidadonov[[#This Row],[DESPESA FIXA]])</f>
        <v>0</v>
      </c>
      <c r="T49" s="119" t="n">
        <f aca="false">SUMIFS(tabela_registros[VALOR],tabela_registros[MÊS],$AE$1,tabela_registros[DIA],novtotal3059718395107119131143155[[#Headers],[16]],tabela_registros[REGISTRO],DADOS!$N$4,tabela_registros[TIPO],DADOS!$P$3,tabela_registros[CATEGORIA],despesafixaconsolidadonov[[#This Row],[DESPESA FIXA]])</f>
        <v>0</v>
      </c>
      <c r="U49" s="119" t="n">
        <f aca="false">SUMIFS(tabela_registros[VALOR],tabela_registros[MÊS],$AE$1,tabela_registros[DIA],novtotal3059718395107119131143155[[#Headers],[17]],tabela_registros[REGISTRO],DADOS!$N$4,tabela_registros[TIPO],DADOS!$P$3,tabela_registros[CATEGORIA],despesafixaconsolidadonov[[#This Row],[DESPESA FIXA]])</f>
        <v>0</v>
      </c>
      <c r="V49" s="119" t="n">
        <f aca="false">SUMIFS(tabela_registros[VALOR],tabela_registros[MÊS],$AE$1,tabela_registros[DIA],novtotal3059718395107119131143155[[#Headers],[18]],tabela_registros[REGISTRO],DADOS!$N$4,tabela_registros[TIPO],DADOS!$P$3,tabela_registros[CATEGORIA],despesafixaconsolidadonov[[#This Row],[DESPESA FIXA]])</f>
        <v>0</v>
      </c>
      <c r="W49" s="119" t="n">
        <f aca="false">SUMIFS(tabela_registros[VALOR],tabela_registros[MÊS],$AE$1,tabela_registros[DIA],novtotal3059718395107119131143155[[#Headers],[19]],tabela_registros[REGISTRO],DADOS!$N$4,tabela_registros[TIPO],DADOS!$P$3,tabela_registros[CATEGORIA],despesafixaconsolidadonov[[#This Row],[DESPESA FIXA]])</f>
        <v>0</v>
      </c>
      <c r="X49" s="119" t="n">
        <f aca="false">SUMIFS(tabela_registros[VALOR],tabela_registros[MÊS],$AE$1,tabela_registros[DIA],novtotal3059718395107119131143155[[#Headers],[20]],tabela_registros[REGISTRO],DADOS!$N$4,tabela_registros[TIPO],DADOS!$P$3,tabela_registros[CATEGORIA],despesafixaconsolidadonov[[#This Row],[DESPESA FIXA]])</f>
        <v>0</v>
      </c>
      <c r="Y49" s="119" t="n">
        <f aca="false">SUMIFS(tabela_registros[VALOR],tabela_registros[MÊS],$AE$1,tabela_registros[DIA],novtotal3059718395107119131143155[[#Headers],[21]],tabela_registros[REGISTRO],DADOS!$N$4,tabela_registros[TIPO],DADOS!$P$3,tabela_registros[CATEGORIA],despesafixaconsolidadonov[[#This Row],[DESPESA FIXA]])</f>
        <v>0</v>
      </c>
      <c r="Z49" s="119" t="n">
        <f aca="false">SUMIFS(tabela_registros[VALOR],tabela_registros[MÊS],$AE$1,tabela_registros[DIA],novtotal3059718395107119131143155[[#Headers],[22]],tabela_registros[REGISTRO],DADOS!$N$4,tabela_registros[TIPO],DADOS!$P$3,tabela_registros[CATEGORIA],despesafixaconsolidadonov[[#This Row],[DESPESA FIXA]])</f>
        <v>0</v>
      </c>
      <c r="AA49" s="119" t="n">
        <f aca="false">SUMIFS(tabela_registros[VALOR],tabela_registros[MÊS],$AE$1,tabela_registros[DIA],novtotal3059718395107119131143155[[#Headers],[23]],tabela_registros[REGISTRO],DADOS!$N$4,tabela_registros[TIPO],DADOS!$P$3,tabela_registros[CATEGORIA],despesafixaconsolidadonov[[#This Row],[DESPESA FIXA]])</f>
        <v>0</v>
      </c>
      <c r="AB49" s="119" t="n">
        <f aca="false">SUMIFS(tabela_registros[VALOR],tabela_registros[MÊS],$AE$1,tabela_registros[DIA],novtotal3059718395107119131143155[[#Headers],[24]],tabela_registros[REGISTRO],DADOS!$N$4,tabela_registros[TIPO],DADOS!$P$3,tabela_registros[CATEGORIA],despesafixaconsolidadonov[[#This Row],[DESPESA FIXA]])</f>
        <v>0</v>
      </c>
      <c r="AC49" s="119" t="n">
        <f aca="false">SUMIFS(tabela_registros[VALOR],tabela_registros[MÊS],$AE$1,tabela_registros[DIA],novtotal3059718395107119131143155[[#Headers],[25]],tabela_registros[REGISTRO],DADOS!$N$4,tabela_registros[TIPO],DADOS!$P$3,tabela_registros[CATEGORIA],despesafixaconsolidadonov[[#This Row],[DESPESA FIXA]])</f>
        <v>0</v>
      </c>
      <c r="AD49" s="119" t="n">
        <f aca="false">SUMIFS(tabela_registros[VALOR],tabela_registros[MÊS],$AE$1,tabela_registros[DIA],novtotal3059718395107119131143155[[#Headers],[26]],tabela_registros[REGISTRO],DADOS!$N$4,tabela_registros[TIPO],DADOS!$P$3,tabela_registros[CATEGORIA],despesafixaconsolidadonov[[#This Row],[DESPESA FIXA]])</f>
        <v>0</v>
      </c>
      <c r="AE49" s="119" t="n">
        <f aca="false">SUMIFS(tabela_registros[VALOR],tabela_registros[MÊS],$AE$1,tabela_registros[DIA],novtotal3059718395107119131143155[[#Headers],[27]],tabela_registros[REGISTRO],DADOS!$N$4,tabela_registros[TIPO],DADOS!$P$3,tabela_registros[CATEGORIA],despesafixaconsolidadonov[[#This Row],[DESPESA FIXA]])</f>
        <v>0</v>
      </c>
      <c r="AF49" s="119" t="n">
        <f aca="false">SUMIFS(tabela_registros[VALOR],tabela_registros[MÊS],$AE$1,tabela_registros[DIA],novtotal3059718395107119131143155[[#Headers],[28]],tabela_registros[REGISTRO],DADOS!$N$4,tabela_registros[TIPO],DADOS!$P$3,tabela_registros[CATEGORIA],despesafixaconsolidadonov[[#This Row],[DESPESA FIXA]])</f>
        <v>0</v>
      </c>
      <c r="AG49" s="119" t="n">
        <f aca="false">SUMIFS(tabela_registros[VALOR],tabela_registros[MÊS],$AE$1,tabela_registros[DIA],novtotal3059718395107119131143155[[#Headers],[29]],tabela_registros[REGISTRO],DADOS!$N$4,tabela_registros[TIPO],DADOS!$P$3,tabela_registros[CATEGORIA],despesafixaconsolidadonov[[#This Row],[DESPESA FIXA]])</f>
        <v>0</v>
      </c>
      <c r="AH49" s="119" t="n">
        <f aca="false">SUMIFS(tabela_registros[VALOR],tabela_registros[MÊS],$AE$1,tabela_registros[DIA],novtotal3059718395107119131143155[[#Headers],[30]],tabela_registros[REGISTRO],DADOS!$N$4,tabela_registros[TIPO],DADOS!$P$3,tabela_registros[CATEGORIA],despesafixaconsolidadonov[[#This Row],[DESPESA FIXA]])</f>
        <v>0</v>
      </c>
      <c r="AI49" s="217" t="n">
        <f aca="false">SUMIFS(tabela_registros[VALOR],tabela_registros[MÊS],$AE$1,tabela_registros[DIA],novtotal3059718395107119131143155[[#Headers],[31]],tabela_registros[REGISTRO],DADOS!$N$4,tabela_registros[TIPO],DADOS!$P$3,tabela_registros[CATEGORIA],despesafixaconsolidadonov[[#This Row],[DESPESA FIXA]])</f>
        <v>0</v>
      </c>
      <c r="AJ49" s="149" t="n">
        <f aca="false">SUM(despesafixaconsolidadonov[[#This Row],[1]:[31]])</f>
        <v>0</v>
      </c>
      <c r="AK49" s="143"/>
    </row>
    <row r="50" customFormat="false" ht="18" hidden="false" customHeight="true" outlineLevel="0" collapsed="false">
      <c r="B50" s="143"/>
      <c r="C50" s="144" t="str">
        <f aca="false">DADOS!$R$16</f>
        <v>📎 OUTROS</v>
      </c>
      <c r="D50" s="145" t="str">
        <f aca="false">IF(despesafixaconsolidadonov[[#This Row],[TOTAL]]=0,"",IF(OR(despesafixaconsolidadonov[[#This Row],[TOTAL]]=LARGE($AJ$37:$AJ$50,1),despesafixaconsolidadonov[[#This Row],[TOTAL]]=LARGE($AJ$37:$AJ$50,2),despesafixaconsolidadonov[[#This Row],[TOTAL]]=LARGE($AJ$37:$AJ$50,3),despesafixaconsolidadonov[[#This Row],[TOTAL]]=LARGE($AJ$37:$AJ$50,4),despesafixaconsolidadonov[[#This Row],[TOTAL]]=LARGE($AJ$37:$AJ$50,5)),DADOS!$I$8,""))</f>
        <v/>
      </c>
      <c r="E50" s="150" t="n">
        <f aca="false">SUMIFS(tabela_registros[VALOR],tabela_registros[MÊS],$AE$1,tabela_registros[DIA],novtotal3059718395107119131143155[[#Headers],[1]],tabela_registros[REGISTRO],DADOS!$N$4,tabela_registros[TIPO],DADOS!$P$3,tabela_registros[CATEGORIA],despesafixaconsolidadonov[[#This Row],[DESPESA FIXA]])</f>
        <v>0</v>
      </c>
      <c r="F50" s="151" t="n">
        <f aca="false">SUMIFS(tabela_registros[VALOR],tabela_registros[MÊS],$AE$1,tabela_registros[DIA],novtotal3059718395107119131143155[[#Headers],[2]],tabela_registros[REGISTRO],DADOS!$N$4,tabela_registros[TIPO],DADOS!$P$3,tabela_registros[CATEGORIA],despesafixaconsolidadonov[[#This Row],[DESPESA FIXA]])</f>
        <v>0</v>
      </c>
      <c r="G50" s="151" t="n">
        <f aca="false">SUMIFS(tabela_registros[VALOR],tabela_registros[MÊS],$AE$1,tabela_registros[DIA],novtotal3059718395107119131143155[[#Headers],[3]],tabela_registros[REGISTRO],DADOS!$N$4,tabela_registros[TIPO],DADOS!$P$3,tabela_registros[CATEGORIA],despesafixaconsolidadonov[[#This Row],[DESPESA FIXA]])</f>
        <v>0</v>
      </c>
      <c r="H50" s="151" t="n">
        <f aca="false">SUMIFS(tabela_registros[VALOR],tabela_registros[MÊS],$AE$1,tabela_registros[DIA],novtotal3059718395107119131143155[[#Headers],[4]],tabela_registros[REGISTRO],DADOS!$N$4,tabela_registros[TIPO],DADOS!$P$3,tabela_registros[CATEGORIA],despesafixaconsolidadonov[[#This Row],[DESPESA FIXA]])</f>
        <v>0</v>
      </c>
      <c r="I50" s="151" t="n">
        <f aca="false">SUMIFS(tabela_registros[VALOR],tabela_registros[MÊS],$AE$1,tabela_registros[DIA],novtotal3059718395107119131143155[[#Headers],[5]],tabela_registros[REGISTRO],DADOS!$N$4,tabela_registros[TIPO],DADOS!$P$3,tabela_registros[CATEGORIA],despesafixaconsolidadonov[[#This Row],[DESPESA FIXA]])</f>
        <v>0</v>
      </c>
      <c r="J50" s="151" t="n">
        <f aca="false">SUMIFS(tabela_registros[VALOR],tabela_registros[MÊS],$AE$1,tabela_registros[DIA],novtotal3059718395107119131143155[[#Headers],[6]],tabela_registros[REGISTRO],DADOS!$N$4,tabela_registros[TIPO],DADOS!$P$3,tabela_registros[CATEGORIA],despesafixaconsolidadonov[[#This Row],[DESPESA FIXA]])</f>
        <v>0</v>
      </c>
      <c r="K50" s="151" t="n">
        <f aca="false">SUMIFS(tabela_registros[VALOR],tabela_registros[MÊS],$AE$1,tabela_registros[DIA],novtotal3059718395107119131143155[[#Headers],[7]],tabela_registros[REGISTRO],DADOS!$N$4,tabela_registros[TIPO],DADOS!$P$3,tabela_registros[CATEGORIA],despesafixaconsolidadonov[[#This Row],[DESPESA FIXA]])</f>
        <v>0</v>
      </c>
      <c r="L50" s="151" t="n">
        <f aca="false">SUMIFS(tabela_registros[VALOR],tabela_registros[MÊS],$AE$1,tabela_registros[DIA],novtotal3059718395107119131143155[[#Headers],[8]],tabela_registros[REGISTRO],DADOS!$N$4,tabela_registros[TIPO],DADOS!$P$3,tabela_registros[CATEGORIA],despesafixaconsolidadonov[[#This Row],[DESPESA FIXA]])</f>
        <v>0</v>
      </c>
      <c r="M50" s="151" t="n">
        <f aca="false">SUMIFS(tabela_registros[VALOR],tabela_registros[MÊS],$AE$1,tabela_registros[DIA],novtotal3059718395107119131143155[[#Headers],[9]],tabela_registros[REGISTRO],DADOS!$N$4,tabela_registros[TIPO],DADOS!$P$3,tabela_registros[CATEGORIA],despesafixaconsolidadonov[[#This Row],[DESPESA FIXA]])</f>
        <v>0</v>
      </c>
      <c r="N50" s="151" t="n">
        <f aca="false">SUMIFS(tabela_registros[VALOR],tabela_registros[MÊS],$AE$1,tabela_registros[DIA],novtotal3059718395107119131143155[[#Headers],[10]],tabela_registros[REGISTRO],DADOS!$N$4,tabela_registros[TIPO],DADOS!$P$3,tabela_registros[CATEGORIA],despesafixaconsolidadonov[[#This Row],[DESPESA FIXA]])</f>
        <v>0</v>
      </c>
      <c r="O50" s="151" t="n">
        <f aca="false">SUMIFS(tabela_registros[VALOR],tabela_registros[MÊS],$AE$1,tabela_registros[DIA],novtotal3059718395107119131143155[[#Headers],[11]],tabela_registros[REGISTRO],DADOS!$N$4,tabela_registros[TIPO],DADOS!$P$3,tabela_registros[CATEGORIA],despesafixaconsolidadonov[[#This Row],[DESPESA FIXA]])</f>
        <v>0</v>
      </c>
      <c r="P50" s="151" t="n">
        <f aca="false">SUMIFS(tabela_registros[VALOR],tabela_registros[MÊS],$AE$1,tabela_registros[DIA],novtotal3059718395107119131143155[[#Headers],[12]],tabela_registros[REGISTRO],DADOS!$N$4,tabela_registros[TIPO],DADOS!$P$3,tabela_registros[CATEGORIA],despesafixaconsolidadonov[[#This Row],[DESPESA FIXA]])</f>
        <v>0</v>
      </c>
      <c r="Q50" s="151" t="n">
        <f aca="false">SUMIFS(tabela_registros[VALOR],tabela_registros[MÊS],$AE$1,tabela_registros[DIA],novtotal3059718395107119131143155[[#Headers],[13]],tabela_registros[REGISTRO],DADOS!$N$4,tabela_registros[TIPO],DADOS!$P$3,tabela_registros[CATEGORIA],despesafixaconsolidadonov[[#This Row],[DESPESA FIXA]])</f>
        <v>0</v>
      </c>
      <c r="R50" s="151" t="n">
        <f aca="false">SUMIFS(tabela_registros[VALOR],tabela_registros[MÊS],$AE$1,tabela_registros[DIA],novtotal3059718395107119131143155[[#Headers],[14]],tabela_registros[REGISTRO],DADOS!$N$4,tabela_registros[TIPO],DADOS!$P$3,tabela_registros[CATEGORIA],despesafixaconsolidadonov[[#This Row],[DESPESA FIXA]])</f>
        <v>0</v>
      </c>
      <c r="S50" s="151" t="n">
        <f aca="false">SUMIFS(tabela_registros[VALOR],tabela_registros[MÊS],$AE$1,tabela_registros[DIA],novtotal3059718395107119131143155[[#Headers],[15]],tabela_registros[REGISTRO],DADOS!$N$4,tabela_registros[TIPO],DADOS!$P$3,tabela_registros[CATEGORIA],despesafixaconsolidadonov[[#This Row],[DESPESA FIXA]])</f>
        <v>0</v>
      </c>
      <c r="T50" s="151" t="n">
        <f aca="false">SUMIFS(tabela_registros[VALOR],tabela_registros[MÊS],$AE$1,tabela_registros[DIA],novtotal3059718395107119131143155[[#Headers],[16]],tabela_registros[REGISTRO],DADOS!$N$4,tabela_registros[TIPO],DADOS!$P$3,tabela_registros[CATEGORIA],despesafixaconsolidadonov[[#This Row],[DESPESA FIXA]])</f>
        <v>0</v>
      </c>
      <c r="U50" s="151" t="n">
        <f aca="false">SUMIFS(tabela_registros[VALOR],tabela_registros[MÊS],$AE$1,tabela_registros[DIA],novtotal3059718395107119131143155[[#Headers],[17]],tabela_registros[REGISTRO],DADOS!$N$4,tabela_registros[TIPO],DADOS!$P$3,tabela_registros[CATEGORIA],despesafixaconsolidadonov[[#This Row],[DESPESA FIXA]])</f>
        <v>0</v>
      </c>
      <c r="V50" s="151" t="n">
        <f aca="false">SUMIFS(tabela_registros[VALOR],tabela_registros[MÊS],$AE$1,tabela_registros[DIA],novtotal3059718395107119131143155[[#Headers],[18]],tabela_registros[REGISTRO],DADOS!$N$4,tabela_registros[TIPO],DADOS!$P$3,tabela_registros[CATEGORIA],despesafixaconsolidadonov[[#This Row],[DESPESA FIXA]])</f>
        <v>0</v>
      </c>
      <c r="W50" s="151" t="n">
        <f aca="false">SUMIFS(tabela_registros[VALOR],tabela_registros[MÊS],$AE$1,tabela_registros[DIA],novtotal3059718395107119131143155[[#Headers],[19]],tabela_registros[REGISTRO],DADOS!$N$4,tabela_registros[TIPO],DADOS!$P$3,tabela_registros[CATEGORIA],despesafixaconsolidadonov[[#This Row],[DESPESA FIXA]])</f>
        <v>0</v>
      </c>
      <c r="X50" s="151" t="n">
        <f aca="false">SUMIFS(tabela_registros[VALOR],tabela_registros[MÊS],$AE$1,tabela_registros[DIA],novtotal3059718395107119131143155[[#Headers],[20]],tabela_registros[REGISTRO],DADOS!$N$4,tabela_registros[TIPO],DADOS!$P$3,tabela_registros[CATEGORIA],despesafixaconsolidadonov[[#This Row],[DESPESA FIXA]])</f>
        <v>0</v>
      </c>
      <c r="Y50" s="151" t="n">
        <f aca="false">SUMIFS(tabela_registros[VALOR],tabela_registros[MÊS],$AE$1,tabela_registros[DIA],novtotal3059718395107119131143155[[#Headers],[21]],tabela_registros[REGISTRO],DADOS!$N$4,tabela_registros[TIPO],DADOS!$P$3,tabela_registros[CATEGORIA],despesafixaconsolidadonov[[#This Row],[DESPESA FIXA]])</f>
        <v>0</v>
      </c>
      <c r="Z50" s="151" t="n">
        <f aca="false">SUMIFS(tabela_registros[VALOR],tabela_registros[MÊS],$AE$1,tabela_registros[DIA],novtotal3059718395107119131143155[[#Headers],[22]],tabela_registros[REGISTRO],DADOS!$N$4,tabela_registros[TIPO],DADOS!$P$3,tabela_registros[CATEGORIA],despesafixaconsolidadonov[[#This Row],[DESPESA FIXA]])</f>
        <v>0</v>
      </c>
      <c r="AA50" s="151" t="n">
        <f aca="false">SUMIFS(tabela_registros[VALOR],tabela_registros[MÊS],$AE$1,tabela_registros[DIA],novtotal3059718395107119131143155[[#Headers],[23]],tabela_registros[REGISTRO],DADOS!$N$4,tabela_registros[TIPO],DADOS!$P$3,tabela_registros[CATEGORIA],despesafixaconsolidadonov[[#This Row],[DESPESA FIXA]])</f>
        <v>0</v>
      </c>
      <c r="AB50" s="151" t="n">
        <f aca="false">SUMIFS(tabela_registros[VALOR],tabela_registros[MÊS],$AE$1,tabela_registros[DIA],novtotal3059718395107119131143155[[#Headers],[24]],tabela_registros[REGISTRO],DADOS!$N$4,tabela_registros[TIPO],DADOS!$P$3,tabela_registros[CATEGORIA],despesafixaconsolidadonov[[#This Row],[DESPESA FIXA]])</f>
        <v>0</v>
      </c>
      <c r="AC50" s="151" t="n">
        <f aca="false">SUMIFS(tabela_registros[VALOR],tabela_registros[MÊS],$AE$1,tabela_registros[DIA],novtotal3059718395107119131143155[[#Headers],[25]],tabela_registros[REGISTRO],DADOS!$N$4,tabela_registros[TIPO],DADOS!$P$3,tabela_registros[CATEGORIA],despesafixaconsolidadonov[[#This Row],[DESPESA FIXA]])</f>
        <v>0</v>
      </c>
      <c r="AD50" s="151" t="n">
        <f aca="false">SUMIFS(tabela_registros[VALOR],tabela_registros[MÊS],$AE$1,tabela_registros[DIA],novtotal3059718395107119131143155[[#Headers],[26]],tabela_registros[REGISTRO],DADOS!$N$4,tabela_registros[TIPO],DADOS!$P$3,tabela_registros[CATEGORIA],despesafixaconsolidadonov[[#This Row],[DESPESA FIXA]])</f>
        <v>0</v>
      </c>
      <c r="AE50" s="151" t="n">
        <f aca="false">SUMIFS(tabela_registros[VALOR],tabela_registros[MÊS],$AE$1,tabela_registros[DIA],novtotal3059718395107119131143155[[#Headers],[27]],tabela_registros[REGISTRO],DADOS!$N$4,tabela_registros[TIPO],DADOS!$P$3,tabela_registros[CATEGORIA],despesafixaconsolidadonov[[#This Row],[DESPESA FIXA]])</f>
        <v>0</v>
      </c>
      <c r="AF50" s="151" t="n">
        <f aca="false">SUMIFS(tabela_registros[VALOR],tabela_registros[MÊS],$AE$1,tabela_registros[DIA],novtotal3059718395107119131143155[[#Headers],[28]],tabela_registros[REGISTRO],DADOS!$N$4,tabela_registros[TIPO],DADOS!$P$3,tabela_registros[CATEGORIA],despesafixaconsolidadonov[[#This Row],[DESPESA FIXA]])</f>
        <v>0</v>
      </c>
      <c r="AG50" s="151" t="n">
        <f aca="false">SUMIFS(tabela_registros[VALOR],tabela_registros[MÊS],$AE$1,tabela_registros[DIA],novtotal3059718395107119131143155[[#Headers],[29]],tabela_registros[REGISTRO],DADOS!$N$4,tabela_registros[TIPO],DADOS!$P$3,tabela_registros[CATEGORIA],despesafixaconsolidadonov[[#This Row],[DESPESA FIXA]])</f>
        <v>0</v>
      </c>
      <c r="AH50" s="151" t="n">
        <f aca="false">SUMIFS(tabela_registros[VALOR],tabela_registros[MÊS],$AE$1,tabela_registros[DIA],novtotal3059718395107119131143155[[#Headers],[30]],tabela_registros[REGISTRO],DADOS!$N$4,tabela_registros[TIPO],DADOS!$P$3,tabela_registros[CATEGORIA],despesafixaconsolidadonov[[#This Row],[DESPESA FIXA]])</f>
        <v>0</v>
      </c>
      <c r="AI50" s="218" t="n">
        <f aca="false">SUMIFS(tabela_registros[VALOR],tabela_registros[MÊS],$AE$1,tabela_registros[DIA],novtotal3059718395107119131143155[[#Headers],[31]],tabela_registros[REGISTRO],DADOS!$N$4,tabela_registros[TIPO],DADOS!$P$3,tabela_registros[CATEGORIA],despesafixaconsolidadonov[[#This Row],[DESPESA FIXA]])</f>
        <v>0</v>
      </c>
      <c r="AJ50" s="219" t="n">
        <f aca="false">SUM(despesafixaconsolidadonov[[#This Row],[1]:[31]])</f>
        <v>0</v>
      </c>
      <c r="AK50" s="143"/>
    </row>
    <row r="51" s="122" customFormat="true" ht="21" hidden="false" customHeight="true" outlineLevel="0" collapsed="false">
      <c r="B51" s="152"/>
      <c r="C51" s="153" t="s">
        <v>2</v>
      </c>
      <c r="D51" s="154" t="str">
        <f aca="false">IF(despesafixaconsolidadonov[[#This Row],[TOTAL]]=0,"",IF(OR(despesafixaconsolidadonov[[#This Row],[TOTAL]]=SMALL($AJ$37:$AJ$50,1),despesafixaconsolidadonov[[#This Row],[TOTAL]]=SMALL($AJ$37:$AJ$50,2),despesafixaconsolidadonov[[#This Row],[TOTAL]]=SMALL($AJ$37:$AJ$50,3),despesafixaconsolidadonov[[#This Row],[TOTAL]]=SMALL($AJ$37:$AJ$50,4),despesafixaconsolidadonov[[#This Row],[TOTAL]]=SMALL($AJ$37:$AJ$50,5)),DADOS!$I$8,""))</f>
        <v/>
      </c>
      <c r="E51" s="155" t="n">
        <f aca="false">SUM(E37:E50)</f>
        <v>0</v>
      </c>
      <c r="F51" s="156" t="n">
        <f aca="false">SUM(F37:F50)+despesafixaconsolidadonov[[#This Row],[1]]</f>
        <v>0</v>
      </c>
      <c r="G51" s="156" t="n">
        <f aca="false">SUM(G37:G50)+despesafixaconsolidadonov[[#This Row],[2]]</f>
        <v>0</v>
      </c>
      <c r="H51" s="156" t="n">
        <f aca="false">SUM(H37:H50)+despesafixaconsolidadonov[[#This Row],[3]]</f>
        <v>0</v>
      </c>
      <c r="I51" s="156" t="n">
        <f aca="false">SUM(I37:I50)+despesafixaconsolidadonov[[#This Row],[4]]</f>
        <v>0</v>
      </c>
      <c r="J51" s="156" t="n">
        <f aca="false">SUM(J37:J50)+despesafixaconsolidadonov[[#This Row],[5]]</f>
        <v>0</v>
      </c>
      <c r="K51" s="156" t="n">
        <f aca="false">SUM(K37:K50)+despesafixaconsolidadonov[[#This Row],[6]]</f>
        <v>0</v>
      </c>
      <c r="L51" s="156" t="n">
        <f aca="false">SUM(L37:L50)+despesafixaconsolidadonov[[#This Row],[7]]</f>
        <v>0</v>
      </c>
      <c r="M51" s="156" t="n">
        <f aca="false">SUM(M37:M50)+despesafixaconsolidadonov[[#This Row],[8]]</f>
        <v>0</v>
      </c>
      <c r="N51" s="156" t="n">
        <f aca="false">SUM(N37:N50)+despesafixaconsolidadonov[[#This Row],[9]]</f>
        <v>0</v>
      </c>
      <c r="O51" s="156" t="n">
        <f aca="false">SUM(O37:O50)+despesafixaconsolidadonov[[#This Row],[10]]</f>
        <v>0</v>
      </c>
      <c r="P51" s="156" t="n">
        <f aca="false">SUM(P37:P50)+despesafixaconsolidadonov[[#This Row],[11]]</f>
        <v>0</v>
      </c>
      <c r="Q51" s="156" t="n">
        <f aca="false">SUM(Q37:Q50)+despesafixaconsolidadonov[[#This Row],[12]]</f>
        <v>0</v>
      </c>
      <c r="R51" s="156" t="n">
        <f aca="false">SUM(R37:R50)+despesafixaconsolidadonov[[#This Row],[13]]</f>
        <v>0</v>
      </c>
      <c r="S51" s="156" t="n">
        <f aca="false">SUM(S37:S50)+despesafixaconsolidadonov[[#This Row],[14]]</f>
        <v>0</v>
      </c>
      <c r="T51" s="156" t="n">
        <f aca="false">SUM(T37:T50)+despesafixaconsolidadonov[[#This Row],[15]]</f>
        <v>0</v>
      </c>
      <c r="U51" s="156" t="n">
        <f aca="false">SUM(U37:U50)+despesafixaconsolidadonov[[#This Row],[16]]</f>
        <v>0</v>
      </c>
      <c r="V51" s="156" t="n">
        <f aca="false">SUM(V37:V50)+despesafixaconsolidadonov[[#This Row],[17]]</f>
        <v>0</v>
      </c>
      <c r="W51" s="156" t="n">
        <f aca="false">SUM(W37:W50)+despesafixaconsolidadonov[[#This Row],[18]]</f>
        <v>0</v>
      </c>
      <c r="X51" s="156" t="n">
        <f aca="false">SUM(X37:X50)+despesafixaconsolidadonov[[#This Row],[19]]</f>
        <v>0</v>
      </c>
      <c r="Y51" s="156" t="n">
        <f aca="false">SUM(Y37:Y50)+despesafixaconsolidadonov[[#This Row],[20]]</f>
        <v>0</v>
      </c>
      <c r="Z51" s="156" t="n">
        <f aca="false">SUM(Z37:Z50)+despesafixaconsolidadonov[[#This Row],[21]]</f>
        <v>0</v>
      </c>
      <c r="AA51" s="156" t="n">
        <f aca="false">SUM(AA37:AA50)+despesafixaconsolidadonov[[#This Row],[22]]</f>
        <v>0</v>
      </c>
      <c r="AB51" s="156" t="n">
        <f aca="false">SUM(AB37:AB50)+despesafixaconsolidadonov[[#This Row],[23]]</f>
        <v>0</v>
      </c>
      <c r="AC51" s="156" t="n">
        <f aca="false">SUM(AC37:AC50)+despesafixaconsolidadonov[[#This Row],[24]]</f>
        <v>0</v>
      </c>
      <c r="AD51" s="156" t="n">
        <f aca="false">SUM(AD37:AD50)+despesafixaconsolidadonov[[#This Row],[25]]</f>
        <v>0</v>
      </c>
      <c r="AE51" s="156" t="n">
        <f aca="false">SUM(AE37:AE50)+despesafixaconsolidadonov[[#This Row],[26]]</f>
        <v>0</v>
      </c>
      <c r="AF51" s="156" t="n">
        <f aca="false">SUM(AF37:AF50)+despesafixaconsolidadonov[[#This Row],[27]]</f>
        <v>0</v>
      </c>
      <c r="AG51" s="156" t="n">
        <f aca="false">SUM(AG37:AG50)+despesafixaconsolidadonov[[#This Row],[28]]</f>
        <v>0</v>
      </c>
      <c r="AH51" s="156" t="n">
        <f aca="false">SUM(AH37:AH50)+despesafixaconsolidadonov[[#This Row],[29]]</f>
        <v>0</v>
      </c>
      <c r="AI51" s="223" t="n">
        <f aca="false">SUM(AI37:AI50)+despesafixaconsolidadonov[[#This Row],[30]]</f>
        <v>0</v>
      </c>
      <c r="AJ51" s="157" t="n">
        <f aca="false">despesafixaconsolidadonov[[#This Row],[31]]</f>
        <v>0</v>
      </c>
      <c r="AK51" s="158"/>
    </row>
    <row r="52" customFormat="false" ht="6.75" hidden="false" customHeight="true" outlineLevel="0" collapsed="false">
      <c r="B52" s="97"/>
      <c r="C52" s="159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227"/>
      <c r="AJ52" s="97"/>
      <c r="AK52" s="244"/>
    </row>
    <row r="53" customFormat="false" ht="12.75" hidden="false" customHeight="false" outlineLevel="0" collapsed="false">
      <c r="C53" s="133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K53" s="100"/>
    </row>
    <row r="54" customFormat="false" ht="12" hidden="false" customHeight="false" outlineLevel="0" collapsed="false">
      <c r="C54" s="133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</row>
    <row r="55" customFormat="false" ht="12" hidden="false" customHeight="false" outlineLevel="0" collapsed="false">
      <c r="C55" s="133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</row>
    <row r="56" customFormat="false" ht="39.75" hidden="false" customHeight="true" outlineLevel="0" collapsed="false">
      <c r="C56" s="133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3" t="s">
        <v>2</v>
      </c>
    </row>
    <row r="57" s="78" customFormat="true" ht="11.25" hidden="false" customHeight="true" outlineLevel="0" collapsed="false">
      <c r="C57" s="101"/>
      <c r="AJ57" s="106" t="s">
        <v>64</v>
      </c>
    </row>
    <row r="58" customFormat="false" ht="6.75" hidden="false" customHeight="true" outlineLevel="0" collapsed="false">
      <c r="B58" s="139"/>
      <c r="C58" s="140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212"/>
      <c r="AK58" s="139"/>
    </row>
    <row r="59" customFormat="false" ht="12.75" hidden="true" customHeight="false" outlineLevel="0" collapsed="false">
      <c r="B59" s="86"/>
      <c r="C59" s="109" t="s">
        <v>79</v>
      </c>
      <c r="D59" s="110" t="s">
        <v>69</v>
      </c>
      <c r="E59" s="110" t="s">
        <v>30</v>
      </c>
      <c r="F59" s="110" t="s">
        <v>31</v>
      </c>
      <c r="G59" s="110" t="s">
        <v>32</v>
      </c>
      <c r="H59" s="110" t="s">
        <v>33</v>
      </c>
      <c r="I59" s="110" t="s">
        <v>34</v>
      </c>
      <c r="J59" s="110" t="s">
        <v>35</v>
      </c>
      <c r="K59" s="110" t="s">
        <v>36</v>
      </c>
      <c r="L59" s="110" t="s">
        <v>37</v>
      </c>
      <c r="M59" s="110" t="s">
        <v>38</v>
      </c>
      <c r="N59" s="110" t="s">
        <v>39</v>
      </c>
      <c r="O59" s="110" t="s">
        <v>40</v>
      </c>
      <c r="P59" s="110" t="s">
        <v>41</v>
      </c>
      <c r="Q59" s="110" t="s">
        <v>81</v>
      </c>
      <c r="R59" s="110" t="s">
        <v>82</v>
      </c>
      <c r="S59" s="110" t="s">
        <v>83</v>
      </c>
      <c r="T59" s="110" t="s">
        <v>84</v>
      </c>
      <c r="U59" s="110" t="s">
        <v>85</v>
      </c>
      <c r="V59" s="110" t="s">
        <v>86</v>
      </c>
      <c r="W59" s="110" t="s">
        <v>87</v>
      </c>
      <c r="X59" s="110" t="s">
        <v>88</v>
      </c>
      <c r="Y59" s="110" t="s">
        <v>89</v>
      </c>
      <c r="Z59" s="110" t="s">
        <v>90</v>
      </c>
      <c r="AA59" s="110" t="s">
        <v>91</v>
      </c>
      <c r="AB59" s="110" t="s">
        <v>92</v>
      </c>
      <c r="AC59" s="110" t="s">
        <v>93</v>
      </c>
      <c r="AD59" s="110" t="s">
        <v>94</v>
      </c>
      <c r="AE59" s="110" t="s">
        <v>95</v>
      </c>
      <c r="AF59" s="110" t="s">
        <v>96</v>
      </c>
      <c r="AG59" s="110" t="s">
        <v>97</v>
      </c>
      <c r="AH59" s="110" t="s">
        <v>98</v>
      </c>
      <c r="AI59" s="110" t="s">
        <v>99</v>
      </c>
      <c r="AJ59" s="142" t="s">
        <v>2</v>
      </c>
      <c r="AK59" s="86" t="s">
        <v>75</v>
      </c>
    </row>
    <row r="60" customFormat="false" ht="19.5" hidden="false" customHeight="true" outlineLevel="0" collapsed="false">
      <c r="B60" s="143"/>
      <c r="C60" s="144" t="str">
        <f aca="false">DADOS!$T$3</f>
        <v>🍕 ALIMENTAÇÃO</v>
      </c>
      <c r="D60" s="145" t="str">
        <f aca="false">IF(despesavariávelconsolidadonov[[#This Row],[TOTAL]]=0,"",IF(OR(despesavariávelconsolidadonov[[#This Row],[TOTAL]]=LARGE($AJ$60:$AJ$72,1),despesavariávelconsolidadonov[[#This Row],[TOTAL]]=LARGE($AJ$60:$AJ$72,2),despesavariávelconsolidadonov[[#This Row],[TOTAL]]=LARGE($AJ$60:$AJ$72,3),despesavariávelconsolidadonov[[#This Row],[TOTAL]]=LARGE($AJ$60:$AJ$72,4),despesavariávelconsolidadonov[[#This Row],[TOTAL]]=LARGE($AJ$60:$AJ$72,5)),DADOS!$I$8,""))</f>
        <v/>
      </c>
      <c r="E60" s="146" t="n">
        <f aca="false">SUMIFS(tabela_registros[VALOR],tabela_registros[MÊS],$AE$1,tabela_registros[DIA],novtotal3059718395107119131143155[[#Headers],[1]],tabela_registros[REGISTRO],DADOS!$N$4,tabela_registros[TIPO],DADOS!$P$4,tabela_registros[CATEGORIA],despesavariávelconsolidadonov[[#This Row],[DESPESA VARIÁVEL]])</f>
        <v>0</v>
      </c>
      <c r="F60" s="114" t="n">
        <f aca="false">SUMIFS(tabela_registros[VALOR],tabela_registros[MÊS],$AE$1,tabela_registros[DIA],novtotal3059718395107119131143155[[#Headers],[2]],tabela_registros[REGISTRO],DADOS!$N$4,tabela_registros[TIPO],DADOS!$P$4,tabela_registros[CATEGORIA],despesavariávelconsolidadonov[[#This Row],[DESPESA VARIÁVEL]])</f>
        <v>0</v>
      </c>
      <c r="G60" s="114" t="n">
        <f aca="false">SUMIFS(tabela_registros[VALOR],tabela_registros[MÊS],$AE$1,tabela_registros[DIA],novtotal3059718395107119131143155[[#Headers],[3]],tabela_registros[REGISTRO],DADOS!$N$4,tabela_registros[TIPO],DADOS!$P$4,tabela_registros[CATEGORIA],despesavariávelconsolidadonov[[#This Row],[DESPESA VARIÁVEL]])</f>
        <v>0</v>
      </c>
      <c r="H60" s="114" t="n">
        <f aca="false">SUMIFS(tabela_registros[VALOR],tabela_registros[MÊS],$AE$1,tabela_registros[DIA],novtotal3059718395107119131143155[[#Headers],[4]],tabela_registros[REGISTRO],DADOS!$N$4,tabela_registros[TIPO],DADOS!$P$4,tabela_registros[CATEGORIA],despesavariávelconsolidadonov[[#This Row],[DESPESA VARIÁVEL]])</f>
        <v>0</v>
      </c>
      <c r="I60" s="114" t="n">
        <f aca="false">SUMIFS(tabela_registros[VALOR],tabela_registros[MÊS],$AE$1,tabela_registros[DIA],novtotal3059718395107119131143155[[#Headers],[5]],tabela_registros[REGISTRO],DADOS!$N$4,tabela_registros[TIPO],DADOS!$P$4,tabela_registros[CATEGORIA],despesavariávelconsolidadonov[[#This Row],[DESPESA VARIÁVEL]])</f>
        <v>0</v>
      </c>
      <c r="J60" s="114" t="n">
        <f aca="false">SUMIFS(tabela_registros[VALOR],tabela_registros[MÊS],$AE$1,tabela_registros[DIA],novtotal3059718395107119131143155[[#Headers],[6]],tabela_registros[REGISTRO],DADOS!$N$4,tabela_registros[TIPO],DADOS!$P$4,tabela_registros[CATEGORIA],despesavariávelconsolidadonov[[#This Row],[DESPESA VARIÁVEL]])</f>
        <v>0</v>
      </c>
      <c r="K60" s="114" t="n">
        <f aca="false">SUMIFS(tabela_registros[VALOR],tabela_registros[MÊS],$AE$1,tabela_registros[DIA],novtotal3059718395107119131143155[[#Headers],[7]],tabela_registros[REGISTRO],DADOS!$N$4,tabela_registros[TIPO],DADOS!$P$4,tabela_registros[CATEGORIA],despesavariávelconsolidadonov[[#This Row],[DESPESA VARIÁVEL]])</f>
        <v>0</v>
      </c>
      <c r="L60" s="114" t="n">
        <f aca="false">SUMIFS(tabela_registros[VALOR],tabela_registros[MÊS],$AE$1,tabela_registros[DIA],novtotal3059718395107119131143155[[#Headers],[8]],tabela_registros[REGISTRO],DADOS!$N$4,tabela_registros[TIPO],DADOS!$P$4,tabela_registros[CATEGORIA],despesavariávelconsolidadonov[[#This Row],[DESPESA VARIÁVEL]])</f>
        <v>0</v>
      </c>
      <c r="M60" s="114" t="n">
        <f aca="false">SUMIFS(tabela_registros[VALOR],tabela_registros[MÊS],$AE$1,tabela_registros[DIA],novtotal3059718395107119131143155[[#Headers],[9]],tabela_registros[REGISTRO],DADOS!$N$4,tabela_registros[TIPO],DADOS!$P$4,tabela_registros[CATEGORIA],despesavariávelconsolidadonov[[#This Row],[DESPESA VARIÁVEL]])</f>
        <v>0</v>
      </c>
      <c r="N60" s="114" t="n">
        <f aca="false">SUMIFS(tabela_registros[VALOR],tabela_registros[MÊS],$AE$1,tabela_registros[DIA],novtotal3059718395107119131143155[[#Headers],[10]],tabela_registros[REGISTRO],DADOS!$N$4,tabela_registros[TIPO],DADOS!$P$4,tabela_registros[CATEGORIA],despesavariávelconsolidadonov[[#This Row],[DESPESA VARIÁVEL]])</f>
        <v>0</v>
      </c>
      <c r="O60" s="114" t="n">
        <f aca="false">SUMIFS(tabela_registros[VALOR],tabela_registros[MÊS],$AE$1,tabela_registros[DIA],novtotal3059718395107119131143155[[#Headers],[11]],tabela_registros[REGISTRO],DADOS!$N$4,tabela_registros[TIPO],DADOS!$P$4,tabela_registros[CATEGORIA],despesavariávelconsolidadonov[[#This Row],[DESPESA VARIÁVEL]])</f>
        <v>0</v>
      </c>
      <c r="P60" s="114" t="n">
        <f aca="false">SUMIFS(tabela_registros[VALOR],tabela_registros[MÊS],$AE$1,tabela_registros[DIA],novtotal3059718395107119131143155[[#Headers],[12]],tabela_registros[REGISTRO],DADOS!$N$4,tabela_registros[TIPO],DADOS!$P$4,tabela_registros[CATEGORIA],despesavariávelconsolidadonov[[#This Row],[DESPESA VARIÁVEL]])</f>
        <v>0</v>
      </c>
      <c r="Q60" s="114" t="n">
        <f aca="false">SUMIFS(tabela_registros[VALOR],tabela_registros[MÊS],$AE$1,tabela_registros[DIA],novtotal3059718395107119131143155[[#Headers],[13]],tabela_registros[REGISTRO],DADOS!$N$4,tabela_registros[TIPO],DADOS!$P$4,tabela_registros[CATEGORIA],despesavariávelconsolidadonov[[#This Row],[DESPESA VARIÁVEL]])</f>
        <v>0</v>
      </c>
      <c r="R60" s="114" t="n">
        <f aca="false">SUMIFS(tabela_registros[VALOR],tabela_registros[MÊS],$AE$1,tabela_registros[DIA],novtotal3059718395107119131143155[[#Headers],[14]],tabela_registros[REGISTRO],DADOS!$N$4,tabela_registros[TIPO],DADOS!$P$4,tabela_registros[CATEGORIA],despesavariávelconsolidadonov[[#This Row],[DESPESA VARIÁVEL]])</f>
        <v>0</v>
      </c>
      <c r="S60" s="114" t="n">
        <f aca="false">SUMIFS(tabela_registros[VALOR],tabela_registros[MÊS],$AE$1,tabela_registros[DIA],novtotal3059718395107119131143155[[#Headers],[15]],tabela_registros[REGISTRO],DADOS!$N$4,tabela_registros[TIPO],DADOS!$P$4,tabela_registros[CATEGORIA],despesavariávelconsolidadonov[[#This Row],[DESPESA VARIÁVEL]])</f>
        <v>0</v>
      </c>
      <c r="T60" s="114" t="n">
        <f aca="false">SUMIFS(tabela_registros[VALOR],tabela_registros[MÊS],$AE$1,tabela_registros[DIA],novtotal3059718395107119131143155[[#Headers],[16]],tabela_registros[REGISTRO],DADOS!$N$4,tabela_registros[TIPO],DADOS!$P$4,tabela_registros[CATEGORIA],despesavariávelconsolidadonov[[#This Row],[DESPESA VARIÁVEL]])</f>
        <v>0</v>
      </c>
      <c r="U60" s="114" t="n">
        <f aca="false">SUMIFS(tabela_registros[VALOR],tabela_registros[MÊS],$AE$1,tabela_registros[DIA],novtotal3059718395107119131143155[[#Headers],[17]],tabela_registros[REGISTRO],DADOS!$N$4,tabela_registros[TIPO],DADOS!$P$4,tabela_registros[CATEGORIA],despesavariávelconsolidadonov[[#This Row],[DESPESA VARIÁVEL]])</f>
        <v>0</v>
      </c>
      <c r="V60" s="114" t="n">
        <f aca="false">SUMIFS(tabela_registros[VALOR],tabela_registros[MÊS],$AE$1,tabela_registros[DIA],novtotal3059718395107119131143155[[#Headers],[18]],tabela_registros[REGISTRO],DADOS!$N$4,tabela_registros[TIPO],DADOS!$P$4,tabela_registros[CATEGORIA],despesavariávelconsolidadonov[[#This Row],[DESPESA VARIÁVEL]])</f>
        <v>0</v>
      </c>
      <c r="W60" s="114" t="n">
        <f aca="false">SUMIFS(tabela_registros[VALOR],tabela_registros[MÊS],$AE$1,tabela_registros[DIA],novtotal3059718395107119131143155[[#Headers],[19]],tabela_registros[REGISTRO],DADOS!$N$4,tabela_registros[TIPO],DADOS!$P$4,tabela_registros[CATEGORIA],despesavariávelconsolidadonov[[#This Row],[DESPESA VARIÁVEL]])</f>
        <v>0</v>
      </c>
      <c r="X60" s="114" t="n">
        <f aca="false">SUMIFS(tabela_registros[VALOR],tabela_registros[MÊS],$AE$1,tabela_registros[DIA],novtotal3059718395107119131143155[[#Headers],[20]],tabela_registros[REGISTRO],DADOS!$N$4,tabela_registros[TIPO],DADOS!$P$4,tabela_registros[CATEGORIA],despesavariávelconsolidadonov[[#This Row],[DESPESA VARIÁVEL]])</f>
        <v>0</v>
      </c>
      <c r="Y60" s="114" t="n">
        <f aca="false">SUMIFS(tabela_registros[VALOR],tabela_registros[MÊS],$AE$1,tabela_registros[DIA],novtotal3059718395107119131143155[[#Headers],[21]],tabela_registros[REGISTRO],DADOS!$N$4,tabela_registros[TIPO],DADOS!$P$4,tabela_registros[CATEGORIA],despesavariávelconsolidadonov[[#This Row],[DESPESA VARIÁVEL]])</f>
        <v>0</v>
      </c>
      <c r="Z60" s="114" t="n">
        <f aca="false">SUMIFS(tabela_registros[VALOR],tabela_registros[MÊS],$AE$1,tabela_registros[DIA],novtotal3059718395107119131143155[[#Headers],[22]],tabela_registros[REGISTRO],DADOS!$N$4,tabela_registros[TIPO],DADOS!$P$4,tabela_registros[CATEGORIA],despesavariávelconsolidadonov[[#This Row],[DESPESA VARIÁVEL]])</f>
        <v>0</v>
      </c>
      <c r="AA60" s="114" t="n">
        <f aca="false">SUMIFS(tabela_registros[VALOR],tabela_registros[MÊS],$AE$1,tabela_registros[DIA],novtotal3059718395107119131143155[[#Headers],[23]],tabela_registros[REGISTRO],DADOS!$N$4,tabela_registros[TIPO],DADOS!$P$4,tabela_registros[CATEGORIA],despesavariávelconsolidadonov[[#This Row],[DESPESA VARIÁVEL]])</f>
        <v>0</v>
      </c>
      <c r="AB60" s="114" t="n">
        <f aca="false">SUMIFS(tabela_registros[VALOR],tabela_registros[MÊS],$AE$1,tabela_registros[DIA],novtotal3059718395107119131143155[[#Headers],[24]],tabela_registros[REGISTRO],DADOS!$N$4,tabela_registros[TIPO],DADOS!$P$4,tabela_registros[CATEGORIA],despesavariávelconsolidadonov[[#This Row],[DESPESA VARIÁVEL]])</f>
        <v>0</v>
      </c>
      <c r="AC60" s="114" t="n">
        <f aca="false">SUMIFS(tabela_registros[VALOR],tabela_registros[MÊS],$AE$1,tabela_registros[DIA],novtotal3059718395107119131143155[[#Headers],[25]],tabela_registros[REGISTRO],DADOS!$N$4,tabela_registros[TIPO],DADOS!$P$4,tabela_registros[CATEGORIA],despesavariávelconsolidadonov[[#This Row],[DESPESA VARIÁVEL]])</f>
        <v>0</v>
      </c>
      <c r="AD60" s="114" t="n">
        <f aca="false">SUMIFS(tabela_registros[VALOR],tabela_registros[MÊS],$AE$1,tabela_registros[DIA],novtotal3059718395107119131143155[[#Headers],[26]],tabela_registros[REGISTRO],DADOS!$N$4,tabela_registros[TIPO],DADOS!$P$4,tabela_registros[CATEGORIA],despesavariávelconsolidadonov[[#This Row],[DESPESA VARIÁVEL]])</f>
        <v>0</v>
      </c>
      <c r="AE60" s="114" t="n">
        <f aca="false">SUMIFS(tabela_registros[VALOR],tabela_registros[MÊS],$AE$1,tabela_registros[DIA],novtotal3059718395107119131143155[[#Headers],[27]],tabela_registros[REGISTRO],DADOS!$N$4,tabela_registros[TIPO],DADOS!$P$4,tabela_registros[CATEGORIA],despesavariávelconsolidadonov[[#This Row],[DESPESA VARIÁVEL]])</f>
        <v>0</v>
      </c>
      <c r="AF60" s="114" t="n">
        <f aca="false">SUMIFS(tabela_registros[VALOR],tabela_registros[MÊS],$AE$1,tabela_registros[DIA],novtotal3059718395107119131143155[[#Headers],[28]],tabela_registros[REGISTRO],DADOS!$N$4,tabela_registros[TIPO],DADOS!$P$4,tabela_registros[CATEGORIA],despesavariávelconsolidadonov[[#This Row],[DESPESA VARIÁVEL]])</f>
        <v>0</v>
      </c>
      <c r="AG60" s="114" t="n">
        <f aca="false">SUMIFS(tabela_registros[VALOR],tabela_registros[MÊS],$AE$1,tabela_registros[DIA],novtotal3059718395107119131143155[[#Headers],[29]],tabela_registros[REGISTRO],DADOS!$N$4,tabela_registros[TIPO],DADOS!$P$4,tabela_registros[CATEGORIA],despesavariávelconsolidadonov[[#This Row],[DESPESA VARIÁVEL]])</f>
        <v>0</v>
      </c>
      <c r="AH60" s="114" t="n">
        <f aca="false">SUMIFS(tabela_registros[VALOR],tabela_registros[MÊS],$AE$1,tabela_registros[DIA],novtotal3059718395107119131143155[[#Headers],[30]],tabela_registros[REGISTRO],DADOS!$N$4,tabela_registros[TIPO],DADOS!$P$4,tabela_registros[CATEGORIA],despesavariávelconsolidadonov[[#This Row],[DESPESA VARIÁVEL]])</f>
        <v>0</v>
      </c>
      <c r="AI60" s="216" t="n">
        <f aca="false">SUMIFS(tabela_registros[VALOR],tabela_registros[MÊS],$AE$1,tabela_registros[DIA],novtotal3059718395107119131143155[[#Headers],[31]],tabela_registros[REGISTRO],DADOS!$N$4,tabela_registros[TIPO],DADOS!$P$4,tabela_registros[CATEGORIA],despesavariávelconsolidadonov[[#This Row],[DESPESA VARIÁVEL]])</f>
        <v>0</v>
      </c>
      <c r="AJ60" s="147" t="n">
        <f aca="false">SUM(despesavariávelconsolidadonov[[#This Row],[1]:[31]])</f>
        <v>0</v>
      </c>
      <c r="AK60" s="143"/>
    </row>
    <row r="61" customFormat="false" ht="18" hidden="false" customHeight="true" outlineLevel="0" collapsed="false">
      <c r="B61" s="143"/>
      <c r="C61" s="144" t="str">
        <f aca="false">DADOS!$T$4</f>
        <v>💳 CARTÃO DE CRÉDITO</v>
      </c>
      <c r="D61" s="145" t="str">
        <f aca="false">IF(despesavariávelconsolidadonov[[#This Row],[TOTAL]]=0,"",IF(OR(despesavariávelconsolidadonov[[#This Row],[TOTAL]]=LARGE($AJ$60:$AJ$72,1),despesavariávelconsolidadonov[[#This Row],[TOTAL]]=LARGE($AJ$60:$AJ$72,2),despesavariávelconsolidadonov[[#This Row],[TOTAL]]=LARGE($AJ$60:$AJ$72,3),despesavariávelconsolidadonov[[#This Row],[TOTAL]]=LARGE($AJ$60:$AJ$72,4),despesavariávelconsolidadonov[[#This Row],[TOTAL]]=LARGE($AJ$60:$AJ$72,5)),DADOS!$I$8,""))</f>
        <v/>
      </c>
      <c r="E61" s="148" t="n">
        <f aca="false">SUMIFS(tabela_registros[VALOR],tabela_registros[MÊS],$AE$1,tabela_registros[DIA],novtotal3059718395107119131143155[[#Headers],[1]],tabela_registros[REGISTRO],DADOS!$N$4,tabela_registros[TIPO],DADOS!$P$4,tabela_registros[CATEGORIA],despesavariávelconsolidadonov[[#This Row],[DESPESA VARIÁVEL]])</f>
        <v>0</v>
      </c>
      <c r="F61" s="119" t="n">
        <f aca="false">SUMIFS(tabela_registros[VALOR],tabela_registros[MÊS],$AE$1,tabela_registros[DIA],novtotal3059718395107119131143155[[#Headers],[2]],tabela_registros[REGISTRO],DADOS!$N$4,tabela_registros[TIPO],DADOS!$P$4,tabela_registros[CATEGORIA],despesavariávelconsolidadonov[[#This Row],[DESPESA VARIÁVEL]])</f>
        <v>0</v>
      </c>
      <c r="G61" s="119" t="n">
        <f aca="false">SUMIFS(tabela_registros[VALOR],tabela_registros[MÊS],$AE$1,tabela_registros[DIA],novtotal3059718395107119131143155[[#Headers],[3]],tabela_registros[REGISTRO],DADOS!$N$4,tabela_registros[TIPO],DADOS!$P$4,tabela_registros[CATEGORIA],despesavariávelconsolidadonov[[#This Row],[DESPESA VARIÁVEL]])</f>
        <v>0</v>
      </c>
      <c r="H61" s="119" t="n">
        <f aca="false">SUMIFS(tabela_registros[VALOR],tabela_registros[MÊS],$AE$1,tabela_registros[DIA],novtotal3059718395107119131143155[[#Headers],[4]],tabela_registros[REGISTRO],DADOS!$N$4,tabela_registros[TIPO],DADOS!$P$4,tabela_registros[CATEGORIA],despesavariávelconsolidadonov[[#This Row],[DESPESA VARIÁVEL]])</f>
        <v>0</v>
      </c>
      <c r="I61" s="119" t="n">
        <f aca="false">SUMIFS(tabela_registros[VALOR],tabela_registros[MÊS],$AE$1,tabela_registros[DIA],novtotal3059718395107119131143155[[#Headers],[5]],tabela_registros[REGISTRO],DADOS!$N$4,tabela_registros[TIPO],DADOS!$P$4,tabela_registros[CATEGORIA],despesavariávelconsolidadonov[[#This Row],[DESPESA VARIÁVEL]])</f>
        <v>0</v>
      </c>
      <c r="J61" s="119" t="n">
        <f aca="false">SUMIFS(tabela_registros[VALOR],tabela_registros[MÊS],$AE$1,tabela_registros[DIA],novtotal3059718395107119131143155[[#Headers],[6]],tabela_registros[REGISTRO],DADOS!$N$4,tabela_registros[TIPO],DADOS!$P$4,tabela_registros[CATEGORIA],despesavariávelconsolidadonov[[#This Row],[DESPESA VARIÁVEL]])</f>
        <v>0</v>
      </c>
      <c r="K61" s="119" t="n">
        <f aca="false">SUMIFS(tabela_registros[VALOR],tabela_registros[MÊS],$AE$1,tabela_registros[DIA],novtotal3059718395107119131143155[[#Headers],[7]],tabela_registros[REGISTRO],DADOS!$N$4,tabela_registros[TIPO],DADOS!$P$4,tabela_registros[CATEGORIA],despesavariávelconsolidadonov[[#This Row],[DESPESA VARIÁVEL]])</f>
        <v>0</v>
      </c>
      <c r="L61" s="119" t="n">
        <f aca="false">SUMIFS(tabela_registros[VALOR],tabela_registros[MÊS],$AE$1,tabela_registros[DIA],novtotal3059718395107119131143155[[#Headers],[8]],tabela_registros[REGISTRO],DADOS!$N$4,tabela_registros[TIPO],DADOS!$P$4,tabela_registros[CATEGORIA],despesavariávelconsolidadonov[[#This Row],[DESPESA VARIÁVEL]])</f>
        <v>0</v>
      </c>
      <c r="M61" s="119" t="n">
        <f aca="false">SUMIFS(tabela_registros[VALOR],tabela_registros[MÊS],$AE$1,tabela_registros[DIA],novtotal3059718395107119131143155[[#Headers],[9]],tabela_registros[REGISTRO],DADOS!$N$4,tabela_registros[TIPO],DADOS!$P$4,tabela_registros[CATEGORIA],despesavariávelconsolidadonov[[#This Row],[DESPESA VARIÁVEL]])</f>
        <v>0</v>
      </c>
      <c r="N61" s="119" t="n">
        <f aca="false">SUMIFS(tabela_registros[VALOR],tabela_registros[MÊS],$AE$1,tabela_registros[DIA],novtotal3059718395107119131143155[[#Headers],[10]],tabela_registros[REGISTRO],DADOS!$N$4,tabela_registros[TIPO],DADOS!$P$4,tabela_registros[CATEGORIA],despesavariávelconsolidadonov[[#This Row],[DESPESA VARIÁVEL]])</f>
        <v>0</v>
      </c>
      <c r="O61" s="119" t="n">
        <f aca="false">SUMIFS(tabela_registros[VALOR],tabela_registros[MÊS],$AE$1,tabela_registros[DIA],novtotal3059718395107119131143155[[#Headers],[11]],tabela_registros[REGISTRO],DADOS!$N$4,tabela_registros[TIPO],DADOS!$P$4,tabela_registros[CATEGORIA],despesavariávelconsolidadonov[[#This Row],[DESPESA VARIÁVEL]])</f>
        <v>0</v>
      </c>
      <c r="P61" s="119" t="n">
        <f aca="false">SUMIFS(tabela_registros[VALOR],tabela_registros[MÊS],$AE$1,tabela_registros[DIA],novtotal3059718395107119131143155[[#Headers],[12]],tabela_registros[REGISTRO],DADOS!$N$4,tabela_registros[TIPO],DADOS!$P$4,tabela_registros[CATEGORIA],despesavariávelconsolidadonov[[#This Row],[DESPESA VARIÁVEL]])</f>
        <v>0</v>
      </c>
      <c r="Q61" s="119" t="n">
        <f aca="false">SUMIFS(tabela_registros[VALOR],tabela_registros[MÊS],$AE$1,tabela_registros[DIA],novtotal3059718395107119131143155[[#Headers],[13]],tabela_registros[REGISTRO],DADOS!$N$4,tabela_registros[TIPO],DADOS!$P$4,tabela_registros[CATEGORIA],despesavariávelconsolidadonov[[#This Row],[DESPESA VARIÁVEL]])</f>
        <v>0</v>
      </c>
      <c r="R61" s="119" t="n">
        <f aca="false">SUMIFS(tabela_registros[VALOR],tabela_registros[MÊS],$AE$1,tabela_registros[DIA],novtotal3059718395107119131143155[[#Headers],[14]],tabela_registros[REGISTRO],DADOS!$N$4,tabela_registros[TIPO],DADOS!$P$4,tabela_registros[CATEGORIA],despesavariávelconsolidadonov[[#This Row],[DESPESA VARIÁVEL]])</f>
        <v>0</v>
      </c>
      <c r="S61" s="119" t="n">
        <f aca="false">SUMIFS(tabela_registros[VALOR],tabela_registros[MÊS],$AE$1,tabela_registros[DIA],novtotal3059718395107119131143155[[#Headers],[15]],tabela_registros[REGISTRO],DADOS!$N$4,tabela_registros[TIPO],DADOS!$P$4,tabela_registros[CATEGORIA],despesavariávelconsolidadonov[[#This Row],[DESPESA VARIÁVEL]])</f>
        <v>0</v>
      </c>
      <c r="T61" s="119" t="n">
        <f aca="false">SUMIFS(tabela_registros[VALOR],tabela_registros[MÊS],$AE$1,tabela_registros[DIA],novtotal3059718395107119131143155[[#Headers],[16]],tabela_registros[REGISTRO],DADOS!$N$4,tabela_registros[TIPO],DADOS!$P$4,tabela_registros[CATEGORIA],despesavariávelconsolidadonov[[#This Row],[DESPESA VARIÁVEL]])</f>
        <v>0</v>
      </c>
      <c r="U61" s="119" t="n">
        <f aca="false">SUMIFS(tabela_registros[VALOR],tabela_registros[MÊS],$AE$1,tabela_registros[DIA],novtotal3059718395107119131143155[[#Headers],[17]],tabela_registros[REGISTRO],DADOS!$N$4,tabela_registros[TIPO],DADOS!$P$4,tabela_registros[CATEGORIA],despesavariávelconsolidadonov[[#This Row],[DESPESA VARIÁVEL]])</f>
        <v>0</v>
      </c>
      <c r="V61" s="119" t="n">
        <f aca="false">SUMIFS(tabela_registros[VALOR],tabela_registros[MÊS],$AE$1,tabela_registros[DIA],novtotal3059718395107119131143155[[#Headers],[18]],tabela_registros[REGISTRO],DADOS!$N$4,tabela_registros[TIPO],DADOS!$P$4,tabela_registros[CATEGORIA],despesavariávelconsolidadonov[[#This Row],[DESPESA VARIÁVEL]])</f>
        <v>0</v>
      </c>
      <c r="W61" s="119" t="n">
        <f aca="false">SUMIFS(tabela_registros[VALOR],tabela_registros[MÊS],$AE$1,tabela_registros[DIA],novtotal3059718395107119131143155[[#Headers],[19]],tabela_registros[REGISTRO],DADOS!$N$4,tabela_registros[TIPO],DADOS!$P$4,tabela_registros[CATEGORIA],despesavariávelconsolidadonov[[#This Row],[DESPESA VARIÁVEL]])</f>
        <v>0</v>
      </c>
      <c r="X61" s="119" t="n">
        <f aca="false">SUMIFS(tabela_registros[VALOR],tabela_registros[MÊS],$AE$1,tabela_registros[DIA],novtotal3059718395107119131143155[[#Headers],[20]],tabela_registros[REGISTRO],DADOS!$N$4,tabela_registros[TIPO],DADOS!$P$4,tabela_registros[CATEGORIA],despesavariávelconsolidadonov[[#This Row],[DESPESA VARIÁVEL]])</f>
        <v>0</v>
      </c>
      <c r="Y61" s="119" t="n">
        <f aca="false">SUMIFS(tabela_registros[VALOR],tabela_registros[MÊS],$AE$1,tabela_registros[DIA],novtotal3059718395107119131143155[[#Headers],[21]],tabela_registros[REGISTRO],DADOS!$N$4,tabela_registros[TIPO],DADOS!$P$4,tabela_registros[CATEGORIA],despesavariávelconsolidadonov[[#This Row],[DESPESA VARIÁVEL]])</f>
        <v>0</v>
      </c>
      <c r="Z61" s="119" t="n">
        <f aca="false">SUMIFS(tabela_registros[VALOR],tabela_registros[MÊS],$AE$1,tabela_registros[DIA],novtotal3059718395107119131143155[[#Headers],[22]],tabela_registros[REGISTRO],DADOS!$N$4,tabela_registros[TIPO],DADOS!$P$4,tabela_registros[CATEGORIA],despesavariávelconsolidadonov[[#This Row],[DESPESA VARIÁVEL]])</f>
        <v>0</v>
      </c>
      <c r="AA61" s="119" t="n">
        <f aca="false">SUMIFS(tabela_registros[VALOR],tabela_registros[MÊS],$AE$1,tabela_registros[DIA],novtotal3059718395107119131143155[[#Headers],[23]],tabela_registros[REGISTRO],DADOS!$N$4,tabela_registros[TIPO],DADOS!$P$4,tabela_registros[CATEGORIA],despesavariávelconsolidadonov[[#This Row],[DESPESA VARIÁVEL]])</f>
        <v>0</v>
      </c>
      <c r="AB61" s="119" t="n">
        <f aca="false">SUMIFS(tabela_registros[VALOR],tabela_registros[MÊS],$AE$1,tabela_registros[DIA],novtotal3059718395107119131143155[[#Headers],[24]],tabela_registros[REGISTRO],DADOS!$N$4,tabela_registros[TIPO],DADOS!$P$4,tabela_registros[CATEGORIA],despesavariávelconsolidadonov[[#This Row],[DESPESA VARIÁVEL]])</f>
        <v>0</v>
      </c>
      <c r="AC61" s="119" t="n">
        <f aca="false">SUMIFS(tabela_registros[VALOR],tabela_registros[MÊS],$AE$1,tabela_registros[DIA],novtotal3059718395107119131143155[[#Headers],[25]],tabela_registros[REGISTRO],DADOS!$N$4,tabela_registros[TIPO],DADOS!$P$4,tabela_registros[CATEGORIA],despesavariávelconsolidadonov[[#This Row],[DESPESA VARIÁVEL]])</f>
        <v>0</v>
      </c>
      <c r="AD61" s="119" t="n">
        <f aca="false">SUMIFS(tabela_registros[VALOR],tabela_registros[MÊS],$AE$1,tabela_registros[DIA],novtotal3059718395107119131143155[[#Headers],[26]],tabela_registros[REGISTRO],DADOS!$N$4,tabela_registros[TIPO],DADOS!$P$4,tabela_registros[CATEGORIA],despesavariávelconsolidadonov[[#This Row],[DESPESA VARIÁVEL]])</f>
        <v>0</v>
      </c>
      <c r="AE61" s="119" t="n">
        <f aca="false">SUMIFS(tabela_registros[VALOR],tabela_registros[MÊS],$AE$1,tabela_registros[DIA],novtotal3059718395107119131143155[[#Headers],[27]],tabela_registros[REGISTRO],DADOS!$N$4,tabela_registros[TIPO],DADOS!$P$4,tabela_registros[CATEGORIA],despesavariávelconsolidadonov[[#This Row],[DESPESA VARIÁVEL]])</f>
        <v>0</v>
      </c>
      <c r="AF61" s="119" t="n">
        <f aca="false">SUMIFS(tabela_registros[VALOR],tabela_registros[MÊS],$AE$1,tabela_registros[DIA],novtotal3059718395107119131143155[[#Headers],[28]],tabela_registros[REGISTRO],DADOS!$N$4,tabela_registros[TIPO],DADOS!$P$4,tabela_registros[CATEGORIA],despesavariávelconsolidadonov[[#This Row],[DESPESA VARIÁVEL]])</f>
        <v>0</v>
      </c>
      <c r="AG61" s="119" t="n">
        <f aca="false">SUMIFS(tabela_registros[VALOR],tabela_registros[MÊS],$AE$1,tabela_registros[DIA],novtotal3059718395107119131143155[[#Headers],[29]],tabela_registros[REGISTRO],DADOS!$N$4,tabela_registros[TIPO],DADOS!$P$4,tabela_registros[CATEGORIA],despesavariávelconsolidadonov[[#This Row],[DESPESA VARIÁVEL]])</f>
        <v>0</v>
      </c>
      <c r="AH61" s="119" t="n">
        <f aca="false">SUMIFS(tabela_registros[VALOR],tabela_registros[MÊS],$AE$1,tabela_registros[DIA],novtotal3059718395107119131143155[[#Headers],[30]],tabela_registros[REGISTRO],DADOS!$N$4,tabela_registros[TIPO],DADOS!$P$4,tabela_registros[CATEGORIA],despesavariávelconsolidadonov[[#This Row],[DESPESA VARIÁVEL]])</f>
        <v>0</v>
      </c>
      <c r="AI61" s="217" t="n">
        <f aca="false">SUMIFS(tabela_registros[VALOR],tabela_registros[MÊS],$AE$1,tabela_registros[DIA],novtotal3059718395107119131143155[[#Headers],[31]],tabela_registros[REGISTRO],DADOS!$N$4,tabela_registros[TIPO],DADOS!$P$4,tabela_registros[CATEGORIA],despesavariávelconsolidadonov[[#This Row],[DESPESA VARIÁVEL]])</f>
        <v>0</v>
      </c>
      <c r="AJ61" s="149" t="n">
        <f aca="false">SUM(despesavariávelconsolidadonov[[#This Row],[1]:[31]])</f>
        <v>0</v>
      </c>
      <c r="AK61" s="143"/>
    </row>
    <row r="62" customFormat="false" ht="18" hidden="false" customHeight="true" outlineLevel="0" collapsed="false">
      <c r="B62" s="143"/>
      <c r="C62" s="144" t="str">
        <f aca="false">DADOS!$T$5</f>
        <v>✍️ CHEQUE ESPECIAL</v>
      </c>
      <c r="D62" s="145" t="str">
        <f aca="false">IF(despesavariávelconsolidadonov[[#This Row],[TOTAL]]=0,"",IF(OR(despesavariávelconsolidadonov[[#This Row],[TOTAL]]=LARGE($AJ$60:$AJ$72,1),despesavariávelconsolidadonov[[#This Row],[TOTAL]]=LARGE($AJ$60:$AJ$72,2),despesavariávelconsolidadonov[[#This Row],[TOTAL]]=LARGE($AJ$60:$AJ$72,3),despesavariávelconsolidadonov[[#This Row],[TOTAL]]=LARGE($AJ$60:$AJ$72,4),despesavariávelconsolidadonov[[#This Row],[TOTAL]]=LARGE($AJ$60:$AJ$72,5)),DADOS!$I$8,""))</f>
        <v/>
      </c>
      <c r="E62" s="148" t="n">
        <f aca="false">SUMIFS(tabela_registros[VALOR],tabela_registros[MÊS],$AE$1,tabela_registros[DIA],novtotal3059718395107119131143155[[#Headers],[1]],tabela_registros[REGISTRO],DADOS!$N$4,tabela_registros[TIPO],DADOS!$P$4,tabela_registros[CATEGORIA],despesavariávelconsolidadonov[[#This Row],[DESPESA VARIÁVEL]])</f>
        <v>0</v>
      </c>
      <c r="F62" s="119" t="n">
        <f aca="false">SUMIFS(tabela_registros[VALOR],tabela_registros[MÊS],$AE$1,tabela_registros[DIA],novtotal3059718395107119131143155[[#Headers],[2]],tabela_registros[REGISTRO],DADOS!$N$4,tabela_registros[TIPO],DADOS!$P$4,tabela_registros[CATEGORIA],despesavariávelconsolidadonov[[#This Row],[DESPESA VARIÁVEL]])</f>
        <v>0</v>
      </c>
      <c r="G62" s="119" t="n">
        <f aca="false">SUMIFS(tabela_registros[VALOR],tabela_registros[MÊS],$AE$1,tabela_registros[DIA],novtotal3059718395107119131143155[[#Headers],[3]],tabela_registros[REGISTRO],DADOS!$N$4,tabela_registros[TIPO],DADOS!$P$4,tabela_registros[CATEGORIA],despesavariávelconsolidadonov[[#This Row],[DESPESA VARIÁVEL]])</f>
        <v>0</v>
      </c>
      <c r="H62" s="119" t="n">
        <f aca="false">SUMIFS(tabela_registros[VALOR],tabela_registros[MÊS],$AE$1,tabela_registros[DIA],novtotal3059718395107119131143155[[#Headers],[4]],tabela_registros[REGISTRO],DADOS!$N$4,tabela_registros[TIPO],DADOS!$P$4,tabela_registros[CATEGORIA],despesavariávelconsolidadonov[[#This Row],[DESPESA VARIÁVEL]])</f>
        <v>0</v>
      </c>
      <c r="I62" s="119" t="n">
        <f aca="false">SUMIFS(tabela_registros[VALOR],tabela_registros[MÊS],$AE$1,tabela_registros[DIA],novtotal3059718395107119131143155[[#Headers],[5]],tabela_registros[REGISTRO],DADOS!$N$4,tabela_registros[TIPO],DADOS!$P$4,tabela_registros[CATEGORIA],despesavariávelconsolidadonov[[#This Row],[DESPESA VARIÁVEL]])</f>
        <v>0</v>
      </c>
      <c r="J62" s="119" t="n">
        <f aca="false">SUMIFS(tabela_registros[VALOR],tabela_registros[MÊS],$AE$1,tabela_registros[DIA],novtotal3059718395107119131143155[[#Headers],[6]],tabela_registros[REGISTRO],DADOS!$N$4,tabela_registros[TIPO],DADOS!$P$4,tabela_registros[CATEGORIA],despesavariávelconsolidadonov[[#This Row],[DESPESA VARIÁVEL]])</f>
        <v>0</v>
      </c>
      <c r="K62" s="119" t="n">
        <f aca="false">SUMIFS(tabela_registros[VALOR],tabela_registros[MÊS],$AE$1,tabela_registros[DIA],novtotal3059718395107119131143155[[#Headers],[7]],tabela_registros[REGISTRO],DADOS!$N$4,tabela_registros[TIPO],DADOS!$P$4,tabela_registros[CATEGORIA],despesavariávelconsolidadonov[[#This Row],[DESPESA VARIÁVEL]])</f>
        <v>0</v>
      </c>
      <c r="L62" s="119" t="n">
        <f aca="false">SUMIFS(tabela_registros[VALOR],tabela_registros[MÊS],$AE$1,tabela_registros[DIA],novtotal3059718395107119131143155[[#Headers],[8]],tabela_registros[REGISTRO],DADOS!$N$4,tabela_registros[TIPO],DADOS!$P$4,tabela_registros[CATEGORIA],despesavariávelconsolidadonov[[#This Row],[DESPESA VARIÁVEL]])</f>
        <v>0</v>
      </c>
      <c r="M62" s="119" t="n">
        <f aca="false">SUMIFS(tabela_registros[VALOR],tabela_registros[MÊS],$AE$1,tabela_registros[DIA],novtotal3059718395107119131143155[[#Headers],[9]],tabela_registros[REGISTRO],DADOS!$N$4,tabela_registros[TIPO],DADOS!$P$4,tabela_registros[CATEGORIA],despesavariávelconsolidadonov[[#This Row],[DESPESA VARIÁVEL]])</f>
        <v>0</v>
      </c>
      <c r="N62" s="119" t="n">
        <f aca="false">SUMIFS(tabela_registros[VALOR],tabela_registros[MÊS],$AE$1,tabela_registros[DIA],novtotal3059718395107119131143155[[#Headers],[10]],tabela_registros[REGISTRO],DADOS!$N$4,tabela_registros[TIPO],DADOS!$P$4,tabela_registros[CATEGORIA],despesavariávelconsolidadonov[[#This Row],[DESPESA VARIÁVEL]])</f>
        <v>0</v>
      </c>
      <c r="O62" s="119" t="n">
        <f aca="false">SUMIFS(tabela_registros[VALOR],tabela_registros[MÊS],$AE$1,tabela_registros[DIA],novtotal3059718395107119131143155[[#Headers],[11]],tabela_registros[REGISTRO],DADOS!$N$4,tabela_registros[TIPO],DADOS!$P$4,tabela_registros[CATEGORIA],despesavariávelconsolidadonov[[#This Row],[DESPESA VARIÁVEL]])</f>
        <v>0</v>
      </c>
      <c r="P62" s="119" t="n">
        <f aca="false">SUMIFS(tabela_registros[VALOR],tabela_registros[MÊS],$AE$1,tabela_registros[DIA],novtotal3059718395107119131143155[[#Headers],[12]],tabela_registros[REGISTRO],DADOS!$N$4,tabela_registros[TIPO],DADOS!$P$4,tabela_registros[CATEGORIA],despesavariávelconsolidadonov[[#This Row],[DESPESA VARIÁVEL]])</f>
        <v>0</v>
      </c>
      <c r="Q62" s="119" t="n">
        <f aca="false">SUMIFS(tabela_registros[VALOR],tabela_registros[MÊS],$AE$1,tabela_registros[DIA],novtotal3059718395107119131143155[[#Headers],[13]],tabela_registros[REGISTRO],DADOS!$N$4,tabela_registros[TIPO],DADOS!$P$4,tabela_registros[CATEGORIA],despesavariávelconsolidadonov[[#This Row],[DESPESA VARIÁVEL]])</f>
        <v>0</v>
      </c>
      <c r="R62" s="119" t="n">
        <f aca="false">SUMIFS(tabela_registros[VALOR],tabela_registros[MÊS],$AE$1,tabela_registros[DIA],novtotal3059718395107119131143155[[#Headers],[14]],tabela_registros[REGISTRO],DADOS!$N$4,tabela_registros[TIPO],DADOS!$P$4,tabela_registros[CATEGORIA],despesavariávelconsolidadonov[[#This Row],[DESPESA VARIÁVEL]])</f>
        <v>0</v>
      </c>
      <c r="S62" s="119" t="n">
        <f aca="false">SUMIFS(tabela_registros[VALOR],tabela_registros[MÊS],$AE$1,tabela_registros[DIA],novtotal3059718395107119131143155[[#Headers],[15]],tabela_registros[REGISTRO],DADOS!$N$4,tabela_registros[TIPO],DADOS!$P$4,tabela_registros[CATEGORIA],despesavariávelconsolidadonov[[#This Row],[DESPESA VARIÁVEL]])</f>
        <v>0</v>
      </c>
      <c r="T62" s="119" t="n">
        <f aca="false">SUMIFS(tabela_registros[VALOR],tabela_registros[MÊS],$AE$1,tabela_registros[DIA],novtotal3059718395107119131143155[[#Headers],[16]],tabela_registros[REGISTRO],DADOS!$N$4,tabela_registros[TIPO],DADOS!$P$4,tabela_registros[CATEGORIA],despesavariávelconsolidadonov[[#This Row],[DESPESA VARIÁVEL]])</f>
        <v>0</v>
      </c>
      <c r="U62" s="119" t="n">
        <f aca="false">SUMIFS(tabela_registros[VALOR],tabela_registros[MÊS],$AE$1,tabela_registros[DIA],novtotal3059718395107119131143155[[#Headers],[17]],tabela_registros[REGISTRO],DADOS!$N$4,tabela_registros[TIPO],DADOS!$P$4,tabela_registros[CATEGORIA],despesavariávelconsolidadonov[[#This Row],[DESPESA VARIÁVEL]])</f>
        <v>0</v>
      </c>
      <c r="V62" s="119" t="n">
        <f aca="false">SUMIFS(tabela_registros[VALOR],tabela_registros[MÊS],$AE$1,tabela_registros[DIA],novtotal3059718395107119131143155[[#Headers],[18]],tabela_registros[REGISTRO],DADOS!$N$4,tabela_registros[TIPO],DADOS!$P$4,tabela_registros[CATEGORIA],despesavariávelconsolidadonov[[#This Row],[DESPESA VARIÁVEL]])</f>
        <v>0</v>
      </c>
      <c r="W62" s="119" t="n">
        <f aca="false">SUMIFS(tabela_registros[VALOR],tabela_registros[MÊS],$AE$1,tabela_registros[DIA],novtotal3059718395107119131143155[[#Headers],[19]],tabela_registros[REGISTRO],DADOS!$N$4,tabela_registros[TIPO],DADOS!$P$4,tabela_registros[CATEGORIA],despesavariávelconsolidadonov[[#This Row],[DESPESA VARIÁVEL]])</f>
        <v>0</v>
      </c>
      <c r="X62" s="119" t="n">
        <f aca="false">SUMIFS(tabela_registros[VALOR],tabela_registros[MÊS],$AE$1,tabela_registros[DIA],novtotal3059718395107119131143155[[#Headers],[20]],tabela_registros[REGISTRO],DADOS!$N$4,tabela_registros[TIPO],DADOS!$P$4,tabela_registros[CATEGORIA],despesavariávelconsolidadonov[[#This Row],[DESPESA VARIÁVEL]])</f>
        <v>0</v>
      </c>
      <c r="Y62" s="119" t="n">
        <f aca="false">SUMIFS(tabela_registros[VALOR],tabela_registros[MÊS],$AE$1,tabela_registros[DIA],novtotal3059718395107119131143155[[#Headers],[21]],tabela_registros[REGISTRO],DADOS!$N$4,tabela_registros[TIPO],DADOS!$P$4,tabela_registros[CATEGORIA],despesavariávelconsolidadonov[[#This Row],[DESPESA VARIÁVEL]])</f>
        <v>0</v>
      </c>
      <c r="Z62" s="119" t="n">
        <f aca="false">SUMIFS(tabela_registros[VALOR],tabela_registros[MÊS],$AE$1,tabela_registros[DIA],novtotal3059718395107119131143155[[#Headers],[22]],tabela_registros[REGISTRO],DADOS!$N$4,tabela_registros[TIPO],DADOS!$P$4,tabela_registros[CATEGORIA],despesavariávelconsolidadonov[[#This Row],[DESPESA VARIÁVEL]])</f>
        <v>0</v>
      </c>
      <c r="AA62" s="119" t="n">
        <f aca="false">SUMIFS(tabela_registros[VALOR],tabela_registros[MÊS],$AE$1,tabela_registros[DIA],novtotal3059718395107119131143155[[#Headers],[23]],tabela_registros[REGISTRO],DADOS!$N$4,tabela_registros[TIPO],DADOS!$P$4,tabela_registros[CATEGORIA],despesavariávelconsolidadonov[[#This Row],[DESPESA VARIÁVEL]])</f>
        <v>0</v>
      </c>
      <c r="AB62" s="119" t="n">
        <f aca="false">SUMIFS(tabela_registros[VALOR],tabela_registros[MÊS],$AE$1,tabela_registros[DIA],novtotal3059718395107119131143155[[#Headers],[24]],tabela_registros[REGISTRO],DADOS!$N$4,tabela_registros[TIPO],DADOS!$P$4,tabela_registros[CATEGORIA],despesavariávelconsolidadonov[[#This Row],[DESPESA VARIÁVEL]])</f>
        <v>0</v>
      </c>
      <c r="AC62" s="119" t="n">
        <f aca="false">SUMIFS(tabela_registros[VALOR],tabela_registros[MÊS],$AE$1,tabela_registros[DIA],novtotal3059718395107119131143155[[#Headers],[25]],tabela_registros[REGISTRO],DADOS!$N$4,tabela_registros[TIPO],DADOS!$P$4,tabela_registros[CATEGORIA],despesavariávelconsolidadonov[[#This Row],[DESPESA VARIÁVEL]])</f>
        <v>0</v>
      </c>
      <c r="AD62" s="119" t="n">
        <f aca="false">SUMIFS(tabela_registros[VALOR],tabela_registros[MÊS],$AE$1,tabela_registros[DIA],novtotal3059718395107119131143155[[#Headers],[26]],tabela_registros[REGISTRO],DADOS!$N$4,tabela_registros[TIPO],DADOS!$P$4,tabela_registros[CATEGORIA],despesavariávelconsolidadonov[[#This Row],[DESPESA VARIÁVEL]])</f>
        <v>0</v>
      </c>
      <c r="AE62" s="119" t="n">
        <f aca="false">SUMIFS(tabela_registros[VALOR],tabela_registros[MÊS],$AE$1,tabela_registros[DIA],novtotal3059718395107119131143155[[#Headers],[27]],tabela_registros[REGISTRO],DADOS!$N$4,tabela_registros[TIPO],DADOS!$P$4,tabela_registros[CATEGORIA],despesavariávelconsolidadonov[[#This Row],[DESPESA VARIÁVEL]])</f>
        <v>0</v>
      </c>
      <c r="AF62" s="119" t="n">
        <f aca="false">SUMIFS(tabela_registros[VALOR],tabela_registros[MÊS],$AE$1,tabela_registros[DIA],novtotal3059718395107119131143155[[#Headers],[28]],tabela_registros[REGISTRO],DADOS!$N$4,tabela_registros[TIPO],DADOS!$P$4,tabela_registros[CATEGORIA],despesavariávelconsolidadonov[[#This Row],[DESPESA VARIÁVEL]])</f>
        <v>0</v>
      </c>
      <c r="AG62" s="119" t="n">
        <f aca="false">SUMIFS(tabela_registros[VALOR],tabela_registros[MÊS],$AE$1,tabela_registros[DIA],novtotal3059718395107119131143155[[#Headers],[29]],tabela_registros[REGISTRO],DADOS!$N$4,tabela_registros[TIPO],DADOS!$P$4,tabela_registros[CATEGORIA],despesavariávelconsolidadonov[[#This Row],[DESPESA VARIÁVEL]])</f>
        <v>0</v>
      </c>
      <c r="AH62" s="119" t="n">
        <f aca="false">SUMIFS(tabela_registros[VALOR],tabela_registros[MÊS],$AE$1,tabela_registros[DIA],novtotal3059718395107119131143155[[#Headers],[30]],tabela_registros[REGISTRO],DADOS!$N$4,tabela_registros[TIPO],DADOS!$P$4,tabela_registros[CATEGORIA],despesavariávelconsolidadonov[[#This Row],[DESPESA VARIÁVEL]])</f>
        <v>0</v>
      </c>
      <c r="AI62" s="217" t="n">
        <f aca="false">SUMIFS(tabela_registros[VALOR],tabela_registros[MÊS],$AE$1,tabela_registros[DIA],novtotal3059718395107119131143155[[#Headers],[31]],tabela_registros[REGISTRO],DADOS!$N$4,tabela_registros[TIPO],DADOS!$P$4,tabela_registros[CATEGORIA],despesavariávelconsolidadonov[[#This Row],[DESPESA VARIÁVEL]])</f>
        <v>0</v>
      </c>
      <c r="AJ62" s="149" t="n">
        <f aca="false">SUM(despesavariávelconsolidadonov[[#This Row],[1]:[31]])</f>
        <v>0</v>
      </c>
      <c r="AK62" s="143"/>
    </row>
    <row r="63" customFormat="false" ht="18" hidden="false" customHeight="true" outlineLevel="0" collapsed="false">
      <c r="B63" s="143"/>
      <c r="C63" s="144" t="str">
        <f aca="false">DADOS!$T$6</f>
        <v>💄 CUIDADOS PESSOAIS</v>
      </c>
      <c r="D63" s="145" t="str">
        <f aca="false">IF(despesavariávelconsolidadonov[[#This Row],[TOTAL]]=0,"",IF(OR(despesavariávelconsolidadonov[[#This Row],[TOTAL]]=LARGE($AJ$60:$AJ$72,1),despesavariávelconsolidadonov[[#This Row],[TOTAL]]=LARGE($AJ$60:$AJ$72,2),despesavariávelconsolidadonov[[#This Row],[TOTAL]]=LARGE($AJ$60:$AJ$72,3),despesavariávelconsolidadonov[[#This Row],[TOTAL]]=LARGE($AJ$60:$AJ$72,4),despesavariávelconsolidadonov[[#This Row],[TOTAL]]=LARGE($AJ$60:$AJ$72,5)),DADOS!$I$8,""))</f>
        <v/>
      </c>
      <c r="E63" s="148" t="n">
        <f aca="false">SUMIFS(tabela_registros[VALOR],tabela_registros[MÊS],$AE$1,tabela_registros[DIA],novtotal3059718395107119131143155[[#Headers],[1]],tabela_registros[REGISTRO],DADOS!$N$4,tabela_registros[TIPO],DADOS!$P$4,tabela_registros[CATEGORIA],despesavariávelconsolidadonov[[#This Row],[DESPESA VARIÁVEL]])</f>
        <v>0</v>
      </c>
      <c r="F63" s="119" t="n">
        <f aca="false">SUMIFS(tabela_registros[VALOR],tabela_registros[MÊS],$AE$1,tabela_registros[DIA],novtotal3059718395107119131143155[[#Headers],[2]],tabela_registros[REGISTRO],DADOS!$N$4,tabela_registros[TIPO],DADOS!$P$4,tabela_registros[CATEGORIA],despesavariávelconsolidadonov[[#This Row],[DESPESA VARIÁVEL]])</f>
        <v>0</v>
      </c>
      <c r="G63" s="119" t="n">
        <f aca="false">SUMIFS(tabela_registros[VALOR],tabela_registros[MÊS],$AE$1,tabela_registros[DIA],novtotal3059718395107119131143155[[#Headers],[3]],tabela_registros[REGISTRO],DADOS!$N$4,tabela_registros[TIPO],DADOS!$P$4,tabela_registros[CATEGORIA],despesavariávelconsolidadonov[[#This Row],[DESPESA VARIÁVEL]])</f>
        <v>0</v>
      </c>
      <c r="H63" s="119" t="n">
        <f aca="false">SUMIFS(tabela_registros[VALOR],tabela_registros[MÊS],$AE$1,tabela_registros[DIA],novtotal3059718395107119131143155[[#Headers],[4]],tabela_registros[REGISTRO],DADOS!$N$4,tabela_registros[TIPO],DADOS!$P$4,tabela_registros[CATEGORIA],despesavariávelconsolidadonov[[#This Row],[DESPESA VARIÁVEL]])</f>
        <v>0</v>
      </c>
      <c r="I63" s="119" t="n">
        <f aca="false">SUMIFS(tabela_registros[VALOR],tabela_registros[MÊS],$AE$1,tabela_registros[DIA],novtotal3059718395107119131143155[[#Headers],[5]],tabela_registros[REGISTRO],DADOS!$N$4,tabela_registros[TIPO],DADOS!$P$4,tabela_registros[CATEGORIA],despesavariávelconsolidadonov[[#This Row],[DESPESA VARIÁVEL]])</f>
        <v>0</v>
      </c>
      <c r="J63" s="119" t="n">
        <f aca="false">SUMIFS(tabela_registros[VALOR],tabela_registros[MÊS],$AE$1,tabela_registros[DIA],novtotal3059718395107119131143155[[#Headers],[6]],tabela_registros[REGISTRO],DADOS!$N$4,tabela_registros[TIPO],DADOS!$P$4,tabela_registros[CATEGORIA],despesavariávelconsolidadonov[[#This Row],[DESPESA VARIÁVEL]])</f>
        <v>0</v>
      </c>
      <c r="K63" s="119" t="n">
        <f aca="false">SUMIFS(tabela_registros[VALOR],tabela_registros[MÊS],$AE$1,tabela_registros[DIA],novtotal3059718395107119131143155[[#Headers],[7]],tabela_registros[REGISTRO],DADOS!$N$4,tabela_registros[TIPO],DADOS!$P$4,tabela_registros[CATEGORIA],despesavariávelconsolidadonov[[#This Row],[DESPESA VARIÁVEL]])</f>
        <v>0</v>
      </c>
      <c r="L63" s="119" t="n">
        <f aca="false">SUMIFS(tabela_registros[VALOR],tabela_registros[MÊS],$AE$1,tabela_registros[DIA],novtotal3059718395107119131143155[[#Headers],[8]],tabela_registros[REGISTRO],DADOS!$N$4,tabela_registros[TIPO],DADOS!$P$4,tabela_registros[CATEGORIA],despesavariávelconsolidadonov[[#This Row],[DESPESA VARIÁVEL]])</f>
        <v>0</v>
      </c>
      <c r="M63" s="119" t="n">
        <f aca="false">SUMIFS(tabela_registros[VALOR],tabela_registros[MÊS],$AE$1,tabela_registros[DIA],novtotal3059718395107119131143155[[#Headers],[9]],tabela_registros[REGISTRO],DADOS!$N$4,tabela_registros[TIPO],DADOS!$P$4,tabela_registros[CATEGORIA],despesavariávelconsolidadonov[[#This Row],[DESPESA VARIÁVEL]])</f>
        <v>0</v>
      </c>
      <c r="N63" s="119" t="n">
        <f aca="false">SUMIFS(tabela_registros[VALOR],tabela_registros[MÊS],$AE$1,tabela_registros[DIA],novtotal3059718395107119131143155[[#Headers],[10]],tabela_registros[REGISTRO],DADOS!$N$4,tabela_registros[TIPO],DADOS!$P$4,tabela_registros[CATEGORIA],despesavariávelconsolidadonov[[#This Row],[DESPESA VARIÁVEL]])</f>
        <v>0</v>
      </c>
      <c r="O63" s="119" t="n">
        <f aca="false">SUMIFS(tabela_registros[VALOR],tabela_registros[MÊS],$AE$1,tabela_registros[DIA],novtotal3059718395107119131143155[[#Headers],[11]],tabela_registros[REGISTRO],DADOS!$N$4,tabela_registros[TIPO],DADOS!$P$4,tabela_registros[CATEGORIA],despesavariávelconsolidadonov[[#This Row],[DESPESA VARIÁVEL]])</f>
        <v>0</v>
      </c>
      <c r="P63" s="119" t="n">
        <f aca="false">SUMIFS(tabela_registros[VALOR],tabela_registros[MÊS],$AE$1,tabela_registros[DIA],novtotal3059718395107119131143155[[#Headers],[12]],tabela_registros[REGISTRO],DADOS!$N$4,tabela_registros[TIPO],DADOS!$P$4,tabela_registros[CATEGORIA],despesavariávelconsolidadonov[[#This Row],[DESPESA VARIÁVEL]])</f>
        <v>0</v>
      </c>
      <c r="Q63" s="119" t="n">
        <f aca="false">SUMIFS(tabela_registros[VALOR],tabela_registros[MÊS],$AE$1,tabela_registros[DIA],novtotal3059718395107119131143155[[#Headers],[13]],tabela_registros[REGISTRO],DADOS!$N$4,tabela_registros[TIPO],DADOS!$P$4,tabela_registros[CATEGORIA],despesavariávelconsolidadonov[[#This Row],[DESPESA VARIÁVEL]])</f>
        <v>0</v>
      </c>
      <c r="R63" s="119" t="n">
        <f aca="false">SUMIFS(tabela_registros[VALOR],tabela_registros[MÊS],$AE$1,tabela_registros[DIA],novtotal3059718395107119131143155[[#Headers],[14]],tabela_registros[REGISTRO],DADOS!$N$4,tabela_registros[TIPO],DADOS!$P$4,tabela_registros[CATEGORIA],despesavariávelconsolidadonov[[#This Row],[DESPESA VARIÁVEL]])</f>
        <v>0</v>
      </c>
      <c r="S63" s="119" t="n">
        <f aca="false">SUMIFS(tabela_registros[VALOR],tabela_registros[MÊS],$AE$1,tabela_registros[DIA],novtotal3059718395107119131143155[[#Headers],[15]],tabela_registros[REGISTRO],DADOS!$N$4,tabela_registros[TIPO],DADOS!$P$4,tabela_registros[CATEGORIA],despesavariávelconsolidadonov[[#This Row],[DESPESA VARIÁVEL]])</f>
        <v>0</v>
      </c>
      <c r="T63" s="119" t="n">
        <f aca="false">SUMIFS(tabela_registros[VALOR],tabela_registros[MÊS],$AE$1,tabela_registros[DIA],novtotal3059718395107119131143155[[#Headers],[16]],tabela_registros[REGISTRO],DADOS!$N$4,tabela_registros[TIPO],DADOS!$P$4,tabela_registros[CATEGORIA],despesavariávelconsolidadonov[[#This Row],[DESPESA VARIÁVEL]])</f>
        <v>0</v>
      </c>
      <c r="U63" s="119" t="n">
        <f aca="false">SUMIFS(tabela_registros[VALOR],tabela_registros[MÊS],$AE$1,tabela_registros[DIA],novtotal3059718395107119131143155[[#Headers],[17]],tabela_registros[REGISTRO],DADOS!$N$4,tabela_registros[TIPO],DADOS!$P$4,tabela_registros[CATEGORIA],despesavariávelconsolidadonov[[#This Row],[DESPESA VARIÁVEL]])</f>
        <v>0</v>
      </c>
      <c r="V63" s="119" t="n">
        <f aca="false">SUMIFS(tabela_registros[VALOR],tabela_registros[MÊS],$AE$1,tabela_registros[DIA],novtotal3059718395107119131143155[[#Headers],[18]],tabela_registros[REGISTRO],DADOS!$N$4,tabela_registros[TIPO],DADOS!$P$4,tabela_registros[CATEGORIA],despesavariávelconsolidadonov[[#This Row],[DESPESA VARIÁVEL]])</f>
        <v>0</v>
      </c>
      <c r="W63" s="119" t="n">
        <f aca="false">SUMIFS(tabela_registros[VALOR],tabela_registros[MÊS],$AE$1,tabela_registros[DIA],novtotal3059718395107119131143155[[#Headers],[19]],tabela_registros[REGISTRO],DADOS!$N$4,tabela_registros[TIPO],DADOS!$P$4,tabela_registros[CATEGORIA],despesavariávelconsolidadonov[[#This Row],[DESPESA VARIÁVEL]])</f>
        <v>0</v>
      </c>
      <c r="X63" s="119" t="n">
        <f aca="false">SUMIFS(tabela_registros[VALOR],tabela_registros[MÊS],$AE$1,tabela_registros[DIA],novtotal3059718395107119131143155[[#Headers],[20]],tabela_registros[REGISTRO],DADOS!$N$4,tabela_registros[TIPO],DADOS!$P$4,tabela_registros[CATEGORIA],despesavariávelconsolidadonov[[#This Row],[DESPESA VARIÁVEL]])</f>
        <v>0</v>
      </c>
      <c r="Y63" s="119" t="n">
        <f aca="false">SUMIFS(tabela_registros[VALOR],tabela_registros[MÊS],$AE$1,tabela_registros[DIA],novtotal3059718395107119131143155[[#Headers],[21]],tabela_registros[REGISTRO],DADOS!$N$4,tabela_registros[TIPO],DADOS!$P$4,tabela_registros[CATEGORIA],despesavariávelconsolidadonov[[#This Row],[DESPESA VARIÁVEL]])</f>
        <v>0</v>
      </c>
      <c r="Z63" s="119" t="n">
        <f aca="false">SUMIFS(tabela_registros[VALOR],tabela_registros[MÊS],$AE$1,tabela_registros[DIA],novtotal3059718395107119131143155[[#Headers],[22]],tabela_registros[REGISTRO],DADOS!$N$4,tabela_registros[TIPO],DADOS!$P$4,tabela_registros[CATEGORIA],despesavariávelconsolidadonov[[#This Row],[DESPESA VARIÁVEL]])</f>
        <v>0</v>
      </c>
      <c r="AA63" s="119" t="n">
        <f aca="false">SUMIFS(tabela_registros[VALOR],tabela_registros[MÊS],$AE$1,tabela_registros[DIA],novtotal3059718395107119131143155[[#Headers],[23]],tabela_registros[REGISTRO],DADOS!$N$4,tabela_registros[TIPO],DADOS!$P$4,tabela_registros[CATEGORIA],despesavariávelconsolidadonov[[#This Row],[DESPESA VARIÁVEL]])</f>
        <v>0</v>
      </c>
      <c r="AB63" s="119" t="n">
        <f aca="false">SUMIFS(tabela_registros[VALOR],tabela_registros[MÊS],$AE$1,tabela_registros[DIA],novtotal3059718395107119131143155[[#Headers],[24]],tabela_registros[REGISTRO],DADOS!$N$4,tabela_registros[TIPO],DADOS!$P$4,tabela_registros[CATEGORIA],despesavariávelconsolidadonov[[#This Row],[DESPESA VARIÁVEL]])</f>
        <v>0</v>
      </c>
      <c r="AC63" s="119" t="n">
        <f aca="false">SUMIFS(tabela_registros[VALOR],tabela_registros[MÊS],$AE$1,tabela_registros[DIA],novtotal3059718395107119131143155[[#Headers],[25]],tabela_registros[REGISTRO],DADOS!$N$4,tabela_registros[TIPO],DADOS!$P$4,tabela_registros[CATEGORIA],despesavariávelconsolidadonov[[#This Row],[DESPESA VARIÁVEL]])</f>
        <v>0</v>
      </c>
      <c r="AD63" s="119" t="n">
        <f aca="false">SUMIFS(tabela_registros[VALOR],tabela_registros[MÊS],$AE$1,tabela_registros[DIA],novtotal3059718395107119131143155[[#Headers],[26]],tabela_registros[REGISTRO],DADOS!$N$4,tabela_registros[TIPO],DADOS!$P$4,tabela_registros[CATEGORIA],despesavariávelconsolidadonov[[#This Row],[DESPESA VARIÁVEL]])</f>
        <v>0</v>
      </c>
      <c r="AE63" s="119" t="n">
        <f aca="false">SUMIFS(tabela_registros[VALOR],tabela_registros[MÊS],$AE$1,tabela_registros[DIA],novtotal3059718395107119131143155[[#Headers],[27]],tabela_registros[REGISTRO],DADOS!$N$4,tabela_registros[TIPO],DADOS!$P$4,tabela_registros[CATEGORIA],despesavariávelconsolidadonov[[#This Row],[DESPESA VARIÁVEL]])</f>
        <v>0</v>
      </c>
      <c r="AF63" s="119" t="n">
        <f aca="false">SUMIFS(tabela_registros[VALOR],tabela_registros[MÊS],$AE$1,tabela_registros[DIA],novtotal3059718395107119131143155[[#Headers],[28]],tabela_registros[REGISTRO],DADOS!$N$4,tabela_registros[TIPO],DADOS!$P$4,tabela_registros[CATEGORIA],despesavariávelconsolidadonov[[#This Row],[DESPESA VARIÁVEL]])</f>
        <v>0</v>
      </c>
      <c r="AG63" s="119" t="n">
        <f aca="false">SUMIFS(tabela_registros[VALOR],tabela_registros[MÊS],$AE$1,tabela_registros[DIA],novtotal3059718395107119131143155[[#Headers],[29]],tabela_registros[REGISTRO],DADOS!$N$4,tabela_registros[TIPO],DADOS!$P$4,tabela_registros[CATEGORIA],despesavariávelconsolidadonov[[#This Row],[DESPESA VARIÁVEL]])</f>
        <v>0</v>
      </c>
      <c r="AH63" s="119" t="n">
        <f aca="false">SUMIFS(tabela_registros[VALOR],tabela_registros[MÊS],$AE$1,tabela_registros[DIA],novtotal3059718395107119131143155[[#Headers],[30]],tabela_registros[REGISTRO],DADOS!$N$4,tabela_registros[TIPO],DADOS!$P$4,tabela_registros[CATEGORIA],despesavariávelconsolidadonov[[#This Row],[DESPESA VARIÁVEL]])</f>
        <v>0</v>
      </c>
      <c r="AI63" s="217" t="n">
        <f aca="false">SUMIFS(tabela_registros[VALOR],tabela_registros[MÊS],$AE$1,tabela_registros[DIA],novtotal3059718395107119131143155[[#Headers],[31]],tabela_registros[REGISTRO],DADOS!$N$4,tabela_registros[TIPO],DADOS!$P$4,tabela_registros[CATEGORIA],despesavariávelconsolidadonov[[#This Row],[DESPESA VARIÁVEL]])</f>
        <v>0</v>
      </c>
      <c r="AJ63" s="149" t="n">
        <f aca="false">SUM(despesavariávelconsolidadonov[[#This Row],[1]:[31]])</f>
        <v>0</v>
      </c>
      <c r="AK63" s="143"/>
    </row>
    <row r="64" customFormat="false" ht="18" hidden="false" customHeight="true" outlineLevel="0" collapsed="false">
      <c r="B64" s="143"/>
      <c r="C64" s="144" t="str">
        <f aca="false">DADOS!$T$7</f>
        <v>🤝 DOAÇÃO</v>
      </c>
      <c r="D64" s="145" t="str">
        <f aca="false">IF(despesavariávelconsolidadonov[[#This Row],[TOTAL]]=0,"",IF(OR(despesavariávelconsolidadonov[[#This Row],[TOTAL]]=LARGE($AJ$60:$AJ$72,1),despesavariávelconsolidadonov[[#This Row],[TOTAL]]=LARGE($AJ$60:$AJ$72,2),despesavariávelconsolidadonov[[#This Row],[TOTAL]]=LARGE($AJ$60:$AJ$72,3),despesavariávelconsolidadonov[[#This Row],[TOTAL]]=LARGE($AJ$60:$AJ$72,4),despesavariávelconsolidadonov[[#This Row],[TOTAL]]=LARGE($AJ$60:$AJ$72,5)),DADOS!$I$8,""))</f>
        <v/>
      </c>
      <c r="E64" s="148" t="n">
        <f aca="false">SUMIFS(tabela_registros[VALOR],tabela_registros[MÊS],$AE$1,tabela_registros[DIA],novtotal3059718395107119131143155[[#Headers],[1]],tabela_registros[REGISTRO],DADOS!$N$4,tabela_registros[TIPO],DADOS!$P$4,tabela_registros[CATEGORIA],despesavariávelconsolidadonov[[#This Row],[DESPESA VARIÁVEL]])</f>
        <v>0</v>
      </c>
      <c r="F64" s="119" t="n">
        <f aca="false">SUMIFS(tabela_registros[VALOR],tabela_registros[MÊS],$AE$1,tabela_registros[DIA],novtotal3059718395107119131143155[[#Headers],[2]],tabela_registros[REGISTRO],DADOS!$N$4,tabela_registros[TIPO],DADOS!$P$4,tabela_registros[CATEGORIA],despesavariávelconsolidadonov[[#This Row],[DESPESA VARIÁVEL]])</f>
        <v>0</v>
      </c>
      <c r="G64" s="119" t="n">
        <f aca="false">SUMIFS(tabela_registros[VALOR],tabela_registros[MÊS],$AE$1,tabela_registros[DIA],novtotal3059718395107119131143155[[#Headers],[3]],tabela_registros[REGISTRO],DADOS!$N$4,tabela_registros[TIPO],DADOS!$P$4,tabela_registros[CATEGORIA],despesavariávelconsolidadonov[[#This Row],[DESPESA VARIÁVEL]])</f>
        <v>0</v>
      </c>
      <c r="H64" s="119" t="n">
        <f aca="false">SUMIFS(tabela_registros[VALOR],tabela_registros[MÊS],$AE$1,tabela_registros[DIA],novtotal3059718395107119131143155[[#Headers],[4]],tabela_registros[REGISTRO],DADOS!$N$4,tabela_registros[TIPO],DADOS!$P$4,tabela_registros[CATEGORIA],despesavariávelconsolidadonov[[#This Row],[DESPESA VARIÁVEL]])</f>
        <v>0</v>
      </c>
      <c r="I64" s="119" t="n">
        <f aca="false">SUMIFS(tabela_registros[VALOR],tabela_registros[MÊS],$AE$1,tabela_registros[DIA],novtotal3059718395107119131143155[[#Headers],[5]],tabela_registros[REGISTRO],DADOS!$N$4,tabela_registros[TIPO],DADOS!$P$4,tabela_registros[CATEGORIA],despesavariávelconsolidadonov[[#This Row],[DESPESA VARIÁVEL]])</f>
        <v>0</v>
      </c>
      <c r="J64" s="119" t="n">
        <f aca="false">SUMIFS(tabela_registros[VALOR],tabela_registros[MÊS],$AE$1,tabela_registros[DIA],novtotal3059718395107119131143155[[#Headers],[6]],tabela_registros[REGISTRO],DADOS!$N$4,tabela_registros[TIPO],DADOS!$P$4,tabela_registros[CATEGORIA],despesavariávelconsolidadonov[[#This Row],[DESPESA VARIÁVEL]])</f>
        <v>0</v>
      </c>
      <c r="K64" s="119" t="n">
        <f aca="false">SUMIFS(tabela_registros[VALOR],tabela_registros[MÊS],$AE$1,tabela_registros[DIA],novtotal3059718395107119131143155[[#Headers],[7]],tabela_registros[REGISTRO],DADOS!$N$4,tabela_registros[TIPO],DADOS!$P$4,tabela_registros[CATEGORIA],despesavariávelconsolidadonov[[#This Row],[DESPESA VARIÁVEL]])</f>
        <v>0</v>
      </c>
      <c r="L64" s="119" t="n">
        <f aca="false">SUMIFS(tabela_registros[VALOR],tabela_registros[MÊS],$AE$1,tabela_registros[DIA],novtotal3059718395107119131143155[[#Headers],[8]],tabela_registros[REGISTRO],DADOS!$N$4,tabela_registros[TIPO],DADOS!$P$4,tabela_registros[CATEGORIA],despesavariávelconsolidadonov[[#This Row],[DESPESA VARIÁVEL]])</f>
        <v>0</v>
      </c>
      <c r="M64" s="119" t="n">
        <f aca="false">SUMIFS(tabela_registros[VALOR],tabela_registros[MÊS],$AE$1,tabela_registros[DIA],novtotal3059718395107119131143155[[#Headers],[9]],tabela_registros[REGISTRO],DADOS!$N$4,tabela_registros[TIPO],DADOS!$P$4,tabela_registros[CATEGORIA],despesavariávelconsolidadonov[[#This Row],[DESPESA VARIÁVEL]])</f>
        <v>0</v>
      </c>
      <c r="N64" s="119" t="n">
        <f aca="false">SUMIFS(tabela_registros[VALOR],tabela_registros[MÊS],$AE$1,tabela_registros[DIA],novtotal3059718395107119131143155[[#Headers],[10]],tabela_registros[REGISTRO],DADOS!$N$4,tabela_registros[TIPO],DADOS!$P$4,tabela_registros[CATEGORIA],despesavariávelconsolidadonov[[#This Row],[DESPESA VARIÁVEL]])</f>
        <v>0</v>
      </c>
      <c r="O64" s="119" t="n">
        <f aca="false">SUMIFS(tabela_registros[VALOR],tabela_registros[MÊS],$AE$1,tabela_registros[DIA],novtotal3059718395107119131143155[[#Headers],[11]],tabela_registros[REGISTRO],DADOS!$N$4,tabela_registros[TIPO],DADOS!$P$4,tabela_registros[CATEGORIA],despesavariávelconsolidadonov[[#This Row],[DESPESA VARIÁVEL]])</f>
        <v>0</v>
      </c>
      <c r="P64" s="119" t="n">
        <f aca="false">SUMIFS(tabela_registros[VALOR],tabela_registros[MÊS],$AE$1,tabela_registros[DIA],novtotal3059718395107119131143155[[#Headers],[12]],tabela_registros[REGISTRO],DADOS!$N$4,tabela_registros[TIPO],DADOS!$P$4,tabela_registros[CATEGORIA],despesavariávelconsolidadonov[[#This Row],[DESPESA VARIÁVEL]])</f>
        <v>0</v>
      </c>
      <c r="Q64" s="119" t="n">
        <f aca="false">SUMIFS(tabela_registros[VALOR],tabela_registros[MÊS],$AE$1,tabela_registros[DIA],novtotal3059718395107119131143155[[#Headers],[13]],tabela_registros[REGISTRO],DADOS!$N$4,tabela_registros[TIPO],DADOS!$P$4,tabela_registros[CATEGORIA],despesavariávelconsolidadonov[[#This Row],[DESPESA VARIÁVEL]])</f>
        <v>0</v>
      </c>
      <c r="R64" s="119" t="n">
        <f aca="false">SUMIFS(tabela_registros[VALOR],tabela_registros[MÊS],$AE$1,tabela_registros[DIA],novtotal3059718395107119131143155[[#Headers],[14]],tabela_registros[REGISTRO],DADOS!$N$4,tabela_registros[TIPO],DADOS!$P$4,tabela_registros[CATEGORIA],despesavariávelconsolidadonov[[#This Row],[DESPESA VARIÁVEL]])</f>
        <v>0</v>
      </c>
      <c r="S64" s="119" t="n">
        <f aca="false">SUMIFS(tabela_registros[VALOR],tabela_registros[MÊS],$AE$1,tabela_registros[DIA],novtotal3059718395107119131143155[[#Headers],[15]],tabela_registros[REGISTRO],DADOS!$N$4,tabela_registros[TIPO],DADOS!$P$4,tabela_registros[CATEGORIA],despesavariávelconsolidadonov[[#This Row],[DESPESA VARIÁVEL]])</f>
        <v>0</v>
      </c>
      <c r="T64" s="119" t="n">
        <f aca="false">SUMIFS(tabela_registros[VALOR],tabela_registros[MÊS],$AE$1,tabela_registros[DIA],novtotal3059718395107119131143155[[#Headers],[16]],tabela_registros[REGISTRO],DADOS!$N$4,tabela_registros[TIPO],DADOS!$P$4,tabela_registros[CATEGORIA],despesavariávelconsolidadonov[[#This Row],[DESPESA VARIÁVEL]])</f>
        <v>0</v>
      </c>
      <c r="U64" s="119" t="n">
        <f aca="false">SUMIFS(tabela_registros[VALOR],tabela_registros[MÊS],$AE$1,tabela_registros[DIA],novtotal3059718395107119131143155[[#Headers],[17]],tabela_registros[REGISTRO],DADOS!$N$4,tabela_registros[TIPO],DADOS!$P$4,tabela_registros[CATEGORIA],despesavariávelconsolidadonov[[#This Row],[DESPESA VARIÁVEL]])</f>
        <v>0</v>
      </c>
      <c r="V64" s="119" t="n">
        <f aca="false">SUMIFS(tabela_registros[VALOR],tabela_registros[MÊS],$AE$1,tabela_registros[DIA],novtotal3059718395107119131143155[[#Headers],[18]],tabela_registros[REGISTRO],DADOS!$N$4,tabela_registros[TIPO],DADOS!$P$4,tabela_registros[CATEGORIA],despesavariávelconsolidadonov[[#This Row],[DESPESA VARIÁVEL]])</f>
        <v>0</v>
      </c>
      <c r="W64" s="119" t="n">
        <f aca="false">SUMIFS(tabela_registros[VALOR],tabela_registros[MÊS],$AE$1,tabela_registros[DIA],novtotal3059718395107119131143155[[#Headers],[19]],tabela_registros[REGISTRO],DADOS!$N$4,tabela_registros[TIPO],DADOS!$P$4,tabela_registros[CATEGORIA],despesavariávelconsolidadonov[[#This Row],[DESPESA VARIÁVEL]])</f>
        <v>0</v>
      </c>
      <c r="X64" s="119" t="n">
        <f aca="false">SUMIFS(tabela_registros[VALOR],tabela_registros[MÊS],$AE$1,tabela_registros[DIA],novtotal3059718395107119131143155[[#Headers],[20]],tabela_registros[REGISTRO],DADOS!$N$4,tabela_registros[TIPO],DADOS!$P$4,tabela_registros[CATEGORIA],despesavariávelconsolidadonov[[#This Row],[DESPESA VARIÁVEL]])</f>
        <v>0</v>
      </c>
      <c r="Y64" s="119" t="n">
        <f aca="false">SUMIFS(tabela_registros[VALOR],tabela_registros[MÊS],$AE$1,tabela_registros[DIA],novtotal3059718395107119131143155[[#Headers],[21]],tabela_registros[REGISTRO],DADOS!$N$4,tabela_registros[TIPO],DADOS!$P$4,tabela_registros[CATEGORIA],despesavariávelconsolidadonov[[#This Row],[DESPESA VARIÁVEL]])</f>
        <v>0</v>
      </c>
      <c r="Z64" s="119" t="n">
        <f aca="false">SUMIFS(tabela_registros[VALOR],tabela_registros[MÊS],$AE$1,tabela_registros[DIA],novtotal3059718395107119131143155[[#Headers],[22]],tabela_registros[REGISTRO],DADOS!$N$4,tabela_registros[TIPO],DADOS!$P$4,tabela_registros[CATEGORIA],despesavariávelconsolidadonov[[#This Row],[DESPESA VARIÁVEL]])</f>
        <v>0</v>
      </c>
      <c r="AA64" s="119" t="n">
        <f aca="false">SUMIFS(tabela_registros[VALOR],tabela_registros[MÊS],$AE$1,tabela_registros[DIA],novtotal3059718395107119131143155[[#Headers],[23]],tabela_registros[REGISTRO],DADOS!$N$4,tabela_registros[TIPO],DADOS!$P$4,tabela_registros[CATEGORIA],despesavariávelconsolidadonov[[#This Row],[DESPESA VARIÁVEL]])</f>
        <v>0</v>
      </c>
      <c r="AB64" s="119" t="n">
        <f aca="false">SUMIFS(tabela_registros[VALOR],tabela_registros[MÊS],$AE$1,tabela_registros[DIA],novtotal3059718395107119131143155[[#Headers],[24]],tabela_registros[REGISTRO],DADOS!$N$4,tabela_registros[TIPO],DADOS!$P$4,tabela_registros[CATEGORIA],despesavariávelconsolidadonov[[#This Row],[DESPESA VARIÁVEL]])</f>
        <v>0</v>
      </c>
      <c r="AC64" s="119" t="n">
        <f aca="false">SUMIFS(tabela_registros[VALOR],tabela_registros[MÊS],$AE$1,tabela_registros[DIA],novtotal3059718395107119131143155[[#Headers],[25]],tabela_registros[REGISTRO],DADOS!$N$4,tabela_registros[TIPO],DADOS!$P$4,tabela_registros[CATEGORIA],despesavariávelconsolidadonov[[#This Row],[DESPESA VARIÁVEL]])</f>
        <v>0</v>
      </c>
      <c r="AD64" s="119" t="n">
        <f aca="false">SUMIFS(tabela_registros[VALOR],tabela_registros[MÊS],$AE$1,tabela_registros[DIA],novtotal3059718395107119131143155[[#Headers],[26]],tabela_registros[REGISTRO],DADOS!$N$4,tabela_registros[TIPO],DADOS!$P$4,tabela_registros[CATEGORIA],despesavariávelconsolidadonov[[#This Row],[DESPESA VARIÁVEL]])</f>
        <v>0</v>
      </c>
      <c r="AE64" s="119" t="n">
        <f aca="false">SUMIFS(tabela_registros[VALOR],tabela_registros[MÊS],$AE$1,tabela_registros[DIA],novtotal3059718395107119131143155[[#Headers],[27]],tabela_registros[REGISTRO],DADOS!$N$4,tabela_registros[TIPO],DADOS!$P$4,tabela_registros[CATEGORIA],despesavariávelconsolidadonov[[#This Row],[DESPESA VARIÁVEL]])</f>
        <v>0</v>
      </c>
      <c r="AF64" s="119" t="n">
        <f aca="false">SUMIFS(tabela_registros[VALOR],tabela_registros[MÊS],$AE$1,tabela_registros[DIA],novtotal3059718395107119131143155[[#Headers],[28]],tabela_registros[REGISTRO],DADOS!$N$4,tabela_registros[TIPO],DADOS!$P$4,tabela_registros[CATEGORIA],despesavariávelconsolidadonov[[#This Row],[DESPESA VARIÁVEL]])</f>
        <v>0</v>
      </c>
      <c r="AG64" s="119" t="n">
        <f aca="false">SUMIFS(tabela_registros[VALOR],tabela_registros[MÊS],$AE$1,tabela_registros[DIA],novtotal3059718395107119131143155[[#Headers],[29]],tabela_registros[REGISTRO],DADOS!$N$4,tabela_registros[TIPO],DADOS!$P$4,tabela_registros[CATEGORIA],despesavariávelconsolidadonov[[#This Row],[DESPESA VARIÁVEL]])</f>
        <v>0</v>
      </c>
      <c r="AH64" s="119" t="n">
        <f aca="false">SUMIFS(tabela_registros[VALOR],tabela_registros[MÊS],$AE$1,tabela_registros[DIA],novtotal3059718395107119131143155[[#Headers],[30]],tabela_registros[REGISTRO],DADOS!$N$4,tabela_registros[TIPO],DADOS!$P$4,tabela_registros[CATEGORIA],despesavariávelconsolidadonov[[#This Row],[DESPESA VARIÁVEL]])</f>
        <v>0</v>
      </c>
      <c r="AI64" s="217" t="n">
        <f aca="false">SUMIFS(tabela_registros[VALOR],tabela_registros[MÊS],$AE$1,tabela_registros[DIA],novtotal3059718395107119131143155[[#Headers],[31]],tabela_registros[REGISTRO],DADOS!$N$4,tabela_registros[TIPO],DADOS!$P$4,tabela_registros[CATEGORIA],despesavariávelconsolidadonov[[#This Row],[DESPESA VARIÁVEL]])</f>
        <v>0</v>
      </c>
      <c r="AJ64" s="149" t="n">
        <f aca="false">SUM(despesavariávelconsolidadonov[[#This Row],[1]:[31]])</f>
        <v>0</v>
      </c>
      <c r="AK64" s="143"/>
    </row>
    <row r="65" customFormat="false" ht="18" hidden="false" customHeight="true" outlineLevel="0" collapsed="false">
      <c r="B65" s="143"/>
      <c r="C65" s="144" t="str">
        <f aca="false">DADOS!$T$8</f>
        <v>📖 EDUCAÇÃO</v>
      </c>
      <c r="D65" s="145" t="str">
        <f aca="false">IF(despesavariávelconsolidadonov[[#This Row],[TOTAL]]=0,"",IF(OR(despesavariávelconsolidadonov[[#This Row],[TOTAL]]=LARGE($AJ$60:$AJ$72,1),despesavariávelconsolidadonov[[#This Row],[TOTAL]]=LARGE($AJ$60:$AJ$72,2),despesavariávelconsolidadonov[[#This Row],[TOTAL]]=LARGE($AJ$60:$AJ$72,3),despesavariávelconsolidadonov[[#This Row],[TOTAL]]=LARGE($AJ$60:$AJ$72,4),despesavariávelconsolidadonov[[#This Row],[TOTAL]]=LARGE($AJ$60:$AJ$72,5)),DADOS!$I$8,""))</f>
        <v/>
      </c>
      <c r="E65" s="148" t="n">
        <f aca="false">SUMIFS(tabela_registros[VALOR],tabela_registros[MÊS],$AE$1,tabela_registros[DIA],novtotal3059718395107119131143155[[#Headers],[1]],tabela_registros[REGISTRO],DADOS!$N$4,tabela_registros[TIPO],DADOS!$P$4,tabela_registros[CATEGORIA],despesavariávelconsolidadonov[[#This Row],[DESPESA VARIÁVEL]])</f>
        <v>0</v>
      </c>
      <c r="F65" s="119" t="n">
        <f aca="false">SUMIFS(tabela_registros[VALOR],tabela_registros[MÊS],$AE$1,tabela_registros[DIA],novtotal3059718395107119131143155[[#Headers],[2]],tabela_registros[REGISTRO],DADOS!$N$4,tabela_registros[TIPO],DADOS!$P$4,tabela_registros[CATEGORIA],despesavariávelconsolidadonov[[#This Row],[DESPESA VARIÁVEL]])</f>
        <v>0</v>
      </c>
      <c r="G65" s="119" t="n">
        <f aca="false">SUMIFS(tabela_registros[VALOR],tabela_registros[MÊS],$AE$1,tabela_registros[DIA],novtotal3059718395107119131143155[[#Headers],[3]],tabela_registros[REGISTRO],DADOS!$N$4,tabela_registros[TIPO],DADOS!$P$4,tabela_registros[CATEGORIA],despesavariávelconsolidadonov[[#This Row],[DESPESA VARIÁVEL]])</f>
        <v>0</v>
      </c>
      <c r="H65" s="119" t="n">
        <f aca="false">SUMIFS(tabela_registros[VALOR],tabela_registros[MÊS],$AE$1,tabela_registros[DIA],novtotal3059718395107119131143155[[#Headers],[4]],tabela_registros[REGISTRO],DADOS!$N$4,tabela_registros[TIPO],DADOS!$P$4,tabela_registros[CATEGORIA],despesavariávelconsolidadonov[[#This Row],[DESPESA VARIÁVEL]])</f>
        <v>0</v>
      </c>
      <c r="I65" s="119" t="n">
        <f aca="false">SUMIFS(tabela_registros[VALOR],tabela_registros[MÊS],$AE$1,tabela_registros[DIA],novtotal3059718395107119131143155[[#Headers],[5]],tabela_registros[REGISTRO],DADOS!$N$4,tabela_registros[TIPO],DADOS!$P$4,tabela_registros[CATEGORIA],despesavariávelconsolidadonov[[#This Row],[DESPESA VARIÁVEL]])</f>
        <v>0</v>
      </c>
      <c r="J65" s="119" t="n">
        <f aca="false">SUMIFS(tabela_registros[VALOR],tabela_registros[MÊS],$AE$1,tabela_registros[DIA],novtotal3059718395107119131143155[[#Headers],[6]],tabela_registros[REGISTRO],DADOS!$N$4,tabela_registros[TIPO],DADOS!$P$4,tabela_registros[CATEGORIA],despesavariávelconsolidadonov[[#This Row],[DESPESA VARIÁVEL]])</f>
        <v>0</v>
      </c>
      <c r="K65" s="119" t="n">
        <f aca="false">SUMIFS(tabela_registros[VALOR],tabela_registros[MÊS],$AE$1,tabela_registros[DIA],novtotal3059718395107119131143155[[#Headers],[7]],tabela_registros[REGISTRO],DADOS!$N$4,tabela_registros[TIPO],DADOS!$P$4,tabela_registros[CATEGORIA],despesavariávelconsolidadonov[[#This Row],[DESPESA VARIÁVEL]])</f>
        <v>0</v>
      </c>
      <c r="L65" s="119" t="n">
        <f aca="false">SUMIFS(tabela_registros[VALOR],tabela_registros[MÊS],$AE$1,tabela_registros[DIA],novtotal3059718395107119131143155[[#Headers],[8]],tabela_registros[REGISTRO],DADOS!$N$4,tabela_registros[TIPO],DADOS!$P$4,tabela_registros[CATEGORIA],despesavariávelconsolidadonov[[#This Row],[DESPESA VARIÁVEL]])</f>
        <v>0</v>
      </c>
      <c r="M65" s="119" t="n">
        <f aca="false">SUMIFS(tabela_registros[VALOR],tabela_registros[MÊS],$AE$1,tabela_registros[DIA],novtotal3059718395107119131143155[[#Headers],[9]],tabela_registros[REGISTRO],DADOS!$N$4,tabela_registros[TIPO],DADOS!$P$4,tabela_registros[CATEGORIA],despesavariávelconsolidadonov[[#This Row],[DESPESA VARIÁVEL]])</f>
        <v>0</v>
      </c>
      <c r="N65" s="119" t="n">
        <f aca="false">SUMIFS(tabela_registros[VALOR],tabela_registros[MÊS],$AE$1,tabela_registros[DIA],novtotal3059718395107119131143155[[#Headers],[10]],tabela_registros[REGISTRO],DADOS!$N$4,tabela_registros[TIPO],DADOS!$P$4,tabela_registros[CATEGORIA],despesavariávelconsolidadonov[[#This Row],[DESPESA VARIÁVEL]])</f>
        <v>0</v>
      </c>
      <c r="O65" s="119" t="n">
        <f aca="false">SUMIFS(tabela_registros[VALOR],tabela_registros[MÊS],$AE$1,tabela_registros[DIA],novtotal3059718395107119131143155[[#Headers],[11]],tabela_registros[REGISTRO],DADOS!$N$4,tabela_registros[TIPO],DADOS!$P$4,tabela_registros[CATEGORIA],despesavariávelconsolidadonov[[#This Row],[DESPESA VARIÁVEL]])</f>
        <v>0</v>
      </c>
      <c r="P65" s="119" t="n">
        <f aca="false">SUMIFS(tabela_registros[VALOR],tabela_registros[MÊS],$AE$1,tabela_registros[DIA],novtotal3059718395107119131143155[[#Headers],[12]],tabela_registros[REGISTRO],DADOS!$N$4,tabela_registros[TIPO],DADOS!$P$4,tabela_registros[CATEGORIA],despesavariávelconsolidadonov[[#This Row],[DESPESA VARIÁVEL]])</f>
        <v>0</v>
      </c>
      <c r="Q65" s="119" t="n">
        <f aca="false">SUMIFS(tabela_registros[VALOR],tabela_registros[MÊS],$AE$1,tabela_registros[DIA],novtotal3059718395107119131143155[[#Headers],[13]],tabela_registros[REGISTRO],DADOS!$N$4,tabela_registros[TIPO],DADOS!$P$4,tabela_registros[CATEGORIA],despesavariávelconsolidadonov[[#This Row],[DESPESA VARIÁVEL]])</f>
        <v>0</v>
      </c>
      <c r="R65" s="119" t="n">
        <f aca="false">SUMIFS(tabela_registros[VALOR],tabela_registros[MÊS],$AE$1,tabela_registros[DIA],novtotal3059718395107119131143155[[#Headers],[14]],tabela_registros[REGISTRO],DADOS!$N$4,tabela_registros[TIPO],DADOS!$P$4,tabela_registros[CATEGORIA],despesavariávelconsolidadonov[[#This Row],[DESPESA VARIÁVEL]])</f>
        <v>0</v>
      </c>
      <c r="S65" s="119" t="n">
        <f aca="false">SUMIFS(tabela_registros[VALOR],tabela_registros[MÊS],$AE$1,tabela_registros[DIA],novtotal3059718395107119131143155[[#Headers],[15]],tabela_registros[REGISTRO],DADOS!$N$4,tabela_registros[TIPO],DADOS!$P$4,tabela_registros[CATEGORIA],despesavariávelconsolidadonov[[#This Row],[DESPESA VARIÁVEL]])</f>
        <v>0</v>
      </c>
      <c r="T65" s="119" t="n">
        <f aca="false">SUMIFS(tabela_registros[VALOR],tabela_registros[MÊS],$AE$1,tabela_registros[DIA],novtotal3059718395107119131143155[[#Headers],[16]],tabela_registros[REGISTRO],DADOS!$N$4,tabela_registros[TIPO],DADOS!$P$4,tabela_registros[CATEGORIA],despesavariávelconsolidadonov[[#This Row],[DESPESA VARIÁVEL]])</f>
        <v>0</v>
      </c>
      <c r="U65" s="119" t="n">
        <f aca="false">SUMIFS(tabela_registros[VALOR],tabela_registros[MÊS],$AE$1,tabela_registros[DIA],novtotal3059718395107119131143155[[#Headers],[17]],tabela_registros[REGISTRO],DADOS!$N$4,tabela_registros[TIPO],DADOS!$P$4,tabela_registros[CATEGORIA],despesavariávelconsolidadonov[[#This Row],[DESPESA VARIÁVEL]])</f>
        <v>0</v>
      </c>
      <c r="V65" s="119" t="n">
        <f aca="false">SUMIFS(tabela_registros[VALOR],tabela_registros[MÊS],$AE$1,tabela_registros[DIA],novtotal3059718395107119131143155[[#Headers],[18]],tabela_registros[REGISTRO],DADOS!$N$4,tabela_registros[TIPO],DADOS!$P$4,tabela_registros[CATEGORIA],despesavariávelconsolidadonov[[#This Row],[DESPESA VARIÁVEL]])</f>
        <v>0</v>
      </c>
      <c r="W65" s="119" t="n">
        <f aca="false">SUMIFS(tabela_registros[VALOR],tabela_registros[MÊS],$AE$1,tabela_registros[DIA],novtotal3059718395107119131143155[[#Headers],[19]],tabela_registros[REGISTRO],DADOS!$N$4,tabela_registros[TIPO],DADOS!$P$4,tabela_registros[CATEGORIA],despesavariávelconsolidadonov[[#This Row],[DESPESA VARIÁVEL]])</f>
        <v>0</v>
      </c>
      <c r="X65" s="119" t="n">
        <f aca="false">SUMIFS(tabela_registros[VALOR],tabela_registros[MÊS],$AE$1,tabela_registros[DIA],novtotal3059718395107119131143155[[#Headers],[20]],tabela_registros[REGISTRO],DADOS!$N$4,tabela_registros[TIPO],DADOS!$P$4,tabela_registros[CATEGORIA],despesavariávelconsolidadonov[[#This Row],[DESPESA VARIÁVEL]])</f>
        <v>0</v>
      </c>
      <c r="Y65" s="119" t="n">
        <f aca="false">SUMIFS(tabela_registros[VALOR],tabela_registros[MÊS],$AE$1,tabela_registros[DIA],novtotal3059718395107119131143155[[#Headers],[21]],tabela_registros[REGISTRO],DADOS!$N$4,tabela_registros[TIPO],DADOS!$P$4,tabela_registros[CATEGORIA],despesavariávelconsolidadonov[[#This Row],[DESPESA VARIÁVEL]])</f>
        <v>0</v>
      </c>
      <c r="Z65" s="119" t="n">
        <f aca="false">SUMIFS(tabela_registros[VALOR],tabela_registros[MÊS],$AE$1,tabela_registros[DIA],novtotal3059718395107119131143155[[#Headers],[22]],tabela_registros[REGISTRO],DADOS!$N$4,tabela_registros[TIPO],DADOS!$P$4,tabela_registros[CATEGORIA],despesavariávelconsolidadonov[[#This Row],[DESPESA VARIÁVEL]])</f>
        <v>0</v>
      </c>
      <c r="AA65" s="119" t="n">
        <f aca="false">SUMIFS(tabela_registros[VALOR],tabela_registros[MÊS],$AE$1,tabela_registros[DIA],novtotal3059718395107119131143155[[#Headers],[23]],tabela_registros[REGISTRO],DADOS!$N$4,tabela_registros[TIPO],DADOS!$P$4,tabela_registros[CATEGORIA],despesavariávelconsolidadonov[[#This Row],[DESPESA VARIÁVEL]])</f>
        <v>0</v>
      </c>
      <c r="AB65" s="119" t="n">
        <f aca="false">SUMIFS(tabela_registros[VALOR],tabela_registros[MÊS],$AE$1,tabela_registros[DIA],novtotal3059718395107119131143155[[#Headers],[24]],tabela_registros[REGISTRO],DADOS!$N$4,tabela_registros[TIPO],DADOS!$P$4,tabela_registros[CATEGORIA],despesavariávelconsolidadonov[[#This Row],[DESPESA VARIÁVEL]])</f>
        <v>0</v>
      </c>
      <c r="AC65" s="119" t="n">
        <f aca="false">SUMIFS(tabela_registros[VALOR],tabela_registros[MÊS],$AE$1,tabela_registros[DIA],novtotal3059718395107119131143155[[#Headers],[25]],tabela_registros[REGISTRO],DADOS!$N$4,tabela_registros[TIPO],DADOS!$P$4,tabela_registros[CATEGORIA],despesavariávelconsolidadonov[[#This Row],[DESPESA VARIÁVEL]])</f>
        <v>0</v>
      </c>
      <c r="AD65" s="119" t="n">
        <f aca="false">SUMIFS(tabela_registros[VALOR],tabela_registros[MÊS],$AE$1,tabela_registros[DIA],novtotal3059718395107119131143155[[#Headers],[26]],tabela_registros[REGISTRO],DADOS!$N$4,tabela_registros[TIPO],DADOS!$P$4,tabela_registros[CATEGORIA],despesavariávelconsolidadonov[[#This Row],[DESPESA VARIÁVEL]])</f>
        <v>0</v>
      </c>
      <c r="AE65" s="119" t="n">
        <f aca="false">SUMIFS(tabela_registros[VALOR],tabela_registros[MÊS],$AE$1,tabela_registros[DIA],novtotal3059718395107119131143155[[#Headers],[27]],tabela_registros[REGISTRO],DADOS!$N$4,tabela_registros[TIPO],DADOS!$P$4,tabela_registros[CATEGORIA],despesavariávelconsolidadonov[[#This Row],[DESPESA VARIÁVEL]])</f>
        <v>0</v>
      </c>
      <c r="AF65" s="119" t="n">
        <f aca="false">SUMIFS(tabela_registros[VALOR],tabela_registros[MÊS],$AE$1,tabela_registros[DIA],novtotal3059718395107119131143155[[#Headers],[28]],tabela_registros[REGISTRO],DADOS!$N$4,tabela_registros[TIPO],DADOS!$P$4,tabela_registros[CATEGORIA],despesavariávelconsolidadonov[[#This Row],[DESPESA VARIÁVEL]])</f>
        <v>0</v>
      </c>
      <c r="AG65" s="119" t="n">
        <f aca="false">SUMIFS(tabela_registros[VALOR],tabela_registros[MÊS],$AE$1,tabela_registros[DIA],novtotal3059718395107119131143155[[#Headers],[29]],tabela_registros[REGISTRO],DADOS!$N$4,tabela_registros[TIPO],DADOS!$P$4,tabela_registros[CATEGORIA],despesavariávelconsolidadonov[[#This Row],[DESPESA VARIÁVEL]])</f>
        <v>0</v>
      </c>
      <c r="AH65" s="119" t="n">
        <f aca="false">SUMIFS(tabela_registros[VALOR],tabela_registros[MÊS],$AE$1,tabela_registros[DIA],novtotal3059718395107119131143155[[#Headers],[30]],tabela_registros[REGISTRO],DADOS!$N$4,tabela_registros[TIPO],DADOS!$P$4,tabela_registros[CATEGORIA],despesavariávelconsolidadonov[[#This Row],[DESPESA VARIÁVEL]])</f>
        <v>0</v>
      </c>
      <c r="AI65" s="217" t="n">
        <f aca="false">SUMIFS(tabela_registros[VALOR],tabela_registros[MÊS],$AE$1,tabela_registros[DIA],novtotal3059718395107119131143155[[#Headers],[31]],tabela_registros[REGISTRO],DADOS!$N$4,tabela_registros[TIPO],DADOS!$P$4,tabela_registros[CATEGORIA],despesavariávelconsolidadonov[[#This Row],[DESPESA VARIÁVEL]])</f>
        <v>0</v>
      </c>
      <c r="AJ65" s="149" t="n">
        <f aca="false">SUM(despesavariávelconsolidadonov[[#This Row],[1]:[31]])</f>
        <v>0</v>
      </c>
      <c r="AK65" s="143"/>
    </row>
    <row r="66" customFormat="false" ht="18" hidden="false" customHeight="true" outlineLevel="0" collapsed="false">
      <c r="B66" s="143"/>
      <c r="C66" s="144" t="str">
        <f aca="false">DADOS!$T$9</f>
        <v>🎭 LAZER</v>
      </c>
      <c r="D66" s="145" t="str">
        <f aca="false">IF(despesavariávelconsolidadonov[[#This Row],[TOTAL]]=0,"",IF(OR(despesavariávelconsolidadonov[[#This Row],[TOTAL]]=LARGE($AJ$60:$AJ$72,1),despesavariávelconsolidadonov[[#This Row],[TOTAL]]=LARGE($AJ$60:$AJ$72,2),despesavariávelconsolidadonov[[#This Row],[TOTAL]]=LARGE($AJ$60:$AJ$72,3),despesavariávelconsolidadonov[[#This Row],[TOTAL]]=LARGE($AJ$60:$AJ$72,4),despesavariávelconsolidadonov[[#This Row],[TOTAL]]=LARGE($AJ$60:$AJ$72,5)),DADOS!$I$8,""))</f>
        <v/>
      </c>
      <c r="E66" s="148" t="n">
        <f aca="false">SUMIFS(tabela_registros[VALOR],tabela_registros[MÊS],$AE$1,tabela_registros[DIA],novtotal3059718395107119131143155[[#Headers],[1]],tabela_registros[REGISTRO],DADOS!$N$4,tabela_registros[TIPO],DADOS!$P$4,tabela_registros[CATEGORIA],despesavariávelconsolidadonov[[#This Row],[DESPESA VARIÁVEL]])</f>
        <v>0</v>
      </c>
      <c r="F66" s="119" t="n">
        <f aca="false">SUMIFS(tabela_registros[VALOR],tabela_registros[MÊS],$AE$1,tabela_registros[DIA],novtotal3059718395107119131143155[[#Headers],[2]],tabela_registros[REGISTRO],DADOS!$N$4,tabela_registros[TIPO],DADOS!$P$4,tabela_registros[CATEGORIA],despesavariávelconsolidadonov[[#This Row],[DESPESA VARIÁVEL]])</f>
        <v>0</v>
      </c>
      <c r="G66" s="119" t="n">
        <f aca="false">SUMIFS(tabela_registros[VALOR],tabela_registros[MÊS],$AE$1,tabela_registros[DIA],novtotal3059718395107119131143155[[#Headers],[3]],tabela_registros[REGISTRO],DADOS!$N$4,tabela_registros[TIPO],DADOS!$P$4,tabela_registros[CATEGORIA],despesavariávelconsolidadonov[[#This Row],[DESPESA VARIÁVEL]])</f>
        <v>0</v>
      </c>
      <c r="H66" s="119" t="n">
        <f aca="false">SUMIFS(tabela_registros[VALOR],tabela_registros[MÊS],$AE$1,tabela_registros[DIA],novtotal3059718395107119131143155[[#Headers],[4]],tabela_registros[REGISTRO],DADOS!$N$4,tabela_registros[TIPO],DADOS!$P$4,tabela_registros[CATEGORIA],despesavariávelconsolidadonov[[#This Row],[DESPESA VARIÁVEL]])</f>
        <v>0</v>
      </c>
      <c r="I66" s="119" t="n">
        <f aca="false">SUMIFS(tabela_registros[VALOR],tabela_registros[MÊS],$AE$1,tabela_registros[DIA],novtotal3059718395107119131143155[[#Headers],[5]],tabela_registros[REGISTRO],DADOS!$N$4,tabela_registros[TIPO],DADOS!$P$4,tabela_registros[CATEGORIA],despesavariávelconsolidadonov[[#This Row],[DESPESA VARIÁVEL]])</f>
        <v>0</v>
      </c>
      <c r="J66" s="119" t="n">
        <f aca="false">SUMIFS(tabela_registros[VALOR],tabela_registros[MÊS],$AE$1,tabela_registros[DIA],novtotal3059718395107119131143155[[#Headers],[6]],tabela_registros[REGISTRO],DADOS!$N$4,tabela_registros[TIPO],DADOS!$P$4,tabela_registros[CATEGORIA],despesavariávelconsolidadonov[[#This Row],[DESPESA VARIÁVEL]])</f>
        <v>0</v>
      </c>
      <c r="K66" s="119" t="n">
        <f aca="false">SUMIFS(tabela_registros[VALOR],tabela_registros[MÊS],$AE$1,tabela_registros[DIA],novtotal3059718395107119131143155[[#Headers],[7]],tabela_registros[REGISTRO],DADOS!$N$4,tabela_registros[TIPO],DADOS!$P$4,tabela_registros[CATEGORIA],despesavariávelconsolidadonov[[#This Row],[DESPESA VARIÁVEL]])</f>
        <v>0</v>
      </c>
      <c r="L66" s="119" t="n">
        <f aca="false">SUMIFS(tabela_registros[VALOR],tabela_registros[MÊS],$AE$1,tabela_registros[DIA],novtotal3059718395107119131143155[[#Headers],[8]],tabela_registros[REGISTRO],DADOS!$N$4,tabela_registros[TIPO],DADOS!$P$4,tabela_registros[CATEGORIA],despesavariávelconsolidadonov[[#This Row],[DESPESA VARIÁVEL]])</f>
        <v>0</v>
      </c>
      <c r="M66" s="119" t="n">
        <f aca="false">SUMIFS(tabela_registros[VALOR],tabela_registros[MÊS],$AE$1,tabela_registros[DIA],novtotal3059718395107119131143155[[#Headers],[9]],tabela_registros[REGISTRO],DADOS!$N$4,tabela_registros[TIPO],DADOS!$P$4,tabela_registros[CATEGORIA],despesavariávelconsolidadonov[[#This Row],[DESPESA VARIÁVEL]])</f>
        <v>0</v>
      </c>
      <c r="N66" s="119" t="n">
        <f aca="false">SUMIFS(tabela_registros[VALOR],tabela_registros[MÊS],$AE$1,tabela_registros[DIA],novtotal3059718395107119131143155[[#Headers],[10]],tabela_registros[REGISTRO],DADOS!$N$4,tabela_registros[TIPO],DADOS!$P$4,tabela_registros[CATEGORIA],despesavariávelconsolidadonov[[#This Row],[DESPESA VARIÁVEL]])</f>
        <v>0</v>
      </c>
      <c r="O66" s="119" t="n">
        <f aca="false">SUMIFS(tabela_registros[VALOR],tabela_registros[MÊS],$AE$1,tabela_registros[DIA],novtotal3059718395107119131143155[[#Headers],[11]],tabela_registros[REGISTRO],DADOS!$N$4,tabela_registros[TIPO],DADOS!$P$4,tabela_registros[CATEGORIA],despesavariávelconsolidadonov[[#This Row],[DESPESA VARIÁVEL]])</f>
        <v>0</v>
      </c>
      <c r="P66" s="119" t="n">
        <f aca="false">SUMIFS(tabela_registros[VALOR],tabela_registros[MÊS],$AE$1,tabela_registros[DIA],novtotal3059718395107119131143155[[#Headers],[12]],tabela_registros[REGISTRO],DADOS!$N$4,tabela_registros[TIPO],DADOS!$P$4,tabela_registros[CATEGORIA],despesavariávelconsolidadonov[[#This Row],[DESPESA VARIÁVEL]])</f>
        <v>0</v>
      </c>
      <c r="Q66" s="119" t="n">
        <f aca="false">SUMIFS(tabela_registros[VALOR],tabela_registros[MÊS],$AE$1,tabela_registros[DIA],novtotal3059718395107119131143155[[#Headers],[13]],tabela_registros[REGISTRO],DADOS!$N$4,tabela_registros[TIPO],DADOS!$P$4,tabela_registros[CATEGORIA],despesavariávelconsolidadonov[[#This Row],[DESPESA VARIÁVEL]])</f>
        <v>0</v>
      </c>
      <c r="R66" s="119" t="n">
        <f aca="false">SUMIFS(tabela_registros[VALOR],tabela_registros[MÊS],$AE$1,tabela_registros[DIA],novtotal3059718395107119131143155[[#Headers],[14]],tabela_registros[REGISTRO],DADOS!$N$4,tabela_registros[TIPO],DADOS!$P$4,tabela_registros[CATEGORIA],despesavariávelconsolidadonov[[#This Row],[DESPESA VARIÁVEL]])</f>
        <v>0</v>
      </c>
      <c r="S66" s="119" t="n">
        <f aca="false">SUMIFS(tabela_registros[VALOR],tabela_registros[MÊS],$AE$1,tabela_registros[DIA],novtotal3059718395107119131143155[[#Headers],[15]],tabela_registros[REGISTRO],DADOS!$N$4,tabela_registros[TIPO],DADOS!$P$4,tabela_registros[CATEGORIA],despesavariávelconsolidadonov[[#This Row],[DESPESA VARIÁVEL]])</f>
        <v>0</v>
      </c>
      <c r="T66" s="119" t="n">
        <f aca="false">SUMIFS(tabela_registros[VALOR],tabela_registros[MÊS],$AE$1,tabela_registros[DIA],novtotal3059718395107119131143155[[#Headers],[16]],tabela_registros[REGISTRO],DADOS!$N$4,tabela_registros[TIPO],DADOS!$P$4,tabela_registros[CATEGORIA],despesavariávelconsolidadonov[[#This Row],[DESPESA VARIÁVEL]])</f>
        <v>0</v>
      </c>
      <c r="U66" s="119" t="n">
        <f aca="false">SUMIFS(tabela_registros[VALOR],tabela_registros[MÊS],$AE$1,tabela_registros[DIA],novtotal3059718395107119131143155[[#Headers],[17]],tabela_registros[REGISTRO],DADOS!$N$4,tabela_registros[TIPO],DADOS!$P$4,tabela_registros[CATEGORIA],despesavariávelconsolidadonov[[#This Row],[DESPESA VARIÁVEL]])</f>
        <v>0</v>
      </c>
      <c r="V66" s="119" t="n">
        <f aca="false">SUMIFS(tabela_registros[VALOR],tabela_registros[MÊS],$AE$1,tabela_registros[DIA],novtotal3059718395107119131143155[[#Headers],[18]],tabela_registros[REGISTRO],DADOS!$N$4,tabela_registros[TIPO],DADOS!$P$4,tabela_registros[CATEGORIA],despesavariávelconsolidadonov[[#This Row],[DESPESA VARIÁVEL]])</f>
        <v>0</v>
      </c>
      <c r="W66" s="119" t="n">
        <f aca="false">SUMIFS(tabela_registros[VALOR],tabela_registros[MÊS],$AE$1,tabela_registros[DIA],novtotal3059718395107119131143155[[#Headers],[19]],tabela_registros[REGISTRO],DADOS!$N$4,tabela_registros[TIPO],DADOS!$P$4,tabela_registros[CATEGORIA],despesavariávelconsolidadonov[[#This Row],[DESPESA VARIÁVEL]])</f>
        <v>0</v>
      </c>
      <c r="X66" s="119" t="n">
        <f aca="false">SUMIFS(tabela_registros[VALOR],tabela_registros[MÊS],$AE$1,tabela_registros[DIA],novtotal3059718395107119131143155[[#Headers],[20]],tabela_registros[REGISTRO],DADOS!$N$4,tabela_registros[TIPO],DADOS!$P$4,tabela_registros[CATEGORIA],despesavariávelconsolidadonov[[#This Row],[DESPESA VARIÁVEL]])</f>
        <v>0</v>
      </c>
      <c r="Y66" s="119" t="n">
        <f aca="false">SUMIFS(tabela_registros[VALOR],tabela_registros[MÊS],$AE$1,tabela_registros[DIA],novtotal3059718395107119131143155[[#Headers],[21]],tabela_registros[REGISTRO],DADOS!$N$4,tabela_registros[TIPO],DADOS!$P$4,tabela_registros[CATEGORIA],despesavariávelconsolidadonov[[#This Row],[DESPESA VARIÁVEL]])</f>
        <v>0</v>
      </c>
      <c r="Z66" s="119" t="n">
        <f aca="false">SUMIFS(tabela_registros[VALOR],tabela_registros[MÊS],$AE$1,tabela_registros[DIA],novtotal3059718395107119131143155[[#Headers],[22]],tabela_registros[REGISTRO],DADOS!$N$4,tabela_registros[TIPO],DADOS!$P$4,tabela_registros[CATEGORIA],despesavariávelconsolidadonov[[#This Row],[DESPESA VARIÁVEL]])</f>
        <v>0</v>
      </c>
      <c r="AA66" s="119" t="n">
        <f aca="false">SUMIFS(tabela_registros[VALOR],tabela_registros[MÊS],$AE$1,tabela_registros[DIA],novtotal3059718395107119131143155[[#Headers],[23]],tabela_registros[REGISTRO],DADOS!$N$4,tabela_registros[TIPO],DADOS!$P$4,tabela_registros[CATEGORIA],despesavariávelconsolidadonov[[#This Row],[DESPESA VARIÁVEL]])</f>
        <v>0</v>
      </c>
      <c r="AB66" s="119" t="n">
        <f aca="false">SUMIFS(tabela_registros[VALOR],tabela_registros[MÊS],$AE$1,tabela_registros[DIA],novtotal3059718395107119131143155[[#Headers],[24]],tabela_registros[REGISTRO],DADOS!$N$4,tabela_registros[TIPO],DADOS!$P$4,tabela_registros[CATEGORIA],despesavariávelconsolidadonov[[#This Row],[DESPESA VARIÁVEL]])</f>
        <v>0</v>
      </c>
      <c r="AC66" s="119" t="n">
        <f aca="false">SUMIFS(tabela_registros[VALOR],tabela_registros[MÊS],$AE$1,tabela_registros[DIA],novtotal3059718395107119131143155[[#Headers],[25]],tabela_registros[REGISTRO],DADOS!$N$4,tabela_registros[TIPO],DADOS!$P$4,tabela_registros[CATEGORIA],despesavariávelconsolidadonov[[#This Row],[DESPESA VARIÁVEL]])</f>
        <v>0</v>
      </c>
      <c r="AD66" s="119" t="n">
        <f aca="false">SUMIFS(tabela_registros[VALOR],tabela_registros[MÊS],$AE$1,tabela_registros[DIA],novtotal3059718395107119131143155[[#Headers],[26]],tabela_registros[REGISTRO],DADOS!$N$4,tabela_registros[TIPO],DADOS!$P$4,tabela_registros[CATEGORIA],despesavariávelconsolidadonov[[#This Row],[DESPESA VARIÁVEL]])</f>
        <v>0</v>
      </c>
      <c r="AE66" s="119" t="n">
        <f aca="false">SUMIFS(tabela_registros[VALOR],tabela_registros[MÊS],$AE$1,tabela_registros[DIA],novtotal3059718395107119131143155[[#Headers],[27]],tabela_registros[REGISTRO],DADOS!$N$4,tabela_registros[TIPO],DADOS!$P$4,tabela_registros[CATEGORIA],despesavariávelconsolidadonov[[#This Row],[DESPESA VARIÁVEL]])</f>
        <v>0</v>
      </c>
      <c r="AF66" s="119" t="n">
        <f aca="false">SUMIFS(tabela_registros[VALOR],tabela_registros[MÊS],$AE$1,tabela_registros[DIA],novtotal3059718395107119131143155[[#Headers],[28]],tabela_registros[REGISTRO],DADOS!$N$4,tabela_registros[TIPO],DADOS!$P$4,tabela_registros[CATEGORIA],despesavariávelconsolidadonov[[#This Row],[DESPESA VARIÁVEL]])</f>
        <v>0</v>
      </c>
      <c r="AG66" s="119" t="n">
        <f aca="false">SUMIFS(tabela_registros[VALOR],tabela_registros[MÊS],$AE$1,tabela_registros[DIA],novtotal3059718395107119131143155[[#Headers],[29]],tabela_registros[REGISTRO],DADOS!$N$4,tabela_registros[TIPO],DADOS!$P$4,tabela_registros[CATEGORIA],despesavariávelconsolidadonov[[#This Row],[DESPESA VARIÁVEL]])</f>
        <v>0</v>
      </c>
      <c r="AH66" s="119" t="n">
        <f aca="false">SUMIFS(tabela_registros[VALOR],tabela_registros[MÊS],$AE$1,tabela_registros[DIA],novtotal3059718395107119131143155[[#Headers],[30]],tabela_registros[REGISTRO],DADOS!$N$4,tabela_registros[TIPO],DADOS!$P$4,tabela_registros[CATEGORIA],despesavariávelconsolidadonov[[#This Row],[DESPESA VARIÁVEL]])</f>
        <v>0</v>
      </c>
      <c r="AI66" s="217" t="n">
        <f aca="false">SUMIFS(tabela_registros[VALOR],tabela_registros[MÊS],$AE$1,tabela_registros[DIA],novtotal3059718395107119131143155[[#Headers],[31]],tabela_registros[REGISTRO],DADOS!$N$4,tabela_registros[TIPO],DADOS!$P$4,tabela_registros[CATEGORIA],despesavariávelconsolidadonov[[#This Row],[DESPESA VARIÁVEL]])</f>
        <v>0</v>
      </c>
      <c r="AJ66" s="149" t="n">
        <f aca="false">SUM(despesavariávelconsolidadonov[[#This Row],[1]:[31]])</f>
        <v>0</v>
      </c>
      <c r="AK66" s="143"/>
    </row>
    <row r="67" customFormat="false" ht="18" hidden="false" customHeight="true" outlineLevel="0" collapsed="false">
      <c r="B67" s="143"/>
      <c r="C67" s="144" t="str">
        <f aca="false">DADOS!$T$10</f>
        <v>🛒 MERCADO</v>
      </c>
      <c r="D67" s="145" t="str">
        <f aca="false">IF(despesavariávelconsolidadonov[[#This Row],[TOTAL]]=0,"",IF(OR(despesavariávelconsolidadonov[[#This Row],[TOTAL]]=LARGE($AJ$60:$AJ$72,1),despesavariávelconsolidadonov[[#This Row],[TOTAL]]=LARGE($AJ$60:$AJ$72,2),despesavariávelconsolidadonov[[#This Row],[TOTAL]]=LARGE($AJ$60:$AJ$72,3),despesavariávelconsolidadonov[[#This Row],[TOTAL]]=LARGE($AJ$60:$AJ$72,4),despesavariávelconsolidadonov[[#This Row],[TOTAL]]=LARGE($AJ$60:$AJ$72,5)),DADOS!$I$8,""))</f>
        <v/>
      </c>
      <c r="E67" s="148" t="n">
        <f aca="false">SUMIFS(tabela_registros[VALOR],tabela_registros[MÊS],$AE$1,tabela_registros[DIA],novtotal3059718395107119131143155[[#Headers],[1]],tabela_registros[REGISTRO],DADOS!$N$4,tabela_registros[TIPO],DADOS!$P$4,tabela_registros[CATEGORIA],despesavariávelconsolidadonov[[#This Row],[DESPESA VARIÁVEL]])</f>
        <v>0</v>
      </c>
      <c r="F67" s="119" t="n">
        <f aca="false">SUMIFS(tabela_registros[VALOR],tabela_registros[MÊS],$AE$1,tabela_registros[DIA],novtotal3059718395107119131143155[[#Headers],[2]],tabela_registros[REGISTRO],DADOS!$N$4,tabela_registros[TIPO],DADOS!$P$4,tabela_registros[CATEGORIA],despesavariávelconsolidadonov[[#This Row],[DESPESA VARIÁVEL]])</f>
        <v>0</v>
      </c>
      <c r="G67" s="119" t="n">
        <f aca="false">SUMIFS(tabela_registros[VALOR],tabela_registros[MÊS],$AE$1,tabela_registros[DIA],novtotal3059718395107119131143155[[#Headers],[3]],tabela_registros[REGISTRO],DADOS!$N$4,tabela_registros[TIPO],DADOS!$P$4,tabela_registros[CATEGORIA],despesavariávelconsolidadonov[[#This Row],[DESPESA VARIÁVEL]])</f>
        <v>0</v>
      </c>
      <c r="H67" s="119" t="n">
        <f aca="false">SUMIFS(tabela_registros[VALOR],tabela_registros[MÊS],$AE$1,tabela_registros[DIA],novtotal3059718395107119131143155[[#Headers],[4]],tabela_registros[REGISTRO],DADOS!$N$4,tabela_registros[TIPO],DADOS!$P$4,tabela_registros[CATEGORIA],despesavariávelconsolidadonov[[#This Row],[DESPESA VARIÁVEL]])</f>
        <v>0</v>
      </c>
      <c r="I67" s="119" t="n">
        <f aca="false">SUMIFS(tabela_registros[VALOR],tabela_registros[MÊS],$AE$1,tabela_registros[DIA],novtotal3059718395107119131143155[[#Headers],[5]],tabela_registros[REGISTRO],DADOS!$N$4,tabela_registros[TIPO],DADOS!$P$4,tabela_registros[CATEGORIA],despesavariávelconsolidadonov[[#This Row],[DESPESA VARIÁVEL]])</f>
        <v>0</v>
      </c>
      <c r="J67" s="119" t="n">
        <f aca="false">SUMIFS(tabela_registros[VALOR],tabela_registros[MÊS],$AE$1,tabela_registros[DIA],novtotal3059718395107119131143155[[#Headers],[6]],tabela_registros[REGISTRO],DADOS!$N$4,tabela_registros[TIPO],DADOS!$P$4,tabela_registros[CATEGORIA],despesavariávelconsolidadonov[[#This Row],[DESPESA VARIÁVEL]])</f>
        <v>0</v>
      </c>
      <c r="K67" s="119" t="n">
        <f aca="false">SUMIFS(tabela_registros[VALOR],tabela_registros[MÊS],$AE$1,tabela_registros[DIA],novtotal3059718395107119131143155[[#Headers],[7]],tabela_registros[REGISTRO],DADOS!$N$4,tabela_registros[TIPO],DADOS!$P$4,tabela_registros[CATEGORIA],despesavariávelconsolidadonov[[#This Row],[DESPESA VARIÁVEL]])</f>
        <v>0</v>
      </c>
      <c r="L67" s="119" t="n">
        <f aca="false">SUMIFS(tabela_registros[VALOR],tabela_registros[MÊS],$AE$1,tabela_registros[DIA],novtotal3059718395107119131143155[[#Headers],[8]],tabela_registros[REGISTRO],DADOS!$N$4,tabela_registros[TIPO],DADOS!$P$4,tabela_registros[CATEGORIA],despesavariávelconsolidadonov[[#This Row],[DESPESA VARIÁVEL]])</f>
        <v>0</v>
      </c>
      <c r="M67" s="119" t="n">
        <f aca="false">SUMIFS(tabela_registros[VALOR],tabela_registros[MÊS],$AE$1,tabela_registros[DIA],novtotal3059718395107119131143155[[#Headers],[9]],tabela_registros[REGISTRO],DADOS!$N$4,tabela_registros[TIPO],DADOS!$P$4,tabela_registros[CATEGORIA],despesavariávelconsolidadonov[[#This Row],[DESPESA VARIÁVEL]])</f>
        <v>0</v>
      </c>
      <c r="N67" s="119" t="n">
        <f aca="false">SUMIFS(tabela_registros[VALOR],tabela_registros[MÊS],$AE$1,tabela_registros[DIA],novtotal3059718395107119131143155[[#Headers],[10]],tabela_registros[REGISTRO],DADOS!$N$4,tabela_registros[TIPO],DADOS!$P$4,tabela_registros[CATEGORIA],despesavariávelconsolidadonov[[#This Row],[DESPESA VARIÁVEL]])</f>
        <v>0</v>
      </c>
      <c r="O67" s="119" t="n">
        <f aca="false">SUMIFS(tabela_registros[VALOR],tabela_registros[MÊS],$AE$1,tabela_registros[DIA],novtotal3059718395107119131143155[[#Headers],[11]],tabela_registros[REGISTRO],DADOS!$N$4,tabela_registros[TIPO],DADOS!$P$4,tabela_registros[CATEGORIA],despesavariávelconsolidadonov[[#This Row],[DESPESA VARIÁVEL]])</f>
        <v>0</v>
      </c>
      <c r="P67" s="119" t="n">
        <f aca="false">SUMIFS(tabela_registros[VALOR],tabela_registros[MÊS],$AE$1,tabela_registros[DIA],novtotal3059718395107119131143155[[#Headers],[12]],tabela_registros[REGISTRO],DADOS!$N$4,tabela_registros[TIPO],DADOS!$P$4,tabela_registros[CATEGORIA],despesavariávelconsolidadonov[[#This Row],[DESPESA VARIÁVEL]])</f>
        <v>0</v>
      </c>
      <c r="Q67" s="119" t="n">
        <f aca="false">SUMIFS(tabela_registros[VALOR],tabela_registros[MÊS],$AE$1,tabela_registros[DIA],novtotal3059718395107119131143155[[#Headers],[13]],tabela_registros[REGISTRO],DADOS!$N$4,tabela_registros[TIPO],DADOS!$P$4,tabela_registros[CATEGORIA],despesavariávelconsolidadonov[[#This Row],[DESPESA VARIÁVEL]])</f>
        <v>0</v>
      </c>
      <c r="R67" s="119" t="n">
        <f aca="false">SUMIFS(tabela_registros[VALOR],tabela_registros[MÊS],$AE$1,tabela_registros[DIA],novtotal3059718395107119131143155[[#Headers],[14]],tabela_registros[REGISTRO],DADOS!$N$4,tabela_registros[TIPO],DADOS!$P$4,tabela_registros[CATEGORIA],despesavariávelconsolidadonov[[#This Row],[DESPESA VARIÁVEL]])</f>
        <v>0</v>
      </c>
      <c r="S67" s="119" t="n">
        <f aca="false">SUMIFS(tabela_registros[VALOR],tabela_registros[MÊS],$AE$1,tabela_registros[DIA],novtotal3059718395107119131143155[[#Headers],[15]],tabela_registros[REGISTRO],DADOS!$N$4,tabela_registros[TIPO],DADOS!$P$4,tabela_registros[CATEGORIA],despesavariávelconsolidadonov[[#This Row],[DESPESA VARIÁVEL]])</f>
        <v>0</v>
      </c>
      <c r="T67" s="119" t="n">
        <f aca="false">SUMIFS(tabela_registros[VALOR],tabela_registros[MÊS],$AE$1,tabela_registros[DIA],novtotal3059718395107119131143155[[#Headers],[16]],tabela_registros[REGISTRO],DADOS!$N$4,tabela_registros[TIPO],DADOS!$P$4,tabela_registros[CATEGORIA],despesavariávelconsolidadonov[[#This Row],[DESPESA VARIÁVEL]])</f>
        <v>0</v>
      </c>
      <c r="U67" s="119" t="n">
        <f aca="false">SUMIFS(tabela_registros[VALOR],tabela_registros[MÊS],$AE$1,tabela_registros[DIA],novtotal3059718395107119131143155[[#Headers],[17]],tabela_registros[REGISTRO],DADOS!$N$4,tabela_registros[TIPO],DADOS!$P$4,tabela_registros[CATEGORIA],despesavariávelconsolidadonov[[#This Row],[DESPESA VARIÁVEL]])</f>
        <v>0</v>
      </c>
      <c r="V67" s="119" t="n">
        <f aca="false">SUMIFS(tabela_registros[VALOR],tabela_registros[MÊS],$AE$1,tabela_registros[DIA],novtotal3059718395107119131143155[[#Headers],[18]],tabela_registros[REGISTRO],DADOS!$N$4,tabela_registros[TIPO],DADOS!$P$4,tabela_registros[CATEGORIA],despesavariávelconsolidadonov[[#This Row],[DESPESA VARIÁVEL]])</f>
        <v>0</v>
      </c>
      <c r="W67" s="119" t="n">
        <f aca="false">SUMIFS(tabela_registros[VALOR],tabela_registros[MÊS],$AE$1,tabela_registros[DIA],novtotal3059718395107119131143155[[#Headers],[19]],tabela_registros[REGISTRO],DADOS!$N$4,tabela_registros[TIPO],DADOS!$P$4,tabela_registros[CATEGORIA],despesavariávelconsolidadonov[[#This Row],[DESPESA VARIÁVEL]])</f>
        <v>0</v>
      </c>
      <c r="X67" s="119" t="n">
        <f aca="false">SUMIFS(tabela_registros[VALOR],tabela_registros[MÊS],$AE$1,tabela_registros[DIA],novtotal3059718395107119131143155[[#Headers],[20]],tabela_registros[REGISTRO],DADOS!$N$4,tabela_registros[TIPO],DADOS!$P$4,tabela_registros[CATEGORIA],despesavariávelconsolidadonov[[#This Row],[DESPESA VARIÁVEL]])</f>
        <v>0</v>
      </c>
      <c r="Y67" s="119" t="n">
        <f aca="false">SUMIFS(tabela_registros[VALOR],tabela_registros[MÊS],$AE$1,tabela_registros[DIA],novtotal3059718395107119131143155[[#Headers],[21]],tabela_registros[REGISTRO],DADOS!$N$4,tabela_registros[TIPO],DADOS!$P$4,tabela_registros[CATEGORIA],despesavariávelconsolidadonov[[#This Row],[DESPESA VARIÁVEL]])</f>
        <v>0</v>
      </c>
      <c r="Z67" s="119" t="n">
        <f aca="false">SUMIFS(tabela_registros[VALOR],tabela_registros[MÊS],$AE$1,tabela_registros[DIA],novtotal3059718395107119131143155[[#Headers],[22]],tabela_registros[REGISTRO],DADOS!$N$4,tabela_registros[TIPO],DADOS!$P$4,tabela_registros[CATEGORIA],despesavariávelconsolidadonov[[#This Row],[DESPESA VARIÁVEL]])</f>
        <v>0</v>
      </c>
      <c r="AA67" s="119" t="n">
        <f aca="false">SUMIFS(tabela_registros[VALOR],tabela_registros[MÊS],$AE$1,tabela_registros[DIA],novtotal3059718395107119131143155[[#Headers],[23]],tabela_registros[REGISTRO],DADOS!$N$4,tabela_registros[TIPO],DADOS!$P$4,tabela_registros[CATEGORIA],despesavariávelconsolidadonov[[#This Row],[DESPESA VARIÁVEL]])</f>
        <v>0</v>
      </c>
      <c r="AB67" s="119" t="n">
        <f aca="false">SUMIFS(tabela_registros[VALOR],tabela_registros[MÊS],$AE$1,tabela_registros[DIA],novtotal3059718395107119131143155[[#Headers],[24]],tabela_registros[REGISTRO],DADOS!$N$4,tabela_registros[TIPO],DADOS!$P$4,tabela_registros[CATEGORIA],despesavariávelconsolidadonov[[#This Row],[DESPESA VARIÁVEL]])</f>
        <v>0</v>
      </c>
      <c r="AC67" s="119" t="n">
        <f aca="false">SUMIFS(tabela_registros[VALOR],tabela_registros[MÊS],$AE$1,tabela_registros[DIA],novtotal3059718395107119131143155[[#Headers],[25]],tabela_registros[REGISTRO],DADOS!$N$4,tabela_registros[TIPO],DADOS!$P$4,tabela_registros[CATEGORIA],despesavariávelconsolidadonov[[#This Row],[DESPESA VARIÁVEL]])</f>
        <v>0</v>
      </c>
      <c r="AD67" s="119" t="n">
        <f aca="false">SUMIFS(tabela_registros[VALOR],tabela_registros[MÊS],$AE$1,tabela_registros[DIA],novtotal3059718395107119131143155[[#Headers],[26]],tabela_registros[REGISTRO],DADOS!$N$4,tabela_registros[TIPO],DADOS!$P$4,tabela_registros[CATEGORIA],despesavariávelconsolidadonov[[#This Row],[DESPESA VARIÁVEL]])</f>
        <v>0</v>
      </c>
      <c r="AE67" s="119" t="n">
        <f aca="false">SUMIFS(tabela_registros[VALOR],tabela_registros[MÊS],$AE$1,tabela_registros[DIA],novtotal3059718395107119131143155[[#Headers],[27]],tabela_registros[REGISTRO],DADOS!$N$4,tabela_registros[TIPO],DADOS!$P$4,tabela_registros[CATEGORIA],despesavariávelconsolidadonov[[#This Row],[DESPESA VARIÁVEL]])</f>
        <v>0</v>
      </c>
      <c r="AF67" s="119" t="n">
        <f aca="false">SUMIFS(tabela_registros[VALOR],tabela_registros[MÊS],$AE$1,tabela_registros[DIA],novtotal3059718395107119131143155[[#Headers],[28]],tabela_registros[REGISTRO],DADOS!$N$4,tabela_registros[TIPO],DADOS!$P$4,tabela_registros[CATEGORIA],despesavariávelconsolidadonov[[#This Row],[DESPESA VARIÁVEL]])</f>
        <v>0</v>
      </c>
      <c r="AG67" s="119" t="n">
        <f aca="false">SUMIFS(tabela_registros[VALOR],tabela_registros[MÊS],$AE$1,tabela_registros[DIA],novtotal3059718395107119131143155[[#Headers],[29]],tabela_registros[REGISTRO],DADOS!$N$4,tabela_registros[TIPO],DADOS!$P$4,tabela_registros[CATEGORIA],despesavariávelconsolidadonov[[#This Row],[DESPESA VARIÁVEL]])</f>
        <v>0</v>
      </c>
      <c r="AH67" s="119" t="n">
        <f aca="false">SUMIFS(tabela_registros[VALOR],tabela_registros[MÊS],$AE$1,tabela_registros[DIA],novtotal3059718395107119131143155[[#Headers],[30]],tabela_registros[REGISTRO],DADOS!$N$4,tabela_registros[TIPO],DADOS!$P$4,tabela_registros[CATEGORIA],despesavariávelconsolidadonov[[#This Row],[DESPESA VARIÁVEL]])</f>
        <v>0</v>
      </c>
      <c r="AI67" s="217" t="n">
        <f aca="false">SUMIFS(tabela_registros[VALOR],tabela_registros[MÊS],$AE$1,tabela_registros[DIA],novtotal3059718395107119131143155[[#Headers],[31]],tabela_registros[REGISTRO],DADOS!$N$4,tabela_registros[TIPO],DADOS!$P$4,tabela_registros[CATEGORIA],despesavariávelconsolidadonov[[#This Row],[DESPESA VARIÁVEL]])</f>
        <v>0</v>
      </c>
      <c r="AJ67" s="149" t="n">
        <f aca="false">SUM(despesavariávelconsolidadonov[[#This Row],[1]:[31]])</f>
        <v>0</v>
      </c>
      <c r="AK67" s="143"/>
    </row>
    <row r="68" customFormat="false" ht="18" hidden="false" customHeight="true" outlineLevel="0" collapsed="false">
      <c r="B68" s="143"/>
      <c r="C68" s="144" t="str">
        <f aca="false">DADOS!$T$11</f>
        <v>🎁 PRESENTES</v>
      </c>
      <c r="D68" s="145" t="str">
        <f aca="false">IF(despesavariávelconsolidadonov[[#This Row],[TOTAL]]=0,"",IF(OR(despesavariávelconsolidadonov[[#This Row],[TOTAL]]=LARGE($AJ$60:$AJ$72,1),despesavariávelconsolidadonov[[#This Row],[TOTAL]]=LARGE($AJ$60:$AJ$72,2),despesavariávelconsolidadonov[[#This Row],[TOTAL]]=LARGE($AJ$60:$AJ$72,3),despesavariávelconsolidadonov[[#This Row],[TOTAL]]=LARGE($AJ$60:$AJ$72,4),despesavariávelconsolidadonov[[#This Row],[TOTAL]]=LARGE($AJ$60:$AJ$72,5)),DADOS!$I$8,""))</f>
        <v/>
      </c>
      <c r="E68" s="148" t="n">
        <f aca="false">SUMIFS(tabela_registros[VALOR],tabela_registros[MÊS],$AE$1,tabela_registros[DIA],novtotal3059718395107119131143155[[#Headers],[1]],tabela_registros[REGISTRO],DADOS!$N$4,tabela_registros[TIPO],DADOS!$P$4,tabela_registros[CATEGORIA],despesavariávelconsolidadonov[[#This Row],[DESPESA VARIÁVEL]])</f>
        <v>0</v>
      </c>
      <c r="F68" s="119" t="n">
        <f aca="false">SUMIFS(tabela_registros[VALOR],tabela_registros[MÊS],$AE$1,tabela_registros[DIA],novtotal3059718395107119131143155[[#Headers],[2]],tabela_registros[REGISTRO],DADOS!$N$4,tabela_registros[TIPO],DADOS!$P$4,tabela_registros[CATEGORIA],despesavariávelconsolidadonov[[#This Row],[DESPESA VARIÁVEL]])</f>
        <v>0</v>
      </c>
      <c r="G68" s="119" t="n">
        <f aca="false">SUMIFS(tabela_registros[VALOR],tabela_registros[MÊS],$AE$1,tabela_registros[DIA],novtotal3059718395107119131143155[[#Headers],[3]],tabela_registros[REGISTRO],DADOS!$N$4,tabela_registros[TIPO],DADOS!$P$4,tabela_registros[CATEGORIA],despesavariávelconsolidadonov[[#This Row],[DESPESA VARIÁVEL]])</f>
        <v>0</v>
      </c>
      <c r="H68" s="119" t="n">
        <f aca="false">SUMIFS(tabela_registros[VALOR],tabela_registros[MÊS],$AE$1,tabela_registros[DIA],novtotal3059718395107119131143155[[#Headers],[4]],tabela_registros[REGISTRO],DADOS!$N$4,tabela_registros[TIPO],DADOS!$P$4,tabela_registros[CATEGORIA],despesavariávelconsolidadonov[[#This Row],[DESPESA VARIÁVEL]])</f>
        <v>0</v>
      </c>
      <c r="I68" s="119" t="n">
        <f aca="false">SUMIFS(tabela_registros[VALOR],tabela_registros[MÊS],$AE$1,tabela_registros[DIA],novtotal3059718395107119131143155[[#Headers],[5]],tabela_registros[REGISTRO],DADOS!$N$4,tabela_registros[TIPO],DADOS!$P$4,tabela_registros[CATEGORIA],despesavariávelconsolidadonov[[#This Row],[DESPESA VARIÁVEL]])</f>
        <v>0</v>
      </c>
      <c r="J68" s="119" t="n">
        <f aca="false">SUMIFS(tabela_registros[VALOR],tabela_registros[MÊS],$AE$1,tabela_registros[DIA],novtotal3059718395107119131143155[[#Headers],[6]],tabela_registros[REGISTRO],DADOS!$N$4,tabela_registros[TIPO],DADOS!$P$4,tabela_registros[CATEGORIA],despesavariávelconsolidadonov[[#This Row],[DESPESA VARIÁVEL]])</f>
        <v>0</v>
      </c>
      <c r="K68" s="119" t="n">
        <f aca="false">SUMIFS(tabela_registros[VALOR],tabela_registros[MÊS],$AE$1,tabela_registros[DIA],novtotal3059718395107119131143155[[#Headers],[7]],tabela_registros[REGISTRO],DADOS!$N$4,tabela_registros[TIPO],DADOS!$P$4,tabela_registros[CATEGORIA],despesavariávelconsolidadonov[[#This Row],[DESPESA VARIÁVEL]])</f>
        <v>0</v>
      </c>
      <c r="L68" s="119" t="n">
        <f aca="false">SUMIFS(tabela_registros[VALOR],tabela_registros[MÊS],$AE$1,tabela_registros[DIA],novtotal3059718395107119131143155[[#Headers],[8]],tabela_registros[REGISTRO],DADOS!$N$4,tabela_registros[TIPO],DADOS!$P$4,tabela_registros[CATEGORIA],despesavariávelconsolidadonov[[#This Row],[DESPESA VARIÁVEL]])</f>
        <v>0</v>
      </c>
      <c r="M68" s="119" t="n">
        <f aca="false">SUMIFS(tabela_registros[VALOR],tabela_registros[MÊS],$AE$1,tabela_registros[DIA],novtotal3059718395107119131143155[[#Headers],[9]],tabela_registros[REGISTRO],DADOS!$N$4,tabela_registros[TIPO],DADOS!$P$4,tabela_registros[CATEGORIA],despesavariávelconsolidadonov[[#This Row],[DESPESA VARIÁVEL]])</f>
        <v>0</v>
      </c>
      <c r="N68" s="119" t="n">
        <f aca="false">SUMIFS(tabela_registros[VALOR],tabela_registros[MÊS],$AE$1,tabela_registros[DIA],novtotal3059718395107119131143155[[#Headers],[10]],tabela_registros[REGISTRO],DADOS!$N$4,tabela_registros[TIPO],DADOS!$P$4,tabela_registros[CATEGORIA],despesavariávelconsolidadonov[[#This Row],[DESPESA VARIÁVEL]])</f>
        <v>0</v>
      </c>
      <c r="O68" s="119" t="n">
        <f aca="false">SUMIFS(tabela_registros[VALOR],tabela_registros[MÊS],$AE$1,tabela_registros[DIA],novtotal3059718395107119131143155[[#Headers],[11]],tabela_registros[REGISTRO],DADOS!$N$4,tabela_registros[TIPO],DADOS!$P$4,tabela_registros[CATEGORIA],despesavariávelconsolidadonov[[#This Row],[DESPESA VARIÁVEL]])</f>
        <v>0</v>
      </c>
      <c r="P68" s="119" t="n">
        <f aca="false">SUMIFS(tabela_registros[VALOR],tabela_registros[MÊS],$AE$1,tabela_registros[DIA],novtotal3059718395107119131143155[[#Headers],[12]],tabela_registros[REGISTRO],DADOS!$N$4,tabela_registros[TIPO],DADOS!$P$4,tabela_registros[CATEGORIA],despesavariávelconsolidadonov[[#This Row],[DESPESA VARIÁVEL]])</f>
        <v>0</v>
      </c>
      <c r="Q68" s="119" t="n">
        <f aca="false">SUMIFS(tabela_registros[VALOR],tabela_registros[MÊS],$AE$1,tabela_registros[DIA],novtotal3059718395107119131143155[[#Headers],[13]],tabela_registros[REGISTRO],DADOS!$N$4,tabela_registros[TIPO],DADOS!$P$4,tabela_registros[CATEGORIA],despesavariávelconsolidadonov[[#This Row],[DESPESA VARIÁVEL]])</f>
        <v>0</v>
      </c>
      <c r="R68" s="119" t="n">
        <f aca="false">SUMIFS(tabela_registros[VALOR],tabela_registros[MÊS],$AE$1,tabela_registros[DIA],novtotal3059718395107119131143155[[#Headers],[14]],tabela_registros[REGISTRO],DADOS!$N$4,tabela_registros[TIPO],DADOS!$P$4,tabela_registros[CATEGORIA],despesavariávelconsolidadonov[[#This Row],[DESPESA VARIÁVEL]])</f>
        <v>0</v>
      </c>
      <c r="S68" s="119" t="n">
        <f aca="false">SUMIFS(tabela_registros[VALOR],tabela_registros[MÊS],$AE$1,tabela_registros[DIA],novtotal3059718395107119131143155[[#Headers],[15]],tabela_registros[REGISTRO],DADOS!$N$4,tabela_registros[TIPO],DADOS!$P$4,tabela_registros[CATEGORIA],despesavariávelconsolidadonov[[#This Row],[DESPESA VARIÁVEL]])</f>
        <v>0</v>
      </c>
      <c r="T68" s="119" t="n">
        <f aca="false">SUMIFS(tabela_registros[VALOR],tabela_registros[MÊS],$AE$1,tabela_registros[DIA],novtotal3059718395107119131143155[[#Headers],[16]],tabela_registros[REGISTRO],DADOS!$N$4,tabela_registros[TIPO],DADOS!$P$4,tabela_registros[CATEGORIA],despesavariávelconsolidadonov[[#This Row],[DESPESA VARIÁVEL]])</f>
        <v>0</v>
      </c>
      <c r="U68" s="119" t="n">
        <f aca="false">SUMIFS(tabela_registros[VALOR],tabela_registros[MÊS],$AE$1,tabela_registros[DIA],novtotal3059718395107119131143155[[#Headers],[17]],tabela_registros[REGISTRO],DADOS!$N$4,tabela_registros[TIPO],DADOS!$P$4,tabela_registros[CATEGORIA],despesavariávelconsolidadonov[[#This Row],[DESPESA VARIÁVEL]])</f>
        <v>0</v>
      </c>
      <c r="V68" s="119" t="n">
        <f aca="false">SUMIFS(tabela_registros[VALOR],tabela_registros[MÊS],$AE$1,tabela_registros[DIA],novtotal3059718395107119131143155[[#Headers],[18]],tabela_registros[REGISTRO],DADOS!$N$4,tabela_registros[TIPO],DADOS!$P$4,tabela_registros[CATEGORIA],despesavariávelconsolidadonov[[#This Row],[DESPESA VARIÁVEL]])</f>
        <v>0</v>
      </c>
      <c r="W68" s="119" t="n">
        <f aca="false">SUMIFS(tabela_registros[VALOR],tabela_registros[MÊS],$AE$1,tabela_registros[DIA],novtotal3059718395107119131143155[[#Headers],[19]],tabela_registros[REGISTRO],DADOS!$N$4,tabela_registros[TIPO],DADOS!$P$4,tabela_registros[CATEGORIA],despesavariávelconsolidadonov[[#This Row],[DESPESA VARIÁVEL]])</f>
        <v>0</v>
      </c>
      <c r="X68" s="119" t="n">
        <f aca="false">SUMIFS(tabela_registros[VALOR],tabela_registros[MÊS],$AE$1,tabela_registros[DIA],novtotal3059718395107119131143155[[#Headers],[20]],tabela_registros[REGISTRO],DADOS!$N$4,tabela_registros[TIPO],DADOS!$P$4,tabela_registros[CATEGORIA],despesavariávelconsolidadonov[[#This Row],[DESPESA VARIÁVEL]])</f>
        <v>0</v>
      </c>
      <c r="Y68" s="119" t="n">
        <f aca="false">SUMIFS(tabela_registros[VALOR],tabela_registros[MÊS],$AE$1,tabela_registros[DIA],novtotal3059718395107119131143155[[#Headers],[21]],tabela_registros[REGISTRO],DADOS!$N$4,tabela_registros[TIPO],DADOS!$P$4,tabela_registros[CATEGORIA],despesavariávelconsolidadonov[[#This Row],[DESPESA VARIÁVEL]])</f>
        <v>0</v>
      </c>
      <c r="Z68" s="119" t="n">
        <f aca="false">SUMIFS(tabela_registros[VALOR],tabela_registros[MÊS],$AE$1,tabela_registros[DIA],novtotal3059718395107119131143155[[#Headers],[22]],tabela_registros[REGISTRO],DADOS!$N$4,tabela_registros[TIPO],DADOS!$P$4,tabela_registros[CATEGORIA],despesavariávelconsolidadonov[[#This Row],[DESPESA VARIÁVEL]])</f>
        <v>0</v>
      </c>
      <c r="AA68" s="119" t="n">
        <f aca="false">SUMIFS(tabela_registros[VALOR],tabela_registros[MÊS],$AE$1,tabela_registros[DIA],novtotal3059718395107119131143155[[#Headers],[23]],tabela_registros[REGISTRO],DADOS!$N$4,tabela_registros[TIPO],DADOS!$P$4,tabela_registros[CATEGORIA],despesavariávelconsolidadonov[[#This Row],[DESPESA VARIÁVEL]])</f>
        <v>0</v>
      </c>
      <c r="AB68" s="119" t="n">
        <f aca="false">SUMIFS(tabela_registros[VALOR],tabela_registros[MÊS],$AE$1,tabela_registros[DIA],novtotal3059718395107119131143155[[#Headers],[24]],tabela_registros[REGISTRO],DADOS!$N$4,tabela_registros[TIPO],DADOS!$P$4,tabela_registros[CATEGORIA],despesavariávelconsolidadonov[[#This Row],[DESPESA VARIÁVEL]])</f>
        <v>0</v>
      </c>
      <c r="AC68" s="119" t="n">
        <f aca="false">SUMIFS(tabela_registros[VALOR],tabela_registros[MÊS],$AE$1,tabela_registros[DIA],novtotal3059718395107119131143155[[#Headers],[25]],tabela_registros[REGISTRO],DADOS!$N$4,tabela_registros[TIPO],DADOS!$P$4,tabela_registros[CATEGORIA],despesavariávelconsolidadonov[[#This Row],[DESPESA VARIÁVEL]])</f>
        <v>0</v>
      </c>
      <c r="AD68" s="119" t="n">
        <f aca="false">SUMIFS(tabela_registros[VALOR],tabela_registros[MÊS],$AE$1,tabela_registros[DIA],novtotal3059718395107119131143155[[#Headers],[26]],tabela_registros[REGISTRO],DADOS!$N$4,tabela_registros[TIPO],DADOS!$P$4,tabela_registros[CATEGORIA],despesavariávelconsolidadonov[[#This Row],[DESPESA VARIÁVEL]])</f>
        <v>0</v>
      </c>
      <c r="AE68" s="119" t="n">
        <f aca="false">SUMIFS(tabela_registros[VALOR],tabela_registros[MÊS],$AE$1,tabela_registros[DIA],novtotal3059718395107119131143155[[#Headers],[27]],tabela_registros[REGISTRO],DADOS!$N$4,tabela_registros[TIPO],DADOS!$P$4,tabela_registros[CATEGORIA],despesavariávelconsolidadonov[[#This Row],[DESPESA VARIÁVEL]])</f>
        <v>0</v>
      </c>
      <c r="AF68" s="119" t="n">
        <f aca="false">SUMIFS(tabela_registros[VALOR],tabela_registros[MÊS],$AE$1,tabela_registros[DIA],novtotal3059718395107119131143155[[#Headers],[28]],tabela_registros[REGISTRO],DADOS!$N$4,tabela_registros[TIPO],DADOS!$P$4,tabela_registros[CATEGORIA],despesavariávelconsolidadonov[[#This Row],[DESPESA VARIÁVEL]])</f>
        <v>0</v>
      </c>
      <c r="AG68" s="119" t="n">
        <f aca="false">SUMIFS(tabela_registros[VALOR],tabela_registros[MÊS],$AE$1,tabela_registros[DIA],novtotal3059718395107119131143155[[#Headers],[29]],tabela_registros[REGISTRO],DADOS!$N$4,tabela_registros[TIPO],DADOS!$P$4,tabela_registros[CATEGORIA],despesavariávelconsolidadonov[[#This Row],[DESPESA VARIÁVEL]])</f>
        <v>0</v>
      </c>
      <c r="AH68" s="119" t="n">
        <f aca="false">SUMIFS(tabela_registros[VALOR],tabela_registros[MÊS],$AE$1,tabela_registros[DIA],novtotal3059718395107119131143155[[#Headers],[30]],tabela_registros[REGISTRO],DADOS!$N$4,tabela_registros[TIPO],DADOS!$P$4,tabela_registros[CATEGORIA],despesavariávelconsolidadonov[[#This Row],[DESPESA VARIÁVEL]])</f>
        <v>0</v>
      </c>
      <c r="AI68" s="217" t="n">
        <f aca="false">SUMIFS(tabela_registros[VALOR],tabela_registros[MÊS],$AE$1,tabela_registros[DIA],novtotal3059718395107119131143155[[#Headers],[31]],tabela_registros[REGISTRO],DADOS!$N$4,tabela_registros[TIPO],DADOS!$P$4,tabela_registros[CATEGORIA],despesavariávelconsolidadonov[[#This Row],[DESPESA VARIÁVEL]])</f>
        <v>0</v>
      </c>
      <c r="AJ68" s="149" t="n">
        <f aca="false">SUM(despesavariávelconsolidadonov[[#This Row],[1]:[31]])</f>
        <v>0</v>
      </c>
      <c r="AK68" s="143"/>
    </row>
    <row r="69" customFormat="false" ht="18" hidden="false" customHeight="true" outlineLevel="0" collapsed="false">
      <c r="B69" s="143"/>
      <c r="C69" s="144" t="str">
        <f aca="false">DADOS!$T$12</f>
        <v>💊 SAÚDE</v>
      </c>
      <c r="D69" s="145" t="str">
        <f aca="false">IF(despesavariávelconsolidadonov[[#This Row],[TOTAL]]=0,"",IF(OR(despesavariávelconsolidadonov[[#This Row],[TOTAL]]=LARGE($AJ$60:$AJ$72,1),despesavariávelconsolidadonov[[#This Row],[TOTAL]]=LARGE($AJ$60:$AJ$72,2),despesavariávelconsolidadonov[[#This Row],[TOTAL]]=LARGE($AJ$60:$AJ$72,3),despesavariávelconsolidadonov[[#This Row],[TOTAL]]=LARGE($AJ$60:$AJ$72,4),despesavariávelconsolidadonov[[#This Row],[TOTAL]]=LARGE($AJ$60:$AJ$72,5)),DADOS!$I$8,""))</f>
        <v/>
      </c>
      <c r="E69" s="148" t="n">
        <f aca="false">SUMIFS(tabela_registros[VALOR],tabela_registros[MÊS],$AE$1,tabela_registros[DIA],novtotal3059718395107119131143155[[#Headers],[1]],tabela_registros[REGISTRO],DADOS!$N$4,tabela_registros[TIPO],DADOS!$P$4,tabela_registros[CATEGORIA],despesavariávelconsolidadonov[[#This Row],[DESPESA VARIÁVEL]])</f>
        <v>0</v>
      </c>
      <c r="F69" s="119" t="n">
        <f aca="false">SUMIFS(tabela_registros[VALOR],tabela_registros[MÊS],$AE$1,tabela_registros[DIA],novtotal3059718395107119131143155[[#Headers],[2]],tabela_registros[REGISTRO],DADOS!$N$4,tabela_registros[TIPO],DADOS!$P$4,tabela_registros[CATEGORIA],despesavariávelconsolidadonov[[#This Row],[DESPESA VARIÁVEL]])</f>
        <v>0</v>
      </c>
      <c r="G69" s="119" t="n">
        <f aca="false">SUMIFS(tabela_registros[VALOR],tabela_registros[MÊS],$AE$1,tabela_registros[DIA],novtotal3059718395107119131143155[[#Headers],[3]],tabela_registros[REGISTRO],DADOS!$N$4,tabela_registros[TIPO],DADOS!$P$4,tabela_registros[CATEGORIA],despesavariávelconsolidadonov[[#This Row],[DESPESA VARIÁVEL]])</f>
        <v>0</v>
      </c>
      <c r="H69" s="119" t="n">
        <f aca="false">SUMIFS(tabela_registros[VALOR],tabela_registros[MÊS],$AE$1,tabela_registros[DIA],novtotal3059718395107119131143155[[#Headers],[4]],tabela_registros[REGISTRO],DADOS!$N$4,tabela_registros[TIPO],DADOS!$P$4,tabela_registros[CATEGORIA],despesavariávelconsolidadonov[[#This Row],[DESPESA VARIÁVEL]])</f>
        <v>0</v>
      </c>
      <c r="I69" s="119" t="n">
        <f aca="false">SUMIFS(tabela_registros[VALOR],tabela_registros[MÊS],$AE$1,tabela_registros[DIA],novtotal3059718395107119131143155[[#Headers],[5]],tabela_registros[REGISTRO],DADOS!$N$4,tabela_registros[TIPO],DADOS!$P$4,tabela_registros[CATEGORIA],despesavariávelconsolidadonov[[#This Row],[DESPESA VARIÁVEL]])</f>
        <v>0</v>
      </c>
      <c r="J69" s="119" t="n">
        <f aca="false">SUMIFS(tabela_registros[VALOR],tabela_registros[MÊS],$AE$1,tabela_registros[DIA],novtotal3059718395107119131143155[[#Headers],[6]],tabela_registros[REGISTRO],DADOS!$N$4,tabela_registros[TIPO],DADOS!$P$4,tabela_registros[CATEGORIA],despesavariávelconsolidadonov[[#This Row],[DESPESA VARIÁVEL]])</f>
        <v>0</v>
      </c>
      <c r="K69" s="119" t="n">
        <f aca="false">SUMIFS(tabela_registros[VALOR],tabela_registros[MÊS],$AE$1,tabela_registros[DIA],novtotal3059718395107119131143155[[#Headers],[7]],tabela_registros[REGISTRO],DADOS!$N$4,tabela_registros[TIPO],DADOS!$P$4,tabela_registros[CATEGORIA],despesavariávelconsolidadonov[[#This Row],[DESPESA VARIÁVEL]])</f>
        <v>0</v>
      </c>
      <c r="L69" s="119" t="n">
        <f aca="false">SUMIFS(tabela_registros[VALOR],tabela_registros[MÊS],$AE$1,tabela_registros[DIA],novtotal3059718395107119131143155[[#Headers],[8]],tabela_registros[REGISTRO],DADOS!$N$4,tabela_registros[TIPO],DADOS!$P$4,tabela_registros[CATEGORIA],despesavariávelconsolidadonov[[#This Row],[DESPESA VARIÁVEL]])</f>
        <v>0</v>
      </c>
      <c r="M69" s="119" t="n">
        <f aca="false">SUMIFS(tabela_registros[VALOR],tabela_registros[MÊS],$AE$1,tabela_registros[DIA],novtotal3059718395107119131143155[[#Headers],[9]],tabela_registros[REGISTRO],DADOS!$N$4,tabela_registros[TIPO],DADOS!$P$4,tabela_registros[CATEGORIA],despesavariávelconsolidadonov[[#This Row],[DESPESA VARIÁVEL]])</f>
        <v>0</v>
      </c>
      <c r="N69" s="119" t="n">
        <f aca="false">SUMIFS(tabela_registros[VALOR],tabela_registros[MÊS],$AE$1,tabela_registros[DIA],novtotal3059718395107119131143155[[#Headers],[10]],tabela_registros[REGISTRO],DADOS!$N$4,tabela_registros[TIPO],DADOS!$P$4,tabela_registros[CATEGORIA],despesavariávelconsolidadonov[[#This Row],[DESPESA VARIÁVEL]])</f>
        <v>0</v>
      </c>
      <c r="O69" s="119" t="n">
        <f aca="false">SUMIFS(tabela_registros[VALOR],tabela_registros[MÊS],$AE$1,tabela_registros[DIA],novtotal3059718395107119131143155[[#Headers],[11]],tabela_registros[REGISTRO],DADOS!$N$4,tabela_registros[TIPO],DADOS!$P$4,tabela_registros[CATEGORIA],despesavariávelconsolidadonov[[#This Row],[DESPESA VARIÁVEL]])</f>
        <v>0</v>
      </c>
      <c r="P69" s="119" t="n">
        <f aca="false">SUMIFS(tabela_registros[VALOR],tabela_registros[MÊS],$AE$1,tabela_registros[DIA],novtotal3059718395107119131143155[[#Headers],[12]],tabela_registros[REGISTRO],DADOS!$N$4,tabela_registros[TIPO],DADOS!$P$4,tabela_registros[CATEGORIA],despesavariávelconsolidadonov[[#This Row],[DESPESA VARIÁVEL]])</f>
        <v>0</v>
      </c>
      <c r="Q69" s="119" t="n">
        <f aca="false">SUMIFS(tabela_registros[VALOR],tabela_registros[MÊS],$AE$1,tabela_registros[DIA],novtotal3059718395107119131143155[[#Headers],[13]],tabela_registros[REGISTRO],DADOS!$N$4,tabela_registros[TIPO],DADOS!$P$4,tabela_registros[CATEGORIA],despesavariávelconsolidadonov[[#This Row],[DESPESA VARIÁVEL]])</f>
        <v>0</v>
      </c>
      <c r="R69" s="119" t="n">
        <f aca="false">SUMIFS(tabela_registros[VALOR],tabela_registros[MÊS],$AE$1,tabela_registros[DIA],novtotal3059718395107119131143155[[#Headers],[14]],tabela_registros[REGISTRO],DADOS!$N$4,tabela_registros[TIPO],DADOS!$P$4,tabela_registros[CATEGORIA],despesavariávelconsolidadonov[[#This Row],[DESPESA VARIÁVEL]])</f>
        <v>0</v>
      </c>
      <c r="S69" s="119" t="n">
        <f aca="false">SUMIFS(tabela_registros[VALOR],tabela_registros[MÊS],$AE$1,tabela_registros[DIA],novtotal3059718395107119131143155[[#Headers],[15]],tabela_registros[REGISTRO],DADOS!$N$4,tabela_registros[TIPO],DADOS!$P$4,tabela_registros[CATEGORIA],despesavariávelconsolidadonov[[#This Row],[DESPESA VARIÁVEL]])</f>
        <v>0</v>
      </c>
      <c r="T69" s="119" t="n">
        <f aca="false">SUMIFS(tabela_registros[VALOR],tabela_registros[MÊS],$AE$1,tabela_registros[DIA],novtotal3059718395107119131143155[[#Headers],[16]],tabela_registros[REGISTRO],DADOS!$N$4,tabela_registros[TIPO],DADOS!$P$4,tabela_registros[CATEGORIA],despesavariávelconsolidadonov[[#This Row],[DESPESA VARIÁVEL]])</f>
        <v>0</v>
      </c>
      <c r="U69" s="119" t="n">
        <f aca="false">SUMIFS(tabela_registros[VALOR],tabela_registros[MÊS],$AE$1,tabela_registros[DIA],novtotal3059718395107119131143155[[#Headers],[17]],tabela_registros[REGISTRO],DADOS!$N$4,tabela_registros[TIPO],DADOS!$P$4,tabela_registros[CATEGORIA],despesavariávelconsolidadonov[[#This Row],[DESPESA VARIÁVEL]])</f>
        <v>0</v>
      </c>
      <c r="V69" s="119" t="n">
        <f aca="false">SUMIFS(tabela_registros[VALOR],tabela_registros[MÊS],$AE$1,tabela_registros[DIA],novtotal3059718395107119131143155[[#Headers],[18]],tabela_registros[REGISTRO],DADOS!$N$4,tabela_registros[TIPO],DADOS!$P$4,tabela_registros[CATEGORIA],despesavariávelconsolidadonov[[#This Row],[DESPESA VARIÁVEL]])</f>
        <v>0</v>
      </c>
      <c r="W69" s="119" t="n">
        <f aca="false">SUMIFS(tabela_registros[VALOR],tabela_registros[MÊS],$AE$1,tabela_registros[DIA],novtotal3059718395107119131143155[[#Headers],[19]],tabela_registros[REGISTRO],DADOS!$N$4,tabela_registros[TIPO],DADOS!$P$4,tabela_registros[CATEGORIA],despesavariávelconsolidadonov[[#This Row],[DESPESA VARIÁVEL]])</f>
        <v>0</v>
      </c>
      <c r="X69" s="119" t="n">
        <f aca="false">SUMIFS(tabela_registros[VALOR],tabela_registros[MÊS],$AE$1,tabela_registros[DIA],novtotal3059718395107119131143155[[#Headers],[20]],tabela_registros[REGISTRO],DADOS!$N$4,tabela_registros[TIPO],DADOS!$P$4,tabela_registros[CATEGORIA],despesavariávelconsolidadonov[[#This Row],[DESPESA VARIÁVEL]])</f>
        <v>0</v>
      </c>
      <c r="Y69" s="119" t="n">
        <f aca="false">SUMIFS(tabela_registros[VALOR],tabela_registros[MÊS],$AE$1,tabela_registros[DIA],novtotal3059718395107119131143155[[#Headers],[21]],tabela_registros[REGISTRO],DADOS!$N$4,tabela_registros[TIPO],DADOS!$P$4,tabela_registros[CATEGORIA],despesavariávelconsolidadonov[[#This Row],[DESPESA VARIÁVEL]])</f>
        <v>0</v>
      </c>
      <c r="Z69" s="119" t="n">
        <f aca="false">SUMIFS(tabela_registros[VALOR],tabela_registros[MÊS],$AE$1,tabela_registros[DIA],novtotal3059718395107119131143155[[#Headers],[22]],tabela_registros[REGISTRO],DADOS!$N$4,tabela_registros[TIPO],DADOS!$P$4,tabela_registros[CATEGORIA],despesavariávelconsolidadonov[[#This Row],[DESPESA VARIÁVEL]])</f>
        <v>0</v>
      </c>
      <c r="AA69" s="119" t="n">
        <f aca="false">SUMIFS(tabela_registros[VALOR],tabela_registros[MÊS],$AE$1,tabela_registros[DIA],novtotal3059718395107119131143155[[#Headers],[23]],tabela_registros[REGISTRO],DADOS!$N$4,tabela_registros[TIPO],DADOS!$P$4,tabela_registros[CATEGORIA],despesavariávelconsolidadonov[[#This Row],[DESPESA VARIÁVEL]])</f>
        <v>0</v>
      </c>
      <c r="AB69" s="119" t="n">
        <f aca="false">SUMIFS(tabela_registros[VALOR],tabela_registros[MÊS],$AE$1,tabela_registros[DIA],novtotal3059718395107119131143155[[#Headers],[24]],tabela_registros[REGISTRO],DADOS!$N$4,tabela_registros[TIPO],DADOS!$P$4,tabela_registros[CATEGORIA],despesavariávelconsolidadonov[[#This Row],[DESPESA VARIÁVEL]])</f>
        <v>0</v>
      </c>
      <c r="AC69" s="119" t="n">
        <f aca="false">SUMIFS(tabela_registros[VALOR],tabela_registros[MÊS],$AE$1,tabela_registros[DIA],novtotal3059718395107119131143155[[#Headers],[25]],tabela_registros[REGISTRO],DADOS!$N$4,tabela_registros[TIPO],DADOS!$P$4,tabela_registros[CATEGORIA],despesavariávelconsolidadonov[[#This Row],[DESPESA VARIÁVEL]])</f>
        <v>0</v>
      </c>
      <c r="AD69" s="119" t="n">
        <f aca="false">SUMIFS(tabela_registros[VALOR],tabela_registros[MÊS],$AE$1,tabela_registros[DIA],novtotal3059718395107119131143155[[#Headers],[26]],tabela_registros[REGISTRO],DADOS!$N$4,tabela_registros[TIPO],DADOS!$P$4,tabela_registros[CATEGORIA],despesavariávelconsolidadonov[[#This Row],[DESPESA VARIÁVEL]])</f>
        <v>0</v>
      </c>
      <c r="AE69" s="119" t="n">
        <f aca="false">SUMIFS(tabela_registros[VALOR],tabela_registros[MÊS],$AE$1,tabela_registros[DIA],novtotal3059718395107119131143155[[#Headers],[27]],tabela_registros[REGISTRO],DADOS!$N$4,tabela_registros[TIPO],DADOS!$P$4,tabela_registros[CATEGORIA],despesavariávelconsolidadonov[[#This Row],[DESPESA VARIÁVEL]])</f>
        <v>0</v>
      </c>
      <c r="AF69" s="119" t="n">
        <f aca="false">SUMIFS(tabela_registros[VALOR],tabela_registros[MÊS],$AE$1,tabela_registros[DIA],novtotal3059718395107119131143155[[#Headers],[28]],tabela_registros[REGISTRO],DADOS!$N$4,tabela_registros[TIPO],DADOS!$P$4,tabela_registros[CATEGORIA],despesavariávelconsolidadonov[[#This Row],[DESPESA VARIÁVEL]])</f>
        <v>0</v>
      </c>
      <c r="AG69" s="119" t="n">
        <f aca="false">SUMIFS(tabela_registros[VALOR],tabela_registros[MÊS],$AE$1,tabela_registros[DIA],novtotal3059718395107119131143155[[#Headers],[29]],tabela_registros[REGISTRO],DADOS!$N$4,tabela_registros[TIPO],DADOS!$P$4,tabela_registros[CATEGORIA],despesavariávelconsolidadonov[[#This Row],[DESPESA VARIÁVEL]])</f>
        <v>0</v>
      </c>
      <c r="AH69" s="119" t="n">
        <f aca="false">SUMIFS(tabela_registros[VALOR],tabela_registros[MÊS],$AE$1,tabela_registros[DIA],novtotal3059718395107119131143155[[#Headers],[30]],tabela_registros[REGISTRO],DADOS!$N$4,tabela_registros[TIPO],DADOS!$P$4,tabela_registros[CATEGORIA],despesavariávelconsolidadonov[[#This Row],[DESPESA VARIÁVEL]])</f>
        <v>0</v>
      </c>
      <c r="AI69" s="217" t="n">
        <f aca="false">SUMIFS(tabela_registros[VALOR],tabela_registros[MÊS],$AE$1,tabela_registros[DIA],novtotal3059718395107119131143155[[#Headers],[31]],tabela_registros[REGISTRO],DADOS!$N$4,tabela_registros[TIPO],DADOS!$P$4,tabela_registros[CATEGORIA],despesavariávelconsolidadonov[[#This Row],[DESPESA VARIÁVEL]])</f>
        <v>0</v>
      </c>
      <c r="AJ69" s="149" t="n">
        <f aca="false">SUM(despesavariávelconsolidadonov[[#This Row],[1]:[31]])</f>
        <v>0</v>
      </c>
      <c r="AK69" s="143"/>
    </row>
    <row r="70" customFormat="false" ht="18" hidden="false" customHeight="true" outlineLevel="0" collapsed="false">
      <c r="B70" s="143"/>
      <c r="C70" s="144" t="str">
        <f aca="false">DADOS!$T$13</f>
        <v>🚍 TRANSPORTE</v>
      </c>
      <c r="D70" s="145" t="str">
        <f aca="false">IF(despesavariávelconsolidadonov[[#This Row],[TOTAL]]=0,"",IF(OR(despesavariávelconsolidadonov[[#This Row],[TOTAL]]=LARGE($AJ$60:$AJ$72,1),despesavariávelconsolidadonov[[#This Row],[TOTAL]]=LARGE($AJ$60:$AJ$72,2),despesavariávelconsolidadonov[[#This Row],[TOTAL]]=LARGE($AJ$60:$AJ$72,3),despesavariávelconsolidadonov[[#This Row],[TOTAL]]=LARGE($AJ$60:$AJ$72,4),despesavariávelconsolidadonov[[#This Row],[TOTAL]]=LARGE($AJ$60:$AJ$72,5)),DADOS!$I$8,""))</f>
        <v/>
      </c>
      <c r="E70" s="148" t="n">
        <f aca="false">SUMIFS(tabela_registros[VALOR],tabela_registros[MÊS],$AE$1,tabela_registros[DIA],novtotal3059718395107119131143155[[#Headers],[1]],tabela_registros[REGISTRO],DADOS!$N$4,tabela_registros[TIPO],DADOS!$P$4,tabela_registros[CATEGORIA],despesavariávelconsolidadonov[[#This Row],[DESPESA VARIÁVEL]])</f>
        <v>0</v>
      </c>
      <c r="F70" s="119" t="n">
        <f aca="false">SUMIFS(tabela_registros[VALOR],tabela_registros[MÊS],$AE$1,tabela_registros[DIA],novtotal3059718395107119131143155[[#Headers],[2]],tabela_registros[REGISTRO],DADOS!$N$4,tabela_registros[TIPO],DADOS!$P$4,tabela_registros[CATEGORIA],despesavariávelconsolidadonov[[#This Row],[DESPESA VARIÁVEL]])</f>
        <v>0</v>
      </c>
      <c r="G70" s="119" t="n">
        <f aca="false">SUMIFS(tabela_registros[VALOR],tabela_registros[MÊS],$AE$1,tabela_registros[DIA],novtotal3059718395107119131143155[[#Headers],[3]],tabela_registros[REGISTRO],DADOS!$N$4,tabela_registros[TIPO],DADOS!$P$4,tabela_registros[CATEGORIA],despesavariávelconsolidadonov[[#This Row],[DESPESA VARIÁVEL]])</f>
        <v>0</v>
      </c>
      <c r="H70" s="119" t="n">
        <f aca="false">SUMIFS(tabela_registros[VALOR],tabela_registros[MÊS],$AE$1,tabela_registros[DIA],novtotal3059718395107119131143155[[#Headers],[4]],tabela_registros[REGISTRO],DADOS!$N$4,tabela_registros[TIPO],DADOS!$P$4,tabela_registros[CATEGORIA],despesavariávelconsolidadonov[[#This Row],[DESPESA VARIÁVEL]])</f>
        <v>0</v>
      </c>
      <c r="I70" s="119" t="n">
        <f aca="false">SUMIFS(tabela_registros[VALOR],tabela_registros[MÊS],$AE$1,tabela_registros[DIA],novtotal3059718395107119131143155[[#Headers],[5]],tabela_registros[REGISTRO],DADOS!$N$4,tabela_registros[TIPO],DADOS!$P$4,tabela_registros[CATEGORIA],despesavariávelconsolidadonov[[#This Row],[DESPESA VARIÁVEL]])</f>
        <v>0</v>
      </c>
      <c r="J70" s="119" t="n">
        <f aca="false">SUMIFS(tabela_registros[VALOR],tabela_registros[MÊS],$AE$1,tabela_registros[DIA],novtotal3059718395107119131143155[[#Headers],[6]],tabela_registros[REGISTRO],DADOS!$N$4,tabela_registros[TIPO],DADOS!$P$4,tabela_registros[CATEGORIA],despesavariávelconsolidadonov[[#This Row],[DESPESA VARIÁVEL]])</f>
        <v>0</v>
      </c>
      <c r="K70" s="119" t="n">
        <f aca="false">SUMIFS(tabela_registros[VALOR],tabela_registros[MÊS],$AE$1,tabela_registros[DIA],novtotal3059718395107119131143155[[#Headers],[7]],tabela_registros[REGISTRO],DADOS!$N$4,tabela_registros[TIPO],DADOS!$P$4,tabela_registros[CATEGORIA],despesavariávelconsolidadonov[[#This Row],[DESPESA VARIÁVEL]])</f>
        <v>0</v>
      </c>
      <c r="L70" s="119" t="n">
        <f aca="false">SUMIFS(tabela_registros[VALOR],tabela_registros[MÊS],$AE$1,tabela_registros[DIA],novtotal3059718395107119131143155[[#Headers],[8]],tabela_registros[REGISTRO],DADOS!$N$4,tabela_registros[TIPO],DADOS!$P$4,tabela_registros[CATEGORIA],despesavariávelconsolidadonov[[#This Row],[DESPESA VARIÁVEL]])</f>
        <v>0</v>
      </c>
      <c r="M70" s="119" t="n">
        <f aca="false">SUMIFS(tabela_registros[VALOR],tabela_registros[MÊS],$AE$1,tabela_registros[DIA],novtotal3059718395107119131143155[[#Headers],[9]],tabela_registros[REGISTRO],DADOS!$N$4,tabela_registros[TIPO],DADOS!$P$4,tabela_registros[CATEGORIA],despesavariávelconsolidadonov[[#This Row],[DESPESA VARIÁVEL]])</f>
        <v>0</v>
      </c>
      <c r="N70" s="119" t="n">
        <f aca="false">SUMIFS(tabela_registros[VALOR],tabela_registros[MÊS],$AE$1,tabela_registros[DIA],novtotal3059718395107119131143155[[#Headers],[10]],tabela_registros[REGISTRO],DADOS!$N$4,tabela_registros[TIPO],DADOS!$P$4,tabela_registros[CATEGORIA],despesavariávelconsolidadonov[[#This Row],[DESPESA VARIÁVEL]])</f>
        <v>0</v>
      </c>
      <c r="O70" s="119" t="n">
        <f aca="false">SUMIFS(tabela_registros[VALOR],tabela_registros[MÊS],$AE$1,tabela_registros[DIA],novtotal3059718395107119131143155[[#Headers],[11]],tabela_registros[REGISTRO],DADOS!$N$4,tabela_registros[TIPO],DADOS!$P$4,tabela_registros[CATEGORIA],despesavariávelconsolidadonov[[#This Row],[DESPESA VARIÁVEL]])</f>
        <v>0</v>
      </c>
      <c r="P70" s="119" t="n">
        <f aca="false">SUMIFS(tabela_registros[VALOR],tabela_registros[MÊS],$AE$1,tabela_registros[DIA],novtotal3059718395107119131143155[[#Headers],[12]],tabela_registros[REGISTRO],DADOS!$N$4,tabela_registros[TIPO],DADOS!$P$4,tabela_registros[CATEGORIA],despesavariávelconsolidadonov[[#This Row],[DESPESA VARIÁVEL]])</f>
        <v>0</v>
      </c>
      <c r="Q70" s="119" t="n">
        <f aca="false">SUMIFS(tabela_registros[VALOR],tabela_registros[MÊS],$AE$1,tabela_registros[DIA],novtotal3059718395107119131143155[[#Headers],[13]],tabela_registros[REGISTRO],DADOS!$N$4,tabela_registros[TIPO],DADOS!$P$4,tabela_registros[CATEGORIA],despesavariávelconsolidadonov[[#This Row],[DESPESA VARIÁVEL]])</f>
        <v>0</v>
      </c>
      <c r="R70" s="119" t="n">
        <f aca="false">SUMIFS(tabela_registros[VALOR],tabela_registros[MÊS],$AE$1,tabela_registros[DIA],novtotal3059718395107119131143155[[#Headers],[14]],tabela_registros[REGISTRO],DADOS!$N$4,tabela_registros[TIPO],DADOS!$P$4,tabela_registros[CATEGORIA],despesavariávelconsolidadonov[[#This Row],[DESPESA VARIÁVEL]])</f>
        <v>0</v>
      </c>
      <c r="S70" s="119" t="n">
        <f aca="false">SUMIFS(tabela_registros[VALOR],tabela_registros[MÊS],$AE$1,tabela_registros[DIA],novtotal3059718395107119131143155[[#Headers],[15]],tabela_registros[REGISTRO],DADOS!$N$4,tabela_registros[TIPO],DADOS!$P$4,tabela_registros[CATEGORIA],despesavariávelconsolidadonov[[#This Row],[DESPESA VARIÁVEL]])</f>
        <v>0</v>
      </c>
      <c r="T70" s="119" t="n">
        <f aca="false">SUMIFS(tabela_registros[VALOR],tabela_registros[MÊS],$AE$1,tabela_registros[DIA],novtotal3059718395107119131143155[[#Headers],[16]],tabela_registros[REGISTRO],DADOS!$N$4,tabela_registros[TIPO],DADOS!$P$4,tabela_registros[CATEGORIA],despesavariávelconsolidadonov[[#This Row],[DESPESA VARIÁVEL]])</f>
        <v>0</v>
      </c>
      <c r="U70" s="119" t="n">
        <f aca="false">SUMIFS(tabela_registros[VALOR],tabela_registros[MÊS],$AE$1,tabela_registros[DIA],novtotal3059718395107119131143155[[#Headers],[17]],tabela_registros[REGISTRO],DADOS!$N$4,tabela_registros[TIPO],DADOS!$P$4,tabela_registros[CATEGORIA],despesavariávelconsolidadonov[[#This Row],[DESPESA VARIÁVEL]])</f>
        <v>0</v>
      </c>
      <c r="V70" s="119" t="n">
        <f aca="false">SUMIFS(tabela_registros[VALOR],tabela_registros[MÊS],$AE$1,tabela_registros[DIA],novtotal3059718395107119131143155[[#Headers],[18]],tabela_registros[REGISTRO],DADOS!$N$4,tabela_registros[TIPO],DADOS!$P$4,tabela_registros[CATEGORIA],despesavariávelconsolidadonov[[#This Row],[DESPESA VARIÁVEL]])</f>
        <v>0</v>
      </c>
      <c r="W70" s="119" t="n">
        <f aca="false">SUMIFS(tabela_registros[VALOR],tabela_registros[MÊS],$AE$1,tabela_registros[DIA],novtotal3059718395107119131143155[[#Headers],[19]],tabela_registros[REGISTRO],DADOS!$N$4,tabela_registros[TIPO],DADOS!$P$4,tabela_registros[CATEGORIA],despesavariávelconsolidadonov[[#This Row],[DESPESA VARIÁVEL]])</f>
        <v>0</v>
      </c>
      <c r="X70" s="119" t="n">
        <f aca="false">SUMIFS(tabela_registros[VALOR],tabela_registros[MÊS],$AE$1,tabela_registros[DIA],novtotal3059718395107119131143155[[#Headers],[20]],tabela_registros[REGISTRO],DADOS!$N$4,tabela_registros[TIPO],DADOS!$P$4,tabela_registros[CATEGORIA],despesavariávelconsolidadonov[[#This Row],[DESPESA VARIÁVEL]])</f>
        <v>0</v>
      </c>
      <c r="Y70" s="119" t="n">
        <f aca="false">SUMIFS(tabela_registros[VALOR],tabela_registros[MÊS],$AE$1,tabela_registros[DIA],novtotal3059718395107119131143155[[#Headers],[21]],tabela_registros[REGISTRO],DADOS!$N$4,tabela_registros[TIPO],DADOS!$P$4,tabela_registros[CATEGORIA],despesavariávelconsolidadonov[[#This Row],[DESPESA VARIÁVEL]])</f>
        <v>0</v>
      </c>
      <c r="Z70" s="119" t="n">
        <f aca="false">SUMIFS(tabela_registros[VALOR],tabela_registros[MÊS],$AE$1,tabela_registros[DIA],novtotal3059718395107119131143155[[#Headers],[22]],tabela_registros[REGISTRO],DADOS!$N$4,tabela_registros[TIPO],DADOS!$P$4,tabela_registros[CATEGORIA],despesavariávelconsolidadonov[[#This Row],[DESPESA VARIÁVEL]])</f>
        <v>0</v>
      </c>
      <c r="AA70" s="119" t="n">
        <f aca="false">SUMIFS(tabela_registros[VALOR],tabela_registros[MÊS],$AE$1,tabela_registros[DIA],novtotal3059718395107119131143155[[#Headers],[23]],tabela_registros[REGISTRO],DADOS!$N$4,tabela_registros[TIPO],DADOS!$P$4,tabela_registros[CATEGORIA],despesavariávelconsolidadonov[[#This Row],[DESPESA VARIÁVEL]])</f>
        <v>0</v>
      </c>
      <c r="AB70" s="119" t="n">
        <f aca="false">SUMIFS(tabela_registros[VALOR],tabela_registros[MÊS],$AE$1,tabela_registros[DIA],novtotal3059718395107119131143155[[#Headers],[24]],tabela_registros[REGISTRO],DADOS!$N$4,tabela_registros[TIPO],DADOS!$P$4,tabela_registros[CATEGORIA],despesavariávelconsolidadonov[[#This Row],[DESPESA VARIÁVEL]])</f>
        <v>0</v>
      </c>
      <c r="AC70" s="119" t="n">
        <f aca="false">SUMIFS(tabela_registros[VALOR],tabela_registros[MÊS],$AE$1,tabela_registros[DIA],novtotal3059718395107119131143155[[#Headers],[25]],tabela_registros[REGISTRO],DADOS!$N$4,tabela_registros[TIPO],DADOS!$P$4,tabela_registros[CATEGORIA],despesavariávelconsolidadonov[[#This Row],[DESPESA VARIÁVEL]])</f>
        <v>0</v>
      </c>
      <c r="AD70" s="119" t="n">
        <f aca="false">SUMIFS(tabela_registros[VALOR],tabela_registros[MÊS],$AE$1,tabela_registros[DIA],novtotal3059718395107119131143155[[#Headers],[26]],tabela_registros[REGISTRO],DADOS!$N$4,tabela_registros[TIPO],DADOS!$P$4,tabela_registros[CATEGORIA],despesavariávelconsolidadonov[[#This Row],[DESPESA VARIÁVEL]])</f>
        <v>0</v>
      </c>
      <c r="AE70" s="119" t="n">
        <f aca="false">SUMIFS(tabela_registros[VALOR],tabela_registros[MÊS],$AE$1,tabela_registros[DIA],novtotal3059718395107119131143155[[#Headers],[27]],tabela_registros[REGISTRO],DADOS!$N$4,tabela_registros[TIPO],DADOS!$P$4,tabela_registros[CATEGORIA],despesavariávelconsolidadonov[[#This Row],[DESPESA VARIÁVEL]])</f>
        <v>0</v>
      </c>
      <c r="AF70" s="119" t="n">
        <f aca="false">SUMIFS(tabela_registros[VALOR],tabela_registros[MÊS],$AE$1,tabela_registros[DIA],novtotal3059718395107119131143155[[#Headers],[28]],tabela_registros[REGISTRO],DADOS!$N$4,tabela_registros[TIPO],DADOS!$P$4,tabela_registros[CATEGORIA],despesavariávelconsolidadonov[[#This Row],[DESPESA VARIÁVEL]])</f>
        <v>0</v>
      </c>
      <c r="AG70" s="119" t="n">
        <f aca="false">SUMIFS(tabela_registros[VALOR],tabela_registros[MÊS],$AE$1,tabela_registros[DIA],novtotal3059718395107119131143155[[#Headers],[29]],tabela_registros[REGISTRO],DADOS!$N$4,tabela_registros[TIPO],DADOS!$P$4,tabela_registros[CATEGORIA],despesavariávelconsolidadonov[[#This Row],[DESPESA VARIÁVEL]])</f>
        <v>0</v>
      </c>
      <c r="AH70" s="119" t="n">
        <f aca="false">SUMIFS(tabela_registros[VALOR],tabela_registros[MÊS],$AE$1,tabela_registros[DIA],novtotal3059718395107119131143155[[#Headers],[30]],tabela_registros[REGISTRO],DADOS!$N$4,tabela_registros[TIPO],DADOS!$P$4,tabela_registros[CATEGORIA],despesavariávelconsolidadonov[[#This Row],[DESPESA VARIÁVEL]])</f>
        <v>0</v>
      </c>
      <c r="AI70" s="217" t="n">
        <f aca="false">SUMIFS(tabela_registros[VALOR],tabela_registros[MÊS],$AE$1,tabela_registros[DIA],novtotal3059718395107119131143155[[#Headers],[31]],tabela_registros[REGISTRO],DADOS!$N$4,tabela_registros[TIPO],DADOS!$P$4,tabela_registros[CATEGORIA],despesavariávelconsolidadonov[[#This Row],[DESPESA VARIÁVEL]])</f>
        <v>0</v>
      </c>
      <c r="AJ70" s="149" t="n">
        <f aca="false">SUM(despesavariávelconsolidadonov[[#This Row],[1]:[31]])</f>
        <v>0</v>
      </c>
      <c r="AK70" s="143"/>
    </row>
    <row r="71" customFormat="false" ht="18" hidden="false" customHeight="true" outlineLevel="0" collapsed="false">
      <c r="B71" s="143"/>
      <c r="C71" s="144" t="str">
        <f aca="false">DADOS!$T$14</f>
        <v>🛍️ VESTUÁRIO</v>
      </c>
      <c r="D71" s="145" t="str">
        <f aca="false">IF(despesavariávelconsolidadonov[[#This Row],[TOTAL]]=0,"",IF(OR(despesavariávelconsolidadonov[[#This Row],[TOTAL]]=LARGE($AJ$60:$AJ$72,1),despesavariávelconsolidadonov[[#This Row],[TOTAL]]=LARGE($AJ$60:$AJ$72,2),despesavariávelconsolidadonov[[#This Row],[TOTAL]]=LARGE($AJ$60:$AJ$72,3),despesavariávelconsolidadonov[[#This Row],[TOTAL]]=LARGE($AJ$60:$AJ$72,4),despesavariávelconsolidadonov[[#This Row],[TOTAL]]=LARGE($AJ$60:$AJ$72,5)),DADOS!$I$8,""))</f>
        <v/>
      </c>
      <c r="E71" s="148" t="n">
        <f aca="false">SUMIFS(tabela_registros[VALOR],tabela_registros[MÊS],$AE$1,tabela_registros[DIA],novtotal3059718395107119131143155[[#Headers],[1]],tabela_registros[REGISTRO],DADOS!$N$4,tabela_registros[TIPO],DADOS!$P$4,tabela_registros[CATEGORIA],despesavariávelconsolidadonov[[#This Row],[DESPESA VARIÁVEL]])</f>
        <v>0</v>
      </c>
      <c r="F71" s="119" t="n">
        <f aca="false">SUMIFS(tabela_registros[VALOR],tabela_registros[MÊS],$AE$1,tabela_registros[DIA],novtotal3059718395107119131143155[[#Headers],[2]],tabela_registros[REGISTRO],DADOS!$N$4,tabela_registros[TIPO],DADOS!$P$4,tabela_registros[CATEGORIA],despesavariávelconsolidadonov[[#This Row],[DESPESA VARIÁVEL]])</f>
        <v>0</v>
      </c>
      <c r="G71" s="119" t="n">
        <f aca="false">SUMIFS(tabela_registros[VALOR],tabela_registros[MÊS],$AE$1,tabela_registros[DIA],novtotal3059718395107119131143155[[#Headers],[3]],tabela_registros[REGISTRO],DADOS!$N$4,tabela_registros[TIPO],DADOS!$P$4,tabela_registros[CATEGORIA],despesavariávelconsolidadonov[[#This Row],[DESPESA VARIÁVEL]])</f>
        <v>0</v>
      </c>
      <c r="H71" s="119" t="n">
        <f aca="false">SUMIFS(tabela_registros[VALOR],tabela_registros[MÊS],$AE$1,tabela_registros[DIA],novtotal3059718395107119131143155[[#Headers],[4]],tabela_registros[REGISTRO],DADOS!$N$4,tabela_registros[TIPO],DADOS!$P$4,tabela_registros[CATEGORIA],despesavariávelconsolidadonov[[#This Row],[DESPESA VARIÁVEL]])</f>
        <v>0</v>
      </c>
      <c r="I71" s="119" t="n">
        <f aca="false">SUMIFS(tabela_registros[VALOR],tabela_registros[MÊS],$AE$1,tabela_registros[DIA],novtotal3059718395107119131143155[[#Headers],[5]],tabela_registros[REGISTRO],DADOS!$N$4,tabela_registros[TIPO],DADOS!$P$4,tabela_registros[CATEGORIA],despesavariávelconsolidadonov[[#This Row],[DESPESA VARIÁVEL]])</f>
        <v>0</v>
      </c>
      <c r="J71" s="119" t="n">
        <f aca="false">SUMIFS(tabela_registros[VALOR],tabela_registros[MÊS],$AE$1,tabela_registros[DIA],novtotal3059718395107119131143155[[#Headers],[6]],tabela_registros[REGISTRO],DADOS!$N$4,tabela_registros[TIPO],DADOS!$P$4,tabela_registros[CATEGORIA],despesavariávelconsolidadonov[[#This Row],[DESPESA VARIÁVEL]])</f>
        <v>0</v>
      </c>
      <c r="K71" s="119" t="n">
        <f aca="false">SUMIFS(tabela_registros[VALOR],tabela_registros[MÊS],$AE$1,tabela_registros[DIA],novtotal3059718395107119131143155[[#Headers],[7]],tabela_registros[REGISTRO],DADOS!$N$4,tabela_registros[TIPO],DADOS!$P$4,tabela_registros[CATEGORIA],despesavariávelconsolidadonov[[#This Row],[DESPESA VARIÁVEL]])</f>
        <v>0</v>
      </c>
      <c r="L71" s="119" t="n">
        <f aca="false">SUMIFS(tabela_registros[VALOR],tabela_registros[MÊS],$AE$1,tabela_registros[DIA],novtotal3059718395107119131143155[[#Headers],[8]],tabela_registros[REGISTRO],DADOS!$N$4,tabela_registros[TIPO],DADOS!$P$4,tabela_registros[CATEGORIA],despesavariávelconsolidadonov[[#This Row],[DESPESA VARIÁVEL]])</f>
        <v>0</v>
      </c>
      <c r="M71" s="119" t="n">
        <f aca="false">SUMIFS(tabela_registros[VALOR],tabela_registros[MÊS],$AE$1,tabela_registros[DIA],novtotal3059718395107119131143155[[#Headers],[9]],tabela_registros[REGISTRO],DADOS!$N$4,tabela_registros[TIPO],DADOS!$P$4,tabela_registros[CATEGORIA],despesavariávelconsolidadonov[[#This Row],[DESPESA VARIÁVEL]])</f>
        <v>0</v>
      </c>
      <c r="N71" s="119" t="n">
        <f aca="false">SUMIFS(tabela_registros[VALOR],tabela_registros[MÊS],$AE$1,tabela_registros[DIA],novtotal3059718395107119131143155[[#Headers],[10]],tabela_registros[REGISTRO],DADOS!$N$4,tabela_registros[TIPO],DADOS!$P$4,tabela_registros[CATEGORIA],despesavariávelconsolidadonov[[#This Row],[DESPESA VARIÁVEL]])</f>
        <v>0</v>
      </c>
      <c r="O71" s="119" t="n">
        <f aca="false">SUMIFS(tabela_registros[VALOR],tabela_registros[MÊS],$AE$1,tabela_registros[DIA],novtotal3059718395107119131143155[[#Headers],[11]],tabela_registros[REGISTRO],DADOS!$N$4,tabela_registros[TIPO],DADOS!$P$4,tabela_registros[CATEGORIA],despesavariávelconsolidadonov[[#This Row],[DESPESA VARIÁVEL]])</f>
        <v>0</v>
      </c>
      <c r="P71" s="119" t="n">
        <f aca="false">SUMIFS(tabela_registros[VALOR],tabela_registros[MÊS],$AE$1,tabela_registros[DIA],novtotal3059718395107119131143155[[#Headers],[12]],tabela_registros[REGISTRO],DADOS!$N$4,tabela_registros[TIPO],DADOS!$P$4,tabela_registros[CATEGORIA],despesavariávelconsolidadonov[[#This Row],[DESPESA VARIÁVEL]])</f>
        <v>0</v>
      </c>
      <c r="Q71" s="119" t="n">
        <f aca="false">SUMIFS(tabela_registros[VALOR],tabela_registros[MÊS],$AE$1,tabela_registros[DIA],novtotal3059718395107119131143155[[#Headers],[13]],tabela_registros[REGISTRO],DADOS!$N$4,tabela_registros[TIPO],DADOS!$P$4,tabela_registros[CATEGORIA],despesavariávelconsolidadonov[[#This Row],[DESPESA VARIÁVEL]])</f>
        <v>0</v>
      </c>
      <c r="R71" s="119" t="n">
        <f aca="false">SUMIFS(tabela_registros[VALOR],tabela_registros[MÊS],$AE$1,tabela_registros[DIA],novtotal3059718395107119131143155[[#Headers],[14]],tabela_registros[REGISTRO],DADOS!$N$4,tabela_registros[TIPO],DADOS!$P$4,tabela_registros[CATEGORIA],despesavariávelconsolidadonov[[#This Row],[DESPESA VARIÁVEL]])</f>
        <v>0</v>
      </c>
      <c r="S71" s="119" t="n">
        <f aca="false">SUMIFS(tabela_registros[VALOR],tabela_registros[MÊS],$AE$1,tabela_registros[DIA],novtotal3059718395107119131143155[[#Headers],[15]],tabela_registros[REGISTRO],DADOS!$N$4,tabela_registros[TIPO],DADOS!$P$4,tabela_registros[CATEGORIA],despesavariávelconsolidadonov[[#This Row],[DESPESA VARIÁVEL]])</f>
        <v>0</v>
      </c>
      <c r="T71" s="119" t="n">
        <f aca="false">SUMIFS(tabela_registros[VALOR],tabela_registros[MÊS],$AE$1,tabela_registros[DIA],novtotal3059718395107119131143155[[#Headers],[16]],tabela_registros[REGISTRO],DADOS!$N$4,tabela_registros[TIPO],DADOS!$P$4,tabela_registros[CATEGORIA],despesavariávelconsolidadonov[[#This Row],[DESPESA VARIÁVEL]])</f>
        <v>0</v>
      </c>
      <c r="U71" s="119" t="n">
        <f aca="false">SUMIFS(tabela_registros[VALOR],tabela_registros[MÊS],$AE$1,tabela_registros[DIA],novtotal3059718395107119131143155[[#Headers],[17]],tabela_registros[REGISTRO],DADOS!$N$4,tabela_registros[TIPO],DADOS!$P$4,tabela_registros[CATEGORIA],despesavariávelconsolidadonov[[#This Row],[DESPESA VARIÁVEL]])</f>
        <v>0</v>
      </c>
      <c r="V71" s="119" t="n">
        <f aca="false">SUMIFS(tabela_registros[VALOR],tabela_registros[MÊS],$AE$1,tabela_registros[DIA],novtotal3059718395107119131143155[[#Headers],[18]],tabela_registros[REGISTRO],DADOS!$N$4,tabela_registros[TIPO],DADOS!$P$4,tabela_registros[CATEGORIA],despesavariávelconsolidadonov[[#This Row],[DESPESA VARIÁVEL]])</f>
        <v>0</v>
      </c>
      <c r="W71" s="119" t="n">
        <f aca="false">SUMIFS(tabela_registros[VALOR],tabela_registros[MÊS],$AE$1,tabela_registros[DIA],novtotal3059718395107119131143155[[#Headers],[19]],tabela_registros[REGISTRO],DADOS!$N$4,tabela_registros[TIPO],DADOS!$P$4,tabela_registros[CATEGORIA],despesavariávelconsolidadonov[[#This Row],[DESPESA VARIÁVEL]])</f>
        <v>0</v>
      </c>
      <c r="X71" s="119" t="n">
        <f aca="false">SUMIFS(tabela_registros[VALOR],tabela_registros[MÊS],$AE$1,tabela_registros[DIA],novtotal3059718395107119131143155[[#Headers],[20]],tabela_registros[REGISTRO],DADOS!$N$4,tabela_registros[TIPO],DADOS!$P$4,tabela_registros[CATEGORIA],despesavariávelconsolidadonov[[#This Row],[DESPESA VARIÁVEL]])</f>
        <v>0</v>
      </c>
      <c r="Y71" s="119" t="n">
        <f aca="false">SUMIFS(tabela_registros[VALOR],tabela_registros[MÊS],$AE$1,tabela_registros[DIA],novtotal3059718395107119131143155[[#Headers],[21]],tabela_registros[REGISTRO],DADOS!$N$4,tabela_registros[TIPO],DADOS!$P$4,tabela_registros[CATEGORIA],despesavariávelconsolidadonov[[#This Row],[DESPESA VARIÁVEL]])</f>
        <v>0</v>
      </c>
      <c r="Z71" s="119" t="n">
        <f aca="false">SUMIFS(tabela_registros[VALOR],tabela_registros[MÊS],$AE$1,tabela_registros[DIA],novtotal3059718395107119131143155[[#Headers],[22]],tabela_registros[REGISTRO],DADOS!$N$4,tabela_registros[TIPO],DADOS!$P$4,tabela_registros[CATEGORIA],despesavariávelconsolidadonov[[#This Row],[DESPESA VARIÁVEL]])</f>
        <v>0</v>
      </c>
      <c r="AA71" s="119" t="n">
        <f aca="false">SUMIFS(tabela_registros[VALOR],tabela_registros[MÊS],$AE$1,tabela_registros[DIA],novtotal3059718395107119131143155[[#Headers],[23]],tabela_registros[REGISTRO],DADOS!$N$4,tabela_registros[TIPO],DADOS!$P$4,tabela_registros[CATEGORIA],despesavariávelconsolidadonov[[#This Row],[DESPESA VARIÁVEL]])</f>
        <v>0</v>
      </c>
      <c r="AB71" s="119" t="n">
        <f aca="false">SUMIFS(tabela_registros[VALOR],tabela_registros[MÊS],$AE$1,tabela_registros[DIA],novtotal3059718395107119131143155[[#Headers],[24]],tabela_registros[REGISTRO],DADOS!$N$4,tabela_registros[TIPO],DADOS!$P$4,tabela_registros[CATEGORIA],despesavariávelconsolidadonov[[#This Row],[DESPESA VARIÁVEL]])</f>
        <v>0</v>
      </c>
      <c r="AC71" s="119" t="n">
        <f aca="false">SUMIFS(tabela_registros[VALOR],tabela_registros[MÊS],$AE$1,tabela_registros[DIA],novtotal3059718395107119131143155[[#Headers],[25]],tabela_registros[REGISTRO],DADOS!$N$4,tabela_registros[TIPO],DADOS!$P$4,tabela_registros[CATEGORIA],despesavariávelconsolidadonov[[#This Row],[DESPESA VARIÁVEL]])</f>
        <v>0</v>
      </c>
      <c r="AD71" s="119" t="n">
        <f aca="false">SUMIFS(tabela_registros[VALOR],tabela_registros[MÊS],$AE$1,tabela_registros[DIA],novtotal3059718395107119131143155[[#Headers],[26]],tabela_registros[REGISTRO],DADOS!$N$4,tabela_registros[TIPO],DADOS!$P$4,tabela_registros[CATEGORIA],despesavariávelconsolidadonov[[#This Row],[DESPESA VARIÁVEL]])</f>
        <v>0</v>
      </c>
      <c r="AE71" s="119" t="n">
        <f aca="false">SUMIFS(tabela_registros[VALOR],tabela_registros[MÊS],$AE$1,tabela_registros[DIA],novtotal3059718395107119131143155[[#Headers],[27]],tabela_registros[REGISTRO],DADOS!$N$4,tabela_registros[TIPO],DADOS!$P$4,tabela_registros[CATEGORIA],despesavariávelconsolidadonov[[#This Row],[DESPESA VARIÁVEL]])</f>
        <v>0</v>
      </c>
      <c r="AF71" s="119" t="n">
        <f aca="false">SUMIFS(tabela_registros[VALOR],tabela_registros[MÊS],$AE$1,tabela_registros[DIA],novtotal3059718395107119131143155[[#Headers],[28]],tabela_registros[REGISTRO],DADOS!$N$4,tabela_registros[TIPO],DADOS!$P$4,tabela_registros[CATEGORIA],despesavariávelconsolidadonov[[#This Row],[DESPESA VARIÁVEL]])</f>
        <v>0</v>
      </c>
      <c r="AG71" s="119" t="n">
        <f aca="false">SUMIFS(tabela_registros[VALOR],tabela_registros[MÊS],$AE$1,tabela_registros[DIA],novtotal3059718395107119131143155[[#Headers],[29]],tabela_registros[REGISTRO],DADOS!$N$4,tabela_registros[TIPO],DADOS!$P$4,tabela_registros[CATEGORIA],despesavariávelconsolidadonov[[#This Row],[DESPESA VARIÁVEL]])</f>
        <v>0</v>
      </c>
      <c r="AH71" s="119" t="n">
        <f aca="false">SUMIFS(tabela_registros[VALOR],tabela_registros[MÊS],$AE$1,tabela_registros[DIA],novtotal3059718395107119131143155[[#Headers],[30]],tabela_registros[REGISTRO],DADOS!$N$4,tabela_registros[TIPO],DADOS!$P$4,tabela_registros[CATEGORIA],despesavariávelconsolidadonov[[#This Row],[DESPESA VARIÁVEL]])</f>
        <v>0</v>
      </c>
      <c r="AI71" s="217" t="n">
        <f aca="false">SUMIFS(tabela_registros[VALOR],tabela_registros[MÊS],$AE$1,tabela_registros[DIA],novtotal3059718395107119131143155[[#Headers],[31]],tabela_registros[REGISTRO],DADOS!$N$4,tabela_registros[TIPO],DADOS!$P$4,tabela_registros[CATEGORIA],despesavariávelconsolidadonov[[#This Row],[DESPESA VARIÁVEL]])</f>
        <v>0</v>
      </c>
      <c r="AJ71" s="149" t="n">
        <f aca="false">SUM(despesavariávelconsolidadonov[[#This Row],[1]:[31]])</f>
        <v>0</v>
      </c>
      <c r="AK71" s="143"/>
    </row>
    <row r="72" customFormat="false" ht="18" hidden="false" customHeight="true" outlineLevel="0" collapsed="false">
      <c r="B72" s="143"/>
      <c r="C72" s="144" t="str">
        <f aca="false">DADOS!$T$15</f>
        <v>📎 OUTROS</v>
      </c>
      <c r="D72" s="145" t="str">
        <f aca="false">IF(despesavariávelconsolidadonov[[#This Row],[TOTAL]]=0,"",IF(OR(despesavariávelconsolidadonov[[#This Row],[TOTAL]]=LARGE($AJ$60:$AJ$72,1),despesavariávelconsolidadonov[[#This Row],[TOTAL]]=LARGE($AJ$60:$AJ$72,2),despesavariávelconsolidadonov[[#This Row],[TOTAL]]=LARGE($AJ$60:$AJ$72,3),despesavariávelconsolidadonov[[#This Row],[TOTAL]]=LARGE($AJ$60:$AJ$72,4),despesavariávelconsolidadonov[[#This Row],[TOTAL]]=LARGE($AJ$60:$AJ$72,5)),DADOS!$I$8,""))</f>
        <v/>
      </c>
      <c r="E72" s="148" t="n">
        <f aca="false">SUMIFS(tabela_registros[VALOR],tabela_registros[MÊS],$AE$1,tabela_registros[DIA],novtotal3059718395107119131143155[[#Headers],[1]],tabela_registros[REGISTRO],DADOS!$N$4,tabela_registros[TIPO],DADOS!$P$4,tabela_registros[CATEGORIA],despesavariávelconsolidadonov[[#This Row],[DESPESA VARIÁVEL]])</f>
        <v>0</v>
      </c>
      <c r="F72" s="119" t="n">
        <f aca="false">SUMIFS(tabela_registros[VALOR],tabela_registros[MÊS],$AE$1,tabela_registros[DIA],novtotal3059718395107119131143155[[#Headers],[2]],tabela_registros[REGISTRO],DADOS!$N$4,tabela_registros[TIPO],DADOS!$P$4,tabela_registros[CATEGORIA],despesavariávelconsolidadonov[[#This Row],[DESPESA VARIÁVEL]])</f>
        <v>0</v>
      </c>
      <c r="G72" s="119" t="n">
        <f aca="false">SUMIFS(tabela_registros[VALOR],tabela_registros[MÊS],$AE$1,tabela_registros[DIA],novtotal3059718395107119131143155[[#Headers],[3]],tabela_registros[REGISTRO],DADOS!$N$4,tabela_registros[TIPO],DADOS!$P$4,tabela_registros[CATEGORIA],despesavariávelconsolidadonov[[#This Row],[DESPESA VARIÁVEL]])</f>
        <v>0</v>
      </c>
      <c r="H72" s="119" t="n">
        <f aca="false">SUMIFS(tabela_registros[VALOR],tabela_registros[MÊS],$AE$1,tabela_registros[DIA],novtotal3059718395107119131143155[[#Headers],[4]],tabela_registros[REGISTRO],DADOS!$N$4,tabela_registros[TIPO],DADOS!$P$4,tabela_registros[CATEGORIA],despesavariávelconsolidadonov[[#This Row],[DESPESA VARIÁVEL]])</f>
        <v>0</v>
      </c>
      <c r="I72" s="119" t="n">
        <f aca="false">SUMIFS(tabela_registros[VALOR],tabela_registros[MÊS],$AE$1,tabela_registros[DIA],novtotal3059718395107119131143155[[#Headers],[5]],tabela_registros[REGISTRO],DADOS!$N$4,tabela_registros[TIPO],DADOS!$P$4,tabela_registros[CATEGORIA],despesavariávelconsolidadonov[[#This Row],[DESPESA VARIÁVEL]])</f>
        <v>0</v>
      </c>
      <c r="J72" s="119" t="n">
        <f aca="false">SUMIFS(tabela_registros[VALOR],tabela_registros[MÊS],$AE$1,tabela_registros[DIA],novtotal3059718395107119131143155[[#Headers],[6]],tabela_registros[REGISTRO],DADOS!$N$4,tabela_registros[TIPO],DADOS!$P$4,tabela_registros[CATEGORIA],despesavariávelconsolidadonov[[#This Row],[DESPESA VARIÁVEL]])</f>
        <v>0</v>
      </c>
      <c r="K72" s="119" t="n">
        <f aca="false">SUMIFS(tabela_registros[VALOR],tabela_registros[MÊS],$AE$1,tabela_registros[DIA],novtotal3059718395107119131143155[[#Headers],[7]],tabela_registros[REGISTRO],DADOS!$N$4,tabela_registros[TIPO],DADOS!$P$4,tabela_registros[CATEGORIA],despesavariávelconsolidadonov[[#This Row],[DESPESA VARIÁVEL]])</f>
        <v>0</v>
      </c>
      <c r="L72" s="119" t="n">
        <f aca="false">SUMIFS(tabela_registros[VALOR],tabela_registros[MÊS],$AE$1,tabela_registros[DIA],novtotal3059718395107119131143155[[#Headers],[8]],tabela_registros[REGISTRO],DADOS!$N$4,tabela_registros[TIPO],DADOS!$P$4,tabela_registros[CATEGORIA],despesavariávelconsolidadonov[[#This Row],[DESPESA VARIÁVEL]])</f>
        <v>0</v>
      </c>
      <c r="M72" s="119" t="n">
        <f aca="false">SUMIFS(tabela_registros[VALOR],tabela_registros[MÊS],$AE$1,tabela_registros[DIA],novtotal3059718395107119131143155[[#Headers],[9]],tabela_registros[REGISTRO],DADOS!$N$4,tabela_registros[TIPO],DADOS!$P$4,tabela_registros[CATEGORIA],despesavariávelconsolidadonov[[#This Row],[DESPESA VARIÁVEL]])</f>
        <v>0</v>
      </c>
      <c r="N72" s="119" t="n">
        <f aca="false">SUMIFS(tabela_registros[VALOR],tabela_registros[MÊS],$AE$1,tabela_registros[DIA],novtotal3059718395107119131143155[[#Headers],[10]],tabela_registros[REGISTRO],DADOS!$N$4,tabela_registros[TIPO],DADOS!$P$4,tabela_registros[CATEGORIA],despesavariávelconsolidadonov[[#This Row],[DESPESA VARIÁVEL]])</f>
        <v>0</v>
      </c>
      <c r="O72" s="119" t="n">
        <f aca="false">SUMIFS(tabela_registros[VALOR],tabela_registros[MÊS],$AE$1,tabela_registros[DIA],novtotal3059718395107119131143155[[#Headers],[11]],tabela_registros[REGISTRO],DADOS!$N$4,tabela_registros[TIPO],DADOS!$P$4,tabela_registros[CATEGORIA],despesavariávelconsolidadonov[[#This Row],[DESPESA VARIÁVEL]])</f>
        <v>0</v>
      </c>
      <c r="P72" s="119" t="n">
        <f aca="false">SUMIFS(tabela_registros[VALOR],tabela_registros[MÊS],$AE$1,tabela_registros[DIA],novtotal3059718395107119131143155[[#Headers],[12]],tabela_registros[REGISTRO],DADOS!$N$4,tabela_registros[TIPO],DADOS!$P$4,tabela_registros[CATEGORIA],despesavariávelconsolidadonov[[#This Row],[DESPESA VARIÁVEL]])</f>
        <v>0</v>
      </c>
      <c r="Q72" s="119" t="n">
        <f aca="false">SUMIFS(tabela_registros[VALOR],tabela_registros[MÊS],$AE$1,tabela_registros[DIA],novtotal3059718395107119131143155[[#Headers],[13]],tabela_registros[REGISTRO],DADOS!$N$4,tabela_registros[TIPO],DADOS!$P$4,tabela_registros[CATEGORIA],despesavariávelconsolidadonov[[#This Row],[DESPESA VARIÁVEL]])</f>
        <v>0</v>
      </c>
      <c r="R72" s="119" t="n">
        <f aca="false">SUMIFS(tabela_registros[VALOR],tabela_registros[MÊS],$AE$1,tabela_registros[DIA],novtotal3059718395107119131143155[[#Headers],[14]],tabela_registros[REGISTRO],DADOS!$N$4,tabela_registros[TIPO],DADOS!$P$4,tabela_registros[CATEGORIA],despesavariávelconsolidadonov[[#This Row],[DESPESA VARIÁVEL]])</f>
        <v>0</v>
      </c>
      <c r="S72" s="119" t="n">
        <f aca="false">SUMIFS(tabela_registros[VALOR],tabela_registros[MÊS],$AE$1,tabela_registros[DIA],novtotal3059718395107119131143155[[#Headers],[15]],tabela_registros[REGISTRO],DADOS!$N$4,tabela_registros[TIPO],DADOS!$P$4,tabela_registros[CATEGORIA],despesavariávelconsolidadonov[[#This Row],[DESPESA VARIÁVEL]])</f>
        <v>0</v>
      </c>
      <c r="T72" s="119" t="n">
        <f aca="false">SUMIFS(tabela_registros[VALOR],tabela_registros[MÊS],$AE$1,tabela_registros[DIA],novtotal3059718395107119131143155[[#Headers],[16]],tabela_registros[REGISTRO],DADOS!$N$4,tabela_registros[TIPO],DADOS!$P$4,tabela_registros[CATEGORIA],despesavariávelconsolidadonov[[#This Row],[DESPESA VARIÁVEL]])</f>
        <v>0</v>
      </c>
      <c r="U72" s="119" t="n">
        <f aca="false">SUMIFS(tabela_registros[VALOR],tabela_registros[MÊS],$AE$1,tabela_registros[DIA],novtotal3059718395107119131143155[[#Headers],[17]],tabela_registros[REGISTRO],DADOS!$N$4,tabela_registros[TIPO],DADOS!$P$4,tabela_registros[CATEGORIA],despesavariávelconsolidadonov[[#This Row],[DESPESA VARIÁVEL]])</f>
        <v>0</v>
      </c>
      <c r="V72" s="119" t="n">
        <f aca="false">SUMIFS(tabela_registros[VALOR],tabela_registros[MÊS],$AE$1,tabela_registros[DIA],novtotal3059718395107119131143155[[#Headers],[18]],tabela_registros[REGISTRO],DADOS!$N$4,tabela_registros[TIPO],DADOS!$P$4,tabela_registros[CATEGORIA],despesavariávelconsolidadonov[[#This Row],[DESPESA VARIÁVEL]])</f>
        <v>0</v>
      </c>
      <c r="W72" s="119" t="n">
        <f aca="false">SUMIFS(tabela_registros[VALOR],tabela_registros[MÊS],$AE$1,tabela_registros[DIA],novtotal3059718395107119131143155[[#Headers],[19]],tabela_registros[REGISTRO],DADOS!$N$4,tabela_registros[TIPO],DADOS!$P$4,tabela_registros[CATEGORIA],despesavariávelconsolidadonov[[#This Row],[DESPESA VARIÁVEL]])</f>
        <v>0</v>
      </c>
      <c r="X72" s="119" t="n">
        <f aca="false">SUMIFS(tabela_registros[VALOR],tabela_registros[MÊS],$AE$1,tabela_registros[DIA],novtotal3059718395107119131143155[[#Headers],[20]],tabela_registros[REGISTRO],DADOS!$N$4,tabela_registros[TIPO],DADOS!$P$4,tabela_registros[CATEGORIA],despesavariávelconsolidadonov[[#This Row],[DESPESA VARIÁVEL]])</f>
        <v>0</v>
      </c>
      <c r="Y72" s="119" t="n">
        <f aca="false">SUMIFS(tabela_registros[VALOR],tabela_registros[MÊS],$AE$1,tabela_registros[DIA],novtotal3059718395107119131143155[[#Headers],[21]],tabela_registros[REGISTRO],DADOS!$N$4,tabela_registros[TIPO],DADOS!$P$4,tabela_registros[CATEGORIA],despesavariávelconsolidadonov[[#This Row],[DESPESA VARIÁVEL]])</f>
        <v>0</v>
      </c>
      <c r="Z72" s="119" t="n">
        <f aca="false">SUMIFS(tabela_registros[VALOR],tabela_registros[MÊS],$AE$1,tabela_registros[DIA],novtotal3059718395107119131143155[[#Headers],[22]],tabela_registros[REGISTRO],DADOS!$N$4,tabela_registros[TIPO],DADOS!$P$4,tabela_registros[CATEGORIA],despesavariávelconsolidadonov[[#This Row],[DESPESA VARIÁVEL]])</f>
        <v>0</v>
      </c>
      <c r="AA72" s="119" t="n">
        <f aca="false">SUMIFS(tabela_registros[VALOR],tabela_registros[MÊS],$AE$1,tabela_registros[DIA],novtotal3059718395107119131143155[[#Headers],[23]],tabela_registros[REGISTRO],DADOS!$N$4,tabela_registros[TIPO],DADOS!$P$4,tabela_registros[CATEGORIA],despesavariávelconsolidadonov[[#This Row],[DESPESA VARIÁVEL]])</f>
        <v>0</v>
      </c>
      <c r="AB72" s="119" t="n">
        <f aca="false">SUMIFS(tabela_registros[VALOR],tabela_registros[MÊS],$AE$1,tabela_registros[DIA],novtotal3059718395107119131143155[[#Headers],[24]],tabela_registros[REGISTRO],DADOS!$N$4,tabela_registros[TIPO],DADOS!$P$4,tabela_registros[CATEGORIA],despesavariávelconsolidadonov[[#This Row],[DESPESA VARIÁVEL]])</f>
        <v>0</v>
      </c>
      <c r="AC72" s="119" t="n">
        <f aca="false">SUMIFS(tabela_registros[VALOR],tabela_registros[MÊS],$AE$1,tabela_registros[DIA],novtotal3059718395107119131143155[[#Headers],[25]],tabela_registros[REGISTRO],DADOS!$N$4,tabela_registros[TIPO],DADOS!$P$4,tabela_registros[CATEGORIA],despesavariávelconsolidadonov[[#This Row],[DESPESA VARIÁVEL]])</f>
        <v>0</v>
      </c>
      <c r="AD72" s="119" t="n">
        <f aca="false">SUMIFS(tabela_registros[VALOR],tabela_registros[MÊS],$AE$1,tabela_registros[DIA],novtotal3059718395107119131143155[[#Headers],[26]],tabela_registros[REGISTRO],DADOS!$N$4,tabela_registros[TIPO],DADOS!$P$4,tabela_registros[CATEGORIA],despesavariávelconsolidadonov[[#This Row],[DESPESA VARIÁVEL]])</f>
        <v>0</v>
      </c>
      <c r="AE72" s="119" t="n">
        <f aca="false">SUMIFS(tabela_registros[VALOR],tabela_registros[MÊS],$AE$1,tabela_registros[DIA],novtotal3059718395107119131143155[[#Headers],[27]],tabela_registros[REGISTRO],DADOS!$N$4,tabela_registros[TIPO],DADOS!$P$4,tabela_registros[CATEGORIA],despesavariávelconsolidadonov[[#This Row],[DESPESA VARIÁVEL]])</f>
        <v>0</v>
      </c>
      <c r="AF72" s="119" t="n">
        <f aca="false">SUMIFS(tabela_registros[VALOR],tabela_registros[MÊS],$AE$1,tabela_registros[DIA],novtotal3059718395107119131143155[[#Headers],[28]],tabela_registros[REGISTRO],DADOS!$N$4,tabela_registros[TIPO],DADOS!$P$4,tabela_registros[CATEGORIA],despesavariávelconsolidadonov[[#This Row],[DESPESA VARIÁVEL]])</f>
        <v>0</v>
      </c>
      <c r="AG72" s="119" t="n">
        <f aca="false">SUMIFS(tabela_registros[VALOR],tabela_registros[MÊS],$AE$1,tabela_registros[DIA],novtotal3059718395107119131143155[[#Headers],[29]],tabela_registros[REGISTRO],DADOS!$N$4,tabela_registros[TIPO],DADOS!$P$4,tabela_registros[CATEGORIA],despesavariávelconsolidadonov[[#This Row],[DESPESA VARIÁVEL]])</f>
        <v>0</v>
      </c>
      <c r="AH72" s="119" t="n">
        <f aca="false">SUMIFS(tabela_registros[VALOR],tabela_registros[MÊS],$AE$1,tabela_registros[DIA],novtotal3059718395107119131143155[[#Headers],[30]],tabela_registros[REGISTRO],DADOS!$N$4,tabela_registros[TIPO],DADOS!$P$4,tabela_registros[CATEGORIA],despesavariávelconsolidadonov[[#This Row],[DESPESA VARIÁVEL]])</f>
        <v>0</v>
      </c>
      <c r="AI72" s="218" t="n">
        <f aca="false">SUMIFS(tabela_registros[VALOR],tabela_registros[MÊS],$AE$1,tabela_registros[DIA],novtotal3059718395107119131143155[[#Headers],[31]],tabela_registros[REGISTRO],DADOS!$N$4,tabela_registros[TIPO],DADOS!$P$4,tabela_registros[CATEGORIA],despesavariávelconsolidadonov[[#This Row],[DESPESA VARIÁVEL]])</f>
        <v>0</v>
      </c>
      <c r="AJ72" s="149" t="n">
        <f aca="false">SUM(despesavariávelconsolidadonov[[#This Row],[1]:[31]])</f>
        <v>0</v>
      </c>
      <c r="AK72" s="143"/>
    </row>
    <row r="73" s="122" customFormat="true" ht="21" hidden="false" customHeight="true" outlineLevel="0" collapsed="false">
      <c r="B73" s="152"/>
      <c r="C73" s="153" t="s">
        <v>2</v>
      </c>
      <c r="D73" s="154" t="str">
        <f aca="false">IF(despesavariávelconsolidadonov[[#This Row],[TOTAL]]=0,"",IF(OR(despesavariávelconsolidadonov[[#This Row],[TOTAL]]=SMALL(despesavariávelconsolidadonov[TOTAL],1),despesavariávelconsolidadonov[[#This Row],[TOTAL]]=SMALL(despesavariávelconsolidadonov[TOTAL],2),despesavariávelconsolidadonov[[#This Row],[TOTAL]]=SMALL(despesavariávelconsolidadonov[TOTAL],3),despesavariávelconsolidadonov[[#This Row],[TOTAL]]=SMALL(despesavariávelconsolidadonov[TOTAL],4),despesavariávelconsolidadonov[[#This Row],[TOTAL]]=SMALL(despesavariávelconsolidadonov[TOTAL],5)),DADOS!$I$8,""))</f>
        <v/>
      </c>
      <c r="E73" s="155" t="n">
        <f aca="false">SUM(E60:E72)</f>
        <v>0</v>
      </c>
      <c r="F73" s="156" t="n">
        <f aca="false">SUM(F60:F72)+despesavariávelconsolidadonov[[#This Row],[1]]</f>
        <v>0</v>
      </c>
      <c r="G73" s="156" t="n">
        <f aca="false">SUM(G60:G72)+despesavariávelconsolidadonov[[#This Row],[2]]</f>
        <v>0</v>
      </c>
      <c r="H73" s="156" t="n">
        <f aca="false">SUM(H60:H72)+despesavariávelconsolidadonov[[#This Row],[3]]</f>
        <v>0</v>
      </c>
      <c r="I73" s="156" t="n">
        <f aca="false">SUM(I60:I72)+despesavariávelconsolidadonov[[#This Row],[4]]</f>
        <v>0</v>
      </c>
      <c r="J73" s="156" t="n">
        <f aca="false">SUM(J60:J72)+despesavariávelconsolidadonov[[#This Row],[5]]</f>
        <v>0</v>
      </c>
      <c r="K73" s="156" t="n">
        <f aca="false">SUM(K60:K72)+despesavariávelconsolidadonov[[#This Row],[6]]</f>
        <v>0</v>
      </c>
      <c r="L73" s="156" t="n">
        <f aca="false">SUM(L60:L72)+despesavariávelconsolidadonov[[#This Row],[7]]</f>
        <v>0</v>
      </c>
      <c r="M73" s="156" t="n">
        <f aca="false">SUM(M60:M72)+despesavariávelconsolidadonov[[#This Row],[8]]</f>
        <v>0</v>
      </c>
      <c r="N73" s="156" t="n">
        <f aca="false">SUM(N60:N72)+despesavariávelconsolidadonov[[#This Row],[9]]</f>
        <v>0</v>
      </c>
      <c r="O73" s="156" t="n">
        <f aca="false">SUM(O60:O72)+despesavariávelconsolidadonov[[#This Row],[10]]</f>
        <v>0</v>
      </c>
      <c r="P73" s="156" t="n">
        <f aca="false">SUM(P60:P72)+despesavariávelconsolidadonov[[#This Row],[11]]</f>
        <v>0</v>
      </c>
      <c r="Q73" s="156" t="n">
        <f aca="false">SUM(Q60:Q72)+despesavariávelconsolidadonov[[#This Row],[12]]</f>
        <v>0</v>
      </c>
      <c r="R73" s="156" t="n">
        <f aca="false">SUM(R60:R72)+despesavariávelconsolidadonov[[#This Row],[13]]</f>
        <v>0</v>
      </c>
      <c r="S73" s="156" t="n">
        <f aca="false">SUM(S60:S72)+despesavariávelconsolidadonov[[#This Row],[14]]</f>
        <v>0</v>
      </c>
      <c r="T73" s="156" t="n">
        <f aca="false">SUM(T60:T72)+despesavariávelconsolidadonov[[#This Row],[15]]</f>
        <v>0</v>
      </c>
      <c r="U73" s="156" t="n">
        <f aca="false">SUM(U60:U72)+despesavariávelconsolidadonov[[#This Row],[16]]</f>
        <v>0</v>
      </c>
      <c r="V73" s="156" t="n">
        <f aca="false">SUM(V60:V72)+despesavariávelconsolidadonov[[#This Row],[17]]</f>
        <v>0</v>
      </c>
      <c r="W73" s="156" t="n">
        <f aca="false">SUM(W60:W72)+despesavariávelconsolidadonov[[#This Row],[18]]</f>
        <v>0</v>
      </c>
      <c r="X73" s="156" t="n">
        <f aca="false">SUM(X60:X72)+despesavariávelconsolidadonov[[#This Row],[19]]</f>
        <v>0</v>
      </c>
      <c r="Y73" s="156" t="n">
        <f aca="false">SUM(Y60:Y72)+despesavariávelconsolidadonov[[#This Row],[20]]</f>
        <v>0</v>
      </c>
      <c r="Z73" s="156" t="n">
        <f aca="false">SUM(Z60:Z72)+despesavariávelconsolidadonov[[#This Row],[21]]</f>
        <v>0</v>
      </c>
      <c r="AA73" s="156" t="n">
        <f aca="false">SUM(AA60:AA72)+despesavariávelconsolidadonov[[#This Row],[22]]</f>
        <v>0</v>
      </c>
      <c r="AB73" s="156" t="n">
        <f aca="false">SUM(AB60:AB72)+despesavariávelconsolidadonov[[#This Row],[23]]</f>
        <v>0</v>
      </c>
      <c r="AC73" s="156" t="n">
        <f aca="false">SUM(AC60:AC72)+despesavariávelconsolidadonov[[#This Row],[24]]</f>
        <v>0</v>
      </c>
      <c r="AD73" s="156" t="n">
        <f aca="false">SUM(AD60:AD72)+despesavariávelconsolidadonov[[#This Row],[25]]</f>
        <v>0</v>
      </c>
      <c r="AE73" s="156" t="n">
        <f aca="false">SUM(AE60:AE72)+despesavariávelconsolidadonov[[#This Row],[26]]</f>
        <v>0</v>
      </c>
      <c r="AF73" s="156" t="n">
        <f aca="false">SUM(AF60:AF72)+despesavariávelconsolidadonov[[#This Row],[27]]</f>
        <v>0</v>
      </c>
      <c r="AG73" s="156" t="n">
        <f aca="false">SUM(AG60:AG72)+despesavariávelconsolidadonov[[#This Row],[28]]</f>
        <v>0</v>
      </c>
      <c r="AH73" s="156" t="n">
        <f aca="false">SUM(AH60:AH72)+despesavariávelconsolidadonov[[#This Row],[29]]</f>
        <v>0</v>
      </c>
      <c r="AI73" s="223" t="n">
        <f aca="false">SUM(AI60:AI72)+despesavariávelconsolidadonov[[#This Row],[30]]</f>
        <v>0</v>
      </c>
      <c r="AJ73" s="157" t="n">
        <f aca="false">despesavariávelconsolidadonov[[#This Row],[31]]</f>
        <v>0</v>
      </c>
      <c r="AK73" s="158"/>
    </row>
    <row r="74" customFormat="false" ht="6.75" hidden="false" customHeight="true" outlineLevel="0" collapsed="false">
      <c r="B74" s="97"/>
      <c r="C74" s="159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229"/>
      <c r="AJ74" s="97"/>
      <c r="AK74" s="244"/>
    </row>
    <row r="75" s="78" customFormat="true" ht="12.75" hidden="false" customHeight="false" outlineLevel="0" collapsed="false">
      <c r="E75" s="100"/>
    </row>
    <row r="76" s="78" customFormat="true" ht="12" hidden="false" customHeight="false" outlineLevel="0" collapsed="false"/>
    <row r="77" s="78" customFormat="true" ht="12" hidden="false" customHeight="false" outlineLevel="0" collapsed="false"/>
    <row r="78" customFormat="false" ht="39.75" hidden="false" customHeight="true" outlineLevel="0" collapsed="false">
      <c r="C78" s="101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3" t="s">
        <v>2</v>
      </c>
    </row>
    <row r="79" s="78" customFormat="true" ht="12.75" hidden="false" customHeight="false" outlineLevel="0" collapsed="false">
      <c r="B79" s="161"/>
      <c r="AJ79" s="106" t="s">
        <v>64</v>
      </c>
    </row>
    <row r="80" customFormat="false" ht="6.75" hidden="false" customHeight="true" outlineLevel="0" collapsed="false">
      <c r="B80" s="86"/>
      <c r="C80" s="162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233"/>
      <c r="AK80" s="139"/>
    </row>
    <row r="81" customFormat="false" ht="13.5" hidden="true" customHeight="false" outlineLevel="0" collapsed="false">
      <c r="B81" s="86"/>
      <c r="C81" s="109" t="s">
        <v>68</v>
      </c>
      <c r="D81" s="110" t="s">
        <v>69</v>
      </c>
      <c r="E81" s="110" t="s">
        <v>30</v>
      </c>
      <c r="F81" s="110" t="s">
        <v>31</v>
      </c>
      <c r="G81" s="110" t="s">
        <v>32</v>
      </c>
      <c r="H81" s="110" t="s">
        <v>33</v>
      </c>
      <c r="I81" s="110" t="s">
        <v>34</v>
      </c>
      <c r="J81" s="110" t="s">
        <v>35</v>
      </c>
      <c r="K81" s="110" t="s">
        <v>36</v>
      </c>
      <c r="L81" s="110" t="s">
        <v>37</v>
      </c>
      <c r="M81" s="110" t="s">
        <v>38</v>
      </c>
      <c r="N81" s="110" t="s">
        <v>39</v>
      </c>
      <c r="O81" s="110" t="s">
        <v>40</v>
      </c>
      <c r="P81" s="110" t="s">
        <v>41</v>
      </c>
      <c r="Q81" s="110" t="s">
        <v>81</v>
      </c>
      <c r="R81" s="110" t="s">
        <v>82</v>
      </c>
      <c r="S81" s="110" t="s">
        <v>83</v>
      </c>
      <c r="T81" s="110" t="s">
        <v>84</v>
      </c>
      <c r="U81" s="110" t="s">
        <v>85</v>
      </c>
      <c r="V81" s="110" t="s">
        <v>86</v>
      </c>
      <c r="W81" s="110" t="s">
        <v>87</v>
      </c>
      <c r="X81" s="110" t="s">
        <v>88</v>
      </c>
      <c r="Y81" s="110" t="s">
        <v>89</v>
      </c>
      <c r="Z81" s="110" t="s">
        <v>90</v>
      </c>
      <c r="AA81" s="110" t="s">
        <v>91</v>
      </c>
      <c r="AB81" s="110" t="s">
        <v>92</v>
      </c>
      <c r="AC81" s="110" t="s">
        <v>93</v>
      </c>
      <c r="AD81" s="110" t="s">
        <v>94</v>
      </c>
      <c r="AE81" s="110" t="s">
        <v>95</v>
      </c>
      <c r="AF81" s="110" t="s">
        <v>96</v>
      </c>
      <c r="AG81" s="110" t="s">
        <v>97</v>
      </c>
      <c r="AH81" s="110" t="s">
        <v>98</v>
      </c>
      <c r="AI81" s="110" t="s">
        <v>99</v>
      </c>
      <c r="AJ81" s="111" t="s">
        <v>70</v>
      </c>
      <c r="AK81" s="86"/>
    </row>
    <row r="82" customFormat="false" ht="19.5" hidden="false" customHeight="true" outlineLevel="0" collapsed="false">
      <c r="B82" s="143"/>
      <c r="C82" s="144" t="str">
        <f aca="false">DADOS!$X$3</f>
        <v>💵 ALUGUEL</v>
      </c>
      <c r="D82" s="145" t="str">
        <f aca="false">IF(receitasfixasconsolidadonov[[#This Row],[TOTAL (R$)]]=0,"",IF(OR(receitasfixasconsolidadonov[[#This Row],[TOTAL (R$)]]=LARGE($AJ$82:$AJ$86,1),receitasfixasconsolidadonov[[#This Row],[TOTAL (R$)]]=LARGE($AJ$82:$AJ$86,2)),DADOS!$I$9,""))</f>
        <v/>
      </c>
      <c r="E82" s="146" t="n">
        <f aca="false">SUMIFS(tabela_registros[VALOR],tabela_registros[MÊS],$AE$1,tabela_registros[DIA],receitasfixasconsolidadonov[[#Headers],[1]],tabela_registros[REGISTRO],DADOS!$N$3,tabela_registros[TIPO],DADOS!$V$3,tabela_registros[CATEGORIA],receitasfixasconsolidadonov[[#This Row],[ATUAL]])</f>
        <v>0</v>
      </c>
      <c r="F82" s="114" t="n">
        <f aca="false">SUMIFS(tabela_registros[VALOR],tabela_registros[MÊS],$AE$1,tabela_registros[DIA],receitasfixasconsolidadonov[[#Headers],[2]],tabela_registros[REGISTRO],DADOS!$N$3,tabela_registros[TIPO],DADOS!$V$3,tabela_registros[CATEGORIA],receitasfixasconsolidadonov[[#This Row],[ATUAL]])</f>
        <v>0</v>
      </c>
      <c r="G82" s="114" t="n">
        <f aca="false">SUMIFS(tabela_registros[VALOR],tabela_registros[MÊS],$AE$1,tabela_registros[DIA],receitasfixasconsolidadonov[[#Headers],[3]],tabela_registros[REGISTRO],DADOS!$N$3,tabela_registros[TIPO],DADOS!$V$3,tabela_registros[CATEGORIA],receitasfixasconsolidadonov[[#This Row],[ATUAL]])</f>
        <v>0</v>
      </c>
      <c r="H82" s="114" t="n">
        <f aca="false">SUMIFS(tabela_registros[VALOR],tabela_registros[MÊS],$AE$1,tabela_registros[DIA],receitasfixasconsolidadonov[[#Headers],[4]],tabela_registros[REGISTRO],DADOS!$N$3,tabela_registros[TIPO],DADOS!$V$3,tabela_registros[CATEGORIA],receitasfixasconsolidadonov[[#This Row],[ATUAL]])</f>
        <v>0</v>
      </c>
      <c r="I82" s="114" t="n">
        <f aca="false">SUMIFS(tabela_registros[VALOR],tabela_registros[MÊS],$AE$1,tabela_registros[DIA],receitasfixasconsolidadonov[[#Headers],[5]],tabela_registros[REGISTRO],DADOS!$N$3,tabela_registros[TIPO],DADOS!$V$3,tabela_registros[CATEGORIA],receitasfixasconsolidadonov[[#This Row],[ATUAL]])</f>
        <v>0</v>
      </c>
      <c r="J82" s="114" t="n">
        <f aca="false">SUMIFS(tabela_registros[VALOR],tabela_registros[MÊS],$AE$1,tabela_registros[DIA],receitasfixasconsolidadonov[[#Headers],[6]],tabela_registros[REGISTRO],DADOS!$N$3,tabela_registros[TIPO],DADOS!$V$3,tabela_registros[CATEGORIA],receitasfixasconsolidadonov[[#This Row],[ATUAL]])</f>
        <v>0</v>
      </c>
      <c r="K82" s="114" t="n">
        <f aca="false">SUMIFS(tabela_registros[VALOR],tabela_registros[MÊS],$AE$1,tabela_registros[DIA],receitasfixasconsolidadonov[[#Headers],[7]],tabela_registros[REGISTRO],DADOS!$N$3,tabela_registros[TIPO],DADOS!$V$3,tabela_registros[CATEGORIA],receitasfixasconsolidadonov[[#This Row],[ATUAL]])</f>
        <v>0</v>
      </c>
      <c r="L82" s="114" t="n">
        <f aca="false">SUMIFS(tabela_registros[VALOR],tabela_registros[MÊS],$AE$1,tabela_registros[DIA],receitasfixasconsolidadonov[[#Headers],[8]],tabela_registros[REGISTRO],DADOS!$N$3,tabela_registros[TIPO],DADOS!$V$3,tabela_registros[CATEGORIA],receitasfixasconsolidadonov[[#This Row],[ATUAL]])</f>
        <v>0</v>
      </c>
      <c r="M82" s="114" t="n">
        <f aca="false">SUMIFS(tabela_registros[VALOR],tabela_registros[MÊS],$AE$1,tabela_registros[DIA],receitasfixasconsolidadonov[[#Headers],[9]],tabela_registros[REGISTRO],DADOS!$N$3,tabela_registros[TIPO],DADOS!$V$3,tabela_registros[CATEGORIA],receitasfixasconsolidadonov[[#This Row],[ATUAL]])</f>
        <v>0</v>
      </c>
      <c r="N82" s="114" t="n">
        <f aca="false">SUMIFS(tabela_registros[VALOR],tabela_registros[MÊS],$AE$1,tabela_registros[DIA],receitasfixasconsolidadonov[[#Headers],[10]],tabela_registros[REGISTRO],DADOS!$N$3,tabela_registros[TIPO],DADOS!$V$3,tabela_registros[CATEGORIA],receitasfixasconsolidadonov[[#This Row],[ATUAL]])</f>
        <v>0</v>
      </c>
      <c r="O82" s="114" t="n">
        <f aca="false">SUMIFS(tabela_registros[VALOR],tabela_registros[MÊS],$AE$1,tabela_registros[DIA],receitasfixasconsolidadonov[[#Headers],[11]],tabela_registros[REGISTRO],DADOS!$N$3,tabela_registros[TIPO],DADOS!$V$3,tabela_registros[CATEGORIA],receitasfixasconsolidadonov[[#This Row],[ATUAL]])</f>
        <v>0</v>
      </c>
      <c r="P82" s="114" t="n">
        <f aca="false">SUMIFS(tabela_registros[VALOR],tabela_registros[MÊS],$AE$1,tabela_registros[DIA],receitasfixasconsolidadonov[[#Headers],[12]],tabela_registros[REGISTRO],DADOS!$N$3,tabela_registros[TIPO],DADOS!$V$3,tabela_registros[CATEGORIA],receitasfixasconsolidadonov[[#This Row],[ATUAL]])</f>
        <v>0</v>
      </c>
      <c r="Q82" s="114" t="n">
        <f aca="false">SUMIFS(tabela_registros[VALOR],tabela_registros[MÊS],$AE$1,tabela_registros[DIA],receitasfixasconsolidadonov[[#Headers],[13]],tabela_registros[REGISTRO],DADOS!$N$3,tabela_registros[TIPO],DADOS!$V$3,tabela_registros[CATEGORIA],receitasfixasconsolidadonov[[#This Row],[ATUAL]])</f>
        <v>0</v>
      </c>
      <c r="R82" s="114" t="n">
        <f aca="false">SUMIFS(tabela_registros[VALOR],tabela_registros[MÊS],$AE$1,tabela_registros[DIA],receitasfixasconsolidadonov[[#Headers],[14]],tabela_registros[REGISTRO],DADOS!$N$3,tabela_registros[TIPO],DADOS!$V$3,tabela_registros[CATEGORIA],receitasfixasconsolidadonov[[#This Row],[ATUAL]])</f>
        <v>0</v>
      </c>
      <c r="S82" s="114" t="n">
        <f aca="false">SUMIFS(tabela_registros[VALOR],tabela_registros[MÊS],$AE$1,tabela_registros[DIA],receitasfixasconsolidadonov[[#Headers],[15]],tabela_registros[REGISTRO],DADOS!$N$3,tabela_registros[TIPO],DADOS!$V$3,tabela_registros[CATEGORIA],receitasfixasconsolidadonov[[#This Row],[ATUAL]])</f>
        <v>0</v>
      </c>
      <c r="T82" s="114" t="n">
        <f aca="false">SUMIFS(tabela_registros[VALOR],tabela_registros[MÊS],$AE$1,tabela_registros[DIA],receitasfixasconsolidadonov[[#Headers],[16]],tabela_registros[REGISTRO],DADOS!$N$3,tabela_registros[TIPO],DADOS!$V$3,tabela_registros[CATEGORIA],receitasfixasconsolidadonov[[#This Row],[ATUAL]])</f>
        <v>0</v>
      </c>
      <c r="U82" s="114" t="n">
        <f aca="false">SUMIFS(tabela_registros[VALOR],tabela_registros[MÊS],$AE$1,tabela_registros[DIA],receitasfixasconsolidadonov[[#Headers],[17]],tabela_registros[REGISTRO],DADOS!$N$3,tabela_registros[TIPO],DADOS!$V$3,tabela_registros[CATEGORIA],receitasfixasconsolidadonov[[#This Row],[ATUAL]])</f>
        <v>0</v>
      </c>
      <c r="V82" s="114" t="n">
        <f aca="false">SUMIFS(tabela_registros[VALOR],tabela_registros[MÊS],$AE$1,tabela_registros[DIA],receitasfixasconsolidadonov[[#Headers],[18]],tabela_registros[REGISTRO],DADOS!$N$3,tabela_registros[TIPO],DADOS!$V$3,tabela_registros[CATEGORIA],receitasfixasconsolidadonov[[#This Row],[ATUAL]])</f>
        <v>0</v>
      </c>
      <c r="W82" s="114" t="n">
        <f aca="false">SUMIFS(tabela_registros[VALOR],tabela_registros[MÊS],$AE$1,tabela_registros[DIA],receitasfixasconsolidadonov[[#Headers],[19]],tabela_registros[REGISTRO],DADOS!$N$3,tabela_registros[TIPO],DADOS!$V$3,tabela_registros[CATEGORIA],receitasfixasconsolidadonov[[#This Row],[ATUAL]])</f>
        <v>0</v>
      </c>
      <c r="X82" s="114" t="n">
        <f aca="false">SUMIFS(tabela_registros[VALOR],tabela_registros[MÊS],$AE$1,tabela_registros[DIA],receitasfixasconsolidadonov[[#Headers],[20]],tabela_registros[REGISTRO],DADOS!$N$3,tabela_registros[TIPO],DADOS!$V$3,tabela_registros[CATEGORIA],receitasfixasconsolidadonov[[#This Row],[ATUAL]])</f>
        <v>0</v>
      </c>
      <c r="Y82" s="114" t="n">
        <f aca="false">SUMIFS(tabela_registros[VALOR],tabela_registros[MÊS],$AE$1,tabela_registros[DIA],receitasfixasconsolidadonov[[#Headers],[21]],tabela_registros[REGISTRO],DADOS!$N$3,tabela_registros[TIPO],DADOS!$V$3,tabela_registros[CATEGORIA],receitasfixasconsolidadonov[[#This Row],[ATUAL]])</f>
        <v>0</v>
      </c>
      <c r="Z82" s="114" t="n">
        <f aca="false">SUMIFS(tabela_registros[VALOR],tabela_registros[MÊS],$AE$1,tabela_registros[DIA],receitasfixasconsolidadonov[[#Headers],[22]],tabela_registros[REGISTRO],DADOS!$N$3,tabela_registros[TIPO],DADOS!$V$3,tabela_registros[CATEGORIA],receitasfixasconsolidadonov[[#This Row],[ATUAL]])</f>
        <v>0</v>
      </c>
      <c r="AA82" s="114" t="n">
        <f aca="false">SUMIFS(tabela_registros[VALOR],tabela_registros[MÊS],$AE$1,tabela_registros[DIA],receitasfixasconsolidadonov[[#Headers],[23]],tabela_registros[REGISTRO],DADOS!$N$3,tabela_registros[TIPO],DADOS!$V$3,tabela_registros[CATEGORIA],receitasfixasconsolidadonov[[#This Row],[ATUAL]])</f>
        <v>0</v>
      </c>
      <c r="AB82" s="114" t="n">
        <f aca="false">SUMIFS(tabela_registros[VALOR],tabela_registros[MÊS],$AE$1,tabela_registros[DIA],receitasfixasconsolidadonov[[#Headers],[24]],tabela_registros[REGISTRO],DADOS!$N$3,tabela_registros[TIPO],DADOS!$V$3,tabela_registros[CATEGORIA],receitasfixasconsolidadonov[[#This Row],[ATUAL]])</f>
        <v>0</v>
      </c>
      <c r="AC82" s="114" t="n">
        <f aca="false">SUMIFS(tabela_registros[VALOR],tabela_registros[MÊS],$AE$1,tabela_registros[DIA],receitasfixasconsolidadonov[[#Headers],[25]],tabela_registros[REGISTRO],DADOS!$N$3,tabela_registros[TIPO],DADOS!$V$3,tabela_registros[CATEGORIA],receitasfixasconsolidadonov[[#This Row],[ATUAL]])</f>
        <v>0</v>
      </c>
      <c r="AD82" s="114" t="n">
        <f aca="false">SUMIFS(tabela_registros[VALOR],tabela_registros[MÊS],$AE$1,tabela_registros[DIA],receitasfixasconsolidadonov[[#Headers],[26]],tabela_registros[REGISTRO],DADOS!$N$3,tabela_registros[TIPO],DADOS!$V$3,tabela_registros[CATEGORIA],receitasfixasconsolidadonov[[#This Row],[ATUAL]])</f>
        <v>0</v>
      </c>
      <c r="AE82" s="114" t="n">
        <f aca="false">SUMIFS(tabela_registros[VALOR],tabela_registros[MÊS],$AE$1,tabela_registros[DIA],receitasfixasconsolidadonov[[#Headers],[27]],tabela_registros[REGISTRO],DADOS!$N$3,tabela_registros[TIPO],DADOS!$V$3,tabela_registros[CATEGORIA],receitasfixasconsolidadonov[[#This Row],[ATUAL]])</f>
        <v>0</v>
      </c>
      <c r="AF82" s="114" t="n">
        <f aca="false">SUMIFS(tabela_registros[VALOR],tabela_registros[MÊS],$AE$1,tabela_registros[DIA],receitasfixasconsolidadonov[[#Headers],[28]],tabela_registros[REGISTRO],DADOS!$N$3,tabela_registros[TIPO],DADOS!$V$3,tabela_registros[CATEGORIA],receitasfixasconsolidadonov[[#This Row],[ATUAL]])</f>
        <v>0</v>
      </c>
      <c r="AG82" s="114" t="n">
        <f aca="false">SUMIFS(tabela_registros[VALOR],tabela_registros[MÊS],$AE$1,tabela_registros[DIA],receitasfixasconsolidadonov[[#Headers],[29]],tabela_registros[REGISTRO],DADOS!$N$3,tabela_registros[TIPO],DADOS!$V$3,tabela_registros[CATEGORIA],receitasfixasconsolidadonov[[#This Row],[ATUAL]])</f>
        <v>0</v>
      </c>
      <c r="AH82" s="114" t="n">
        <f aca="false">SUMIFS(tabela_registros[VALOR],tabela_registros[MÊS],$AE$1,tabela_registros[DIA],receitasfixasconsolidadonov[[#Headers],[30]],tabela_registros[REGISTRO],DADOS!$N$3,tabela_registros[TIPO],DADOS!$V$3,tabela_registros[CATEGORIA],receitasfixasconsolidadonov[[#This Row],[ATUAL]])</f>
        <v>0</v>
      </c>
      <c r="AI82" s="216" t="n">
        <f aca="false">SUMIFS(tabela_registros[VALOR],tabela_registros[MÊS],$AE$1,tabela_registros[DIA],receitasfixasconsolidadonov[[#Headers],[31]],tabela_registros[REGISTRO],DADOS!$N$3,tabela_registros[TIPO],DADOS!$V$3,tabela_registros[CATEGORIA],receitasfixasconsolidadonov[[#This Row],[ATUAL]])</f>
        <v>0</v>
      </c>
      <c r="AJ82" s="149" t="n">
        <f aca="false">SUM(receitasfixasconsolidadonov[[#This Row],[1]:[31]])</f>
        <v>0</v>
      </c>
      <c r="AK82" s="165"/>
    </row>
    <row r="83" customFormat="false" ht="19.5" hidden="false" customHeight="true" outlineLevel="0" collapsed="false">
      <c r="B83" s="143"/>
      <c r="C83" s="144" t="str">
        <f aca="false">DADOS!$X$4</f>
        <v>💸APOSENTADORIA</v>
      </c>
      <c r="D83" s="145" t="str">
        <f aca="false">IF(receitasfixasconsolidadonov[[#This Row],[TOTAL (R$)]]=0,"",IF(OR(receitasfixasconsolidadonov[[#This Row],[TOTAL (R$)]]=LARGE($AJ$82:$AJ$86,1),receitasfixasconsolidadonov[[#This Row],[TOTAL (R$)]]=LARGE($AJ$82:$AJ$86,2)),DADOS!$I$9,""))</f>
        <v/>
      </c>
      <c r="E83" s="148" t="n">
        <f aca="false">SUMIFS(tabela_registros[VALOR],tabela_registros[MÊS],$AE$1,tabela_registros[DIA],receitasfixasconsolidadonov[[#Headers],[1]],tabela_registros[REGISTRO],DADOS!$N$3,tabela_registros[TIPO],DADOS!$V$3,tabela_registros[CATEGORIA],receitasfixasconsolidadonov[[#This Row],[ATUAL]])</f>
        <v>0</v>
      </c>
      <c r="F83" s="119" t="n">
        <f aca="false">SUMIFS(tabela_registros[VALOR],tabela_registros[MÊS],$AE$1,tabela_registros[DIA],receitasfixasconsolidadonov[[#Headers],[2]],tabela_registros[REGISTRO],DADOS!$N$3,tabela_registros[TIPO],DADOS!$V$3,tabela_registros[CATEGORIA],receitasfixasconsolidadonov[[#This Row],[ATUAL]])</f>
        <v>0</v>
      </c>
      <c r="G83" s="119" t="n">
        <f aca="false">SUMIFS(tabela_registros[VALOR],tabela_registros[MÊS],$AE$1,tabela_registros[DIA],receitasfixasconsolidadonov[[#Headers],[3]],tabela_registros[REGISTRO],DADOS!$N$3,tabela_registros[TIPO],DADOS!$V$3,tabela_registros[CATEGORIA],receitasfixasconsolidadonov[[#This Row],[ATUAL]])</f>
        <v>0</v>
      </c>
      <c r="H83" s="119" t="n">
        <f aca="false">SUMIFS(tabela_registros[VALOR],tabela_registros[MÊS],$AE$1,tabela_registros[DIA],receitasfixasconsolidadonov[[#Headers],[4]],tabela_registros[REGISTRO],DADOS!$N$3,tabela_registros[TIPO],DADOS!$V$3,tabela_registros[CATEGORIA],receitasfixasconsolidadonov[[#This Row],[ATUAL]])</f>
        <v>0</v>
      </c>
      <c r="I83" s="119" t="n">
        <f aca="false">SUMIFS(tabela_registros[VALOR],tabela_registros[MÊS],$AE$1,tabela_registros[DIA],receitasfixasconsolidadonov[[#Headers],[5]],tabela_registros[REGISTRO],DADOS!$N$3,tabela_registros[TIPO],DADOS!$V$3,tabela_registros[CATEGORIA],receitasfixasconsolidadonov[[#This Row],[ATUAL]])</f>
        <v>0</v>
      </c>
      <c r="J83" s="119" t="n">
        <f aca="false">SUMIFS(tabela_registros[VALOR],tabela_registros[MÊS],$AE$1,tabela_registros[DIA],receitasfixasconsolidadonov[[#Headers],[6]],tabela_registros[REGISTRO],DADOS!$N$3,tabela_registros[TIPO],DADOS!$V$3,tabela_registros[CATEGORIA],receitasfixasconsolidadonov[[#This Row],[ATUAL]])</f>
        <v>0</v>
      </c>
      <c r="K83" s="119" t="n">
        <f aca="false">SUMIFS(tabela_registros[VALOR],tabela_registros[MÊS],$AE$1,tabela_registros[DIA],receitasfixasconsolidadonov[[#Headers],[7]],tabela_registros[REGISTRO],DADOS!$N$3,tabela_registros[TIPO],DADOS!$V$3,tabela_registros[CATEGORIA],receitasfixasconsolidadonov[[#This Row],[ATUAL]])</f>
        <v>0</v>
      </c>
      <c r="L83" s="119" t="n">
        <f aca="false">SUMIFS(tabela_registros[VALOR],tabela_registros[MÊS],$AE$1,tabela_registros[DIA],receitasfixasconsolidadonov[[#Headers],[8]],tabela_registros[REGISTRO],DADOS!$N$3,tabela_registros[TIPO],DADOS!$V$3,tabela_registros[CATEGORIA],receitasfixasconsolidadonov[[#This Row],[ATUAL]])</f>
        <v>0</v>
      </c>
      <c r="M83" s="119" t="n">
        <f aca="false">SUMIFS(tabela_registros[VALOR],tabela_registros[MÊS],$AE$1,tabela_registros[DIA],receitasfixasconsolidadonov[[#Headers],[9]],tabela_registros[REGISTRO],DADOS!$N$3,tabela_registros[TIPO],DADOS!$V$3,tabela_registros[CATEGORIA],receitasfixasconsolidadonov[[#This Row],[ATUAL]])</f>
        <v>0</v>
      </c>
      <c r="N83" s="119" t="n">
        <f aca="false">SUMIFS(tabela_registros[VALOR],tabela_registros[MÊS],$AE$1,tabela_registros[DIA],receitasfixasconsolidadonov[[#Headers],[10]],tabela_registros[REGISTRO],DADOS!$N$3,tabela_registros[TIPO],DADOS!$V$3,tabela_registros[CATEGORIA],receitasfixasconsolidadonov[[#This Row],[ATUAL]])</f>
        <v>0</v>
      </c>
      <c r="O83" s="119" t="n">
        <f aca="false">SUMIFS(tabela_registros[VALOR],tabela_registros[MÊS],$AE$1,tabela_registros[DIA],receitasfixasconsolidadonov[[#Headers],[11]],tabela_registros[REGISTRO],DADOS!$N$3,tabela_registros[TIPO],DADOS!$V$3,tabela_registros[CATEGORIA],receitasfixasconsolidadonov[[#This Row],[ATUAL]])</f>
        <v>0</v>
      </c>
      <c r="P83" s="119" t="n">
        <f aca="false">SUMIFS(tabela_registros[VALOR],tabela_registros[MÊS],$AE$1,tabela_registros[DIA],receitasfixasconsolidadonov[[#Headers],[12]],tabela_registros[REGISTRO],DADOS!$N$3,tabela_registros[TIPO],DADOS!$V$3,tabela_registros[CATEGORIA],receitasfixasconsolidadonov[[#This Row],[ATUAL]])</f>
        <v>0</v>
      </c>
      <c r="Q83" s="119" t="n">
        <f aca="false">SUMIFS(tabela_registros[VALOR],tabela_registros[MÊS],$AE$1,tabela_registros[DIA],receitasfixasconsolidadonov[[#Headers],[13]],tabela_registros[REGISTRO],DADOS!$N$3,tabela_registros[TIPO],DADOS!$V$3,tabela_registros[CATEGORIA],receitasfixasconsolidadonov[[#This Row],[ATUAL]])</f>
        <v>0</v>
      </c>
      <c r="R83" s="119" t="n">
        <f aca="false">SUMIFS(tabela_registros[VALOR],tabela_registros[MÊS],$AE$1,tabela_registros[DIA],receitasfixasconsolidadonov[[#Headers],[14]],tabela_registros[REGISTRO],DADOS!$N$3,tabela_registros[TIPO],DADOS!$V$3,tabela_registros[CATEGORIA],receitasfixasconsolidadonov[[#This Row],[ATUAL]])</f>
        <v>0</v>
      </c>
      <c r="S83" s="119" t="n">
        <f aca="false">SUMIFS(tabela_registros[VALOR],tabela_registros[MÊS],$AE$1,tabela_registros[DIA],receitasfixasconsolidadonov[[#Headers],[15]],tabela_registros[REGISTRO],DADOS!$N$3,tabela_registros[TIPO],DADOS!$V$3,tabela_registros[CATEGORIA],receitasfixasconsolidadonov[[#This Row],[ATUAL]])</f>
        <v>0</v>
      </c>
      <c r="T83" s="119" t="n">
        <f aca="false">SUMIFS(tabela_registros[VALOR],tabela_registros[MÊS],$AE$1,tabela_registros[DIA],receitasfixasconsolidadonov[[#Headers],[16]],tabela_registros[REGISTRO],DADOS!$N$3,tabela_registros[TIPO],DADOS!$V$3,tabela_registros[CATEGORIA],receitasfixasconsolidadonov[[#This Row],[ATUAL]])</f>
        <v>0</v>
      </c>
      <c r="U83" s="119" t="n">
        <f aca="false">SUMIFS(tabela_registros[VALOR],tabela_registros[MÊS],$AE$1,tabela_registros[DIA],receitasfixasconsolidadonov[[#Headers],[17]],tabela_registros[REGISTRO],DADOS!$N$3,tabela_registros[TIPO],DADOS!$V$3,tabela_registros[CATEGORIA],receitasfixasconsolidadonov[[#This Row],[ATUAL]])</f>
        <v>0</v>
      </c>
      <c r="V83" s="119" t="n">
        <f aca="false">SUMIFS(tabela_registros[VALOR],tabela_registros[MÊS],$AE$1,tabela_registros[DIA],receitasfixasconsolidadonov[[#Headers],[18]],tabela_registros[REGISTRO],DADOS!$N$3,tabela_registros[TIPO],DADOS!$V$3,tabela_registros[CATEGORIA],receitasfixasconsolidadonov[[#This Row],[ATUAL]])</f>
        <v>0</v>
      </c>
      <c r="W83" s="119" t="n">
        <f aca="false">SUMIFS(tabela_registros[VALOR],tabela_registros[MÊS],$AE$1,tabela_registros[DIA],receitasfixasconsolidadonov[[#Headers],[19]],tabela_registros[REGISTRO],DADOS!$N$3,tabela_registros[TIPO],DADOS!$V$3,tabela_registros[CATEGORIA],receitasfixasconsolidadonov[[#This Row],[ATUAL]])</f>
        <v>0</v>
      </c>
      <c r="X83" s="119" t="n">
        <f aca="false">SUMIFS(tabela_registros[VALOR],tabela_registros[MÊS],$AE$1,tabela_registros[DIA],receitasfixasconsolidadonov[[#Headers],[20]],tabela_registros[REGISTRO],DADOS!$N$3,tabela_registros[TIPO],DADOS!$V$3,tabela_registros[CATEGORIA],receitasfixasconsolidadonov[[#This Row],[ATUAL]])</f>
        <v>0</v>
      </c>
      <c r="Y83" s="119" t="n">
        <f aca="false">SUMIFS(tabela_registros[VALOR],tabela_registros[MÊS],$AE$1,tabela_registros[DIA],receitasfixasconsolidadonov[[#Headers],[21]],tabela_registros[REGISTRO],DADOS!$N$3,tabela_registros[TIPO],DADOS!$V$3,tabela_registros[CATEGORIA],receitasfixasconsolidadonov[[#This Row],[ATUAL]])</f>
        <v>0</v>
      </c>
      <c r="Z83" s="119" t="n">
        <f aca="false">SUMIFS(tabela_registros[VALOR],tabela_registros[MÊS],$AE$1,tabela_registros[DIA],receitasfixasconsolidadonov[[#Headers],[22]],tabela_registros[REGISTRO],DADOS!$N$3,tabela_registros[TIPO],DADOS!$V$3,tabela_registros[CATEGORIA],receitasfixasconsolidadonov[[#This Row],[ATUAL]])</f>
        <v>0</v>
      </c>
      <c r="AA83" s="119" t="n">
        <f aca="false">SUMIFS(tabela_registros[VALOR],tabela_registros[MÊS],$AE$1,tabela_registros[DIA],receitasfixasconsolidadonov[[#Headers],[23]],tabela_registros[REGISTRO],DADOS!$N$3,tabela_registros[TIPO],DADOS!$V$3,tabela_registros[CATEGORIA],receitasfixasconsolidadonov[[#This Row],[ATUAL]])</f>
        <v>0</v>
      </c>
      <c r="AB83" s="119" t="n">
        <f aca="false">SUMIFS(tabela_registros[VALOR],tabela_registros[MÊS],$AE$1,tabela_registros[DIA],receitasfixasconsolidadonov[[#Headers],[24]],tabela_registros[REGISTRO],DADOS!$N$3,tabela_registros[TIPO],DADOS!$V$3,tabela_registros[CATEGORIA],receitasfixasconsolidadonov[[#This Row],[ATUAL]])</f>
        <v>0</v>
      </c>
      <c r="AC83" s="119" t="n">
        <f aca="false">SUMIFS(tabela_registros[VALOR],tabela_registros[MÊS],$AE$1,tabela_registros[DIA],receitasfixasconsolidadonov[[#Headers],[25]],tabela_registros[REGISTRO],DADOS!$N$3,tabela_registros[TIPO],DADOS!$V$3,tabela_registros[CATEGORIA],receitasfixasconsolidadonov[[#This Row],[ATUAL]])</f>
        <v>0</v>
      </c>
      <c r="AD83" s="119" t="n">
        <f aca="false">SUMIFS(tabela_registros[VALOR],tabela_registros[MÊS],$AE$1,tabela_registros[DIA],receitasfixasconsolidadonov[[#Headers],[26]],tabela_registros[REGISTRO],DADOS!$N$3,tabela_registros[TIPO],DADOS!$V$3,tabela_registros[CATEGORIA],receitasfixasconsolidadonov[[#This Row],[ATUAL]])</f>
        <v>0</v>
      </c>
      <c r="AE83" s="119" t="n">
        <f aca="false">SUMIFS(tabela_registros[VALOR],tabela_registros[MÊS],$AE$1,tabela_registros[DIA],receitasfixasconsolidadonov[[#Headers],[27]],tabela_registros[REGISTRO],DADOS!$N$3,tabela_registros[TIPO],DADOS!$V$3,tabela_registros[CATEGORIA],receitasfixasconsolidadonov[[#This Row],[ATUAL]])</f>
        <v>0</v>
      </c>
      <c r="AF83" s="119" t="n">
        <f aca="false">SUMIFS(tabela_registros[VALOR],tabela_registros[MÊS],$AE$1,tabela_registros[DIA],receitasfixasconsolidadonov[[#Headers],[28]],tabela_registros[REGISTRO],DADOS!$N$3,tabela_registros[TIPO],DADOS!$V$3,tabela_registros[CATEGORIA],receitasfixasconsolidadonov[[#This Row],[ATUAL]])</f>
        <v>0</v>
      </c>
      <c r="AG83" s="119" t="n">
        <f aca="false">SUMIFS(tabela_registros[VALOR],tabela_registros[MÊS],$AE$1,tabela_registros[DIA],receitasfixasconsolidadonov[[#Headers],[29]],tabela_registros[REGISTRO],DADOS!$N$3,tabela_registros[TIPO],DADOS!$V$3,tabela_registros[CATEGORIA],receitasfixasconsolidadonov[[#This Row],[ATUAL]])</f>
        <v>0</v>
      </c>
      <c r="AH83" s="119" t="n">
        <f aca="false">SUMIFS(tabela_registros[VALOR],tabela_registros[MÊS],$AE$1,tabela_registros[DIA],receitasfixasconsolidadonov[[#Headers],[30]],tabela_registros[REGISTRO],DADOS!$N$3,tabela_registros[TIPO],DADOS!$V$3,tabela_registros[CATEGORIA],receitasfixasconsolidadonov[[#This Row],[ATUAL]])</f>
        <v>0</v>
      </c>
      <c r="AI83" s="217" t="n">
        <f aca="false">SUMIFS(tabela_registros[VALOR],tabela_registros[MÊS],$AE$1,tabela_registros[DIA],receitasfixasconsolidadonov[[#Headers],[31]],tabela_registros[REGISTRO],DADOS!$N$3,tabela_registros[TIPO],DADOS!$V$3,tabela_registros[CATEGORIA],receitasfixasconsolidadonov[[#This Row],[ATUAL]])</f>
        <v>0</v>
      </c>
      <c r="AJ83" s="149" t="n">
        <f aca="false">SUM(receitasfixasconsolidadonov[[#This Row],[1]:[31]])</f>
        <v>0</v>
      </c>
      <c r="AK83" s="165"/>
    </row>
    <row r="84" customFormat="false" ht="19.5" hidden="false" customHeight="true" outlineLevel="0" collapsed="false">
      <c r="B84" s="143"/>
      <c r="C84" s="144" t="str">
        <f aca="false">DADOS!$X$5</f>
        <v>🎀 MESADA</v>
      </c>
      <c r="D84" s="145" t="str">
        <f aca="false">IF(receitasfixasconsolidadonov[[#This Row],[TOTAL (R$)]]=0,"",IF(OR(receitasfixasconsolidadonov[[#This Row],[TOTAL (R$)]]=LARGE($AJ$82:$AJ$86,1),receitasfixasconsolidadonov[[#This Row],[TOTAL (R$)]]=LARGE($AJ$82:$AJ$86,2)),DADOS!$I$9,""))</f>
        <v/>
      </c>
      <c r="E84" s="148" t="n">
        <f aca="false">SUMIFS(tabela_registros[VALOR],tabela_registros[MÊS],$AE$1,tabela_registros[DIA],receitasfixasconsolidadonov[[#Headers],[1]],tabela_registros[REGISTRO],DADOS!$N$3,tabela_registros[TIPO],DADOS!$V$3,tabela_registros[CATEGORIA],receitasfixasconsolidadonov[[#This Row],[ATUAL]])</f>
        <v>0</v>
      </c>
      <c r="F84" s="119" t="n">
        <f aca="false">SUMIFS(tabela_registros[VALOR],tabela_registros[MÊS],$AE$1,tabela_registros[DIA],receitasfixasconsolidadonov[[#Headers],[2]],tabela_registros[REGISTRO],DADOS!$N$3,tabela_registros[TIPO],DADOS!$V$3,tabela_registros[CATEGORIA],receitasfixasconsolidadonov[[#This Row],[ATUAL]])</f>
        <v>0</v>
      </c>
      <c r="G84" s="119" t="n">
        <f aca="false">SUMIFS(tabela_registros[VALOR],tabela_registros[MÊS],$AE$1,tabela_registros[DIA],receitasfixasconsolidadonov[[#Headers],[3]],tabela_registros[REGISTRO],DADOS!$N$3,tabela_registros[TIPO],DADOS!$V$3,tabela_registros[CATEGORIA],receitasfixasconsolidadonov[[#This Row],[ATUAL]])</f>
        <v>0</v>
      </c>
      <c r="H84" s="119" t="n">
        <f aca="false">SUMIFS(tabela_registros[VALOR],tabela_registros[MÊS],$AE$1,tabela_registros[DIA],receitasfixasconsolidadonov[[#Headers],[4]],tabela_registros[REGISTRO],DADOS!$N$3,tabela_registros[TIPO],DADOS!$V$3,tabela_registros[CATEGORIA],receitasfixasconsolidadonov[[#This Row],[ATUAL]])</f>
        <v>0</v>
      </c>
      <c r="I84" s="119" t="n">
        <f aca="false">SUMIFS(tabela_registros[VALOR],tabela_registros[MÊS],$AE$1,tabela_registros[DIA],receitasfixasconsolidadonov[[#Headers],[5]],tabela_registros[REGISTRO],DADOS!$N$3,tabela_registros[TIPO],DADOS!$V$3,tabela_registros[CATEGORIA],receitasfixasconsolidadonov[[#This Row],[ATUAL]])</f>
        <v>0</v>
      </c>
      <c r="J84" s="119" t="n">
        <f aca="false">SUMIFS(tabela_registros[VALOR],tabela_registros[MÊS],$AE$1,tabela_registros[DIA],receitasfixasconsolidadonov[[#Headers],[6]],tabela_registros[REGISTRO],DADOS!$N$3,tabela_registros[TIPO],DADOS!$V$3,tabela_registros[CATEGORIA],receitasfixasconsolidadonov[[#This Row],[ATUAL]])</f>
        <v>0</v>
      </c>
      <c r="K84" s="119" t="n">
        <f aca="false">SUMIFS(tabela_registros[VALOR],tabela_registros[MÊS],$AE$1,tabela_registros[DIA],receitasfixasconsolidadonov[[#Headers],[7]],tabela_registros[REGISTRO],DADOS!$N$3,tabela_registros[TIPO],DADOS!$V$3,tabela_registros[CATEGORIA],receitasfixasconsolidadonov[[#This Row],[ATUAL]])</f>
        <v>0</v>
      </c>
      <c r="L84" s="119" t="n">
        <f aca="false">SUMIFS(tabela_registros[VALOR],tabela_registros[MÊS],$AE$1,tabela_registros[DIA],receitasfixasconsolidadonov[[#Headers],[8]],tabela_registros[REGISTRO],DADOS!$N$3,tabela_registros[TIPO],DADOS!$V$3,tabela_registros[CATEGORIA],receitasfixasconsolidadonov[[#This Row],[ATUAL]])</f>
        <v>0</v>
      </c>
      <c r="M84" s="119" t="n">
        <f aca="false">SUMIFS(tabela_registros[VALOR],tabela_registros[MÊS],$AE$1,tabela_registros[DIA],receitasfixasconsolidadonov[[#Headers],[9]],tabela_registros[REGISTRO],DADOS!$N$3,tabela_registros[TIPO],DADOS!$V$3,tabela_registros[CATEGORIA],receitasfixasconsolidadonov[[#This Row],[ATUAL]])</f>
        <v>0</v>
      </c>
      <c r="N84" s="119" t="n">
        <f aca="false">SUMIFS(tabela_registros[VALOR],tabela_registros[MÊS],$AE$1,tabela_registros[DIA],receitasfixasconsolidadonov[[#Headers],[10]],tabela_registros[REGISTRO],DADOS!$N$3,tabela_registros[TIPO],DADOS!$V$3,tabela_registros[CATEGORIA],receitasfixasconsolidadonov[[#This Row],[ATUAL]])</f>
        <v>0</v>
      </c>
      <c r="O84" s="119" t="n">
        <f aca="false">SUMIFS(tabela_registros[VALOR],tabela_registros[MÊS],$AE$1,tabela_registros[DIA],receitasfixasconsolidadonov[[#Headers],[11]],tabela_registros[REGISTRO],DADOS!$N$3,tabela_registros[TIPO],DADOS!$V$3,tabela_registros[CATEGORIA],receitasfixasconsolidadonov[[#This Row],[ATUAL]])</f>
        <v>0</v>
      </c>
      <c r="P84" s="119" t="n">
        <f aca="false">SUMIFS(tabela_registros[VALOR],tabela_registros[MÊS],$AE$1,tabela_registros[DIA],receitasfixasconsolidadonov[[#Headers],[12]],tabela_registros[REGISTRO],DADOS!$N$3,tabela_registros[TIPO],DADOS!$V$3,tabela_registros[CATEGORIA],receitasfixasconsolidadonov[[#This Row],[ATUAL]])</f>
        <v>0</v>
      </c>
      <c r="Q84" s="119" t="n">
        <f aca="false">SUMIFS(tabela_registros[VALOR],tabela_registros[MÊS],$AE$1,tabela_registros[DIA],receitasfixasconsolidadonov[[#Headers],[13]],tabela_registros[REGISTRO],DADOS!$N$3,tabela_registros[TIPO],DADOS!$V$3,tabela_registros[CATEGORIA],receitasfixasconsolidadonov[[#This Row],[ATUAL]])</f>
        <v>0</v>
      </c>
      <c r="R84" s="119" t="n">
        <f aca="false">SUMIFS(tabela_registros[VALOR],tabela_registros[MÊS],$AE$1,tabela_registros[DIA],receitasfixasconsolidadonov[[#Headers],[14]],tabela_registros[REGISTRO],DADOS!$N$3,tabela_registros[TIPO],DADOS!$V$3,tabela_registros[CATEGORIA],receitasfixasconsolidadonov[[#This Row],[ATUAL]])</f>
        <v>0</v>
      </c>
      <c r="S84" s="119" t="n">
        <f aca="false">SUMIFS(tabela_registros[VALOR],tabela_registros[MÊS],$AE$1,tabela_registros[DIA],receitasfixasconsolidadonov[[#Headers],[15]],tabela_registros[REGISTRO],DADOS!$N$3,tabela_registros[TIPO],DADOS!$V$3,tabela_registros[CATEGORIA],receitasfixasconsolidadonov[[#This Row],[ATUAL]])</f>
        <v>0</v>
      </c>
      <c r="T84" s="119" t="n">
        <f aca="false">SUMIFS(tabela_registros[VALOR],tabela_registros[MÊS],$AE$1,tabela_registros[DIA],receitasfixasconsolidadonov[[#Headers],[16]],tabela_registros[REGISTRO],DADOS!$N$3,tabela_registros[TIPO],DADOS!$V$3,tabela_registros[CATEGORIA],receitasfixasconsolidadonov[[#This Row],[ATUAL]])</f>
        <v>0</v>
      </c>
      <c r="U84" s="119" t="n">
        <f aca="false">SUMIFS(tabela_registros[VALOR],tabela_registros[MÊS],$AE$1,tabela_registros[DIA],receitasfixasconsolidadonov[[#Headers],[17]],tabela_registros[REGISTRO],DADOS!$N$3,tabela_registros[TIPO],DADOS!$V$3,tabela_registros[CATEGORIA],receitasfixasconsolidadonov[[#This Row],[ATUAL]])</f>
        <v>0</v>
      </c>
      <c r="V84" s="119" t="n">
        <f aca="false">SUMIFS(tabela_registros[VALOR],tabela_registros[MÊS],$AE$1,tabela_registros[DIA],receitasfixasconsolidadonov[[#Headers],[18]],tabela_registros[REGISTRO],DADOS!$N$3,tabela_registros[TIPO],DADOS!$V$3,tabela_registros[CATEGORIA],receitasfixasconsolidadonov[[#This Row],[ATUAL]])</f>
        <v>0</v>
      </c>
      <c r="W84" s="119" t="n">
        <f aca="false">SUMIFS(tabela_registros[VALOR],tabela_registros[MÊS],$AE$1,tabela_registros[DIA],receitasfixasconsolidadonov[[#Headers],[19]],tabela_registros[REGISTRO],DADOS!$N$3,tabela_registros[TIPO],DADOS!$V$3,tabela_registros[CATEGORIA],receitasfixasconsolidadonov[[#This Row],[ATUAL]])</f>
        <v>0</v>
      </c>
      <c r="X84" s="119" t="n">
        <f aca="false">SUMIFS(tabela_registros[VALOR],tabela_registros[MÊS],$AE$1,tabela_registros[DIA],receitasfixasconsolidadonov[[#Headers],[20]],tabela_registros[REGISTRO],DADOS!$N$3,tabela_registros[TIPO],DADOS!$V$3,tabela_registros[CATEGORIA],receitasfixasconsolidadonov[[#This Row],[ATUAL]])</f>
        <v>0</v>
      </c>
      <c r="Y84" s="119" t="n">
        <f aca="false">SUMIFS(tabela_registros[VALOR],tabela_registros[MÊS],$AE$1,tabela_registros[DIA],receitasfixasconsolidadonov[[#Headers],[21]],tabela_registros[REGISTRO],DADOS!$N$3,tabela_registros[TIPO],DADOS!$V$3,tabela_registros[CATEGORIA],receitasfixasconsolidadonov[[#This Row],[ATUAL]])</f>
        <v>0</v>
      </c>
      <c r="Z84" s="119" t="n">
        <f aca="false">SUMIFS(tabela_registros[VALOR],tabela_registros[MÊS],$AE$1,tabela_registros[DIA],receitasfixasconsolidadonov[[#Headers],[22]],tabela_registros[REGISTRO],DADOS!$N$3,tabela_registros[TIPO],DADOS!$V$3,tabela_registros[CATEGORIA],receitasfixasconsolidadonov[[#This Row],[ATUAL]])</f>
        <v>0</v>
      </c>
      <c r="AA84" s="119" t="n">
        <f aca="false">SUMIFS(tabela_registros[VALOR],tabela_registros[MÊS],$AE$1,tabela_registros[DIA],receitasfixasconsolidadonov[[#Headers],[23]],tabela_registros[REGISTRO],DADOS!$N$3,tabela_registros[TIPO],DADOS!$V$3,tabela_registros[CATEGORIA],receitasfixasconsolidadonov[[#This Row],[ATUAL]])</f>
        <v>0</v>
      </c>
      <c r="AB84" s="119" t="n">
        <f aca="false">SUMIFS(tabela_registros[VALOR],tabela_registros[MÊS],$AE$1,tabela_registros[DIA],receitasfixasconsolidadonov[[#Headers],[24]],tabela_registros[REGISTRO],DADOS!$N$3,tabela_registros[TIPO],DADOS!$V$3,tabela_registros[CATEGORIA],receitasfixasconsolidadonov[[#This Row],[ATUAL]])</f>
        <v>0</v>
      </c>
      <c r="AC84" s="119" t="n">
        <f aca="false">SUMIFS(tabela_registros[VALOR],tabela_registros[MÊS],$AE$1,tabela_registros[DIA],receitasfixasconsolidadonov[[#Headers],[25]],tabela_registros[REGISTRO],DADOS!$N$3,tabela_registros[TIPO],DADOS!$V$3,tabela_registros[CATEGORIA],receitasfixasconsolidadonov[[#This Row],[ATUAL]])</f>
        <v>0</v>
      </c>
      <c r="AD84" s="119" t="n">
        <f aca="false">SUMIFS(tabela_registros[VALOR],tabela_registros[MÊS],$AE$1,tabela_registros[DIA],receitasfixasconsolidadonov[[#Headers],[26]],tabela_registros[REGISTRO],DADOS!$N$3,tabela_registros[TIPO],DADOS!$V$3,tabela_registros[CATEGORIA],receitasfixasconsolidadonov[[#This Row],[ATUAL]])</f>
        <v>0</v>
      </c>
      <c r="AE84" s="119" t="n">
        <f aca="false">SUMIFS(tabela_registros[VALOR],tabela_registros[MÊS],$AE$1,tabela_registros[DIA],receitasfixasconsolidadonov[[#Headers],[27]],tabela_registros[REGISTRO],DADOS!$N$3,tabela_registros[TIPO],DADOS!$V$3,tabela_registros[CATEGORIA],receitasfixasconsolidadonov[[#This Row],[ATUAL]])</f>
        <v>0</v>
      </c>
      <c r="AF84" s="119" t="n">
        <f aca="false">SUMIFS(tabela_registros[VALOR],tabela_registros[MÊS],$AE$1,tabela_registros[DIA],receitasfixasconsolidadonov[[#Headers],[28]],tabela_registros[REGISTRO],DADOS!$N$3,tabela_registros[TIPO],DADOS!$V$3,tabela_registros[CATEGORIA],receitasfixasconsolidadonov[[#This Row],[ATUAL]])</f>
        <v>0</v>
      </c>
      <c r="AG84" s="119" t="n">
        <f aca="false">SUMIFS(tabela_registros[VALOR],tabela_registros[MÊS],$AE$1,tabela_registros[DIA],receitasfixasconsolidadonov[[#Headers],[29]],tabela_registros[REGISTRO],DADOS!$N$3,tabela_registros[TIPO],DADOS!$V$3,tabela_registros[CATEGORIA],receitasfixasconsolidadonov[[#This Row],[ATUAL]])</f>
        <v>0</v>
      </c>
      <c r="AH84" s="119" t="n">
        <f aca="false">SUMIFS(tabela_registros[VALOR],tabela_registros[MÊS],$AE$1,tabela_registros[DIA],receitasfixasconsolidadonov[[#Headers],[30]],tabela_registros[REGISTRO],DADOS!$N$3,tabela_registros[TIPO],DADOS!$V$3,tabela_registros[CATEGORIA],receitasfixasconsolidadonov[[#This Row],[ATUAL]])</f>
        <v>0</v>
      </c>
      <c r="AI84" s="217" t="n">
        <f aca="false">SUMIFS(tabela_registros[VALOR],tabela_registros[MÊS],$AE$1,tabela_registros[DIA],receitasfixasconsolidadonov[[#Headers],[31]],tabela_registros[REGISTRO],DADOS!$N$3,tabela_registros[TIPO],DADOS!$V$3,tabela_registros[CATEGORIA],receitasfixasconsolidadonov[[#This Row],[ATUAL]])</f>
        <v>0</v>
      </c>
      <c r="AJ84" s="149" t="n">
        <f aca="false">SUM(receitasfixasconsolidadonov[[#This Row],[1]:[31]])</f>
        <v>0</v>
      </c>
      <c r="AK84" s="165"/>
    </row>
    <row r="85" customFormat="false" ht="19.5" hidden="false" customHeight="true" outlineLevel="0" collapsed="false">
      <c r="B85" s="143"/>
      <c r="C85" s="144" t="str">
        <f aca="false">DADOS!$X$6</f>
        <v>💰 SALÁRIO</v>
      </c>
      <c r="D85" s="145" t="str">
        <f aca="false">IF(receitasfixasconsolidadonov[[#This Row],[TOTAL (R$)]]=0,"",IF(OR(receitasfixasconsolidadonov[[#This Row],[TOTAL (R$)]]=LARGE($AJ$82:$AJ$86,1),receitasfixasconsolidadonov[[#This Row],[TOTAL (R$)]]=LARGE($AJ$82:$AJ$86,2)),DADOS!$I$9,""))</f>
        <v/>
      </c>
      <c r="E85" s="148" t="n">
        <f aca="false">SUMIFS(tabela_registros[VALOR],tabela_registros[MÊS],$AE$1,tabela_registros[DIA],receitasfixasconsolidadonov[[#Headers],[1]],tabela_registros[REGISTRO],DADOS!$N$3,tabela_registros[TIPO],DADOS!$V$3,tabela_registros[CATEGORIA],receitasfixasconsolidadonov[[#This Row],[ATUAL]])</f>
        <v>0</v>
      </c>
      <c r="F85" s="119" t="n">
        <f aca="false">SUMIFS(tabela_registros[VALOR],tabela_registros[MÊS],$AE$1,tabela_registros[DIA],receitasfixasconsolidadonov[[#Headers],[2]],tabela_registros[REGISTRO],DADOS!$N$3,tabela_registros[TIPO],DADOS!$V$3,tabela_registros[CATEGORIA],receitasfixasconsolidadonov[[#This Row],[ATUAL]])</f>
        <v>0</v>
      </c>
      <c r="G85" s="119" t="n">
        <f aca="false">SUMIFS(tabela_registros[VALOR],tabela_registros[MÊS],$AE$1,tabela_registros[DIA],receitasfixasconsolidadonov[[#Headers],[3]],tabela_registros[REGISTRO],DADOS!$N$3,tabela_registros[TIPO],DADOS!$V$3,tabela_registros[CATEGORIA],receitasfixasconsolidadonov[[#This Row],[ATUAL]])</f>
        <v>0</v>
      </c>
      <c r="H85" s="119" t="n">
        <f aca="false">SUMIFS(tabela_registros[VALOR],tabela_registros[MÊS],$AE$1,tabela_registros[DIA],receitasfixasconsolidadonov[[#Headers],[4]],tabela_registros[REGISTRO],DADOS!$N$3,tabela_registros[TIPO],DADOS!$V$3,tabela_registros[CATEGORIA],receitasfixasconsolidadonov[[#This Row],[ATUAL]])</f>
        <v>0</v>
      </c>
      <c r="I85" s="119" t="n">
        <f aca="false">SUMIFS(tabela_registros[VALOR],tabela_registros[MÊS],$AE$1,tabela_registros[DIA],receitasfixasconsolidadonov[[#Headers],[5]],tabela_registros[REGISTRO],DADOS!$N$3,tabela_registros[TIPO],DADOS!$V$3,tabela_registros[CATEGORIA],receitasfixasconsolidadonov[[#This Row],[ATUAL]])</f>
        <v>0</v>
      </c>
      <c r="J85" s="119" t="n">
        <f aca="false">SUMIFS(tabela_registros[VALOR],tabela_registros[MÊS],$AE$1,tabela_registros[DIA],receitasfixasconsolidadonov[[#Headers],[6]],tabela_registros[REGISTRO],DADOS!$N$3,tabela_registros[TIPO],DADOS!$V$3,tabela_registros[CATEGORIA],receitasfixasconsolidadonov[[#This Row],[ATUAL]])</f>
        <v>0</v>
      </c>
      <c r="K85" s="119" t="n">
        <f aca="false">SUMIFS(tabela_registros[VALOR],tabela_registros[MÊS],$AE$1,tabela_registros[DIA],receitasfixasconsolidadonov[[#Headers],[7]],tabela_registros[REGISTRO],DADOS!$N$3,tabela_registros[TIPO],DADOS!$V$3,tabela_registros[CATEGORIA],receitasfixasconsolidadonov[[#This Row],[ATUAL]])</f>
        <v>0</v>
      </c>
      <c r="L85" s="119" t="n">
        <f aca="false">SUMIFS(tabela_registros[VALOR],tabela_registros[MÊS],$AE$1,tabela_registros[DIA],receitasfixasconsolidadonov[[#Headers],[8]],tabela_registros[REGISTRO],DADOS!$N$3,tabela_registros[TIPO],DADOS!$V$3,tabela_registros[CATEGORIA],receitasfixasconsolidadonov[[#This Row],[ATUAL]])</f>
        <v>0</v>
      </c>
      <c r="M85" s="119" t="n">
        <f aca="false">SUMIFS(tabela_registros[VALOR],tabela_registros[MÊS],$AE$1,tabela_registros[DIA],receitasfixasconsolidadonov[[#Headers],[9]],tabela_registros[REGISTRO],DADOS!$N$3,tabela_registros[TIPO],DADOS!$V$3,tabela_registros[CATEGORIA],receitasfixasconsolidadonov[[#This Row],[ATUAL]])</f>
        <v>0</v>
      </c>
      <c r="N85" s="119" t="n">
        <f aca="false">SUMIFS(tabela_registros[VALOR],tabela_registros[MÊS],$AE$1,tabela_registros[DIA],receitasfixasconsolidadonov[[#Headers],[10]],tabela_registros[REGISTRO],DADOS!$N$3,tabela_registros[TIPO],DADOS!$V$3,tabela_registros[CATEGORIA],receitasfixasconsolidadonov[[#This Row],[ATUAL]])</f>
        <v>0</v>
      </c>
      <c r="O85" s="119" t="n">
        <f aca="false">SUMIFS(tabela_registros[VALOR],tabela_registros[MÊS],$AE$1,tabela_registros[DIA],receitasfixasconsolidadonov[[#Headers],[11]],tabela_registros[REGISTRO],DADOS!$N$3,tabela_registros[TIPO],DADOS!$V$3,tabela_registros[CATEGORIA],receitasfixasconsolidadonov[[#This Row],[ATUAL]])</f>
        <v>0</v>
      </c>
      <c r="P85" s="119" t="n">
        <f aca="false">SUMIFS(tabela_registros[VALOR],tabela_registros[MÊS],$AE$1,tabela_registros[DIA],receitasfixasconsolidadonov[[#Headers],[12]],tabela_registros[REGISTRO],DADOS!$N$3,tabela_registros[TIPO],DADOS!$V$3,tabela_registros[CATEGORIA],receitasfixasconsolidadonov[[#This Row],[ATUAL]])</f>
        <v>0</v>
      </c>
      <c r="Q85" s="119" t="n">
        <f aca="false">SUMIFS(tabela_registros[VALOR],tabela_registros[MÊS],$AE$1,tabela_registros[DIA],receitasfixasconsolidadonov[[#Headers],[13]],tabela_registros[REGISTRO],DADOS!$N$3,tabela_registros[TIPO],DADOS!$V$3,tabela_registros[CATEGORIA],receitasfixasconsolidadonov[[#This Row],[ATUAL]])</f>
        <v>0</v>
      </c>
      <c r="R85" s="119" t="n">
        <f aca="false">SUMIFS(tabela_registros[VALOR],tabela_registros[MÊS],$AE$1,tabela_registros[DIA],receitasfixasconsolidadonov[[#Headers],[14]],tabela_registros[REGISTRO],DADOS!$N$3,tabela_registros[TIPO],DADOS!$V$3,tabela_registros[CATEGORIA],receitasfixasconsolidadonov[[#This Row],[ATUAL]])</f>
        <v>0</v>
      </c>
      <c r="S85" s="119" t="n">
        <f aca="false">SUMIFS(tabela_registros[VALOR],tabela_registros[MÊS],$AE$1,tabela_registros[DIA],receitasfixasconsolidadonov[[#Headers],[15]],tabela_registros[REGISTRO],DADOS!$N$3,tabela_registros[TIPO],DADOS!$V$3,tabela_registros[CATEGORIA],receitasfixasconsolidadonov[[#This Row],[ATUAL]])</f>
        <v>0</v>
      </c>
      <c r="T85" s="119" t="n">
        <f aca="false">SUMIFS(tabela_registros[VALOR],tabela_registros[MÊS],$AE$1,tabela_registros[DIA],receitasfixasconsolidadonov[[#Headers],[16]],tabela_registros[REGISTRO],DADOS!$N$3,tabela_registros[TIPO],DADOS!$V$3,tabela_registros[CATEGORIA],receitasfixasconsolidadonov[[#This Row],[ATUAL]])</f>
        <v>0</v>
      </c>
      <c r="U85" s="119" t="n">
        <f aca="false">SUMIFS(tabela_registros[VALOR],tabela_registros[MÊS],$AE$1,tabela_registros[DIA],receitasfixasconsolidadonov[[#Headers],[17]],tabela_registros[REGISTRO],DADOS!$N$3,tabela_registros[TIPO],DADOS!$V$3,tabela_registros[CATEGORIA],receitasfixasconsolidadonov[[#This Row],[ATUAL]])</f>
        <v>0</v>
      </c>
      <c r="V85" s="119" t="n">
        <f aca="false">SUMIFS(tabela_registros[VALOR],tabela_registros[MÊS],$AE$1,tabela_registros[DIA],receitasfixasconsolidadonov[[#Headers],[18]],tabela_registros[REGISTRO],DADOS!$N$3,tabela_registros[TIPO],DADOS!$V$3,tabela_registros[CATEGORIA],receitasfixasconsolidadonov[[#This Row],[ATUAL]])</f>
        <v>0</v>
      </c>
      <c r="W85" s="119" t="n">
        <f aca="false">SUMIFS(tabela_registros[VALOR],tabela_registros[MÊS],$AE$1,tabela_registros[DIA],receitasfixasconsolidadonov[[#Headers],[19]],tabela_registros[REGISTRO],DADOS!$N$3,tabela_registros[TIPO],DADOS!$V$3,tabela_registros[CATEGORIA],receitasfixasconsolidadonov[[#This Row],[ATUAL]])</f>
        <v>0</v>
      </c>
      <c r="X85" s="119" t="n">
        <f aca="false">SUMIFS(tabela_registros[VALOR],tabela_registros[MÊS],$AE$1,tabela_registros[DIA],receitasfixasconsolidadonov[[#Headers],[20]],tabela_registros[REGISTRO],DADOS!$N$3,tabela_registros[TIPO],DADOS!$V$3,tabela_registros[CATEGORIA],receitasfixasconsolidadonov[[#This Row],[ATUAL]])</f>
        <v>0</v>
      </c>
      <c r="Y85" s="119" t="n">
        <f aca="false">SUMIFS(tabela_registros[VALOR],tabela_registros[MÊS],$AE$1,tabela_registros[DIA],receitasfixasconsolidadonov[[#Headers],[21]],tabela_registros[REGISTRO],DADOS!$N$3,tabela_registros[TIPO],DADOS!$V$3,tabela_registros[CATEGORIA],receitasfixasconsolidadonov[[#This Row],[ATUAL]])</f>
        <v>0</v>
      </c>
      <c r="Z85" s="119" t="n">
        <f aca="false">SUMIFS(tabela_registros[VALOR],tabela_registros[MÊS],$AE$1,tabela_registros[DIA],receitasfixasconsolidadonov[[#Headers],[22]],tabela_registros[REGISTRO],DADOS!$N$3,tabela_registros[TIPO],DADOS!$V$3,tabela_registros[CATEGORIA],receitasfixasconsolidadonov[[#This Row],[ATUAL]])</f>
        <v>0</v>
      </c>
      <c r="AA85" s="119" t="n">
        <f aca="false">SUMIFS(tabela_registros[VALOR],tabela_registros[MÊS],$AE$1,tabela_registros[DIA],receitasfixasconsolidadonov[[#Headers],[23]],tabela_registros[REGISTRO],DADOS!$N$3,tabela_registros[TIPO],DADOS!$V$3,tabela_registros[CATEGORIA],receitasfixasconsolidadonov[[#This Row],[ATUAL]])</f>
        <v>0</v>
      </c>
      <c r="AB85" s="119" t="n">
        <f aca="false">SUMIFS(tabela_registros[VALOR],tabela_registros[MÊS],$AE$1,tabela_registros[DIA],receitasfixasconsolidadonov[[#Headers],[24]],tabela_registros[REGISTRO],DADOS!$N$3,tabela_registros[TIPO],DADOS!$V$3,tabela_registros[CATEGORIA],receitasfixasconsolidadonov[[#This Row],[ATUAL]])</f>
        <v>0</v>
      </c>
      <c r="AC85" s="119" t="n">
        <f aca="false">SUMIFS(tabela_registros[VALOR],tabela_registros[MÊS],$AE$1,tabela_registros[DIA],receitasfixasconsolidadonov[[#Headers],[25]],tabela_registros[REGISTRO],DADOS!$N$3,tabela_registros[TIPO],DADOS!$V$3,tabela_registros[CATEGORIA],receitasfixasconsolidadonov[[#This Row],[ATUAL]])</f>
        <v>0</v>
      </c>
      <c r="AD85" s="119" t="n">
        <f aca="false">SUMIFS(tabela_registros[VALOR],tabela_registros[MÊS],$AE$1,tabela_registros[DIA],receitasfixasconsolidadonov[[#Headers],[26]],tabela_registros[REGISTRO],DADOS!$N$3,tabela_registros[TIPO],DADOS!$V$3,tabela_registros[CATEGORIA],receitasfixasconsolidadonov[[#This Row],[ATUAL]])</f>
        <v>0</v>
      </c>
      <c r="AE85" s="119" t="n">
        <f aca="false">SUMIFS(tabela_registros[VALOR],tabela_registros[MÊS],$AE$1,tabela_registros[DIA],receitasfixasconsolidadonov[[#Headers],[27]],tabela_registros[REGISTRO],DADOS!$N$3,tabela_registros[TIPO],DADOS!$V$3,tabela_registros[CATEGORIA],receitasfixasconsolidadonov[[#This Row],[ATUAL]])</f>
        <v>0</v>
      </c>
      <c r="AF85" s="119" t="n">
        <f aca="false">SUMIFS(tabela_registros[VALOR],tabela_registros[MÊS],$AE$1,tabela_registros[DIA],receitasfixasconsolidadonov[[#Headers],[28]],tabela_registros[REGISTRO],DADOS!$N$3,tabela_registros[TIPO],DADOS!$V$3,tabela_registros[CATEGORIA],receitasfixasconsolidadonov[[#This Row],[ATUAL]])</f>
        <v>0</v>
      </c>
      <c r="AG85" s="119" t="n">
        <f aca="false">SUMIFS(tabela_registros[VALOR],tabela_registros[MÊS],$AE$1,tabela_registros[DIA],receitasfixasconsolidadonov[[#Headers],[29]],tabela_registros[REGISTRO],DADOS!$N$3,tabela_registros[TIPO],DADOS!$V$3,tabela_registros[CATEGORIA],receitasfixasconsolidadonov[[#This Row],[ATUAL]])</f>
        <v>0</v>
      </c>
      <c r="AH85" s="119" t="n">
        <f aca="false">SUMIFS(tabela_registros[VALOR],tabela_registros[MÊS],$AE$1,tabela_registros[DIA],receitasfixasconsolidadonov[[#Headers],[30]],tabela_registros[REGISTRO],DADOS!$N$3,tabela_registros[TIPO],DADOS!$V$3,tabela_registros[CATEGORIA],receitasfixasconsolidadonov[[#This Row],[ATUAL]])</f>
        <v>0</v>
      </c>
      <c r="AI85" s="217" t="n">
        <f aca="false">SUMIFS(tabela_registros[VALOR],tabela_registros[MÊS],$AE$1,tabela_registros[DIA],receitasfixasconsolidadonov[[#Headers],[31]],tabela_registros[REGISTRO],DADOS!$N$3,tabela_registros[TIPO],DADOS!$V$3,tabela_registros[CATEGORIA],receitasfixasconsolidadonov[[#This Row],[ATUAL]])</f>
        <v>0</v>
      </c>
      <c r="AJ85" s="149" t="n">
        <f aca="false">SUM(receitasfixasconsolidadonov[[#This Row],[1]:[31]])</f>
        <v>0</v>
      </c>
      <c r="AK85" s="165"/>
    </row>
    <row r="86" customFormat="false" ht="18" hidden="false" customHeight="true" outlineLevel="0" collapsed="false">
      <c r="B86" s="143"/>
      <c r="C86" s="144" t="str">
        <f aca="false">DADOS!$X$7</f>
        <v>📎 OUTROS</v>
      </c>
      <c r="D86" s="145" t="str">
        <f aca="false">IF(receitasfixasconsolidadonov[[#This Row],[TOTAL (R$)]]=0,"",IF(OR(receitasfixasconsolidadonov[[#This Row],[TOTAL (R$)]]=LARGE($AJ$82:$AJ$86,1),receitasfixasconsolidadonov[[#This Row],[TOTAL (R$)]]=LARGE($AJ$82:$AJ$86,2)),DADOS!$I$9,""))</f>
        <v/>
      </c>
      <c r="E86" s="148" t="n">
        <f aca="false">SUMIFS(tabela_registros[VALOR],tabela_registros[MÊS],$AE$1,tabela_registros[DIA],receitasfixasconsolidadonov[[#Headers],[1]],tabela_registros[REGISTRO],DADOS!$N$3,tabela_registros[TIPO],DADOS!$V$3,tabela_registros[CATEGORIA],receitasfixasconsolidadonov[[#This Row],[ATUAL]])</f>
        <v>0</v>
      </c>
      <c r="F86" s="119" t="n">
        <f aca="false">SUMIFS(tabela_registros[VALOR],tabela_registros[MÊS],$AE$1,tabela_registros[DIA],receitasfixasconsolidadonov[[#Headers],[2]],tabela_registros[REGISTRO],DADOS!$N$3,tabela_registros[TIPO],DADOS!$V$3,tabela_registros[CATEGORIA],receitasfixasconsolidadonov[[#This Row],[ATUAL]])</f>
        <v>0</v>
      </c>
      <c r="G86" s="119" t="n">
        <f aca="false">SUMIFS(tabela_registros[VALOR],tabela_registros[MÊS],$AE$1,tabela_registros[DIA],receitasfixasconsolidadonov[[#Headers],[3]],tabela_registros[REGISTRO],DADOS!$N$3,tabela_registros[TIPO],DADOS!$V$3,tabela_registros[CATEGORIA],receitasfixasconsolidadonov[[#This Row],[ATUAL]])</f>
        <v>0</v>
      </c>
      <c r="H86" s="119" t="n">
        <f aca="false">SUMIFS(tabela_registros[VALOR],tabela_registros[MÊS],$AE$1,tabela_registros[DIA],receitasfixasconsolidadonov[[#Headers],[4]],tabela_registros[REGISTRO],DADOS!$N$3,tabela_registros[TIPO],DADOS!$V$3,tabela_registros[CATEGORIA],receitasfixasconsolidadonov[[#This Row],[ATUAL]])</f>
        <v>0</v>
      </c>
      <c r="I86" s="119" t="n">
        <f aca="false">SUMIFS(tabela_registros[VALOR],tabela_registros[MÊS],$AE$1,tabela_registros[DIA],receitasfixasconsolidadonov[[#Headers],[5]],tabela_registros[REGISTRO],DADOS!$N$3,tabela_registros[TIPO],DADOS!$V$3,tabela_registros[CATEGORIA],receitasfixasconsolidadonov[[#This Row],[ATUAL]])</f>
        <v>0</v>
      </c>
      <c r="J86" s="119" t="n">
        <f aca="false">SUMIFS(tabela_registros[VALOR],tabela_registros[MÊS],$AE$1,tabela_registros[DIA],receitasfixasconsolidadonov[[#Headers],[6]],tabela_registros[REGISTRO],DADOS!$N$3,tabela_registros[TIPO],DADOS!$V$3,tabela_registros[CATEGORIA],receitasfixasconsolidadonov[[#This Row],[ATUAL]])</f>
        <v>0</v>
      </c>
      <c r="K86" s="119" t="n">
        <f aca="false">SUMIFS(tabela_registros[VALOR],tabela_registros[MÊS],$AE$1,tabela_registros[DIA],receitasfixasconsolidadonov[[#Headers],[7]],tabela_registros[REGISTRO],DADOS!$N$3,tabela_registros[TIPO],DADOS!$V$3,tabela_registros[CATEGORIA],receitasfixasconsolidadonov[[#This Row],[ATUAL]])</f>
        <v>0</v>
      </c>
      <c r="L86" s="119" t="n">
        <f aca="false">SUMIFS(tabela_registros[VALOR],tabela_registros[MÊS],$AE$1,tabela_registros[DIA],receitasfixasconsolidadonov[[#Headers],[8]],tabela_registros[REGISTRO],DADOS!$N$3,tabela_registros[TIPO],DADOS!$V$3,tabela_registros[CATEGORIA],receitasfixasconsolidadonov[[#This Row],[ATUAL]])</f>
        <v>0</v>
      </c>
      <c r="M86" s="119" t="n">
        <f aca="false">SUMIFS(tabela_registros[VALOR],tabela_registros[MÊS],$AE$1,tabela_registros[DIA],receitasfixasconsolidadonov[[#Headers],[9]],tabela_registros[REGISTRO],DADOS!$N$3,tabela_registros[TIPO],DADOS!$V$3,tabela_registros[CATEGORIA],receitasfixasconsolidadonov[[#This Row],[ATUAL]])</f>
        <v>0</v>
      </c>
      <c r="N86" s="119" t="n">
        <f aca="false">SUMIFS(tabela_registros[VALOR],tabela_registros[MÊS],$AE$1,tabela_registros[DIA],receitasfixasconsolidadonov[[#Headers],[10]],tabela_registros[REGISTRO],DADOS!$N$3,tabela_registros[TIPO],DADOS!$V$3,tabela_registros[CATEGORIA],receitasfixasconsolidadonov[[#This Row],[ATUAL]])</f>
        <v>0</v>
      </c>
      <c r="O86" s="119" t="n">
        <f aca="false">SUMIFS(tabela_registros[VALOR],tabela_registros[MÊS],$AE$1,tabela_registros[DIA],receitasfixasconsolidadonov[[#Headers],[11]],tabela_registros[REGISTRO],DADOS!$N$3,tabela_registros[TIPO],DADOS!$V$3,tabela_registros[CATEGORIA],receitasfixasconsolidadonov[[#This Row],[ATUAL]])</f>
        <v>0</v>
      </c>
      <c r="P86" s="119" t="n">
        <f aca="false">SUMIFS(tabela_registros[VALOR],tabela_registros[MÊS],$AE$1,tabela_registros[DIA],receitasfixasconsolidadonov[[#Headers],[12]],tabela_registros[REGISTRO],DADOS!$N$3,tabela_registros[TIPO],DADOS!$V$3,tabela_registros[CATEGORIA],receitasfixasconsolidadonov[[#This Row],[ATUAL]])</f>
        <v>0</v>
      </c>
      <c r="Q86" s="119" t="n">
        <f aca="false">SUMIFS(tabela_registros[VALOR],tabela_registros[MÊS],$AE$1,tabela_registros[DIA],receitasfixasconsolidadonov[[#Headers],[13]],tabela_registros[REGISTRO],DADOS!$N$3,tabela_registros[TIPO],DADOS!$V$3,tabela_registros[CATEGORIA],receitasfixasconsolidadonov[[#This Row],[ATUAL]])</f>
        <v>0</v>
      </c>
      <c r="R86" s="119" t="n">
        <f aca="false">SUMIFS(tabela_registros[VALOR],tabela_registros[MÊS],$AE$1,tabela_registros[DIA],receitasfixasconsolidadonov[[#Headers],[14]],tabela_registros[REGISTRO],DADOS!$N$3,tabela_registros[TIPO],DADOS!$V$3,tabela_registros[CATEGORIA],receitasfixasconsolidadonov[[#This Row],[ATUAL]])</f>
        <v>0</v>
      </c>
      <c r="S86" s="119" t="n">
        <f aca="false">SUMIFS(tabela_registros[VALOR],tabela_registros[MÊS],$AE$1,tabela_registros[DIA],receitasfixasconsolidadonov[[#Headers],[15]],tabela_registros[REGISTRO],DADOS!$N$3,tabela_registros[TIPO],DADOS!$V$3,tabela_registros[CATEGORIA],receitasfixasconsolidadonov[[#This Row],[ATUAL]])</f>
        <v>0</v>
      </c>
      <c r="T86" s="119" t="n">
        <f aca="false">SUMIFS(tabela_registros[VALOR],tabela_registros[MÊS],$AE$1,tabela_registros[DIA],receitasfixasconsolidadonov[[#Headers],[16]],tabela_registros[REGISTRO],DADOS!$N$3,tabela_registros[TIPO],DADOS!$V$3,tabela_registros[CATEGORIA],receitasfixasconsolidadonov[[#This Row],[ATUAL]])</f>
        <v>0</v>
      </c>
      <c r="U86" s="119" t="n">
        <f aca="false">SUMIFS(tabela_registros[VALOR],tabela_registros[MÊS],$AE$1,tabela_registros[DIA],receitasfixasconsolidadonov[[#Headers],[17]],tabela_registros[REGISTRO],DADOS!$N$3,tabela_registros[TIPO],DADOS!$V$3,tabela_registros[CATEGORIA],receitasfixasconsolidadonov[[#This Row],[ATUAL]])</f>
        <v>0</v>
      </c>
      <c r="V86" s="119" t="n">
        <f aca="false">SUMIFS(tabela_registros[VALOR],tabela_registros[MÊS],$AE$1,tabela_registros[DIA],receitasfixasconsolidadonov[[#Headers],[18]],tabela_registros[REGISTRO],DADOS!$N$3,tabela_registros[TIPO],DADOS!$V$3,tabela_registros[CATEGORIA],receitasfixasconsolidadonov[[#This Row],[ATUAL]])</f>
        <v>0</v>
      </c>
      <c r="W86" s="119" t="n">
        <f aca="false">SUMIFS(tabela_registros[VALOR],tabela_registros[MÊS],$AE$1,tabela_registros[DIA],receitasfixasconsolidadonov[[#Headers],[19]],tabela_registros[REGISTRO],DADOS!$N$3,tabela_registros[TIPO],DADOS!$V$3,tabela_registros[CATEGORIA],receitasfixasconsolidadonov[[#This Row],[ATUAL]])</f>
        <v>0</v>
      </c>
      <c r="X86" s="119" t="n">
        <f aca="false">SUMIFS(tabela_registros[VALOR],tabela_registros[MÊS],$AE$1,tabela_registros[DIA],receitasfixasconsolidadonov[[#Headers],[20]],tabela_registros[REGISTRO],DADOS!$N$3,tabela_registros[TIPO],DADOS!$V$3,tabela_registros[CATEGORIA],receitasfixasconsolidadonov[[#This Row],[ATUAL]])</f>
        <v>0</v>
      </c>
      <c r="Y86" s="119" t="n">
        <f aca="false">SUMIFS(tabela_registros[VALOR],tabela_registros[MÊS],$AE$1,tabela_registros[DIA],receitasfixasconsolidadonov[[#Headers],[21]],tabela_registros[REGISTRO],DADOS!$N$3,tabela_registros[TIPO],DADOS!$V$3,tabela_registros[CATEGORIA],receitasfixasconsolidadonov[[#This Row],[ATUAL]])</f>
        <v>0</v>
      </c>
      <c r="Z86" s="119" t="n">
        <f aca="false">SUMIFS(tabela_registros[VALOR],tabela_registros[MÊS],$AE$1,tabela_registros[DIA],receitasfixasconsolidadonov[[#Headers],[22]],tabela_registros[REGISTRO],DADOS!$N$3,tabela_registros[TIPO],DADOS!$V$3,tabela_registros[CATEGORIA],receitasfixasconsolidadonov[[#This Row],[ATUAL]])</f>
        <v>0</v>
      </c>
      <c r="AA86" s="119" t="n">
        <f aca="false">SUMIFS(tabela_registros[VALOR],tabela_registros[MÊS],$AE$1,tabela_registros[DIA],receitasfixasconsolidadonov[[#Headers],[23]],tabela_registros[REGISTRO],DADOS!$N$3,tabela_registros[TIPO],DADOS!$V$3,tabela_registros[CATEGORIA],receitasfixasconsolidadonov[[#This Row],[ATUAL]])</f>
        <v>0</v>
      </c>
      <c r="AB86" s="119" t="n">
        <f aca="false">SUMIFS(tabela_registros[VALOR],tabela_registros[MÊS],$AE$1,tabela_registros[DIA],receitasfixasconsolidadonov[[#Headers],[24]],tabela_registros[REGISTRO],DADOS!$N$3,tabela_registros[TIPO],DADOS!$V$3,tabela_registros[CATEGORIA],receitasfixasconsolidadonov[[#This Row],[ATUAL]])</f>
        <v>0</v>
      </c>
      <c r="AC86" s="119" t="n">
        <f aca="false">SUMIFS(tabela_registros[VALOR],tabela_registros[MÊS],$AE$1,tabela_registros[DIA],receitasfixasconsolidadonov[[#Headers],[25]],tabela_registros[REGISTRO],DADOS!$N$3,tabela_registros[TIPO],DADOS!$V$3,tabela_registros[CATEGORIA],receitasfixasconsolidadonov[[#This Row],[ATUAL]])</f>
        <v>0</v>
      </c>
      <c r="AD86" s="119" t="n">
        <f aca="false">SUMIFS(tabela_registros[VALOR],tabela_registros[MÊS],$AE$1,tabela_registros[DIA],receitasfixasconsolidadonov[[#Headers],[26]],tabela_registros[REGISTRO],DADOS!$N$3,tabela_registros[TIPO],DADOS!$V$3,tabela_registros[CATEGORIA],receitasfixasconsolidadonov[[#This Row],[ATUAL]])</f>
        <v>0</v>
      </c>
      <c r="AE86" s="119" t="n">
        <f aca="false">SUMIFS(tabela_registros[VALOR],tabela_registros[MÊS],$AE$1,tabela_registros[DIA],receitasfixasconsolidadonov[[#Headers],[27]],tabela_registros[REGISTRO],DADOS!$N$3,tabela_registros[TIPO],DADOS!$V$3,tabela_registros[CATEGORIA],receitasfixasconsolidadonov[[#This Row],[ATUAL]])</f>
        <v>0</v>
      </c>
      <c r="AF86" s="119" t="n">
        <f aca="false">SUMIFS(tabela_registros[VALOR],tabela_registros[MÊS],$AE$1,tabela_registros[DIA],receitasfixasconsolidadonov[[#Headers],[28]],tabela_registros[REGISTRO],DADOS!$N$3,tabela_registros[TIPO],DADOS!$V$3,tabela_registros[CATEGORIA],receitasfixasconsolidadonov[[#This Row],[ATUAL]])</f>
        <v>0</v>
      </c>
      <c r="AG86" s="119" t="n">
        <f aca="false">SUMIFS(tabela_registros[VALOR],tabela_registros[MÊS],$AE$1,tabela_registros[DIA],receitasfixasconsolidadonov[[#Headers],[29]],tabela_registros[REGISTRO],DADOS!$N$3,tabela_registros[TIPO],DADOS!$V$3,tabela_registros[CATEGORIA],receitasfixasconsolidadonov[[#This Row],[ATUAL]])</f>
        <v>0</v>
      </c>
      <c r="AH86" s="151" t="n">
        <f aca="false">SUMIFS(tabela_registros[VALOR],tabela_registros[MÊS],$AE$1,tabela_registros[DIA],receitasfixasconsolidadonov[[#Headers],[30]],tabela_registros[REGISTRO],DADOS!$N$3,tabela_registros[TIPO],DADOS!$V$3,tabela_registros[CATEGORIA],receitasfixasconsolidadonov[[#This Row],[ATUAL]])</f>
        <v>0</v>
      </c>
      <c r="AI86" s="218" t="n">
        <f aca="false">SUMIFS(tabela_registros[VALOR],tabela_registros[MÊS],$AE$1,tabela_registros[DIA],receitasfixasconsolidadonov[[#Headers],[31]],tabela_registros[REGISTRO],DADOS!$N$3,tabela_registros[TIPO],DADOS!$V$3,tabela_registros[CATEGORIA],receitasfixasconsolidadonov[[#This Row],[ATUAL]])</f>
        <v>0</v>
      </c>
      <c r="AJ86" s="219" t="n">
        <f aca="false">SUM(receitasfixasconsolidadonov[[#This Row],[1]:[31]])</f>
        <v>0</v>
      </c>
      <c r="AK86" s="165"/>
    </row>
    <row r="87" s="122" customFormat="true" ht="21" hidden="false" customHeight="true" outlineLevel="0" collapsed="false">
      <c r="B87" s="152"/>
      <c r="C87" s="153" t="s">
        <v>2</v>
      </c>
      <c r="D87" s="166"/>
      <c r="E87" s="155" t="n">
        <f aca="false">SUM(E82:E86)</f>
        <v>0</v>
      </c>
      <c r="F87" s="156" t="n">
        <f aca="false">SUM(F82:F86)+receitasfixasconsolidadonov[[#This Row],[1]]</f>
        <v>0</v>
      </c>
      <c r="G87" s="156" t="n">
        <f aca="false">SUM(G82:G86)+receitasfixasconsolidadonov[[#This Row],[2]]</f>
        <v>0</v>
      </c>
      <c r="H87" s="156" t="n">
        <f aca="false">SUM(H82:H86)+receitasfixasconsolidadonov[[#This Row],[3]]</f>
        <v>0</v>
      </c>
      <c r="I87" s="156" t="n">
        <f aca="false">SUM(I82:I86)+receitasfixasconsolidadonov[[#This Row],[4]]</f>
        <v>0</v>
      </c>
      <c r="J87" s="156" t="n">
        <f aca="false">SUM(J82:J86)+receitasfixasconsolidadonov[[#This Row],[5]]</f>
        <v>0</v>
      </c>
      <c r="K87" s="156" t="n">
        <f aca="false">SUM(K82:K86)+receitasfixasconsolidadonov[[#This Row],[6]]</f>
        <v>0</v>
      </c>
      <c r="L87" s="156" t="n">
        <f aca="false">SUM(L82:L86)+receitasfixasconsolidadonov[[#This Row],[7]]</f>
        <v>0</v>
      </c>
      <c r="M87" s="156" t="n">
        <f aca="false">SUM(M82:M86)+receitasfixasconsolidadonov[[#This Row],[8]]</f>
        <v>0</v>
      </c>
      <c r="N87" s="156" t="n">
        <f aca="false">SUM(N82:N86)+receitasfixasconsolidadonov[[#This Row],[9]]</f>
        <v>0</v>
      </c>
      <c r="O87" s="156" t="n">
        <f aca="false">SUM(O82:O86)+receitasfixasconsolidadonov[[#This Row],[10]]</f>
        <v>0</v>
      </c>
      <c r="P87" s="156" t="n">
        <f aca="false">SUM(P82:P86)+receitasfixasconsolidadonov[[#This Row],[11]]</f>
        <v>0</v>
      </c>
      <c r="Q87" s="156" t="n">
        <f aca="false">SUM(Q82:Q86)+receitasfixasconsolidadonov[[#This Row],[12]]</f>
        <v>0</v>
      </c>
      <c r="R87" s="156" t="n">
        <f aca="false">SUM(R82:R86)+receitasfixasconsolidadonov[[#This Row],[13]]</f>
        <v>0</v>
      </c>
      <c r="S87" s="156" t="n">
        <f aca="false">SUM(S82:S86)+receitasfixasconsolidadonov[[#This Row],[14]]</f>
        <v>0</v>
      </c>
      <c r="T87" s="156" t="n">
        <f aca="false">SUM(T82:T86)+receitasfixasconsolidadonov[[#This Row],[15]]</f>
        <v>0</v>
      </c>
      <c r="U87" s="156" t="n">
        <f aca="false">SUM(U82:U86)+receitasfixasconsolidadonov[[#This Row],[16]]</f>
        <v>0</v>
      </c>
      <c r="V87" s="156" t="n">
        <f aca="false">SUM(V82:V86)+receitasfixasconsolidadonov[[#This Row],[17]]</f>
        <v>0</v>
      </c>
      <c r="W87" s="156" t="n">
        <f aca="false">SUM(W82:W86)+receitasfixasconsolidadonov[[#This Row],[18]]</f>
        <v>0</v>
      </c>
      <c r="X87" s="156" t="n">
        <f aca="false">SUM(X82:X86)+receitasfixasconsolidadonov[[#This Row],[19]]</f>
        <v>0</v>
      </c>
      <c r="Y87" s="156" t="n">
        <f aca="false">SUM(Y82:Y86)+receitasfixasconsolidadonov[[#This Row],[20]]</f>
        <v>0</v>
      </c>
      <c r="Z87" s="156" t="n">
        <f aca="false">SUM(Z82:Z86)+receitasfixasconsolidadonov[[#This Row],[21]]</f>
        <v>0</v>
      </c>
      <c r="AA87" s="156" t="n">
        <f aca="false">SUM(AA82:AA86)+receitasfixasconsolidadonov[[#This Row],[22]]</f>
        <v>0</v>
      </c>
      <c r="AB87" s="156" t="n">
        <f aca="false">SUM(AB82:AB86)+receitasfixasconsolidadonov[[#This Row],[23]]</f>
        <v>0</v>
      </c>
      <c r="AC87" s="156" t="n">
        <f aca="false">SUM(AC82:AC86)+receitasfixasconsolidadonov[[#This Row],[24]]</f>
        <v>0</v>
      </c>
      <c r="AD87" s="156" t="n">
        <f aca="false">SUM(AD82:AD86)+receitasfixasconsolidadonov[[#This Row],[25]]</f>
        <v>0</v>
      </c>
      <c r="AE87" s="156" t="n">
        <f aca="false">SUM(AE82:AE86)+receitasfixasconsolidadonov[[#This Row],[26]]</f>
        <v>0</v>
      </c>
      <c r="AF87" s="156" t="n">
        <f aca="false">SUM(AF82:AF86)+receitasfixasconsolidadonov[[#This Row],[27]]</f>
        <v>0</v>
      </c>
      <c r="AG87" s="156" t="n">
        <f aca="false">SUM(AG82:AG86)+receitasfixasconsolidadonov[[#This Row],[28]]</f>
        <v>0</v>
      </c>
      <c r="AH87" s="156" t="n">
        <f aca="false">SUM(AH82:AH86)+receitasfixasconsolidadonov[[#This Row],[29]]</f>
        <v>0</v>
      </c>
      <c r="AI87" s="223" t="n">
        <f aca="false">SUM(AI82:AI86)+receitasfixasconsolidadonov[[#This Row],[30]]</f>
        <v>0</v>
      </c>
      <c r="AJ87" s="157" t="n">
        <f aca="false">receitasfixasconsolidadonov[[#This Row],[31]]</f>
        <v>0</v>
      </c>
      <c r="AK87" s="158"/>
    </row>
    <row r="88" customFormat="false" ht="6.75" hidden="false" customHeight="true" outlineLevel="0" collapsed="false">
      <c r="B88" s="97"/>
      <c r="C88" s="162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233"/>
      <c r="AJ88" s="164"/>
      <c r="AK88" s="244"/>
    </row>
    <row r="89" s="78" customFormat="true" ht="12.75" hidden="false" customHeight="false" outlineLevel="0" collapsed="false">
      <c r="E89" s="100"/>
    </row>
    <row r="90" s="78" customFormat="true" ht="12" hidden="false" customHeight="false" outlineLevel="0" collapsed="false"/>
    <row r="91" s="78" customFormat="true" ht="12" hidden="false" customHeight="false" outlineLevel="0" collapsed="false"/>
    <row r="92" customFormat="false" ht="39.75" hidden="false" customHeight="true" outlineLevel="0" collapsed="false">
      <c r="C92" s="101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3" t="s">
        <v>2</v>
      </c>
    </row>
    <row r="93" s="78" customFormat="true" ht="12.75" hidden="false" customHeight="false" outlineLevel="0" collapsed="false">
      <c r="B93" s="161"/>
      <c r="AJ93" s="106" t="s">
        <v>64</v>
      </c>
    </row>
    <row r="94" customFormat="false" ht="6.75" hidden="false" customHeight="true" outlineLevel="0" collapsed="false">
      <c r="B94" s="86"/>
      <c r="C94" s="162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233"/>
      <c r="AK94" s="139"/>
    </row>
    <row r="95" customFormat="false" ht="13.5" hidden="true" customHeight="false" outlineLevel="0" collapsed="false">
      <c r="B95" s="86"/>
      <c r="C95" s="109" t="s">
        <v>68</v>
      </c>
      <c r="D95" s="110" t="s">
        <v>69</v>
      </c>
      <c r="E95" s="110" t="s">
        <v>30</v>
      </c>
      <c r="F95" s="110" t="s">
        <v>31</v>
      </c>
      <c r="G95" s="110" t="s">
        <v>32</v>
      </c>
      <c r="H95" s="110" t="s">
        <v>33</v>
      </c>
      <c r="I95" s="110" t="s">
        <v>34</v>
      </c>
      <c r="J95" s="110" t="s">
        <v>35</v>
      </c>
      <c r="K95" s="110" t="s">
        <v>36</v>
      </c>
      <c r="L95" s="110" t="s">
        <v>37</v>
      </c>
      <c r="M95" s="110" t="s">
        <v>38</v>
      </c>
      <c r="N95" s="110" t="s">
        <v>39</v>
      </c>
      <c r="O95" s="110" t="s">
        <v>40</v>
      </c>
      <c r="P95" s="110" t="s">
        <v>41</v>
      </c>
      <c r="Q95" s="110" t="s">
        <v>81</v>
      </c>
      <c r="R95" s="110" t="s">
        <v>82</v>
      </c>
      <c r="S95" s="110" t="s">
        <v>83</v>
      </c>
      <c r="T95" s="110" t="s">
        <v>84</v>
      </c>
      <c r="U95" s="110" t="s">
        <v>85</v>
      </c>
      <c r="V95" s="110" t="s">
        <v>86</v>
      </c>
      <c r="W95" s="110" t="s">
        <v>87</v>
      </c>
      <c r="X95" s="110" t="s">
        <v>88</v>
      </c>
      <c r="Y95" s="110" t="s">
        <v>89</v>
      </c>
      <c r="Z95" s="110" t="s">
        <v>90</v>
      </c>
      <c r="AA95" s="110" t="s">
        <v>91</v>
      </c>
      <c r="AB95" s="110" t="s">
        <v>92</v>
      </c>
      <c r="AC95" s="110" t="s">
        <v>93</v>
      </c>
      <c r="AD95" s="110" t="s">
        <v>94</v>
      </c>
      <c r="AE95" s="110" t="s">
        <v>95</v>
      </c>
      <c r="AF95" s="110" t="s">
        <v>96</v>
      </c>
      <c r="AG95" s="110" t="s">
        <v>97</v>
      </c>
      <c r="AH95" s="110" t="s">
        <v>98</v>
      </c>
      <c r="AI95" s="110" t="s">
        <v>99</v>
      </c>
      <c r="AJ95" s="111" t="s">
        <v>70</v>
      </c>
      <c r="AK95" s="86"/>
    </row>
    <row r="96" customFormat="false" ht="19.5" hidden="false" customHeight="true" outlineLevel="0" collapsed="false">
      <c r="B96" s="143"/>
      <c r="C96" s="144" t="str">
        <f aca="false">DADOS!$Z$3</f>
        <v>🏅 BÔNUS</v>
      </c>
      <c r="D96" s="145" t="str">
        <f aca="false">IF(receitasvariáveisconsolidadonov[[#This Row],[TOTAL (R$)]]=0,"",IF(OR(receitasvariáveisconsolidadonov[[#This Row],[TOTAL (R$)]]=LARGE($AJ$96:$AJ$103,1),receitasvariáveisconsolidadonov[[#This Row],[TOTAL (R$)]]=LARGE($AJ$96:$AJ$103,2)),DADOS!$I$9,""))</f>
        <v/>
      </c>
      <c r="E96" s="148" t="n">
        <f aca="false">SUMIFS(tabela_registros[VALOR],tabela_registros[MÊS],$AE$1,tabela_registros[DIA],receitasvariáveisconsolidadonov[[#Headers],[1]],tabela_registros[REGISTRO],DADOS!$N$3,tabela_registros[TIPO],DADOS!$V$4,tabela_registros[CATEGORIA],receitasvariáveisconsolidadonov[[#This Row],[ATUAL]])</f>
        <v>0</v>
      </c>
      <c r="F96" s="119" t="n">
        <f aca="false">SUMIFS(tabela_registros[VALOR],tabela_registros[MÊS],$AE$1,tabela_registros[DIA],receitasvariáveisconsolidadonov[[#Headers],[2]],tabela_registros[REGISTRO],DADOS!$N$3,tabela_registros[TIPO],DADOS!$V$4,tabela_registros[CATEGORIA],receitasvariáveisconsolidadonov[[#This Row],[ATUAL]])</f>
        <v>0</v>
      </c>
      <c r="G96" s="119" t="n">
        <f aca="false">SUMIFS(tabela_registros[VALOR],tabela_registros[MÊS],$AE$1,tabela_registros[DIA],receitasvariáveisconsolidadonov[[#Headers],[3]],tabela_registros[REGISTRO],DADOS!$N$3,tabela_registros[TIPO],DADOS!$V$4,tabela_registros[CATEGORIA],receitasvariáveisconsolidadonov[[#This Row],[ATUAL]])</f>
        <v>0</v>
      </c>
      <c r="H96" s="119" t="n">
        <f aca="false">SUMIFS(tabela_registros[VALOR],tabela_registros[MÊS],$AE$1,tabela_registros[DIA],receitasvariáveisconsolidadonov[[#Headers],[4]],tabela_registros[REGISTRO],DADOS!$N$3,tabela_registros[TIPO],DADOS!$V$4,tabela_registros[CATEGORIA],receitasvariáveisconsolidadonov[[#This Row],[ATUAL]])</f>
        <v>0</v>
      </c>
      <c r="I96" s="119" t="n">
        <f aca="false">SUMIFS(tabela_registros[VALOR],tabela_registros[MÊS],$AE$1,tabela_registros[DIA],receitasvariáveisconsolidadonov[[#Headers],[5]],tabela_registros[REGISTRO],DADOS!$N$3,tabela_registros[TIPO],DADOS!$V$4,tabela_registros[CATEGORIA],receitasvariáveisconsolidadonov[[#This Row],[ATUAL]])</f>
        <v>0</v>
      </c>
      <c r="J96" s="119" t="n">
        <f aca="false">SUMIFS(tabela_registros[VALOR],tabela_registros[MÊS],$AE$1,tabela_registros[DIA],receitasvariáveisconsolidadonov[[#Headers],[6]],tabela_registros[REGISTRO],DADOS!$N$3,tabela_registros[TIPO],DADOS!$V$4,tabela_registros[CATEGORIA],receitasvariáveisconsolidadonov[[#This Row],[ATUAL]])</f>
        <v>0</v>
      </c>
      <c r="K96" s="119" t="n">
        <f aca="false">SUMIFS(tabela_registros[VALOR],tabela_registros[MÊS],$AE$1,tabela_registros[DIA],receitasvariáveisconsolidadonov[[#Headers],[7]],tabela_registros[REGISTRO],DADOS!$N$3,tabela_registros[TIPO],DADOS!$V$4,tabela_registros[CATEGORIA],receitasvariáveisconsolidadonov[[#This Row],[ATUAL]])</f>
        <v>0</v>
      </c>
      <c r="L96" s="119" t="n">
        <f aca="false">SUMIFS(tabela_registros[VALOR],tabela_registros[MÊS],$AE$1,tabela_registros[DIA],receitasvariáveisconsolidadonov[[#Headers],[8]],tabela_registros[REGISTRO],DADOS!$N$3,tabela_registros[TIPO],DADOS!$V$4,tabela_registros[CATEGORIA],receitasvariáveisconsolidadonov[[#This Row],[ATUAL]])</f>
        <v>0</v>
      </c>
      <c r="M96" s="119" t="n">
        <f aca="false">SUMIFS(tabela_registros[VALOR],tabela_registros[MÊS],$AE$1,tabela_registros[DIA],receitasvariáveisconsolidadonov[[#Headers],[9]],tabela_registros[REGISTRO],DADOS!$N$3,tabela_registros[TIPO],DADOS!$V$4,tabela_registros[CATEGORIA],receitasvariáveisconsolidadonov[[#This Row],[ATUAL]])</f>
        <v>0</v>
      </c>
      <c r="N96" s="119" t="n">
        <f aca="false">SUMIFS(tabela_registros[VALOR],tabela_registros[MÊS],$AE$1,tabela_registros[DIA],receitasvariáveisconsolidadonov[[#Headers],[10]],tabela_registros[REGISTRO],DADOS!$N$3,tabela_registros[TIPO],DADOS!$V$4,tabela_registros[CATEGORIA],receitasvariáveisconsolidadonov[[#This Row],[ATUAL]])</f>
        <v>0</v>
      </c>
      <c r="O96" s="119" t="n">
        <f aca="false">SUMIFS(tabela_registros[VALOR],tabela_registros[MÊS],$AE$1,tabela_registros[DIA],receitasvariáveisconsolidadonov[[#Headers],[11]],tabela_registros[REGISTRO],DADOS!$N$3,tabela_registros[TIPO],DADOS!$V$4,tabela_registros[CATEGORIA],receitasvariáveisconsolidadonov[[#This Row],[ATUAL]])</f>
        <v>0</v>
      </c>
      <c r="P96" s="119" t="n">
        <f aca="false">SUMIFS(tabela_registros[VALOR],tabela_registros[MÊS],$AE$1,tabela_registros[DIA],receitasvariáveisconsolidadonov[[#Headers],[12]],tabela_registros[REGISTRO],DADOS!$N$3,tabela_registros[TIPO],DADOS!$V$4,tabela_registros[CATEGORIA],receitasvariáveisconsolidadonov[[#This Row],[ATUAL]])</f>
        <v>0</v>
      </c>
      <c r="Q96" s="119" t="n">
        <f aca="false">SUMIFS(tabela_registros[VALOR],tabela_registros[MÊS],$AE$1,tabela_registros[DIA],receitasvariáveisconsolidadonov[[#Headers],[13]],tabela_registros[REGISTRO],DADOS!$N$3,tabela_registros[TIPO],DADOS!$V$4,tabela_registros[CATEGORIA],receitasvariáveisconsolidadonov[[#This Row],[ATUAL]])</f>
        <v>0</v>
      </c>
      <c r="R96" s="119" t="n">
        <f aca="false">SUMIFS(tabela_registros[VALOR],tabela_registros[MÊS],$AE$1,tabela_registros[DIA],receitasvariáveisconsolidadonov[[#Headers],[14]],tabela_registros[REGISTRO],DADOS!$N$3,tabela_registros[TIPO],DADOS!$V$4,tabela_registros[CATEGORIA],receitasvariáveisconsolidadonov[[#This Row],[ATUAL]])</f>
        <v>0</v>
      </c>
      <c r="S96" s="119" t="n">
        <f aca="false">SUMIFS(tabela_registros[VALOR],tabela_registros[MÊS],$AE$1,tabela_registros[DIA],receitasvariáveisconsolidadonov[[#Headers],[15]],tabela_registros[REGISTRO],DADOS!$N$3,tabela_registros[TIPO],DADOS!$V$4,tabela_registros[CATEGORIA],receitasvariáveisconsolidadonov[[#This Row],[ATUAL]])</f>
        <v>0</v>
      </c>
      <c r="T96" s="119" t="n">
        <f aca="false">SUMIFS(tabela_registros[VALOR],tabela_registros[MÊS],$AE$1,tabela_registros[DIA],receitasvariáveisconsolidadonov[[#Headers],[16]],tabela_registros[REGISTRO],DADOS!$N$3,tabela_registros[TIPO],DADOS!$V$4,tabela_registros[CATEGORIA],receitasvariáveisconsolidadonov[[#This Row],[ATUAL]])</f>
        <v>0</v>
      </c>
      <c r="U96" s="119" t="n">
        <f aca="false">SUMIFS(tabela_registros[VALOR],tabela_registros[MÊS],$AE$1,tabela_registros[DIA],receitasvariáveisconsolidadonov[[#Headers],[17]],tabela_registros[REGISTRO],DADOS!$N$3,tabela_registros[TIPO],DADOS!$V$4,tabela_registros[CATEGORIA],receitasvariáveisconsolidadonov[[#This Row],[ATUAL]])</f>
        <v>0</v>
      </c>
      <c r="V96" s="119" t="n">
        <f aca="false">SUMIFS(tabela_registros[VALOR],tabela_registros[MÊS],$AE$1,tabela_registros[DIA],receitasvariáveisconsolidadonov[[#Headers],[18]],tabela_registros[REGISTRO],DADOS!$N$3,tabela_registros[TIPO],DADOS!$V$4,tabela_registros[CATEGORIA],receitasvariáveisconsolidadonov[[#This Row],[ATUAL]])</f>
        <v>0</v>
      </c>
      <c r="W96" s="119" t="n">
        <f aca="false">SUMIFS(tabela_registros[VALOR],tabela_registros[MÊS],$AE$1,tabela_registros[DIA],receitasvariáveisconsolidadonov[[#Headers],[19]],tabela_registros[REGISTRO],DADOS!$N$3,tabela_registros[TIPO],DADOS!$V$4,tabela_registros[CATEGORIA],receitasvariáveisconsolidadonov[[#This Row],[ATUAL]])</f>
        <v>0</v>
      </c>
      <c r="X96" s="119" t="n">
        <f aca="false">SUMIFS(tabela_registros[VALOR],tabela_registros[MÊS],$AE$1,tabela_registros[DIA],receitasvariáveisconsolidadonov[[#Headers],[20]],tabela_registros[REGISTRO],DADOS!$N$3,tabela_registros[TIPO],DADOS!$V$4,tabela_registros[CATEGORIA],receitasvariáveisconsolidadonov[[#This Row],[ATUAL]])</f>
        <v>0</v>
      </c>
      <c r="Y96" s="119" t="n">
        <f aca="false">SUMIFS(tabela_registros[VALOR],tabela_registros[MÊS],$AE$1,tabela_registros[DIA],receitasvariáveisconsolidadonov[[#Headers],[21]],tabela_registros[REGISTRO],DADOS!$N$3,tabela_registros[TIPO],DADOS!$V$4,tabela_registros[CATEGORIA],receitasvariáveisconsolidadonov[[#This Row],[ATUAL]])</f>
        <v>0</v>
      </c>
      <c r="Z96" s="119" t="n">
        <f aca="false">SUMIFS(tabela_registros[VALOR],tabela_registros[MÊS],$AE$1,tabela_registros[DIA],receitasvariáveisconsolidadonov[[#Headers],[22]],tabela_registros[REGISTRO],DADOS!$N$3,tabela_registros[TIPO],DADOS!$V$4,tabela_registros[CATEGORIA],receitasvariáveisconsolidadonov[[#This Row],[ATUAL]])</f>
        <v>0</v>
      </c>
      <c r="AA96" s="119" t="n">
        <f aca="false">SUMIFS(tabela_registros[VALOR],tabela_registros[MÊS],$AE$1,tabela_registros[DIA],receitasvariáveisconsolidadonov[[#Headers],[23]],tabela_registros[REGISTRO],DADOS!$N$3,tabela_registros[TIPO],DADOS!$V$4,tabela_registros[CATEGORIA],receitasvariáveisconsolidadonov[[#This Row],[ATUAL]])</f>
        <v>0</v>
      </c>
      <c r="AB96" s="119" t="n">
        <f aca="false">SUMIFS(tabela_registros[VALOR],tabela_registros[MÊS],$AE$1,tabela_registros[DIA],receitasvariáveisconsolidadonov[[#Headers],[24]],tabela_registros[REGISTRO],DADOS!$N$3,tabela_registros[TIPO],DADOS!$V$4,tabela_registros[CATEGORIA],receitasvariáveisconsolidadonov[[#This Row],[ATUAL]])</f>
        <v>0</v>
      </c>
      <c r="AC96" s="119" t="n">
        <f aca="false">SUMIFS(tabela_registros[VALOR],tabela_registros[MÊS],$AE$1,tabela_registros[DIA],receitasvariáveisconsolidadonov[[#Headers],[25]],tabela_registros[REGISTRO],DADOS!$N$3,tabela_registros[TIPO],DADOS!$V$4,tabela_registros[CATEGORIA],receitasvariáveisconsolidadonov[[#This Row],[ATUAL]])</f>
        <v>0</v>
      </c>
      <c r="AD96" s="119" t="n">
        <f aca="false">SUMIFS(tabela_registros[VALOR],tabela_registros[MÊS],$AE$1,tabela_registros[DIA],receitasvariáveisconsolidadonov[[#Headers],[26]],tabela_registros[REGISTRO],DADOS!$N$3,tabela_registros[TIPO],DADOS!$V$4,tabela_registros[CATEGORIA],receitasvariáveisconsolidadonov[[#This Row],[ATUAL]])</f>
        <v>0</v>
      </c>
      <c r="AE96" s="119" t="n">
        <f aca="false">SUMIFS(tabela_registros[VALOR],tabela_registros[MÊS],$AE$1,tabela_registros[DIA],receitasvariáveisconsolidadonov[[#Headers],[27]],tabela_registros[REGISTRO],DADOS!$N$3,tabela_registros[TIPO],DADOS!$V$4,tabela_registros[CATEGORIA],receitasvariáveisconsolidadonov[[#This Row],[ATUAL]])</f>
        <v>0</v>
      </c>
      <c r="AF96" s="119" t="n">
        <f aca="false">SUMIFS(tabela_registros[VALOR],tabela_registros[MÊS],$AE$1,tabela_registros[DIA],receitasvariáveisconsolidadonov[[#Headers],[28]],tabela_registros[REGISTRO],DADOS!$N$3,tabela_registros[TIPO],DADOS!$V$4,tabela_registros[CATEGORIA],receitasvariáveisconsolidadonov[[#This Row],[ATUAL]])</f>
        <v>0</v>
      </c>
      <c r="AG96" s="119" t="n">
        <f aca="false">SUMIFS(tabela_registros[VALOR],tabela_registros[MÊS],$AE$1,tabela_registros[DIA],receitasvariáveisconsolidadonov[[#Headers],[29]],tabela_registros[REGISTRO],DADOS!$N$3,tabela_registros[TIPO],DADOS!$V$4,tabela_registros[CATEGORIA],receitasvariáveisconsolidadonov[[#This Row],[ATUAL]])</f>
        <v>0</v>
      </c>
      <c r="AH96" s="119" t="n">
        <f aca="false">SUMIFS(tabela_registros[VALOR],tabela_registros[MÊS],$AE$1,tabela_registros[DIA],receitasvariáveisconsolidadonov[[#Headers],[30]],tabela_registros[REGISTRO],DADOS!$N$3,tabela_registros[TIPO],DADOS!$V$4,tabela_registros[CATEGORIA],receitasvariáveisconsolidadonov[[#This Row],[ATUAL]])</f>
        <v>0</v>
      </c>
      <c r="AI96" s="217" t="n">
        <f aca="false">SUMIFS(tabela_registros[VALOR],tabela_registros[MÊS],$AE$1,tabela_registros[DIA],receitasvariáveisconsolidadonov[[#Headers],[31]],tabela_registros[REGISTRO],DADOS!$N$3,tabela_registros[TIPO],DADOS!$V$4,tabela_registros[CATEGORIA],receitasvariáveisconsolidadonov[[#This Row],[ATUAL]])</f>
        <v>0</v>
      </c>
      <c r="AJ96" s="149" t="n">
        <f aca="false">SUM(receitasvariáveisconsolidadonov[[#This Row],[1]:[31]])</f>
        <v>0</v>
      </c>
      <c r="AK96" s="165"/>
    </row>
    <row r="97" customFormat="false" ht="19.5" hidden="false" customHeight="true" outlineLevel="0" collapsed="false">
      <c r="B97" s="143"/>
      <c r="C97" s="144" t="str">
        <f aca="false">DADOS!$Z$4</f>
        <v>🤑 COMISSÃO</v>
      </c>
      <c r="D97" s="145" t="str">
        <f aca="false">IF(receitasvariáveisconsolidadonov[[#This Row],[TOTAL (R$)]]=0,"",IF(OR(receitasvariáveisconsolidadonov[[#This Row],[TOTAL (R$)]]=LARGE($AJ$96:$AJ$103,1),receitasvariáveisconsolidadonov[[#This Row],[TOTAL (R$)]]=LARGE($AJ$96:$AJ$103,2)),DADOS!$I$9,""))</f>
        <v/>
      </c>
      <c r="E97" s="148" t="n">
        <f aca="false">SUMIFS(tabela_registros[VALOR],tabela_registros[MÊS],$AE$1,tabela_registros[DIA],receitasvariáveisconsolidadonov[[#Headers],[1]],tabela_registros[REGISTRO],DADOS!$N$3,tabela_registros[TIPO],DADOS!$V$4,tabela_registros[CATEGORIA],receitasvariáveisconsolidadonov[[#This Row],[ATUAL]])</f>
        <v>0</v>
      </c>
      <c r="F97" s="119" t="n">
        <f aca="false">SUMIFS(tabela_registros[VALOR],tabela_registros[MÊS],$AE$1,tabela_registros[DIA],receitasvariáveisconsolidadonov[[#Headers],[2]],tabela_registros[REGISTRO],DADOS!$N$3,tabela_registros[TIPO],DADOS!$V$4,tabela_registros[CATEGORIA],receitasvariáveisconsolidadonov[[#This Row],[ATUAL]])</f>
        <v>0</v>
      </c>
      <c r="G97" s="119" t="n">
        <f aca="false">SUMIFS(tabela_registros[VALOR],tabela_registros[MÊS],$AE$1,tabela_registros[DIA],receitasvariáveisconsolidadonov[[#Headers],[3]],tabela_registros[REGISTRO],DADOS!$N$3,tabela_registros[TIPO],DADOS!$V$4,tabela_registros[CATEGORIA],receitasvariáveisconsolidadonov[[#This Row],[ATUAL]])</f>
        <v>0</v>
      </c>
      <c r="H97" s="119" t="n">
        <f aca="false">SUMIFS(tabela_registros[VALOR],tabela_registros[MÊS],$AE$1,tabela_registros[DIA],receitasvariáveisconsolidadonov[[#Headers],[4]],tabela_registros[REGISTRO],DADOS!$N$3,tabela_registros[TIPO],DADOS!$V$4,tabela_registros[CATEGORIA],receitasvariáveisconsolidadonov[[#This Row],[ATUAL]])</f>
        <v>0</v>
      </c>
      <c r="I97" s="119" t="n">
        <f aca="false">SUMIFS(tabela_registros[VALOR],tabela_registros[MÊS],$AE$1,tabela_registros[DIA],receitasvariáveisconsolidadonov[[#Headers],[5]],tabela_registros[REGISTRO],DADOS!$N$3,tabela_registros[TIPO],DADOS!$V$4,tabela_registros[CATEGORIA],receitasvariáveisconsolidadonov[[#This Row],[ATUAL]])</f>
        <v>0</v>
      </c>
      <c r="J97" s="119" t="n">
        <f aca="false">SUMIFS(tabela_registros[VALOR],tabela_registros[MÊS],$AE$1,tabela_registros[DIA],receitasvariáveisconsolidadonov[[#Headers],[6]],tabela_registros[REGISTRO],DADOS!$N$3,tabela_registros[TIPO],DADOS!$V$4,tabela_registros[CATEGORIA],receitasvariáveisconsolidadonov[[#This Row],[ATUAL]])</f>
        <v>0</v>
      </c>
      <c r="K97" s="119" t="n">
        <f aca="false">SUMIFS(tabela_registros[VALOR],tabela_registros[MÊS],$AE$1,tabela_registros[DIA],receitasvariáveisconsolidadonov[[#Headers],[7]],tabela_registros[REGISTRO],DADOS!$N$3,tabela_registros[TIPO],DADOS!$V$4,tabela_registros[CATEGORIA],receitasvariáveisconsolidadonov[[#This Row],[ATUAL]])</f>
        <v>0</v>
      </c>
      <c r="L97" s="119" t="n">
        <f aca="false">SUMIFS(tabela_registros[VALOR],tabela_registros[MÊS],$AE$1,tabela_registros[DIA],receitasvariáveisconsolidadonov[[#Headers],[8]],tabela_registros[REGISTRO],DADOS!$N$3,tabela_registros[TIPO],DADOS!$V$4,tabela_registros[CATEGORIA],receitasvariáveisconsolidadonov[[#This Row],[ATUAL]])</f>
        <v>0</v>
      </c>
      <c r="M97" s="119" t="n">
        <f aca="false">SUMIFS(tabela_registros[VALOR],tabela_registros[MÊS],$AE$1,tabela_registros[DIA],receitasvariáveisconsolidadonov[[#Headers],[9]],tabela_registros[REGISTRO],DADOS!$N$3,tabela_registros[TIPO],DADOS!$V$4,tabela_registros[CATEGORIA],receitasvariáveisconsolidadonov[[#This Row],[ATUAL]])</f>
        <v>0</v>
      </c>
      <c r="N97" s="119" t="n">
        <f aca="false">SUMIFS(tabela_registros[VALOR],tabela_registros[MÊS],$AE$1,tabela_registros[DIA],receitasvariáveisconsolidadonov[[#Headers],[10]],tabela_registros[REGISTRO],DADOS!$N$3,tabela_registros[TIPO],DADOS!$V$4,tabela_registros[CATEGORIA],receitasvariáveisconsolidadonov[[#This Row],[ATUAL]])</f>
        <v>0</v>
      </c>
      <c r="O97" s="119" t="n">
        <f aca="false">SUMIFS(tabela_registros[VALOR],tabela_registros[MÊS],$AE$1,tabela_registros[DIA],receitasvariáveisconsolidadonov[[#Headers],[11]],tabela_registros[REGISTRO],DADOS!$N$3,tabela_registros[TIPO],DADOS!$V$4,tabela_registros[CATEGORIA],receitasvariáveisconsolidadonov[[#This Row],[ATUAL]])</f>
        <v>0</v>
      </c>
      <c r="P97" s="119" t="n">
        <f aca="false">SUMIFS(tabela_registros[VALOR],tabela_registros[MÊS],$AE$1,tabela_registros[DIA],receitasvariáveisconsolidadonov[[#Headers],[12]],tabela_registros[REGISTRO],DADOS!$N$3,tabela_registros[TIPO],DADOS!$V$4,tabela_registros[CATEGORIA],receitasvariáveisconsolidadonov[[#This Row],[ATUAL]])</f>
        <v>0</v>
      </c>
      <c r="Q97" s="119" t="n">
        <f aca="false">SUMIFS(tabela_registros[VALOR],tabela_registros[MÊS],$AE$1,tabela_registros[DIA],receitasvariáveisconsolidadonov[[#Headers],[13]],tabela_registros[REGISTRO],DADOS!$N$3,tabela_registros[TIPO],DADOS!$V$4,tabela_registros[CATEGORIA],receitasvariáveisconsolidadonov[[#This Row],[ATUAL]])</f>
        <v>0</v>
      </c>
      <c r="R97" s="119" t="n">
        <f aca="false">SUMIFS(tabela_registros[VALOR],tabela_registros[MÊS],$AE$1,tabela_registros[DIA],receitasvariáveisconsolidadonov[[#Headers],[14]],tabela_registros[REGISTRO],DADOS!$N$3,tabela_registros[TIPO],DADOS!$V$4,tabela_registros[CATEGORIA],receitasvariáveisconsolidadonov[[#This Row],[ATUAL]])</f>
        <v>0</v>
      </c>
      <c r="S97" s="119" t="n">
        <f aca="false">SUMIFS(tabela_registros[VALOR],tabela_registros[MÊS],$AE$1,tabela_registros[DIA],receitasvariáveisconsolidadonov[[#Headers],[15]],tabela_registros[REGISTRO],DADOS!$N$3,tabela_registros[TIPO],DADOS!$V$4,tabela_registros[CATEGORIA],receitasvariáveisconsolidadonov[[#This Row],[ATUAL]])</f>
        <v>0</v>
      </c>
      <c r="T97" s="119" t="n">
        <f aca="false">SUMIFS(tabela_registros[VALOR],tabela_registros[MÊS],$AE$1,tabela_registros[DIA],receitasvariáveisconsolidadonov[[#Headers],[16]],tabela_registros[REGISTRO],DADOS!$N$3,tabela_registros[TIPO],DADOS!$V$4,tabela_registros[CATEGORIA],receitasvariáveisconsolidadonov[[#This Row],[ATUAL]])</f>
        <v>0</v>
      </c>
      <c r="U97" s="119" t="n">
        <f aca="false">SUMIFS(tabela_registros[VALOR],tabela_registros[MÊS],$AE$1,tabela_registros[DIA],receitasvariáveisconsolidadonov[[#Headers],[17]],tabela_registros[REGISTRO],DADOS!$N$3,tabela_registros[TIPO],DADOS!$V$4,tabela_registros[CATEGORIA],receitasvariáveisconsolidadonov[[#This Row],[ATUAL]])</f>
        <v>0</v>
      </c>
      <c r="V97" s="119" t="n">
        <f aca="false">SUMIFS(tabela_registros[VALOR],tabela_registros[MÊS],$AE$1,tabela_registros[DIA],receitasvariáveisconsolidadonov[[#Headers],[18]],tabela_registros[REGISTRO],DADOS!$N$3,tabela_registros[TIPO],DADOS!$V$4,tabela_registros[CATEGORIA],receitasvariáveisconsolidadonov[[#This Row],[ATUAL]])</f>
        <v>0</v>
      </c>
      <c r="W97" s="119" t="n">
        <f aca="false">SUMIFS(tabela_registros[VALOR],tabela_registros[MÊS],$AE$1,tabela_registros[DIA],receitasvariáveisconsolidadonov[[#Headers],[19]],tabela_registros[REGISTRO],DADOS!$N$3,tabela_registros[TIPO],DADOS!$V$4,tabela_registros[CATEGORIA],receitasvariáveisconsolidadonov[[#This Row],[ATUAL]])</f>
        <v>0</v>
      </c>
      <c r="X97" s="119" t="n">
        <f aca="false">SUMIFS(tabela_registros[VALOR],tabela_registros[MÊS],$AE$1,tabela_registros[DIA],receitasvariáveisconsolidadonov[[#Headers],[20]],tabela_registros[REGISTRO],DADOS!$N$3,tabela_registros[TIPO],DADOS!$V$4,tabela_registros[CATEGORIA],receitasvariáveisconsolidadonov[[#This Row],[ATUAL]])</f>
        <v>0</v>
      </c>
      <c r="Y97" s="119" t="n">
        <f aca="false">SUMIFS(tabela_registros[VALOR],tabela_registros[MÊS],$AE$1,tabela_registros[DIA],receitasvariáveisconsolidadonov[[#Headers],[21]],tabela_registros[REGISTRO],DADOS!$N$3,tabela_registros[TIPO],DADOS!$V$4,tabela_registros[CATEGORIA],receitasvariáveisconsolidadonov[[#This Row],[ATUAL]])</f>
        <v>0</v>
      </c>
      <c r="Z97" s="119" t="n">
        <f aca="false">SUMIFS(tabela_registros[VALOR],tabela_registros[MÊS],$AE$1,tabela_registros[DIA],receitasvariáveisconsolidadonov[[#Headers],[22]],tabela_registros[REGISTRO],DADOS!$N$3,tabela_registros[TIPO],DADOS!$V$4,tabela_registros[CATEGORIA],receitasvariáveisconsolidadonov[[#This Row],[ATUAL]])</f>
        <v>0</v>
      </c>
      <c r="AA97" s="119" t="n">
        <f aca="false">SUMIFS(tabela_registros[VALOR],tabela_registros[MÊS],$AE$1,tabela_registros[DIA],receitasvariáveisconsolidadonov[[#Headers],[23]],tabela_registros[REGISTRO],DADOS!$N$3,tabela_registros[TIPO],DADOS!$V$4,tabela_registros[CATEGORIA],receitasvariáveisconsolidadonov[[#This Row],[ATUAL]])</f>
        <v>0</v>
      </c>
      <c r="AB97" s="119" t="n">
        <f aca="false">SUMIFS(tabela_registros[VALOR],tabela_registros[MÊS],$AE$1,tabela_registros[DIA],receitasvariáveisconsolidadonov[[#Headers],[24]],tabela_registros[REGISTRO],DADOS!$N$3,tabela_registros[TIPO],DADOS!$V$4,tabela_registros[CATEGORIA],receitasvariáveisconsolidadonov[[#This Row],[ATUAL]])</f>
        <v>0</v>
      </c>
      <c r="AC97" s="119" t="n">
        <f aca="false">SUMIFS(tabela_registros[VALOR],tabela_registros[MÊS],$AE$1,tabela_registros[DIA],receitasvariáveisconsolidadonov[[#Headers],[25]],tabela_registros[REGISTRO],DADOS!$N$3,tabela_registros[TIPO],DADOS!$V$4,tabela_registros[CATEGORIA],receitasvariáveisconsolidadonov[[#This Row],[ATUAL]])</f>
        <v>0</v>
      </c>
      <c r="AD97" s="119" t="n">
        <f aca="false">SUMIFS(tabela_registros[VALOR],tabela_registros[MÊS],$AE$1,tabela_registros[DIA],receitasvariáveisconsolidadonov[[#Headers],[26]],tabela_registros[REGISTRO],DADOS!$N$3,tabela_registros[TIPO],DADOS!$V$4,tabela_registros[CATEGORIA],receitasvariáveisconsolidadonov[[#This Row],[ATUAL]])</f>
        <v>0</v>
      </c>
      <c r="AE97" s="119" t="n">
        <f aca="false">SUMIFS(tabela_registros[VALOR],tabela_registros[MÊS],$AE$1,tabela_registros[DIA],receitasvariáveisconsolidadonov[[#Headers],[27]],tabela_registros[REGISTRO],DADOS!$N$3,tabela_registros[TIPO],DADOS!$V$4,tabela_registros[CATEGORIA],receitasvariáveisconsolidadonov[[#This Row],[ATUAL]])</f>
        <v>0</v>
      </c>
      <c r="AF97" s="119" t="n">
        <f aca="false">SUMIFS(tabela_registros[VALOR],tabela_registros[MÊS],$AE$1,tabela_registros[DIA],receitasvariáveisconsolidadonov[[#Headers],[28]],tabela_registros[REGISTRO],DADOS!$N$3,tabela_registros[TIPO],DADOS!$V$4,tabela_registros[CATEGORIA],receitasvariáveisconsolidadonov[[#This Row],[ATUAL]])</f>
        <v>0</v>
      </c>
      <c r="AG97" s="119" t="n">
        <f aca="false">SUMIFS(tabela_registros[VALOR],tabela_registros[MÊS],$AE$1,tabela_registros[DIA],receitasvariáveisconsolidadonov[[#Headers],[29]],tabela_registros[REGISTRO],DADOS!$N$3,tabela_registros[TIPO],DADOS!$V$4,tabela_registros[CATEGORIA],receitasvariáveisconsolidadonov[[#This Row],[ATUAL]])</f>
        <v>0</v>
      </c>
      <c r="AH97" s="119" t="n">
        <f aca="false">SUMIFS(tabela_registros[VALOR],tabela_registros[MÊS],$AE$1,tabela_registros[DIA],receitasvariáveisconsolidadonov[[#Headers],[30]],tabela_registros[REGISTRO],DADOS!$N$3,tabela_registros[TIPO],DADOS!$V$4,tabela_registros[CATEGORIA],receitasvariáveisconsolidadonov[[#This Row],[ATUAL]])</f>
        <v>0</v>
      </c>
      <c r="AI97" s="217" t="n">
        <f aca="false">SUMIFS(tabela_registros[VALOR],tabela_registros[MÊS],$AE$1,tabela_registros[DIA],receitasvariáveisconsolidadonov[[#Headers],[31]],tabela_registros[REGISTRO],DADOS!$N$3,tabela_registros[TIPO],DADOS!$V$4,tabela_registros[CATEGORIA],receitasvariáveisconsolidadonov[[#This Row],[ATUAL]])</f>
        <v>0</v>
      </c>
      <c r="AJ97" s="149" t="n">
        <f aca="false">SUM(receitasvariáveisconsolidadonov[[#This Row],[1]:[31]])</f>
        <v>0</v>
      </c>
      <c r="AK97" s="165"/>
    </row>
    <row r="98" customFormat="false" ht="19.5" hidden="false" customHeight="true" outlineLevel="0" collapsed="false">
      <c r="B98" s="143"/>
      <c r="C98" s="144" t="str">
        <f aca="false">DADOS!$Z$5</f>
        <v>🎗️ HERANÇA</v>
      </c>
      <c r="D98" s="145" t="str">
        <f aca="false">IF(receitasvariáveisconsolidadonov[[#This Row],[TOTAL (R$)]]=0,"",IF(OR(receitasvariáveisconsolidadonov[[#This Row],[TOTAL (R$)]]=LARGE($AJ$96:$AJ$103,1),receitasvariáveisconsolidadonov[[#This Row],[TOTAL (R$)]]=LARGE($AJ$96:$AJ$103,2)),DADOS!$I$9,""))</f>
        <v/>
      </c>
      <c r="E98" s="148" t="n">
        <f aca="false">SUMIFS(tabela_registros[VALOR],tabela_registros[MÊS],$AE$1,tabela_registros[DIA],receitasvariáveisconsolidadonov[[#Headers],[1]],tabela_registros[REGISTRO],DADOS!$N$3,tabela_registros[TIPO],DADOS!$V$4,tabela_registros[CATEGORIA],receitasvariáveisconsolidadonov[[#This Row],[ATUAL]])</f>
        <v>0</v>
      </c>
      <c r="F98" s="119" t="n">
        <f aca="false">SUMIFS(tabela_registros[VALOR],tabela_registros[MÊS],$AE$1,tabela_registros[DIA],receitasvariáveisconsolidadonov[[#Headers],[2]],tabela_registros[REGISTRO],DADOS!$N$3,tabela_registros[TIPO],DADOS!$V$4,tabela_registros[CATEGORIA],receitasvariáveisconsolidadonov[[#This Row],[ATUAL]])</f>
        <v>0</v>
      </c>
      <c r="G98" s="119" t="n">
        <f aca="false">SUMIFS(tabela_registros[VALOR],tabela_registros[MÊS],$AE$1,tabela_registros[DIA],receitasvariáveisconsolidadonov[[#Headers],[3]],tabela_registros[REGISTRO],DADOS!$N$3,tabela_registros[TIPO],DADOS!$V$4,tabela_registros[CATEGORIA],receitasvariáveisconsolidadonov[[#This Row],[ATUAL]])</f>
        <v>0</v>
      </c>
      <c r="H98" s="119" t="n">
        <f aca="false">SUMIFS(tabela_registros[VALOR],tabela_registros[MÊS],$AE$1,tabela_registros[DIA],receitasvariáveisconsolidadonov[[#Headers],[4]],tabela_registros[REGISTRO],DADOS!$N$3,tabela_registros[TIPO],DADOS!$V$4,tabela_registros[CATEGORIA],receitasvariáveisconsolidadonov[[#This Row],[ATUAL]])</f>
        <v>0</v>
      </c>
      <c r="I98" s="119" t="n">
        <f aca="false">SUMIFS(tabela_registros[VALOR],tabela_registros[MÊS],$AE$1,tabela_registros[DIA],receitasvariáveisconsolidadonov[[#Headers],[5]],tabela_registros[REGISTRO],DADOS!$N$3,tabela_registros[TIPO],DADOS!$V$4,tabela_registros[CATEGORIA],receitasvariáveisconsolidadonov[[#This Row],[ATUAL]])</f>
        <v>0</v>
      </c>
      <c r="J98" s="119" t="n">
        <f aca="false">SUMIFS(tabela_registros[VALOR],tabela_registros[MÊS],$AE$1,tabela_registros[DIA],receitasvariáveisconsolidadonov[[#Headers],[6]],tabela_registros[REGISTRO],DADOS!$N$3,tabela_registros[TIPO],DADOS!$V$4,tabela_registros[CATEGORIA],receitasvariáveisconsolidadonov[[#This Row],[ATUAL]])</f>
        <v>0</v>
      </c>
      <c r="K98" s="119" t="n">
        <f aca="false">SUMIFS(tabela_registros[VALOR],tabela_registros[MÊS],$AE$1,tabela_registros[DIA],receitasvariáveisconsolidadonov[[#Headers],[7]],tabela_registros[REGISTRO],DADOS!$N$3,tabela_registros[TIPO],DADOS!$V$4,tabela_registros[CATEGORIA],receitasvariáveisconsolidadonov[[#This Row],[ATUAL]])</f>
        <v>0</v>
      </c>
      <c r="L98" s="119" t="n">
        <f aca="false">SUMIFS(tabela_registros[VALOR],tabela_registros[MÊS],$AE$1,tabela_registros[DIA],receitasvariáveisconsolidadonov[[#Headers],[8]],tabela_registros[REGISTRO],DADOS!$N$3,tabela_registros[TIPO],DADOS!$V$4,tabela_registros[CATEGORIA],receitasvariáveisconsolidadonov[[#This Row],[ATUAL]])</f>
        <v>0</v>
      </c>
      <c r="M98" s="119" t="n">
        <f aca="false">SUMIFS(tabela_registros[VALOR],tabela_registros[MÊS],$AE$1,tabela_registros[DIA],receitasvariáveisconsolidadonov[[#Headers],[9]],tabela_registros[REGISTRO],DADOS!$N$3,tabela_registros[TIPO],DADOS!$V$4,tabela_registros[CATEGORIA],receitasvariáveisconsolidadonov[[#This Row],[ATUAL]])</f>
        <v>0</v>
      </c>
      <c r="N98" s="119" t="n">
        <f aca="false">SUMIFS(tabela_registros[VALOR],tabela_registros[MÊS],$AE$1,tabela_registros[DIA],receitasvariáveisconsolidadonov[[#Headers],[10]],tabela_registros[REGISTRO],DADOS!$N$3,tabela_registros[TIPO],DADOS!$V$4,tabela_registros[CATEGORIA],receitasvariáveisconsolidadonov[[#This Row],[ATUAL]])</f>
        <v>0</v>
      </c>
      <c r="O98" s="119" t="n">
        <f aca="false">SUMIFS(tabela_registros[VALOR],tabela_registros[MÊS],$AE$1,tabela_registros[DIA],receitasvariáveisconsolidadonov[[#Headers],[11]],tabela_registros[REGISTRO],DADOS!$N$3,tabela_registros[TIPO],DADOS!$V$4,tabela_registros[CATEGORIA],receitasvariáveisconsolidadonov[[#This Row],[ATUAL]])</f>
        <v>0</v>
      </c>
      <c r="P98" s="119" t="n">
        <f aca="false">SUMIFS(tabela_registros[VALOR],tabela_registros[MÊS],$AE$1,tabela_registros[DIA],receitasvariáveisconsolidadonov[[#Headers],[12]],tabela_registros[REGISTRO],DADOS!$N$3,tabela_registros[TIPO],DADOS!$V$4,tabela_registros[CATEGORIA],receitasvariáveisconsolidadonov[[#This Row],[ATUAL]])</f>
        <v>0</v>
      </c>
      <c r="Q98" s="119" t="n">
        <f aca="false">SUMIFS(tabela_registros[VALOR],tabela_registros[MÊS],$AE$1,tabela_registros[DIA],receitasvariáveisconsolidadonov[[#Headers],[13]],tabela_registros[REGISTRO],DADOS!$N$3,tabela_registros[TIPO],DADOS!$V$4,tabela_registros[CATEGORIA],receitasvariáveisconsolidadonov[[#This Row],[ATUAL]])</f>
        <v>0</v>
      </c>
      <c r="R98" s="119" t="n">
        <f aca="false">SUMIFS(tabela_registros[VALOR],tabela_registros[MÊS],$AE$1,tabela_registros[DIA],receitasvariáveisconsolidadonov[[#Headers],[14]],tabela_registros[REGISTRO],DADOS!$N$3,tabela_registros[TIPO],DADOS!$V$4,tabela_registros[CATEGORIA],receitasvariáveisconsolidadonov[[#This Row],[ATUAL]])</f>
        <v>0</v>
      </c>
      <c r="S98" s="119" t="n">
        <f aca="false">SUMIFS(tabela_registros[VALOR],tabela_registros[MÊS],$AE$1,tabela_registros[DIA],receitasvariáveisconsolidadonov[[#Headers],[15]],tabela_registros[REGISTRO],DADOS!$N$3,tabela_registros[TIPO],DADOS!$V$4,tabela_registros[CATEGORIA],receitasvariáveisconsolidadonov[[#This Row],[ATUAL]])</f>
        <v>0</v>
      </c>
      <c r="T98" s="119" t="n">
        <f aca="false">SUMIFS(tabela_registros[VALOR],tabela_registros[MÊS],$AE$1,tabela_registros[DIA],receitasvariáveisconsolidadonov[[#Headers],[16]],tabela_registros[REGISTRO],DADOS!$N$3,tabela_registros[TIPO],DADOS!$V$4,tabela_registros[CATEGORIA],receitasvariáveisconsolidadonov[[#This Row],[ATUAL]])</f>
        <v>0</v>
      </c>
      <c r="U98" s="119" t="n">
        <f aca="false">SUMIFS(tabela_registros[VALOR],tabela_registros[MÊS],$AE$1,tabela_registros[DIA],receitasvariáveisconsolidadonov[[#Headers],[17]],tabela_registros[REGISTRO],DADOS!$N$3,tabela_registros[TIPO],DADOS!$V$4,tabela_registros[CATEGORIA],receitasvariáveisconsolidadonov[[#This Row],[ATUAL]])</f>
        <v>0</v>
      </c>
      <c r="V98" s="119" t="n">
        <f aca="false">SUMIFS(tabela_registros[VALOR],tabela_registros[MÊS],$AE$1,tabela_registros[DIA],receitasvariáveisconsolidadonov[[#Headers],[18]],tabela_registros[REGISTRO],DADOS!$N$3,tabela_registros[TIPO],DADOS!$V$4,tabela_registros[CATEGORIA],receitasvariáveisconsolidadonov[[#This Row],[ATUAL]])</f>
        <v>0</v>
      </c>
      <c r="W98" s="119" t="n">
        <f aca="false">SUMIFS(tabela_registros[VALOR],tabela_registros[MÊS],$AE$1,tabela_registros[DIA],receitasvariáveisconsolidadonov[[#Headers],[19]],tabela_registros[REGISTRO],DADOS!$N$3,tabela_registros[TIPO],DADOS!$V$4,tabela_registros[CATEGORIA],receitasvariáveisconsolidadonov[[#This Row],[ATUAL]])</f>
        <v>0</v>
      </c>
      <c r="X98" s="119" t="n">
        <f aca="false">SUMIFS(tabela_registros[VALOR],tabela_registros[MÊS],$AE$1,tabela_registros[DIA],receitasvariáveisconsolidadonov[[#Headers],[20]],tabela_registros[REGISTRO],DADOS!$N$3,tabela_registros[TIPO],DADOS!$V$4,tabela_registros[CATEGORIA],receitasvariáveisconsolidadonov[[#This Row],[ATUAL]])</f>
        <v>0</v>
      </c>
      <c r="Y98" s="119" t="n">
        <f aca="false">SUMIFS(tabela_registros[VALOR],tabela_registros[MÊS],$AE$1,tabela_registros[DIA],receitasvariáveisconsolidadonov[[#Headers],[21]],tabela_registros[REGISTRO],DADOS!$N$3,tabela_registros[TIPO],DADOS!$V$4,tabela_registros[CATEGORIA],receitasvariáveisconsolidadonov[[#This Row],[ATUAL]])</f>
        <v>0</v>
      </c>
      <c r="Z98" s="119" t="n">
        <f aca="false">SUMIFS(tabela_registros[VALOR],tabela_registros[MÊS],$AE$1,tabela_registros[DIA],receitasvariáveisconsolidadonov[[#Headers],[22]],tabela_registros[REGISTRO],DADOS!$N$3,tabela_registros[TIPO],DADOS!$V$4,tabela_registros[CATEGORIA],receitasvariáveisconsolidadonov[[#This Row],[ATUAL]])</f>
        <v>0</v>
      </c>
      <c r="AA98" s="119" t="n">
        <f aca="false">SUMIFS(tabela_registros[VALOR],tabela_registros[MÊS],$AE$1,tabela_registros[DIA],receitasvariáveisconsolidadonov[[#Headers],[23]],tabela_registros[REGISTRO],DADOS!$N$3,tabela_registros[TIPO],DADOS!$V$4,tabela_registros[CATEGORIA],receitasvariáveisconsolidadonov[[#This Row],[ATUAL]])</f>
        <v>0</v>
      </c>
      <c r="AB98" s="119" t="n">
        <f aca="false">SUMIFS(tabela_registros[VALOR],tabela_registros[MÊS],$AE$1,tabela_registros[DIA],receitasvariáveisconsolidadonov[[#Headers],[24]],tabela_registros[REGISTRO],DADOS!$N$3,tabela_registros[TIPO],DADOS!$V$4,tabela_registros[CATEGORIA],receitasvariáveisconsolidadonov[[#This Row],[ATUAL]])</f>
        <v>0</v>
      </c>
      <c r="AC98" s="119" t="n">
        <f aca="false">SUMIFS(tabela_registros[VALOR],tabela_registros[MÊS],$AE$1,tabela_registros[DIA],receitasvariáveisconsolidadonov[[#Headers],[25]],tabela_registros[REGISTRO],DADOS!$N$3,tabela_registros[TIPO],DADOS!$V$4,tabela_registros[CATEGORIA],receitasvariáveisconsolidadonov[[#This Row],[ATUAL]])</f>
        <v>0</v>
      </c>
      <c r="AD98" s="119" t="n">
        <f aca="false">SUMIFS(tabela_registros[VALOR],tabela_registros[MÊS],$AE$1,tabela_registros[DIA],receitasvariáveisconsolidadonov[[#Headers],[26]],tabela_registros[REGISTRO],DADOS!$N$3,tabela_registros[TIPO],DADOS!$V$4,tabela_registros[CATEGORIA],receitasvariáveisconsolidadonov[[#This Row],[ATUAL]])</f>
        <v>0</v>
      </c>
      <c r="AE98" s="119" t="n">
        <f aca="false">SUMIFS(tabela_registros[VALOR],tabela_registros[MÊS],$AE$1,tabela_registros[DIA],receitasvariáveisconsolidadonov[[#Headers],[27]],tabela_registros[REGISTRO],DADOS!$N$3,tabela_registros[TIPO],DADOS!$V$4,tabela_registros[CATEGORIA],receitasvariáveisconsolidadonov[[#This Row],[ATUAL]])</f>
        <v>0</v>
      </c>
      <c r="AF98" s="119" t="n">
        <f aca="false">SUMIFS(tabela_registros[VALOR],tabela_registros[MÊS],$AE$1,tabela_registros[DIA],receitasvariáveisconsolidadonov[[#Headers],[28]],tabela_registros[REGISTRO],DADOS!$N$3,tabela_registros[TIPO],DADOS!$V$4,tabela_registros[CATEGORIA],receitasvariáveisconsolidadonov[[#This Row],[ATUAL]])</f>
        <v>0</v>
      </c>
      <c r="AG98" s="119" t="n">
        <f aca="false">SUMIFS(tabela_registros[VALOR],tabela_registros[MÊS],$AE$1,tabela_registros[DIA],receitasvariáveisconsolidadonov[[#Headers],[29]],tabela_registros[REGISTRO],DADOS!$N$3,tabela_registros[TIPO],DADOS!$V$4,tabela_registros[CATEGORIA],receitasvariáveisconsolidadonov[[#This Row],[ATUAL]])</f>
        <v>0</v>
      </c>
      <c r="AH98" s="119" t="n">
        <f aca="false">SUMIFS(tabela_registros[VALOR],tabela_registros[MÊS],$AE$1,tabela_registros[DIA],receitasvariáveisconsolidadonov[[#Headers],[30]],tabela_registros[REGISTRO],DADOS!$N$3,tabela_registros[TIPO],DADOS!$V$4,tabela_registros[CATEGORIA],receitasvariáveisconsolidadonov[[#This Row],[ATUAL]])</f>
        <v>0</v>
      </c>
      <c r="AI98" s="217" t="n">
        <f aca="false">SUMIFS(tabela_registros[VALOR],tabela_registros[MÊS],$AE$1,tabela_registros[DIA],receitasvariáveisconsolidadonov[[#Headers],[31]],tabela_registros[REGISTRO],DADOS!$N$3,tabela_registros[TIPO],DADOS!$V$4,tabela_registros[CATEGORIA],receitasvariáveisconsolidadonov[[#This Row],[ATUAL]])</f>
        <v>0</v>
      </c>
      <c r="AJ98" s="149" t="n">
        <f aca="false">SUM(receitasvariáveisconsolidadonov[[#This Row],[1]:[31]])</f>
        <v>0</v>
      </c>
      <c r="AK98" s="165"/>
    </row>
    <row r="99" customFormat="false" ht="19.5" hidden="false" customHeight="true" outlineLevel="0" collapsed="false">
      <c r="B99" s="143"/>
      <c r="C99" s="144" t="str">
        <f aca="false">DADOS!$Z$6</f>
        <v>💲 INVESTIMENTOS</v>
      </c>
      <c r="D99" s="145" t="str">
        <f aca="false">IF(receitasvariáveisconsolidadonov[[#This Row],[TOTAL (R$)]]=0,"",IF(OR(receitasvariáveisconsolidadonov[[#This Row],[TOTAL (R$)]]=LARGE($AJ$96:$AJ$103,1),receitasvariáveisconsolidadonov[[#This Row],[TOTAL (R$)]]=LARGE($AJ$96:$AJ$103,2)),DADOS!$I$9,""))</f>
        <v/>
      </c>
      <c r="E99" s="148" t="n">
        <f aca="false">SUMIFS(tabela_registros[VALOR],tabela_registros[MÊS],$AE$1,tabela_registros[DIA],receitasvariáveisconsolidadonov[[#Headers],[1]],tabela_registros[REGISTRO],DADOS!$N$3,tabela_registros[TIPO],DADOS!$V$4,tabela_registros[CATEGORIA],receitasvariáveisconsolidadonov[[#This Row],[ATUAL]])</f>
        <v>0</v>
      </c>
      <c r="F99" s="119" t="n">
        <f aca="false">SUMIFS(tabela_registros[VALOR],tabela_registros[MÊS],$AE$1,tabela_registros[DIA],receitasvariáveisconsolidadonov[[#Headers],[2]],tabela_registros[REGISTRO],DADOS!$N$3,tabela_registros[TIPO],DADOS!$V$4,tabela_registros[CATEGORIA],receitasvariáveisconsolidadonov[[#This Row],[ATUAL]])</f>
        <v>0</v>
      </c>
      <c r="G99" s="119" t="n">
        <f aca="false">SUMIFS(tabela_registros[VALOR],tabela_registros[MÊS],$AE$1,tabela_registros[DIA],receitasvariáveisconsolidadonov[[#Headers],[3]],tabela_registros[REGISTRO],DADOS!$N$3,tabela_registros[TIPO],DADOS!$V$4,tabela_registros[CATEGORIA],receitasvariáveisconsolidadonov[[#This Row],[ATUAL]])</f>
        <v>0</v>
      </c>
      <c r="H99" s="119" t="n">
        <f aca="false">SUMIFS(tabela_registros[VALOR],tabela_registros[MÊS],$AE$1,tabela_registros[DIA],receitasvariáveisconsolidadonov[[#Headers],[4]],tabela_registros[REGISTRO],DADOS!$N$3,tabela_registros[TIPO],DADOS!$V$4,tabela_registros[CATEGORIA],receitasvariáveisconsolidadonov[[#This Row],[ATUAL]])</f>
        <v>0</v>
      </c>
      <c r="I99" s="119" t="n">
        <f aca="false">SUMIFS(tabela_registros[VALOR],tabela_registros[MÊS],$AE$1,tabela_registros[DIA],receitasvariáveisconsolidadonov[[#Headers],[5]],tabela_registros[REGISTRO],DADOS!$N$3,tabela_registros[TIPO],DADOS!$V$4,tabela_registros[CATEGORIA],receitasvariáveisconsolidadonov[[#This Row],[ATUAL]])</f>
        <v>0</v>
      </c>
      <c r="J99" s="119" t="n">
        <f aca="false">SUMIFS(tabela_registros[VALOR],tabela_registros[MÊS],$AE$1,tabela_registros[DIA],receitasvariáveisconsolidadonov[[#Headers],[6]],tabela_registros[REGISTRO],DADOS!$N$3,tabela_registros[TIPO],DADOS!$V$4,tabela_registros[CATEGORIA],receitasvariáveisconsolidadonov[[#This Row],[ATUAL]])</f>
        <v>0</v>
      </c>
      <c r="K99" s="119" t="n">
        <f aca="false">SUMIFS(tabela_registros[VALOR],tabela_registros[MÊS],$AE$1,tabela_registros[DIA],receitasvariáveisconsolidadonov[[#Headers],[7]],tabela_registros[REGISTRO],DADOS!$N$3,tabela_registros[TIPO],DADOS!$V$4,tabela_registros[CATEGORIA],receitasvariáveisconsolidadonov[[#This Row],[ATUAL]])</f>
        <v>0</v>
      </c>
      <c r="L99" s="119" t="n">
        <f aca="false">SUMIFS(tabela_registros[VALOR],tabela_registros[MÊS],$AE$1,tabela_registros[DIA],receitasvariáveisconsolidadonov[[#Headers],[8]],tabela_registros[REGISTRO],DADOS!$N$3,tabela_registros[TIPO],DADOS!$V$4,tabela_registros[CATEGORIA],receitasvariáveisconsolidadonov[[#This Row],[ATUAL]])</f>
        <v>0</v>
      </c>
      <c r="M99" s="119" t="n">
        <f aca="false">SUMIFS(tabela_registros[VALOR],tabela_registros[MÊS],$AE$1,tabela_registros[DIA],receitasvariáveisconsolidadonov[[#Headers],[9]],tabela_registros[REGISTRO],DADOS!$N$3,tabela_registros[TIPO],DADOS!$V$4,tabela_registros[CATEGORIA],receitasvariáveisconsolidadonov[[#This Row],[ATUAL]])</f>
        <v>0</v>
      </c>
      <c r="N99" s="119" t="n">
        <f aca="false">SUMIFS(tabela_registros[VALOR],tabela_registros[MÊS],$AE$1,tabela_registros[DIA],receitasvariáveisconsolidadonov[[#Headers],[10]],tabela_registros[REGISTRO],DADOS!$N$3,tabela_registros[TIPO],DADOS!$V$4,tabela_registros[CATEGORIA],receitasvariáveisconsolidadonov[[#This Row],[ATUAL]])</f>
        <v>0</v>
      </c>
      <c r="O99" s="119" t="n">
        <f aca="false">SUMIFS(tabela_registros[VALOR],tabela_registros[MÊS],$AE$1,tabela_registros[DIA],receitasvariáveisconsolidadonov[[#Headers],[11]],tabela_registros[REGISTRO],DADOS!$N$3,tabela_registros[TIPO],DADOS!$V$4,tabela_registros[CATEGORIA],receitasvariáveisconsolidadonov[[#This Row],[ATUAL]])</f>
        <v>0</v>
      </c>
      <c r="P99" s="119" t="n">
        <f aca="false">SUMIFS(tabela_registros[VALOR],tabela_registros[MÊS],$AE$1,tabela_registros[DIA],receitasvariáveisconsolidadonov[[#Headers],[12]],tabela_registros[REGISTRO],DADOS!$N$3,tabela_registros[TIPO],DADOS!$V$4,tabela_registros[CATEGORIA],receitasvariáveisconsolidadonov[[#This Row],[ATUAL]])</f>
        <v>0</v>
      </c>
      <c r="Q99" s="119" t="n">
        <f aca="false">SUMIFS(tabela_registros[VALOR],tabela_registros[MÊS],$AE$1,tabela_registros[DIA],receitasvariáveisconsolidadonov[[#Headers],[13]],tabela_registros[REGISTRO],DADOS!$N$3,tabela_registros[TIPO],DADOS!$V$4,tabela_registros[CATEGORIA],receitasvariáveisconsolidadonov[[#This Row],[ATUAL]])</f>
        <v>0</v>
      </c>
      <c r="R99" s="119" t="n">
        <f aca="false">SUMIFS(tabela_registros[VALOR],tabela_registros[MÊS],$AE$1,tabela_registros[DIA],receitasvariáveisconsolidadonov[[#Headers],[14]],tabela_registros[REGISTRO],DADOS!$N$3,tabela_registros[TIPO],DADOS!$V$4,tabela_registros[CATEGORIA],receitasvariáveisconsolidadonov[[#This Row],[ATUAL]])</f>
        <v>0</v>
      </c>
      <c r="S99" s="119" t="n">
        <f aca="false">SUMIFS(tabela_registros[VALOR],tabela_registros[MÊS],$AE$1,tabela_registros[DIA],receitasvariáveisconsolidadonov[[#Headers],[15]],tabela_registros[REGISTRO],DADOS!$N$3,tabela_registros[TIPO],DADOS!$V$4,tabela_registros[CATEGORIA],receitasvariáveisconsolidadonov[[#This Row],[ATUAL]])</f>
        <v>0</v>
      </c>
      <c r="T99" s="119" t="n">
        <f aca="false">SUMIFS(tabela_registros[VALOR],tabela_registros[MÊS],$AE$1,tabela_registros[DIA],receitasvariáveisconsolidadonov[[#Headers],[16]],tabela_registros[REGISTRO],DADOS!$N$3,tabela_registros[TIPO],DADOS!$V$4,tabela_registros[CATEGORIA],receitasvariáveisconsolidadonov[[#This Row],[ATUAL]])</f>
        <v>0</v>
      </c>
      <c r="U99" s="119" t="n">
        <f aca="false">SUMIFS(tabela_registros[VALOR],tabela_registros[MÊS],$AE$1,tabela_registros[DIA],receitasvariáveisconsolidadonov[[#Headers],[17]],tabela_registros[REGISTRO],DADOS!$N$3,tabela_registros[TIPO],DADOS!$V$4,tabela_registros[CATEGORIA],receitasvariáveisconsolidadonov[[#This Row],[ATUAL]])</f>
        <v>0</v>
      </c>
      <c r="V99" s="119" t="n">
        <f aca="false">SUMIFS(tabela_registros[VALOR],tabela_registros[MÊS],$AE$1,tabela_registros[DIA],receitasvariáveisconsolidadonov[[#Headers],[18]],tabela_registros[REGISTRO],DADOS!$N$3,tabela_registros[TIPO],DADOS!$V$4,tabela_registros[CATEGORIA],receitasvariáveisconsolidadonov[[#This Row],[ATUAL]])</f>
        <v>0</v>
      </c>
      <c r="W99" s="119" t="n">
        <f aca="false">SUMIFS(tabela_registros[VALOR],tabela_registros[MÊS],$AE$1,tabela_registros[DIA],receitasvariáveisconsolidadonov[[#Headers],[19]],tabela_registros[REGISTRO],DADOS!$N$3,tabela_registros[TIPO],DADOS!$V$4,tabela_registros[CATEGORIA],receitasvariáveisconsolidadonov[[#This Row],[ATUAL]])</f>
        <v>0</v>
      </c>
      <c r="X99" s="119" t="n">
        <f aca="false">SUMIFS(tabela_registros[VALOR],tabela_registros[MÊS],$AE$1,tabela_registros[DIA],receitasvariáveisconsolidadonov[[#Headers],[20]],tabela_registros[REGISTRO],DADOS!$N$3,tabela_registros[TIPO],DADOS!$V$4,tabela_registros[CATEGORIA],receitasvariáveisconsolidadonov[[#This Row],[ATUAL]])</f>
        <v>0</v>
      </c>
      <c r="Y99" s="119" t="n">
        <f aca="false">SUMIFS(tabela_registros[VALOR],tabela_registros[MÊS],$AE$1,tabela_registros[DIA],receitasvariáveisconsolidadonov[[#Headers],[21]],tabela_registros[REGISTRO],DADOS!$N$3,tabela_registros[TIPO],DADOS!$V$4,tabela_registros[CATEGORIA],receitasvariáveisconsolidadonov[[#This Row],[ATUAL]])</f>
        <v>0</v>
      </c>
      <c r="Z99" s="119" t="n">
        <f aca="false">SUMIFS(tabela_registros[VALOR],tabela_registros[MÊS],$AE$1,tabela_registros[DIA],receitasvariáveisconsolidadonov[[#Headers],[22]],tabela_registros[REGISTRO],DADOS!$N$3,tabela_registros[TIPO],DADOS!$V$4,tabela_registros[CATEGORIA],receitasvariáveisconsolidadonov[[#This Row],[ATUAL]])</f>
        <v>0</v>
      </c>
      <c r="AA99" s="119" t="n">
        <f aca="false">SUMIFS(tabela_registros[VALOR],tabela_registros[MÊS],$AE$1,tabela_registros[DIA],receitasvariáveisconsolidadonov[[#Headers],[23]],tabela_registros[REGISTRO],DADOS!$N$3,tabela_registros[TIPO],DADOS!$V$4,tabela_registros[CATEGORIA],receitasvariáveisconsolidadonov[[#This Row],[ATUAL]])</f>
        <v>0</v>
      </c>
      <c r="AB99" s="119" t="n">
        <f aca="false">SUMIFS(tabela_registros[VALOR],tabela_registros[MÊS],$AE$1,tabela_registros[DIA],receitasvariáveisconsolidadonov[[#Headers],[24]],tabela_registros[REGISTRO],DADOS!$N$3,tabela_registros[TIPO],DADOS!$V$4,tabela_registros[CATEGORIA],receitasvariáveisconsolidadonov[[#This Row],[ATUAL]])</f>
        <v>0</v>
      </c>
      <c r="AC99" s="119" t="n">
        <f aca="false">SUMIFS(tabela_registros[VALOR],tabela_registros[MÊS],$AE$1,tabela_registros[DIA],receitasvariáveisconsolidadonov[[#Headers],[25]],tabela_registros[REGISTRO],DADOS!$N$3,tabela_registros[TIPO],DADOS!$V$4,tabela_registros[CATEGORIA],receitasvariáveisconsolidadonov[[#This Row],[ATUAL]])</f>
        <v>0</v>
      </c>
      <c r="AD99" s="119" t="n">
        <f aca="false">SUMIFS(tabela_registros[VALOR],tabela_registros[MÊS],$AE$1,tabela_registros[DIA],receitasvariáveisconsolidadonov[[#Headers],[26]],tabela_registros[REGISTRO],DADOS!$N$3,tabela_registros[TIPO],DADOS!$V$4,tabela_registros[CATEGORIA],receitasvariáveisconsolidadonov[[#This Row],[ATUAL]])</f>
        <v>0</v>
      </c>
      <c r="AE99" s="119" t="n">
        <f aca="false">SUMIFS(tabela_registros[VALOR],tabela_registros[MÊS],$AE$1,tabela_registros[DIA],receitasvariáveisconsolidadonov[[#Headers],[27]],tabela_registros[REGISTRO],DADOS!$N$3,tabela_registros[TIPO],DADOS!$V$4,tabela_registros[CATEGORIA],receitasvariáveisconsolidadonov[[#This Row],[ATUAL]])</f>
        <v>0</v>
      </c>
      <c r="AF99" s="119" t="n">
        <f aca="false">SUMIFS(tabela_registros[VALOR],tabela_registros[MÊS],$AE$1,tabela_registros[DIA],receitasvariáveisconsolidadonov[[#Headers],[28]],tabela_registros[REGISTRO],DADOS!$N$3,tabela_registros[TIPO],DADOS!$V$4,tabela_registros[CATEGORIA],receitasvariáveisconsolidadonov[[#This Row],[ATUAL]])</f>
        <v>0</v>
      </c>
      <c r="AG99" s="119" t="n">
        <f aca="false">SUMIFS(tabela_registros[VALOR],tabela_registros[MÊS],$AE$1,tabela_registros[DIA],receitasvariáveisconsolidadonov[[#Headers],[29]],tabela_registros[REGISTRO],DADOS!$N$3,tabela_registros[TIPO],DADOS!$V$4,tabela_registros[CATEGORIA],receitasvariáveisconsolidadonov[[#This Row],[ATUAL]])</f>
        <v>0</v>
      </c>
      <c r="AH99" s="119" t="n">
        <f aca="false">SUMIFS(tabela_registros[VALOR],tabela_registros[MÊS],$AE$1,tabela_registros[DIA],receitasvariáveisconsolidadonov[[#Headers],[30]],tabela_registros[REGISTRO],DADOS!$N$3,tabela_registros[TIPO],DADOS!$V$4,tabela_registros[CATEGORIA],receitasvariáveisconsolidadonov[[#This Row],[ATUAL]])</f>
        <v>0</v>
      </c>
      <c r="AI99" s="217" t="n">
        <f aca="false">SUMIFS(tabela_registros[VALOR],tabela_registros[MÊS],$AE$1,tabela_registros[DIA],receitasvariáveisconsolidadonov[[#Headers],[31]],tabela_registros[REGISTRO],DADOS!$N$3,tabela_registros[TIPO],DADOS!$V$4,tabela_registros[CATEGORIA],receitasvariáveisconsolidadonov[[#This Row],[ATUAL]])</f>
        <v>0</v>
      </c>
      <c r="AJ99" s="149" t="n">
        <f aca="false">SUM(receitasvariáveisconsolidadonov[[#This Row],[1]:[31]])</f>
        <v>0</v>
      </c>
      <c r="AK99" s="165"/>
    </row>
    <row r="100" customFormat="false" ht="19.5" hidden="false" customHeight="true" outlineLevel="0" collapsed="false">
      <c r="B100" s="143"/>
      <c r="C100" s="144" t="str">
        <f aca="false">DADOS!$Z$7</f>
        <v>🧾 NOTA DE SERVIÇO</v>
      </c>
      <c r="D100" s="145" t="str">
        <f aca="false">IF(receitasvariáveisconsolidadonov[[#This Row],[TOTAL (R$)]]=0,"",IF(OR(receitasvariáveisconsolidadonov[[#This Row],[TOTAL (R$)]]=LARGE($AJ$96:$AJ$103,1),receitasvariáveisconsolidadonov[[#This Row],[TOTAL (R$)]]=LARGE($AJ$96:$AJ$103,2)),DADOS!$I$9,""))</f>
        <v/>
      </c>
      <c r="E100" s="148" t="n">
        <f aca="false">SUMIFS(tabela_registros[VALOR],tabela_registros[MÊS],$AE$1,tabela_registros[DIA],receitasvariáveisconsolidadonov[[#Headers],[1]],tabela_registros[REGISTRO],DADOS!$N$3,tabela_registros[TIPO],DADOS!$V$4,tabela_registros[CATEGORIA],receitasvariáveisconsolidadonov[[#This Row],[ATUAL]])</f>
        <v>0</v>
      </c>
      <c r="F100" s="119" t="n">
        <f aca="false">SUMIFS(tabela_registros[VALOR],tabela_registros[MÊS],$AE$1,tabela_registros[DIA],receitasvariáveisconsolidadonov[[#Headers],[2]],tabela_registros[REGISTRO],DADOS!$N$3,tabela_registros[TIPO],DADOS!$V$4,tabela_registros[CATEGORIA],receitasvariáveisconsolidadonov[[#This Row],[ATUAL]])</f>
        <v>0</v>
      </c>
      <c r="G100" s="119" t="n">
        <f aca="false">SUMIFS(tabela_registros[VALOR],tabela_registros[MÊS],$AE$1,tabela_registros[DIA],receitasvariáveisconsolidadonov[[#Headers],[3]],tabela_registros[REGISTRO],DADOS!$N$3,tabela_registros[TIPO],DADOS!$V$4,tabela_registros[CATEGORIA],receitasvariáveisconsolidadonov[[#This Row],[ATUAL]])</f>
        <v>0</v>
      </c>
      <c r="H100" s="119" t="n">
        <f aca="false">SUMIFS(tabela_registros[VALOR],tabela_registros[MÊS],$AE$1,tabela_registros[DIA],receitasvariáveisconsolidadonov[[#Headers],[4]],tabela_registros[REGISTRO],DADOS!$N$3,tabela_registros[TIPO],DADOS!$V$4,tabela_registros[CATEGORIA],receitasvariáveisconsolidadonov[[#This Row],[ATUAL]])</f>
        <v>0</v>
      </c>
      <c r="I100" s="119" t="n">
        <f aca="false">SUMIFS(tabela_registros[VALOR],tabela_registros[MÊS],$AE$1,tabela_registros[DIA],receitasvariáveisconsolidadonov[[#Headers],[5]],tabela_registros[REGISTRO],DADOS!$N$3,tabela_registros[TIPO],DADOS!$V$4,tabela_registros[CATEGORIA],receitasvariáveisconsolidadonov[[#This Row],[ATUAL]])</f>
        <v>0</v>
      </c>
      <c r="J100" s="119" t="n">
        <f aca="false">SUMIFS(tabela_registros[VALOR],tabela_registros[MÊS],$AE$1,tabela_registros[DIA],receitasvariáveisconsolidadonov[[#Headers],[6]],tabela_registros[REGISTRO],DADOS!$N$3,tabela_registros[TIPO],DADOS!$V$4,tabela_registros[CATEGORIA],receitasvariáveisconsolidadonov[[#This Row],[ATUAL]])</f>
        <v>0</v>
      </c>
      <c r="K100" s="119" t="n">
        <f aca="false">SUMIFS(tabela_registros[VALOR],tabela_registros[MÊS],$AE$1,tabela_registros[DIA],receitasvariáveisconsolidadonov[[#Headers],[7]],tabela_registros[REGISTRO],DADOS!$N$3,tabela_registros[TIPO],DADOS!$V$4,tabela_registros[CATEGORIA],receitasvariáveisconsolidadonov[[#This Row],[ATUAL]])</f>
        <v>0</v>
      </c>
      <c r="L100" s="119" t="n">
        <f aca="false">SUMIFS(tabela_registros[VALOR],tabela_registros[MÊS],$AE$1,tabela_registros[DIA],receitasvariáveisconsolidadonov[[#Headers],[8]],tabela_registros[REGISTRO],DADOS!$N$3,tabela_registros[TIPO],DADOS!$V$4,tabela_registros[CATEGORIA],receitasvariáveisconsolidadonov[[#This Row],[ATUAL]])</f>
        <v>0</v>
      </c>
      <c r="M100" s="119" t="n">
        <f aca="false">SUMIFS(tabela_registros[VALOR],tabela_registros[MÊS],$AE$1,tabela_registros[DIA],receitasvariáveisconsolidadonov[[#Headers],[9]],tabela_registros[REGISTRO],DADOS!$N$3,tabela_registros[TIPO],DADOS!$V$4,tabela_registros[CATEGORIA],receitasvariáveisconsolidadonov[[#This Row],[ATUAL]])</f>
        <v>0</v>
      </c>
      <c r="N100" s="119" t="n">
        <f aca="false">SUMIFS(tabela_registros[VALOR],tabela_registros[MÊS],$AE$1,tabela_registros[DIA],receitasvariáveisconsolidadonov[[#Headers],[10]],tabela_registros[REGISTRO],DADOS!$N$3,tabela_registros[TIPO],DADOS!$V$4,tabela_registros[CATEGORIA],receitasvariáveisconsolidadonov[[#This Row],[ATUAL]])</f>
        <v>0</v>
      </c>
      <c r="O100" s="119" t="n">
        <f aca="false">SUMIFS(tabela_registros[VALOR],tabela_registros[MÊS],$AE$1,tabela_registros[DIA],receitasvariáveisconsolidadonov[[#Headers],[11]],tabela_registros[REGISTRO],DADOS!$N$3,tabela_registros[TIPO],DADOS!$V$4,tabela_registros[CATEGORIA],receitasvariáveisconsolidadonov[[#This Row],[ATUAL]])</f>
        <v>0</v>
      </c>
      <c r="P100" s="119" t="n">
        <f aca="false">SUMIFS(tabela_registros[VALOR],tabela_registros[MÊS],$AE$1,tabela_registros[DIA],receitasvariáveisconsolidadonov[[#Headers],[12]],tabela_registros[REGISTRO],DADOS!$N$3,tabela_registros[TIPO],DADOS!$V$4,tabela_registros[CATEGORIA],receitasvariáveisconsolidadonov[[#This Row],[ATUAL]])</f>
        <v>0</v>
      </c>
      <c r="Q100" s="119" t="n">
        <f aca="false">SUMIFS(tabela_registros[VALOR],tabela_registros[MÊS],$AE$1,tabela_registros[DIA],receitasvariáveisconsolidadonov[[#Headers],[13]],tabela_registros[REGISTRO],DADOS!$N$3,tabela_registros[TIPO],DADOS!$V$4,tabela_registros[CATEGORIA],receitasvariáveisconsolidadonov[[#This Row],[ATUAL]])</f>
        <v>0</v>
      </c>
      <c r="R100" s="119" t="n">
        <f aca="false">SUMIFS(tabela_registros[VALOR],tabela_registros[MÊS],$AE$1,tabela_registros[DIA],receitasvariáveisconsolidadonov[[#Headers],[14]],tabela_registros[REGISTRO],DADOS!$N$3,tabela_registros[TIPO],DADOS!$V$4,tabela_registros[CATEGORIA],receitasvariáveisconsolidadonov[[#This Row],[ATUAL]])</f>
        <v>0</v>
      </c>
      <c r="S100" s="119" t="n">
        <f aca="false">SUMIFS(tabela_registros[VALOR],tabela_registros[MÊS],$AE$1,tabela_registros[DIA],receitasvariáveisconsolidadonov[[#Headers],[15]],tabela_registros[REGISTRO],DADOS!$N$3,tabela_registros[TIPO],DADOS!$V$4,tabela_registros[CATEGORIA],receitasvariáveisconsolidadonov[[#This Row],[ATUAL]])</f>
        <v>0</v>
      </c>
      <c r="T100" s="119" t="n">
        <f aca="false">SUMIFS(tabela_registros[VALOR],tabela_registros[MÊS],$AE$1,tabela_registros[DIA],receitasvariáveisconsolidadonov[[#Headers],[16]],tabela_registros[REGISTRO],DADOS!$N$3,tabela_registros[TIPO],DADOS!$V$4,tabela_registros[CATEGORIA],receitasvariáveisconsolidadonov[[#This Row],[ATUAL]])</f>
        <v>0</v>
      </c>
      <c r="U100" s="119" t="n">
        <f aca="false">SUMIFS(tabela_registros[VALOR],tabela_registros[MÊS],$AE$1,tabela_registros[DIA],receitasvariáveisconsolidadonov[[#Headers],[17]],tabela_registros[REGISTRO],DADOS!$N$3,tabela_registros[TIPO],DADOS!$V$4,tabela_registros[CATEGORIA],receitasvariáveisconsolidadonov[[#This Row],[ATUAL]])</f>
        <v>0</v>
      </c>
      <c r="V100" s="119" t="n">
        <f aca="false">SUMIFS(tabela_registros[VALOR],tabela_registros[MÊS],$AE$1,tabela_registros[DIA],receitasvariáveisconsolidadonov[[#Headers],[18]],tabela_registros[REGISTRO],DADOS!$N$3,tabela_registros[TIPO],DADOS!$V$4,tabela_registros[CATEGORIA],receitasvariáveisconsolidadonov[[#This Row],[ATUAL]])</f>
        <v>0</v>
      </c>
      <c r="W100" s="119" t="n">
        <f aca="false">SUMIFS(tabela_registros[VALOR],tabela_registros[MÊS],$AE$1,tabela_registros[DIA],receitasvariáveisconsolidadonov[[#Headers],[19]],tabela_registros[REGISTRO],DADOS!$N$3,tabela_registros[TIPO],DADOS!$V$4,tabela_registros[CATEGORIA],receitasvariáveisconsolidadonov[[#This Row],[ATUAL]])</f>
        <v>0</v>
      </c>
      <c r="X100" s="119" t="n">
        <f aca="false">SUMIFS(tabela_registros[VALOR],tabela_registros[MÊS],$AE$1,tabela_registros[DIA],receitasvariáveisconsolidadonov[[#Headers],[20]],tabela_registros[REGISTRO],DADOS!$N$3,tabela_registros[TIPO],DADOS!$V$4,tabela_registros[CATEGORIA],receitasvariáveisconsolidadonov[[#This Row],[ATUAL]])</f>
        <v>0</v>
      </c>
      <c r="Y100" s="119" t="n">
        <f aca="false">SUMIFS(tabela_registros[VALOR],tabela_registros[MÊS],$AE$1,tabela_registros[DIA],receitasvariáveisconsolidadonov[[#Headers],[21]],tabela_registros[REGISTRO],DADOS!$N$3,tabela_registros[TIPO],DADOS!$V$4,tabela_registros[CATEGORIA],receitasvariáveisconsolidadonov[[#This Row],[ATUAL]])</f>
        <v>0</v>
      </c>
      <c r="Z100" s="119" t="n">
        <f aca="false">SUMIFS(tabela_registros[VALOR],tabela_registros[MÊS],$AE$1,tabela_registros[DIA],receitasvariáveisconsolidadonov[[#Headers],[22]],tabela_registros[REGISTRO],DADOS!$N$3,tabela_registros[TIPO],DADOS!$V$4,tabela_registros[CATEGORIA],receitasvariáveisconsolidadonov[[#This Row],[ATUAL]])</f>
        <v>0</v>
      </c>
      <c r="AA100" s="119" t="n">
        <f aca="false">SUMIFS(tabela_registros[VALOR],tabela_registros[MÊS],$AE$1,tabela_registros[DIA],receitasvariáveisconsolidadonov[[#Headers],[23]],tabela_registros[REGISTRO],DADOS!$N$3,tabela_registros[TIPO],DADOS!$V$4,tabela_registros[CATEGORIA],receitasvariáveisconsolidadonov[[#This Row],[ATUAL]])</f>
        <v>0</v>
      </c>
      <c r="AB100" s="119" t="n">
        <f aca="false">SUMIFS(tabela_registros[VALOR],tabela_registros[MÊS],$AE$1,tabela_registros[DIA],receitasvariáveisconsolidadonov[[#Headers],[24]],tabela_registros[REGISTRO],DADOS!$N$3,tabela_registros[TIPO],DADOS!$V$4,tabela_registros[CATEGORIA],receitasvariáveisconsolidadonov[[#This Row],[ATUAL]])</f>
        <v>0</v>
      </c>
      <c r="AC100" s="119" t="n">
        <f aca="false">SUMIFS(tabela_registros[VALOR],tabela_registros[MÊS],$AE$1,tabela_registros[DIA],receitasvariáveisconsolidadonov[[#Headers],[25]],tabela_registros[REGISTRO],DADOS!$N$3,tabela_registros[TIPO],DADOS!$V$4,tabela_registros[CATEGORIA],receitasvariáveisconsolidadonov[[#This Row],[ATUAL]])</f>
        <v>0</v>
      </c>
      <c r="AD100" s="119" t="n">
        <f aca="false">SUMIFS(tabela_registros[VALOR],tabela_registros[MÊS],$AE$1,tabela_registros[DIA],receitasvariáveisconsolidadonov[[#Headers],[26]],tabela_registros[REGISTRO],DADOS!$N$3,tabela_registros[TIPO],DADOS!$V$4,tabela_registros[CATEGORIA],receitasvariáveisconsolidadonov[[#This Row],[ATUAL]])</f>
        <v>0</v>
      </c>
      <c r="AE100" s="119" t="n">
        <f aca="false">SUMIFS(tabela_registros[VALOR],tabela_registros[MÊS],$AE$1,tabela_registros[DIA],receitasvariáveisconsolidadonov[[#Headers],[27]],tabela_registros[REGISTRO],DADOS!$N$3,tabela_registros[TIPO],DADOS!$V$4,tabela_registros[CATEGORIA],receitasvariáveisconsolidadonov[[#This Row],[ATUAL]])</f>
        <v>0</v>
      </c>
      <c r="AF100" s="119" t="n">
        <f aca="false">SUMIFS(tabela_registros[VALOR],tabela_registros[MÊS],$AE$1,tabela_registros[DIA],receitasvariáveisconsolidadonov[[#Headers],[28]],tabela_registros[REGISTRO],DADOS!$N$3,tabela_registros[TIPO],DADOS!$V$4,tabela_registros[CATEGORIA],receitasvariáveisconsolidadonov[[#This Row],[ATUAL]])</f>
        <v>0</v>
      </c>
      <c r="AG100" s="119" t="n">
        <f aca="false">SUMIFS(tabela_registros[VALOR],tabela_registros[MÊS],$AE$1,tabela_registros[DIA],receitasvariáveisconsolidadonov[[#Headers],[29]],tabela_registros[REGISTRO],DADOS!$N$3,tabela_registros[TIPO],DADOS!$V$4,tabela_registros[CATEGORIA],receitasvariáveisconsolidadonov[[#This Row],[ATUAL]])</f>
        <v>0</v>
      </c>
      <c r="AH100" s="119" t="n">
        <f aca="false">SUMIFS(tabela_registros[VALOR],tabela_registros[MÊS],$AE$1,tabela_registros[DIA],receitasvariáveisconsolidadonov[[#Headers],[30]],tabela_registros[REGISTRO],DADOS!$N$3,tabela_registros[TIPO],DADOS!$V$4,tabela_registros[CATEGORIA],receitasvariáveisconsolidadonov[[#This Row],[ATUAL]])</f>
        <v>0</v>
      </c>
      <c r="AI100" s="217" t="n">
        <f aca="false">SUMIFS(tabela_registros[VALOR],tabela_registros[MÊS],$AE$1,tabela_registros[DIA],receitasvariáveisconsolidadonov[[#Headers],[31]],tabela_registros[REGISTRO],DADOS!$N$3,tabela_registros[TIPO],DADOS!$V$4,tabela_registros[CATEGORIA],receitasvariáveisconsolidadonov[[#This Row],[ATUAL]])</f>
        <v>0</v>
      </c>
      <c r="AJ100" s="149" t="n">
        <f aca="false">SUM(receitasvariáveisconsolidadonov[[#This Row],[1]:[31]])</f>
        <v>0</v>
      </c>
      <c r="AK100" s="165"/>
    </row>
    <row r="101" customFormat="false" ht="19.5" hidden="false" customHeight="true" outlineLevel="0" collapsed="false">
      <c r="B101" s="143"/>
      <c r="C101" s="144" t="str">
        <f aca="false">DADOS!$Z$8</f>
        <v>🎁 PRESENTE</v>
      </c>
      <c r="D101" s="145" t="str">
        <f aca="false">IF(receitasvariáveisconsolidadonov[[#This Row],[TOTAL (R$)]]=0,"",IF(OR(receitasvariáveisconsolidadonov[[#This Row],[TOTAL (R$)]]=LARGE($AJ$96:$AJ$103,1),receitasvariáveisconsolidadonov[[#This Row],[TOTAL (R$)]]=LARGE($AJ$96:$AJ$103,2)),DADOS!$I$9,""))</f>
        <v/>
      </c>
      <c r="E101" s="148" t="n">
        <f aca="false">SUMIFS(tabela_registros[VALOR],tabela_registros[MÊS],$AE$1,tabela_registros[DIA],receitasvariáveisconsolidadonov[[#Headers],[1]],tabela_registros[REGISTRO],DADOS!$N$3,tabela_registros[TIPO],DADOS!$V$4,tabela_registros[CATEGORIA],receitasvariáveisconsolidadonov[[#This Row],[ATUAL]])</f>
        <v>0</v>
      </c>
      <c r="F101" s="119" t="n">
        <f aca="false">SUMIFS(tabela_registros[VALOR],tabela_registros[MÊS],$AE$1,tabela_registros[DIA],receitasvariáveisconsolidadonov[[#Headers],[2]],tabela_registros[REGISTRO],DADOS!$N$3,tabela_registros[TIPO],DADOS!$V$4,tabela_registros[CATEGORIA],receitasvariáveisconsolidadonov[[#This Row],[ATUAL]])</f>
        <v>0</v>
      </c>
      <c r="G101" s="119" t="n">
        <f aca="false">SUMIFS(tabela_registros[VALOR],tabela_registros[MÊS],$AE$1,tabela_registros[DIA],receitasvariáveisconsolidadonov[[#Headers],[3]],tabela_registros[REGISTRO],DADOS!$N$3,tabela_registros[TIPO],DADOS!$V$4,tabela_registros[CATEGORIA],receitasvariáveisconsolidadonov[[#This Row],[ATUAL]])</f>
        <v>0</v>
      </c>
      <c r="H101" s="119" t="n">
        <f aca="false">SUMIFS(tabela_registros[VALOR],tabela_registros[MÊS],$AE$1,tabela_registros[DIA],receitasvariáveisconsolidadonov[[#Headers],[4]],tabela_registros[REGISTRO],DADOS!$N$3,tabela_registros[TIPO],DADOS!$V$4,tabela_registros[CATEGORIA],receitasvariáveisconsolidadonov[[#This Row],[ATUAL]])</f>
        <v>0</v>
      </c>
      <c r="I101" s="119" t="n">
        <f aca="false">SUMIFS(tabela_registros[VALOR],tabela_registros[MÊS],$AE$1,tabela_registros[DIA],receitasvariáveisconsolidadonov[[#Headers],[5]],tabela_registros[REGISTRO],DADOS!$N$3,tabela_registros[TIPO],DADOS!$V$4,tabela_registros[CATEGORIA],receitasvariáveisconsolidadonov[[#This Row],[ATUAL]])</f>
        <v>0</v>
      </c>
      <c r="J101" s="119" t="n">
        <f aca="false">SUMIFS(tabela_registros[VALOR],tabela_registros[MÊS],$AE$1,tabela_registros[DIA],receitasvariáveisconsolidadonov[[#Headers],[6]],tabela_registros[REGISTRO],DADOS!$N$3,tabela_registros[TIPO],DADOS!$V$4,tabela_registros[CATEGORIA],receitasvariáveisconsolidadonov[[#This Row],[ATUAL]])</f>
        <v>0</v>
      </c>
      <c r="K101" s="119" t="n">
        <f aca="false">SUMIFS(tabela_registros[VALOR],tabela_registros[MÊS],$AE$1,tabela_registros[DIA],receitasvariáveisconsolidadonov[[#Headers],[7]],tabela_registros[REGISTRO],DADOS!$N$3,tabela_registros[TIPO],DADOS!$V$4,tabela_registros[CATEGORIA],receitasvariáveisconsolidadonov[[#This Row],[ATUAL]])</f>
        <v>0</v>
      </c>
      <c r="L101" s="119" t="n">
        <f aca="false">SUMIFS(tabela_registros[VALOR],tabela_registros[MÊS],$AE$1,tabela_registros[DIA],receitasvariáveisconsolidadonov[[#Headers],[8]],tabela_registros[REGISTRO],DADOS!$N$3,tabela_registros[TIPO],DADOS!$V$4,tabela_registros[CATEGORIA],receitasvariáveisconsolidadonov[[#This Row],[ATUAL]])</f>
        <v>0</v>
      </c>
      <c r="M101" s="119" t="n">
        <f aca="false">SUMIFS(tabela_registros[VALOR],tabela_registros[MÊS],$AE$1,tabela_registros[DIA],receitasvariáveisconsolidadonov[[#Headers],[9]],tabela_registros[REGISTRO],DADOS!$N$3,tabela_registros[TIPO],DADOS!$V$4,tabela_registros[CATEGORIA],receitasvariáveisconsolidadonov[[#This Row],[ATUAL]])</f>
        <v>0</v>
      </c>
      <c r="N101" s="119" t="n">
        <f aca="false">SUMIFS(tabela_registros[VALOR],tabela_registros[MÊS],$AE$1,tabela_registros[DIA],receitasvariáveisconsolidadonov[[#Headers],[10]],tabela_registros[REGISTRO],DADOS!$N$3,tabela_registros[TIPO],DADOS!$V$4,tabela_registros[CATEGORIA],receitasvariáveisconsolidadonov[[#This Row],[ATUAL]])</f>
        <v>0</v>
      </c>
      <c r="O101" s="119" t="n">
        <f aca="false">SUMIFS(tabela_registros[VALOR],tabela_registros[MÊS],$AE$1,tabela_registros[DIA],receitasvariáveisconsolidadonov[[#Headers],[11]],tabela_registros[REGISTRO],DADOS!$N$3,tabela_registros[TIPO],DADOS!$V$4,tabela_registros[CATEGORIA],receitasvariáveisconsolidadonov[[#This Row],[ATUAL]])</f>
        <v>0</v>
      </c>
      <c r="P101" s="119" t="n">
        <f aca="false">SUMIFS(tabela_registros[VALOR],tabela_registros[MÊS],$AE$1,tabela_registros[DIA],receitasvariáveisconsolidadonov[[#Headers],[12]],tabela_registros[REGISTRO],DADOS!$N$3,tabela_registros[TIPO],DADOS!$V$4,tabela_registros[CATEGORIA],receitasvariáveisconsolidadonov[[#This Row],[ATUAL]])</f>
        <v>0</v>
      </c>
      <c r="Q101" s="119" t="n">
        <f aca="false">SUMIFS(tabela_registros[VALOR],tabela_registros[MÊS],$AE$1,tabela_registros[DIA],receitasvariáveisconsolidadonov[[#Headers],[13]],tabela_registros[REGISTRO],DADOS!$N$3,tabela_registros[TIPO],DADOS!$V$4,tabela_registros[CATEGORIA],receitasvariáveisconsolidadonov[[#This Row],[ATUAL]])</f>
        <v>0</v>
      </c>
      <c r="R101" s="119" t="n">
        <f aca="false">SUMIFS(tabela_registros[VALOR],tabela_registros[MÊS],$AE$1,tabela_registros[DIA],receitasvariáveisconsolidadonov[[#Headers],[14]],tabela_registros[REGISTRO],DADOS!$N$3,tabela_registros[TIPO],DADOS!$V$4,tabela_registros[CATEGORIA],receitasvariáveisconsolidadonov[[#This Row],[ATUAL]])</f>
        <v>0</v>
      </c>
      <c r="S101" s="119" t="n">
        <f aca="false">SUMIFS(tabela_registros[VALOR],tabela_registros[MÊS],$AE$1,tabela_registros[DIA],receitasvariáveisconsolidadonov[[#Headers],[15]],tabela_registros[REGISTRO],DADOS!$N$3,tabela_registros[TIPO],DADOS!$V$4,tabela_registros[CATEGORIA],receitasvariáveisconsolidadonov[[#This Row],[ATUAL]])</f>
        <v>0</v>
      </c>
      <c r="T101" s="119" t="n">
        <f aca="false">SUMIFS(tabela_registros[VALOR],tabela_registros[MÊS],$AE$1,tabela_registros[DIA],receitasvariáveisconsolidadonov[[#Headers],[16]],tabela_registros[REGISTRO],DADOS!$N$3,tabela_registros[TIPO],DADOS!$V$4,tabela_registros[CATEGORIA],receitasvariáveisconsolidadonov[[#This Row],[ATUAL]])</f>
        <v>0</v>
      </c>
      <c r="U101" s="119" t="n">
        <f aca="false">SUMIFS(tabela_registros[VALOR],tabela_registros[MÊS],$AE$1,tabela_registros[DIA],receitasvariáveisconsolidadonov[[#Headers],[17]],tabela_registros[REGISTRO],DADOS!$N$3,tabela_registros[TIPO],DADOS!$V$4,tabela_registros[CATEGORIA],receitasvariáveisconsolidadonov[[#This Row],[ATUAL]])</f>
        <v>0</v>
      </c>
      <c r="V101" s="119" t="n">
        <f aca="false">SUMIFS(tabela_registros[VALOR],tabela_registros[MÊS],$AE$1,tabela_registros[DIA],receitasvariáveisconsolidadonov[[#Headers],[18]],tabela_registros[REGISTRO],DADOS!$N$3,tabela_registros[TIPO],DADOS!$V$4,tabela_registros[CATEGORIA],receitasvariáveisconsolidadonov[[#This Row],[ATUAL]])</f>
        <v>0</v>
      </c>
      <c r="W101" s="119" t="n">
        <f aca="false">SUMIFS(tabela_registros[VALOR],tabela_registros[MÊS],$AE$1,tabela_registros[DIA],receitasvariáveisconsolidadonov[[#Headers],[19]],tabela_registros[REGISTRO],DADOS!$N$3,tabela_registros[TIPO],DADOS!$V$4,tabela_registros[CATEGORIA],receitasvariáveisconsolidadonov[[#This Row],[ATUAL]])</f>
        <v>0</v>
      </c>
      <c r="X101" s="119" t="n">
        <f aca="false">SUMIFS(tabela_registros[VALOR],tabela_registros[MÊS],$AE$1,tabela_registros[DIA],receitasvariáveisconsolidadonov[[#Headers],[20]],tabela_registros[REGISTRO],DADOS!$N$3,tabela_registros[TIPO],DADOS!$V$4,tabela_registros[CATEGORIA],receitasvariáveisconsolidadonov[[#This Row],[ATUAL]])</f>
        <v>0</v>
      </c>
      <c r="Y101" s="119" t="n">
        <f aca="false">SUMIFS(tabela_registros[VALOR],tabela_registros[MÊS],$AE$1,tabela_registros[DIA],receitasvariáveisconsolidadonov[[#Headers],[21]],tabela_registros[REGISTRO],DADOS!$N$3,tabela_registros[TIPO],DADOS!$V$4,tabela_registros[CATEGORIA],receitasvariáveisconsolidadonov[[#This Row],[ATUAL]])</f>
        <v>0</v>
      </c>
      <c r="Z101" s="119" t="n">
        <f aca="false">SUMIFS(tabela_registros[VALOR],tabela_registros[MÊS],$AE$1,tabela_registros[DIA],receitasvariáveisconsolidadonov[[#Headers],[22]],tabela_registros[REGISTRO],DADOS!$N$3,tabela_registros[TIPO],DADOS!$V$4,tabela_registros[CATEGORIA],receitasvariáveisconsolidadonov[[#This Row],[ATUAL]])</f>
        <v>0</v>
      </c>
      <c r="AA101" s="119" t="n">
        <f aca="false">SUMIFS(tabela_registros[VALOR],tabela_registros[MÊS],$AE$1,tabela_registros[DIA],receitasvariáveisconsolidadonov[[#Headers],[23]],tabela_registros[REGISTRO],DADOS!$N$3,tabela_registros[TIPO],DADOS!$V$4,tabela_registros[CATEGORIA],receitasvariáveisconsolidadonov[[#This Row],[ATUAL]])</f>
        <v>0</v>
      </c>
      <c r="AB101" s="119" t="n">
        <f aca="false">SUMIFS(tabela_registros[VALOR],tabela_registros[MÊS],$AE$1,tabela_registros[DIA],receitasvariáveisconsolidadonov[[#Headers],[24]],tabela_registros[REGISTRO],DADOS!$N$3,tabela_registros[TIPO],DADOS!$V$4,tabela_registros[CATEGORIA],receitasvariáveisconsolidadonov[[#This Row],[ATUAL]])</f>
        <v>0</v>
      </c>
      <c r="AC101" s="119" t="n">
        <f aca="false">SUMIFS(tabela_registros[VALOR],tabela_registros[MÊS],$AE$1,tabela_registros[DIA],receitasvariáveisconsolidadonov[[#Headers],[25]],tabela_registros[REGISTRO],DADOS!$N$3,tabela_registros[TIPO],DADOS!$V$4,tabela_registros[CATEGORIA],receitasvariáveisconsolidadonov[[#This Row],[ATUAL]])</f>
        <v>0</v>
      </c>
      <c r="AD101" s="119" t="n">
        <f aca="false">SUMIFS(tabela_registros[VALOR],tabela_registros[MÊS],$AE$1,tabela_registros[DIA],receitasvariáveisconsolidadonov[[#Headers],[26]],tabela_registros[REGISTRO],DADOS!$N$3,tabela_registros[TIPO],DADOS!$V$4,tabela_registros[CATEGORIA],receitasvariáveisconsolidadonov[[#This Row],[ATUAL]])</f>
        <v>0</v>
      </c>
      <c r="AE101" s="119" t="n">
        <f aca="false">SUMIFS(tabela_registros[VALOR],tabela_registros[MÊS],$AE$1,tabela_registros[DIA],receitasvariáveisconsolidadonov[[#Headers],[27]],tabela_registros[REGISTRO],DADOS!$N$3,tabela_registros[TIPO],DADOS!$V$4,tabela_registros[CATEGORIA],receitasvariáveisconsolidadonov[[#This Row],[ATUAL]])</f>
        <v>0</v>
      </c>
      <c r="AF101" s="119" t="n">
        <f aca="false">SUMIFS(tabela_registros[VALOR],tabela_registros[MÊS],$AE$1,tabela_registros[DIA],receitasvariáveisconsolidadonov[[#Headers],[28]],tabela_registros[REGISTRO],DADOS!$N$3,tabela_registros[TIPO],DADOS!$V$4,tabela_registros[CATEGORIA],receitasvariáveisconsolidadonov[[#This Row],[ATUAL]])</f>
        <v>0</v>
      </c>
      <c r="AG101" s="119" t="n">
        <f aca="false">SUMIFS(tabela_registros[VALOR],tabela_registros[MÊS],$AE$1,tabela_registros[DIA],receitasvariáveisconsolidadonov[[#Headers],[29]],tabela_registros[REGISTRO],DADOS!$N$3,tabela_registros[TIPO],DADOS!$V$4,tabela_registros[CATEGORIA],receitasvariáveisconsolidadonov[[#This Row],[ATUAL]])</f>
        <v>0</v>
      </c>
      <c r="AH101" s="119" t="n">
        <f aca="false">SUMIFS(tabela_registros[VALOR],tabela_registros[MÊS],$AE$1,tabela_registros[DIA],receitasvariáveisconsolidadonov[[#Headers],[30]],tabela_registros[REGISTRO],DADOS!$N$3,tabela_registros[TIPO],DADOS!$V$4,tabela_registros[CATEGORIA],receitasvariáveisconsolidadonov[[#This Row],[ATUAL]])</f>
        <v>0</v>
      </c>
      <c r="AI101" s="217" t="n">
        <f aca="false">SUMIFS(tabela_registros[VALOR],tabela_registros[MÊS],$AE$1,tabela_registros[DIA],receitasvariáveisconsolidadonov[[#Headers],[31]],tabela_registros[REGISTRO],DADOS!$N$3,tabela_registros[TIPO],DADOS!$V$4,tabela_registros[CATEGORIA],receitasvariáveisconsolidadonov[[#This Row],[ATUAL]])</f>
        <v>0</v>
      </c>
      <c r="AJ101" s="149" t="n">
        <f aca="false">SUM(receitasvariáveisconsolidadonov[[#This Row],[1]:[31]])</f>
        <v>0</v>
      </c>
      <c r="AK101" s="165"/>
    </row>
    <row r="102" customFormat="false" ht="19.5" hidden="false" customHeight="true" outlineLevel="0" collapsed="false">
      <c r="B102" s="143"/>
      <c r="C102" s="144" t="str">
        <f aca="false">DADOS!$Z$9</f>
        <v>👷‍♀️ TRABALHO TEMPORÁRIO</v>
      </c>
      <c r="D102" s="145" t="str">
        <f aca="false">IF(receitasvariáveisconsolidadonov[[#This Row],[TOTAL (R$)]]=0,"",IF(OR(receitasvariáveisconsolidadonov[[#This Row],[TOTAL (R$)]]=LARGE($AJ$96:$AJ$103,1),receitasvariáveisconsolidadonov[[#This Row],[TOTAL (R$)]]=LARGE($AJ$96:$AJ$103,2)),DADOS!$I$9,""))</f>
        <v/>
      </c>
      <c r="E102" s="148" t="n">
        <f aca="false">SUMIFS(tabela_registros[VALOR],tabela_registros[MÊS],$AE$1,tabela_registros[DIA],receitasvariáveisconsolidadonov[[#Headers],[1]],tabela_registros[REGISTRO],DADOS!$N$3,tabela_registros[TIPO],DADOS!$V$4,tabela_registros[CATEGORIA],receitasvariáveisconsolidadonov[[#This Row],[ATUAL]])</f>
        <v>0</v>
      </c>
      <c r="F102" s="119" t="n">
        <f aca="false">SUMIFS(tabela_registros[VALOR],tabela_registros[MÊS],$AE$1,tabela_registros[DIA],receitasvariáveisconsolidadonov[[#Headers],[2]],tabela_registros[REGISTRO],DADOS!$N$3,tabela_registros[TIPO],DADOS!$V$4,tabela_registros[CATEGORIA],receitasvariáveisconsolidadonov[[#This Row],[ATUAL]])</f>
        <v>0</v>
      </c>
      <c r="G102" s="119" t="n">
        <f aca="false">SUMIFS(tabela_registros[VALOR],tabela_registros[MÊS],$AE$1,tabela_registros[DIA],receitasvariáveisconsolidadonov[[#Headers],[3]],tabela_registros[REGISTRO],DADOS!$N$3,tabela_registros[TIPO],DADOS!$V$4,tabela_registros[CATEGORIA],receitasvariáveisconsolidadonov[[#This Row],[ATUAL]])</f>
        <v>0</v>
      </c>
      <c r="H102" s="119" t="n">
        <f aca="false">SUMIFS(tabela_registros[VALOR],tabela_registros[MÊS],$AE$1,tabela_registros[DIA],receitasvariáveisconsolidadonov[[#Headers],[4]],tabela_registros[REGISTRO],DADOS!$N$3,tabela_registros[TIPO],DADOS!$V$4,tabela_registros[CATEGORIA],receitasvariáveisconsolidadonov[[#This Row],[ATUAL]])</f>
        <v>0</v>
      </c>
      <c r="I102" s="119" t="n">
        <f aca="false">SUMIFS(tabela_registros[VALOR],tabela_registros[MÊS],$AE$1,tabela_registros[DIA],receitasvariáveisconsolidadonov[[#Headers],[5]],tabela_registros[REGISTRO],DADOS!$N$3,tabela_registros[TIPO],DADOS!$V$4,tabela_registros[CATEGORIA],receitasvariáveisconsolidadonov[[#This Row],[ATUAL]])</f>
        <v>0</v>
      </c>
      <c r="J102" s="119" t="n">
        <f aca="false">SUMIFS(tabela_registros[VALOR],tabela_registros[MÊS],$AE$1,tabela_registros[DIA],receitasvariáveisconsolidadonov[[#Headers],[6]],tabela_registros[REGISTRO],DADOS!$N$3,tabela_registros[TIPO],DADOS!$V$4,tabela_registros[CATEGORIA],receitasvariáveisconsolidadonov[[#This Row],[ATUAL]])</f>
        <v>0</v>
      </c>
      <c r="K102" s="119" t="n">
        <f aca="false">SUMIFS(tabela_registros[VALOR],tabela_registros[MÊS],$AE$1,tabela_registros[DIA],receitasvariáveisconsolidadonov[[#Headers],[7]],tabela_registros[REGISTRO],DADOS!$N$3,tabela_registros[TIPO],DADOS!$V$4,tabela_registros[CATEGORIA],receitasvariáveisconsolidadonov[[#This Row],[ATUAL]])</f>
        <v>0</v>
      </c>
      <c r="L102" s="119" t="n">
        <f aca="false">SUMIFS(tabela_registros[VALOR],tabela_registros[MÊS],$AE$1,tabela_registros[DIA],receitasvariáveisconsolidadonov[[#Headers],[8]],tabela_registros[REGISTRO],DADOS!$N$3,tabela_registros[TIPO],DADOS!$V$4,tabela_registros[CATEGORIA],receitasvariáveisconsolidadonov[[#This Row],[ATUAL]])</f>
        <v>0</v>
      </c>
      <c r="M102" s="119" t="n">
        <f aca="false">SUMIFS(tabela_registros[VALOR],tabela_registros[MÊS],$AE$1,tabela_registros[DIA],receitasvariáveisconsolidadonov[[#Headers],[9]],tabela_registros[REGISTRO],DADOS!$N$3,tabela_registros[TIPO],DADOS!$V$4,tabela_registros[CATEGORIA],receitasvariáveisconsolidadonov[[#This Row],[ATUAL]])</f>
        <v>0</v>
      </c>
      <c r="N102" s="119" t="n">
        <f aca="false">SUMIFS(tabela_registros[VALOR],tabela_registros[MÊS],$AE$1,tabela_registros[DIA],receitasvariáveisconsolidadonov[[#Headers],[10]],tabela_registros[REGISTRO],DADOS!$N$3,tabela_registros[TIPO],DADOS!$V$4,tabela_registros[CATEGORIA],receitasvariáveisconsolidadonov[[#This Row],[ATUAL]])</f>
        <v>0</v>
      </c>
      <c r="O102" s="119" t="n">
        <f aca="false">SUMIFS(tabela_registros[VALOR],tabela_registros[MÊS],$AE$1,tabela_registros[DIA],receitasvariáveisconsolidadonov[[#Headers],[11]],tabela_registros[REGISTRO],DADOS!$N$3,tabela_registros[TIPO],DADOS!$V$4,tabela_registros[CATEGORIA],receitasvariáveisconsolidadonov[[#This Row],[ATUAL]])</f>
        <v>0</v>
      </c>
      <c r="P102" s="119" t="n">
        <f aca="false">SUMIFS(tabela_registros[VALOR],tabela_registros[MÊS],$AE$1,tabela_registros[DIA],receitasvariáveisconsolidadonov[[#Headers],[12]],tabela_registros[REGISTRO],DADOS!$N$3,tabela_registros[TIPO],DADOS!$V$4,tabela_registros[CATEGORIA],receitasvariáveisconsolidadonov[[#This Row],[ATUAL]])</f>
        <v>0</v>
      </c>
      <c r="Q102" s="119" t="n">
        <f aca="false">SUMIFS(tabela_registros[VALOR],tabela_registros[MÊS],$AE$1,tabela_registros[DIA],receitasvariáveisconsolidadonov[[#Headers],[13]],tabela_registros[REGISTRO],DADOS!$N$3,tabela_registros[TIPO],DADOS!$V$4,tabela_registros[CATEGORIA],receitasvariáveisconsolidadonov[[#This Row],[ATUAL]])</f>
        <v>0</v>
      </c>
      <c r="R102" s="119" t="n">
        <f aca="false">SUMIFS(tabela_registros[VALOR],tabela_registros[MÊS],$AE$1,tabela_registros[DIA],receitasvariáveisconsolidadonov[[#Headers],[14]],tabela_registros[REGISTRO],DADOS!$N$3,tabela_registros[TIPO],DADOS!$V$4,tabela_registros[CATEGORIA],receitasvariáveisconsolidadonov[[#This Row],[ATUAL]])</f>
        <v>0</v>
      </c>
      <c r="S102" s="119" t="n">
        <f aca="false">SUMIFS(tabela_registros[VALOR],tabela_registros[MÊS],$AE$1,tabela_registros[DIA],receitasvariáveisconsolidadonov[[#Headers],[15]],tabela_registros[REGISTRO],DADOS!$N$3,tabela_registros[TIPO],DADOS!$V$4,tabela_registros[CATEGORIA],receitasvariáveisconsolidadonov[[#This Row],[ATUAL]])</f>
        <v>0</v>
      </c>
      <c r="T102" s="119" t="n">
        <f aca="false">SUMIFS(tabela_registros[VALOR],tabela_registros[MÊS],$AE$1,tabela_registros[DIA],receitasvariáveisconsolidadonov[[#Headers],[16]],tabela_registros[REGISTRO],DADOS!$N$3,tabela_registros[TIPO],DADOS!$V$4,tabela_registros[CATEGORIA],receitasvariáveisconsolidadonov[[#This Row],[ATUAL]])</f>
        <v>0</v>
      </c>
      <c r="U102" s="119" t="n">
        <f aca="false">SUMIFS(tabela_registros[VALOR],tabela_registros[MÊS],$AE$1,tabela_registros[DIA],receitasvariáveisconsolidadonov[[#Headers],[17]],tabela_registros[REGISTRO],DADOS!$N$3,tabela_registros[TIPO],DADOS!$V$4,tabela_registros[CATEGORIA],receitasvariáveisconsolidadonov[[#This Row],[ATUAL]])</f>
        <v>0</v>
      </c>
      <c r="V102" s="119" t="n">
        <f aca="false">SUMIFS(tabela_registros[VALOR],tabela_registros[MÊS],$AE$1,tabela_registros[DIA],receitasvariáveisconsolidadonov[[#Headers],[18]],tabela_registros[REGISTRO],DADOS!$N$3,tabela_registros[TIPO],DADOS!$V$4,tabela_registros[CATEGORIA],receitasvariáveisconsolidadonov[[#This Row],[ATUAL]])</f>
        <v>0</v>
      </c>
      <c r="W102" s="119" t="n">
        <f aca="false">SUMIFS(tabela_registros[VALOR],tabela_registros[MÊS],$AE$1,tabela_registros[DIA],receitasvariáveisconsolidadonov[[#Headers],[19]],tabela_registros[REGISTRO],DADOS!$N$3,tabela_registros[TIPO],DADOS!$V$4,tabela_registros[CATEGORIA],receitasvariáveisconsolidadonov[[#This Row],[ATUAL]])</f>
        <v>0</v>
      </c>
      <c r="X102" s="119" t="n">
        <f aca="false">SUMIFS(tabela_registros[VALOR],tabela_registros[MÊS],$AE$1,tabela_registros[DIA],receitasvariáveisconsolidadonov[[#Headers],[20]],tabela_registros[REGISTRO],DADOS!$N$3,tabela_registros[TIPO],DADOS!$V$4,tabela_registros[CATEGORIA],receitasvariáveisconsolidadonov[[#This Row],[ATUAL]])</f>
        <v>0</v>
      </c>
      <c r="Y102" s="119" t="n">
        <f aca="false">SUMIFS(tabela_registros[VALOR],tabela_registros[MÊS],$AE$1,tabela_registros[DIA],receitasvariáveisconsolidadonov[[#Headers],[21]],tabela_registros[REGISTRO],DADOS!$N$3,tabela_registros[TIPO],DADOS!$V$4,tabela_registros[CATEGORIA],receitasvariáveisconsolidadonov[[#This Row],[ATUAL]])</f>
        <v>0</v>
      </c>
      <c r="Z102" s="119" t="n">
        <f aca="false">SUMIFS(tabela_registros[VALOR],tabela_registros[MÊS],$AE$1,tabela_registros[DIA],receitasvariáveisconsolidadonov[[#Headers],[22]],tabela_registros[REGISTRO],DADOS!$N$3,tabela_registros[TIPO],DADOS!$V$4,tabela_registros[CATEGORIA],receitasvariáveisconsolidadonov[[#This Row],[ATUAL]])</f>
        <v>0</v>
      </c>
      <c r="AA102" s="119" t="n">
        <f aca="false">SUMIFS(tabela_registros[VALOR],tabela_registros[MÊS],$AE$1,tabela_registros[DIA],receitasvariáveisconsolidadonov[[#Headers],[23]],tabela_registros[REGISTRO],DADOS!$N$3,tabela_registros[TIPO],DADOS!$V$4,tabela_registros[CATEGORIA],receitasvariáveisconsolidadonov[[#This Row],[ATUAL]])</f>
        <v>0</v>
      </c>
      <c r="AB102" s="119" t="n">
        <f aca="false">SUMIFS(tabela_registros[VALOR],tabela_registros[MÊS],$AE$1,tabela_registros[DIA],receitasvariáveisconsolidadonov[[#Headers],[24]],tabela_registros[REGISTRO],DADOS!$N$3,tabela_registros[TIPO],DADOS!$V$4,tabela_registros[CATEGORIA],receitasvariáveisconsolidadonov[[#This Row],[ATUAL]])</f>
        <v>0</v>
      </c>
      <c r="AC102" s="119" t="n">
        <f aca="false">SUMIFS(tabela_registros[VALOR],tabela_registros[MÊS],$AE$1,tabela_registros[DIA],receitasvariáveisconsolidadonov[[#Headers],[25]],tabela_registros[REGISTRO],DADOS!$N$3,tabela_registros[TIPO],DADOS!$V$4,tabela_registros[CATEGORIA],receitasvariáveisconsolidadonov[[#This Row],[ATUAL]])</f>
        <v>0</v>
      </c>
      <c r="AD102" s="119" t="n">
        <f aca="false">SUMIFS(tabela_registros[VALOR],tabela_registros[MÊS],$AE$1,tabela_registros[DIA],receitasvariáveisconsolidadonov[[#Headers],[26]],tabela_registros[REGISTRO],DADOS!$N$3,tabela_registros[TIPO],DADOS!$V$4,tabela_registros[CATEGORIA],receitasvariáveisconsolidadonov[[#This Row],[ATUAL]])</f>
        <v>0</v>
      </c>
      <c r="AE102" s="119" t="n">
        <f aca="false">SUMIFS(tabela_registros[VALOR],tabela_registros[MÊS],$AE$1,tabela_registros[DIA],receitasvariáveisconsolidadonov[[#Headers],[27]],tabela_registros[REGISTRO],DADOS!$N$3,tabela_registros[TIPO],DADOS!$V$4,tabela_registros[CATEGORIA],receitasvariáveisconsolidadonov[[#This Row],[ATUAL]])</f>
        <v>0</v>
      </c>
      <c r="AF102" s="119" t="n">
        <f aca="false">SUMIFS(tabela_registros[VALOR],tabela_registros[MÊS],$AE$1,tabela_registros[DIA],receitasvariáveisconsolidadonov[[#Headers],[28]],tabela_registros[REGISTRO],DADOS!$N$3,tabela_registros[TIPO],DADOS!$V$4,tabela_registros[CATEGORIA],receitasvariáveisconsolidadonov[[#This Row],[ATUAL]])</f>
        <v>0</v>
      </c>
      <c r="AG102" s="119" t="n">
        <f aca="false">SUMIFS(tabela_registros[VALOR],tabela_registros[MÊS],$AE$1,tabela_registros[DIA],receitasvariáveisconsolidadonov[[#Headers],[29]],tabela_registros[REGISTRO],DADOS!$N$3,tabela_registros[TIPO],DADOS!$V$4,tabela_registros[CATEGORIA],receitasvariáveisconsolidadonov[[#This Row],[ATUAL]])</f>
        <v>0</v>
      </c>
      <c r="AH102" s="119" t="n">
        <f aca="false">SUMIFS(tabela_registros[VALOR],tabela_registros[MÊS],$AE$1,tabela_registros[DIA],receitasvariáveisconsolidadonov[[#Headers],[30]],tabela_registros[REGISTRO],DADOS!$N$3,tabela_registros[TIPO],DADOS!$V$4,tabela_registros[CATEGORIA],receitasvariáveisconsolidadonov[[#This Row],[ATUAL]])</f>
        <v>0</v>
      </c>
      <c r="AI102" s="217" t="n">
        <f aca="false">SUMIFS(tabela_registros[VALOR],tabela_registros[MÊS],$AE$1,tabela_registros[DIA],receitasvariáveisconsolidadonov[[#Headers],[31]],tabela_registros[REGISTRO],DADOS!$N$3,tabela_registros[TIPO],DADOS!$V$4,tabela_registros[CATEGORIA],receitasvariáveisconsolidadonov[[#This Row],[ATUAL]])</f>
        <v>0</v>
      </c>
      <c r="AJ102" s="149" t="n">
        <f aca="false">SUM(receitasvariáveisconsolidadonov[[#This Row],[1]:[31]])</f>
        <v>0</v>
      </c>
      <c r="AK102" s="165"/>
    </row>
    <row r="103" customFormat="false" ht="18" hidden="false" customHeight="true" outlineLevel="0" collapsed="false">
      <c r="B103" s="143"/>
      <c r="C103" s="144" t="str">
        <f aca="false">DADOS!$Z$10</f>
        <v>📎 OUTROS</v>
      </c>
      <c r="D103" s="145" t="str">
        <f aca="false">IF(receitasvariáveisconsolidadonov[[#This Row],[TOTAL (R$)]]=0,"",IF(OR(receitasvariáveisconsolidadonov[[#This Row],[TOTAL (R$)]]=LARGE($AJ$96:$AJ$103,1),receitasvariáveisconsolidadonov[[#This Row],[TOTAL (R$)]]=LARGE($AJ$96:$AJ$103,2)),DADOS!$I$9,""))</f>
        <v/>
      </c>
      <c r="E103" s="148" t="n">
        <f aca="false">SUMIFS(tabela_registros[VALOR],tabela_registros[MÊS],$AE$1,tabela_registros[DIA],receitasvariáveisconsolidadonov[[#Headers],[1]],tabela_registros[REGISTRO],DADOS!$N$3,tabela_registros[TIPO],DADOS!$V$4,tabela_registros[CATEGORIA],receitasvariáveisconsolidadonov[[#This Row],[ATUAL]])</f>
        <v>0</v>
      </c>
      <c r="F103" s="119" t="n">
        <f aca="false">SUMIFS(tabela_registros[VALOR],tabela_registros[MÊS],$AE$1,tabela_registros[DIA],receitasvariáveisconsolidadonov[[#Headers],[2]],tabela_registros[REGISTRO],DADOS!$N$3,tabela_registros[TIPO],DADOS!$V$4,tabela_registros[CATEGORIA],receitasvariáveisconsolidadonov[[#This Row],[ATUAL]])</f>
        <v>0</v>
      </c>
      <c r="G103" s="119" t="n">
        <f aca="false">SUMIFS(tabela_registros[VALOR],tabela_registros[MÊS],$AE$1,tabela_registros[DIA],receitasvariáveisconsolidadonov[[#Headers],[3]],tabela_registros[REGISTRO],DADOS!$N$3,tabela_registros[TIPO],DADOS!$V$4,tabela_registros[CATEGORIA],receitasvariáveisconsolidadonov[[#This Row],[ATUAL]])</f>
        <v>0</v>
      </c>
      <c r="H103" s="119" t="n">
        <f aca="false">SUMIFS(tabela_registros[VALOR],tabela_registros[MÊS],$AE$1,tabela_registros[DIA],receitasvariáveisconsolidadonov[[#Headers],[4]],tabela_registros[REGISTRO],DADOS!$N$3,tabela_registros[TIPO],DADOS!$V$4,tabela_registros[CATEGORIA],receitasvariáveisconsolidadonov[[#This Row],[ATUAL]])</f>
        <v>0</v>
      </c>
      <c r="I103" s="119" t="n">
        <f aca="false">SUMIFS(tabela_registros[VALOR],tabela_registros[MÊS],$AE$1,tabela_registros[DIA],receitasvariáveisconsolidadonov[[#Headers],[5]],tabela_registros[REGISTRO],DADOS!$N$3,tabela_registros[TIPO],DADOS!$V$4,tabela_registros[CATEGORIA],receitasvariáveisconsolidadonov[[#This Row],[ATUAL]])</f>
        <v>0</v>
      </c>
      <c r="J103" s="119" t="n">
        <f aca="false">SUMIFS(tabela_registros[VALOR],tabela_registros[MÊS],$AE$1,tabela_registros[DIA],receitasvariáveisconsolidadonov[[#Headers],[6]],tabela_registros[REGISTRO],DADOS!$N$3,tabela_registros[TIPO],DADOS!$V$4,tabela_registros[CATEGORIA],receitasvariáveisconsolidadonov[[#This Row],[ATUAL]])</f>
        <v>0</v>
      </c>
      <c r="K103" s="119" t="n">
        <f aca="false">SUMIFS(tabela_registros[VALOR],tabela_registros[MÊS],$AE$1,tabela_registros[DIA],receitasvariáveisconsolidadonov[[#Headers],[7]],tabela_registros[REGISTRO],DADOS!$N$3,tabela_registros[TIPO],DADOS!$V$4,tabela_registros[CATEGORIA],receitasvariáveisconsolidadonov[[#This Row],[ATUAL]])</f>
        <v>0</v>
      </c>
      <c r="L103" s="119" t="n">
        <f aca="false">SUMIFS(tabela_registros[VALOR],tabela_registros[MÊS],$AE$1,tabela_registros[DIA],receitasvariáveisconsolidadonov[[#Headers],[8]],tabela_registros[REGISTRO],DADOS!$N$3,tabela_registros[TIPO],DADOS!$V$4,tabela_registros[CATEGORIA],receitasvariáveisconsolidadonov[[#This Row],[ATUAL]])</f>
        <v>0</v>
      </c>
      <c r="M103" s="119" t="n">
        <f aca="false">SUMIFS(tabela_registros[VALOR],tabela_registros[MÊS],$AE$1,tabela_registros[DIA],receitasvariáveisconsolidadonov[[#Headers],[9]],tabela_registros[REGISTRO],DADOS!$N$3,tabela_registros[TIPO],DADOS!$V$4,tabela_registros[CATEGORIA],receitasvariáveisconsolidadonov[[#This Row],[ATUAL]])</f>
        <v>0</v>
      </c>
      <c r="N103" s="119" t="n">
        <f aca="false">SUMIFS(tabela_registros[VALOR],tabela_registros[MÊS],$AE$1,tabela_registros[DIA],receitasvariáveisconsolidadonov[[#Headers],[10]],tabela_registros[REGISTRO],DADOS!$N$3,tabela_registros[TIPO],DADOS!$V$4,tabela_registros[CATEGORIA],receitasvariáveisconsolidadonov[[#This Row],[ATUAL]])</f>
        <v>0</v>
      </c>
      <c r="O103" s="119" t="n">
        <f aca="false">SUMIFS(tabela_registros[VALOR],tabela_registros[MÊS],$AE$1,tabela_registros[DIA],receitasvariáveisconsolidadonov[[#Headers],[11]],tabela_registros[REGISTRO],DADOS!$N$3,tabela_registros[TIPO],DADOS!$V$4,tabela_registros[CATEGORIA],receitasvariáveisconsolidadonov[[#This Row],[ATUAL]])</f>
        <v>0</v>
      </c>
      <c r="P103" s="119" t="n">
        <f aca="false">SUMIFS(tabela_registros[VALOR],tabela_registros[MÊS],$AE$1,tabela_registros[DIA],receitasvariáveisconsolidadonov[[#Headers],[12]],tabela_registros[REGISTRO],DADOS!$N$3,tabela_registros[TIPO],DADOS!$V$4,tabela_registros[CATEGORIA],receitasvariáveisconsolidadonov[[#This Row],[ATUAL]])</f>
        <v>0</v>
      </c>
      <c r="Q103" s="119" t="n">
        <f aca="false">SUMIFS(tabela_registros[VALOR],tabela_registros[MÊS],$AE$1,tabela_registros[DIA],receitasvariáveisconsolidadonov[[#Headers],[13]],tabela_registros[REGISTRO],DADOS!$N$3,tabela_registros[TIPO],DADOS!$V$4,tabela_registros[CATEGORIA],receitasvariáveisconsolidadonov[[#This Row],[ATUAL]])</f>
        <v>0</v>
      </c>
      <c r="R103" s="119" t="n">
        <f aca="false">SUMIFS(tabela_registros[VALOR],tabela_registros[MÊS],$AE$1,tabela_registros[DIA],receitasvariáveisconsolidadonov[[#Headers],[14]],tabela_registros[REGISTRO],DADOS!$N$3,tabela_registros[TIPO],DADOS!$V$4,tabela_registros[CATEGORIA],receitasvariáveisconsolidadonov[[#This Row],[ATUAL]])</f>
        <v>0</v>
      </c>
      <c r="S103" s="119" t="n">
        <f aca="false">SUMIFS(tabela_registros[VALOR],tabela_registros[MÊS],$AE$1,tabela_registros[DIA],receitasvariáveisconsolidadonov[[#Headers],[15]],tabela_registros[REGISTRO],DADOS!$N$3,tabela_registros[TIPO],DADOS!$V$4,tabela_registros[CATEGORIA],receitasvariáveisconsolidadonov[[#This Row],[ATUAL]])</f>
        <v>0</v>
      </c>
      <c r="T103" s="119" t="n">
        <f aca="false">SUMIFS(tabela_registros[VALOR],tabela_registros[MÊS],$AE$1,tabela_registros[DIA],receitasvariáveisconsolidadonov[[#Headers],[16]],tabela_registros[REGISTRO],DADOS!$N$3,tabela_registros[TIPO],DADOS!$V$4,tabela_registros[CATEGORIA],receitasvariáveisconsolidadonov[[#This Row],[ATUAL]])</f>
        <v>0</v>
      </c>
      <c r="U103" s="119" t="n">
        <f aca="false">SUMIFS(tabela_registros[VALOR],tabela_registros[MÊS],$AE$1,tabela_registros[DIA],receitasvariáveisconsolidadonov[[#Headers],[17]],tabela_registros[REGISTRO],DADOS!$N$3,tabela_registros[TIPO],DADOS!$V$4,tabela_registros[CATEGORIA],receitasvariáveisconsolidadonov[[#This Row],[ATUAL]])</f>
        <v>0</v>
      </c>
      <c r="V103" s="119" t="n">
        <f aca="false">SUMIFS(tabela_registros[VALOR],tabela_registros[MÊS],$AE$1,tabela_registros[DIA],receitasvariáveisconsolidadonov[[#Headers],[18]],tabela_registros[REGISTRO],DADOS!$N$3,tabela_registros[TIPO],DADOS!$V$4,tabela_registros[CATEGORIA],receitasvariáveisconsolidadonov[[#This Row],[ATUAL]])</f>
        <v>0</v>
      </c>
      <c r="W103" s="119" t="n">
        <f aca="false">SUMIFS(tabela_registros[VALOR],tabela_registros[MÊS],$AE$1,tabela_registros[DIA],receitasvariáveisconsolidadonov[[#Headers],[19]],tabela_registros[REGISTRO],DADOS!$N$3,tabela_registros[TIPO],DADOS!$V$4,tabela_registros[CATEGORIA],receitasvariáveisconsolidadonov[[#This Row],[ATUAL]])</f>
        <v>0</v>
      </c>
      <c r="X103" s="119" t="n">
        <f aca="false">SUMIFS(tabela_registros[VALOR],tabela_registros[MÊS],$AE$1,tabela_registros[DIA],receitasvariáveisconsolidadonov[[#Headers],[20]],tabela_registros[REGISTRO],DADOS!$N$3,tabela_registros[TIPO],DADOS!$V$4,tabela_registros[CATEGORIA],receitasvariáveisconsolidadonov[[#This Row],[ATUAL]])</f>
        <v>0</v>
      </c>
      <c r="Y103" s="119" t="n">
        <f aca="false">SUMIFS(tabela_registros[VALOR],tabela_registros[MÊS],$AE$1,tabela_registros[DIA],receitasvariáveisconsolidadonov[[#Headers],[21]],tabela_registros[REGISTRO],DADOS!$N$3,tabela_registros[TIPO],DADOS!$V$4,tabela_registros[CATEGORIA],receitasvariáveisconsolidadonov[[#This Row],[ATUAL]])</f>
        <v>0</v>
      </c>
      <c r="Z103" s="119" t="n">
        <f aca="false">SUMIFS(tabela_registros[VALOR],tabela_registros[MÊS],$AE$1,tabela_registros[DIA],receitasvariáveisconsolidadonov[[#Headers],[22]],tabela_registros[REGISTRO],DADOS!$N$3,tabela_registros[TIPO],DADOS!$V$4,tabela_registros[CATEGORIA],receitasvariáveisconsolidadonov[[#This Row],[ATUAL]])</f>
        <v>0</v>
      </c>
      <c r="AA103" s="119" t="n">
        <f aca="false">SUMIFS(tabela_registros[VALOR],tabela_registros[MÊS],$AE$1,tabela_registros[DIA],receitasvariáveisconsolidadonov[[#Headers],[23]],tabela_registros[REGISTRO],DADOS!$N$3,tabela_registros[TIPO],DADOS!$V$4,tabela_registros[CATEGORIA],receitasvariáveisconsolidadonov[[#This Row],[ATUAL]])</f>
        <v>0</v>
      </c>
      <c r="AB103" s="119" t="n">
        <f aca="false">SUMIFS(tabela_registros[VALOR],tabela_registros[MÊS],$AE$1,tabela_registros[DIA],receitasvariáveisconsolidadonov[[#Headers],[24]],tabela_registros[REGISTRO],DADOS!$N$3,tabela_registros[TIPO],DADOS!$V$4,tabela_registros[CATEGORIA],receitasvariáveisconsolidadonov[[#This Row],[ATUAL]])</f>
        <v>0</v>
      </c>
      <c r="AC103" s="119" t="n">
        <f aca="false">SUMIFS(tabela_registros[VALOR],tabela_registros[MÊS],$AE$1,tabela_registros[DIA],receitasvariáveisconsolidadonov[[#Headers],[25]],tabela_registros[REGISTRO],DADOS!$N$3,tabela_registros[TIPO],DADOS!$V$4,tabela_registros[CATEGORIA],receitasvariáveisconsolidadonov[[#This Row],[ATUAL]])</f>
        <v>0</v>
      </c>
      <c r="AD103" s="119" t="n">
        <f aca="false">SUMIFS(tabela_registros[VALOR],tabela_registros[MÊS],$AE$1,tabela_registros[DIA],receitasvariáveisconsolidadonov[[#Headers],[26]],tabela_registros[REGISTRO],DADOS!$N$3,tabela_registros[TIPO],DADOS!$V$4,tabela_registros[CATEGORIA],receitasvariáveisconsolidadonov[[#This Row],[ATUAL]])</f>
        <v>0</v>
      </c>
      <c r="AE103" s="119" t="n">
        <f aca="false">SUMIFS(tabela_registros[VALOR],tabela_registros[MÊS],$AE$1,tabela_registros[DIA],receitasvariáveisconsolidadonov[[#Headers],[27]],tabela_registros[REGISTRO],DADOS!$N$3,tabela_registros[TIPO],DADOS!$V$4,tabela_registros[CATEGORIA],receitasvariáveisconsolidadonov[[#This Row],[ATUAL]])</f>
        <v>0</v>
      </c>
      <c r="AF103" s="119" t="n">
        <f aca="false">SUMIFS(tabela_registros[VALOR],tabela_registros[MÊS],$AE$1,tabela_registros[DIA],receitasvariáveisconsolidadonov[[#Headers],[28]],tabela_registros[REGISTRO],DADOS!$N$3,tabela_registros[TIPO],DADOS!$V$4,tabela_registros[CATEGORIA],receitasvariáveisconsolidadonov[[#This Row],[ATUAL]])</f>
        <v>0</v>
      </c>
      <c r="AG103" s="119" t="n">
        <f aca="false">SUMIFS(tabela_registros[VALOR],tabela_registros[MÊS],$AE$1,tabela_registros[DIA],receitasvariáveisconsolidadonov[[#Headers],[29]],tabela_registros[REGISTRO],DADOS!$N$3,tabela_registros[TIPO],DADOS!$V$4,tabela_registros[CATEGORIA],receitasvariáveisconsolidadonov[[#This Row],[ATUAL]])</f>
        <v>0</v>
      </c>
      <c r="AH103" s="151" t="n">
        <f aca="false">SUMIFS(tabela_registros[VALOR],tabela_registros[MÊS],$AE$1,tabela_registros[DIA],receitasvariáveisconsolidadonov[[#Headers],[30]],tabela_registros[REGISTRO],DADOS!$N$3,tabela_registros[TIPO],DADOS!$V$4,tabela_registros[CATEGORIA],receitasvariáveisconsolidadonov[[#This Row],[ATUAL]])</f>
        <v>0</v>
      </c>
      <c r="AI103" s="218" t="n">
        <f aca="false">SUMIFS(tabela_registros[VALOR],tabela_registros[MÊS],$AE$1,tabela_registros[DIA],receitasvariáveisconsolidadonov[[#Headers],[31]],tabela_registros[REGISTRO],DADOS!$N$3,tabela_registros[TIPO],DADOS!$V$4,tabela_registros[CATEGORIA],receitasvariáveisconsolidadonov[[#This Row],[ATUAL]])</f>
        <v>0</v>
      </c>
      <c r="AJ103" s="219" t="n">
        <f aca="false">SUM(receitasvariáveisconsolidadonov[[#This Row],[1]:[31]])</f>
        <v>0</v>
      </c>
      <c r="AK103" s="165"/>
    </row>
    <row r="104" s="122" customFormat="true" ht="21" hidden="false" customHeight="true" outlineLevel="0" collapsed="false">
      <c r="B104" s="152"/>
      <c r="C104" s="153" t="s">
        <v>2</v>
      </c>
      <c r="D104" s="166"/>
      <c r="E104" s="155" t="n">
        <f aca="false">SUM(E96:E103)</f>
        <v>0</v>
      </c>
      <c r="F104" s="156" t="n">
        <f aca="false">SUM(F96:F103)+receitasvariáveisconsolidadonov[[#This Row],[1]]</f>
        <v>0</v>
      </c>
      <c r="G104" s="156" t="n">
        <f aca="false">SUM(G96:G103)+receitasvariáveisconsolidadonov[[#This Row],[2]]</f>
        <v>0</v>
      </c>
      <c r="H104" s="156" t="n">
        <f aca="false">SUM(H96:H103)+receitasvariáveisconsolidadonov[[#This Row],[3]]</f>
        <v>0</v>
      </c>
      <c r="I104" s="156" t="n">
        <f aca="false">SUM(I96:I103)+receitasvariáveisconsolidadonov[[#This Row],[4]]</f>
        <v>0</v>
      </c>
      <c r="J104" s="156" t="n">
        <f aca="false">SUM(J96:J103)+receitasvariáveisconsolidadonov[[#This Row],[5]]</f>
        <v>0</v>
      </c>
      <c r="K104" s="156" t="n">
        <f aca="false">SUM(K96:K103)+receitasvariáveisconsolidadonov[[#This Row],[6]]</f>
        <v>0</v>
      </c>
      <c r="L104" s="156" t="n">
        <f aca="false">SUM(L96:L103)+receitasvariáveisconsolidadonov[[#This Row],[7]]</f>
        <v>0</v>
      </c>
      <c r="M104" s="156" t="n">
        <f aca="false">SUM(M96:M103)+receitasvariáveisconsolidadonov[[#This Row],[8]]</f>
        <v>0</v>
      </c>
      <c r="N104" s="156" t="n">
        <f aca="false">SUM(N96:N103)+receitasvariáveisconsolidadonov[[#This Row],[9]]</f>
        <v>0</v>
      </c>
      <c r="O104" s="156" t="n">
        <f aca="false">SUM(O96:O103)+receitasvariáveisconsolidadonov[[#This Row],[10]]</f>
        <v>0</v>
      </c>
      <c r="P104" s="156" t="n">
        <f aca="false">SUM(P96:P103)+receitasvariáveisconsolidadonov[[#This Row],[11]]</f>
        <v>0</v>
      </c>
      <c r="Q104" s="156" t="n">
        <f aca="false">SUM(Q96:Q103)+receitasvariáveisconsolidadonov[[#This Row],[12]]</f>
        <v>0</v>
      </c>
      <c r="R104" s="156" t="n">
        <f aca="false">SUM(R96:R103)+receitasvariáveisconsolidadonov[[#This Row],[13]]</f>
        <v>0</v>
      </c>
      <c r="S104" s="156" t="n">
        <f aca="false">SUM(S96:S103)+receitasvariáveisconsolidadonov[[#This Row],[14]]</f>
        <v>0</v>
      </c>
      <c r="T104" s="156" t="n">
        <f aca="false">SUM(T96:T103)+receitasvariáveisconsolidadonov[[#This Row],[15]]</f>
        <v>0</v>
      </c>
      <c r="U104" s="156" t="n">
        <f aca="false">SUM(U96:U103)+receitasvariáveisconsolidadonov[[#This Row],[16]]</f>
        <v>0</v>
      </c>
      <c r="V104" s="156" t="n">
        <f aca="false">SUM(V96:V103)+receitasvariáveisconsolidadonov[[#This Row],[17]]</f>
        <v>0</v>
      </c>
      <c r="W104" s="156" t="n">
        <f aca="false">SUM(W96:W103)+receitasvariáveisconsolidadonov[[#This Row],[18]]</f>
        <v>0</v>
      </c>
      <c r="X104" s="156" t="n">
        <f aca="false">SUM(X96:X103)+receitasvariáveisconsolidadonov[[#This Row],[19]]</f>
        <v>0</v>
      </c>
      <c r="Y104" s="156" t="n">
        <f aca="false">SUM(Y96:Y103)+receitasvariáveisconsolidadonov[[#This Row],[20]]</f>
        <v>0</v>
      </c>
      <c r="Z104" s="156" t="n">
        <f aca="false">SUM(Z96:Z103)+receitasvariáveisconsolidadonov[[#This Row],[21]]</f>
        <v>0</v>
      </c>
      <c r="AA104" s="156" t="n">
        <f aca="false">SUM(AA96:AA103)+receitasvariáveisconsolidadonov[[#This Row],[22]]</f>
        <v>0</v>
      </c>
      <c r="AB104" s="156" t="n">
        <f aca="false">SUM(AB96:AB103)+receitasvariáveisconsolidadonov[[#This Row],[23]]</f>
        <v>0</v>
      </c>
      <c r="AC104" s="156" t="n">
        <f aca="false">SUM(AC96:AC103)+receitasvariáveisconsolidadonov[[#This Row],[24]]</f>
        <v>0</v>
      </c>
      <c r="AD104" s="156" t="n">
        <f aca="false">SUM(AD96:AD103)+receitasvariáveisconsolidadonov[[#This Row],[25]]</f>
        <v>0</v>
      </c>
      <c r="AE104" s="156" t="n">
        <f aca="false">SUM(AE96:AE103)+receitasvariáveisconsolidadonov[[#This Row],[26]]</f>
        <v>0</v>
      </c>
      <c r="AF104" s="156" t="n">
        <f aca="false">SUM(AF96:AF103)+receitasvariáveisconsolidadonov[[#This Row],[27]]</f>
        <v>0</v>
      </c>
      <c r="AG104" s="156" t="n">
        <f aca="false">SUM(AG96:AG103)+receitasvariáveisconsolidadonov[[#This Row],[28]]</f>
        <v>0</v>
      </c>
      <c r="AH104" s="156" t="n">
        <f aca="false">SUM(AH96:AH103)+receitasvariáveisconsolidadonov[[#This Row],[29]]</f>
        <v>0</v>
      </c>
      <c r="AI104" s="223" t="n">
        <f aca="false">SUM(AI96:AI103)+receitasvariáveisconsolidadonov[[#This Row],[30]]</f>
        <v>0</v>
      </c>
      <c r="AJ104" s="157" t="n">
        <f aca="false">receitasvariáveisconsolidadonov[[#This Row],[31]]</f>
        <v>0</v>
      </c>
      <c r="AK104" s="158"/>
    </row>
    <row r="105" customFormat="false" ht="6.75" hidden="false" customHeight="true" outlineLevel="0" collapsed="false">
      <c r="B105" s="97"/>
      <c r="C105" s="162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233"/>
      <c r="AJ105" s="164"/>
      <c r="AK105" s="244"/>
    </row>
    <row r="106" s="78" customFormat="true" ht="12.75" hidden="false" customHeight="false" outlineLevel="0" collapsed="false">
      <c r="E106" s="100"/>
    </row>
    <row r="107" s="78" customFormat="true" ht="12" hidden="false" customHeight="false" outlineLevel="0" collapsed="false"/>
    <row r="108" s="78" customFormat="true" ht="12" hidden="false" customHeight="false" outlineLevel="0" collapsed="false"/>
    <row r="109" customFormat="false" ht="39.75" hidden="false" customHeight="true" outlineLevel="0" collapsed="false">
      <c r="C109" s="101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3" t="s">
        <v>2</v>
      </c>
    </row>
    <row r="110" s="78" customFormat="true" ht="12.75" hidden="false" customHeight="false" outlineLevel="0" collapsed="false">
      <c r="B110" s="161"/>
      <c r="AJ110" s="106" t="s">
        <v>64</v>
      </c>
    </row>
    <row r="111" customFormat="false" ht="6.75" hidden="false" customHeight="true" outlineLevel="0" collapsed="false">
      <c r="B111" s="86"/>
      <c r="C111" s="162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233"/>
      <c r="AK111" s="139"/>
    </row>
    <row r="112" customFormat="false" ht="13.5" hidden="true" customHeight="false" outlineLevel="0" collapsed="false">
      <c r="B112" s="86"/>
      <c r="C112" s="109" t="s">
        <v>68</v>
      </c>
      <c r="D112" s="110" t="s">
        <v>69</v>
      </c>
      <c r="E112" s="110" t="s">
        <v>30</v>
      </c>
      <c r="F112" s="110" t="s">
        <v>31</v>
      </c>
      <c r="G112" s="110" t="s">
        <v>32</v>
      </c>
      <c r="H112" s="110" t="s">
        <v>33</v>
      </c>
      <c r="I112" s="110" t="s">
        <v>34</v>
      </c>
      <c r="J112" s="110" t="s">
        <v>35</v>
      </c>
      <c r="K112" s="110" t="s">
        <v>36</v>
      </c>
      <c r="L112" s="110" t="s">
        <v>37</v>
      </c>
      <c r="M112" s="110" t="s">
        <v>38</v>
      </c>
      <c r="N112" s="110" t="s">
        <v>39</v>
      </c>
      <c r="O112" s="110" t="s">
        <v>40</v>
      </c>
      <c r="P112" s="110" t="s">
        <v>41</v>
      </c>
      <c r="Q112" s="110" t="s">
        <v>81</v>
      </c>
      <c r="R112" s="110" t="s">
        <v>82</v>
      </c>
      <c r="S112" s="110" t="s">
        <v>83</v>
      </c>
      <c r="T112" s="110" t="s">
        <v>84</v>
      </c>
      <c r="U112" s="110" t="s">
        <v>85</v>
      </c>
      <c r="V112" s="110" t="s">
        <v>86</v>
      </c>
      <c r="W112" s="110" t="s">
        <v>87</v>
      </c>
      <c r="X112" s="110" t="s">
        <v>88</v>
      </c>
      <c r="Y112" s="110" t="s">
        <v>89</v>
      </c>
      <c r="Z112" s="110" t="s">
        <v>90</v>
      </c>
      <c r="AA112" s="110" t="s">
        <v>91</v>
      </c>
      <c r="AB112" s="110" t="s">
        <v>92</v>
      </c>
      <c r="AC112" s="110" t="s">
        <v>93</v>
      </c>
      <c r="AD112" s="110" t="s">
        <v>94</v>
      </c>
      <c r="AE112" s="110" t="s">
        <v>95</v>
      </c>
      <c r="AF112" s="110" t="s">
        <v>96</v>
      </c>
      <c r="AG112" s="110" t="s">
        <v>97</v>
      </c>
      <c r="AH112" s="110" t="s">
        <v>98</v>
      </c>
      <c r="AI112" s="110" t="s">
        <v>99</v>
      </c>
      <c r="AJ112" s="111" t="s">
        <v>70</v>
      </c>
      <c r="AK112" s="86"/>
    </row>
    <row r="113" customFormat="false" ht="19.5" hidden="false" customHeight="true" outlineLevel="0" collapsed="false">
      <c r="B113" s="143"/>
      <c r="C113" s="144" t="str">
        <f aca="false">DADOS!$AD$3</f>
        <v>📝 CDB</v>
      </c>
      <c r="D113" s="145" t="str">
        <f aca="false">IF(investirrendafixaconsolidadonov[[#This Row],[TOTAL (R$)]]=0,"",IF(OR(investirrendafixaconsolidadonov[[#This Row],[TOTAL (R$)]]=LARGE($AJ$113:$AJ$122,1),investirrendafixaconsolidadonov[[#This Row],[TOTAL (R$)]]=LARGE($AJ$113:$AJ$122,2)),DADOS!$I$10,""))</f>
        <v/>
      </c>
      <c r="E113" s="148" t="n">
        <f aca="false">SUMIFS(tabela_registros[VALOR],tabela_registros[MÊS],$AE$1,tabela_registros[DIA],investirrendafixaconsolidadonov[[#Headers],[1]],tabela_registros[REGISTRO],DADOS!$N$5,tabela_registros[TIPO],DADOS!$AB$3,tabela_registros[CATEGORIA],investirrendafixaconsolidadonov[[#This Row],[ATUAL]])</f>
        <v>0</v>
      </c>
      <c r="F113" s="119" t="n">
        <f aca="false">SUMIFS(tabela_registros[VALOR],tabela_registros[MÊS],$AE$1,tabela_registros[DIA],investirrendafixaconsolidadonov[[#Headers],[2]],tabela_registros[REGISTRO],DADOS!$N$5,tabela_registros[TIPO],DADOS!$AB$3,tabela_registros[CATEGORIA],investirrendafixaconsolidadonov[[#This Row],[ATUAL]])</f>
        <v>0</v>
      </c>
      <c r="G113" s="119" t="n">
        <f aca="false">SUMIFS(tabela_registros[VALOR],tabela_registros[MÊS],$AE$1,tabela_registros[DIA],investirrendafixaconsolidadonov[[#Headers],[3]],tabela_registros[REGISTRO],DADOS!$N$5,tabela_registros[TIPO],DADOS!$AB$3,tabela_registros[CATEGORIA],investirrendafixaconsolidadonov[[#This Row],[ATUAL]])</f>
        <v>0</v>
      </c>
      <c r="H113" s="119" t="n">
        <f aca="false">SUMIFS(tabela_registros[VALOR],tabela_registros[MÊS],$AE$1,tabela_registros[DIA],investirrendafixaconsolidadonov[[#Headers],[4]],tabela_registros[REGISTRO],DADOS!$N$5,tabela_registros[TIPO],DADOS!$AB$3,tabela_registros[CATEGORIA],investirrendafixaconsolidadonov[[#This Row],[ATUAL]])</f>
        <v>0</v>
      </c>
      <c r="I113" s="119" t="n">
        <f aca="false">SUMIFS(tabela_registros[VALOR],tabela_registros[MÊS],$AE$1,tabela_registros[DIA],investirrendafixaconsolidadonov[[#Headers],[5]],tabela_registros[REGISTRO],DADOS!$N$5,tabela_registros[TIPO],DADOS!$AB$3,tabela_registros[CATEGORIA],investirrendafixaconsolidadonov[[#This Row],[ATUAL]])</f>
        <v>0</v>
      </c>
      <c r="J113" s="119" t="n">
        <f aca="false">SUMIFS(tabela_registros[VALOR],tabela_registros[MÊS],$AE$1,tabela_registros[DIA],investirrendafixaconsolidadonov[[#Headers],[6]],tabela_registros[REGISTRO],DADOS!$N$5,tabela_registros[TIPO],DADOS!$AB$3,tabela_registros[CATEGORIA],investirrendafixaconsolidadonov[[#This Row],[ATUAL]])</f>
        <v>0</v>
      </c>
      <c r="K113" s="119" t="n">
        <f aca="false">SUMIFS(tabela_registros[VALOR],tabela_registros[MÊS],$AE$1,tabela_registros[DIA],investirrendafixaconsolidadonov[[#Headers],[7]],tabela_registros[REGISTRO],DADOS!$N$5,tabela_registros[TIPO],DADOS!$AB$3,tabela_registros[CATEGORIA],investirrendafixaconsolidadonov[[#This Row],[ATUAL]])</f>
        <v>0</v>
      </c>
      <c r="L113" s="119" t="n">
        <f aca="false">SUMIFS(tabela_registros[VALOR],tabela_registros[MÊS],$AE$1,tabela_registros[DIA],investirrendafixaconsolidadonov[[#Headers],[8]],tabela_registros[REGISTRO],DADOS!$N$5,tabela_registros[TIPO],DADOS!$AB$3,tabela_registros[CATEGORIA],investirrendafixaconsolidadonov[[#This Row],[ATUAL]])</f>
        <v>0</v>
      </c>
      <c r="M113" s="119" t="n">
        <f aca="false">SUMIFS(tabela_registros[VALOR],tabela_registros[MÊS],$AE$1,tabela_registros[DIA],investirrendafixaconsolidadonov[[#Headers],[9]],tabela_registros[REGISTRO],DADOS!$N$5,tabela_registros[TIPO],DADOS!$AB$3,tabela_registros[CATEGORIA],investirrendafixaconsolidadonov[[#This Row],[ATUAL]])</f>
        <v>0</v>
      </c>
      <c r="N113" s="119" t="n">
        <f aca="false">SUMIFS(tabela_registros[VALOR],tabela_registros[MÊS],$AE$1,tabela_registros[DIA],investirrendafixaconsolidadonov[[#Headers],[10]],tabela_registros[REGISTRO],DADOS!$N$5,tabela_registros[TIPO],DADOS!$AB$3,tabela_registros[CATEGORIA],investirrendafixaconsolidadonov[[#This Row],[ATUAL]])</f>
        <v>0</v>
      </c>
      <c r="O113" s="119" t="n">
        <f aca="false">SUMIFS(tabela_registros[VALOR],tabela_registros[MÊS],$AE$1,tabela_registros[DIA],investirrendafixaconsolidadonov[[#Headers],[11]],tabela_registros[REGISTRO],DADOS!$N$5,tabela_registros[TIPO],DADOS!$AB$3,tabela_registros[CATEGORIA],investirrendafixaconsolidadonov[[#This Row],[ATUAL]])</f>
        <v>0</v>
      </c>
      <c r="P113" s="119" t="n">
        <f aca="false">SUMIFS(tabela_registros[VALOR],tabela_registros[MÊS],$AE$1,tabela_registros[DIA],investirrendafixaconsolidadonov[[#Headers],[12]],tabela_registros[REGISTRO],DADOS!$N$5,tabela_registros[TIPO],DADOS!$AB$3,tabela_registros[CATEGORIA],investirrendafixaconsolidadonov[[#This Row],[ATUAL]])</f>
        <v>0</v>
      </c>
      <c r="Q113" s="119" t="n">
        <f aca="false">SUMIFS(tabela_registros[VALOR],tabela_registros[MÊS],$AE$1,tabela_registros[DIA],investirrendafixaconsolidadonov[[#Headers],[13]],tabela_registros[REGISTRO],DADOS!$N$5,tabela_registros[TIPO],DADOS!$AB$3,tabela_registros[CATEGORIA],investirrendafixaconsolidadonov[[#This Row],[ATUAL]])</f>
        <v>0</v>
      </c>
      <c r="R113" s="119" t="n">
        <f aca="false">SUMIFS(tabela_registros[VALOR],tabela_registros[MÊS],$AE$1,tabela_registros[DIA],investirrendafixaconsolidadonov[[#Headers],[14]],tabela_registros[REGISTRO],DADOS!$N$5,tabela_registros[TIPO],DADOS!$AB$3,tabela_registros[CATEGORIA],investirrendafixaconsolidadonov[[#This Row],[ATUAL]])</f>
        <v>0</v>
      </c>
      <c r="S113" s="119" t="n">
        <f aca="false">SUMIFS(tabela_registros[VALOR],tabela_registros[MÊS],$AE$1,tabela_registros[DIA],investirrendafixaconsolidadonov[[#Headers],[15]],tabela_registros[REGISTRO],DADOS!$N$5,tabela_registros[TIPO],DADOS!$AB$3,tabela_registros[CATEGORIA],investirrendafixaconsolidadonov[[#This Row],[ATUAL]])</f>
        <v>0</v>
      </c>
      <c r="T113" s="119" t="n">
        <f aca="false">SUMIFS(tabela_registros[VALOR],tabela_registros[MÊS],$AE$1,tabela_registros[DIA],investirrendafixaconsolidadonov[[#Headers],[16]],tabela_registros[REGISTRO],DADOS!$N$5,tabela_registros[TIPO],DADOS!$AB$3,tabela_registros[CATEGORIA],investirrendafixaconsolidadonov[[#This Row],[ATUAL]])</f>
        <v>0</v>
      </c>
      <c r="U113" s="119" t="n">
        <f aca="false">SUMIFS(tabela_registros[VALOR],tabela_registros[MÊS],$AE$1,tabela_registros[DIA],investirrendafixaconsolidadonov[[#Headers],[17]],tabela_registros[REGISTRO],DADOS!$N$5,tabela_registros[TIPO],DADOS!$AB$3,tabela_registros[CATEGORIA],investirrendafixaconsolidadonov[[#This Row],[ATUAL]])</f>
        <v>0</v>
      </c>
      <c r="V113" s="119" t="n">
        <f aca="false">SUMIFS(tabela_registros[VALOR],tabela_registros[MÊS],$AE$1,tabela_registros[DIA],investirrendafixaconsolidadonov[[#Headers],[18]],tabela_registros[REGISTRO],DADOS!$N$5,tabela_registros[TIPO],DADOS!$AB$3,tabela_registros[CATEGORIA],investirrendafixaconsolidadonov[[#This Row],[ATUAL]])</f>
        <v>0</v>
      </c>
      <c r="W113" s="119" t="n">
        <f aca="false">SUMIFS(tabela_registros[VALOR],tabela_registros[MÊS],$AE$1,tabela_registros[DIA],investirrendafixaconsolidadonov[[#Headers],[19]],tabela_registros[REGISTRO],DADOS!$N$5,tabela_registros[TIPO],DADOS!$AB$3,tabela_registros[CATEGORIA],investirrendafixaconsolidadonov[[#This Row],[ATUAL]])</f>
        <v>0</v>
      </c>
      <c r="X113" s="119" t="n">
        <f aca="false">SUMIFS(tabela_registros[VALOR],tabela_registros[MÊS],$AE$1,tabela_registros[DIA],investirrendafixaconsolidadonov[[#Headers],[20]],tabela_registros[REGISTRO],DADOS!$N$5,tabela_registros[TIPO],DADOS!$AB$3,tabela_registros[CATEGORIA],investirrendafixaconsolidadonov[[#This Row],[ATUAL]])</f>
        <v>0</v>
      </c>
      <c r="Y113" s="119" t="n">
        <f aca="false">SUMIFS(tabela_registros[VALOR],tabela_registros[MÊS],$AE$1,tabela_registros[DIA],investirrendafixaconsolidadonov[[#Headers],[21]],tabela_registros[REGISTRO],DADOS!$N$5,tabela_registros[TIPO],DADOS!$AB$3,tabela_registros[CATEGORIA],investirrendafixaconsolidadonov[[#This Row],[ATUAL]])</f>
        <v>0</v>
      </c>
      <c r="Z113" s="119" t="n">
        <f aca="false">SUMIFS(tabela_registros[VALOR],tabela_registros[MÊS],$AE$1,tabela_registros[DIA],investirrendafixaconsolidadonov[[#Headers],[22]],tabela_registros[REGISTRO],DADOS!$N$5,tabela_registros[TIPO],DADOS!$AB$3,tabela_registros[CATEGORIA],investirrendafixaconsolidadonov[[#This Row],[ATUAL]])</f>
        <v>0</v>
      </c>
      <c r="AA113" s="119" t="n">
        <f aca="false">SUMIFS(tabela_registros[VALOR],tabela_registros[MÊS],$AE$1,tabela_registros[DIA],investirrendafixaconsolidadonov[[#Headers],[23]],tabela_registros[REGISTRO],DADOS!$N$5,tabela_registros[TIPO],DADOS!$AB$3,tabela_registros[CATEGORIA],investirrendafixaconsolidadonov[[#This Row],[ATUAL]])</f>
        <v>0</v>
      </c>
      <c r="AB113" s="119" t="n">
        <f aca="false">SUMIFS(tabela_registros[VALOR],tabela_registros[MÊS],$AE$1,tabela_registros[DIA],investirrendafixaconsolidadonov[[#Headers],[24]],tabela_registros[REGISTRO],DADOS!$N$5,tabela_registros[TIPO],DADOS!$AB$3,tabela_registros[CATEGORIA],investirrendafixaconsolidadonov[[#This Row],[ATUAL]])</f>
        <v>0</v>
      </c>
      <c r="AC113" s="119" t="n">
        <f aca="false">SUMIFS(tabela_registros[VALOR],tabela_registros[MÊS],$AE$1,tabela_registros[DIA],investirrendafixaconsolidadonov[[#Headers],[25]],tabela_registros[REGISTRO],DADOS!$N$5,tabela_registros[TIPO],DADOS!$AB$3,tabela_registros[CATEGORIA],investirrendafixaconsolidadonov[[#This Row],[ATUAL]])</f>
        <v>0</v>
      </c>
      <c r="AD113" s="119" t="n">
        <f aca="false">SUMIFS(tabela_registros[VALOR],tabela_registros[MÊS],$AE$1,tabela_registros[DIA],investirrendafixaconsolidadonov[[#Headers],[26]],tabela_registros[REGISTRO],DADOS!$N$5,tabela_registros[TIPO],DADOS!$AB$3,tabela_registros[CATEGORIA],investirrendafixaconsolidadonov[[#This Row],[ATUAL]])</f>
        <v>0</v>
      </c>
      <c r="AE113" s="119" t="n">
        <f aca="false">SUMIFS(tabela_registros[VALOR],tabela_registros[MÊS],$AE$1,tabela_registros[DIA],investirrendafixaconsolidadonov[[#Headers],[27]],tabela_registros[REGISTRO],DADOS!$N$5,tabela_registros[TIPO],DADOS!$AB$3,tabela_registros[CATEGORIA],investirrendafixaconsolidadonov[[#This Row],[ATUAL]])</f>
        <v>0</v>
      </c>
      <c r="AF113" s="119" t="n">
        <f aca="false">SUMIFS(tabela_registros[VALOR],tabela_registros[MÊS],$AE$1,tabela_registros[DIA],investirrendafixaconsolidadonov[[#Headers],[28]],tabela_registros[REGISTRO],DADOS!$N$5,tabela_registros[TIPO],DADOS!$AB$3,tabela_registros[CATEGORIA],investirrendafixaconsolidadonov[[#This Row],[ATUAL]])</f>
        <v>0</v>
      </c>
      <c r="AG113" s="119" t="n">
        <f aca="false">SUMIFS(tabela_registros[VALOR],tabela_registros[MÊS],$AE$1,tabela_registros[DIA],investirrendafixaconsolidadonov[[#Headers],[29]],tabela_registros[REGISTRO],DADOS!$N$5,tabela_registros[TIPO],DADOS!$AB$3,tabela_registros[CATEGORIA],investirrendafixaconsolidadonov[[#This Row],[ATUAL]])</f>
        <v>0</v>
      </c>
      <c r="AH113" s="119" t="n">
        <f aca="false">SUMIFS(tabela_registros[VALOR],tabela_registros[MÊS],$AE$1,tabela_registros[DIA],investirrendafixaconsolidadonov[[#Headers],[30]],tabela_registros[REGISTRO],DADOS!$N$5,tabela_registros[TIPO],DADOS!$AB$3,tabela_registros[CATEGORIA],investirrendafixaconsolidadonov[[#This Row],[ATUAL]])</f>
        <v>0</v>
      </c>
      <c r="AI113" s="217" t="n">
        <f aca="false">SUMIFS(tabela_registros[VALOR],tabela_registros[MÊS],$AE$1,tabela_registros[DIA],investirrendafixaconsolidadonov[[#Headers],[31]],tabela_registros[REGISTRO],DADOS!$N$5,tabela_registros[TIPO],DADOS!$AB$3,tabela_registros[CATEGORIA],investirrendafixaconsolidadonov[[#This Row],[ATUAL]])</f>
        <v>0</v>
      </c>
      <c r="AJ113" s="149" t="n">
        <f aca="false">SUM(investirrendafixaconsolidadonov[[#This Row],[1]:[31]])</f>
        <v>0</v>
      </c>
      <c r="AK113" s="165"/>
    </row>
    <row r="114" customFormat="false" ht="19.5" hidden="false" customHeight="true" outlineLevel="0" collapsed="false">
      <c r="B114" s="143"/>
      <c r="C114" s="144" t="str">
        <f aca="false">DADOS!$AD$4</f>
        <v>📝 CRA</v>
      </c>
      <c r="D114" s="145" t="str">
        <f aca="false">IF(investirrendafixaconsolidadonov[[#This Row],[TOTAL (R$)]]=0,"",IF(OR(investirrendafixaconsolidadonov[[#This Row],[TOTAL (R$)]]=LARGE($AJ$113:$AJ$122,1),investirrendafixaconsolidadonov[[#This Row],[TOTAL (R$)]]=LARGE($AJ$113:$AJ$122,2)),DADOS!$I$10,""))</f>
        <v/>
      </c>
      <c r="E114" s="148" t="n">
        <f aca="false">SUMIFS(tabela_registros[VALOR],tabela_registros[MÊS],$AE$1,tabela_registros[DIA],investirrendafixaconsolidadonov[[#Headers],[1]],tabela_registros[REGISTRO],DADOS!$N$5,tabela_registros[TIPO],DADOS!$AB$3,tabela_registros[CATEGORIA],investirrendafixaconsolidadonov[[#This Row],[ATUAL]])</f>
        <v>0</v>
      </c>
      <c r="F114" s="119" t="n">
        <f aca="false">SUMIFS(tabela_registros[VALOR],tabela_registros[MÊS],$AE$1,tabela_registros[DIA],investirrendafixaconsolidadonov[[#Headers],[2]],tabela_registros[REGISTRO],DADOS!$N$5,tabela_registros[TIPO],DADOS!$AB$3,tabela_registros[CATEGORIA],investirrendafixaconsolidadonov[[#This Row],[ATUAL]])</f>
        <v>0</v>
      </c>
      <c r="G114" s="119" t="n">
        <f aca="false">SUMIFS(tabela_registros[VALOR],tabela_registros[MÊS],$AE$1,tabela_registros[DIA],investirrendafixaconsolidadonov[[#Headers],[3]],tabela_registros[REGISTRO],DADOS!$N$5,tabela_registros[TIPO],DADOS!$AB$3,tabela_registros[CATEGORIA],investirrendafixaconsolidadonov[[#This Row],[ATUAL]])</f>
        <v>0</v>
      </c>
      <c r="H114" s="119" t="n">
        <f aca="false">SUMIFS(tabela_registros[VALOR],tabela_registros[MÊS],$AE$1,tabela_registros[DIA],investirrendafixaconsolidadonov[[#Headers],[4]],tabela_registros[REGISTRO],DADOS!$N$5,tabela_registros[TIPO],DADOS!$AB$3,tabela_registros[CATEGORIA],investirrendafixaconsolidadonov[[#This Row],[ATUAL]])</f>
        <v>0</v>
      </c>
      <c r="I114" s="119" t="n">
        <f aca="false">SUMIFS(tabela_registros[VALOR],tabela_registros[MÊS],$AE$1,tabela_registros[DIA],investirrendafixaconsolidadonov[[#Headers],[5]],tabela_registros[REGISTRO],DADOS!$N$5,tabela_registros[TIPO],DADOS!$AB$3,tabela_registros[CATEGORIA],investirrendafixaconsolidadonov[[#This Row],[ATUAL]])</f>
        <v>0</v>
      </c>
      <c r="J114" s="119" t="n">
        <f aca="false">SUMIFS(tabela_registros[VALOR],tabela_registros[MÊS],$AE$1,tabela_registros[DIA],investirrendafixaconsolidadonov[[#Headers],[6]],tabela_registros[REGISTRO],DADOS!$N$5,tabela_registros[TIPO],DADOS!$AB$3,tabela_registros[CATEGORIA],investirrendafixaconsolidadonov[[#This Row],[ATUAL]])</f>
        <v>0</v>
      </c>
      <c r="K114" s="119" t="n">
        <f aca="false">SUMIFS(tabela_registros[VALOR],tabela_registros[MÊS],$AE$1,tabela_registros[DIA],investirrendafixaconsolidadonov[[#Headers],[7]],tabela_registros[REGISTRO],DADOS!$N$5,tabela_registros[TIPO],DADOS!$AB$3,tabela_registros[CATEGORIA],investirrendafixaconsolidadonov[[#This Row],[ATUAL]])</f>
        <v>0</v>
      </c>
      <c r="L114" s="119" t="n">
        <f aca="false">SUMIFS(tabela_registros[VALOR],tabela_registros[MÊS],$AE$1,tabela_registros[DIA],investirrendafixaconsolidadonov[[#Headers],[8]],tabela_registros[REGISTRO],DADOS!$N$5,tabela_registros[TIPO],DADOS!$AB$3,tabela_registros[CATEGORIA],investirrendafixaconsolidadonov[[#This Row],[ATUAL]])</f>
        <v>0</v>
      </c>
      <c r="M114" s="119" t="n">
        <f aca="false">SUMIFS(tabela_registros[VALOR],tabela_registros[MÊS],$AE$1,tabela_registros[DIA],investirrendafixaconsolidadonov[[#Headers],[9]],tabela_registros[REGISTRO],DADOS!$N$5,tabela_registros[TIPO],DADOS!$AB$3,tabela_registros[CATEGORIA],investirrendafixaconsolidadonov[[#This Row],[ATUAL]])</f>
        <v>0</v>
      </c>
      <c r="N114" s="119" t="n">
        <f aca="false">SUMIFS(tabela_registros[VALOR],tabela_registros[MÊS],$AE$1,tabela_registros[DIA],investirrendafixaconsolidadonov[[#Headers],[10]],tabela_registros[REGISTRO],DADOS!$N$5,tabela_registros[TIPO],DADOS!$AB$3,tabela_registros[CATEGORIA],investirrendafixaconsolidadonov[[#This Row],[ATUAL]])</f>
        <v>0</v>
      </c>
      <c r="O114" s="119" t="n">
        <f aca="false">SUMIFS(tabela_registros[VALOR],tabela_registros[MÊS],$AE$1,tabela_registros[DIA],investirrendafixaconsolidadonov[[#Headers],[11]],tabela_registros[REGISTRO],DADOS!$N$5,tabela_registros[TIPO],DADOS!$AB$3,tabela_registros[CATEGORIA],investirrendafixaconsolidadonov[[#This Row],[ATUAL]])</f>
        <v>0</v>
      </c>
      <c r="P114" s="119" t="n">
        <f aca="false">SUMIFS(tabela_registros[VALOR],tabela_registros[MÊS],$AE$1,tabela_registros[DIA],investirrendafixaconsolidadonov[[#Headers],[12]],tabela_registros[REGISTRO],DADOS!$N$5,tabela_registros[TIPO],DADOS!$AB$3,tabela_registros[CATEGORIA],investirrendafixaconsolidadonov[[#This Row],[ATUAL]])</f>
        <v>0</v>
      </c>
      <c r="Q114" s="119" t="n">
        <f aca="false">SUMIFS(tabela_registros[VALOR],tabela_registros[MÊS],$AE$1,tabela_registros[DIA],investirrendafixaconsolidadonov[[#Headers],[13]],tabela_registros[REGISTRO],DADOS!$N$5,tabela_registros[TIPO],DADOS!$AB$3,tabela_registros[CATEGORIA],investirrendafixaconsolidadonov[[#This Row],[ATUAL]])</f>
        <v>0</v>
      </c>
      <c r="R114" s="119" t="n">
        <f aca="false">SUMIFS(tabela_registros[VALOR],tabela_registros[MÊS],$AE$1,tabela_registros[DIA],investirrendafixaconsolidadonov[[#Headers],[14]],tabela_registros[REGISTRO],DADOS!$N$5,tabela_registros[TIPO],DADOS!$AB$3,tabela_registros[CATEGORIA],investirrendafixaconsolidadonov[[#This Row],[ATUAL]])</f>
        <v>0</v>
      </c>
      <c r="S114" s="119" t="n">
        <f aca="false">SUMIFS(tabela_registros[VALOR],tabela_registros[MÊS],$AE$1,tabela_registros[DIA],investirrendafixaconsolidadonov[[#Headers],[15]],tabela_registros[REGISTRO],DADOS!$N$5,tabela_registros[TIPO],DADOS!$AB$3,tabela_registros[CATEGORIA],investirrendafixaconsolidadonov[[#This Row],[ATUAL]])</f>
        <v>0</v>
      </c>
      <c r="T114" s="119" t="n">
        <f aca="false">SUMIFS(tabela_registros[VALOR],tabela_registros[MÊS],$AE$1,tabela_registros[DIA],investirrendafixaconsolidadonov[[#Headers],[16]],tabela_registros[REGISTRO],DADOS!$N$5,tabela_registros[TIPO],DADOS!$AB$3,tabela_registros[CATEGORIA],investirrendafixaconsolidadonov[[#This Row],[ATUAL]])</f>
        <v>0</v>
      </c>
      <c r="U114" s="119" t="n">
        <f aca="false">SUMIFS(tabela_registros[VALOR],tabela_registros[MÊS],$AE$1,tabela_registros[DIA],investirrendafixaconsolidadonov[[#Headers],[17]],tabela_registros[REGISTRO],DADOS!$N$5,tabela_registros[TIPO],DADOS!$AB$3,tabela_registros[CATEGORIA],investirrendafixaconsolidadonov[[#This Row],[ATUAL]])</f>
        <v>0</v>
      </c>
      <c r="V114" s="119" t="n">
        <f aca="false">SUMIFS(tabela_registros[VALOR],tabela_registros[MÊS],$AE$1,tabela_registros[DIA],investirrendafixaconsolidadonov[[#Headers],[18]],tabela_registros[REGISTRO],DADOS!$N$5,tabela_registros[TIPO],DADOS!$AB$3,tabela_registros[CATEGORIA],investirrendafixaconsolidadonov[[#This Row],[ATUAL]])</f>
        <v>0</v>
      </c>
      <c r="W114" s="119" t="n">
        <f aca="false">SUMIFS(tabela_registros[VALOR],tabela_registros[MÊS],$AE$1,tabela_registros[DIA],investirrendafixaconsolidadonov[[#Headers],[19]],tabela_registros[REGISTRO],DADOS!$N$5,tabela_registros[TIPO],DADOS!$AB$3,tabela_registros[CATEGORIA],investirrendafixaconsolidadonov[[#This Row],[ATUAL]])</f>
        <v>0</v>
      </c>
      <c r="X114" s="119" t="n">
        <f aca="false">SUMIFS(tabela_registros[VALOR],tabela_registros[MÊS],$AE$1,tabela_registros[DIA],investirrendafixaconsolidadonov[[#Headers],[20]],tabela_registros[REGISTRO],DADOS!$N$5,tabela_registros[TIPO],DADOS!$AB$3,tabela_registros[CATEGORIA],investirrendafixaconsolidadonov[[#This Row],[ATUAL]])</f>
        <v>0</v>
      </c>
      <c r="Y114" s="119" t="n">
        <f aca="false">SUMIFS(tabela_registros[VALOR],tabela_registros[MÊS],$AE$1,tabela_registros[DIA],investirrendafixaconsolidadonov[[#Headers],[21]],tabela_registros[REGISTRO],DADOS!$N$5,tabela_registros[TIPO],DADOS!$AB$3,tabela_registros[CATEGORIA],investirrendafixaconsolidadonov[[#This Row],[ATUAL]])</f>
        <v>0</v>
      </c>
      <c r="Z114" s="119" t="n">
        <f aca="false">SUMIFS(tabela_registros[VALOR],tabela_registros[MÊS],$AE$1,tabela_registros[DIA],investirrendafixaconsolidadonov[[#Headers],[22]],tabela_registros[REGISTRO],DADOS!$N$5,tabela_registros[TIPO],DADOS!$AB$3,tabela_registros[CATEGORIA],investirrendafixaconsolidadonov[[#This Row],[ATUAL]])</f>
        <v>0</v>
      </c>
      <c r="AA114" s="119" t="n">
        <f aca="false">SUMIFS(tabela_registros[VALOR],tabela_registros[MÊS],$AE$1,tabela_registros[DIA],investirrendafixaconsolidadonov[[#Headers],[23]],tabela_registros[REGISTRO],DADOS!$N$5,tabela_registros[TIPO],DADOS!$AB$3,tabela_registros[CATEGORIA],investirrendafixaconsolidadonov[[#This Row],[ATUAL]])</f>
        <v>0</v>
      </c>
      <c r="AB114" s="119" t="n">
        <f aca="false">SUMIFS(tabela_registros[VALOR],tabela_registros[MÊS],$AE$1,tabela_registros[DIA],investirrendafixaconsolidadonov[[#Headers],[24]],tabela_registros[REGISTRO],DADOS!$N$5,tabela_registros[TIPO],DADOS!$AB$3,tabela_registros[CATEGORIA],investirrendafixaconsolidadonov[[#This Row],[ATUAL]])</f>
        <v>0</v>
      </c>
      <c r="AC114" s="119" t="n">
        <f aca="false">SUMIFS(tabela_registros[VALOR],tabela_registros[MÊS],$AE$1,tabela_registros[DIA],investirrendafixaconsolidadonov[[#Headers],[25]],tabela_registros[REGISTRO],DADOS!$N$5,tabela_registros[TIPO],DADOS!$AB$3,tabela_registros[CATEGORIA],investirrendafixaconsolidadonov[[#This Row],[ATUAL]])</f>
        <v>0</v>
      </c>
      <c r="AD114" s="119" t="n">
        <f aca="false">SUMIFS(tabela_registros[VALOR],tabela_registros[MÊS],$AE$1,tabela_registros[DIA],investirrendafixaconsolidadonov[[#Headers],[26]],tabela_registros[REGISTRO],DADOS!$N$5,tabela_registros[TIPO],DADOS!$AB$3,tabela_registros[CATEGORIA],investirrendafixaconsolidadonov[[#This Row],[ATUAL]])</f>
        <v>0</v>
      </c>
      <c r="AE114" s="119" t="n">
        <f aca="false">SUMIFS(tabela_registros[VALOR],tabela_registros[MÊS],$AE$1,tabela_registros[DIA],investirrendafixaconsolidadonov[[#Headers],[27]],tabela_registros[REGISTRO],DADOS!$N$5,tabela_registros[TIPO],DADOS!$AB$3,tabela_registros[CATEGORIA],investirrendafixaconsolidadonov[[#This Row],[ATUAL]])</f>
        <v>0</v>
      </c>
      <c r="AF114" s="119" t="n">
        <f aca="false">SUMIFS(tabela_registros[VALOR],tabela_registros[MÊS],$AE$1,tabela_registros[DIA],investirrendafixaconsolidadonov[[#Headers],[28]],tabela_registros[REGISTRO],DADOS!$N$5,tabela_registros[TIPO],DADOS!$AB$3,tabela_registros[CATEGORIA],investirrendafixaconsolidadonov[[#This Row],[ATUAL]])</f>
        <v>0</v>
      </c>
      <c r="AG114" s="119" t="n">
        <f aca="false">SUMIFS(tabela_registros[VALOR],tabela_registros[MÊS],$AE$1,tabela_registros[DIA],investirrendafixaconsolidadonov[[#Headers],[29]],tabela_registros[REGISTRO],DADOS!$N$5,tabela_registros[TIPO],DADOS!$AB$3,tabela_registros[CATEGORIA],investirrendafixaconsolidadonov[[#This Row],[ATUAL]])</f>
        <v>0</v>
      </c>
      <c r="AH114" s="119" t="n">
        <f aca="false">SUMIFS(tabela_registros[VALOR],tabela_registros[MÊS],$AE$1,tabela_registros[DIA],investirrendafixaconsolidadonov[[#Headers],[30]],tabela_registros[REGISTRO],DADOS!$N$5,tabela_registros[TIPO],DADOS!$AB$3,tabela_registros[CATEGORIA],investirrendafixaconsolidadonov[[#This Row],[ATUAL]])</f>
        <v>0</v>
      </c>
      <c r="AI114" s="217" t="n">
        <f aca="false">SUMIFS(tabela_registros[VALOR],tabela_registros[MÊS],$AE$1,tabela_registros[DIA],investirrendafixaconsolidadonov[[#Headers],[31]],tabela_registros[REGISTRO],DADOS!$N$5,tabela_registros[TIPO],DADOS!$AB$3,tabela_registros[CATEGORIA],investirrendafixaconsolidadonov[[#This Row],[ATUAL]])</f>
        <v>0</v>
      </c>
      <c r="AJ114" s="149" t="n">
        <f aca="false">SUM(investirrendafixaconsolidadonov[[#This Row],[1]:[31]])</f>
        <v>0</v>
      </c>
      <c r="AK114" s="165"/>
    </row>
    <row r="115" customFormat="false" ht="19.5" hidden="false" customHeight="true" outlineLevel="0" collapsed="false">
      <c r="B115" s="143"/>
      <c r="C115" s="144" t="str">
        <f aca="false">DADOS!$AD$5</f>
        <v>📝 CRI</v>
      </c>
      <c r="D115" s="145" t="str">
        <f aca="false">IF(investirrendafixaconsolidadonov[[#This Row],[TOTAL (R$)]]=0,"",IF(OR(investirrendafixaconsolidadonov[[#This Row],[TOTAL (R$)]]=LARGE($AJ$113:$AJ$122,1),investirrendafixaconsolidadonov[[#This Row],[TOTAL (R$)]]=LARGE($AJ$113:$AJ$122,2)),DADOS!$I$10,""))</f>
        <v/>
      </c>
      <c r="E115" s="148" t="n">
        <f aca="false">SUMIFS(tabela_registros[VALOR],tabela_registros[MÊS],$AE$1,tabela_registros[DIA],investirrendafixaconsolidadonov[[#Headers],[1]],tabela_registros[REGISTRO],DADOS!$N$5,tabela_registros[TIPO],DADOS!$AB$3,tabela_registros[CATEGORIA],investirrendafixaconsolidadonov[[#This Row],[ATUAL]])</f>
        <v>0</v>
      </c>
      <c r="F115" s="119" t="n">
        <f aca="false">SUMIFS(tabela_registros[VALOR],tabela_registros[MÊS],$AE$1,tabela_registros[DIA],investirrendafixaconsolidadonov[[#Headers],[2]],tabela_registros[REGISTRO],DADOS!$N$5,tabela_registros[TIPO],DADOS!$AB$3,tabela_registros[CATEGORIA],investirrendafixaconsolidadonov[[#This Row],[ATUAL]])</f>
        <v>0</v>
      </c>
      <c r="G115" s="119" t="n">
        <f aca="false">SUMIFS(tabela_registros[VALOR],tabela_registros[MÊS],$AE$1,tabela_registros[DIA],investirrendafixaconsolidadonov[[#Headers],[3]],tabela_registros[REGISTRO],DADOS!$N$5,tabela_registros[TIPO],DADOS!$AB$3,tabela_registros[CATEGORIA],investirrendafixaconsolidadonov[[#This Row],[ATUAL]])</f>
        <v>0</v>
      </c>
      <c r="H115" s="119" t="n">
        <f aca="false">SUMIFS(tabela_registros[VALOR],tabela_registros[MÊS],$AE$1,tabela_registros[DIA],investirrendafixaconsolidadonov[[#Headers],[4]],tabela_registros[REGISTRO],DADOS!$N$5,tabela_registros[TIPO],DADOS!$AB$3,tabela_registros[CATEGORIA],investirrendafixaconsolidadonov[[#This Row],[ATUAL]])</f>
        <v>0</v>
      </c>
      <c r="I115" s="119" t="n">
        <f aca="false">SUMIFS(tabela_registros[VALOR],tabela_registros[MÊS],$AE$1,tabela_registros[DIA],investirrendafixaconsolidadonov[[#Headers],[5]],tabela_registros[REGISTRO],DADOS!$N$5,tabela_registros[TIPO],DADOS!$AB$3,tabela_registros[CATEGORIA],investirrendafixaconsolidadonov[[#This Row],[ATUAL]])</f>
        <v>0</v>
      </c>
      <c r="J115" s="119" t="n">
        <f aca="false">SUMIFS(tabela_registros[VALOR],tabela_registros[MÊS],$AE$1,tabela_registros[DIA],investirrendafixaconsolidadonov[[#Headers],[6]],tabela_registros[REGISTRO],DADOS!$N$5,tabela_registros[TIPO],DADOS!$AB$3,tabela_registros[CATEGORIA],investirrendafixaconsolidadonov[[#This Row],[ATUAL]])</f>
        <v>0</v>
      </c>
      <c r="K115" s="119" t="n">
        <f aca="false">SUMIFS(tabela_registros[VALOR],tabela_registros[MÊS],$AE$1,tabela_registros[DIA],investirrendafixaconsolidadonov[[#Headers],[7]],tabela_registros[REGISTRO],DADOS!$N$5,tabela_registros[TIPO],DADOS!$AB$3,tabela_registros[CATEGORIA],investirrendafixaconsolidadonov[[#This Row],[ATUAL]])</f>
        <v>0</v>
      </c>
      <c r="L115" s="119" t="n">
        <f aca="false">SUMIFS(tabela_registros[VALOR],tabela_registros[MÊS],$AE$1,tabela_registros[DIA],investirrendafixaconsolidadonov[[#Headers],[8]],tabela_registros[REGISTRO],DADOS!$N$5,tabela_registros[TIPO],DADOS!$AB$3,tabela_registros[CATEGORIA],investirrendafixaconsolidadonov[[#This Row],[ATUAL]])</f>
        <v>0</v>
      </c>
      <c r="M115" s="119" t="n">
        <f aca="false">SUMIFS(tabela_registros[VALOR],tabela_registros[MÊS],$AE$1,tabela_registros[DIA],investirrendafixaconsolidadonov[[#Headers],[9]],tabela_registros[REGISTRO],DADOS!$N$5,tabela_registros[TIPO],DADOS!$AB$3,tabela_registros[CATEGORIA],investirrendafixaconsolidadonov[[#This Row],[ATUAL]])</f>
        <v>0</v>
      </c>
      <c r="N115" s="119" t="n">
        <f aca="false">SUMIFS(tabela_registros[VALOR],tabela_registros[MÊS],$AE$1,tabela_registros[DIA],investirrendafixaconsolidadonov[[#Headers],[10]],tabela_registros[REGISTRO],DADOS!$N$5,tabela_registros[TIPO],DADOS!$AB$3,tabela_registros[CATEGORIA],investirrendafixaconsolidadonov[[#This Row],[ATUAL]])</f>
        <v>0</v>
      </c>
      <c r="O115" s="119" t="n">
        <f aca="false">SUMIFS(tabela_registros[VALOR],tabela_registros[MÊS],$AE$1,tabela_registros[DIA],investirrendafixaconsolidadonov[[#Headers],[11]],tabela_registros[REGISTRO],DADOS!$N$5,tabela_registros[TIPO],DADOS!$AB$3,tabela_registros[CATEGORIA],investirrendafixaconsolidadonov[[#This Row],[ATUAL]])</f>
        <v>0</v>
      </c>
      <c r="P115" s="119" t="n">
        <f aca="false">SUMIFS(tabela_registros[VALOR],tabela_registros[MÊS],$AE$1,tabela_registros[DIA],investirrendafixaconsolidadonov[[#Headers],[12]],tabela_registros[REGISTRO],DADOS!$N$5,tabela_registros[TIPO],DADOS!$AB$3,tabela_registros[CATEGORIA],investirrendafixaconsolidadonov[[#This Row],[ATUAL]])</f>
        <v>0</v>
      </c>
      <c r="Q115" s="119" t="n">
        <f aca="false">SUMIFS(tabela_registros[VALOR],tabela_registros[MÊS],$AE$1,tabela_registros[DIA],investirrendafixaconsolidadonov[[#Headers],[13]],tabela_registros[REGISTRO],DADOS!$N$5,tabela_registros[TIPO],DADOS!$AB$3,tabela_registros[CATEGORIA],investirrendafixaconsolidadonov[[#This Row],[ATUAL]])</f>
        <v>0</v>
      </c>
      <c r="R115" s="119" t="n">
        <f aca="false">SUMIFS(tabela_registros[VALOR],tabela_registros[MÊS],$AE$1,tabela_registros[DIA],investirrendafixaconsolidadonov[[#Headers],[14]],tabela_registros[REGISTRO],DADOS!$N$5,tabela_registros[TIPO],DADOS!$AB$3,tabela_registros[CATEGORIA],investirrendafixaconsolidadonov[[#This Row],[ATUAL]])</f>
        <v>0</v>
      </c>
      <c r="S115" s="119" t="n">
        <f aca="false">SUMIFS(tabela_registros[VALOR],tabela_registros[MÊS],$AE$1,tabela_registros[DIA],investirrendafixaconsolidadonov[[#Headers],[15]],tabela_registros[REGISTRO],DADOS!$N$5,tabela_registros[TIPO],DADOS!$AB$3,tabela_registros[CATEGORIA],investirrendafixaconsolidadonov[[#This Row],[ATUAL]])</f>
        <v>0</v>
      </c>
      <c r="T115" s="119" t="n">
        <f aca="false">SUMIFS(tabela_registros[VALOR],tabela_registros[MÊS],$AE$1,tabela_registros[DIA],investirrendafixaconsolidadonov[[#Headers],[16]],tabela_registros[REGISTRO],DADOS!$N$5,tabela_registros[TIPO],DADOS!$AB$3,tabela_registros[CATEGORIA],investirrendafixaconsolidadonov[[#This Row],[ATUAL]])</f>
        <v>0</v>
      </c>
      <c r="U115" s="119" t="n">
        <f aca="false">SUMIFS(tabela_registros[VALOR],tabela_registros[MÊS],$AE$1,tabela_registros[DIA],investirrendafixaconsolidadonov[[#Headers],[17]],tabela_registros[REGISTRO],DADOS!$N$5,tabela_registros[TIPO],DADOS!$AB$3,tabela_registros[CATEGORIA],investirrendafixaconsolidadonov[[#This Row],[ATUAL]])</f>
        <v>0</v>
      </c>
      <c r="V115" s="119" t="n">
        <f aca="false">SUMIFS(tabela_registros[VALOR],tabela_registros[MÊS],$AE$1,tabela_registros[DIA],investirrendafixaconsolidadonov[[#Headers],[18]],tabela_registros[REGISTRO],DADOS!$N$5,tabela_registros[TIPO],DADOS!$AB$3,tabela_registros[CATEGORIA],investirrendafixaconsolidadonov[[#This Row],[ATUAL]])</f>
        <v>0</v>
      </c>
      <c r="W115" s="119" t="n">
        <f aca="false">SUMIFS(tabela_registros[VALOR],tabela_registros[MÊS],$AE$1,tabela_registros[DIA],investirrendafixaconsolidadonov[[#Headers],[19]],tabela_registros[REGISTRO],DADOS!$N$5,tabela_registros[TIPO],DADOS!$AB$3,tabela_registros[CATEGORIA],investirrendafixaconsolidadonov[[#This Row],[ATUAL]])</f>
        <v>0</v>
      </c>
      <c r="X115" s="119" t="n">
        <f aca="false">SUMIFS(tabela_registros[VALOR],tabela_registros[MÊS],$AE$1,tabela_registros[DIA],investirrendafixaconsolidadonov[[#Headers],[20]],tabela_registros[REGISTRO],DADOS!$N$5,tabela_registros[TIPO],DADOS!$AB$3,tabela_registros[CATEGORIA],investirrendafixaconsolidadonov[[#This Row],[ATUAL]])</f>
        <v>0</v>
      </c>
      <c r="Y115" s="119" t="n">
        <f aca="false">SUMIFS(tabela_registros[VALOR],tabela_registros[MÊS],$AE$1,tabela_registros[DIA],investirrendafixaconsolidadonov[[#Headers],[21]],tabela_registros[REGISTRO],DADOS!$N$5,tabela_registros[TIPO],DADOS!$AB$3,tabela_registros[CATEGORIA],investirrendafixaconsolidadonov[[#This Row],[ATUAL]])</f>
        <v>0</v>
      </c>
      <c r="Z115" s="119" t="n">
        <f aca="false">SUMIFS(tabela_registros[VALOR],tabela_registros[MÊS],$AE$1,tabela_registros[DIA],investirrendafixaconsolidadonov[[#Headers],[22]],tabela_registros[REGISTRO],DADOS!$N$5,tabela_registros[TIPO],DADOS!$AB$3,tabela_registros[CATEGORIA],investirrendafixaconsolidadonov[[#This Row],[ATUAL]])</f>
        <v>0</v>
      </c>
      <c r="AA115" s="119" t="n">
        <f aca="false">SUMIFS(tabela_registros[VALOR],tabela_registros[MÊS],$AE$1,tabela_registros[DIA],investirrendafixaconsolidadonov[[#Headers],[23]],tabela_registros[REGISTRO],DADOS!$N$5,tabela_registros[TIPO],DADOS!$AB$3,tabela_registros[CATEGORIA],investirrendafixaconsolidadonov[[#This Row],[ATUAL]])</f>
        <v>0</v>
      </c>
      <c r="AB115" s="119" t="n">
        <f aca="false">SUMIFS(tabela_registros[VALOR],tabela_registros[MÊS],$AE$1,tabela_registros[DIA],investirrendafixaconsolidadonov[[#Headers],[24]],tabela_registros[REGISTRO],DADOS!$N$5,tabela_registros[TIPO],DADOS!$AB$3,tabela_registros[CATEGORIA],investirrendafixaconsolidadonov[[#This Row],[ATUAL]])</f>
        <v>0</v>
      </c>
      <c r="AC115" s="119" t="n">
        <f aca="false">SUMIFS(tabela_registros[VALOR],tabela_registros[MÊS],$AE$1,tabela_registros[DIA],investirrendafixaconsolidadonov[[#Headers],[25]],tabela_registros[REGISTRO],DADOS!$N$5,tabela_registros[TIPO],DADOS!$AB$3,tabela_registros[CATEGORIA],investirrendafixaconsolidadonov[[#This Row],[ATUAL]])</f>
        <v>0</v>
      </c>
      <c r="AD115" s="119" t="n">
        <f aca="false">SUMIFS(tabela_registros[VALOR],tabela_registros[MÊS],$AE$1,tabela_registros[DIA],investirrendafixaconsolidadonov[[#Headers],[26]],tabela_registros[REGISTRO],DADOS!$N$5,tabela_registros[TIPO],DADOS!$AB$3,tabela_registros[CATEGORIA],investirrendafixaconsolidadonov[[#This Row],[ATUAL]])</f>
        <v>0</v>
      </c>
      <c r="AE115" s="119" t="n">
        <f aca="false">SUMIFS(tabela_registros[VALOR],tabela_registros[MÊS],$AE$1,tabela_registros[DIA],investirrendafixaconsolidadonov[[#Headers],[27]],tabela_registros[REGISTRO],DADOS!$N$5,tabela_registros[TIPO],DADOS!$AB$3,tabela_registros[CATEGORIA],investirrendafixaconsolidadonov[[#This Row],[ATUAL]])</f>
        <v>0</v>
      </c>
      <c r="AF115" s="119" t="n">
        <f aca="false">SUMIFS(tabela_registros[VALOR],tabela_registros[MÊS],$AE$1,tabela_registros[DIA],investirrendafixaconsolidadonov[[#Headers],[28]],tabela_registros[REGISTRO],DADOS!$N$5,tabela_registros[TIPO],DADOS!$AB$3,tabela_registros[CATEGORIA],investirrendafixaconsolidadonov[[#This Row],[ATUAL]])</f>
        <v>0</v>
      </c>
      <c r="AG115" s="119" t="n">
        <f aca="false">SUMIFS(tabela_registros[VALOR],tabela_registros[MÊS],$AE$1,tabela_registros[DIA],investirrendafixaconsolidadonov[[#Headers],[29]],tabela_registros[REGISTRO],DADOS!$N$5,tabela_registros[TIPO],DADOS!$AB$3,tabela_registros[CATEGORIA],investirrendafixaconsolidadonov[[#This Row],[ATUAL]])</f>
        <v>0</v>
      </c>
      <c r="AH115" s="119" t="n">
        <f aca="false">SUMIFS(tabela_registros[VALOR],tabela_registros[MÊS],$AE$1,tabela_registros[DIA],investirrendafixaconsolidadonov[[#Headers],[30]],tabela_registros[REGISTRO],DADOS!$N$5,tabela_registros[TIPO],DADOS!$AB$3,tabela_registros[CATEGORIA],investirrendafixaconsolidadonov[[#This Row],[ATUAL]])</f>
        <v>0</v>
      </c>
      <c r="AI115" s="217" t="n">
        <f aca="false">SUMIFS(tabela_registros[VALOR],tabela_registros[MÊS],$AE$1,tabela_registros[DIA],investirrendafixaconsolidadonov[[#Headers],[31]],tabela_registros[REGISTRO],DADOS!$N$5,tabela_registros[TIPO],DADOS!$AB$3,tabela_registros[CATEGORIA],investirrendafixaconsolidadonov[[#This Row],[ATUAL]])</f>
        <v>0</v>
      </c>
      <c r="AJ115" s="149" t="n">
        <f aca="false">SUM(investirrendafixaconsolidadonov[[#This Row],[1]:[31]])</f>
        <v>0</v>
      </c>
      <c r="AK115" s="165"/>
    </row>
    <row r="116" customFormat="false" ht="19.5" hidden="false" customHeight="true" outlineLevel="0" collapsed="false">
      <c r="B116" s="143"/>
      <c r="C116" s="144" t="str">
        <f aca="false">DADOS!$AD$6</f>
        <v>📝 DEBÊNTURE</v>
      </c>
      <c r="D116" s="145" t="str">
        <f aca="false">IF(investirrendafixaconsolidadonov[[#This Row],[TOTAL (R$)]]=0,"",IF(OR(investirrendafixaconsolidadonov[[#This Row],[TOTAL (R$)]]=LARGE($AJ$113:$AJ$122,1),investirrendafixaconsolidadonov[[#This Row],[TOTAL (R$)]]=LARGE($AJ$113:$AJ$122,2)),DADOS!$I$10,""))</f>
        <v/>
      </c>
      <c r="E116" s="148" t="n">
        <f aca="false">SUMIFS(tabela_registros[VALOR],tabela_registros[MÊS],$AE$1,tabela_registros[DIA],investirrendafixaconsolidadonov[[#Headers],[1]],tabela_registros[REGISTRO],DADOS!$N$5,tabela_registros[TIPO],DADOS!$AB$3,tabela_registros[CATEGORIA],investirrendafixaconsolidadonov[[#This Row],[ATUAL]])</f>
        <v>0</v>
      </c>
      <c r="F116" s="119" t="n">
        <f aca="false">SUMIFS(tabela_registros[VALOR],tabela_registros[MÊS],$AE$1,tabela_registros[DIA],investirrendafixaconsolidadonov[[#Headers],[2]],tabela_registros[REGISTRO],DADOS!$N$5,tabela_registros[TIPO],DADOS!$AB$3,tabela_registros[CATEGORIA],investirrendafixaconsolidadonov[[#This Row],[ATUAL]])</f>
        <v>0</v>
      </c>
      <c r="G116" s="119" t="n">
        <f aca="false">SUMIFS(tabela_registros[VALOR],tabela_registros[MÊS],$AE$1,tabela_registros[DIA],investirrendafixaconsolidadonov[[#Headers],[3]],tabela_registros[REGISTRO],DADOS!$N$5,tabela_registros[TIPO],DADOS!$AB$3,tabela_registros[CATEGORIA],investirrendafixaconsolidadonov[[#This Row],[ATUAL]])</f>
        <v>0</v>
      </c>
      <c r="H116" s="119" t="n">
        <f aca="false">SUMIFS(tabela_registros[VALOR],tabela_registros[MÊS],$AE$1,tabela_registros[DIA],investirrendafixaconsolidadonov[[#Headers],[4]],tabela_registros[REGISTRO],DADOS!$N$5,tabela_registros[TIPO],DADOS!$AB$3,tabela_registros[CATEGORIA],investirrendafixaconsolidadonov[[#This Row],[ATUAL]])</f>
        <v>0</v>
      </c>
      <c r="I116" s="119" t="n">
        <f aca="false">SUMIFS(tabela_registros[VALOR],tabela_registros[MÊS],$AE$1,tabela_registros[DIA],investirrendafixaconsolidadonov[[#Headers],[5]],tabela_registros[REGISTRO],DADOS!$N$5,tabela_registros[TIPO],DADOS!$AB$3,tabela_registros[CATEGORIA],investirrendafixaconsolidadonov[[#This Row],[ATUAL]])</f>
        <v>0</v>
      </c>
      <c r="J116" s="119" t="n">
        <f aca="false">SUMIFS(tabela_registros[VALOR],tabela_registros[MÊS],$AE$1,tabela_registros[DIA],investirrendafixaconsolidadonov[[#Headers],[6]],tabela_registros[REGISTRO],DADOS!$N$5,tabela_registros[TIPO],DADOS!$AB$3,tabela_registros[CATEGORIA],investirrendafixaconsolidadonov[[#This Row],[ATUAL]])</f>
        <v>0</v>
      </c>
      <c r="K116" s="119" t="n">
        <f aca="false">SUMIFS(tabela_registros[VALOR],tabela_registros[MÊS],$AE$1,tabela_registros[DIA],investirrendafixaconsolidadonov[[#Headers],[7]],tabela_registros[REGISTRO],DADOS!$N$5,tabela_registros[TIPO],DADOS!$AB$3,tabela_registros[CATEGORIA],investirrendafixaconsolidadonov[[#This Row],[ATUAL]])</f>
        <v>0</v>
      </c>
      <c r="L116" s="119" t="n">
        <f aca="false">SUMIFS(tabela_registros[VALOR],tabela_registros[MÊS],$AE$1,tabela_registros[DIA],investirrendafixaconsolidadonov[[#Headers],[8]],tabela_registros[REGISTRO],DADOS!$N$5,tabela_registros[TIPO],DADOS!$AB$3,tabela_registros[CATEGORIA],investirrendafixaconsolidadonov[[#This Row],[ATUAL]])</f>
        <v>0</v>
      </c>
      <c r="M116" s="119" t="n">
        <f aca="false">SUMIFS(tabela_registros[VALOR],tabela_registros[MÊS],$AE$1,tabela_registros[DIA],investirrendafixaconsolidadonov[[#Headers],[9]],tabela_registros[REGISTRO],DADOS!$N$5,tabela_registros[TIPO],DADOS!$AB$3,tabela_registros[CATEGORIA],investirrendafixaconsolidadonov[[#This Row],[ATUAL]])</f>
        <v>0</v>
      </c>
      <c r="N116" s="119" t="n">
        <f aca="false">SUMIFS(tabela_registros[VALOR],tabela_registros[MÊS],$AE$1,tabela_registros[DIA],investirrendafixaconsolidadonov[[#Headers],[10]],tabela_registros[REGISTRO],DADOS!$N$5,tabela_registros[TIPO],DADOS!$AB$3,tabela_registros[CATEGORIA],investirrendafixaconsolidadonov[[#This Row],[ATUAL]])</f>
        <v>0</v>
      </c>
      <c r="O116" s="119" t="n">
        <f aca="false">SUMIFS(tabela_registros[VALOR],tabela_registros[MÊS],$AE$1,tabela_registros[DIA],investirrendafixaconsolidadonov[[#Headers],[11]],tabela_registros[REGISTRO],DADOS!$N$5,tabela_registros[TIPO],DADOS!$AB$3,tabela_registros[CATEGORIA],investirrendafixaconsolidadonov[[#This Row],[ATUAL]])</f>
        <v>0</v>
      </c>
      <c r="P116" s="119" t="n">
        <f aca="false">SUMIFS(tabela_registros[VALOR],tabela_registros[MÊS],$AE$1,tabela_registros[DIA],investirrendafixaconsolidadonov[[#Headers],[12]],tabela_registros[REGISTRO],DADOS!$N$5,tabela_registros[TIPO],DADOS!$AB$3,tabela_registros[CATEGORIA],investirrendafixaconsolidadonov[[#This Row],[ATUAL]])</f>
        <v>0</v>
      </c>
      <c r="Q116" s="119" t="n">
        <f aca="false">SUMIFS(tabela_registros[VALOR],tabela_registros[MÊS],$AE$1,tabela_registros[DIA],investirrendafixaconsolidadonov[[#Headers],[13]],tabela_registros[REGISTRO],DADOS!$N$5,tabela_registros[TIPO],DADOS!$AB$3,tabela_registros[CATEGORIA],investirrendafixaconsolidadonov[[#This Row],[ATUAL]])</f>
        <v>0</v>
      </c>
      <c r="R116" s="119" t="n">
        <f aca="false">SUMIFS(tabela_registros[VALOR],tabela_registros[MÊS],$AE$1,tabela_registros[DIA],investirrendafixaconsolidadonov[[#Headers],[14]],tabela_registros[REGISTRO],DADOS!$N$5,tabela_registros[TIPO],DADOS!$AB$3,tabela_registros[CATEGORIA],investirrendafixaconsolidadonov[[#This Row],[ATUAL]])</f>
        <v>0</v>
      </c>
      <c r="S116" s="119" t="n">
        <f aca="false">SUMIFS(tabela_registros[VALOR],tabela_registros[MÊS],$AE$1,tabela_registros[DIA],investirrendafixaconsolidadonov[[#Headers],[15]],tabela_registros[REGISTRO],DADOS!$N$5,tabela_registros[TIPO],DADOS!$AB$3,tabela_registros[CATEGORIA],investirrendafixaconsolidadonov[[#This Row],[ATUAL]])</f>
        <v>0</v>
      </c>
      <c r="T116" s="119" t="n">
        <f aca="false">SUMIFS(tabela_registros[VALOR],tabela_registros[MÊS],$AE$1,tabela_registros[DIA],investirrendafixaconsolidadonov[[#Headers],[16]],tabela_registros[REGISTRO],DADOS!$N$5,tabela_registros[TIPO],DADOS!$AB$3,tabela_registros[CATEGORIA],investirrendafixaconsolidadonov[[#This Row],[ATUAL]])</f>
        <v>0</v>
      </c>
      <c r="U116" s="119" t="n">
        <f aca="false">SUMIFS(tabela_registros[VALOR],tabela_registros[MÊS],$AE$1,tabela_registros[DIA],investirrendafixaconsolidadonov[[#Headers],[17]],tabela_registros[REGISTRO],DADOS!$N$5,tabela_registros[TIPO],DADOS!$AB$3,tabela_registros[CATEGORIA],investirrendafixaconsolidadonov[[#This Row],[ATUAL]])</f>
        <v>0</v>
      </c>
      <c r="V116" s="119" t="n">
        <f aca="false">SUMIFS(tabela_registros[VALOR],tabela_registros[MÊS],$AE$1,tabela_registros[DIA],investirrendafixaconsolidadonov[[#Headers],[18]],tabela_registros[REGISTRO],DADOS!$N$5,tabela_registros[TIPO],DADOS!$AB$3,tabela_registros[CATEGORIA],investirrendafixaconsolidadonov[[#This Row],[ATUAL]])</f>
        <v>0</v>
      </c>
      <c r="W116" s="119" t="n">
        <f aca="false">SUMIFS(tabela_registros[VALOR],tabela_registros[MÊS],$AE$1,tabela_registros[DIA],investirrendafixaconsolidadonov[[#Headers],[19]],tabela_registros[REGISTRO],DADOS!$N$5,tabela_registros[TIPO],DADOS!$AB$3,tabela_registros[CATEGORIA],investirrendafixaconsolidadonov[[#This Row],[ATUAL]])</f>
        <v>0</v>
      </c>
      <c r="X116" s="119" t="n">
        <f aca="false">SUMIFS(tabela_registros[VALOR],tabela_registros[MÊS],$AE$1,tabela_registros[DIA],investirrendafixaconsolidadonov[[#Headers],[20]],tabela_registros[REGISTRO],DADOS!$N$5,tabela_registros[TIPO],DADOS!$AB$3,tabela_registros[CATEGORIA],investirrendafixaconsolidadonov[[#This Row],[ATUAL]])</f>
        <v>0</v>
      </c>
      <c r="Y116" s="119" t="n">
        <f aca="false">SUMIFS(tabela_registros[VALOR],tabela_registros[MÊS],$AE$1,tabela_registros[DIA],investirrendafixaconsolidadonov[[#Headers],[21]],tabela_registros[REGISTRO],DADOS!$N$5,tabela_registros[TIPO],DADOS!$AB$3,tabela_registros[CATEGORIA],investirrendafixaconsolidadonov[[#This Row],[ATUAL]])</f>
        <v>0</v>
      </c>
      <c r="Z116" s="119" t="n">
        <f aca="false">SUMIFS(tabela_registros[VALOR],tabela_registros[MÊS],$AE$1,tabela_registros[DIA],investirrendafixaconsolidadonov[[#Headers],[22]],tabela_registros[REGISTRO],DADOS!$N$5,tabela_registros[TIPO],DADOS!$AB$3,tabela_registros[CATEGORIA],investirrendafixaconsolidadonov[[#This Row],[ATUAL]])</f>
        <v>0</v>
      </c>
      <c r="AA116" s="119" t="n">
        <f aca="false">SUMIFS(tabela_registros[VALOR],tabela_registros[MÊS],$AE$1,tabela_registros[DIA],investirrendafixaconsolidadonov[[#Headers],[23]],tabela_registros[REGISTRO],DADOS!$N$5,tabela_registros[TIPO],DADOS!$AB$3,tabela_registros[CATEGORIA],investirrendafixaconsolidadonov[[#This Row],[ATUAL]])</f>
        <v>0</v>
      </c>
      <c r="AB116" s="119" t="n">
        <f aca="false">SUMIFS(tabela_registros[VALOR],tabela_registros[MÊS],$AE$1,tabela_registros[DIA],investirrendafixaconsolidadonov[[#Headers],[24]],tabela_registros[REGISTRO],DADOS!$N$5,tabela_registros[TIPO],DADOS!$AB$3,tabela_registros[CATEGORIA],investirrendafixaconsolidadonov[[#This Row],[ATUAL]])</f>
        <v>0</v>
      </c>
      <c r="AC116" s="119" t="n">
        <f aca="false">SUMIFS(tabela_registros[VALOR],tabela_registros[MÊS],$AE$1,tabela_registros[DIA],investirrendafixaconsolidadonov[[#Headers],[25]],tabela_registros[REGISTRO],DADOS!$N$5,tabela_registros[TIPO],DADOS!$AB$3,tabela_registros[CATEGORIA],investirrendafixaconsolidadonov[[#This Row],[ATUAL]])</f>
        <v>0</v>
      </c>
      <c r="AD116" s="119" t="n">
        <f aca="false">SUMIFS(tabela_registros[VALOR],tabela_registros[MÊS],$AE$1,tabela_registros[DIA],investirrendafixaconsolidadonov[[#Headers],[26]],tabela_registros[REGISTRO],DADOS!$N$5,tabela_registros[TIPO],DADOS!$AB$3,tabela_registros[CATEGORIA],investirrendafixaconsolidadonov[[#This Row],[ATUAL]])</f>
        <v>0</v>
      </c>
      <c r="AE116" s="119" t="n">
        <f aca="false">SUMIFS(tabela_registros[VALOR],tabela_registros[MÊS],$AE$1,tabela_registros[DIA],investirrendafixaconsolidadonov[[#Headers],[27]],tabela_registros[REGISTRO],DADOS!$N$5,tabela_registros[TIPO],DADOS!$AB$3,tabela_registros[CATEGORIA],investirrendafixaconsolidadonov[[#This Row],[ATUAL]])</f>
        <v>0</v>
      </c>
      <c r="AF116" s="119" t="n">
        <f aca="false">SUMIFS(tabela_registros[VALOR],tabela_registros[MÊS],$AE$1,tabela_registros[DIA],investirrendafixaconsolidadonov[[#Headers],[28]],tabela_registros[REGISTRO],DADOS!$N$5,tabela_registros[TIPO],DADOS!$AB$3,tabela_registros[CATEGORIA],investirrendafixaconsolidadonov[[#This Row],[ATUAL]])</f>
        <v>0</v>
      </c>
      <c r="AG116" s="119" t="n">
        <f aca="false">SUMIFS(tabela_registros[VALOR],tabela_registros[MÊS],$AE$1,tabela_registros[DIA],investirrendafixaconsolidadonov[[#Headers],[29]],tabela_registros[REGISTRO],DADOS!$N$5,tabela_registros[TIPO],DADOS!$AB$3,tabela_registros[CATEGORIA],investirrendafixaconsolidadonov[[#This Row],[ATUAL]])</f>
        <v>0</v>
      </c>
      <c r="AH116" s="119" t="n">
        <f aca="false">SUMIFS(tabela_registros[VALOR],tabela_registros[MÊS],$AE$1,tabela_registros[DIA],investirrendafixaconsolidadonov[[#Headers],[30]],tabela_registros[REGISTRO],DADOS!$N$5,tabela_registros[TIPO],DADOS!$AB$3,tabela_registros[CATEGORIA],investirrendafixaconsolidadonov[[#This Row],[ATUAL]])</f>
        <v>0</v>
      </c>
      <c r="AI116" s="217" t="n">
        <f aca="false">SUMIFS(tabela_registros[VALOR],tabela_registros[MÊS],$AE$1,tabela_registros[DIA],investirrendafixaconsolidadonov[[#Headers],[31]],tabela_registros[REGISTRO],DADOS!$N$5,tabela_registros[TIPO],DADOS!$AB$3,tabela_registros[CATEGORIA],investirrendafixaconsolidadonov[[#This Row],[ATUAL]])</f>
        <v>0</v>
      </c>
      <c r="AJ116" s="149" t="n">
        <f aca="false">SUM(investirrendafixaconsolidadonov[[#This Row],[1]:[31]])</f>
        <v>0</v>
      </c>
      <c r="AK116" s="165"/>
    </row>
    <row r="117" customFormat="false" ht="19.5" hidden="false" customHeight="true" outlineLevel="0" collapsed="false">
      <c r="B117" s="143"/>
      <c r="C117" s="144" t="str">
        <f aca="false">DADOS!$AD$7</f>
        <v>📝 EXTERIOR</v>
      </c>
      <c r="D117" s="145" t="str">
        <f aca="false">IF(investirrendafixaconsolidadonov[[#This Row],[TOTAL (R$)]]=0,"",IF(OR(investirrendafixaconsolidadonov[[#This Row],[TOTAL (R$)]]=LARGE($AJ$113:$AJ$122,1),investirrendafixaconsolidadonov[[#This Row],[TOTAL (R$)]]=LARGE($AJ$113:$AJ$122,2)),DADOS!$I$10,""))</f>
        <v/>
      </c>
      <c r="E117" s="148" t="n">
        <f aca="false">SUMIFS(tabela_registros[VALOR],tabela_registros[MÊS],$AE$1,tabela_registros[DIA],investirrendafixaconsolidadonov[[#Headers],[1]],tabela_registros[REGISTRO],DADOS!$N$5,tabela_registros[TIPO],DADOS!$AB$3,tabela_registros[CATEGORIA],investirrendafixaconsolidadonov[[#This Row],[ATUAL]])</f>
        <v>0</v>
      </c>
      <c r="F117" s="119" t="n">
        <f aca="false">SUMIFS(tabela_registros[VALOR],tabela_registros[MÊS],$AE$1,tabela_registros[DIA],investirrendafixaconsolidadonov[[#Headers],[2]],tabela_registros[REGISTRO],DADOS!$N$5,tabela_registros[TIPO],DADOS!$AB$3,tabela_registros[CATEGORIA],investirrendafixaconsolidadonov[[#This Row],[ATUAL]])</f>
        <v>0</v>
      </c>
      <c r="G117" s="119" t="n">
        <f aca="false">SUMIFS(tabela_registros[VALOR],tabela_registros[MÊS],$AE$1,tabela_registros[DIA],investirrendafixaconsolidadonov[[#Headers],[3]],tabela_registros[REGISTRO],DADOS!$N$5,tabela_registros[TIPO],DADOS!$AB$3,tabela_registros[CATEGORIA],investirrendafixaconsolidadonov[[#This Row],[ATUAL]])</f>
        <v>0</v>
      </c>
      <c r="H117" s="119" t="n">
        <f aca="false">SUMIFS(tabela_registros[VALOR],tabela_registros[MÊS],$AE$1,tabela_registros[DIA],investirrendafixaconsolidadonov[[#Headers],[4]],tabela_registros[REGISTRO],DADOS!$N$5,tabela_registros[TIPO],DADOS!$AB$3,tabela_registros[CATEGORIA],investirrendafixaconsolidadonov[[#This Row],[ATUAL]])</f>
        <v>0</v>
      </c>
      <c r="I117" s="119" t="n">
        <f aca="false">SUMIFS(tabela_registros[VALOR],tabela_registros[MÊS],$AE$1,tabela_registros[DIA],investirrendafixaconsolidadonov[[#Headers],[5]],tabela_registros[REGISTRO],DADOS!$N$5,tabela_registros[TIPO],DADOS!$AB$3,tabela_registros[CATEGORIA],investirrendafixaconsolidadonov[[#This Row],[ATUAL]])</f>
        <v>0</v>
      </c>
      <c r="J117" s="119" t="n">
        <f aca="false">SUMIFS(tabela_registros[VALOR],tabela_registros[MÊS],$AE$1,tabela_registros[DIA],investirrendafixaconsolidadonov[[#Headers],[6]],tabela_registros[REGISTRO],DADOS!$N$5,tabela_registros[TIPO],DADOS!$AB$3,tabela_registros[CATEGORIA],investirrendafixaconsolidadonov[[#This Row],[ATUAL]])</f>
        <v>0</v>
      </c>
      <c r="K117" s="119" t="n">
        <f aca="false">SUMIFS(tabela_registros[VALOR],tabela_registros[MÊS],$AE$1,tabela_registros[DIA],investirrendafixaconsolidadonov[[#Headers],[7]],tabela_registros[REGISTRO],DADOS!$N$5,tabela_registros[TIPO],DADOS!$AB$3,tabela_registros[CATEGORIA],investirrendafixaconsolidadonov[[#This Row],[ATUAL]])</f>
        <v>0</v>
      </c>
      <c r="L117" s="119" t="n">
        <f aca="false">SUMIFS(tabela_registros[VALOR],tabela_registros[MÊS],$AE$1,tabela_registros[DIA],investirrendafixaconsolidadonov[[#Headers],[8]],tabela_registros[REGISTRO],DADOS!$N$5,tabela_registros[TIPO],DADOS!$AB$3,tabela_registros[CATEGORIA],investirrendafixaconsolidadonov[[#This Row],[ATUAL]])</f>
        <v>0</v>
      </c>
      <c r="M117" s="119" t="n">
        <f aca="false">SUMIFS(tabela_registros[VALOR],tabela_registros[MÊS],$AE$1,tabela_registros[DIA],investirrendafixaconsolidadonov[[#Headers],[9]],tabela_registros[REGISTRO],DADOS!$N$5,tabela_registros[TIPO],DADOS!$AB$3,tabela_registros[CATEGORIA],investirrendafixaconsolidadonov[[#This Row],[ATUAL]])</f>
        <v>0</v>
      </c>
      <c r="N117" s="119" t="n">
        <f aca="false">SUMIFS(tabela_registros[VALOR],tabela_registros[MÊS],$AE$1,tabela_registros[DIA],investirrendafixaconsolidadonov[[#Headers],[10]],tabela_registros[REGISTRO],DADOS!$N$5,tabela_registros[TIPO],DADOS!$AB$3,tabela_registros[CATEGORIA],investirrendafixaconsolidadonov[[#This Row],[ATUAL]])</f>
        <v>0</v>
      </c>
      <c r="O117" s="119" t="n">
        <f aca="false">SUMIFS(tabela_registros[VALOR],tabela_registros[MÊS],$AE$1,tabela_registros[DIA],investirrendafixaconsolidadonov[[#Headers],[11]],tabela_registros[REGISTRO],DADOS!$N$5,tabela_registros[TIPO],DADOS!$AB$3,tabela_registros[CATEGORIA],investirrendafixaconsolidadonov[[#This Row],[ATUAL]])</f>
        <v>0</v>
      </c>
      <c r="P117" s="119" t="n">
        <f aca="false">SUMIFS(tabela_registros[VALOR],tabela_registros[MÊS],$AE$1,tabela_registros[DIA],investirrendafixaconsolidadonov[[#Headers],[12]],tabela_registros[REGISTRO],DADOS!$N$5,tabela_registros[TIPO],DADOS!$AB$3,tabela_registros[CATEGORIA],investirrendafixaconsolidadonov[[#This Row],[ATUAL]])</f>
        <v>0</v>
      </c>
      <c r="Q117" s="119" t="n">
        <f aca="false">SUMIFS(tabela_registros[VALOR],tabela_registros[MÊS],$AE$1,tabela_registros[DIA],investirrendafixaconsolidadonov[[#Headers],[13]],tabela_registros[REGISTRO],DADOS!$N$5,tabela_registros[TIPO],DADOS!$AB$3,tabela_registros[CATEGORIA],investirrendafixaconsolidadonov[[#This Row],[ATUAL]])</f>
        <v>0</v>
      </c>
      <c r="R117" s="119" t="n">
        <f aca="false">SUMIFS(tabela_registros[VALOR],tabela_registros[MÊS],$AE$1,tabela_registros[DIA],investirrendafixaconsolidadonov[[#Headers],[14]],tabela_registros[REGISTRO],DADOS!$N$5,tabela_registros[TIPO],DADOS!$AB$3,tabela_registros[CATEGORIA],investirrendafixaconsolidadonov[[#This Row],[ATUAL]])</f>
        <v>0</v>
      </c>
      <c r="S117" s="119" t="n">
        <f aca="false">SUMIFS(tabela_registros[VALOR],tabela_registros[MÊS],$AE$1,tabela_registros[DIA],investirrendafixaconsolidadonov[[#Headers],[15]],tabela_registros[REGISTRO],DADOS!$N$5,tabela_registros[TIPO],DADOS!$AB$3,tabela_registros[CATEGORIA],investirrendafixaconsolidadonov[[#This Row],[ATUAL]])</f>
        <v>0</v>
      </c>
      <c r="T117" s="119" t="n">
        <f aca="false">SUMIFS(tabela_registros[VALOR],tabela_registros[MÊS],$AE$1,tabela_registros[DIA],investirrendafixaconsolidadonov[[#Headers],[16]],tabela_registros[REGISTRO],DADOS!$N$5,tabela_registros[TIPO],DADOS!$AB$3,tabela_registros[CATEGORIA],investirrendafixaconsolidadonov[[#This Row],[ATUAL]])</f>
        <v>0</v>
      </c>
      <c r="U117" s="119" t="n">
        <f aca="false">SUMIFS(tabela_registros[VALOR],tabela_registros[MÊS],$AE$1,tabela_registros[DIA],investirrendafixaconsolidadonov[[#Headers],[17]],tabela_registros[REGISTRO],DADOS!$N$5,tabela_registros[TIPO],DADOS!$AB$3,tabela_registros[CATEGORIA],investirrendafixaconsolidadonov[[#This Row],[ATUAL]])</f>
        <v>0</v>
      </c>
      <c r="V117" s="119" t="n">
        <f aca="false">SUMIFS(tabela_registros[VALOR],tabela_registros[MÊS],$AE$1,tabela_registros[DIA],investirrendafixaconsolidadonov[[#Headers],[18]],tabela_registros[REGISTRO],DADOS!$N$5,tabela_registros[TIPO],DADOS!$AB$3,tabela_registros[CATEGORIA],investirrendafixaconsolidadonov[[#This Row],[ATUAL]])</f>
        <v>0</v>
      </c>
      <c r="W117" s="119" t="n">
        <f aca="false">SUMIFS(tabela_registros[VALOR],tabela_registros[MÊS],$AE$1,tabela_registros[DIA],investirrendafixaconsolidadonov[[#Headers],[19]],tabela_registros[REGISTRO],DADOS!$N$5,tabela_registros[TIPO],DADOS!$AB$3,tabela_registros[CATEGORIA],investirrendafixaconsolidadonov[[#This Row],[ATUAL]])</f>
        <v>0</v>
      </c>
      <c r="X117" s="119" t="n">
        <f aca="false">SUMIFS(tabela_registros[VALOR],tabela_registros[MÊS],$AE$1,tabela_registros[DIA],investirrendafixaconsolidadonov[[#Headers],[20]],tabela_registros[REGISTRO],DADOS!$N$5,tabela_registros[TIPO],DADOS!$AB$3,tabela_registros[CATEGORIA],investirrendafixaconsolidadonov[[#This Row],[ATUAL]])</f>
        <v>0</v>
      </c>
      <c r="Y117" s="119" t="n">
        <f aca="false">SUMIFS(tabela_registros[VALOR],tabela_registros[MÊS],$AE$1,tabela_registros[DIA],investirrendafixaconsolidadonov[[#Headers],[21]],tabela_registros[REGISTRO],DADOS!$N$5,tabela_registros[TIPO],DADOS!$AB$3,tabela_registros[CATEGORIA],investirrendafixaconsolidadonov[[#This Row],[ATUAL]])</f>
        <v>0</v>
      </c>
      <c r="Z117" s="119" t="n">
        <f aca="false">SUMIFS(tabela_registros[VALOR],tabela_registros[MÊS],$AE$1,tabela_registros[DIA],investirrendafixaconsolidadonov[[#Headers],[22]],tabela_registros[REGISTRO],DADOS!$N$5,tabela_registros[TIPO],DADOS!$AB$3,tabela_registros[CATEGORIA],investirrendafixaconsolidadonov[[#This Row],[ATUAL]])</f>
        <v>0</v>
      </c>
      <c r="AA117" s="119" t="n">
        <f aca="false">SUMIFS(tabela_registros[VALOR],tabela_registros[MÊS],$AE$1,tabela_registros[DIA],investirrendafixaconsolidadonov[[#Headers],[23]],tabela_registros[REGISTRO],DADOS!$N$5,tabela_registros[TIPO],DADOS!$AB$3,tabela_registros[CATEGORIA],investirrendafixaconsolidadonov[[#This Row],[ATUAL]])</f>
        <v>0</v>
      </c>
      <c r="AB117" s="119" t="n">
        <f aca="false">SUMIFS(tabela_registros[VALOR],tabela_registros[MÊS],$AE$1,tabela_registros[DIA],investirrendafixaconsolidadonov[[#Headers],[24]],tabela_registros[REGISTRO],DADOS!$N$5,tabela_registros[TIPO],DADOS!$AB$3,tabela_registros[CATEGORIA],investirrendafixaconsolidadonov[[#This Row],[ATUAL]])</f>
        <v>0</v>
      </c>
      <c r="AC117" s="119" t="n">
        <f aca="false">SUMIFS(tabela_registros[VALOR],tabela_registros[MÊS],$AE$1,tabela_registros[DIA],investirrendafixaconsolidadonov[[#Headers],[25]],tabela_registros[REGISTRO],DADOS!$N$5,tabela_registros[TIPO],DADOS!$AB$3,tabela_registros[CATEGORIA],investirrendafixaconsolidadonov[[#This Row],[ATUAL]])</f>
        <v>0</v>
      </c>
      <c r="AD117" s="119" t="n">
        <f aca="false">SUMIFS(tabela_registros[VALOR],tabela_registros[MÊS],$AE$1,tabela_registros[DIA],investirrendafixaconsolidadonov[[#Headers],[26]],tabela_registros[REGISTRO],DADOS!$N$5,tabela_registros[TIPO],DADOS!$AB$3,tabela_registros[CATEGORIA],investirrendafixaconsolidadonov[[#This Row],[ATUAL]])</f>
        <v>0</v>
      </c>
      <c r="AE117" s="119" t="n">
        <f aca="false">SUMIFS(tabela_registros[VALOR],tabela_registros[MÊS],$AE$1,tabela_registros[DIA],investirrendafixaconsolidadonov[[#Headers],[27]],tabela_registros[REGISTRO],DADOS!$N$5,tabela_registros[TIPO],DADOS!$AB$3,tabela_registros[CATEGORIA],investirrendafixaconsolidadonov[[#This Row],[ATUAL]])</f>
        <v>0</v>
      </c>
      <c r="AF117" s="119" t="n">
        <f aca="false">SUMIFS(tabela_registros[VALOR],tabela_registros[MÊS],$AE$1,tabela_registros[DIA],investirrendafixaconsolidadonov[[#Headers],[28]],tabela_registros[REGISTRO],DADOS!$N$5,tabela_registros[TIPO],DADOS!$AB$3,tabela_registros[CATEGORIA],investirrendafixaconsolidadonov[[#This Row],[ATUAL]])</f>
        <v>0</v>
      </c>
      <c r="AG117" s="119" t="n">
        <f aca="false">SUMIFS(tabela_registros[VALOR],tabela_registros[MÊS],$AE$1,tabela_registros[DIA],investirrendafixaconsolidadonov[[#Headers],[29]],tabela_registros[REGISTRO],DADOS!$N$5,tabela_registros[TIPO],DADOS!$AB$3,tabela_registros[CATEGORIA],investirrendafixaconsolidadonov[[#This Row],[ATUAL]])</f>
        <v>0</v>
      </c>
      <c r="AH117" s="119" t="n">
        <f aca="false">SUMIFS(tabela_registros[VALOR],tabela_registros[MÊS],$AE$1,tabela_registros[DIA],investirrendafixaconsolidadonov[[#Headers],[30]],tabela_registros[REGISTRO],DADOS!$N$5,tabela_registros[TIPO],DADOS!$AB$3,tabela_registros[CATEGORIA],investirrendafixaconsolidadonov[[#This Row],[ATUAL]])</f>
        <v>0</v>
      </c>
      <c r="AI117" s="217" t="n">
        <f aca="false">SUMIFS(tabela_registros[VALOR],tabela_registros[MÊS],$AE$1,tabela_registros[DIA],investirrendafixaconsolidadonov[[#Headers],[31]],tabela_registros[REGISTRO],DADOS!$N$5,tabela_registros[TIPO],DADOS!$AB$3,tabela_registros[CATEGORIA],investirrendafixaconsolidadonov[[#This Row],[ATUAL]])</f>
        <v>0</v>
      </c>
      <c r="AJ117" s="149" t="n">
        <f aca="false">SUM(investirrendafixaconsolidadonov[[#This Row],[1]:[31]])</f>
        <v>0</v>
      </c>
      <c r="AK117" s="165"/>
    </row>
    <row r="118" customFormat="false" ht="19.5" hidden="false" customHeight="true" outlineLevel="0" collapsed="false">
      <c r="B118" s="143"/>
      <c r="C118" s="144" t="str">
        <f aca="false">DADOS!$AD$8</f>
        <v>📝 LC</v>
      </c>
      <c r="D118" s="145" t="str">
        <f aca="false">IF(investirrendafixaconsolidadonov[[#This Row],[TOTAL (R$)]]=0,"",IF(OR(investirrendafixaconsolidadonov[[#This Row],[TOTAL (R$)]]=LARGE($AJ$113:$AJ$122,1),investirrendafixaconsolidadonov[[#This Row],[TOTAL (R$)]]=LARGE($AJ$113:$AJ$122,2)),DADOS!$I$10,""))</f>
        <v/>
      </c>
      <c r="E118" s="148" t="n">
        <f aca="false">SUMIFS(tabela_registros[VALOR],tabela_registros[MÊS],$AE$1,tabela_registros[DIA],investirrendafixaconsolidadonov[[#Headers],[1]],tabela_registros[REGISTRO],DADOS!$N$5,tabela_registros[TIPO],DADOS!$AB$3,tabela_registros[CATEGORIA],investirrendafixaconsolidadonov[[#This Row],[ATUAL]])</f>
        <v>0</v>
      </c>
      <c r="F118" s="119" t="n">
        <f aca="false">SUMIFS(tabela_registros[VALOR],tabela_registros[MÊS],$AE$1,tabela_registros[DIA],investirrendafixaconsolidadonov[[#Headers],[2]],tabela_registros[REGISTRO],DADOS!$N$5,tabela_registros[TIPO],DADOS!$AB$3,tabela_registros[CATEGORIA],investirrendafixaconsolidadonov[[#This Row],[ATUAL]])</f>
        <v>0</v>
      </c>
      <c r="G118" s="119" t="n">
        <f aca="false">SUMIFS(tabela_registros[VALOR],tabela_registros[MÊS],$AE$1,tabela_registros[DIA],investirrendafixaconsolidadonov[[#Headers],[3]],tabela_registros[REGISTRO],DADOS!$N$5,tabela_registros[TIPO],DADOS!$AB$3,tabela_registros[CATEGORIA],investirrendafixaconsolidadonov[[#This Row],[ATUAL]])</f>
        <v>0</v>
      </c>
      <c r="H118" s="119" t="n">
        <f aca="false">SUMIFS(tabela_registros[VALOR],tabela_registros[MÊS],$AE$1,tabela_registros[DIA],investirrendafixaconsolidadonov[[#Headers],[4]],tabela_registros[REGISTRO],DADOS!$N$5,tabela_registros[TIPO],DADOS!$AB$3,tabela_registros[CATEGORIA],investirrendafixaconsolidadonov[[#This Row],[ATUAL]])</f>
        <v>0</v>
      </c>
      <c r="I118" s="119" t="n">
        <f aca="false">SUMIFS(tabela_registros[VALOR],tabela_registros[MÊS],$AE$1,tabela_registros[DIA],investirrendafixaconsolidadonov[[#Headers],[5]],tabela_registros[REGISTRO],DADOS!$N$5,tabela_registros[TIPO],DADOS!$AB$3,tabela_registros[CATEGORIA],investirrendafixaconsolidadonov[[#This Row],[ATUAL]])</f>
        <v>0</v>
      </c>
      <c r="J118" s="119" t="n">
        <f aca="false">SUMIFS(tabela_registros[VALOR],tabela_registros[MÊS],$AE$1,tabela_registros[DIA],investirrendafixaconsolidadonov[[#Headers],[6]],tabela_registros[REGISTRO],DADOS!$N$5,tabela_registros[TIPO],DADOS!$AB$3,tabela_registros[CATEGORIA],investirrendafixaconsolidadonov[[#This Row],[ATUAL]])</f>
        <v>0</v>
      </c>
      <c r="K118" s="119" t="n">
        <f aca="false">SUMIFS(tabela_registros[VALOR],tabela_registros[MÊS],$AE$1,tabela_registros[DIA],investirrendafixaconsolidadonov[[#Headers],[7]],tabela_registros[REGISTRO],DADOS!$N$5,tabela_registros[TIPO],DADOS!$AB$3,tabela_registros[CATEGORIA],investirrendafixaconsolidadonov[[#This Row],[ATUAL]])</f>
        <v>0</v>
      </c>
      <c r="L118" s="119" t="n">
        <f aca="false">SUMIFS(tabela_registros[VALOR],tabela_registros[MÊS],$AE$1,tabela_registros[DIA],investirrendafixaconsolidadonov[[#Headers],[8]],tabela_registros[REGISTRO],DADOS!$N$5,tabela_registros[TIPO],DADOS!$AB$3,tabela_registros[CATEGORIA],investirrendafixaconsolidadonov[[#This Row],[ATUAL]])</f>
        <v>0</v>
      </c>
      <c r="M118" s="119" t="n">
        <f aca="false">SUMIFS(tabela_registros[VALOR],tabela_registros[MÊS],$AE$1,tabela_registros[DIA],investirrendafixaconsolidadonov[[#Headers],[9]],tabela_registros[REGISTRO],DADOS!$N$5,tabela_registros[TIPO],DADOS!$AB$3,tabela_registros[CATEGORIA],investirrendafixaconsolidadonov[[#This Row],[ATUAL]])</f>
        <v>0</v>
      </c>
      <c r="N118" s="119" t="n">
        <f aca="false">SUMIFS(tabela_registros[VALOR],tabela_registros[MÊS],$AE$1,tabela_registros[DIA],investirrendafixaconsolidadonov[[#Headers],[10]],tabela_registros[REGISTRO],DADOS!$N$5,tabela_registros[TIPO],DADOS!$AB$3,tabela_registros[CATEGORIA],investirrendafixaconsolidadonov[[#This Row],[ATUAL]])</f>
        <v>0</v>
      </c>
      <c r="O118" s="119" t="n">
        <f aca="false">SUMIFS(tabela_registros[VALOR],tabela_registros[MÊS],$AE$1,tabela_registros[DIA],investirrendafixaconsolidadonov[[#Headers],[11]],tabela_registros[REGISTRO],DADOS!$N$5,tabela_registros[TIPO],DADOS!$AB$3,tabela_registros[CATEGORIA],investirrendafixaconsolidadonov[[#This Row],[ATUAL]])</f>
        <v>0</v>
      </c>
      <c r="P118" s="119" t="n">
        <f aca="false">SUMIFS(tabela_registros[VALOR],tabela_registros[MÊS],$AE$1,tabela_registros[DIA],investirrendafixaconsolidadonov[[#Headers],[12]],tabela_registros[REGISTRO],DADOS!$N$5,tabela_registros[TIPO],DADOS!$AB$3,tabela_registros[CATEGORIA],investirrendafixaconsolidadonov[[#This Row],[ATUAL]])</f>
        <v>0</v>
      </c>
      <c r="Q118" s="119" t="n">
        <f aca="false">SUMIFS(tabela_registros[VALOR],tabela_registros[MÊS],$AE$1,tabela_registros[DIA],investirrendafixaconsolidadonov[[#Headers],[13]],tabela_registros[REGISTRO],DADOS!$N$5,tabela_registros[TIPO],DADOS!$AB$3,tabela_registros[CATEGORIA],investirrendafixaconsolidadonov[[#This Row],[ATUAL]])</f>
        <v>0</v>
      </c>
      <c r="R118" s="119" t="n">
        <f aca="false">SUMIFS(tabela_registros[VALOR],tabela_registros[MÊS],$AE$1,tabela_registros[DIA],investirrendafixaconsolidadonov[[#Headers],[14]],tabela_registros[REGISTRO],DADOS!$N$5,tabela_registros[TIPO],DADOS!$AB$3,tabela_registros[CATEGORIA],investirrendafixaconsolidadonov[[#This Row],[ATUAL]])</f>
        <v>0</v>
      </c>
      <c r="S118" s="119" t="n">
        <f aca="false">SUMIFS(tabela_registros[VALOR],tabela_registros[MÊS],$AE$1,tabela_registros[DIA],investirrendafixaconsolidadonov[[#Headers],[15]],tabela_registros[REGISTRO],DADOS!$N$5,tabela_registros[TIPO],DADOS!$AB$3,tabela_registros[CATEGORIA],investirrendafixaconsolidadonov[[#This Row],[ATUAL]])</f>
        <v>0</v>
      </c>
      <c r="T118" s="119" t="n">
        <f aca="false">SUMIFS(tabela_registros[VALOR],tabela_registros[MÊS],$AE$1,tabela_registros[DIA],investirrendafixaconsolidadonov[[#Headers],[16]],tabela_registros[REGISTRO],DADOS!$N$5,tabela_registros[TIPO],DADOS!$AB$3,tabela_registros[CATEGORIA],investirrendafixaconsolidadonov[[#This Row],[ATUAL]])</f>
        <v>0</v>
      </c>
      <c r="U118" s="119" t="n">
        <f aca="false">SUMIFS(tabela_registros[VALOR],tabela_registros[MÊS],$AE$1,tabela_registros[DIA],investirrendafixaconsolidadonov[[#Headers],[17]],tabela_registros[REGISTRO],DADOS!$N$5,tabela_registros[TIPO],DADOS!$AB$3,tabela_registros[CATEGORIA],investirrendafixaconsolidadonov[[#This Row],[ATUAL]])</f>
        <v>0</v>
      </c>
      <c r="V118" s="119" t="n">
        <f aca="false">SUMIFS(tabela_registros[VALOR],tabela_registros[MÊS],$AE$1,tabela_registros[DIA],investirrendafixaconsolidadonov[[#Headers],[18]],tabela_registros[REGISTRO],DADOS!$N$5,tabela_registros[TIPO],DADOS!$AB$3,tabela_registros[CATEGORIA],investirrendafixaconsolidadonov[[#This Row],[ATUAL]])</f>
        <v>0</v>
      </c>
      <c r="W118" s="119" t="n">
        <f aca="false">SUMIFS(tabela_registros[VALOR],tabela_registros[MÊS],$AE$1,tabela_registros[DIA],investirrendafixaconsolidadonov[[#Headers],[19]],tabela_registros[REGISTRO],DADOS!$N$5,tabela_registros[TIPO],DADOS!$AB$3,tabela_registros[CATEGORIA],investirrendafixaconsolidadonov[[#This Row],[ATUAL]])</f>
        <v>0</v>
      </c>
      <c r="X118" s="119" t="n">
        <f aca="false">SUMIFS(tabela_registros[VALOR],tabela_registros[MÊS],$AE$1,tabela_registros[DIA],investirrendafixaconsolidadonov[[#Headers],[20]],tabela_registros[REGISTRO],DADOS!$N$5,tabela_registros[TIPO],DADOS!$AB$3,tabela_registros[CATEGORIA],investirrendafixaconsolidadonov[[#This Row],[ATUAL]])</f>
        <v>0</v>
      </c>
      <c r="Y118" s="119" t="n">
        <f aca="false">SUMIFS(tabela_registros[VALOR],tabela_registros[MÊS],$AE$1,tabela_registros[DIA],investirrendafixaconsolidadonov[[#Headers],[21]],tabela_registros[REGISTRO],DADOS!$N$5,tabela_registros[TIPO],DADOS!$AB$3,tabela_registros[CATEGORIA],investirrendafixaconsolidadonov[[#This Row],[ATUAL]])</f>
        <v>0</v>
      </c>
      <c r="Z118" s="119" t="n">
        <f aca="false">SUMIFS(tabela_registros[VALOR],tabela_registros[MÊS],$AE$1,tabela_registros[DIA],investirrendafixaconsolidadonov[[#Headers],[22]],tabela_registros[REGISTRO],DADOS!$N$5,tabela_registros[TIPO],DADOS!$AB$3,tabela_registros[CATEGORIA],investirrendafixaconsolidadonov[[#This Row],[ATUAL]])</f>
        <v>0</v>
      </c>
      <c r="AA118" s="119" t="n">
        <f aca="false">SUMIFS(tabela_registros[VALOR],tabela_registros[MÊS],$AE$1,tabela_registros[DIA],investirrendafixaconsolidadonov[[#Headers],[23]],tabela_registros[REGISTRO],DADOS!$N$5,tabela_registros[TIPO],DADOS!$AB$3,tabela_registros[CATEGORIA],investirrendafixaconsolidadonov[[#This Row],[ATUAL]])</f>
        <v>0</v>
      </c>
      <c r="AB118" s="119" t="n">
        <f aca="false">SUMIFS(tabela_registros[VALOR],tabela_registros[MÊS],$AE$1,tabela_registros[DIA],investirrendafixaconsolidadonov[[#Headers],[24]],tabela_registros[REGISTRO],DADOS!$N$5,tabela_registros[TIPO],DADOS!$AB$3,tabela_registros[CATEGORIA],investirrendafixaconsolidadonov[[#This Row],[ATUAL]])</f>
        <v>0</v>
      </c>
      <c r="AC118" s="119" t="n">
        <f aca="false">SUMIFS(tabela_registros[VALOR],tabela_registros[MÊS],$AE$1,tabela_registros[DIA],investirrendafixaconsolidadonov[[#Headers],[25]],tabela_registros[REGISTRO],DADOS!$N$5,tabela_registros[TIPO],DADOS!$AB$3,tabela_registros[CATEGORIA],investirrendafixaconsolidadonov[[#This Row],[ATUAL]])</f>
        <v>0</v>
      </c>
      <c r="AD118" s="119" t="n">
        <f aca="false">SUMIFS(tabela_registros[VALOR],tabela_registros[MÊS],$AE$1,tabela_registros[DIA],investirrendafixaconsolidadonov[[#Headers],[26]],tabela_registros[REGISTRO],DADOS!$N$5,tabela_registros[TIPO],DADOS!$AB$3,tabela_registros[CATEGORIA],investirrendafixaconsolidadonov[[#This Row],[ATUAL]])</f>
        <v>0</v>
      </c>
      <c r="AE118" s="119" t="n">
        <f aca="false">SUMIFS(tabela_registros[VALOR],tabela_registros[MÊS],$AE$1,tabela_registros[DIA],investirrendafixaconsolidadonov[[#Headers],[27]],tabela_registros[REGISTRO],DADOS!$N$5,tabela_registros[TIPO],DADOS!$AB$3,tabela_registros[CATEGORIA],investirrendafixaconsolidadonov[[#This Row],[ATUAL]])</f>
        <v>0</v>
      </c>
      <c r="AF118" s="119" t="n">
        <f aca="false">SUMIFS(tabela_registros[VALOR],tabela_registros[MÊS],$AE$1,tabela_registros[DIA],investirrendafixaconsolidadonov[[#Headers],[28]],tabela_registros[REGISTRO],DADOS!$N$5,tabela_registros[TIPO],DADOS!$AB$3,tabela_registros[CATEGORIA],investirrendafixaconsolidadonov[[#This Row],[ATUAL]])</f>
        <v>0</v>
      </c>
      <c r="AG118" s="119" t="n">
        <f aca="false">SUMIFS(tabela_registros[VALOR],tabela_registros[MÊS],$AE$1,tabela_registros[DIA],investirrendafixaconsolidadonov[[#Headers],[29]],tabela_registros[REGISTRO],DADOS!$N$5,tabela_registros[TIPO],DADOS!$AB$3,tabela_registros[CATEGORIA],investirrendafixaconsolidadonov[[#This Row],[ATUAL]])</f>
        <v>0</v>
      </c>
      <c r="AH118" s="119" t="n">
        <f aca="false">SUMIFS(tabela_registros[VALOR],tabela_registros[MÊS],$AE$1,tabela_registros[DIA],investirrendafixaconsolidadonov[[#Headers],[30]],tabela_registros[REGISTRO],DADOS!$N$5,tabela_registros[TIPO],DADOS!$AB$3,tabela_registros[CATEGORIA],investirrendafixaconsolidadonov[[#This Row],[ATUAL]])</f>
        <v>0</v>
      </c>
      <c r="AI118" s="217" t="n">
        <f aca="false">SUMIFS(tabela_registros[VALOR],tabela_registros[MÊS],$AE$1,tabela_registros[DIA],investirrendafixaconsolidadonov[[#Headers],[31]],tabela_registros[REGISTRO],DADOS!$N$5,tabela_registros[TIPO],DADOS!$AB$3,tabela_registros[CATEGORIA],investirrendafixaconsolidadonov[[#This Row],[ATUAL]])</f>
        <v>0</v>
      </c>
      <c r="AJ118" s="149" t="n">
        <f aca="false">SUM(investirrendafixaconsolidadonov[[#This Row],[1]:[31]])</f>
        <v>0</v>
      </c>
      <c r="AK118" s="165"/>
    </row>
    <row r="119" customFormat="false" ht="19.5" hidden="false" customHeight="true" outlineLevel="0" collapsed="false">
      <c r="B119" s="143"/>
      <c r="C119" s="144" t="str">
        <f aca="false">DADOS!$AD$9</f>
        <v>📝 LCA</v>
      </c>
      <c r="D119" s="145" t="str">
        <f aca="false">IF(investirrendafixaconsolidadonov[[#This Row],[TOTAL (R$)]]=0,"",IF(OR(investirrendafixaconsolidadonov[[#This Row],[TOTAL (R$)]]=LARGE($AJ$113:$AJ$122,1),investirrendafixaconsolidadonov[[#This Row],[TOTAL (R$)]]=LARGE($AJ$113:$AJ$122,2)),DADOS!$I$10,""))</f>
        <v/>
      </c>
      <c r="E119" s="148" t="n">
        <f aca="false">SUMIFS(tabela_registros[VALOR],tabela_registros[MÊS],$AE$1,tabela_registros[DIA],investirrendafixaconsolidadonov[[#Headers],[1]],tabela_registros[REGISTRO],DADOS!$N$5,tabela_registros[TIPO],DADOS!$AB$3,tabela_registros[CATEGORIA],investirrendafixaconsolidadonov[[#This Row],[ATUAL]])</f>
        <v>0</v>
      </c>
      <c r="F119" s="119" t="n">
        <f aca="false">SUMIFS(tabela_registros[VALOR],tabela_registros[MÊS],$AE$1,tabela_registros[DIA],investirrendafixaconsolidadonov[[#Headers],[2]],tabela_registros[REGISTRO],DADOS!$N$5,tabela_registros[TIPO],DADOS!$AB$3,tabela_registros[CATEGORIA],investirrendafixaconsolidadonov[[#This Row],[ATUAL]])</f>
        <v>0</v>
      </c>
      <c r="G119" s="119" t="n">
        <f aca="false">SUMIFS(tabela_registros[VALOR],tabela_registros[MÊS],$AE$1,tabela_registros[DIA],investirrendafixaconsolidadonov[[#Headers],[3]],tabela_registros[REGISTRO],DADOS!$N$5,tabela_registros[TIPO],DADOS!$AB$3,tabela_registros[CATEGORIA],investirrendafixaconsolidadonov[[#This Row],[ATUAL]])</f>
        <v>0</v>
      </c>
      <c r="H119" s="119" t="n">
        <f aca="false">SUMIFS(tabela_registros[VALOR],tabela_registros[MÊS],$AE$1,tabela_registros[DIA],investirrendafixaconsolidadonov[[#Headers],[4]],tabela_registros[REGISTRO],DADOS!$N$5,tabela_registros[TIPO],DADOS!$AB$3,tabela_registros[CATEGORIA],investirrendafixaconsolidadonov[[#This Row],[ATUAL]])</f>
        <v>0</v>
      </c>
      <c r="I119" s="119" t="n">
        <f aca="false">SUMIFS(tabela_registros[VALOR],tabela_registros[MÊS],$AE$1,tabela_registros[DIA],investirrendafixaconsolidadonov[[#Headers],[5]],tabela_registros[REGISTRO],DADOS!$N$5,tabela_registros[TIPO],DADOS!$AB$3,tabela_registros[CATEGORIA],investirrendafixaconsolidadonov[[#This Row],[ATUAL]])</f>
        <v>0</v>
      </c>
      <c r="J119" s="119" t="n">
        <f aca="false">SUMIFS(tabela_registros[VALOR],tabela_registros[MÊS],$AE$1,tabela_registros[DIA],investirrendafixaconsolidadonov[[#Headers],[6]],tabela_registros[REGISTRO],DADOS!$N$5,tabela_registros[TIPO],DADOS!$AB$3,tabela_registros[CATEGORIA],investirrendafixaconsolidadonov[[#This Row],[ATUAL]])</f>
        <v>0</v>
      </c>
      <c r="K119" s="119" t="n">
        <f aca="false">SUMIFS(tabela_registros[VALOR],tabela_registros[MÊS],$AE$1,tabela_registros[DIA],investirrendafixaconsolidadonov[[#Headers],[7]],tabela_registros[REGISTRO],DADOS!$N$5,tabela_registros[TIPO],DADOS!$AB$3,tabela_registros[CATEGORIA],investirrendafixaconsolidadonov[[#This Row],[ATUAL]])</f>
        <v>0</v>
      </c>
      <c r="L119" s="119" t="n">
        <f aca="false">SUMIFS(tabela_registros[VALOR],tabela_registros[MÊS],$AE$1,tabela_registros[DIA],investirrendafixaconsolidadonov[[#Headers],[8]],tabela_registros[REGISTRO],DADOS!$N$5,tabela_registros[TIPO],DADOS!$AB$3,tabela_registros[CATEGORIA],investirrendafixaconsolidadonov[[#This Row],[ATUAL]])</f>
        <v>0</v>
      </c>
      <c r="M119" s="119" t="n">
        <f aca="false">SUMIFS(tabela_registros[VALOR],tabela_registros[MÊS],$AE$1,tabela_registros[DIA],investirrendafixaconsolidadonov[[#Headers],[9]],tabela_registros[REGISTRO],DADOS!$N$5,tabela_registros[TIPO],DADOS!$AB$3,tabela_registros[CATEGORIA],investirrendafixaconsolidadonov[[#This Row],[ATUAL]])</f>
        <v>0</v>
      </c>
      <c r="N119" s="119" t="n">
        <f aca="false">SUMIFS(tabela_registros[VALOR],tabela_registros[MÊS],$AE$1,tabela_registros[DIA],investirrendafixaconsolidadonov[[#Headers],[10]],tabela_registros[REGISTRO],DADOS!$N$5,tabela_registros[TIPO],DADOS!$AB$3,tabela_registros[CATEGORIA],investirrendafixaconsolidadonov[[#This Row],[ATUAL]])</f>
        <v>0</v>
      </c>
      <c r="O119" s="119" t="n">
        <f aca="false">SUMIFS(tabela_registros[VALOR],tabela_registros[MÊS],$AE$1,tabela_registros[DIA],investirrendafixaconsolidadonov[[#Headers],[11]],tabela_registros[REGISTRO],DADOS!$N$5,tabela_registros[TIPO],DADOS!$AB$3,tabela_registros[CATEGORIA],investirrendafixaconsolidadonov[[#This Row],[ATUAL]])</f>
        <v>0</v>
      </c>
      <c r="P119" s="119" t="n">
        <f aca="false">SUMIFS(tabela_registros[VALOR],tabela_registros[MÊS],$AE$1,tabela_registros[DIA],investirrendafixaconsolidadonov[[#Headers],[12]],tabela_registros[REGISTRO],DADOS!$N$5,tabela_registros[TIPO],DADOS!$AB$3,tabela_registros[CATEGORIA],investirrendafixaconsolidadonov[[#This Row],[ATUAL]])</f>
        <v>0</v>
      </c>
      <c r="Q119" s="119" t="n">
        <f aca="false">SUMIFS(tabela_registros[VALOR],tabela_registros[MÊS],$AE$1,tabela_registros[DIA],investirrendafixaconsolidadonov[[#Headers],[13]],tabela_registros[REGISTRO],DADOS!$N$5,tabela_registros[TIPO],DADOS!$AB$3,tabela_registros[CATEGORIA],investirrendafixaconsolidadonov[[#This Row],[ATUAL]])</f>
        <v>0</v>
      </c>
      <c r="R119" s="119" t="n">
        <f aca="false">SUMIFS(tabela_registros[VALOR],tabela_registros[MÊS],$AE$1,tabela_registros[DIA],investirrendafixaconsolidadonov[[#Headers],[14]],tabela_registros[REGISTRO],DADOS!$N$5,tabela_registros[TIPO],DADOS!$AB$3,tabela_registros[CATEGORIA],investirrendafixaconsolidadonov[[#This Row],[ATUAL]])</f>
        <v>0</v>
      </c>
      <c r="S119" s="119" t="n">
        <f aca="false">SUMIFS(tabela_registros[VALOR],tabela_registros[MÊS],$AE$1,tabela_registros[DIA],investirrendafixaconsolidadonov[[#Headers],[15]],tabela_registros[REGISTRO],DADOS!$N$5,tabela_registros[TIPO],DADOS!$AB$3,tabela_registros[CATEGORIA],investirrendafixaconsolidadonov[[#This Row],[ATUAL]])</f>
        <v>0</v>
      </c>
      <c r="T119" s="119" t="n">
        <f aca="false">SUMIFS(tabela_registros[VALOR],tabela_registros[MÊS],$AE$1,tabela_registros[DIA],investirrendafixaconsolidadonov[[#Headers],[16]],tabela_registros[REGISTRO],DADOS!$N$5,tabela_registros[TIPO],DADOS!$AB$3,tabela_registros[CATEGORIA],investirrendafixaconsolidadonov[[#This Row],[ATUAL]])</f>
        <v>0</v>
      </c>
      <c r="U119" s="119" t="n">
        <f aca="false">SUMIFS(tabela_registros[VALOR],tabela_registros[MÊS],$AE$1,tabela_registros[DIA],investirrendafixaconsolidadonov[[#Headers],[17]],tabela_registros[REGISTRO],DADOS!$N$5,tabela_registros[TIPO],DADOS!$AB$3,tabela_registros[CATEGORIA],investirrendafixaconsolidadonov[[#This Row],[ATUAL]])</f>
        <v>0</v>
      </c>
      <c r="V119" s="119" t="n">
        <f aca="false">SUMIFS(tabela_registros[VALOR],tabela_registros[MÊS],$AE$1,tabela_registros[DIA],investirrendafixaconsolidadonov[[#Headers],[18]],tabela_registros[REGISTRO],DADOS!$N$5,tabela_registros[TIPO],DADOS!$AB$3,tabela_registros[CATEGORIA],investirrendafixaconsolidadonov[[#This Row],[ATUAL]])</f>
        <v>0</v>
      </c>
      <c r="W119" s="119" t="n">
        <f aca="false">SUMIFS(tabela_registros[VALOR],tabela_registros[MÊS],$AE$1,tabela_registros[DIA],investirrendafixaconsolidadonov[[#Headers],[19]],tabela_registros[REGISTRO],DADOS!$N$5,tabela_registros[TIPO],DADOS!$AB$3,tabela_registros[CATEGORIA],investirrendafixaconsolidadonov[[#This Row],[ATUAL]])</f>
        <v>0</v>
      </c>
      <c r="X119" s="119" t="n">
        <f aca="false">SUMIFS(tabela_registros[VALOR],tabela_registros[MÊS],$AE$1,tabela_registros[DIA],investirrendafixaconsolidadonov[[#Headers],[20]],tabela_registros[REGISTRO],DADOS!$N$5,tabela_registros[TIPO],DADOS!$AB$3,tabela_registros[CATEGORIA],investirrendafixaconsolidadonov[[#This Row],[ATUAL]])</f>
        <v>0</v>
      </c>
      <c r="Y119" s="119" t="n">
        <f aca="false">SUMIFS(tabela_registros[VALOR],tabela_registros[MÊS],$AE$1,tabela_registros[DIA],investirrendafixaconsolidadonov[[#Headers],[21]],tabela_registros[REGISTRO],DADOS!$N$5,tabela_registros[TIPO],DADOS!$AB$3,tabela_registros[CATEGORIA],investirrendafixaconsolidadonov[[#This Row],[ATUAL]])</f>
        <v>0</v>
      </c>
      <c r="Z119" s="119" t="n">
        <f aca="false">SUMIFS(tabela_registros[VALOR],tabela_registros[MÊS],$AE$1,tabela_registros[DIA],investirrendafixaconsolidadonov[[#Headers],[22]],tabela_registros[REGISTRO],DADOS!$N$5,tabela_registros[TIPO],DADOS!$AB$3,tabela_registros[CATEGORIA],investirrendafixaconsolidadonov[[#This Row],[ATUAL]])</f>
        <v>0</v>
      </c>
      <c r="AA119" s="119" t="n">
        <f aca="false">SUMIFS(tabela_registros[VALOR],tabela_registros[MÊS],$AE$1,tabela_registros[DIA],investirrendafixaconsolidadonov[[#Headers],[23]],tabela_registros[REGISTRO],DADOS!$N$5,tabela_registros[TIPO],DADOS!$AB$3,tabela_registros[CATEGORIA],investirrendafixaconsolidadonov[[#This Row],[ATUAL]])</f>
        <v>0</v>
      </c>
      <c r="AB119" s="119" t="n">
        <f aca="false">SUMIFS(tabela_registros[VALOR],tabela_registros[MÊS],$AE$1,tabela_registros[DIA],investirrendafixaconsolidadonov[[#Headers],[24]],tabela_registros[REGISTRO],DADOS!$N$5,tabela_registros[TIPO],DADOS!$AB$3,tabela_registros[CATEGORIA],investirrendafixaconsolidadonov[[#This Row],[ATUAL]])</f>
        <v>0</v>
      </c>
      <c r="AC119" s="119" t="n">
        <f aca="false">SUMIFS(tabela_registros[VALOR],tabela_registros[MÊS],$AE$1,tabela_registros[DIA],investirrendafixaconsolidadonov[[#Headers],[25]],tabela_registros[REGISTRO],DADOS!$N$5,tabela_registros[TIPO],DADOS!$AB$3,tabela_registros[CATEGORIA],investirrendafixaconsolidadonov[[#This Row],[ATUAL]])</f>
        <v>0</v>
      </c>
      <c r="AD119" s="119" t="n">
        <f aca="false">SUMIFS(tabela_registros[VALOR],tabela_registros[MÊS],$AE$1,tabela_registros[DIA],investirrendafixaconsolidadonov[[#Headers],[26]],tabela_registros[REGISTRO],DADOS!$N$5,tabela_registros[TIPO],DADOS!$AB$3,tabela_registros[CATEGORIA],investirrendafixaconsolidadonov[[#This Row],[ATUAL]])</f>
        <v>0</v>
      </c>
      <c r="AE119" s="119" t="n">
        <f aca="false">SUMIFS(tabela_registros[VALOR],tabela_registros[MÊS],$AE$1,tabela_registros[DIA],investirrendafixaconsolidadonov[[#Headers],[27]],tabela_registros[REGISTRO],DADOS!$N$5,tabela_registros[TIPO],DADOS!$AB$3,tabela_registros[CATEGORIA],investirrendafixaconsolidadonov[[#This Row],[ATUAL]])</f>
        <v>0</v>
      </c>
      <c r="AF119" s="119" t="n">
        <f aca="false">SUMIFS(tabela_registros[VALOR],tabela_registros[MÊS],$AE$1,tabela_registros[DIA],investirrendafixaconsolidadonov[[#Headers],[28]],tabela_registros[REGISTRO],DADOS!$N$5,tabela_registros[TIPO],DADOS!$AB$3,tabela_registros[CATEGORIA],investirrendafixaconsolidadonov[[#This Row],[ATUAL]])</f>
        <v>0</v>
      </c>
      <c r="AG119" s="119" t="n">
        <f aca="false">SUMIFS(tabela_registros[VALOR],tabela_registros[MÊS],$AE$1,tabela_registros[DIA],investirrendafixaconsolidadonov[[#Headers],[29]],tabela_registros[REGISTRO],DADOS!$N$5,tabela_registros[TIPO],DADOS!$AB$3,tabela_registros[CATEGORIA],investirrendafixaconsolidadonov[[#This Row],[ATUAL]])</f>
        <v>0</v>
      </c>
      <c r="AH119" s="119" t="n">
        <f aca="false">SUMIFS(tabela_registros[VALOR],tabela_registros[MÊS],$AE$1,tabela_registros[DIA],investirrendafixaconsolidadonov[[#Headers],[30]],tabela_registros[REGISTRO],DADOS!$N$5,tabela_registros[TIPO],DADOS!$AB$3,tabela_registros[CATEGORIA],investirrendafixaconsolidadonov[[#This Row],[ATUAL]])</f>
        <v>0</v>
      </c>
      <c r="AI119" s="217" t="n">
        <f aca="false">SUMIFS(tabela_registros[VALOR],tabela_registros[MÊS],$AE$1,tabela_registros[DIA],investirrendafixaconsolidadonov[[#Headers],[31]],tabela_registros[REGISTRO],DADOS!$N$5,tabela_registros[TIPO],DADOS!$AB$3,tabela_registros[CATEGORIA],investirrendafixaconsolidadonov[[#This Row],[ATUAL]])</f>
        <v>0</v>
      </c>
      <c r="AJ119" s="149" t="n">
        <f aca="false">SUM(investirrendafixaconsolidadonov[[#This Row],[1]:[31]])</f>
        <v>0</v>
      </c>
      <c r="AK119" s="165"/>
    </row>
    <row r="120" customFormat="false" ht="19.5" hidden="false" customHeight="true" outlineLevel="0" collapsed="false">
      <c r="B120" s="143"/>
      <c r="C120" s="144" t="str">
        <f aca="false">DADOS!$AD$10</f>
        <v>📝 LCI</v>
      </c>
      <c r="D120" s="145" t="str">
        <f aca="false">IF(investirrendafixaconsolidadonov[[#This Row],[TOTAL (R$)]]=0,"",IF(OR(investirrendafixaconsolidadonov[[#This Row],[TOTAL (R$)]]=LARGE($AJ$113:$AJ$122,1),investirrendafixaconsolidadonov[[#This Row],[TOTAL (R$)]]=LARGE($AJ$113:$AJ$122,2)),DADOS!$I$10,""))</f>
        <v/>
      </c>
      <c r="E120" s="148" t="n">
        <f aca="false">SUMIFS(tabela_registros[VALOR],tabela_registros[MÊS],$AE$1,tabela_registros[DIA],investirrendafixaconsolidadonov[[#Headers],[1]],tabela_registros[REGISTRO],DADOS!$N$5,tabela_registros[TIPO],DADOS!$AB$3,tabela_registros[CATEGORIA],investirrendafixaconsolidadonov[[#This Row],[ATUAL]])</f>
        <v>0</v>
      </c>
      <c r="F120" s="119" t="n">
        <f aca="false">SUMIFS(tabela_registros[VALOR],tabela_registros[MÊS],$AE$1,tabela_registros[DIA],investirrendafixaconsolidadonov[[#Headers],[2]],tabela_registros[REGISTRO],DADOS!$N$5,tabela_registros[TIPO],DADOS!$AB$3,tabela_registros[CATEGORIA],investirrendafixaconsolidadonov[[#This Row],[ATUAL]])</f>
        <v>0</v>
      </c>
      <c r="G120" s="119" t="n">
        <f aca="false">SUMIFS(tabela_registros[VALOR],tabela_registros[MÊS],$AE$1,tabela_registros[DIA],investirrendafixaconsolidadonov[[#Headers],[3]],tabela_registros[REGISTRO],DADOS!$N$5,tabela_registros[TIPO],DADOS!$AB$3,tabela_registros[CATEGORIA],investirrendafixaconsolidadonov[[#This Row],[ATUAL]])</f>
        <v>0</v>
      </c>
      <c r="H120" s="119" t="n">
        <f aca="false">SUMIFS(tabela_registros[VALOR],tabela_registros[MÊS],$AE$1,tabela_registros[DIA],investirrendafixaconsolidadonov[[#Headers],[4]],tabela_registros[REGISTRO],DADOS!$N$5,tabela_registros[TIPO],DADOS!$AB$3,tabela_registros[CATEGORIA],investirrendafixaconsolidadonov[[#This Row],[ATUAL]])</f>
        <v>0</v>
      </c>
      <c r="I120" s="119" t="n">
        <f aca="false">SUMIFS(tabela_registros[VALOR],tabela_registros[MÊS],$AE$1,tabela_registros[DIA],investirrendafixaconsolidadonov[[#Headers],[5]],tabela_registros[REGISTRO],DADOS!$N$5,tabela_registros[TIPO],DADOS!$AB$3,tabela_registros[CATEGORIA],investirrendafixaconsolidadonov[[#This Row],[ATUAL]])</f>
        <v>0</v>
      </c>
      <c r="J120" s="119" t="n">
        <f aca="false">SUMIFS(tabela_registros[VALOR],tabela_registros[MÊS],$AE$1,tabela_registros[DIA],investirrendafixaconsolidadonov[[#Headers],[6]],tabela_registros[REGISTRO],DADOS!$N$5,tabela_registros[TIPO],DADOS!$AB$3,tabela_registros[CATEGORIA],investirrendafixaconsolidadonov[[#This Row],[ATUAL]])</f>
        <v>0</v>
      </c>
      <c r="K120" s="119" t="n">
        <f aca="false">SUMIFS(tabela_registros[VALOR],tabela_registros[MÊS],$AE$1,tabela_registros[DIA],investirrendafixaconsolidadonov[[#Headers],[7]],tabela_registros[REGISTRO],DADOS!$N$5,tabela_registros[TIPO],DADOS!$AB$3,tabela_registros[CATEGORIA],investirrendafixaconsolidadonov[[#This Row],[ATUAL]])</f>
        <v>0</v>
      </c>
      <c r="L120" s="119" t="n">
        <f aca="false">SUMIFS(tabela_registros[VALOR],tabela_registros[MÊS],$AE$1,tabela_registros[DIA],investirrendafixaconsolidadonov[[#Headers],[8]],tabela_registros[REGISTRO],DADOS!$N$5,tabela_registros[TIPO],DADOS!$AB$3,tabela_registros[CATEGORIA],investirrendafixaconsolidadonov[[#This Row],[ATUAL]])</f>
        <v>0</v>
      </c>
      <c r="M120" s="119" t="n">
        <f aca="false">SUMIFS(tabela_registros[VALOR],tabela_registros[MÊS],$AE$1,tabela_registros[DIA],investirrendafixaconsolidadonov[[#Headers],[9]],tabela_registros[REGISTRO],DADOS!$N$5,tabela_registros[TIPO],DADOS!$AB$3,tabela_registros[CATEGORIA],investirrendafixaconsolidadonov[[#This Row],[ATUAL]])</f>
        <v>0</v>
      </c>
      <c r="N120" s="119" t="n">
        <f aca="false">SUMIFS(tabela_registros[VALOR],tabela_registros[MÊS],$AE$1,tabela_registros[DIA],investirrendafixaconsolidadonov[[#Headers],[10]],tabela_registros[REGISTRO],DADOS!$N$5,tabela_registros[TIPO],DADOS!$AB$3,tabela_registros[CATEGORIA],investirrendafixaconsolidadonov[[#This Row],[ATUAL]])</f>
        <v>0</v>
      </c>
      <c r="O120" s="119" t="n">
        <f aca="false">SUMIFS(tabela_registros[VALOR],tabela_registros[MÊS],$AE$1,tabela_registros[DIA],investirrendafixaconsolidadonov[[#Headers],[11]],tabela_registros[REGISTRO],DADOS!$N$5,tabela_registros[TIPO],DADOS!$AB$3,tabela_registros[CATEGORIA],investirrendafixaconsolidadonov[[#This Row],[ATUAL]])</f>
        <v>0</v>
      </c>
      <c r="P120" s="119" t="n">
        <f aca="false">SUMIFS(tabela_registros[VALOR],tabela_registros[MÊS],$AE$1,tabela_registros[DIA],investirrendafixaconsolidadonov[[#Headers],[12]],tabela_registros[REGISTRO],DADOS!$N$5,tabela_registros[TIPO],DADOS!$AB$3,tabela_registros[CATEGORIA],investirrendafixaconsolidadonov[[#This Row],[ATUAL]])</f>
        <v>0</v>
      </c>
      <c r="Q120" s="119" t="n">
        <f aca="false">SUMIFS(tabela_registros[VALOR],tabela_registros[MÊS],$AE$1,tabela_registros[DIA],investirrendafixaconsolidadonov[[#Headers],[13]],tabela_registros[REGISTRO],DADOS!$N$5,tabela_registros[TIPO],DADOS!$AB$3,tabela_registros[CATEGORIA],investirrendafixaconsolidadonov[[#This Row],[ATUAL]])</f>
        <v>0</v>
      </c>
      <c r="R120" s="119" t="n">
        <f aca="false">SUMIFS(tabela_registros[VALOR],tabela_registros[MÊS],$AE$1,tabela_registros[DIA],investirrendafixaconsolidadonov[[#Headers],[14]],tabela_registros[REGISTRO],DADOS!$N$5,tabela_registros[TIPO],DADOS!$AB$3,tabela_registros[CATEGORIA],investirrendafixaconsolidadonov[[#This Row],[ATUAL]])</f>
        <v>0</v>
      </c>
      <c r="S120" s="119" t="n">
        <f aca="false">SUMIFS(tabela_registros[VALOR],tabela_registros[MÊS],$AE$1,tabela_registros[DIA],investirrendafixaconsolidadonov[[#Headers],[15]],tabela_registros[REGISTRO],DADOS!$N$5,tabela_registros[TIPO],DADOS!$AB$3,tabela_registros[CATEGORIA],investirrendafixaconsolidadonov[[#This Row],[ATUAL]])</f>
        <v>0</v>
      </c>
      <c r="T120" s="119" t="n">
        <f aca="false">SUMIFS(tabela_registros[VALOR],tabela_registros[MÊS],$AE$1,tabela_registros[DIA],investirrendafixaconsolidadonov[[#Headers],[16]],tabela_registros[REGISTRO],DADOS!$N$5,tabela_registros[TIPO],DADOS!$AB$3,tabela_registros[CATEGORIA],investirrendafixaconsolidadonov[[#This Row],[ATUAL]])</f>
        <v>0</v>
      </c>
      <c r="U120" s="119" t="n">
        <f aca="false">SUMIFS(tabela_registros[VALOR],tabela_registros[MÊS],$AE$1,tabela_registros[DIA],investirrendafixaconsolidadonov[[#Headers],[17]],tabela_registros[REGISTRO],DADOS!$N$5,tabela_registros[TIPO],DADOS!$AB$3,tabela_registros[CATEGORIA],investirrendafixaconsolidadonov[[#This Row],[ATUAL]])</f>
        <v>0</v>
      </c>
      <c r="V120" s="119" t="n">
        <f aca="false">SUMIFS(tabela_registros[VALOR],tabela_registros[MÊS],$AE$1,tabela_registros[DIA],investirrendafixaconsolidadonov[[#Headers],[18]],tabela_registros[REGISTRO],DADOS!$N$5,tabela_registros[TIPO],DADOS!$AB$3,tabela_registros[CATEGORIA],investirrendafixaconsolidadonov[[#This Row],[ATUAL]])</f>
        <v>0</v>
      </c>
      <c r="W120" s="119" t="n">
        <f aca="false">SUMIFS(tabela_registros[VALOR],tabela_registros[MÊS],$AE$1,tabela_registros[DIA],investirrendafixaconsolidadonov[[#Headers],[19]],tabela_registros[REGISTRO],DADOS!$N$5,tabela_registros[TIPO],DADOS!$AB$3,tabela_registros[CATEGORIA],investirrendafixaconsolidadonov[[#This Row],[ATUAL]])</f>
        <v>0</v>
      </c>
      <c r="X120" s="119" t="n">
        <f aca="false">SUMIFS(tabela_registros[VALOR],tabela_registros[MÊS],$AE$1,tabela_registros[DIA],investirrendafixaconsolidadonov[[#Headers],[20]],tabela_registros[REGISTRO],DADOS!$N$5,tabela_registros[TIPO],DADOS!$AB$3,tabela_registros[CATEGORIA],investirrendafixaconsolidadonov[[#This Row],[ATUAL]])</f>
        <v>0</v>
      </c>
      <c r="Y120" s="119" t="n">
        <f aca="false">SUMIFS(tabela_registros[VALOR],tabela_registros[MÊS],$AE$1,tabela_registros[DIA],investirrendafixaconsolidadonov[[#Headers],[21]],tabela_registros[REGISTRO],DADOS!$N$5,tabela_registros[TIPO],DADOS!$AB$3,tabela_registros[CATEGORIA],investirrendafixaconsolidadonov[[#This Row],[ATUAL]])</f>
        <v>0</v>
      </c>
      <c r="Z120" s="119" t="n">
        <f aca="false">SUMIFS(tabela_registros[VALOR],tabela_registros[MÊS],$AE$1,tabela_registros[DIA],investirrendafixaconsolidadonov[[#Headers],[22]],tabela_registros[REGISTRO],DADOS!$N$5,tabela_registros[TIPO],DADOS!$AB$3,tabela_registros[CATEGORIA],investirrendafixaconsolidadonov[[#This Row],[ATUAL]])</f>
        <v>0</v>
      </c>
      <c r="AA120" s="119" t="n">
        <f aca="false">SUMIFS(tabela_registros[VALOR],tabela_registros[MÊS],$AE$1,tabela_registros[DIA],investirrendafixaconsolidadonov[[#Headers],[23]],tabela_registros[REGISTRO],DADOS!$N$5,tabela_registros[TIPO],DADOS!$AB$3,tabela_registros[CATEGORIA],investirrendafixaconsolidadonov[[#This Row],[ATUAL]])</f>
        <v>0</v>
      </c>
      <c r="AB120" s="119" t="n">
        <f aca="false">SUMIFS(tabela_registros[VALOR],tabela_registros[MÊS],$AE$1,tabela_registros[DIA],investirrendafixaconsolidadonov[[#Headers],[24]],tabela_registros[REGISTRO],DADOS!$N$5,tabela_registros[TIPO],DADOS!$AB$3,tabela_registros[CATEGORIA],investirrendafixaconsolidadonov[[#This Row],[ATUAL]])</f>
        <v>0</v>
      </c>
      <c r="AC120" s="119" t="n">
        <f aca="false">SUMIFS(tabela_registros[VALOR],tabela_registros[MÊS],$AE$1,tabela_registros[DIA],investirrendafixaconsolidadonov[[#Headers],[25]],tabela_registros[REGISTRO],DADOS!$N$5,tabela_registros[TIPO],DADOS!$AB$3,tabela_registros[CATEGORIA],investirrendafixaconsolidadonov[[#This Row],[ATUAL]])</f>
        <v>0</v>
      </c>
      <c r="AD120" s="119" t="n">
        <f aca="false">SUMIFS(tabela_registros[VALOR],tabela_registros[MÊS],$AE$1,tabela_registros[DIA],investirrendafixaconsolidadonov[[#Headers],[26]],tabela_registros[REGISTRO],DADOS!$N$5,tabela_registros[TIPO],DADOS!$AB$3,tabela_registros[CATEGORIA],investirrendafixaconsolidadonov[[#This Row],[ATUAL]])</f>
        <v>0</v>
      </c>
      <c r="AE120" s="119" t="n">
        <f aca="false">SUMIFS(tabela_registros[VALOR],tabela_registros[MÊS],$AE$1,tabela_registros[DIA],investirrendafixaconsolidadonov[[#Headers],[27]],tabela_registros[REGISTRO],DADOS!$N$5,tabela_registros[TIPO],DADOS!$AB$3,tabela_registros[CATEGORIA],investirrendafixaconsolidadonov[[#This Row],[ATUAL]])</f>
        <v>0</v>
      </c>
      <c r="AF120" s="119" t="n">
        <f aca="false">SUMIFS(tabela_registros[VALOR],tabela_registros[MÊS],$AE$1,tabela_registros[DIA],investirrendafixaconsolidadonov[[#Headers],[28]],tabela_registros[REGISTRO],DADOS!$N$5,tabela_registros[TIPO],DADOS!$AB$3,tabela_registros[CATEGORIA],investirrendafixaconsolidadonov[[#This Row],[ATUAL]])</f>
        <v>0</v>
      </c>
      <c r="AG120" s="119" t="n">
        <f aca="false">SUMIFS(tabela_registros[VALOR],tabela_registros[MÊS],$AE$1,tabela_registros[DIA],investirrendafixaconsolidadonov[[#Headers],[29]],tabela_registros[REGISTRO],DADOS!$N$5,tabela_registros[TIPO],DADOS!$AB$3,tabela_registros[CATEGORIA],investirrendafixaconsolidadonov[[#This Row],[ATUAL]])</f>
        <v>0</v>
      </c>
      <c r="AH120" s="119" t="n">
        <f aca="false">SUMIFS(tabela_registros[VALOR],tabela_registros[MÊS],$AE$1,tabela_registros[DIA],investirrendafixaconsolidadonov[[#Headers],[30]],tabela_registros[REGISTRO],DADOS!$N$5,tabela_registros[TIPO],DADOS!$AB$3,tabela_registros[CATEGORIA],investirrendafixaconsolidadonov[[#This Row],[ATUAL]])</f>
        <v>0</v>
      </c>
      <c r="AI120" s="217" t="n">
        <f aca="false">SUMIFS(tabela_registros[VALOR],tabela_registros[MÊS],$AE$1,tabela_registros[DIA],investirrendafixaconsolidadonov[[#Headers],[31]],tabela_registros[REGISTRO],DADOS!$N$5,tabela_registros[TIPO],DADOS!$AB$3,tabela_registros[CATEGORIA],investirrendafixaconsolidadonov[[#This Row],[ATUAL]])</f>
        <v>0</v>
      </c>
      <c r="AJ120" s="149" t="n">
        <f aca="false">SUM(investirrendafixaconsolidadonov[[#This Row],[1]:[31]])</f>
        <v>0</v>
      </c>
      <c r="AK120" s="165"/>
    </row>
    <row r="121" customFormat="false" ht="19.5" hidden="false" customHeight="true" outlineLevel="0" collapsed="false">
      <c r="B121" s="143"/>
      <c r="C121" s="144" t="str">
        <f aca="false">DADOS!$AD$11</f>
        <v>📝 TESOURO DIRETO</v>
      </c>
      <c r="D121" s="145" t="str">
        <f aca="false">IF(investirrendafixaconsolidadonov[[#This Row],[TOTAL (R$)]]=0,"",IF(OR(investirrendafixaconsolidadonov[[#This Row],[TOTAL (R$)]]=LARGE($AJ$113:$AJ$122,1),investirrendafixaconsolidadonov[[#This Row],[TOTAL (R$)]]=LARGE($AJ$113:$AJ$122,2)),DADOS!$I$10,""))</f>
        <v/>
      </c>
      <c r="E121" s="148" t="n">
        <f aca="false">SUMIFS(tabela_registros[VALOR],tabela_registros[MÊS],$AE$1,tabela_registros[DIA],investirrendafixaconsolidadonov[[#Headers],[1]],tabela_registros[REGISTRO],DADOS!$N$5,tabela_registros[TIPO],DADOS!$AB$3,tabela_registros[CATEGORIA],investirrendafixaconsolidadonov[[#This Row],[ATUAL]])</f>
        <v>0</v>
      </c>
      <c r="F121" s="119" t="n">
        <f aca="false">SUMIFS(tabela_registros[VALOR],tabela_registros[MÊS],$AE$1,tabela_registros[DIA],investirrendafixaconsolidadonov[[#Headers],[2]],tabela_registros[REGISTRO],DADOS!$N$5,tabela_registros[TIPO],DADOS!$AB$3,tabela_registros[CATEGORIA],investirrendafixaconsolidadonov[[#This Row],[ATUAL]])</f>
        <v>0</v>
      </c>
      <c r="G121" s="119" t="n">
        <f aca="false">SUMIFS(tabela_registros[VALOR],tabela_registros[MÊS],$AE$1,tabela_registros[DIA],investirrendafixaconsolidadonov[[#Headers],[3]],tabela_registros[REGISTRO],DADOS!$N$5,tabela_registros[TIPO],DADOS!$AB$3,tabela_registros[CATEGORIA],investirrendafixaconsolidadonov[[#This Row],[ATUAL]])</f>
        <v>0</v>
      </c>
      <c r="H121" s="119" t="n">
        <f aca="false">SUMIFS(tabela_registros[VALOR],tabela_registros[MÊS],$AE$1,tabela_registros[DIA],investirrendafixaconsolidadonov[[#Headers],[4]],tabela_registros[REGISTRO],DADOS!$N$5,tabela_registros[TIPO],DADOS!$AB$3,tabela_registros[CATEGORIA],investirrendafixaconsolidadonov[[#This Row],[ATUAL]])</f>
        <v>0</v>
      </c>
      <c r="I121" s="119" t="n">
        <f aca="false">SUMIFS(tabela_registros[VALOR],tabela_registros[MÊS],$AE$1,tabela_registros[DIA],investirrendafixaconsolidadonov[[#Headers],[5]],tabela_registros[REGISTRO],DADOS!$N$5,tabela_registros[TIPO],DADOS!$AB$3,tabela_registros[CATEGORIA],investirrendafixaconsolidadonov[[#This Row],[ATUAL]])</f>
        <v>0</v>
      </c>
      <c r="J121" s="119" t="n">
        <f aca="false">SUMIFS(tabela_registros[VALOR],tabela_registros[MÊS],$AE$1,tabela_registros[DIA],investirrendafixaconsolidadonov[[#Headers],[6]],tabela_registros[REGISTRO],DADOS!$N$5,tabela_registros[TIPO],DADOS!$AB$3,tabela_registros[CATEGORIA],investirrendafixaconsolidadonov[[#This Row],[ATUAL]])</f>
        <v>0</v>
      </c>
      <c r="K121" s="119" t="n">
        <f aca="false">SUMIFS(tabela_registros[VALOR],tabela_registros[MÊS],$AE$1,tabela_registros[DIA],investirrendafixaconsolidadonov[[#Headers],[7]],tabela_registros[REGISTRO],DADOS!$N$5,tabela_registros[TIPO],DADOS!$AB$3,tabela_registros[CATEGORIA],investirrendafixaconsolidadonov[[#This Row],[ATUAL]])</f>
        <v>0</v>
      </c>
      <c r="L121" s="119" t="n">
        <f aca="false">SUMIFS(tabela_registros[VALOR],tabela_registros[MÊS],$AE$1,tabela_registros[DIA],investirrendafixaconsolidadonov[[#Headers],[8]],tabela_registros[REGISTRO],DADOS!$N$5,tabela_registros[TIPO],DADOS!$AB$3,tabela_registros[CATEGORIA],investirrendafixaconsolidadonov[[#This Row],[ATUAL]])</f>
        <v>0</v>
      </c>
      <c r="M121" s="119" t="n">
        <f aca="false">SUMIFS(tabela_registros[VALOR],tabela_registros[MÊS],$AE$1,tabela_registros[DIA],investirrendafixaconsolidadonov[[#Headers],[9]],tabela_registros[REGISTRO],DADOS!$N$5,tabela_registros[TIPO],DADOS!$AB$3,tabela_registros[CATEGORIA],investirrendafixaconsolidadonov[[#This Row],[ATUAL]])</f>
        <v>0</v>
      </c>
      <c r="N121" s="119" t="n">
        <f aca="false">SUMIFS(tabela_registros[VALOR],tabela_registros[MÊS],$AE$1,tabela_registros[DIA],investirrendafixaconsolidadonov[[#Headers],[10]],tabela_registros[REGISTRO],DADOS!$N$5,tabela_registros[TIPO],DADOS!$AB$3,tabela_registros[CATEGORIA],investirrendafixaconsolidadonov[[#This Row],[ATUAL]])</f>
        <v>0</v>
      </c>
      <c r="O121" s="119" t="n">
        <f aca="false">SUMIFS(tabela_registros[VALOR],tabela_registros[MÊS],$AE$1,tabela_registros[DIA],investirrendafixaconsolidadonov[[#Headers],[11]],tabela_registros[REGISTRO],DADOS!$N$5,tabela_registros[TIPO],DADOS!$AB$3,tabela_registros[CATEGORIA],investirrendafixaconsolidadonov[[#This Row],[ATUAL]])</f>
        <v>0</v>
      </c>
      <c r="P121" s="119" t="n">
        <f aca="false">SUMIFS(tabela_registros[VALOR],tabela_registros[MÊS],$AE$1,tabela_registros[DIA],investirrendafixaconsolidadonov[[#Headers],[12]],tabela_registros[REGISTRO],DADOS!$N$5,tabela_registros[TIPO],DADOS!$AB$3,tabela_registros[CATEGORIA],investirrendafixaconsolidadonov[[#This Row],[ATUAL]])</f>
        <v>0</v>
      </c>
      <c r="Q121" s="119" t="n">
        <f aca="false">SUMIFS(tabela_registros[VALOR],tabela_registros[MÊS],$AE$1,tabela_registros[DIA],investirrendafixaconsolidadonov[[#Headers],[13]],tabela_registros[REGISTRO],DADOS!$N$5,tabela_registros[TIPO],DADOS!$AB$3,tabela_registros[CATEGORIA],investirrendafixaconsolidadonov[[#This Row],[ATUAL]])</f>
        <v>0</v>
      </c>
      <c r="R121" s="119" t="n">
        <f aca="false">SUMIFS(tabela_registros[VALOR],tabela_registros[MÊS],$AE$1,tabela_registros[DIA],investirrendafixaconsolidadonov[[#Headers],[14]],tabela_registros[REGISTRO],DADOS!$N$5,tabela_registros[TIPO],DADOS!$AB$3,tabela_registros[CATEGORIA],investirrendafixaconsolidadonov[[#This Row],[ATUAL]])</f>
        <v>0</v>
      </c>
      <c r="S121" s="119" t="n">
        <f aca="false">SUMIFS(tabela_registros[VALOR],tabela_registros[MÊS],$AE$1,tabela_registros[DIA],investirrendafixaconsolidadonov[[#Headers],[15]],tabela_registros[REGISTRO],DADOS!$N$5,tabela_registros[TIPO],DADOS!$AB$3,tabela_registros[CATEGORIA],investirrendafixaconsolidadonov[[#This Row],[ATUAL]])</f>
        <v>0</v>
      </c>
      <c r="T121" s="119" t="n">
        <f aca="false">SUMIFS(tabela_registros[VALOR],tabela_registros[MÊS],$AE$1,tabela_registros[DIA],investirrendafixaconsolidadonov[[#Headers],[16]],tabela_registros[REGISTRO],DADOS!$N$5,tabela_registros[TIPO],DADOS!$AB$3,tabela_registros[CATEGORIA],investirrendafixaconsolidadonov[[#This Row],[ATUAL]])</f>
        <v>0</v>
      </c>
      <c r="U121" s="119" t="n">
        <f aca="false">SUMIFS(tabela_registros[VALOR],tabela_registros[MÊS],$AE$1,tabela_registros[DIA],investirrendafixaconsolidadonov[[#Headers],[17]],tabela_registros[REGISTRO],DADOS!$N$5,tabela_registros[TIPO],DADOS!$AB$3,tabela_registros[CATEGORIA],investirrendafixaconsolidadonov[[#This Row],[ATUAL]])</f>
        <v>0</v>
      </c>
      <c r="V121" s="119" t="n">
        <f aca="false">SUMIFS(tabela_registros[VALOR],tabela_registros[MÊS],$AE$1,tabela_registros[DIA],investirrendafixaconsolidadonov[[#Headers],[18]],tabela_registros[REGISTRO],DADOS!$N$5,tabela_registros[TIPO],DADOS!$AB$3,tabela_registros[CATEGORIA],investirrendafixaconsolidadonov[[#This Row],[ATUAL]])</f>
        <v>0</v>
      </c>
      <c r="W121" s="119" t="n">
        <f aca="false">SUMIFS(tabela_registros[VALOR],tabela_registros[MÊS],$AE$1,tabela_registros[DIA],investirrendafixaconsolidadonov[[#Headers],[19]],tabela_registros[REGISTRO],DADOS!$N$5,tabela_registros[TIPO],DADOS!$AB$3,tabela_registros[CATEGORIA],investirrendafixaconsolidadonov[[#This Row],[ATUAL]])</f>
        <v>0</v>
      </c>
      <c r="X121" s="119" t="n">
        <f aca="false">SUMIFS(tabela_registros[VALOR],tabela_registros[MÊS],$AE$1,tabela_registros[DIA],investirrendafixaconsolidadonov[[#Headers],[20]],tabela_registros[REGISTRO],DADOS!$N$5,tabela_registros[TIPO],DADOS!$AB$3,tabela_registros[CATEGORIA],investirrendafixaconsolidadonov[[#This Row],[ATUAL]])</f>
        <v>0</v>
      </c>
      <c r="Y121" s="119" t="n">
        <f aca="false">SUMIFS(tabela_registros[VALOR],tabela_registros[MÊS],$AE$1,tabela_registros[DIA],investirrendafixaconsolidadonov[[#Headers],[21]],tabela_registros[REGISTRO],DADOS!$N$5,tabela_registros[TIPO],DADOS!$AB$3,tabela_registros[CATEGORIA],investirrendafixaconsolidadonov[[#This Row],[ATUAL]])</f>
        <v>0</v>
      </c>
      <c r="Z121" s="119" t="n">
        <f aca="false">SUMIFS(tabela_registros[VALOR],tabela_registros[MÊS],$AE$1,tabela_registros[DIA],investirrendafixaconsolidadonov[[#Headers],[22]],tabela_registros[REGISTRO],DADOS!$N$5,tabela_registros[TIPO],DADOS!$AB$3,tabela_registros[CATEGORIA],investirrendafixaconsolidadonov[[#This Row],[ATUAL]])</f>
        <v>0</v>
      </c>
      <c r="AA121" s="119" t="n">
        <f aca="false">SUMIFS(tabela_registros[VALOR],tabela_registros[MÊS],$AE$1,tabela_registros[DIA],investirrendafixaconsolidadonov[[#Headers],[23]],tabela_registros[REGISTRO],DADOS!$N$5,tabela_registros[TIPO],DADOS!$AB$3,tabela_registros[CATEGORIA],investirrendafixaconsolidadonov[[#This Row],[ATUAL]])</f>
        <v>0</v>
      </c>
      <c r="AB121" s="119" t="n">
        <f aca="false">SUMIFS(tabela_registros[VALOR],tabela_registros[MÊS],$AE$1,tabela_registros[DIA],investirrendafixaconsolidadonov[[#Headers],[24]],tabela_registros[REGISTRO],DADOS!$N$5,tabela_registros[TIPO],DADOS!$AB$3,tabela_registros[CATEGORIA],investirrendafixaconsolidadonov[[#This Row],[ATUAL]])</f>
        <v>0</v>
      </c>
      <c r="AC121" s="119" t="n">
        <f aca="false">SUMIFS(tabela_registros[VALOR],tabela_registros[MÊS],$AE$1,tabela_registros[DIA],investirrendafixaconsolidadonov[[#Headers],[25]],tabela_registros[REGISTRO],DADOS!$N$5,tabela_registros[TIPO],DADOS!$AB$3,tabela_registros[CATEGORIA],investirrendafixaconsolidadonov[[#This Row],[ATUAL]])</f>
        <v>0</v>
      </c>
      <c r="AD121" s="119" t="n">
        <f aca="false">SUMIFS(tabela_registros[VALOR],tabela_registros[MÊS],$AE$1,tabela_registros[DIA],investirrendafixaconsolidadonov[[#Headers],[26]],tabela_registros[REGISTRO],DADOS!$N$5,tabela_registros[TIPO],DADOS!$AB$3,tabela_registros[CATEGORIA],investirrendafixaconsolidadonov[[#This Row],[ATUAL]])</f>
        <v>0</v>
      </c>
      <c r="AE121" s="119" t="n">
        <f aca="false">SUMIFS(tabela_registros[VALOR],tabela_registros[MÊS],$AE$1,tabela_registros[DIA],investirrendafixaconsolidadonov[[#Headers],[27]],tabela_registros[REGISTRO],DADOS!$N$5,tabela_registros[TIPO],DADOS!$AB$3,tabela_registros[CATEGORIA],investirrendafixaconsolidadonov[[#This Row],[ATUAL]])</f>
        <v>0</v>
      </c>
      <c r="AF121" s="119" t="n">
        <f aca="false">SUMIFS(tabela_registros[VALOR],tabela_registros[MÊS],$AE$1,tabela_registros[DIA],investirrendafixaconsolidadonov[[#Headers],[28]],tabela_registros[REGISTRO],DADOS!$N$5,tabela_registros[TIPO],DADOS!$AB$3,tabela_registros[CATEGORIA],investirrendafixaconsolidadonov[[#This Row],[ATUAL]])</f>
        <v>0</v>
      </c>
      <c r="AG121" s="119" t="n">
        <f aca="false">SUMIFS(tabela_registros[VALOR],tabela_registros[MÊS],$AE$1,tabela_registros[DIA],investirrendafixaconsolidadonov[[#Headers],[29]],tabela_registros[REGISTRO],DADOS!$N$5,tabela_registros[TIPO],DADOS!$AB$3,tabela_registros[CATEGORIA],investirrendafixaconsolidadonov[[#This Row],[ATUAL]])</f>
        <v>0</v>
      </c>
      <c r="AH121" s="119" t="n">
        <f aca="false">SUMIFS(tabela_registros[VALOR],tabela_registros[MÊS],$AE$1,tabela_registros[DIA],investirrendafixaconsolidadonov[[#Headers],[30]],tabela_registros[REGISTRO],DADOS!$N$5,tabela_registros[TIPO],DADOS!$AB$3,tabela_registros[CATEGORIA],investirrendafixaconsolidadonov[[#This Row],[ATUAL]])</f>
        <v>0</v>
      </c>
      <c r="AI121" s="217" t="n">
        <f aca="false">SUMIFS(tabela_registros[VALOR],tabela_registros[MÊS],$AE$1,tabela_registros[DIA],investirrendafixaconsolidadonov[[#Headers],[31]],tabela_registros[REGISTRO],DADOS!$N$5,tabela_registros[TIPO],DADOS!$AB$3,tabela_registros[CATEGORIA],investirrendafixaconsolidadonov[[#This Row],[ATUAL]])</f>
        <v>0</v>
      </c>
      <c r="AJ121" s="149" t="n">
        <f aca="false">SUM(investirrendafixaconsolidadonov[[#This Row],[1]:[31]])</f>
        <v>0</v>
      </c>
      <c r="AK121" s="165"/>
    </row>
    <row r="122" customFormat="false" ht="19.5" hidden="false" customHeight="true" outlineLevel="0" collapsed="false">
      <c r="B122" s="143"/>
      <c r="C122" s="144" t="str">
        <f aca="false">DADOS!$AD$12</f>
        <v>📎 OUTROS</v>
      </c>
      <c r="D122" s="145" t="str">
        <f aca="false">IF(investirrendafixaconsolidadonov[[#This Row],[TOTAL (R$)]]=0,"",IF(OR(investirrendafixaconsolidadonov[[#This Row],[TOTAL (R$)]]=LARGE($AJ$113:$AJ$122,1),investirrendafixaconsolidadonov[[#This Row],[TOTAL (R$)]]=LARGE($AJ$113:$AJ$122,2)),DADOS!$I$10,""))</f>
        <v/>
      </c>
      <c r="E122" s="148" t="n">
        <f aca="false">SUMIFS(tabela_registros[VALOR],tabela_registros[MÊS],$AE$1,tabela_registros[DIA],investirrendafixaconsolidadonov[[#Headers],[1]],tabela_registros[REGISTRO],DADOS!$N$5,tabela_registros[TIPO],DADOS!$AB$3,tabela_registros[CATEGORIA],investirrendafixaconsolidadonov[[#This Row],[ATUAL]])</f>
        <v>0</v>
      </c>
      <c r="F122" s="119" t="n">
        <f aca="false">SUMIFS(tabela_registros[VALOR],tabela_registros[MÊS],$AE$1,tabela_registros[DIA],investirrendafixaconsolidadonov[[#Headers],[2]],tabela_registros[REGISTRO],DADOS!$N$5,tabela_registros[TIPO],DADOS!$AB$3,tabela_registros[CATEGORIA],investirrendafixaconsolidadonov[[#This Row],[ATUAL]])</f>
        <v>0</v>
      </c>
      <c r="G122" s="119" t="n">
        <f aca="false">SUMIFS(tabela_registros[VALOR],tabela_registros[MÊS],$AE$1,tabela_registros[DIA],investirrendafixaconsolidadonov[[#Headers],[3]],tabela_registros[REGISTRO],DADOS!$N$5,tabela_registros[TIPO],DADOS!$AB$3,tabela_registros[CATEGORIA],investirrendafixaconsolidadonov[[#This Row],[ATUAL]])</f>
        <v>0</v>
      </c>
      <c r="H122" s="119" t="n">
        <f aca="false">SUMIFS(tabela_registros[VALOR],tabela_registros[MÊS],$AE$1,tabela_registros[DIA],investirrendafixaconsolidadonov[[#Headers],[4]],tabela_registros[REGISTRO],DADOS!$N$5,tabela_registros[TIPO],DADOS!$AB$3,tabela_registros[CATEGORIA],investirrendafixaconsolidadonov[[#This Row],[ATUAL]])</f>
        <v>0</v>
      </c>
      <c r="I122" s="119" t="n">
        <f aca="false">SUMIFS(tabela_registros[VALOR],tabela_registros[MÊS],$AE$1,tabela_registros[DIA],investirrendafixaconsolidadonov[[#Headers],[5]],tabela_registros[REGISTRO],DADOS!$N$5,tabela_registros[TIPO],DADOS!$AB$3,tabela_registros[CATEGORIA],investirrendafixaconsolidadonov[[#This Row],[ATUAL]])</f>
        <v>0</v>
      </c>
      <c r="J122" s="119" t="n">
        <f aca="false">SUMIFS(tabela_registros[VALOR],tabela_registros[MÊS],$AE$1,tabela_registros[DIA],investirrendafixaconsolidadonov[[#Headers],[6]],tabela_registros[REGISTRO],DADOS!$N$5,tabela_registros[TIPO],DADOS!$AB$3,tabela_registros[CATEGORIA],investirrendafixaconsolidadonov[[#This Row],[ATUAL]])</f>
        <v>0</v>
      </c>
      <c r="K122" s="119" t="n">
        <f aca="false">SUMIFS(tabela_registros[VALOR],tabela_registros[MÊS],$AE$1,tabela_registros[DIA],investirrendafixaconsolidadonov[[#Headers],[7]],tabela_registros[REGISTRO],DADOS!$N$5,tabela_registros[TIPO],DADOS!$AB$3,tabela_registros[CATEGORIA],investirrendafixaconsolidadonov[[#This Row],[ATUAL]])</f>
        <v>0</v>
      </c>
      <c r="L122" s="119" t="n">
        <f aca="false">SUMIFS(tabela_registros[VALOR],tabela_registros[MÊS],$AE$1,tabela_registros[DIA],investirrendafixaconsolidadonov[[#Headers],[8]],tabela_registros[REGISTRO],DADOS!$N$5,tabela_registros[TIPO],DADOS!$AB$3,tabela_registros[CATEGORIA],investirrendafixaconsolidadonov[[#This Row],[ATUAL]])</f>
        <v>0</v>
      </c>
      <c r="M122" s="119" t="n">
        <f aca="false">SUMIFS(tabela_registros[VALOR],tabela_registros[MÊS],$AE$1,tabela_registros[DIA],investirrendafixaconsolidadonov[[#Headers],[9]],tabela_registros[REGISTRO],DADOS!$N$5,tabela_registros[TIPO],DADOS!$AB$3,tabela_registros[CATEGORIA],investirrendafixaconsolidadonov[[#This Row],[ATUAL]])</f>
        <v>0</v>
      </c>
      <c r="N122" s="119" t="n">
        <f aca="false">SUMIFS(tabela_registros[VALOR],tabela_registros[MÊS],$AE$1,tabela_registros[DIA],investirrendafixaconsolidadonov[[#Headers],[10]],tabela_registros[REGISTRO],DADOS!$N$5,tabela_registros[TIPO],DADOS!$AB$3,tabela_registros[CATEGORIA],investirrendafixaconsolidadonov[[#This Row],[ATUAL]])</f>
        <v>0</v>
      </c>
      <c r="O122" s="119" t="n">
        <f aca="false">SUMIFS(tabela_registros[VALOR],tabela_registros[MÊS],$AE$1,tabela_registros[DIA],investirrendafixaconsolidadonov[[#Headers],[11]],tabela_registros[REGISTRO],DADOS!$N$5,tabela_registros[TIPO],DADOS!$AB$3,tabela_registros[CATEGORIA],investirrendafixaconsolidadonov[[#This Row],[ATUAL]])</f>
        <v>0</v>
      </c>
      <c r="P122" s="119" t="n">
        <f aca="false">SUMIFS(tabela_registros[VALOR],tabela_registros[MÊS],$AE$1,tabela_registros[DIA],investirrendafixaconsolidadonov[[#Headers],[12]],tabela_registros[REGISTRO],DADOS!$N$5,tabela_registros[TIPO],DADOS!$AB$3,tabela_registros[CATEGORIA],investirrendafixaconsolidadonov[[#This Row],[ATUAL]])</f>
        <v>0</v>
      </c>
      <c r="Q122" s="119" t="n">
        <f aca="false">SUMIFS(tabela_registros[VALOR],tabela_registros[MÊS],$AE$1,tabela_registros[DIA],investirrendafixaconsolidadonov[[#Headers],[13]],tabela_registros[REGISTRO],DADOS!$N$5,tabela_registros[TIPO],DADOS!$AB$3,tabela_registros[CATEGORIA],investirrendafixaconsolidadonov[[#This Row],[ATUAL]])</f>
        <v>0</v>
      </c>
      <c r="R122" s="119" t="n">
        <f aca="false">SUMIFS(tabela_registros[VALOR],tabela_registros[MÊS],$AE$1,tabela_registros[DIA],investirrendafixaconsolidadonov[[#Headers],[14]],tabela_registros[REGISTRO],DADOS!$N$5,tabela_registros[TIPO],DADOS!$AB$3,tabela_registros[CATEGORIA],investirrendafixaconsolidadonov[[#This Row],[ATUAL]])</f>
        <v>0</v>
      </c>
      <c r="S122" s="119" t="n">
        <f aca="false">SUMIFS(tabela_registros[VALOR],tabela_registros[MÊS],$AE$1,tabela_registros[DIA],investirrendafixaconsolidadonov[[#Headers],[15]],tabela_registros[REGISTRO],DADOS!$N$5,tabela_registros[TIPO],DADOS!$AB$3,tabela_registros[CATEGORIA],investirrendafixaconsolidadonov[[#This Row],[ATUAL]])</f>
        <v>0</v>
      </c>
      <c r="T122" s="119" t="n">
        <f aca="false">SUMIFS(tabela_registros[VALOR],tabela_registros[MÊS],$AE$1,tabela_registros[DIA],investirrendafixaconsolidadonov[[#Headers],[16]],tabela_registros[REGISTRO],DADOS!$N$5,tabela_registros[TIPO],DADOS!$AB$3,tabela_registros[CATEGORIA],investirrendafixaconsolidadonov[[#This Row],[ATUAL]])</f>
        <v>0</v>
      </c>
      <c r="U122" s="119" t="n">
        <f aca="false">SUMIFS(tabela_registros[VALOR],tabela_registros[MÊS],$AE$1,tabela_registros[DIA],investirrendafixaconsolidadonov[[#Headers],[17]],tabela_registros[REGISTRO],DADOS!$N$5,tabela_registros[TIPO],DADOS!$AB$3,tabela_registros[CATEGORIA],investirrendafixaconsolidadonov[[#This Row],[ATUAL]])</f>
        <v>0</v>
      </c>
      <c r="V122" s="119" t="n">
        <f aca="false">SUMIFS(tabela_registros[VALOR],tabela_registros[MÊS],$AE$1,tabela_registros[DIA],investirrendafixaconsolidadonov[[#Headers],[18]],tabela_registros[REGISTRO],DADOS!$N$5,tabela_registros[TIPO],DADOS!$AB$3,tabela_registros[CATEGORIA],investirrendafixaconsolidadonov[[#This Row],[ATUAL]])</f>
        <v>0</v>
      </c>
      <c r="W122" s="119" t="n">
        <f aca="false">SUMIFS(tabela_registros[VALOR],tabela_registros[MÊS],$AE$1,tabela_registros[DIA],investirrendafixaconsolidadonov[[#Headers],[19]],tabela_registros[REGISTRO],DADOS!$N$5,tabela_registros[TIPO],DADOS!$AB$3,tabela_registros[CATEGORIA],investirrendafixaconsolidadonov[[#This Row],[ATUAL]])</f>
        <v>0</v>
      </c>
      <c r="X122" s="119" t="n">
        <f aca="false">SUMIFS(tabela_registros[VALOR],tabela_registros[MÊS],$AE$1,tabela_registros[DIA],investirrendafixaconsolidadonov[[#Headers],[20]],tabela_registros[REGISTRO],DADOS!$N$5,tabela_registros[TIPO],DADOS!$AB$3,tabela_registros[CATEGORIA],investirrendafixaconsolidadonov[[#This Row],[ATUAL]])</f>
        <v>0</v>
      </c>
      <c r="Y122" s="119" t="n">
        <f aca="false">SUMIFS(tabela_registros[VALOR],tabela_registros[MÊS],$AE$1,tabela_registros[DIA],investirrendafixaconsolidadonov[[#Headers],[21]],tabela_registros[REGISTRO],DADOS!$N$5,tabela_registros[TIPO],DADOS!$AB$3,tabela_registros[CATEGORIA],investirrendafixaconsolidadonov[[#This Row],[ATUAL]])</f>
        <v>0</v>
      </c>
      <c r="Z122" s="119" t="n">
        <f aca="false">SUMIFS(tabela_registros[VALOR],tabela_registros[MÊS],$AE$1,tabela_registros[DIA],investirrendafixaconsolidadonov[[#Headers],[22]],tabela_registros[REGISTRO],DADOS!$N$5,tabela_registros[TIPO],DADOS!$AB$3,tabela_registros[CATEGORIA],investirrendafixaconsolidadonov[[#This Row],[ATUAL]])</f>
        <v>0</v>
      </c>
      <c r="AA122" s="119" t="n">
        <f aca="false">SUMIFS(tabela_registros[VALOR],tabela_registros[MÊS],$AE$1,tabela_registros[DIA],investirrendafixaconsolidadonov[[#Headers],[23]],tabela_registros[REGISTRO],DADOS!$N$5,tabela_registros[TIPO],DADOS!$AB$3,tabela_registros[CATEGORIA],investirrendafixaconsolidadonov[[#This Row],[ATUAL]])</f>
        <v>0</v>
      </c>
      <c r="AB122" s="119" t="n">
        <f aca="false">SUMIFS(tabela_registros[VALOR],tabela_registros[MÊS],$AE$1,tabela_registros[DIA],investirrendafixaconsolidadonov[[#Headers],[24]],tabela_registros[REGISTRO],DADOS!$N$5,tabela_registros[TIPO],DADOS!$AB$3,tabela_registros[CATEGORIA],investirrendafixaconsolidadonov[[#This Row],[ATUAL]])</f>
        <v>0</v>
      </c>
      <c r="AC122" s="119" t="n">
        <f aca="false">SUMIFS(tabela_registros[VALOR],tabela_registros[MÊS],$AE$1,tabela_registros[DIA],investirrendafixaconsolidadonov[[#Headers],[25]],tabela_registros[REGISTRO],DADOS!$N$5,tabela_registros[TIPO],DADOS!$AB$3,tabela_registros[CATEGORIA],investirrendafixaconsolidadonov[[#This Row],[ATUAL]])</f>
        <v>0</v>
      </c>
      <c r="AD122" s="119" t="n">
        <f aca="false">SUMIFS(tabela_registros[VALOR],tabela_registros[MÊS],$AE$1,tabela_registros[DIA],investirrendafixaconsolidadonov[[#Headers],[26]],tabela_registros[REGISTRO],DADOS!$N$5,tabela_registros[TIPO],DADOS!$AB$3,tabela_registros[CATEGORIA],investirrendafixaconsolidadonov[[#This Row],[ATUAL]])</f>
        <v>0</v>
      </c>
      <c r="AE122" s="119" t="n">
        <f aca="false">SUMIFS(tabela_registros[VALOR],tabela_registros[MÊS],$AE$1,tabela_registros[DIA],investirrendafixaconsolidadonov[[#Headers],[27]],tabela_registros[REGISTRO],DADOS!$N$5,tabela_registros[TIPO],DADOS!$AB$3,tabela_registros[CATEGORIA],investirrendafixaconsolidadonov[[#This Row],[ATUAL]])</f>
        <v>0</v>
      </c>
      <c r="AF122" s="119" t="n">
        <f aca="false">SUMIFS(tabela_registros[VALOR],tabela_registros[MÊS],$AE$1,tabela_registros[DIA],investirrendafixaconsolidadonov[[#Headers],[28]],tabela_registros[REGISTRO],DADOS!$N$5,tabela_registros[TIPO],DADOS!$AB$3,tabela_registros[CATEGORIA],investirrendafixaconsolidadonov[[#This Row],[ATUAL]])</f>
        <v>0</v>
      </c>
      <c r="AG122" s="119" t="n">
        <f aca="false">SUMIFS(tabela_registros[VALOR],tabela_registros[MÊS],$AE$1,tabela_registros[DIA],investirrendafixaconsolidadonov[[#Headers],[29]],tabela_registros[REGISTRO],DADOS!$N$5,tabela_registros[TIPO],DADOS!$AB$3,tabela_registros[CATEGORIA],investirrendafixaconsolidadonov[[#This Row],[ATUAL]])</f>
        <v>0</v>
      </c>
      <c r="AH122" s="151" t="n">
        <f aca="false">SUMIFS(tabela_registros[VALOR],tabela_registros[MÊS],$AE$1,tabela_registros[DIA],investirrendafixaconsolidadonov[[#Headers],[30]],tabela_registros[REGISTRO],DADOS!$N$5,tabela_registros[TIPO],DADOS!$AB$3,tabela_registros[CATEGORIA],investirrendafixaconsolidadonov[[#This Row],[ATUAL]])</f>
        <v>0</v>
      </c>
      <c r="AI122" s="218" t="n">
        <f aca="false">SUMIFS(tabela_registros[VALOR],tabela_registros[MÊS],$AE$1,tabela_registros[DIA],investirrendafixaconsolidadonov[[#Headers],[31]],tabela_registros[REGISTRO],DADOS!$N$5,tabela_registros[TIPO],DADOS!$AB$3,tabela_registros[CATEGORIA],investirrendafixaconsolidadonov[[#This Row],[ATUAL]])</f>
        <v>0</v>
      </c>
      <c r="AJ122" s="219" t="n">
        <f aca="false">SUM(investirrendafixaconsolidadonov[[#This Row],[1]:[31]])</f>
        <v>0</v>
      </c>
      <c r="AK122" s="165"/>
    </row>
    <row r="123" s="122" customFormat="true" ht="21" hidden="false" customHeight="true" outlineLevel="0" collapsed="false">
      <c r="B123" s="152"/>
      <c r="C123" s="153" t="s">
        <v>2</v>
      </c>
      <c r="D123" s="166"/>
      <c r="E123" s="155" t="n">
        <f aca="false">SUM(E113:E122)</f>
        <v>0</v>
      </c>
      <c r="F123" s="156" t="n">
        <f aca="false">SUM(F113:F122)+investirrendafixaconsolidadonov[[#This Row],[1]]</f>
        <v>0</v>
      </c>
      <c r="G123" s="156" t="n">
        <f aca="false">SUM(G113:G122)+investirrendafixaconsolidadonov[[#This Row],[2]]</f>
        <v>0</v>
      </c>
      <c r="H123" s="156" t="n">
        <f aca="false">SUM(H113:H122)+investirrendafixaconsolidadonov[[#This Row],[3]]</f>
        <v>0</v>
      </c>
      <c r="I123" s="156" t="n">
        <f aca="false">SUM(I113:I122)+investirrendafixaconsolidadonov[[#This Row],[4]]</f>
        <v>0</v>
      </c>
      <c r="J123" s="156" t="n">
        <f aca="false">SUM(J113:J122)+investirrendafixaconsolidadonov[[#This Row],[5]]</f>
        <v>0</v>
      </c>
      <c r="K123" s="156" t="n">
        <f aca="false">SUM(K113:K122)+investirrendafixaconsolidadonov[[#This Row],[6]]</f>
        <v>0</v>
      </c>
      <c r="L123" s="156" t="n">
        <f aca="false">SUM(L113:L122)+investirrendafixaconsolidadonov[[#This Row],[7]]</f>
        <v>0</v>
      </c>
      <c r="M123" s="156" t="n">
        <f aca="false">SUM(M113:M122)+investirrendafixaconsolidadonov[[#This Row],[8]]</f>
        <v>0</v>
      </c>
      <c r="N123" s="156" t="n">
        <f aca="false">SUM(N113:N122)+investirrendafixaconsolidadonov[[#This Row],[9]]</f>
        <v>0</v>
      </c>
      <c r="O123" s="156" t="n">
        <f aca="false">SUM(O113:O122)+investirrendafixaconsolidadonov[[#This Row],[10]]</f>
        <v>0</v>
      </c>
      <c r="P123" s="156" t="n">
        <f aca="false">SUM(P113:P122)+investirrendafixaconsolidadonov[[#This Row],[11]]</f>
        <v>0</v>
      </c>
      <c r="Q123" s="156" t="n">
        <f aca="false">SUM(Q113:Q122)+investirrendafixaconsolidadonov[[#This Row],[12]]</f>
        <v>0</v>
      </c>
      <c r="R123" s="156" t="n">
        <f aca="false">SUM(R113:R122)+investirrendafixaconsolidadonov[[#This Row],[13]]</f>
        <v>0</v>
      </c>
      <c r="S123" s="156" t="n">
        <f aca="false">SUM(S113:S122)+investirrendafixaconsolidadonov[[#This Row],[14]]</f>
        <v>0</v>
      </c>
      <c r="T123" s="156" t="n">
        <f aca="false">SUM(T113:T122)+investirrendafixaconsolidadonov[[#This Row],[15]]</f>
        <v>0</v>
      </c>
      <c r="U123" s="156" t="n">
        <f aca="false">SUM(U113:U122)+investirrendafixaconsolidadonov[[#This Row],[16]]</f>
        <v>0</v>
      </c>
      <c r="V123" s="156" t="n">
        <f aca="false">SUM(V113:V122)+investirrendafixaconsolidadonov[[#This Row],[17]]</f>
        <v>0</v>
      </c>
      <c r="W123" s="156" t="n">
        <f aca="false">SUM(W113:W122)+investirrendafixaconsolidadonov[[#This Row],[18]]</f>
        <v>0</v>
      </c>
      <c r="X123" s="156" t="n">
        <f aca="false">SUM(X113:X122)+investirrendafixaconsolidadonov[[#This Row],[19]]</f>
        <v>0</v>
      </c>
      <c r="Y123" s="156" t="n">
        <f aca="false">SUM(Y113:Y122)+investirrendafixaconsolidadonov[[#This Row],[20]]</f>
        <v>0</v>
      </c>
      <c r="Z123" s="156" t="n">
        <f aca="false">SUM(Z113:Z122)+investirrendafixaconsolidadonov[[#This Row],[21]]</f>
        <v>0</v>
      </c>
      <c r="AA123" s="156" t="n">
        <f aca="false">SUM(AA113:AA122)+investirrendafixaconsolidadonov[[#This Row],[22]]</f>
        <v>0</v>
      </c>
      <c r="AB123" s="156" t="n">
        <f aca="false">SUM(AB113:AB122)+investirrendafixaconsolidadonov[[#This Row],[23]]</f>
        <v>0</v>
      </c>
      <c r="AC123" s="156" t="n">
        <f aca="false">SUM(AC113:AC122)+investirrendafixaconsolidadonov[[#This Row],[24]]</f>
        <v>0</v>
      </c>
      <c r="AD123" s="156" t="n">
        <f aca="false">SUM(AD113:AD122)+investirrendafixaconsolidadonov[[#This Row],[25]]</f>
        <v>0</v>
      </c>
      <c r="AE123" s="156" t="n">
        <f aca="false">SUM(AE113:AE122)+investirrendafixaconsolidadonov[[#This Row],[26]]</f>
        <v>0</v>
      </c>
      <c r="AF123" s="156" t="n">
        <f aca="false">SUM(AF113:AF122)+investirrendafixaconsolidadonov[[#This Row],[27]]</f>
        <v>0</v>
      </c>
      <c r="AG123" s="156" t="n">
        <f aca="false">SUM(AG113:AG122)+investirrendafixaconsolidadonov[[#This Row],[28]]</f>
        <v>0</v>
      </c>
      <c r="AH123" s="156" t="n">
        <f aca="false">SUM(AH113:AH122)+investirrendafixaconsolidadonov[[#This Row],[29]]</f>
        <v>0</v>
      </c>
      <c r="AI123" s="223" t="n">
        <f aca="false">SUM(AI113:AI122)+investirrendafixaconsolidadonov[[#This Row],[30]]</f>
        <v>0</v>
      </c>
      <c r="AJ123" s="157" t="n">
        <f aca="false">investirrendafixaconsolidadonov[[#This Row],[31]]</f>
        <v>0</v>
      </c>
      <c r="AK123" s="158"/>
    </row>
    <row r="124" customFormat="false" ht="6.75" hidden="false" customHeight="true" outlineLevel="0" collapsed="false">
      <c r="B124" s="97"/>
      <c r="C124" s="162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233"/>
      <c r="AJ124" s="164"/>
      <c r="AK124" s="244"/>
    </row>
    <row r="125" s="78" customFormat="true" ht="12.75" hidden="false" customHeight="false" outlineLevel="0" collapsed="false">
      <c r="E125" s="100"/>
    </row>
    <row r="126" s="78" customFormat="true" ht="12" hidden="false" customHeight="false" outlineLevel="0" collapsed="false"/>
    <row r="127" s="78" customFormat="true" ht="12" hidden="false" customHeight="false" outlineLevel="0" collapsed="false"/>
    <row r="128" customFormat="false" ht="39.75" hidden="false" customHeight="true" outlineLevel="0" collapsed="false">
      <c r="C128" s="101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3" t="s">
        <v>2</v>
      </c>
    </row>
    <row r="129" s="78" customFormat="true" ht="12.75" hidden="false" customHeight="false" outlineLevel="0" collapsed="false">
      <c r="B129" s="161"/>
      <c r="AJ129" s="106" t="s">
        <v>64</v>
      </c>
    </row>
    <row r="130" customFormat="false" ht="6.75" hidden="false" customHeight="true" outlineLevel="0" collapsed="false">
      <c r="B130" s="86"/>
      <c r="C130" s="162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233"/>
      <c r="AK130" s="139"/>
    </row>
    <row r="131" customFormat="false" ht="13.5" hidden="true" customHeight="false" outlineLevel="0" collapsed="false">
      <c r="B131" s="86"/>
      <c r="C131" s="109" t="s">
        <v>68</v>
      </c>
      <c r="D131" s="110" t="s">
        <v>69</v>
      </c>
      <c r="E131" s="110" t="s">
        <v>30</v>
      </c>
      <c r="F131" s="110" t="s">
        <v>31</v>
      </c>
      <c r="G131" s="110" t="s">
        <v>32</v>
      </c>
      <c r="H131" s="110" t="s">
        <v>33</v>
      </c>
      <c r="I131" s="110" t="s">
        <v>34</v>
      </c>
      <c r="J131" s="110" t="s">
        <v>35</v>
      </c>
      <c r="K131" s="110" t="s">
        <v>36</v>
      </c>
      <c r="L131" s="110" t="s">
        <v>37</v>
      </c>
      <c r="M131" s="110" t="s">
        <v>38</v>
      </c>
      <c r="N131" s="110" t="s">
        <v>39</v>
      </c>
      <c r="O131" s="110" t="s">
        <v>40</v>
      </c>
      <c r="P131" s="110" t="s">
        <v>41</v>
      </c>
      <c r="Q131" s="110" t="s">
        <v>81</v>
      </c>
      <c r="R131" s="110" t="s">
        <v>82</v>
      </c>
      <c r="S131" s="110" t="s">
        <v>83</v>
      </c>
      <c r="T131" s="110" t="s">
        <v>84</v>
      </c>
      <c r="U131" s="110" t="s">
        <v>85</v>
      </c>
      <c r="V131" s="110" t="s">
        <v>86</v>
      </c>
      <c r="W131" s="110" t="s">
        <v>87</v>
      </c>
      <c r="X131" s="110" t="s">
        <v>88</v>
      </c>
      <c r="Y131" s="110" t="s">
        <v>89</v>
      </c>
      <c r="Z131" s="110" t="s">
        <v>90</v>
      </c>
      <c r="AA131" s="110" t="s">
        <v>91</v>
      </c>
      <c r="AB131" s="110" t="s">
        <v>92</v>
      </c>
      <c r="AC131" s="110" t="s">
        <v>93</v>
      </c>
      <c r="AD131" s="110" t="s">
        <v>94</v>
      </c>
      <c r="AE131" s="110" t="s">
        <v>95</v>
      </c>
      <c r="AF131" s="110" t="s">
        <v>96</v>
      </c>
      <c r="AG131" s="110" t="s">
        <v>97</v>
      </c>
      <c r="AH131" s="110" t="s">
        <v>98</v>
      </c>
      <c r="AI131" s="110" t="s">
        <v>99</v>
      </c>
      <c r="AJ131" s="111" t="s">
        <v>70</v>
      </c>
      <c r="AK131" s="86"/>
    </row>
    <row r="132" customFormat="false" ht="19.5" hidden="false" customHeight="true" outlineLevel="0" collapsed="false">
      <c r="B132" s="143"/>
      <c r="C132" s="144" t="str">
        <f aca="false">DADOS!$AF$3</f>
        <v>📝 AÇÃO</v>
      </c>
      <c r="D132" s="145" t="str">
        <f aca="false">IF(investirrendavariávelconsolidadonov[[#This Row],[TOTAL (R$)]]=0,"",IF(OR(investirrendavariávelconsolidadonov[[#This Row],[TOTAL (R$)]]=LARGE($AJ$132:$AJ$141,1),investirrendavariávelconsolidadonov[[#This Row],[TOTAL (R$)]]=LARGE($AJ$132:$AJ$141,2)),DADOS!$I$10,""))</f>
        <v/>
      </c>
      <c r="E132" s="148" t="n">
        <f aca="false">SUMIFS(tabela_registros[VALOR],tabela_registros[MÊS],$AE$1,tabela_registros[DIA],investirrendavariávelconsolidadonov[[#Headers],[1]],tabela_registros[REGISTRO],DADOS!$N$5,tabela_registros[TIPO],DADOS!$AB$4,tabela_registros[CATEGORIA],investirrendavariávelconsolidadonov[[#This Row],[ATUAL]])</f>
        <v>0</v>
      </c>
      <c r="F132" s="119" t="n">
        <f aca="false">SUMIFS(tabela_registros[VALOR],tabela_registros[MÊS],$AE$1,tabela_registros[DIA],investirrendavariávelconsolidadonov[[#Headers],[2]],tabela_registros[REGISTRO],DADOS!$N$5,tabela_registros[TIPO],DADOS!$AB$4,tabela_registros[CATEGORIA],investirrendavariávelconsolidadonov[[#This Row],[ATUAL]])</f>
        <v>0</v>
      </c>
      <c r="G132" s="119" t="n">
        <f aca="false">SUMIFS(tabela_registros[VALOR],tabela_registros[MÊS],$AE$1,tabela_registros[DIA],investirrendavariávelconsolidadonov[[#Headers],[3]],tabela_registros[REGISTRO],DADOS!$N$5,tabela_registros[TIPO],DADOS!$AB$4,tabela_registros[CATEGORIA],investirrendavariávelconsolidadonov[[#This Row],[ATUAL]])</f>
        <v>0</v>
      </c>
      <c r="H132" s="119" t="n">
        <f aca="false">SUMIFS(tabela_registros[VALOR],tabela_registros[MÊS],$AE$1,tabela_registros[DIA],investirrendavariávelconsolidadonov[[#Headers],[4]],tabela_registros[REGISTRO],DADOS!$N$5,tabela_registros[TIPO],DADOS!$AB$4,tabela_registros[CATEGORIA],investirrendavariávelconsolidadonov[[#This Row],[ATUAL]])</f>
        <v>0</v>
      </c>
      <c r="I132" s="119" t="n">
        <f aca="false">SUMIFS(tabela_registros[VALOR],tabela_registros[MÊS],$AE$1,tabela_registros[DIA],investirrendavariávelconsolidadonov[[#Headers],[5]],tabela_registros[REGISTRO],DADOS!$N$5,tabela_registros[TIPO],DADOS!$AB$4,tabela_registros[CATEGORIA],investirrendavariávelconsolidadonov[[#This Row],[ATUAL]])</f>
        <v>0</v>
      </c>
      <c r="J132" s="119" t="n">
        <f aca="false">SUMIFS(tabela_registros[VALOR],tabela_registros[MÊS],$AE$1,tabela_registros[DIA],investirrendavariávelconsolidadonov[[#Headers],[6]],tabela_registros[REGISTRO],DADOS!$N$5,tabela_registros[TIPO],DADOS!$AB$4,tabela_registros[CATEGORIA],investirrendavariávelconsolidadonov[[#This Row],[ATUAL]])</f>
        <v>0</v>
      </c>
      <c r="K132" s="119" t="n">
        <f aca="false">SUMIFS(tabela_registros[VALOR],tabela_registros[MÊS],$AE$1,tabela_registros[DIA],investirrendavariávelconsolidadonov[[#Headers],[7]],tabela_registros[REGISTRO],DADOS!$N$5,tabela_registros[TIPO],DADOS!$AB$4,tabela_registros[CATEGORIA],investirrendavariávelconsolidadonov[[#This Row],[ATUAL]])</f>
        <v>0</v>
      </c>
      <c r="L132" s="119" t="n">
        <f aca="false">SUMIFS(tabela_registros[VALOR],tabela_registros[MÊS],$AE$1,tabela_registros[DIA],investirrendavariávelconsolidadonov[[#Headers],[8]],tabela_registros[REGISTRO],DADOS!$N$5,tabela_registros[TIPO],DADOS!$AB$4,tabela_registros[CATEGORIA],investirrendavariávelconsolidadonov[[#This Row],[ATUAL]])</f>
        <v>0</v>
      </c>
      <c r="M132" s="119" t="n">
        <f aca="false">SUMIFS(tabela_registros[VALOR],tabela_registros[MÊS],$AE$1,tabela_registros[DIA],investirrendavariávelconsolidadonov[[#Headers],[9]],tabela_registros[REGISTRO],DADOS!$N$5,tabela_registros[TIPO],DADOS!$AB$4,tabela_registros[CATEGORIA],investirrendavariávelconsolidadonov[[#This Row],[ATUAL]])</f>
        <v>0</v>
      </c>
      <c r="N132" s="119" t="n">
        <f aca="false">SUMIFS(tabela_registros[VALOR],tabela_registros[MÊS],$AE$1,tabela_registros[DIA],investirrendavariávelconsolidadonov[[#Headers],[10]],tabela_registros[REGISTRO],DADOS!$N$5,tabela_registros[TIPO],DADOS!$AB$4,tabela_registros[CATEGORIA],investirrendavariávelconsolidadonov[[#This Row],[ATUAL]])</f>
        <v>0</v>
      </c>
      <c r="O132" s="119" t="n">
        <f aca="false">SUMIFS(tabela_registros[VALOR],tabela_registros[MÊS],$AE$1,tabela_registros[DIA],investirrendavariávelconsolidadonov[[#Headers],[11]],tabela_registros[REGISTRO],DADOS!$N$5,tabela_registros[TIPO],DADOS!$AB$4,tabela_registros[CATEGORIA],investirrendavariávelconsolidadonov[[#This Row],[ATUAL]])</f>
        <v>0</v>
      </c>
      <c r="P132" s="119" t="n">
        <f aca="false">SUMIFS(tabela_registros[VALOR],tabela_registros[MÊS],$AE$1,tabela_registros[DIA],investirrendavariávelconsolidadonov[[#Headers],[12]],tabela_registros[REGISTRO],DADOS!$N$5,tabela_registros[TIPO],DADOS!$AB$4,tabela_registros[CATEGORIA],investirrendavariávelconsolidadonov[[#This Row],[ATUAL]])</f>
        <v>0</v>
      </c>
      <c r="Q132" s="119" t="n">
        <f aca="false">SUMIFS(tabela_registros[VALOR],tabela_registros[MÊS],$AE$1,tabela_registros[DIA],investirrendavariávelconsolidadonov[[#Headers],[13]],tabela_registros[REGISTRO],DADOS!$N$5,tabela_registros[TIPO],DADOS!$AB$4,tabela_registros[CATEGORIA],investirrendavariávelconsolidadonov[[#This Row],[ATUAL]])</f>
        <v>0</v>
      </c>
      <c r="R132" s="119" t="n">
        <f aca="false">SUMIFS(tabela_registros[VALOR],tabela_registros[MÊS],$AE$1,tabela_registros[DIA],investirrendavariávelconsolidadonov[[#Headers],[14]],tabela_registros[REGISTRO],DADOS!$N$5,tabela_registros[TIPO],DADOS!$AB$4,tabela_registros[CATEGORIA],investirrendavariávelconsolidadonov[[#This Row],[ATUAL]])</f>
        <v>0</v>
      </c>
      <c r="S132" s="119" t="n">
        <f aca="false">SUMIFS(tabela_registros[VALOR],tabela_registros[MÊS],$AE$1,tabela_registros[DIA],investirrendavariávelconsolidadonov[[#Headers],[15]],tabela_registros[REGISTRO],DADOS!$N$5,tabela_registros[TIPO],DADOS!$AB$4,tabela_registros[CATEGORIA],investirrendavariávelconsolidadonov[[#This Row],[ATUAL]])</f>
        <v>0</v>
      </c>
      <c r="T132" s="119" t="n">
        <f aca="false">SUMIFS(tabela_registros[VALOR],tabela_registros[MÊS],$AE$1,tabela_registros[DIA],investirrendavariávelconsolidadonov[[#Headers],[16]],tabela_registros[REGISTRO],DADOS!$N$5,tabela_registros[TIPO],DADOS!$AB$4,tabela_registros[CATEGORIA],investirrendavariávelconsolidadonov[[#This Row],[ATUAL]])</f>
        <v>0</v>
      </c>
      <c r="U132" s="119" t="n">
        <f aca="false">SUMIFS(tabela_registros[VALOR],tabela_registros[MÊS],$AE$1,tabela_registros[DIA],investirrendavariávelconsolidadonov[[#Headers],[17]],tabela_registros[REGISTRO],DADOS!$N$5,tabela_registros[TIPO],DADOS!$AB$4,tabela_registros[CATEGORIA],investirrendavariávelconsolidadonov[[#This Row],[ATUAL]])</f>
        <v>0</v>
      </c>
      <c r="V132" s="119" t="n">
        <f aca="false">SUMIFS(tabela_registros[VALOR],tabela_registros[MÊS],$AE$1,tabela_registros[DIA],investirrendavariávelconsolidadonov[[#Headers],[18]],tabela_registros[REGISTRO],DADOS!$N$5,tabela_registros[TIPO],DADOS!$AB$4,tabela_registros[CATEGORIA],investirrendavariávelconsolidadonov[[#This Row],[ATUAL]])</f>
        <v>0</v>
      </c>
      <c r="W132" s="119" t="n">
        <f aca="false">SUMIFS(tabela_registros[VALOR],tabela_registros[MÊS],$AE$1,tabela_registros[DIA],investirrendavariávelconsolidadonov[[#Headers],[19]],tabela_registros[REGISTRO],DADOS!$N$5,tabela_registros[TIPO],DADOS!$AB$4,tabela_registros[CATEGORIA],investirrendavariávelconsolidadonov[[#This Row],[ATUAL]])</f>
        <v>0</v>
      </c>
      <c r="X132" s="119" t="n">
        <f aca="false">SUMIFS(tabela_registros[VALOR],tabela_registros[MÊS],$AE$1,tabela_registros[DIA],investirrendavariávelconsolidadonov[[#Headers],[20]],tabela_registros[REGISTRO],DADOS!$N$5,tabela_registros[TIPO],DADOS!$AB$4,tabela_registros[CATEGORIA],investirrendavariávelconsolidadonov[[#This Row],[ATUAL]])</f>
        <v>0</v>
      </c>
      <c r="Y132" s="119" t="n">
        <f aca="false">SUMIFS(tabela_registros[VALOR],tabela_registros[MÊS],$AE$1,tabela_registros[DIA],investirrendavariávelconsolidadonov[[#Headers],[21]],tabela_registros[REGISTRO],DADOS!$N$5,tabela_registros[TIPO],DADOS!$AB$4,tabela_registros[CATEGORIA],investirrendavariávelconsolidadonov[[#This Row],[ATUAL]])</f>
        <v>0</v>
      </c>
      <c r="Z132" s="119" t="n">
        <f aca="false">SUMIFS(tabela_registros[VALOR],tabela_registros[MÊS],$AE$1,tabela_registros[DIA],investirrendavariávelconsolidadonov[[#Headers],[22]],tabela_registros[REGISTRO],DADOS!$N$5,tabela_registros[TIPO],DADOS!$AB$4,tabela_registros[CATEGORIA],investirrendavariávelconsolidadonov[[#This Row],[ATUAL]])</f>
        <v>0</v>
      </c>
      <c r="AA132" s="119" t="n">
        <f aca="false">SUMIFS(tabela_registros[VALOR],tabela_registros[MÊS],$AE$1,tabela_registros[DIA],investirrendavariávelconsolidadonov[[#Headers],[23]],tabela_registros[REGISTRO],DADOS!$N$5,tabela_registros[TIPO],DADOS!$AB$4,tabela_registros[CATEGORIA],investirrendavariávelconsolidadonov[[#This Row],[ATUAL]])</f>
        <v>0</v>
      </c>
      <c r="AB132" s="119" t="n">
        <f aca="false">SUMIFS(tabela_registros[VALOR],tabela_registros[MÊS],$AE$1,tabela_registros[DIA],investirrendavariávelconsolidadonov[[#Headers],[24]],tabela_registros[REGISTRO],DADOS!$N$5,tabela_registros[TIPO],DADOS!$AB$4,tabela_registros[CATEGORIA],investirrendavariávelconsolidadonov[[#This Row],[ATUAL]])</f>
        <v>0</v>
      </c>
      <c r="AC132" s="119" t="n">
        <f aca="false">SUMIFS(tabela_registros[VALOR],tabela_registros[MÊS],$AE$1,tabela_registros[DIA],investirrendavariávelconsolidadonov[[#Headers],[25]],tabela_registros[REGISTRO],DADOS!$N$5,tabela_registros[TIPO],DADOS!$AB$4,tabela_registros[CATEGORIA],investirrendavariávelconsolidadonov[[#This Row],[ATUAL]])</f>
        <v>0</v>
      </c>
      <c r="AD132" s="119" t="n">
        <f aca="false">SUMIFS(tabela_registros[VALOR],tabela_registros[MÊS],$AE$1,tabela_registros[DIA],investirrendavariávelconsolidadonov[[#Headers],[26]],tabela_registros[REGISTRO],DADOS!$N$5,tabela_registros[TIPO],DADOS!$AB$4,tabela_registros[CATEGORIA],investirrendavariávelconsolidadonov[[#This Row],[ATUAL]])</f>
        <v>0</v>
      </c>
      <c r="AE132" s="119" t="n">
        <f aca="false">SUMIFS(tabela_registros[VALOR],tabela_registros[MÊS],$AE$1,tabela_registros[DIA],investirrendavariávelconsolidadonov[[#Headers],[27]],tabela_registros[REGISTRO],DADOS!$N$5,tabela_registros[TIPO],DADOS!$AB$4,tabela_registros[CATEGORIA],investirrendavariávelconsolidadonov[[#This Row],[ATUAL]])</f>
        <v>0</v>
      </c>
      <c r="AF132" s="119" t="n">
        <f aca="false">SUMIFS(tabela_registros[VALOR],tabela_registros[MÊS],$AE$1,tabela_registros[DIA],investirrendavariávelconsolidadonov[[#Headers],[28]],tabela_registros[REGISTRO],DADOS!$N$5,tabela_registros[TIPO],DADOS!$AB$4,tabela_registros[CATEGORIA],investirrendavariávelconsolidadonov[[#This Row],[ATUAL]])</f>
        <v>0</v>
      </c>
      <c r="AG132" s="119" t="n">
        <f aca="false">SUMIFS(tabela_registros[VALOR],tabela_registros[MÊS],$AE$1,tabela_registros[DIA],investirrendavariávelconsolidadonov[[#Headers],[29]],tabela_registros[REGISTRO],DADOS!$N$5,tabela_registros[TIPO],DADOS!$AB$4,tabela_registros[CATEGORIA],investirrendavariávelconsolidadonov[[#This Row],[ATUAL]])</f>
        <v>0</v>
      </c>
      <c r="AH132" s="119" t="n">
        <f aca="false">SUMIFS(tabela_registros[VALOR],tabela_registros[MÊS],$AE$1,tabela_registros[DIA],investirrendavariávelconsolidadonov[[#Headers],[30]],tabela_registros[REGISTRO],DADOS!$N$5,tabela_registros[TIPO],DADOS!$AB$4,tabela_registros[CATEGORIA],investirrendavariávelconsolidadonov[[#This Row],[ATUAL]])</f>
        <v>0</v>
      </c>
      <c r="AI132" s="217" t="n">
        <f aca="false">SUMIFS(tabela_registros[VALOR],tabela_registros[MÊS],$AE$1,tabela_registros[DIA],investirrendavariávelconsolidadonov[[#Headers],[31]],tabela_registros[REGISTRO],DADOS!$N$5,tabela_registros[TIPO],DADOS!$AB$4,tabela_registros[CATEGORIA],investirrendavariávelconsolidadonov[[#This Row],[ATUAL]])</f>
        <v>0</v>
      </c>
      <c r="AJ132" s="149" t="n">
        <f aca="false">SUM(investirrendavariávelconsolidadonov[[#This Row],[1]:[31]])</f>
        <v>0</v>
      </c>
      <c r="AK132" s="165"/>
    </row>
    <row r="133" customFormat="false" ht="19.5" hidden="false" customHeight="true" outlineLevel="0" collapsed="false">
      <c r="B133" s="143"/>
      <c r="C133" s="144" t="str">
        <f aca="false">DADOS!$AF$4</f>
        <v>📝 COMÓDITE</v>
      </c>
      <c r="D133" s="145" t="str">
        <f aca="false">IF(investirrendavariávelconsolidadonov[[#This Row],[TOTAL (R$)]]=0,"",IF(OR(investirrendavariávelconsolidadonov[[#This Row],[TOTAL (R$)]]=LARGE($AJ$132:$AJ$141,1),investirrendavariávelconsolidadonov[[#This Row],[TOTAL (R$)]]=LARGE($AJ$132:$AJ$141,2)),DADOS!$I$10,""))</f>
        <v/>
      </c>
      <c r="E133" s="148" t="n">
        <f aca="false">SUMIFS(tabela_registros[VALOR],tabela_registros[MÊS],$AE$1,tabela_registros[DIA],investirrendavariávelconsolidadonov[[#Headers],[1]],tabela_registros[REGISTRO],DADOS!$N$5,tabela_registros[TIPO],DADOS!$AB$4,tabela_registros[CATEGORIA],investirrendavariávelconsolidadonov[[#This Row],[ATUAL]])</f>
        <v>0</v>
      </c>
      <c r="F133" s="119" t="n">
        <f aca="false">SUMIFS(tabela_registros[VALOR],tabela_registros[MÊS],$AE$1,tabela_registros[DIA],investirrendavariávelconsolidadonov[[#Headers],[2]],tabela_registros[REGISTRO],DADOS!$N$5,tabela_registros[TIPO],DADOS!$AB$4,tabela_registros[CATEGORIA],investirrendavariávelconsolidadonov[[#This Row],[ATUAL]])</f>
        <v>0</v>
      </c>
      <c r="G133" s="119" t="n">
        <f aca="false">SUMIFS(tabela_registros[VALOR],tabela_registros[MÊS],$AE$1,tabela_registros[DIA],investirrendavariávelconsolidadonov[[#Headers],[3]],tabela_registros[REGISTRO],DADOS!$N$5,tabela_registros[TIPO],DADOS!$AB$4,tabela_registros[CATEGORIA],investirrendavariávelconsolidadonov[[#This Row],[ATUAL]])</f>
        <v>0</v>
      </c>
      <c r="H133" s="119" t="n">
        <f aca="false">SUMIFS(tabela_registros[VALOR],tabela_registros[MÊS],$AE$1,tabela_registros[DIA],investirrendavariávelconsolidadonov[[#Headers],[4]],tabela_registros[REGISTRO],DADOS!$N$5,tabela_registros[TIPO],DADOS!$AB$4,tabela_registros[CATEGORIA],investirrendavariávelconsolidadonov[[#This Row],[ATUAL]])</f>
        <v>0</v>
      </c>
      <c r="I133" s="119" t="n">
        <f aca="false">SUMIFS(tabela_registros[VALOR],tabela_registros[MÊS],$AE$1,tabela_registros[DIA],investirrendavariávelconsolidadonov[[#Headers],[5]],tabela_registros[REGISTRO],DADOS!$N$5,tabela_registros[TIPO],DADOS!$AB$4,tabela_registros[CATEGORIA],investirrendavariávelconsolidadonov[[#This Row],[ATUAL]])</f>
        <v>0</v>
      </c>
      <c r="J133" s="119" t="n">
        <f aca="false">SUMIFS(tabela_registros[VALOR],tabela_registros[MÊS],$AE$1,tabela_registros[DIA],investirrendavariávelconsolidadonov[[#Headers],[6]],tabela_registros[REGISTRO],DADOS!$N$5,tabela_registros[TIPO],DADOS!$AB$4,tabela_registros[CATEGORIA],investirrendavariávelconsolidadonov[[#This Row],[ATUAL]])</f>
        <v>0</v>
      </c>
      <c r="K133" s="119" t="n">
        <f aca="false">SUMIFS(tabela_registros[VALOR],tabela_registros[MÊS],$AE$1,tabela_registros[DIA],investirrendavariávelconsolidadonov[[#Headers],[7]],tabela_registros[REGISTRO],DADOS!$N$5,tabela_registros[TIPO],DADOS!$AB$4,tabela_registros[CATEGORIA],investirrendavariávelconsolidadonov[[#This Row],[ATUAL]])</f>
        <v>0</v>
      </c>
      <c r="L133" s="119" t="n">
        <f aca="false">SUMIFS(tabela_registros[VALOR],tabela_registros[MÊS],$AE$1,tabela_registros[DIA],investirrendavariávelconsolidadonov[[#Headers],[8]],tabela_registros[REGISTRO],DADOS!$N$5,tabela_registros[TIPO],DADOS!$AB$4,tabela_registros[CATEGORIA],investirrendavariávelconsolidadonov[[#This Row],[ATUAL]])</f>
        <v>0</v>
      </c>
      <c r="M133" s="119" t="n">
        <f aca="false">SUMIFS(tabela_registros[VALOR],tabela_registros[MÊS],$AE$1,tabela_registros[DIA],investirrendavariávelconsolidadonov[[#Headers],[9]],tabela_registros[REGISTRO],DADOS!$N$5,tabela_registros[TIPO],DADOS!$AB$4,tabela_registros[CATEGORIA],investirrendavariávelconsolidadonov[[#This Row],[ATUAL]])</f>
        <v>0</v>
      </c>
      <c r="N133" s="119" t="n">
        <f aca="false">SUMIFS(tabela_registros[VALOR],tabela_registros[MÊS],$AE$1,tabela_registros[DIA],investirrendavariávelconsolidadonov[[#Headers],[10]],tabela_registros[REGISTRO],DADOS!$N$5,tabela_registros[TIPO],DADOS!$AB$4,tabela_registros[CATEGORIA],investirrendavariávelconsolidadonov[[#This Row],[ATUAL]])</f>
        <v>0</v>
      </c>
      <c r="O133" s="119" t="n">
        <f aca="false">SUMIFS(tabela_registros[VALOR],tabela_registros[MÊS],$AE$1,tabela_registros[DIA],investirrendavariávelconsolidadonov[[#Headers],[11]],tabela_registros[REGISTRO],DADOS!$N$5,tabela_registros[TIPO],DADOS!$AB$4,tabela_registros[CATEGORIA],investirrendavariávelconsolidadonov[[#This Row],[ATUAL]])</f>
        <v>0</v>
      </c>
      <c r="P133" s="119" t="n">
        <f aca="false">SUMIFS(tabela_registros[VALOR],tabela_registros[MÊS],$AE$1,tabela_registros[DIA],investirrendavariávelconsolidadonov[[#Headers],[12]],tabela_registros[REGISTRO],DADOS!$N$5,tabela_registros[TIPO],DADOS!$AB$4,tabela_registros[CATEGORIA],investirrendavariávelconsolidadonov[[#This Row],[ATUAL]])</f>
        <v>0</v>
      </c>
      <c r="Q133" s="119" t="n">
        <f aca="false">SUMIFS(tabela_registros[VALOR],tabela_registros[MÊS],$AE$1,tabela_registros[DIA],investirrendavariávelconsolidadonov[[#Headers],[13]],tabela_registros[REGISTRO],DADOS!$N$5,tabela_registros[TIPO],DADOS!$AB$4,tabela_registros[CATEGORIA],investirrendavariávelconsolidadonov[[#This Row],[ATUAL]])</f>
        <v>0</v>
      </c>
      <c r="R133" s="119" t="n">
        <f aca="false">SUMIFS(tabela_registros[VALOR],tabela_registros[MÊS],$AE$1,tabela_registros[DIA],investirrendavariávelconsolidadonov[[#Headers],[14]],tabela_registros[REGISTRO],DADOS!$N$5,tabela_registros[TIPO],DADOS!$AB$4,tabela_registros[CATEGORIA],investirrendavariávelconsolidadonov[[#This Row],[ATUAL]])</f>
        <v>0</v>
      </c>
      <c r="S133" s="119" t="n">
        <f aca="false">SUMIFS(tabela_registros[VALOR],tabela_registros[MÊS],$AE$1,tabela_registros[DIA],investirrendavariávelconsolidadonov[[#Headers],[15]],tabela_registros[REGISTRO],DADOS!$N$5,tabela_registros[TIPO],DADOS!$AB$4,tabela_registros[CATEGORIA],investirrendavariávelconsolidadonov[[#This Row],[ATUAL]])</f>
        <v>0</v>
      </c>
      <c r="T133" s="119" t="n">
        <f aca="false">SUMIFS(tabela_registros[VALOR],tabela_registros[MÊS],$AE$1,tabela_registros[DIA],investirrendavariávelconsolidadonov[[#Headers],[16]],tabela_registros[REGISTRO],DADOS!$N$5,tabela_registros[TIPO],DADOS!$AB$4,tabela_registros[CATEGORIA],investirrendavariávelconsolidadonov[[#This Row],[ATUAL]])</f>
        <v>0</v>
      </c>
      <c r="U133" s="119" t="n">
        <f aca="false">SUMIFS(tabela_registros[VALOR],tabela_registros[MÊS],$AE$1,tabela_registros[DIA],investirrendavariávelconsolidadonov[[#Headers],[17]],tabela_registros[REGISTRO],DADOS!$N$5,tabela_registros[TIPO],DADOS!$AB$4,tabela_registros[CATEGORIA],investirrendavariávelconsolidadonov[[#This Row],[ATUAL]])</f>
        <v>0</v>
      </c>
      <c r="V133" s="119" t="n">
        <f aca="false">SUMIFS(tabela_registros[VALOR],tabela_registros[MÊS],$AE$1,tabela_registros[DIA],investirrendavariávelconsolidadonov[[#Headers],[18]],tabela_registros[REGISTRO],DADOS!$N$5,tabela_registros[TIPO],DADOS!$AB$4,tabela_registros[CATEGORIA],investirrendavariávelconsolidadonov[[#This Row],[ATUAL]])</f>
        <v>0</v>
      </c>
      <c r="W133" s="119" t="n">
        <f aca="false">SUMIFS(tabela_registros[VALOR],tabela_registros[MÊS],$AE$1,tabela_registros[DIA],investirrendavariávelconsolidadonov[[#Headers],[19]],tabela_registros[REGISTRO],DADOS!$N$5,tabela_registros[TIPO],DADOS!$AB$4,tabela_registros[CATEGORIA],investirrendavariávelconsolidadonov[[#This Row],[ATUAL]])</f>
        <v>0</v>
      </c>
      <c r="X133" s="119" t="n">
        <f aca="false">SUMIFS(tabela_registros[VALOR],tabela_registros[MÊS],$AE$1,tabela_registros[DIA],investirrendavariávelconsolidadonov[[#Headers],[20]],tabela_registros[REGISTRO],DADOS!$N$5,tabela_registros[TIPO],DADOS!$AB$4,tabela_registros[CATEGORIA],investirrendavariávelconsolidadonov[[#This Row],[ATUAL]])</f>
        <v>0</v>
      </c>
      <c r="Y133" s="119" t="n">
        <f aca="false">SUMIFS(tabela_registros[VALOR],tabela_registros[MÊS],$AE$1,tabela_registros[DIA],investirrendavariávelconsolidadonov[[#Headers],[21]],tabela_registros[REGISTRO],DADOS!$N$5,tabela_registros[TIPO],DADOS!$AB$4,tabela_registros[CATEGORIA],investirrendavariávelconsolidadonov[[#This Row],[ATUAL]])</f>
        <v>0</v>
      </c>
      <c r="Z133" s="119" t="n">
        <f aca="false">SUMIFS(tabela_registros[VALOR],tabela_registros[MÊS],$AE$1,tabela_registros[DIA],investirrendavariávelconsolidadonov[[#Headers],[22]],tabela_registros[REGISTRO],DADOS!$N$5,tabela_registros[TIPO],DADOS!$AB$4,tabela_registros[CATEGORIA],investirrendavariávelconsolidadonov[[#This Row],[ATUAL]])</f>
        <v>0</v>
      </c>
      <c r="AA133" s="119" t="n">
        <f aca="false">SUMIFS(tabela_registros[VALOR],tabela_registros[MÊS],$AE$1,tabela_registros[DIA],investirrendavariávelconsolidadonov[[#Headers],[23]],tabela_registros[REGISTRO],DADOS!$N$5,tabela_registros[TIPO],DADOS!$AB$4,tabela_registros[CATEGORIA],investirrendavariávelconsolidadonov[[#This Row],[ATUAL]])</f>
        <v>0</v>
      </c>
      <c r="AB133" s="119" t="n">
        <f aca="false">SUMIFS(tabela_registros[VALOR],tabela_registros[MÊS],$AE$1,tabela_registros[DIA],investirrendavariávelconsolidadonov[[#Headers],[24]],tabela_registros[REGISTRO],DADOS!$N$5,tabela_registros[TIPO],DADOS!$AB$4,tabela_registros[CATEGORIA],investirrendavariávelconsolidadonov[[#This Row],[ATUAL]])</f>
        <v>0</v>
      </c>
      <c r="AC133" s="119" t="n">
        <f aca="false">SUMIFS(tabela_registros[VALOR],tabela_registros[MÊS],$AE$1,tabela_registros[DIA],investirrendavariávelconsolidadonov[[#Headers],[25]],tabela_registros[REGISTRO],DADOS!$N$5,tabela_registros[TIPO],DADOS!$AB$4,tabela_registros[CATEGORIA],investirrendavariávelconsolidadonov[[#This Row],[ATUAL]])</f>
        <v>0</v>
      </c>
      <c r="AD133" s="119" t="n">
        <f aca="false">SUMIFS(tabela_registros[VALOR],tabela_registros[MÊS],$AE$1,tabela_registros[DIA],investirrendavariávelconsolidadonov[[#Headers],[26]],tabela_registros[REGISTRO],DADOS!$N$5,tabela_registros[TIPO],DADOS!$AB$4,tabela_registros[CATEGORIA],investirrendavariávelconsolidadonov[[#This Row],[ATUAL]])</f>
        <v>0</v>
      </c>
      <c r="AE133" s="119" t="n">
        <f aca="false">SUMIFS(tabela_registros[VALOR],tabela_registros[MÊS],$AE$1,tabela_registros[DIA],investirrendavariávelconsolidadonov[[#Headers],[27]],tabela_registros[REGISTRO],DADOS!$N$5,tabela_registros[TIPO],DADOS!$AB$4,tabela_registros[CATEGORIA],investirrendavariávelconsolidadonov[[#This Row],[ATUAL]])</f>
        <v>0</v>
      </c>
      <c r="AF133" s="119" t="n">
        <f aca="false">SUMIFS(tabela_registros[VALOR],tabela_registros[MÊS],$AE$1,tabela_registros[DIA],investirrendavariávelconsolidadonov[[#Headers],[28]],tabela_registros[REGISTRO],DADOS!$N$5,tabela_registros[TIPO],DADOS!$AB$4,tabela_registros[CATEGORIA],investirrendavariávelconsolidadonov[[#This Row],[ATUAL]])</f>
        <v>0</v>
      </c>
      <c r="AG133" s="119" t="n">
        <f aca="false">SUMIFS(tabela_registros[VALOR],tabela_registros[MÊS],$AE$1,tabela_registros[DIA],investirrendavariávelconsolidadonov[[#Headers],[29]],tabela_registros[REGISTRO],DADOS!$N$5,tabela_registros[TIPO],DADOS!$AB$4,tabela_registros[CATEGORIA],investirrendavariávelconsolidadonov[[#This Row],[ATUAL]])</f>
        <v>0</v>
      </c>
      <c r="AH133" s="119" t="n">
        <f aca="false">SUMIFS(tabela_registros[VALOR],tabela_registros[MÊS],$AE$1,tabela_registros[DIA],investirrendavariávelconsolidadonov[[#Headers],[30]],tabela_registros[REGISTRO],DADOS!$N$5,tabela_registros[TIPO],DADOS!$AB$4,tabela_registros[CATEGORIA],investirrendavariávelconsolidadonov[[#This Row],[ATUAL]])</f>
        <v>0</v>
      </c>
      <c r="AI133" s="217" t="n">
        <f aca="false">SUMIFS(tabela_registros[VALOR],tabela_registros[MÊS],$AE$1,tabela_registros[DIA],investirrendavariávelconsolidadonov[[#Headers],[31]],tabela_registros[REGISTRO],DADOS!$N$5,tabela_registros[TIPO],DADOS!$AB$4,tabela_registros[CATEGORIA],investirrendavariávelconsolidadonov[[#This Row],[ATUAL]])</f>
        <v>0</v>
      </c>
      <c r="AJ133" s="149" t="n">
        <f aca="false">SUM(investirrendavariávelconsolidadonov[[#This Row],[1]:[31]])</f>
        <v>0</v>
      </c>
      <c r="AK133" s="165"/>
    </row>
    <row r="134" customFormat="false" ht="19.5" hidden="false" customHeight="true" outlineLevel="0" collapsed="false">
      <c r="B134" s="143"/>
      <c r="C134" s="144" t="str">
        <f aca="false">DADOS!$AF$5</f>
        <v>📝 CONTRATO DE FUTUROS</v>
      </c>
      <c r="D134" s="145" t="str">
        <f aca="false">IF(investirrendavariávelconsolidadonov[[#This Row],[TOTAL (R$)]]=0,"",IF(OR(investirrendavariávelconsolidadonov[[#This Row],[TOTAL (R$)]]=LARGE($AJ$132:$AJ$141,1),investirrendavariávelconsolidadonov[[#This Row],[TOTAL (R$)]]=LARGE($AJ$132:$AJ$141,2)),DADOS!$I$10,""))</f>
        <v/>
      </c>
      <c r="E134" s="148" t="n">
        <f aca="false">SUMIFS(tabela_registros[VALOR],tabela_registros[MÊS],$AE$1,tabela_registros[DIA],investirrendavariávelconsolidadonov[[#Headers],[1]],tabela_registros[REGISTRO],DADOS!$N$5,tabela_registros[TIPO],DADOS!$AB$4,tabela_registros[CATEGORIA],investirrendavariávelconsolidadonov[[#This Row],[ATUAL]])</f>
        <v>0</v>
      </c>
      <c r="F134" s="119" t="n">
        <f aca="false">SUMIFS(tabela_registros[VALOR],tabela_registros[MÊS],$AE$1,tabela_registros[DIA],investirrendavariávelconsolidadonov[[#Headers],[2]],tabela_registros[REGISTRO],DADOS!$N$5,tabela_registros[TIPO],DADOS!$AB$4,tabela_registros[CATEGORIA],investirrendavariávelconsolidadonov[[#This Row],[ATUAL]])</f>
        <v>0</v>
      </c>
      <c r="G134" s="119" t="n">
        <f aca="false">SUMIFS(tabela_registros[VALOR],tabela_registros[MÊS],$AE$1,tabela_registros[DIA],investirrendavariávelconsolidadonov[[#Headers],[3]],tabela_registros[REGISTRO],DADOS!$N$5,tabela_registros[TIPO],DADOS!$AB$4,tabela_registros[CATEGORIA],investirrendavariávelconsolidadonov[[#This Row],[ATUAL]])</f>
        <v>0</v>
      </c>
      <c r="H134" s="119" t="n">
        <f aca="false">SUMIFS(tabela_registros[VALOR],tabela_registros[MÊS],$AE$1,tabela_registros[DIA],investirrendavariávelconsolidadonov[[#Headers],[4]],tabela_registros[REGISTRO],DADOS!$N$5,tabela_registros[TIPO],DADOS!$AB$4,tabela_registros[CATEGORIA],investirrendavariávelconsolidadonov[[#This Row],[ATUAL]])</f>
        <v>0</v>
      </c>
      <c r="I134" s="119" t="n">
        <f aca="false">SUMIFS(tabela_registros[VALOR],tabela_registros[MÊS],$AE$1,tabela_registros[DIA],investirrendavariávelconsolidadonov[[#Headers],[5]],tabela_registros[REGISTRO],DADOS!$N$5,tabela_registros[TIPO],DADOS!$AB$4,tabela_registros[CATEGORIA],investirrendavariávelconsolidadonov[[#This Row],[ATUAL]])</f>
        <v>0</v>
      </c>
      <c r="J134" s="119" t="n">
        <f aca="false">SUMIFS(tabela_registros[VALOR],tabela_registros[MÊS],$AE$1,tabela_registros[DIA],investirrendavariávelconsolidadonov[[#Headers],[6]],tabela_registros[REGISTRO],DADOS!$N$5,tabela_registros[TIPO],DADOS!$AB$4,tabela_registros[CATEGORIA],investirrendavariávelconsolidadonov[[#This Row],[ATUAL]])</f>
        <v>0</v>
      </c>
      <c r="K134" s="119" t="n">
        <f aca="false">SUMIFS(tabela_registros[VALOR],tabela_registros[MÊS],$AE$1,tabela_registros[DIA],investirrendavariávelconsolidadonov[[#Headers],[7]],tabela_registros[REGISTRO],DADOS!$N$5,tabela_registros[TIPO],DADOS!$AB$4,tabela_registros[CATEGORIA],investirrendavariávelconsolidadonov[[#This Row],[ATUAL]])</f>
        <v>0</v>
      </c>
      <c r="L134" s="119" t="n">
        <f aca="false">SUMIFS(tabela_registros[VALOR],tabela_registros[MÊS],$AE$1,tabela_registros[DIA],investirrendavariávelconsolidadonov[[#Headers],[8]],tabela_registros[REGISTRO],DADOS!$N$5,tabela_registros[TIPO],DADOS!$AB$4,tabela_registros[CATEGORIA],investirrendavariávelconsolidadonov[[#This Row],[ATUAL]])</f>
        <v>0</v>
      </c>
      <c r="M134" s="119" t="n">
        <f aca="false">SUMIFS(tabela_registros[VALOR],tabela_registros[MÊS],$AE$1,tabela_registros[DIA],investirrendavariávelconsolidadonov[[#Headers],[9]],tabela_registros[REGISTRO],DADOS!$N$5,tabela_registros[TIPO],DADOS!$AB$4,tabela_registros[CATEGORIA],investirrendavariávelconsolidadonov[[#This Row],[ATUAL]])</f>
        <v>0</v>
      </c>
      <c r="N134" s="119" t="n">
        <f aca="false">SUMIFS(tabela_registros[VALOR],tabela_registros[MÊS],$AE$1,tabela_registros[DIA],investirrendavariávelconsolidadonov[[#Headers],[10]],tabela_registros[REGISTRO],DADOS!$N$5,tabela_registros[TIPO],DADOS!$AB$4,tabela_registros[CATEGORIA],investirrendavariávelconsolidadonov[[#This Row],[ATUAL]])</f>
        <v>0</v>
      </c>
      <c r="O134" s="119" t="n">
        <f aca="false">SUMIFS(tabela_registros[VALOR],tabela_registros[MÊS],$AE$1,tabela_registros[DIA],investirrendavariávelconsolidadonov[[#Headers],[11]],tabela_registros[REGISTRO],DADOS!$N$5,tabela_registros[TIPO],DADOS!$AB$4,tabela_registros[CATEGORIA],investirrendavariávelconsolidadonov[[#This Row],[ATUAL]])</f>
        <v>0</v>
      </c>
      <c r="P134" s="119" t="n">
        <f aca="false">SUMIFS(tabela_registros[VALOR],tabela_registros[MÊS],$AE$1,tabela_registros[DIA],investirrendavariávelconsolidadonov[[#Headers],[12]],tabela_registros[REGISTRO],DADOS!$N$5,tabela_registros[TIPO],DADOS!$AB$4,tabela_registros[CATEGORIA],investirrendavariávelconsolidadonov[[#This Row],[ATUAL]])</f>
        <v>0</v>
      </c>
      <c r="Q134" s="119" t="n">
        <f aca="false">SUMIFS(tabela_registros[VALOR],tabela_registros[MÊS],$AE$1,tabela_registros[DIA],investirrendavariávelconsolidadonov[[#Headers],[13]],tabela_registros[REGISTRO],DADOS!$N$5,tabela_registros[TIPO],DADOS!$AB$4,tabela_registros[CATEGORIA],investirrendavariávelconsolidadonov[[#This Row],[ATUAL]])</f>
        <v>0</v>
      </c>
      <c r="R134" s="119" t="n">
        <f aca="false">SUMIFS(tabela_registros[VALOR],tabela_registros[MÊS],$AE$1,tabela_registros[DIA],investirrendavariávelconsolidadonov[[#Headers],[14]],tabela_registros[REGISTRO],DADOS!$N$5,tabela_registros[TIPO],DADOS!$AB$4,tabela_registros[CATEGORIA],investirrendavariávelconsolidadonov[[#This Row],[ATUAL]])</f>
        <v>0</v>
      </c>
      <c r="S134" s="119" t="n">
        <f aca="false">SUMIFS(tabela_registros[VALOR],tabela_registros[MÊS],$AE$1,tabela_registros[DIA],investirrendavariávelconsolidadonov[[#Headers],[15]],tabela_registros[REGISTRO],DADOS!$N$5,tabela_registros[TIPO],DADOS!$AB$4,tabela_registros[CATEGORIA],investirrendavariávelconsolidadonov[[#This Row],[ATUAL]])</f>
        <v>0</v>
      </c>
      <c r="T134" s="119" t="n">
        <f aca="false">SUMIFS(tabela_registros[VALOR],tabela_registros[MÊS],$AE$1,tabela_registros[DIA],investirrendavariávelconsolidadonov[[#Headers],[16]],tabela_registros[REGISTRO],DADOS!$N$5,tabela_registros[TIPO],DADOS!$AB$4,tabela_registros[CATEGORIA],investirrendavariávelconsolidadonov[[#This Row],[ATUAL]])</f>
        <v>0</v>
      </c>
      <c r="U134" s="119" t="n">
        <f aca="false">SUMIFS(tabela_registros[VALOR],tabela_registros[MÊS],$AE$1,tabela_registros[DIA],investirrendavariávelconsolidadonov[[#Headers],[17]],tabela_registros[REGISTRO],DADOS!$N$5,tabela_registros[TIPO],DADOS!$AB$4,tabela_registros[CATEGORIA],investirrendavariávelconsolidadonov[[#This Row],[ATUAL]])</f>
        <v>0</v>
      </c>
      <c r="V134" s="119" t="n">
        <f aca="false">SUMIFS(tabela_registros[VALOR],tabela_registros[MÊS],$AE$1,tabela_registros[DIA],investirrendavariávelconsolidadonov[[#Headers],[18]],tabela_registros[REGISTRO],DADOS!$N$5,tabela_registros[TIPO],DADOS!$AB$4,tabela_registros[CATEGORIA],investirrendavariávelconsolidadonov[[#This Row],[ATUAL]])</f>
        <v>0</v>
      </c>
      <c r="W134" s="119" t="n">
        <f aca="false">SUMIFS(tabela_registros[VALOR],tabela_registros[MÊS],$AE$1,tabela_registros[DIA],investirrendavariávelconsolidadonov[[#Headers],[19]],tabela_registros[REGISTRO],DADOS!$N$5,tabela_registros[TIPO],DADOS!$AB$4,tabela_registros[CATEGORIA],investirrendavariávelconsolidadonov[[#This Row],[ATUAL]])</f>
        <v>0</v>
      </c>
      <c r="X134" s="119" t="n">
        <f aca="false">SUMIFS(tabela_registros[VALOR],tabela_registros[MÊS],$AE$1,tabela_registros[DIA],investirrendavariávelconsolidadonov[[#Headers],[20]],tabela_registros[REGISTRO],DADOS!$N$5,tabela_registros[TIPO],DADOS!$AB$4,tabela_registros[CATEGORIA],investirrendavariávelconsolidadonov[[#This Row],[ATUAL]])</f>
        <v>0</v>
      </c>
      <c r="Y134" s="119" t="n">
        <f aca="false">SUMIFS(tabela_registros[VALOR],tabela_registros[MÊS],$AE$1,tabela_registros[DIA],investirrendavariávelconsolidadonov[[#Headers],[21]],tabela_registros[REGISTRO],DADOS!$N$5,tabela_registros[TIPO],DADOS!$AB$4,tabela_registros[CATEGORIA],investirrendavariávelconsolidadonov[[#This Row],[ATUAL]])</f>
        <v>0</v>
      </c>
      <c r="Z134" s="119" t="n">
        <f aca="false">SUMIFS(tabela_registros[VALOR],tabela_registros[MÊS],$AE$1,tabela_registros[DIA],investirrendavariávelconsolidadonov[[#Headers],[22]],tabela_registros[REGISTRO],DADOS!$N$5,tabela_registros[TIPO],DADOS!$AB$4,tabela_registros[CATEGORIA],investirrendavariávelconsolidadonov[[#This Row],[ATUAL]])</f>
        <v>0</v>
      </c>
      <c r="AA134" s="119" t="n">
        <f aca="false">SUMIFS(tabela_registros[VALOR],tabela_registros[MÊS],$AE$1,tabela_registros[DIA],investirrendavariávelconsolidadonov[[#Headers],[23]],tabela_registros[REGISTRO],DADOS!$N$5,tabela_registros[TIPO],DADOS!$AB$4,tabela_registros[CATEGORIA],investirrendavariávelconsolidadonov[[#This Row],[ATUAL]])</f>
        <v>0</v>
      </c>
      <c r="AB134" s="119" t="n">
        <f aca="false">SUMIFS(tabela_registros[VALOR],tabela_registros[MÊS],$AE$1,tabela_registros[DIA],investirrendavariávelconsolidadonov[[#Headers],[24]],tabela_registros[REGISTRO],DADOS!$N$5,tabela_registros[TIPO],DADOS!$AB$4,tabela_registros[CATEGORIA],investirrendavariávelconsolidadonov[[#This Row],[ATUAL]])</f>
        <v>0</v>
      </c>
      <c r="AC134" s="119" t="n">
        <f aca="false">SUMIFS(tabela_registros[VALOR],tabela_registros[MÊS],$AE$1,tabela_registros[DIA],investirrendavariávelconsolidadonov[[#Headers],[25]],tabela_registros[REGISTRO],DADOS!$N$5,tabela_registros[TIPO],DADOS!$AB$4,tabela_registros[CATEGORIA],investirrendavariávelconsolidadonov[[#This Row],[ATUAL]])</f>
        <v>0</v>
      </c>
      <c r="AD134" s="119" t="n">
        <f aca="false">SUMIFS(tabela_registros[VALOR],tabela_registros[MÊS],$AE$1,tabela_registros[DIA],investirrendavariávelconsolidadonov[[#Headers],[26]],tabela_registros[REGISTRO],DADOS!$N$5,tabela_registros[TIPO],DADOS!$AB$4,tabela_registros[CATEGORIA],investirrendavariávelconsolidadonov[[#This Row],[ATUAL]])</f>
        <v>0</v>
      </c>
      <c r="AE134" s="119" t="n">
        <f aca="false">SUMIFS(tabela_registros[VALOR],tabela_registros[MÊS],$AE$1,tabela_registros[DIA],investirrendavariávelconsolidadonov[[#Headers],[27]],tabela_registros[REGISTRO],DADOS!$N$5,tabela_registros[TIPO],DADOS!$AB$4,tabela_registros[CATEGORIA],investirrendavariávelconsolidadonov[[#This Row],[ATUAL]])</f>
        <v>0</v>
      </c>
      <c r="AF134" s="119" t="n">
        <f aca="false">SUMIFS(tabela_registros[VALOR],tabela_registros[MÊS],$AE$1,tabela_registros[DIA],investirrendavariávelconsolidadonov[[#Headers],[28]],tabela_registros[REGISTRO],DADOS!$N$5,tabela_registros[TIPO],DADOS!$AB$4,tabela_registros[CATEGORIA],investirrendavariávelconsolidadonov[[#This Row],[ATUAL]])</f>
        <v>0</v>
      </c>
      <c r="AG134" s="119" t="n">
        <f aca="false">SUMIFS(tabela_registros[VALOR],tabela_registros[MÊS],$AE$1,tabela_registros[DIA],investirrendavariávelconsolidadonov[[#Headers],[29]],tabela_registros[REGISTRO],DADOS!$N$5,tabela_registros[TIPO],DADOS!$AB$4,tabela_registros[CATEGORIA],investirrendavariávelconsolidadonov[[#This Row],[ATUAL]])</f>
        <v>0</v>
      </c>
      <c r="AH134" s="119" t="n">
        <f aca="false">SUMIFS(tabela_registros[VALOR],tabela_registros[MÊS],$AE$1,tabela_registros[DIA],investirrendavariávelconsolidadonov[[#Headers],[30]],tabela_registros[REGISTRO],DADOS!$N$5,tabela_registros[TIPO],DADOS!$AB$4,tabela_registros[CATEGORIA],investirrendavariávelconsolidadonov[[#This Row],[ATUAL]])</f>
        <v>0</v>
      </c>
      <c r="AI134" s="217" t="n">
        <f aca="false">SUMIFS(tabela_registros[VALOR],tabela_registros[MÊS],$AE$1,tabela_registros[DIA],investirrendavariávelconsolidadonov[[#Headers],[31]],tabela_registros[REGISTRO],DADOS!$N$5,tabela_registros[TIPO],DADOS!$AB$4,tabela_registros[CATEGORIA],investirrendavariávelconsolidadonov[[#This Row],[ATUAL]])</f>
        <v>0</v>
      </c>
      <c r="AJ134" s="149" t="n">
        <f aca="false">SUM(investirrendavariávelconsolidadonov[[#This Row],[1]:[31]])</f>
        <v>0</v>
      </c>
      <c r="AK134" s="165"/>
    </row>
    <row r="135" customFormat="false" ht="19.5" hidden="false" customHeight="true" outlineLevel="0" collapsed="false">
      <c r="B135" s="143"/>
      <c r="C135" s="144" t="str">
        <f aca="false">DADOS!$AF$6</f>
        <v>📝 CONTRATO DE OPÇÕES</v>
      </c>
      <c r="D135" s="145" t="str">
        <f aca="false">IF(investirrendavariávelconsolidadonov[[#This Row],[TOTAL (R$)]]=0,"",IF(OR(investirrendavariávelconsolidadonov[[#This Row],[TOTAL (R$)]]=LARGE($AJ$132:$AJ$141,1),investirrendavariávelconsolidadonov[[#This Row],[TOTAL (R$)]]=LARGE($AJ$132:$AJ$141,2)),DADOS!$I$10,""))</f>
        <v/>
      </c>
      <c r="E135" s="148" t="n">
        <f aca="false">SUMIFS(tabela_registros[VALOR],tabela_registros[MÊS],$AE$1,tabela_registros[DIA],investirrendavariávelconsolidadonov[[#Headers],[1]],tabela_registros[REGISTRO],DADOS!$N$5,tabela_registros[TIPO],DADOS!$AB$4,tabela_registros[CATEGORIA],investirrendavariávelconsolidadonov[[#This Row],[ATUAL]])</f>
        <v>0</v>
      </c>
      <c r="F135" s="119" t="n">
        <f aca="false">SUMIFS(tabela_registros[VALOR],tabela_registros[MÊS],$AE$1,tabela_registros[DIA],investirrendavariávelconsolidadonov[[#Headers],[2]],tabela_registros[REGISTRO],DADOS!$N$5,tabela_registros[TIPO],DADOS!$AB$4,tabela_registros[CATEGORIA],investirrendavariávelconsolidadonov[[#This Row],[ATUAL]])</f>
        <v>0</v>
      </c>
      <c r="G135" s="119" t="n">
        <f aca="false">SUMIFS(tabela_registros[VALOR],tabela_registros[MÊS],$AE$1,tabela_registros[DIA],investirrendavariávelconsolidadonov[[#Headers],[3]],tabela_registros[REGISTRO],DADOS!$N$5,tabela_registros[TIPO],DADOS!$AB$4,tabela_registros[CATEGORIA],investirrendavariávelconsolidadonov[[#This Row],[ATUAL]])</f>
        <v>0</v>
      </c>
      <c r="H135" s="119" t="n">
        <f aca="false">SUMIFS(tabela_registros[VALOR],tabela_registros[MÊS],$AE$1,tabela_registros[DIA],investirrendavariávelconsolidadonov[[#Headers],[4]],tabela_registros[REGISTRO],DADOS!$N$5,tabela_registros[TIPO],DADOS!$AB$4,tabela_registros[CATEGORIA],investirrendavariávelconsolidadonov[[#This Row],[ATUAL]])</f>
        <v>0</v>
      </c>
      <c r="I135" s="119" t="n">
        <f aca="false">SUMIFS(tabela_registros[VALOR],tabela_registros[MÊS],$AE$1,tabela_registros[DIA],investirrendavariávelconsolidadonov[[#Headers],[5]],tabela_registros[REGISTRO],DADOS!$N$5,tabela_registros[TIPO],DADOS!$AB$4,tabela_registros[CATEGORIA],investirrendavariávelconsolidadonov[[#This Row],[ATUAL]])</f>
        <v>0</v>
      </c>
      <c r="J135" s="119" t="n">
        <f aca="false">SUMIFS(tabela_registros[VALOR],tabela_registros[MÊS],$AE$1,tabela_registros[DIA],investirrendavariávelconsolidadonov[[#Headers],[6]],tabela_registros[REGISTRO],DADOS!$N$5,tabela_registros[TIPO],DADOS!$AB$4,tabela_registros[CATEGORIA],investirrendavariávelconsolidadonov[[#This Row],[ATUAL]])</f>
        <v>0</v>
      </c>
      <c r="K135" s="119" t="n">
        <f aca="false">SUMIFS(tabela_registros[VALOR],tabela_registros[MÊS],$AE$1,tabela_registros[DIA],investirrendavariávelconsolidadonov[[#Headers],[7]],tabela_registros[REGISTRO],DADOS!$N$5,tabela_registros[TIPO],DADOS!$AB$4,tabela_registros[CATEGORIA],investirrendavariávelconsolidadonov[[#This Row],[ATUAL]])</f>
        <v>0</v>
      </c>
      <c r="L135" s="119" t="n">
        <f aca="false">SUMIFS(tabela_registros[VALOR],tabela_registros[MÊS],$AE$1,tabela_registros[DIA],investirrendavariávelconsolidadonov[[#Headers],[8]],tabela_registros[REGISTRO],DADOS!$N$5,tabela_registros[TIPO],DADOS!$AB$4,tabela_registros[CATEGORIA],investirrendavariávelconsolidadonov[[#This Row],[ATUAL]])</f>
        <v>0</v>
      </c>
      <c r="M135" s="119" t="n">
        <f aca="false">SUMIFS(tabela_registros[VALOR],tabela_registros[MÊS],$AE$1,tabela_registros[DIA],investirrendavariávelconsolidadonov[[#Headers],[9]],tabela_registros[REGISTRO],DADOS!$N$5,tabela_registros[TIPO],DADOS!$AB$4,tabela_registros[CATEGORIA],investirrendavariávelconsolidadonov[[#This Row],[ATUAL]])</f>
        <v>0</v>
      </c>
      <c r="N135" s="119" t="n">
        <f aca="false">SUMIFS(tabela_registros[VALOR],tabela_registros[MÊS],$AE$1,tabela_registros[DIA],investirrendavariávelconsolidadonov[[#Headers],[10]],tabela_registros[REGISTRO],DADOS!$N$5,tabela_registros[TIPO],DADOS!$AB$4,tabela_registros[CATEGORIA],investirrendavariávelconsolidadonov[[#This Row],[ATUAL]])</f>
        <v>0</v>
      </c>
      <c r="O135" s="119" t="n">
        <f aca="false">SUMIFS(tabela_registros[VALOR],tabela_registros[MÊS],$AE$1,tabela_registros[DIA],investirrendavariávelconsolidadonov[[#Headers],[11]],tabela_registros[REGISTRO],DADOS!$N$5,tabela_registros[TIPO],DADOS!$AB$4,tabela_registros[CATEGORIA],investirrendavariávelconsolidadonov[[#This Row],[ATUAL]])</f>
        <v>0</v>
      </c>
      <c r="P135" s="119" t="n">
        <f aca="false">SUMIFS(tabela_registros[VALOR],tabela_registros[MÊS],$AE$1,tabela_registros[DIA],investirrendavariávelconsolidadonov[[#Headers],[12]],tabela_registros[REGISTRO],DADOS!$N$5,tabela_registros[TIPO],DADOS!$AB$4,tabela_registros[CATEGORIA],investirrendavariávelconsolidadonov[[#This Row],[ATUAL]])</f>
        <v>0</v>
      </c>
      <c r="Q135" s="119" t="n">
        <f aca="false">SUMIFS(tabela_registros[VALOR],tabela_registros[MÊS],$AE$1,tabela_registros[DIA],investirrendavariávelconsolidadonov[[#Headers],[13]],tabela_registros[REGISTRO],DADOS!$N$5,tabela_registros[TIPO],DADOS!$AB$4,tabela_registros[CATEGORIA],investirrendavariávelconsolidadonov[[#This Row],[ATUAL]])</f>
        <v>0</v>
      </c>
      <c r="R135" s="119" t="n">
        <f aca="false">SUMIFS(tabela_registros[VALOR],tabela_registros[MÊS],$AE$1,tabela_registros[DIA],investirrendavariávelconsolidadonov[[#Headers],[14]],tabela_registros[REGISTRO],DADOS!$N$5,tabela_registros[TIPO],DADOS!$AB$4,tabela_registros[CATEGORIA],investirrendavariávelconsolidadonov[[#This Row],[ATUAL]])</f>
        <v>0</v>
      </c>
      <c r="S135" s="119" t="n">
        <f aca="false">SUMIFS(tabela_registros[VALOR],tabela_registros[MÊS],$AE$1,tabela_registros[DIA],investirrendavariávelconsolidadonov[[#Headers],[15]],tabela_registros[REGISTRO],DADOS!$N$5,tabela_registros[TIPO],DADOS!$AB$4,tabela_registros[CATEGORIA],investirrendavariávelconsolidadonov[[#This Row],[ATUAL]])</f>
        <v>0</v>
      </c>
      <c r="T135" s="119" t="n">
        <f aca="false">SUMIFS(tabela_registros[VALOR],tabela_registros[MÊS],$AE$1,tabela_registros[DIA],investirrendavariávelconsolidadonov[[#Headers],[16]],tabela_registros[REGISTRO],DADOS!$N$5,tabela_registros[TIPO],DADOS!$AB$4,tabela_registros[CATEGORIA],investirrendavariávelconsolidadonov[[#This Row],[ATUAL]])</f>
        <v>0</v>
      </c>
      <c r="U135" s="119" t="n">
        <f aca="false">SUMIFS(tabela_registros[VALOR],tabela_registros[MÊS],$AE$1,tabela_registros[DIA],investirrendavariávelconsolidadonov[[#Headers],[17]],tabela_registros[REGISTRO],DADOS!$N$5,tabela_registros[TIPO],DADOS!$AB$4,tabela_registros[CATEGORIA],investirrendavariávelconsolidadonov[[#This Row],[ATUAL]])</f>
        <v>0</v>
      </c>
      <c r="V135" s="119" t="n">
        <f aca="false">SUMIFS(tabela_registros[VALOR],tabela_registros[MÊS],$AE$1,tabela_registros[DIA],investirrendavariávelconsolidadonov[[#Headers],[18]],tabela_registros[REGISTRO],DADOS!$N$5,tabela_registros[TIPO],DADOS!$AB$4,tabela_registros[CATEGORIA],investirrendavariávelconsolidadonov[[#This Row],[ATUAL]])</f>
        <v>0</v>
      </c>
      <c r="W135" s="119" t="n">
        <f aca="false">SUMIFS(tabela_registros[VALOR],tabela_registros[MÊS],$AE$1,tabela_registros[DIA],investirrendavariávelconsolidadonov[[#Headers],[19]],tabela_registros[REGISTRO],DADOS!$N$5,tabela_registros[TIPO],DADOS!$AB$4,tabela_registros[CATEGORIA],investirrendavariávelconsolidadonov[[#This Row],[ATUAL]])</f>
        <v>0</v>
      </c>
      <c r="X135" s="119" t="n">
        <f aca="false">SUMIFS(tabela_registros[VALOR],tabela_registros[MÊS],$AE$1,tabela_registros[DIA],investirrendavariávelconsolidadonov[[#Headers],[20]],tabela_registros[REGISTRO],DADOS!$N$5,tabela_registros[TIPO],DADOS!$AB$4,tabela_registros[CATEGORIA],investirrendavariávelconsolidadonov[[#This Row],[ATUAL]])</f>
        <v>0</v>
      </c>
      <c r="Y135" s="119" t="n">
        <f aca="false">SUMIFS(tabela_registros[VALOR],tabela_registros[MÊS],$AE$1,tabela_registros[DIA],investirrendavariávelconsolidadonov[[#Headers],[21]],tabela_registros[REGISTRO],DADOS!$N$5,tabela_registros[TIPO],DADOS!$AB$4,tabela_registros[CATEGORIA],investirrendavariávelconsolidadonov[[#This Row],[ATUAL]])</f>
        <v>0</v>
      </c>
      <c r="Z135" s="119" t="n">
        <f aca="false">SUMIFS(tabela_registros[VALOR],tabela_registros[MÊS],$AE$1,tabela_registros[DIA],investirrendavariávelconsolidadonov[[#Headers],[22]],tabela_registros[REGISTRO],DADOS!$N$5,tabela_registros[TIPO],DADOS!$AB$4,tabela_registros[CATEGORIA],investirrendavariávelconsolidadonov[[#This Row],[ATUAL]])</f>
        <v>0</v>
      </c>
      <c r="AA135" s="119" t="n">
        <f aca="false">SUMIFS(tabela_registros[VALOR],tabela_registros[MÊS],$AE$1,tabela_registros[DIA],investirrendavariávelconsolidadonov[[#Headers],[23]],tabela_registros[REGISTRO],DADOS!$N$5,tabela_registros[TIPO],DADOS!$AB$4,tabela_registros[CATEGORIA],investirrendavariávelconsolidadonov[[#This Row],[ATUAL]])</f>
        <v>0</v>
      </c>
      <c r="AB135" s="119" t="n">
        <f aca="false">SUMIFS(tabela_registros[VALOR],tabela_registros[MÊS],$AE$1,tabela_registros[DIA],investirrendavariávelconsolidadonov[[#Headers],[24]],tabela_registros[REGISTRO],DADOS!$N$5,tabela_registros[TIPO],DADOS!$AB$4,tabela_registros[CATEGORIA],investirrendavariávelconsolidadonov[[#This Row],[ATUAL]])</f>
        <v>0</v>
      </c>
      <c r="AC135" s="119" t="n">
        <f aca="false">SUMIFS(tabela_registros[VALOR],tabela_registros[MÊS],$AE$1,tabela_registros[DIA],investirrendavariávelconsolidadonov[[#Headers],[25]],tabela_registros[REGISTRO],DADOS!$N$5,tabela_registros[TIPO],DADOS!$AB$4,tabela_registros[CATEGORIA],investirrendavariávelconsolidadonov[[#This Row],[ATUAL]])</f>
        <v>0</v>
      </c>
      <c r="AD135" s="119" t="n">
        <f aca="false">SUMIFS(tabela_registros[VALOR],tabela_registros[MÊS],$AE$1,tabela_registros[DIA],investirrendavariávelconsolidadonov[[#Headers],[26]],tabela_registros[REGISTRO],DADOS!$N$5,tabela_registros[TIPO],DADOS!$AB$4,tabela_registros[CATEGORIA],investirrendavariávelconsolidadonov[[#This Row],[ATUAL]])</f>
        <v>0</v>
      </c>
      <c r="AE135" s="119" t="n">
        <f aca="false">SUMIFS(tabela_registros[VALOR],tabela_registros[MÊS],$AE$1,tabela_registros[DIA],investirrendavariávelconsolidadonov[[#Headers],[27]],tabela_registros[REGISTRO],DADOS!$N$5,tabela_registros[TIPO],DADOS!$AB$4,tabela_registros[CATEGORIA],investirrendavariávelconsolidadonov[[#This Row],[ATUAL]])</f>
        <v>0</v>
      </c>
      <c r="AF135" s="119" t="n">
        <f aca="false">SUMIFS(tabela_registros[VALOR],tabela_registros[MÊS],$AE$1,tabela_registros[DIA],investirrendavariávelconsolidadonov[[#Headers],[28]],tabela_registros[REGISTRO],DADOS!$N$5,tabela_registros[TIPO],DADOS!$AB$4,tabela_registros[CATEGORIA],investirrendavariávelconsolidadonov[[#This Row],[ATUAL]])</f>
        <v>0</v>
      </c>
      <c r="AG135" s="119" t="n">
        <f aca="false">SUMIFS(tabela_registros[VALOR],tabela_registros[MÊS],$AE$1,tabela_registros[DIA],investirrendavariávelconsolidadonov[[#Headers],[29]],tabela_registros[REGISTRO],DADOS!$N$5,tabela_registros[TIPO],DADOS!$AB$4,tabela_registros[CATEGORIA],investirrendavariávelconsolidadonov[[#This Row],[ATUAL]])</f>
        <v>0</v>
      </c>
      <c r="AH135" s="119" t="n">
        <f aca="false">SUMIFS(tabela_registros[VALOR],tabela_registros[MÊS],$AE$1,tabela_registros[DIA],investirrendavariávelconsolidadonov[[#Headers],[30]],tabela_registros[REGISTRO],DADOS!$N$5,tabela_registros[TIPO],DADOS!$AB$4,tabela_registros[CATEGORIA],investirrendavariávelconsolidadonov[[#This Row],[ATUAL]])</f>
        <v>0</v>
      </c>
      <c r="AI135" s="217" t="n">
        <f aca="false">SUMIFS(tabela_registros[VALOR],tabela_registros[MÊS],$AE$1,tabela_registros[DIA],investirrendavariávelconsolidadonov[[#Headers],[31]],tabela_registros[REGISTRO],DADOS!$N$5,tabela_registros[TIPO],DADOS!$AB$4,tabela_registros[CATEGORIA],investirrendavariávelconsolidadonov[[#This Row],[ATUAL]])</f>
        <v>0</v>
      </c>
      <c r="AJ135" s="149" t="n">
        <f aca="false">SUM(investirrendavariávelconsolidadonov[[#This Row],[1]:[31]])</f>
        <v>0</v>
      </c>
      <c r="AK135" s="165"/>
    </row>
    <row r="136" customFormat="false" ht="19.5" hidden="false" customHeight="true" outlineLevel="0" collapsed="false">
      <c r="B136" s="143"/>
      <c r="C136" s="144" t="str">
        <f aca="false">DADOS!$AF$7</f>
        <v>📝 CRIPTOMOEDA</v>
      </c>
      <c r="D136" s="145" t="str">
        <f aca="false">IF(investirrendavariávelconsolidadonov[[#This Row],[TOTAL (R$)]]=0,"",IF(OR(investirrendavariávelconsolidadonov[[#This Row],[TOTAL (R$)]]=LARGE($AJ$132:$AJ$141,1),investirrendavariávelconsolidadonov[[#This Row],[TOTAL (R$)]]=LARGE($AJ$132:$AJ$141,2)),DADOS!$I$10,""))</f>
        <v/>
      </c>
      <c r="E136" s="148" t="n">
        <f aca="false">SUMIFS(tabela_registros[VALOR],tabela_registros[MÊS],$AE$1,tabela_registros[DIA],investirrendavariávelconsolidadonov[[#Headers],[1]],tabela_registros[REGISTRO],DADOS!$N$5,tabela_registros[TIPO],DADOS!$AB$4,tabela_registros[CATEGORIA],investirrendavariávelconsolidadonov[[#This Row],[ATUAL]])</f>
        <v>0</v>
      </c>
      <c r="F136" s="119" t="n">
        <f aca="false">SUMIFS(tabela_registros[VALOR],tabela_registros[MÊS],$AE$1,tabela_registros[DIA],investirrendavariávelconsolidadonov[[#Headers],[2]],tabela_registros[REGISTRO],DADOS!$N$5,tabela_registros[TIPO],DADOS!$AB$4,tabela_registros[CATEGORIA],investirrendavariávelconsolidadonov[[#This Row],[ATUAL]])</f>
        <v>0</v>
      </c>
      <c r="G136" s="119" t="n">
        <f aca="false">SUMIFS(tabela_registros[VALOR],tabela_registros[MÊS],$AE$1,tabela_registros[DIA],investirrendavariávelconsolidadonov[[#Headers],[3]],tabela_registros[REGISTRO],DADOS!$N$5,tabela_registros[TIPO],DADOS!$AB$4,tabela_registros[CATEGORIA],investirrendavariávelconsolidadonov[[#This Row],[ATUAL]])</f>
        <v>0</v>
      </c>
      <c r="H136" s="119" t="n">
        <f aca="false">SUMIFS(tabela_registros[VALOR],tabela_registros[MÊS],$AE$1,tabela_registros[DIA],investirrendavariávelconsolidadonov[[#Headers],[4]],tabela_registros[REGISTRO],DADOS!$N$5,tabela_registros[TIPO],DADOS!$AB$4,tabela_registros[CATEGORIA],investirrendavariávelconsolidadonov[[#This Row],[ATUAL]])</f>
        <v>0</v>
      </c>
      <c r="I136" s="119" t="n">
        <f aca="false">SUMIFS(tabela_registros[VALOR],tabela_registros[MÊS],$AE$1,tabela_registros[DIA],investirrendavariávelconsolidadonov[[#Headers],[5]],tabela_registros[REGISTRO],DADOS!$N$5,tabela_registros[TIPO],DADOS!$AB$4,tabela_registros[CATEGORIA],investirrendavariávelconsolidadonov[[#This Row],[ATUAL]])</f>
        <v>0</v>
      </c>
      <c r="J136" s="119" t="n">
        <f aca="false">SUMIFS(tabela_registros[VALOR],tabela_registros[MÊS],$AE$1,tabela_registros[DIA],investirrendavariávelconsolidadonov[[#Headers],[6]],tabela_registros[REGISTRO],DADOS!$N$5,tabela_registros[TIPO],DADOS!$AB$4,tabela_registros[CATEGORIA],investirrendavariávelconsolidadonov[[#This Row],[ATUAL]])</f>
        <v>0</v>
      </c>
      <c r="K136" s="119" t="n">
        <f aca="false">SUMIFS(tabela_registros[VALOR],tabela_registros[MÊS],$AE$1,tabela_registros[DIA],investirrendavariávelconsolidadonov[[#Headers],[7]],tabela_registros[REGISTRO],DADOS!$N$5,tabela_registros[TIPO],DADOS!$AB$4,tabela_registros[CATEGORIA],investirrendavariávelconsolidadonov[[#This Row],[ATUAL]])</f>
        <v>0</v>
      </c>
      <c r="L136" s="119" t="n">
        <f aca="false">SUMIFS(tabela_registros[VALOR],tabela_registros[MÊS],$AE$1,tabela_registros[DIA],investirrendavariávelconsolidadonov[[#Headers],[8]],tabela_registros[REGISTRO],DADOS!$N$5,tabela_registros[TIPO],DADOS!$AB$4,tabela_registros[CATEGORIA],investirrendavariávelconsolidadonov[[#This Row],[ATUAL]])</f>
        <v>0</v>
      </c>
      <c r="M136" s="119" t="n">
        <f aca="false">SUMIFS(tabela_registros[VALOR],tabela_registros[MÊS],$AE$1,tabela_registros[DIA],investirrendavariávelconsolidadonov[[#Headers],[9]],tabela_registros[REGISTRO],DADOS!$N$5,tabela_registros[TIPO],DADOS!$AB$4,tabela_registros[CATEGORIA],investirrendavariávelconsolidadonov[[#This Row],[ATUAL]])</f>
        <v>0</v>
      </c>
      <c r="N136" s="119" t="n">
        <f aca="false">SUMIFS(tabela_registros[VALOR],tabela_registros[MÊS],$AE$1,tabela_registros[DIA],investirrendavariávelconsolidadonov[[#Headers],[10]],tabela_registros[REGISTRO],DADOS!$N$5,tabela_registros[TIPO],DADOS!$AB$4,tabela_registros[CATEGORIA],investirrendavariávelconsolidadonov[[#This Row],[ATUAL]])</f>
        <v>0</v>
      </c>
      <c r="O136" s="119" t="n">
        <f aca="false">SUMIFS(tabela_registros[VALOR],tabela_registros[MÊS],$AE$1,tabela_registros[DIA],investirrendavariávelconsolidadonov[[#Headers],[11]],tabela_registros[REGISTRO],DADOS!$N$5,tabela_registros[TIPO],DADOS!$AB$4,tabela_registros[CATEGORIA],investirrendavariávelconsolidadonov[[#This Row],[ATUAL]])</f>
        <v>0</v>
      </c>
      <c r="P136" s="119" t="n">
        <f aca="false">SUMIFS(tabela_registros[VALOR],tabela_registros[MÊS],$AE$1,tabela_registros[DIA],investirrendavariávelconsolidadonov[[#Headers],[12]],tabela_registros[REGISTRO],DADOS!$N$5,tabela_registros[TIPO],DADOS!$AB$4,tabela_registros[CATEGORIA],investirrendavariávelconsolidadonov[[#This Row],[ATUAL]])</f>
        <v>0</v>
      </c>
      <c r="Q136" s="119" t="n">
        <f aca="false">SUMIFS(tabela_registros[VALOR],tabela_registros[MÊS],$AE$1,tabela_registros[DIA],investirrendavariávelconsolidadonov[[#Headers],[13]],tabela_registros[REGISTRO],DADOS!$N$5,tabela_registros[TIPO],DADOS!$AB$4,tabela_registros[CATEGORIA],investirrendavariávelconsolidadonov[[#This Row],[ATUAL]])</f>
        <v>0</v>
      </c>
      <c r="R136" s="119" t="n">
        <f aca="false">SUMIFS(tabela_registros[VALOR],tabela_registros[MÊS],$AE$1,tabela_registros[DIA],investirrendavariávelconsolidadonov[[#Headers],[14]],tabela_registros[REGISTRO],DADOS!$N$5,tabela_registros[TIPO],DADOS!$AB$4,tabela_registros[CATEGORIA],investirrendavariávelconsolidadonov[[#This Row],[ATUAL]])</f>
        <v>0</v>
      </c>
      <c r="S136" s="119" t="n">
        <f aca="false">SUMIFS(tabela_registros[VALOR],tabela_registros[MÊS],$AE$1,tabela_registros[DIA],investirrendavariávelconsolidadonov[[#Headers],[15]],tabela_registros[REGISTRO],DADOS!$N$5,tabela_registros[TIPO],DADOS!$AB$4,tabela_registros[CATEGORIA],investirrendavariávelconsolidadonov[[#This Row],[ATUAL]])</f>
        <v>0</v>
      </c>
      <c r="T136" s="119" t="n">
        <f aca="false">SUMIFS(tabela_registros[VALOR],tabela_registros[MÊS],$AE$1,tabela_registros[DIA],investirrendavariávelconsolidadonov[[#Headers],[16]],tabela_registros[REGISTRO],DADOS!$N$5,tabela_registros[TIPO],DADOS!$AB$4,tabela_registros[CATEGORIA],investirrendavariávelconsolidadonov[[#This Row],[ATUAL]])</f>
        <v>0</v>
      </c>
      <c r="U136" s="119" t="n">
        <f aca="false">SUMIFS(tabela_registros[VALOR],tabela_registros[MÊS],$AE$1,tabela_registros[DIA],investirrendavariávelconsolidadonov[[#Headers],[17]],tabela_registros[REGISTRO],DADOS!$N$5,tabela_registros[TIPO],DADOS!$AB$4,tabela_registros[CATEGORIA],investirrendavariávelconsolidadonov[[#This Row],[ATUAL]])</f>
        <v>0</v>
      </c>
      <c r="V136" s="119" t="n">
        <f aca="false">SUMIFS(tabela_registros[VALOR],tabela_registros[MÊS],$AE$1,tabela_registros[DIA],investirrendavariávelconsolidadonov[[#Headers],[18]],tabela_registros[REGISTRO],DADOS!$N$5,tabela_registros[TIPO],DADOS!$AB$4,tabela_registros[CATEGORIA],investirrendavariávelconsolidadonov[[#This Row],[ATUAL]])</f>
        <v>0</v>
      </c>
      <c r="W136" s="119" t="n">
        <f aca="false">SUMIFS(tabela_registros[VALOR],tabela_registros[MÊS],$AE$1,tabela_registros[DIA],investirrendavariávelconsolidadonov[[#Headers],[19]],tabela_registros[REGISTRO],DADOS!$N$5,tabela_registros[TIPO],DADOS!$AB$4,tabela_registros[CATEGORIA],investirrendavariávelconsolidadonov[[#This Row],[ATUAL]])</f>
        <v>0</v>
      </c>
      <c r="X136" s="119" t="n">
        <f aca="false">SUMIFS(tabela_registros[VALOR],tabela_registros[MÊS],$AE$1,tabela_registros[DIA],investirrendavariávelconsolidadonov[[#Headers],[20]],tabela_registros[REGISTRO],DADOS!$N$5,tabela_registros[TIPO],DADOS!$AB$4,tabela_registros[CATEGORIA],investirrendavariávelconsolidadonov[[#This Row],[ATUAL]])</f>
        <v>0</v>
      </c>
      <c r="Y136" s="119" t="n">
        <f aca="false">SUMIFS(tabela_registros[VALOR],tabela_registros[MÊS],$AE$1,tabela_registros[DIA],investirrendavariávelconsolidadonov[[#Headers],[21]],tabela_registros[REGISTRO],DADOS!$N$5,tabela_registros[TIPO],DADOS!$AB$4,tabela_registros[CATEGORIA],investirrendavariávelconsolidadonov[[#This Row],[ATUAL]])</f>
        <v>0</v>
      </c>
      <c r="Z136" s="119" t="n">
        <f aca="false">SUMIFS(tabela_registros[VALOR],tabela_registros[MÊS],$AE$1,tabela_registros[DIA],investirrendavariávelconsolidadonov[[#Headers],[22]],tabela_registros[REGISTRO],DADOS!$N$5,tabela_registros[TIPO],DADOS!$AB$4,tabela_registros[CATEGORIA],investirrendavariávelconsolidadonov[[#This Row],[ATUAL]])</f>
        <v>0</v>
      </c>
      <c r="AA136" s="119" t="n">
        <f aca="false">SUMIFS(tabela_registros[VALOR],tabela_registros[MÊS],$AE$1,tabela_registros[DIA],investirrendavariávelconsolidadonov[[#Headers],[23]],tabela_registros[REGISTRO],DADOS!$N$5,tabela_registros[TIPO],DADOS!$AB$4,tabela_registros[CATEGORIA],investirrendavariávelconsolidadonov[[#This Row],[ATUAL]])</f>
        <v>0</v>
      </c>
      <c r="AB136" s="119" t="n">
        <f aca="false">SUMIFS(tabela_registros[VALOR],tabela_registros[MÊS],$AE$1,tabela_registros[DIA],investirrendavariávelconsolidadonov[[#Headers],[24]],tabela_registros[REGISTRO],DADOS!$N$5,tabela_registros[TIPO],DADOS!$AB$4,tabela_registros[CATEGORIA],investirrendavariávelconsolidadonov[[#This Row],[ATUAL]])</f>
        <v>0</v>
      </c>
      <c r="AC136" s="119" t="n">
        <f aca="false">SUMIFS(tabela_registros[VALOR],tabela_registros[MÊS],$AE$1,tabela_registros[DIA],investirrendavariávelconsolidadonov[[#Headers],[25]],tabela_registros[REGISTRO],DADOS!$N$5,tabela_registros[TIPO],DADOS!$AB$4,tabela_registros[CATEGORIA],investirrendavariávelconsolidadonov[[#This Row],[ATUAL]])</f>
        <v>0</v>
      </c>
      <c r="AD136" s="119" t="n">
        <f aca="false">SUMIFS(tabela_registros[VALOR],tabela_registros[MÊS],$AE$1,tabela_registros[DIA],investirrendavariávelconsolidadonov[[#Headers],[26]],tabela_registros[REGISTRO],DADOS!$N$5,tabela_registros[TIPO],DADOS!$AB$4,tabela_registros[CATEGORIA],investirrendavariávelconsolidadonov[[#This Row],[ATUAL]])</f>
        <v>0</v>
      </c>
      <c r="AE136" s="119" t="n">
        <f aca="false">SUMIFS(tabela_registros[VALOR],tabela_registros[MÊS],$AE$1,tabela_registros[DIA],investirrendavariávelconsolidadonov[[#Headers],[27]],tabela_registros[REGISTRO],DADOS!$N$5,tabela_registros[TIPO],DADOS!$AB$4,tabela_registros[CATEGORIA],investirrendavariávelconsolidadonov[[#This Row],[ATUAL]])</f>
        <v>0</v>
      </c>
      <c r="AF136" s="119" t="n">
        <f aca="false">SUMIFS(tabela_registros[VALOR],tabela_registros[MÊS],$AE$1,tabela_registros[DIA],investirrendavariávelconsolidadonov[[#Headers],[28]],tabela_registros[REGISTRO],DADOS!$N$5,tabela_registros[TIPO],DADOS!$AB$4,tabela_registros[CATEGORIA],investirrendavariávelconsolidadonov[[#This Row],[ATUAL]])</f>
        <v>0</v>
      </c>
      <c r="AG136" s="119" t="n">
        <f aca="false">SUMIFS(tabela_registros[VALOR],tabela_registros[MÊS],$AE$1,tabela_registros[DIA],investirrendavariávelconsolidadonov[[#Headers],[29]],tabela_registros[REGISTRO],DADOS!$N$5,tabela_registros[TIPO],DADOS!$AB$4,tabela_registros[CATEGORIA],investirrendavariávelconsolidadonov[[#This Row],[ATUAL]])</f>
        <v>0</v>
      </c>
      <c r="AH136" s="119" t="n">
        <f aca="false">SUMIFS(tabela_registros[VALOR],tabela_registros[MÊS],$AE$1,tabela_registros[DIA],investirrendavariávelconsolidadonov[[#Headers],[30]],tabela_registros[REGISTRO],DADOS!$N$5,tabela_registros[TIPO],DADOS!$AB$4,tabela_registros[CATEGORIA],investirrendavariávelconsolidadonov[[#This Row],[ATUAL]])</f>
        <v>0</v>
      </c>
      <c r="AI136" s="217" t="n">
        <f aca="false">SUMIFS(tabela_registros[VALOR],tabela_registros[MÊS],$AE$1,tabela_registros[DIA],investirrendavariávelconsolidadonov[[#Headers],[31]],tabela_registros[REGISTRO],DADOS!$N$5,tabela_registros[TIPO],DADOS!$AB$4,tabela_registros[CATEGORIA],investirrendavariávelconsolidadonov[[#This Row],[ATUAL]])</f>
        <v>0</v>
      </c>
      <c r="AJ136" s="149" t="n">
        <f aca="false">SUM(investirrendavariávelconsolidadonov[[#This Row],[1]:[31]])</f>
        <v>0</v>
      </c>
      <c r="AK136" s="165"/>
    </row>
    <row r="137" customFormat="false" ht="19.5" hidden="false" customHeight="true" outlineLevel="0" collapsed="false">
      <c r="B137" s="143"/>
      <c r="C137" s="144" t="str">
        <f aca="false">DADOS!$AF$8</f>
        <v>📝 ETF</v>
      </c>
      <c r="D137" s="145" t="str">
        <f aca="false">IF(investirrendavariávelconsolidadonov[[#This Row],[TOTAL (R$)]]=0,"",IF(OR(investirrendavariávelconsolidadonov[[#This Row],[TOTAL (R$)]]=LARGE($AJ$132:$AJ$141,1),investirrendavariávelconsolidadonov[[#This Row],[TOTAL (R$)]]=LARGE($AJ$132:$AJ$141,2)),DADOS!$I$10,""))</f>
        <v/>
      </c>
      <c r="E137" s="148" t="n">
        <f aca="false">SUMIFS(tabela_registros[VALOR],tabela_registros[MÊS],$AE$1,tabela_registros[DIA],investirrendavariávelconsolidadonov[[#Headers],[1]],tabela_registros[REGISTRO],DADOS!$N$5,tabela_registros[TIPO],DADOS!$AB$4,tabela_registros[CATEGORIA],investirrendavariávelconsolidadonov[[#This Row],[ATUAL]])</f>
        <v>0</v>
      </c>
      <c r="F137" s="119" t="n">
        <f aca="false">SUMIFS(tabela_registros[VALOR],tabela_registros[MÊS],$AE$1,tabela_registros[DIA],investirrendavariávelconsolidadonov[[#Headers],[2]],tabela_registros[REGISTRO],DADOS!$N$5,tabela_registros[TIPO],DADOS!$AB$4,tabela_registros[CATEGORIA],investirrendavariávelconsolidadonov[[#This Row],[ATUAL]])</f>
        <v>0</v>
      </c>
      <c r="G137" s="119" t="n">
        <f aca="false">SUMIFS(tabela_registros[VALOR],tabela_registros[MÊS],$AE$1,tabela_registros[DIA],investirrendavariávelconsolidadonov[[#Headers],[3]],tabela_registros[REGISTRO],DADOS!$N$5,tabela_registros[TIPO],DADOS!$AB$4,tabela_registros[CATEGORIA],investirrendavariávelconsolidadonov[[#This Row],[ATUAL]])</f>
        <v>0</v>
      </c>
      <c r="H137" s="119" t="n">
        <f aca="false">SUMIFS(tabela_registros[VALOR],tabela_registros[MÊS],$AE$1,tabela_registros[DIA],investirrendavariávelconsolidadonov[[#Headers],[4]],tabela_registros[REGISTRO],DADOS!$N$5,tabela_registros[TIPO],DADOS!$AB$4,tabela_registros[CATEGORIA],investirrendavariávelconsolidadonov[[#This Row],[ATUAL]])</f>
        <v>0</v>
      </c>
      <c r="I137" s="119" t="n">
        <f aca="false">SUMIFS(tabela_registros[VALOR],tabela_registros[MÊS],$AE$1,tabela_registros[DIA],investirrendavariávelconsolidadonov[[#Headers],[5]],tabela_registros[REGISTRO],DADOS!$N$5,tabela_registros[TIPO],DADOS!$AB$4,tabela_registros[CATEGORIA],investirrendavariávelconsolidadonov[[#This Row],[ATUAL]])</f>
        <v>0</v>
      </c>
      <c r="J137" s="119" t="n">
        <f aca="false">SUMIFS(tabela_registros[VALOR],tabela_registros[MÊS],$AE$1,tabela_registros[DIA],investirrendavariávelconsolidadonov[[#Headers],[6]],tabela_registros[REGISTRO],DADOS!$N$5,tabela_registros[TIPO],DADOS!$AB$4,tabela_registros[CATEGORIA],investirrendavariávelconsolidadonov[[#This Row],[ATUAL]])</f>
        <v>0</v>
      </c>
      <c r="K137" s="119" t="n">
        <f aca="false">SUMIFS(tabela_registros[VALOR],tabela_registros[MÊS],$AE$1,tabela_registros[DIA],investirrendavariávelconsolidadonov[[#Headers],[7]],tabela_registros[REGISTRO],DADOS!$N$5,tabela_registros[TIPO],DADOS!$AB$4,tabela_registros[CATEGORIA],investirrendavariávelconsolidadonov[[#This Row],[ATUAL]])</f>
        <v>0</v>
      </c>
      <c r="L137" s="119" t="n">
        <f aca="false">SUMIFS(tabela_registros[VALOR],tabela_registros[MÊS],$AE$1,tabela_registros[DIA],investirrendavariávelconsolidadonov[[#Headers],[8]],tabela_registros[REGISTRO],DADOS!$N$5,tabela_registros[TIPO],DADOS!$AB$4,tabela_registros[CATEGORIA],investirrendavariávelconsolidadonov[[#This Row],[ATUAL]])</f>
        <v>0</v>
      </c>
      <c r="M137" s="119" t="n">
        <f aca="false">SUMIFS(tabela_registros[VALOR],tabela_registros[MÊS],$AE$1,tabela_registros[DIA],investirrendavariávelconsolidadonov[[#Headers],[9]],tabela_registros[REGISTRO],DADOS!$N$5,tabela_registros[TIPO],DADOS!$AB$4,tabela_registros[CATEGORIA],investirrendavariávelconsolidadonov[[#This Row],[ATUAL]])</f>
        <v>0</v>
      </c>
      <c r="N137" s="119" t="n">
        <f aca="false">SUMIFS(tabela_registros[VALOR],tabela_registros[MÊS],$AE$1,tabela_registros[DIA],investirrendavariávelconsolidadonov[[#Headers],[10]],tabela_registros[REGISTRO],DADOS!$N$5,tabela_registros[TIPO],DADOS!$AB$4,tabela_registros[CATEGORIA],investirrendavariávelconsolidadonov[[#This Row],[ATUAL]])</f>
        <v>0</v>
      </c>
      <c r="O137" s="119" t="n">
        <f aca="false">SUMIFS(tabela_registros[VALOR],tabela_registros[MÊS],$AE$1,tabela_registros[DIA],investirrendavariávelconsolidadonov[[#Headers],[11]],tabela_registros[REGISTRO],DADOS!$N$5,tabela_registros[TIPO],DADOS!$AB$4,tabela_registros[CATEGORIA],investirrendavariávelconsolidadonov[[#This Row],[ATUAL]])</f>
        <v>0</v>
      </c>
      <c r="P137" s="119" t="n">
        <f aca="false">SUMIFS(tabela_registros[VALOR],tabela_registros[MÊS],$AE$1,tabela_registros[DIA],investirrendavariávelconsolidadonov[[#Headers],[12]],tabela_registros[REGISTRO],DADOS!$N$5,tabela_registros[TIPO],DADOS!$AB$4,tabela_registros[CATEGORIA],investirrendavariávelconsolidadonov[[#This Row],[ATUAL]])</f>
        <v>0</v>
      </c>
      <c r="Q137" s="119" t="n">
        <f aca="false">SUMIFS(tabela_registros[VALOR],tabela_registros[MÊS],$AE$1,tabela_registros[DIA],investirrendavariávelconsolidadonov[[#Headers],[13]],tabela_registros[REGISTRO],DADOS!$N$5,tabela_registros[TIPO],DADOS!$AB$4,tabela_registros[CATEGORIA],investirrendavariávelconsolidadonov[[#This Row],[ATUAL]])</f>
        <v>0</v>
      </c>
      <c r="R137" s="119" t="n">
        <f aca="false">SUMIFS(tabela_registros[VALOR],tabela_registros[MÊS],$AE$1,tabela_registros[DIA],investirrendavariávelconsolidadonov[[#Headers],[14]],tabela_registros[REGISTRO],DADOS!$N$5,tabela_registros[TIPO],DADOS!$AB$4,tabela_registros[CATEGORIA],investirrendavariávelconsolidadonov[[#This Row],[ATUAL]])</f>
        <v>0</v>
      </c>
      <c r="S137" s="119" t="n">
        <f aca="false">SUMIFS(tabela_registros[VALOR],tabela_registros[MÊS],$AE$1,tabela_registros[DIA],investirrendavariávelconsolidadonov[[#Headers],[15]],tabela_registros[REGISTRO],DADOS!$N$5,tabela_registros[TIPO],DADOS!$AB$4,tabela_registros[CATEGORIA],investirrendavariávelconsolidadonov[[#This Row],[ATUAL]])</f>
        <v>0</v>
      </c>
      <c r="T137" s="119" t="n">
        <f aca="false">SUMIFS(tabela_registros[VALOR],tabela_registros[MÊS],$AE$1,tabela_registros[DIA],investirrendavariávelconsolidadonov[[#Headers],[16]],tabela_registros[REGISTRO],DADOS!$N$5,tabela_registros[TIPO],DADOS!$AB$4,tabela_registros[CATEGORIA],investirrendavariávelconsolidadonov[[#This Row],[ATUAL]])</f>
        <v>0</v>
      </c>
      <c r="U137" s="119" t="n">
        <f aca="false">SUMIFS(tabela_registros[VALOR],tabela_registros[MÊS],$AE$1,tabela_registros[DIA],investirrendavariávelconsolidadonov[[#Headers],[17]],tabela_registros[REGISTRO],DADOS!$N$5,tabela_registros[TIPO],DADOS!$AB$4,tabela_registros[CATEGORIA],investirrendavariávelconsolidadonov[[#This Row],[ATUAL]])</f>
        <v>0</v>
      </c>
      <c r="V137" s="119" t="n">
        <f aca="false">SUMIFS(tabela_registros[VALOR],tabela_registros[MÊS],$AE$1,tabela_registros[DIA],investirrendavariávelconsolidadonov[[#Headers],[18]],tabela_registros[REGISTRO],DADOS!$N$5,tabela_registros[TIPO],DADOS!$AB$4,tabela_registros[CATEGORIA],investirrendavariávelconsolidadonov[[#This Row],[ATUAL]])</f>
        <v>0</v>
      </c>
      <c r="W137" s="119" t="n">
        <f aca="false">SUMIFS(tabela_registros[VALOR],tabela_registros[MÊS],$AE$1,tabela_registros[DIA],investirrendavariávelconsolidadonov[[#Headers],[19]],tabela_registros[REGISTRO],DADOS!$N$5,tabela_registros[TIPO],DADOS!$AB$4,tabela_registros[CATEGORIA],investirrendavariávelconsolidadonov[[#This Row],[ATUAL]])</f>
        <v>0</v>
      </c>
      <c r="X137" s="119" t="n">
        <f aca="false">SUMIFS(tabela_registros[VALOR],tabela_registros[MÊS],$AE$1,tabela_registros[DIA],investirrendavariávelconsolidadonov[[#Headers],[20]],tabela_registros[REGISTRO],DADOS!$N$5,tabela_registros[TIPO],DADOS!$AB$4,tabela_registros[CATEGORIA],investirrendavariávelconsolidadonov[[#This Row],[ATUAL]])</f>
        <v>0</v>
      </c>
      <c r="Y137" s="119" t="n">
        <f aca="false">SUMIFS(tabela_registros[VALOR],tabela_registros[MÊS],$AE$1,tabela_registros[DIA],investirrendavariávelconsolidadonov[[#Headers],[21]],tabela_registros[REGISTRO],DADOS!$N$5,tabela_registros[TIPO],DADOS!$AB$4,tabela_registros[CATEGORIA],investirrendavariávelconsolidadonov[[#This Row],[ATUAL]])</f>
        <v>0</v>
      </c>
      <c r="Z137" s="119" t="n">
        <f aca="false">SUMIFS(tabela_registros[VALOR],tabela_registros[MÊS],$AE$1,tabela_registros[DIA],investirrendavariávelconsolidadonov[[#Headers],[22]],tabela_registros[REGISTRO],DADOS!$N$5,tabela_registros[TIPO],DADOS!$AB$4,tabela_registros[CATEGORIA],investirrendavariávelconsolidadonov[[#This Row],[ATUAL]])</f>
        <v>0</v>
      </c>
      <c r="AA137" s="119" t="n">
        <f aca="false">SUMIFS(tabela_registros[VALOR],tabela_registros[MÊS],$AE$1,tabela_registros[DIA],investirrendavariávelconsolidadonov[[#Headers],[23]],tabela_registros[REGISTRO],DADOS!$N$5,tabela_registros[TIPO],DADOS!$AB$4,tabela_registros[CATEGORIA],investirrendavariávelconsolidadonov[[#This Row],[ATUAL]])</f>
        <v>0</v>
      </c>
      <c r="AB137" s="119" t="n">
        <f aca="false">SUMIFS(tabela_registros[VALOR],tabela_registros[MÊS],$AE$1,tabela_registros[DIA],investirrendavariávelconsolidadonov[[#Headers],[24]],tabela_registros[REGISTRO],DADOS!$N$5,tabela_registros[TIPO],DADOS!$AB$4,tabela_registros[CATEGORIA],investirrendavariávelconsolidadonov[[#This Row],[ATUAL]])</f>
        <v>0</v>
      </c>
      <c r="AC137" s="119" t="n">
        <f aca="false">SUMIFS(tabela_registros[VALOR],tabela_registros[MÊS],$AE$1,tabela_registros[DIA],investirrendavariávelconsolidadonov[[#Headers],[25]],tabela_registros[REGISTRO],DADOS!$N$5,tabela_registros[TIPO],DADOS!$AB$4,tabela_registros[CATEGORIA],investirrendavariávelconsolidadonov[[#This Row],[ATUAL]])</f>
        <v>0</v>
      </c>
      <c r="AD137" s="119" t="n">
        <f aca="false">SUMIFS(tabela_registros[VALOR],tabela_registros[MÊS],$AE$1,tabela_registros[DIA],investirrendavariávelconsolidadonov[[#Headers],[26]],tabela_registros[REGISTRO],DADOS!$N$5,tabela_registros[TIPO],DADOS!$AB$4,tabela_registros[CATEGORIA],investirrendavariávelconsolidadonov[[#This Row],[ATUAL]])</f>
        <v>0</v>
      </c>
      <c r="AE137" s="119" t="n">
        <f aca="false">SUMIFS(tabela_registros[VALOR],tabela_registros[MÊS],$AE$1,tabela_registros[DIA],investirrendavariávelconsolidadonov[[#Headers],[27]],tabela_registros[REGISTRO],DADOS!$N$5,tabela_registros[TIPO],DADOS!$AB$4,tabela_registros[CATEGORIA],investirrendavariávelconsolidadonov[[#This Row],[ATUAL]])</f>
        <v>0</v>
      </c>
      <c r="AF137" s="119" t="n">
        <f aca="false">SUMIFS(tabela_registros[VALOR],tabela_registros[MÊS],$AE$1,tabela_registros[DIA],investirrendavariávelconsolidadonov[[#Headers],[28]],tabela_registros[REGISTRO],DADOS!$N$5,tabela_registros[TIPO],DADOS!$AB$4,tabela_registros[CATEGORIA],investirrendavariávelconsolidadonov[[#This Row],[ATUAL]])</f>
        <v>0</v>
      </c>
      <c r="AG137" s="119" t="n">
        <f aca="false">SUMIFS(tabela_registros[VALOR],tabela_registros[MÊS],$AE$1,tabela_registros[DIA],investirrendavariávelconsolidadonov[[#Headers],[29]],tabela_registros[REGISTRO],DADOS!$N$5,tabela_registros[TIPO],DADOS!$AB$4,tabela_registros[CATEGORIA],investirrendavariávelconsolidadonov[[#This Row],[ATUAL]])</f>
        <v>0</v>
      </c>
      <c r="AH137" s="119" t="n">
        <f aca="false">SUMIFS(tabela_registros[VALOR],tabela_registros[MÊS],$AE$1,tabela_registros[DIA],investirrendavariávelconsolidadonov[[#Headers],[30]],tabela_registros[REGISTRO],DADOS!$N$5,tabela_registros[TIPO],DADOS!$AB$4,tabela_registros[CATEGORIA],investirrendavariávelconsolidadonov[[#This Row],[ATUAL]])</f>
        <v>0</v>
      </c>
      <c r="AI137" s="217" t="n">
        <f aca="false">SUMIFS(tabela_registros[VALOR],tabela_registros[MÊS],$AE$1,tabela_registros[DIA],investirrendavariávelconsolidadonov[[#Headers],[31]],tabela_registros[REGISTRO],DADOS!$N$5,tabela_registros[TIPO],DADOS!$AB$4,tabela_registros[CATEGORIA],investirrendavariávelconsolidadonov[[#This Row],[ATUAL]])</f>
        <v>0</v>
      </c>
      <c r="AJ137" s="149" t="n">
        <f aca="false">SUM(investirrendavariávelconsolidadonov[[#This Row],[1]:[31]])</f>
        <v>0</v>
      </c>
      <c r="AK137" s="165"/>
    </row>
    <row r="138" customFormat="false" ht="19.5" hidden="false" customHeight="true" outlineLevel="0" collapsed="false">
      <c r="B138" s="143"/>
      <c r="C138" s="144" t="str">
        <f aca="false">DADOS!$AF$9</f>
        <v>📝 EXTERIOR</v>
      </c>
      <c r="D138" s="145" t="str">
        <f aca="false">IF(investirrendavariávelconsolidadonov[[#This Row],[TOTAL (R$)]]=0,"",IF(OR(investirrendavariávelconsolidadonov[[#This Row],[TOTAL (R$)]]=LARGE($AJ$132:$AJ$141,1),investirrendavariávelconsolidadonov[[#This Row],[TOTAL (R$)]]=LARGE($AJ$132:$AJ$141,2)),DADOS!$I$10,""))</f>
        <v/>
      </c>
      <c r="E138" s="148" t="n">
        <f aca="false">SUMIFS(tabela_registros[VALOR],tabela_registros[MÊS],$AE$1,tabela_registros[DIA],investirrendavariávelconsolidadonov[[#Headers],[1]],tabela_registros[REGISTRO],DADOS!$N$5,tabela_registros[TIPO],DADOS!$AB$4,tabela_registros[CATEGORIA],investirrendavariávelconsolidadonov[[#This Row],[ATUAL]])</f>
        <v>0</v>
      </c>
      <c r="F138" s="119" t="n">
        <f aca="false">SUMIFS(tabela_registros[VALOR],tabela_registros[MÊS],$AE$1,tabela_registros[DIA],investirrendavariávelconsolidadonov[[#Headers],[2]],tabela_registros[REGISTRO],DADOS!$N$5,tabela_registros[TIPO],DADOS!$AB$4,tabela_registros[CATEGORIA],investirrendavariávelconsolidadonov[[#This Row],[ATUAL]])</f>
        <v>0</v>
      </c>
      <c r="G138" s="119" t="n">
        <f aca="false">SUMIFS(tabela_registros[VALOR],tabela_registros[MÊS],$AE$1,tabela_registros[DIA],investirrendavariávelconsolidadonov[[#Headers],[3]],tabela_registros[REGISTRO],DADOS!$N$5,tabela_registros[TIPO],DADOS!$AB$4,tabela_registros[CATEGORIA],investirrendavariávelconsolidadonov[[#This Row],[ATUAL]])</f>
        <v>0</v>
      </c>
      <c r="H138" s="119" t="n">
        <f aca="false">SUMIFS(tabela_registros[VALOR],tabela_registros[MÊS],$AE$1,tabela_registros[DIA],investirrendavariávelconsolidadonov[[#Headers],[4]],tabela_registros[REGISTRO],DADOS!$N$5,tabela_registros[TIPO],DADOS!$AB$4,tabela_registros[CATEGORIA],investirrendavariávelconsolidadonov[[#This Row],[ATUAL]])</f>
        <v>0</v>
      </c>
      <c r="I138" s="119" t="n">
        <f aca="false">SUMIFS(tabela_registros[VALOR],tabela_registros[MÊS],$AE$1,tabela_registros[DIA],investirrendavariávelconsolidadonov[[#Headers],[5]],tabela_registros[REGISTRO],DADOS!$N$5,tabela_registros[TIPO],DADOS!$AB$4,tabela_registros[CATEGORIA],investirrendavariávelconsolidadonov[[#This Row],[ATUAL]])</f>
        <v>0</v>
      </c>
      <c r="J138" s="119" t="n">
        <f aca="false">SUMIFS(tabela_registros[VALOR],tabela_registros[MÊS],$AE$1,tabela_registros[DIA],investirrendavariávelconsolidadonov[[#Headers],[6]],tabela_registros[REGISTRO],DADOS!$N$5,tabela_registros[TIPO],DADOS!$AB$4,tabela_registros[CATEGORIA],investirrendavariávelconsolidadonov[[#This Row],[ATUAL]])</f>
        <v>0</v>
      </c>
      <c r="K138" s="119" t="n">
        <f aca="false">SUMIFS(tabela_registros[VALOR],tabela_registros[MÊS],$AE$1,tabela_registros[DIA],investirrendavariávelconsolidadonov[[#Headers],[7]],tabela_registros[REGISTRO],DADOS!$N$5,tabela_registros[TIPO],DADOS!$AB$4,tabela_registros[CATEGORIA],investirrendavariávelconsolidadonov[[#This Row],[ATUAL]])</f>
        <v>0</v>
      </c>
      <c r="L138" s="119" t="n">
        <f aca="false">SUMIFS(tabela_registros[VALOR],tabela_registros[MÊS],$AE$1,tabela_registros[DIA],investirrendavariávelconsolidadonov[[#Headers],[8]],tabela_registros[REGISTRO],DADOS!$N$5,tabela_registros[TIPO],DADOS!$AB$4,tabela_registros[CATEGORIA],investirrendavariávelconsolidadonov[[#This Row],[ATUAL]])</f>
        <v>0</v>
      </c>
      <c r="M138" s="119" t="n">
        <f aca="false">SUMIFS(tabela_registros[VALOR],tabela_registros[MÊS],$AE$1,tabela_registros[DIA],investirrendavariávelconsolidadonov[[#Headers],[9]],tabela_registros[REGISTRO],DADOS!$N$5,tabela_registros[TIPO],DADOS!$AB$4,tabela_registros[CATEGORIA],investirrendavariávelconsolidadonov[[#This Row],[ATUAL]])</f>
        <v>0</v>
      </c>
      <c r="N138" s="119" t="n">
        <f aca="false">SUMIFS(tabela_registros[VALOR],tabela_registros[MÊS],$AE$1,tabela_registros[DIA],investirrendavariávelconsolidadonov[[#Headers],[10]],tabela_registros[REGISTRO],DADOS!$N$5,tabela_registros[TIPO],DADOS!$AB$4,tabela_registros[CATEGORIA],investirrendavariávelconsolidadonov[[#This Row],[ATUAL]])</f>
        <v>0</v>
      </c>
      <c r="O138" s="119" t="n">
        <f aca="false">SUMIFS(tabela_registros[VALOR],tabela_registros[MÊS],$AE$1,tabela_registros[DIA],investirrendavariávelconsolidadonov[[#Headers],[11]],tabela_registros[REGISTRO],DADOS!$N$5,tabela_registros[TIPO],DADOS!$AB$4,tabela_registros[CATEGORIA],investirrendavariávelconsolidadonov[[#This Row],[ATUAL]])</f>
        <v>0</v>
      </c>
      <c r="P138" s="119" t="n">
        <f aca="false">SUMIFS(tabela_registros[VALOR],tabela_registros[MÊS],$AE$1,tabela_registros[DIA],investirrendavariávelconsolidadonov[[#Headers],[12]],tabela_registros[REGISTRO],DADOS!$N$5,tabela_registros[TIPO],DADOS!$AB$4,tabela_registros[CATEGORIA],investirrendavariávelconsolidadonov[[#This Row],[ATUAL]])</f>
        <v>0</v>
      </c>
      <c r="Q138" s="119" t="n">
        <f aca="false">SUMIFS(tabela_registros[VALOR],tabela_registros[MÊS],$AE$1,tabela_registros[DIA],investirrendavariávelconsolidadonov[[#Headers],[13]],tabela_registros[REGISTRO],DADOS!$N$5,tabela_registros[TIPO],DADOS!$AB$4,tabela_registros[CATEGORIA],investirrendavariávelconsolidadonov[[#This Row],[ATUAL]])</f>
        <v>0</v>
      </c>
      <c r="R138" s="119" t="n">
        <f aca="false">SUMIFS(tabela_registros[VALOR],tabela_registros[MÊS],$AE$1,tabela_registros[DIA],investirrendavariávelconsolidadonov[[#Headers],[14]],tabela_registros[REGISTRO],DADOS!$N$5,tabela_registros[TIPO],DADOS!$AB$4,tabela_registros[CATEGORIA],investirrendavariávelconsolidadonov[[#This Row],[ATUAL]])</f>
        <v>0</v>
      </c>
      <c r="S138" s="119" t="n">
        <f aca="false">SUMIFS(tabela_registros[VALOR],tabela_registros[MÊS],$AE$1,tabela_registros[DIA],investirrendavariávelconsolidadonov[[#Headers],[15]],tabela_registros[REGISTRO],DADOS!$N$5,tabela_registros[TIPO],DADOS!$AB$4,tabela_registros[CATEGORIA],investirrendavariávelconsolidadonov[[#This Row],[ATUAL]])</f>
        <v>0</v>
      </c>
      <c r="T138" s="119" t="n">
        <f aca="false">SUMIFS(tabela_registros[VALOR],tabela_registros[MÊS],$AE$1,tabela_registros[DIA],investirrendavariávelconsolidadonov[[#Headers],[16]],tabela_registros[REGISTRO],DADOS!$N$5,tabela_registros[TIPO],DADOS!$AB$4,tabela_registros[CATEGORIA],investirrendavariávelconsolidadonov[[#This Row],[ATUAL]])</f>
        <v>0</v>
      </c>
      <c r="U138" s="119" t="n">
        <f aca="false">SUMIFS(tabela_registros[VALOR],tabela_registros[MÊS],$AE$1,tabela_registros[DIA],investirrendavariávelconsolidadonov[[#Headers],[17]],tabela_registros[REGISTRO],DADOS!$N$5,tabela_registros[TIPO],DADOS!$AB$4,tabela_registros[CATEGORIA],investirrendavariávelconsolidadonov[[#This Row],[ATUAL]])</f>
        <v>0</v>
      </c>
      <c r="V138" s="119" t="n">
        <f aca="false">SUMIFS(tabela_registros[VALOR],tabela_registros[MÊS],$AE$1,tabela_registros[DIA],investirrendavariávelconsolidadonov[[#Headers],[18]],tabela_registros[REGISTRO],DADOS!$N$5,tabela_registros[TIPO],DADOS!$AB$4,tabela_registros[CATEGORIA],investirrendavariávelconsolidadonov[[#This Row],[ATUAL]])</f>
        <v>0</v>
      </c>
      <c r="W138" s="119" t="n">
        <f aca="false">SUMIFS(tabela_registros[VALOR],tabela_registros[MÊS],$AE$1,tabela_registros[DIA],investirrendavariávelconsolidadonov[[#Headers],[19]],tabela_registros[REGISTRO],DADOS!$N$5,tabela_registros[TIPO],DADOS!$AB$4,tabela_registros[CATEGORIA],investirrendavariávelconsolidadonov[[#This Row],[ATUAL]])</f>
        <v>0</v>
      </c>
      <c r="X138" s="119" t="n">
        <f aca="false">SUMIFS(tabela_registros[VALOR],tabela_registros[MÊS],$AE$1,tabela_registros[DIA],investirrendavariávelconsolidadonov[[#Headers],[20]],tabela_registros[REGISTRO],DADOS!$N$5,tabela_registros[TIPO],DADOS!$AB$4,tabela_registros[CATEGORIA],investirrendavariávelconsolidadonov[[#This Row],[ATUAL]])</f>
        <v>0</v>
      </c>
      <c r="Y138" s="119" t="n">
        <f aca="false">SUMIFS(tabela_registros[VALOR],tabela_registros[MÊS],$AE$1,tabela_registros[DIA],investirrendavariávelconsolidadonov[[#Headers],[21]],tabela_registros[REGISTRO],DADOS!$N$5,tabela_registros[TIPO],DADOS!$AB$4,tabela_registros[CATEGORIA],investirrendavariávelconsolidadonov[[#This Row],[ATUAL]])</f>
        <v>0</v>
      </c>
      <c r="Z138" s="119" t="n">
        <f aca="false">SUMIFS(tabela_registros[VALOR],tabela_registros[MÊS],$AE$1,tabela_registros[DIA],investirrendavariávelconsolidadonov[[#Headers],[22]],tabela_registros[REGISTRO],DADOS!$N$5,tabela_registros[TIPO],DADOS!$AB$4,tabela_registros[CATEGORIA],investirrendavariávelconsolidadonov[[#This Row],[ATUAL]])</f>
        <v>0</v>
      </c>
      <c r="AA138" s="119" t="n">
        <f aca="false">SUMIFS(tabela_registros[VALOR],tabela_registros[MÊS],$AE$1,tabela_registros[DIA],investirrendavariávelconsolidadonov[[#Headers],[23]],tabela_registros[REGISTRO],DADOS!$N$5,tabela_registros[TIPO],DADOS!$AB$4,tabela_registros[CATEGORIA],investirrendavariávelconsolidadonov[[#This Row],[ATUAL]])</f>
        <v>0</v>
      </c>
      <c r="AB138" s="119" t="n">
        <f aca="false">SUMIFS(tabela_registros[VALOR],tabela_registros[MÊS],$AE$1,tabela_registros[DIA],investirrendavariávelconsolidadonov[[#Headers],[24]],tabela_registros[REGISTRO],DADOS!$N$5,tabela_registros[TIPO],DADOS!$AB$4,tabela_registros[CATEGORIA],investirrendavariávelconsolidadonov[[#This Row],[ATUAL]])</f>
        <v>0</v>
      </c>
      <c r="AC138" s="119" t="n">
        <f aca="false">SUMIFS(tabela_registros[VALOR],tabela_registros[MÊS],$AE$1,tabela_registros[DIA],investirrendavariávelconsolidadonov[[#Headers],[25]],tabela_registros[REGISTRO],DADOS!$N$5,tabela_registros[TIPO],DADOS!$AB$4,tabela_registros[CATEGORIA],investirrendavariávelconsolidadonov[[#This Row],[ATUAL]])</f>
        <v>0</v>
      </c>
      <c r="AD138" s="119" t="n">
        <f aca="false">SUMIFS(tabela_registros[VALOR],tabela_registros[MÊS],$AE$1,tabela_registros[DIA],investirrendavariávelconsolidadonov[[#Headers],[26]],tabela_registros[REGISTRO],DADOS!$N$5,tabela_registros[TIPO],DADOS!$AB$4,tabela_registros[CATEGORIA],investirrendavariávelconsolidadonov[[#This Row],[ATUAL]])</f>
        <v>0</v>
      </c>
      <c r="AE138" s="119" t="n">
        <f aca="false">SUMIFS(tabela_registros[VALOR],tabela_registros[MÊS],$AE$1,tabela_registros[DIA],investirrendavariávelconsolidadonov[[#Headers],[27]],tabela_registros[REGISTRO],DADOS!$N$5,tabela_registros[TIPO],DADOS!$AB$4,tabela_registros[CATEGORIA],investirrendavariávelconsolidadonov[[#This Row],[ATUAL]])</f>
        <v>0</v>
      </c>
      <c r="AF138" s="119" t="n">
        <f aca="false">SUMIFS(tabela_registros[VALOR],tabela_registros[MÊS],$AE$1,tabela_registros[DIA],investirrendavariávelconsolidadonov[[#Headers],[28]],tabela_registros[REGISTRO],DADOS!$N$5,tabela_registros[TIPO],DADOS!$AB$4,tabela_registros[CATEGORIA],investirrendavariávelconsolidadonov[[#This Row],[ATUAL]])</f>
        <v>0</v>
      </c>
      <c r="AG138" s="119" t="n">
        <f aca="false">SUMIFS(tabela_registros[VALOR],tabela_registros[MÊS],$AE$1,tabela_registros[DIA],investirrendavariávelconsolidadonov[[#Headers],[29]],tabela_registros[REGISTRO],DADOS!$N$5,tabela_registros[TIPO],DADOS!$AB$4,tabela_registros[CATEGORIA],investirrendavariávelconsolidadonov[[#This Row],[ATUAL]])</f>
        <v>0</v>
      </c>
      <c r="AH138" s="119" t="n">
        <f aca="false">SUMIFS(tabela_registros[VALOR],tabela_registros[MÊS],$AE$1,tabela_registros[DIA],investirrendavariávelconsolidadonov[[#Headers],[30]],tabela_registros[REGISTRO],DADOS!$N$5,tabela_registros[TIPO],DADOS!$AB$4,tabela_registros[CATEGORIA],investirrendavariávelconsolidadonov[[#This Row],[ATUAL]])</f>
        <v>0</v>
      </c>
      <c r="AI138" s="217" t="n">
        <f aca="false">SUMIFS(tabela_registros[VALOR],tabela_registros[MÊS],$AE$1,tabela_registros[DIA],investirrendavariávelconsolidadonov[[#Headers],[31]],tabela_registros[REGISTRO],DADOS!$N$5,tabela_registros[TIPO],DADOS!$AB$4,tabela_registros[CATEGORIA],investirrendavariávelconsolidadonov[[#This Row],[ATUAL]])</f>
        <v>0</v>
      </c>
      <c r="AJ138" s="149" t="n">
        <f aca="false">SUM(investirrendavariávelconsolidadonov[[#This Row],[1]:[31]])</f>
        <v>0</v>
      </c>
      <c r="AK138" s="165"/>
    </row>
    <row r="139" customFormat="false" ht="19.5" hidden="false" customHeight="true" outlineLevel="0" collapsed="false">
      <c r="B139" s="143"/>
      <c r="C139" s="144" t="str">
        <f aca="false">DADOS!$AF$10</f>
        <v>📝 FII</v>
      </c>
      <c r="D139" s="145" t="str">
        <f aca="false">IF(investirrendavariávelconsolidadonov[[#This Row],[TOTAL (R$)]]=0,"",IF(OR(investirrendavariávelconsolidadonov[[#This Row],[TOTAL (R$)]]=LARGE($AJ$132:$AJ$141,1),investirrendavariávelconsolidadonov[[#This Row],[TOTAL (R$)]]=LARGE($AJ$132:$AJ$141,2)),DADOS!$I$10,""))</f>
        <v/>
      </c>
      <c r="E139" s="148" t="n">
        <f aca="false">SUMIFS(tabela_registros[VALOR],tabela_registros[MÊS],$AE$1,tabela_registros[DIA],investirrendavariávelconsolidadonov[[#Headers],[1]],tabela_registros[REGISTRO],DADOS!$N$5,tabela_registros[TIPO],DADOS!$AB$4,tabela_registros[CATEGORIA],investirrendavariávelconsolidadonov[[#This Row],[ATUAL]])</f>
        <v>0</v>
      </c>
      <c r="F139" s="119" t="n">
        <f aca="false">SUMIFS(tabela_registros[VALOR],tabela_registros[MÊS],$AE$1,tabela_registros[DIA],investirrendavariávelconsolidadonov[[#Headers],[2]],tabela_registros[REGISTRO],DADOS!$N$5,tabela_registros[TIPO],DADOS!$AB$4,tabela_registros[CATEGORIA],investirrendavariávelconsolidadonov[[#This Row],[ATUAL]])</f>
        <v>0</v>
      </c>
      <c r="G139" s="119" t="n">
        <f aca="false">SUMIFS(tabela_registros[VALOR],tabela_registros[MÊS],$AE$1,tabela_registros[DIA],investirrendavariávelconsolidadonov[[#Headers],[3]],tabela_registros[REGISTRO],DADOS!$N$5,tabela_registros[TIPO],DADOS!$AB$4,tabela_registros[CATEGORIA],investirrendavariávelconsolidadonov[[#This Row],[ATUAL]])</f>
        <v>0</v>
      </c>
      <c r="H139" s="119" t="n">
        <f aca="false">SUMIFS(tabela_registros[VALOR],tabela_registros[MÊS],$AE$1,tabela_registros[DIA],investirrendavariávelconsolidadonov[[#Headers],[4]],tabela_registros[REGISTRO],DADOS!$N$5,tabela_registros[TIPO],DADOS!$AB$4,tabela_registros[CATEGORIA],investirrendavariávelconsolidadonov[[#This Row],[ATUAL]])</f>
        <v>0</v>
      </c>
      <c r="I139" s="119" t="n">
        <f aca="false">SUMIFS(tabela_registros[VALOR],tabela_registros[MÊS],$AE$1,tabela_registros[DIA],investirrendavariávelconsolidadonov[[#Headers],[5]],tabela_registros[REGISTRO],DADOS!$N$5,tabela_registros[TIPO],DADOS!$AB$4,tabela_registros[CATEGORIA],investirrendavariávelconsolidadonov[[#This Row],[ATUAL]])</f>
        <v>0</v>
      </c>
      <c r="J139" s="119" t="n">
        <f aca="false">SUMIFS(tabela_registros[VALOR],tabela_registros[MÊS],$AE$1,tabela_registros[DIA],investirrendavariávelconsolidadonov[[#Headers],[6]],tabela_registros[REGISTRO],DADOS!$N$5,tabela_registros[TIPO],DADOS!$AB$4,tabela_registros[CATEGORIA],investirrendavariávelconsolidadonov[[#This Row],[ATUAL]])</f>
        <v>0</v>
      </c>
      <c r="K139" s="119" t="n">
        <f aca="false">SUMIFS(tabela_registros[VALOR],tabela_registros[MÊS],$AE$1,tabela_registros[DIA],investirrendavariávelconsolidadonov[[#Headers],[7]],tabela_registros[REGISTRO],DADOS!$N$5,tabela_registros[TIPO],DADOS!$AB$4,tabela_registros[CATEGORIA],investirrendavariávelconsolidadonov[[#This Row],[ATUAL]])</f>
        <v>0</v>
      </c>
      <c r="L139" s="119" t="n">
        <f aca="false">SUMIFS(tabela_registros[VALOR],tabela_registros[MÊS],$AE$1,tabela_registros[DIA],investirrendavariávelconsolidadonov[[#Headers],[8]],tabela_registros[REGISTRO],DADOS!$N$5,tabela_registros[TIPO],DADOS!$AB$4,tabela_registros[CATEGORIA],investirrendavariávelconsolidadonov[[#This Row],[ATUAL]])</f>
        <v>0</v>
      </c>
      <c r="M139" s="119" t="n">
        <f aca="false">SUMIFS(tabela_registros[VALOR],tabela_registros[MÊS],$AE$1,tabela_registros[DIA],investirrendavariávelconsolidadonov[[#Headers],[9]],tabela_registros[REGISTRO],DADOS!$N$5,tabela_registros[TIPO],DADOS!$AB$4,tabela_registros[CATEGORIA],investirrendavariávelconsolidadonov[[#This Row],[ATUAL]])</f>
        <v>0</v>
      </c>
      <c r="N139" s="119" t="n">
        <f aca="false">SUMIFS(tabela_registros[VALOR],tabela_registros[MÊS],$AE$1,tabela_registros[DIA],investirrendavariávelconsolidadonov[[#Headers],[10]],tabela_registros[REGISTRO],DADOS!$N$5,tabela_registros[TIPO],DADOS!$AB$4,tabela_registros[CATEGORIA],investirrendavariávelconsolidadonov[[#This Row],[ATUAL]])</f>
        <v>0</v>
      </c>
      <c r="O139" s="119" t="n">
        <f aca="false">SUMIFS(tabela_registros[VALOR],tabela_registros[MÊS],$AE$1,tabela_registros[DIA],investirrendavariávelconsolidadonov[[#Headers],[11]],tabela_registros[REGISTRO],DADOS!$N$5,tabela_registros[TIPO],DADOS!$AB$4,tabela_registros[CATEGORIA],investirrendavariávelconsolidadonov[[#This Row],[ATUAL]])</f>
        <v>0</v>
      </c>
      <c r="P139" s="119" t="n">
        <f aca="false">SUMIFS(tabela_registros[VALOR],tabela_registros[MÊS],$AE$1,tabela_registros[DIA],investirrendavariávelconsolidadonov[[#Headers],[12]],tabela_registros[REGISTRO],DADOS!$N$5,tabela_registros[TIPO],DADOS!$AB$4,tabela_registros[CATEGORIA],investirrendavariávelconsolidadonov[[#This Row],[ATUAL]])</f>
        <v>0</v>
      </c>
      <c r="Q139" s="119" t="n">
        <f aca="false">SUMIFS(tabela_registros[VALOR],tabela_registros[MÊS],$AE$1,tabela_registros[DIA],investirrendavariávelconsolidadonov[[#Headers],[13]],tabela_registros[REGISTRO],DADOS!$N$5,tabela_registros[TIPO],DADOS!$AB$4,tabela_registros[CATEGORIA],investirrendavariávelconsolidadonov[[#This Row],[ATUAL]])</f>
        <v>0</v>
      </c>
      <c r="R139" s="119" t="n">
        <f aca="false">SUMIFS(tabela_registros[VALOR],tabela_registros[MÊS],$AE$1,tabela_registros[DIA],investirrendavariávelconsolidadonov[[#Headers],[14]],tabela_registros[REGISTRO],DADOS!$N$5,tabela_registros[TIPO],DADOS!$AB$4,tabela_registros[CATEGORIA],investirrendavariávelconsolidadonov[[#This Row],[ATUAL]])</f>
        <v>0</v>
      </c>
      <c r="S139" s="119" t="n">
        <f aca="false">SUMIFS(tabela_registros[VALOR],tabela_registros[MÊS],$AE$1,tabela_registros[DIA],investirrendavariávelconsolidadonov[[#Headers],[15]],tabela_registros[REGISTRO],DADOS!$N$5,tabela_registros[TIPO],DADOS!$AB$4,tabela_registros[CATEGORIA],investirrendavariávelconsolidadonov[[#This Row],[ATUAL]])</f>
        <v>0</v>
      </c>
      <c r="T139" s="119" t="n">
        <f aca="false">SUMIFS(tabela_registros[VALOR],tabela_registros[MÊS],$AE$1,tabela_registros[DIA],investirrendavariávelconsolidadonov[[#Headers],[16]],tabela_registros[REGISTRO],DADOS!$N$5,tabela_registros[TIPO],DADOS!$AB$4,tabela_registros[CATEGORIA],investirrendavariávelconsolidadonov[[#This Row],[ATUAL]])</f>
        <v>0</v>
      </c>
      <c r="U139" s="119" t="n">
        <f aca="false">SUMIFS(tabela_registros[VALOR],tabela_registros[MÊS],$AE$1,tabela_registros[DIA],investirrendavariávelconsolidadonov[[#Headers],[17]],tabela_registros[REGISTRO],DADOS!$N$5,tabela_registros[TIPO],DADOS!$AB$4,tabela_registros[CATEGORIA],investirrendavariávelconsolidadonov[[#This Row],[ATUAL]])</f>
        <v>0</v>
      </c>
      <c r="V139" s="119" t="n">
        <f aca="false">SUMIFS(tabela_registros[VALOR],tabela_registros[MÊS],$AE$1,tabela_registros[DIA],investirrendavariávelconsolidadonov[[#Headers],[18]],tabela_registros[REGISTRO],DADOS!$N$5,tabela_registros[TIPO],DADOS!$AB$4,tabela_registros[CATEGORIA],investirrendavariávelconsolidadonov[[#This Row],[ATUAL]])</f>
        <v>0</v>
      </c>
      <c r="W139" s="119" t="n">
        <f aca="false">SUMIFS(tabela_registros[VALOR],tabela_registros[MÊS],$AE$1,tabela_registros[DIA],investirrendavariávelconsolidadonov[[#Headers],[19]],tabela_registros[REGISTRO],DADOS!$N$5,tabela_registros[TIPO],DADOS!$AB$4,tabela_registros[CATEGORIA],investirrendavariávelconsolidadonov[[#This Row],[ATUAL]])</f>
        <v>0</v>
      </c>
      <c r="X139" s="119" t="n">
        <f aca="false">SUMIFS(tabela_registros[VALOR],tabela_registros[MÊS],$AE$1,tabela_registros[DIA],investirrendavariávelconsolidadonov[[#Headers],[20]],tabela_registros[REGISTRO],DADOS!$N$5,tabela_registros[TIPO],DADOS!$AB$4,tabela_registros[CATEGORIA],investirrendavariávelconsolidadonov[[#This Row],[ATUAL]])</f>
        <v>0</v>
      </c>
      <c r="Y139" s="119" t="n">
        <f aca="false">SUMIFS(tabela_registros[VALOR],tabela_registros[MÊS],$AE$1,tabela_registros[DIA],investirrendavariávelconsolidadonov[[#Headers],[21]],tabela_registros[REGISTRO],DADOS!$N$5,tabela_registros[TIPO],DADOS!$AB$4,tabela_registros[CATEGORIA],investirrendavariávelconsolidadonov[[#This Row],[ATUAL]])</f>
        <v>0</v>
      </c>
      <c r="Z139" s="119" t="n">
        <f aca="false">SUMIFS(tabela_registros[VALOR],tabela_registros[MÊS],$AE$1,tabela_registros[DIA],investirrendavariávelconsolidadonov[[#Headers],[22]],tabela_registros[REGISTRO],DADOS!$N$5,tabela_registros[TIPO],DADOS!$AB$4,tabela_registros[CATEGORIA],investirrendavariávelconsolidadonov[[#This Row],[ATUAL]])</f>
        <v>0</v>
      </c>
      <c r="AA139" s="119" t="n">
        <f aca="false">SUMIFS(tabela_registros[VALOR],tabela_registros[MÊS],$AE$1,tabela_registros[DIA],investirrendavariávelconsolidadonov[[#Headers],[23]],tabela_registros[REGISTRO],DADOS!$N$5,tabela_registros[TIPO],DADOS!$AB$4,tabela_registros[CATEGORIA],investirrendavariávelconsolidadonov[[#This Row],[ATUAL]])</f>
        <v>0</v>
      </c>
      <c r="AB139" s="119" t="n">
        <f aca="false">SUMIFS(tabela_registros[VALOR],tabela_registros[MÊS],$AE$1,tabela_registros[DIA],investirrendavariávelconsolidadonov[[#Headers],[24]],tabela_registros[REGISTRO],DADOS!$N$5,tabela_registros[TIPO],DADOS!$AB$4,tabela_registros[CATEGORIA],investirrendavariávelconsolidadonov[[#This Row],[ATUAL]])</f>
        <v>0</v>
      </c>
      <c r="AC139" s="119" t="n">
        <f aca="false">SUMIFS(tabela_registros[VALOR],tabela_registros[MÊS],$AE$1,tabela_registros[DIA],investirrendavariávelconsolidadonov[[#Headers],[25]],tabela_registros[REGISTRO],DADOS!$N$5,tabela_registros[TIPO],DADOS!$AB$4,tabela_registros[CATEGORIA],investirrendavariávelconsolidadonov[[#This Row],[ATUAL]])</f>
        <v>0</v>
      </c>
      <c r="AD139" s="119" t="n">
        <f aca="false">SUMIFS(tabela_registros[VALOR],tabela_registros[MÊS],$AE$1,tabela_registros[DIA],investirrendavariávelconsolidadonov[[#Headers],[26]],tabela_registros[REGISTRO],DADOS!$N$5,tabela_registros[TIPO],DADOS!$AB$4,tabela_registros[CATEGORIA],investirrendavariávelconsolidadonov[[#This Row],[ATUAL]])</f>
        <v>0</v>
      </c>
      <c r="AE139" s="119" t="n">
        <f aca="false">SUMIFS(tabela_registros[VALOR],tabela_registros[MÊS],$AE$1,tabela_registros[DIA],investirrendavariávelconsolidadonov[[#Headers],[27]],tabela_registros[REGISTRO],DADOS!$N$5,tabela_registros[TIPO],DADOS!$AB$4,tabela_registros[CATEGORIA],investirrendavariávelconsolidadonov[[#This Row],[ATUAL]])</f>
        <v>0</v>
      </c>
      <c r="AF139" s="119" t="n">
        <f aca="false">SUMIFS(tabela_registros[VALOR],tabela_registros[MÊS],$AE$1,tabela_registros[DIA],investirrendavariávelconsolidadonov[[#Headers],[28]],tabela_registros[REGISTRO],DADOS!$N$5,tabela_registros[TIPO],DADOS!$AB$4,tabela_registros[CATEGORIA],investirrendavariávelconsolidadonov[[#This Row],[ATUAL]])</f>
        <v>0</v>
      </c>
      <c r="AG139" s="119" t="n">
        <f aca="false">SUMIFS(tabela_registros[VALOR],tabela_registros[MÊS],$AE$1,tabela_registros[DIA],investirrendavariávelconsolidadonov[[#Headers],[29]],tabela_registros[REGISTRO],DADOS!$N$5,tabela_registros[TIPO],DADOS!$AB$4,tabela_registros[CATEGORIA],investirrendavariávelconsolidadonov[[#This Row],[ATUAL]])</f>
        <v>0</v>
      </c>
      <c r="AH139" s="119" t="n">
        <f aca="false">SUMIFS(tabela_registros[VALOR],tabela_registros[MÊS],$AE$1,tabela_registros[DIA],investirrendavariávelconsolidadonov[[#Headers],[30]],tabela_registros[REGISTRO],DADOS!$N$5,tabela_registros[TIPO],DADOS!$AB$4,tabela_registros[CATEGORIA],investirrendavariávelconsolidadonov[[#This Row],[ATUAL]])</f>
        <v>0</v>
      </c>
      <c r="AI139" s="217" t="n">
        <f aca="false">SUMIFS(tabela_registros[VALOR],tabela_registros[MÊS],$AE$1,tabela_registros[DIA],investirrendavariávelconsolidadonov[[#Headers],[31]],tabela_registros[REGISTRO],DADOS!$N$5,tabela_registros[TIPO],DADOS!$AB$4,tabela_registros[CATEGORIA],investirrendavariávelconsolidadonov[[#This Row],[ATUAL]])</f>
        <v>0</v>
      </c>
      <c r="AJ139" s="149" t="n">
        <f aca="false">SUM(investirrendavariávelconsolidadonov[[#This Row],[1]:[31]])</f>
        <v>0</v>
      </c>
      <c r="AK139" s="165"/>
    </row>
    <row r="140" customFormat="false" ht="19.5" hidden="false" customHeight="true" outlineLevel="0" collapsed="false">
      <c r="B140" s="143"/>
      <c r="C140" s="144" t="str">
        <f aca="false">DADOS!$AF$11</f>
        <v>📝 MOEDA</v>
      </c>
      <c r="D140" s="145" t="str">
        <f aca="false">IF(investirrendavariávelconsolidadonov[[#This Row],[TOTAL (R$)]]=0,"",IF(OR(investirrendavariávelconsolidadonov[[#This Row],[TOTAL (R$)]]=LARGE($AJ$132:$AJ$141,1),investirrendavariávelconsolidadonov[[#This Row],[TOTAL (R$)]]=LARGE($AJ$132:$AJ$141,2)),DADOS!$I$10,""))</f>
        <v/>
      </c>
      <c r="E140" s="148" t="n">
        <f aca="false">SUMIFS(tabela_registros[VALOR],tabela_registros[MÊS],$AE$1,tabela_registros[DIA],investirrendavariávelconsolidadonov[[#Headers],[1]],tabela_registros[REGISTRO],DADOS!$N$5,tabela_registros[TIPO],DADOS!$AB$4,tabela_registros[CATEGORIA],investirrendavariávelconsolidadonov[[#This Row],[ATUAL]])</f>
        <v>0</v>
      </c>
      <c r="F140" s="119" t="n">
        <f aca="false">SUMIFS(tabela_registros[VALOR],tabela_registros[MÊS],$AE$1,tabela_registros[DIA],investirrendavariávelconsolidadonov[[#Headers],[2]],tabela_registros[REGISTRO],DADOS!$N$5,tabela_registros[TIPO],DADOS!$AB$4,tabela_registros[CATEGORIA],investirrendavariávelconsolidadonov[[#This Row],[ATUAL]])</f>
        <v>0</v>
      </c>
      <c r="G140" s="119" t="n">
        <f aca="false">SUMIFS(tabela_registros[VALOR],tabela_registros[MÊS],$AE$1,tabela_registros[DIA],investirrendavariávelconsolidadonov[[#Headers],[3]],tabela_registros[REGISTRO],DADOS!$N$5,tabela_registros[TIPO],DADOS!$AB$4,tabela_registros[CATEGORIA],investirrendavariávelconsolidadonov[[#This Row],[ATUAL]])</f>
        <v>0</v>
      </c>
      <c r="H140" s="119" t="n">
        <f aca="false">SUMIFS(tabela_registros[VALOR],tabela_registros[MÊS],$AE$1,tabela_registros[DIA],investirrendavariávelconsolidadonov[[#Headers],[4]],tabela_registros[REGISTRO],DADOS!$N$5,tabela_registros[TIPO],DADOS!$AB$4,tabela_registros[CATEGORIA],investirrendavariávelconsolidadonov[[#This Row],[ATUAL]])</f>
        <v>0</v>
      </c>
      <c r="I140" s="119" t="n">
        <f aca="false">SUMIFS(tabela_registros[VALOR],tabela_registros[MÊS],$AE$1,tabela_registros[DIA],investirrendavariávelconsolidadonov[[#Headers],[5]],tabela_registros[REGISTRO],DADOS!$N$5,tabela_registros[TIPO],DADOS!$AB$4,tabela_registros[CATEGORIA],investirrendavariávelconsolidadonov[[#This Row],[ATUAL]])</f>
        <v>0</v>
      </c>
      <c r="J140" s="119" t="n">
        <f aca="false">SUMIFS(tabela_registros[VALOR],tabela_registros[MÊS],$AE$1,tabela_registros[DIA],investirrendavariávelconsolidadonov[[#Headers],[6]],tabela_registros[REGISTRO],DADOS!$N$5,tabela_registros[TIPO],DADOS!$AB$4,tabela_registros[CATEGORIA],investirrendavariávelconsolidadonov[[#This Row],[ATUAL]])</f>
        <v>0</v>
      </c>
      <c r="K140" s="119" t="n">
        <f aca="false">SUMIFS(tabela_registros[VALOR],tabela_registros[MÊS],$AE$1,tabela_registros[DIA],investirrendavariávelconsolidadonov[[#Headers],[7]],tabela_registros[REGISTRO],DADOS!$N$5,tabela_registros[TIPO],DADOS!$AB$4,tabela_registros[CATEGORIA],investirrendavariávelconsolidadonov[[#This Row],[ATUAL]])</f>
        <v>0</v>
      </c>
      <c r="L140" s="119" t="n">
        <f aca="false">SUMIFS(tabela_registros[VALOR],tabela_registros[MÊS],$AE$1,tabela_registros[DIA],investirrendavariávelconsolidadonov[[#Headers],[8]],tabela_registros[REGISTRO],DADOS!$N$5,tabela_registros[TIPO],DADOS!$AB$4,tabela_registros[CATEGORIA],investirrendavariávelconsolidadonov[[#This Row],[ATUAL]])</f>
        <v>0</v>
      </c>
      <c r="M140" s="119" t="n">
        <f aca="false">SUMIFS(tabela_registros[VALOR],tabela_registros[MÊS],$AE$1,tabela_registros[DIA],investirrendavariávelconsolidadonov[[#Headers],[9]],tabela_registros[REGISTRO],DADOS!$N$5,tabela_registros[TIPO],DADOS!$AB$4,tabela_registros[CATEGORIA],investirrendavariávelconsolidadonov[[#This Row],[ATUAL]])</f>
        <v>0</v>
      </c>
      <c r="N140" s="119" t="n">
        <f aca="false">SUMIFS(tabela_registros[VALOR],tabela_registros[MÊS],$AE$1,tabela_registros[DIA],investirrendavariávelconsolidadonov[[#Headers],[10]],tabela_registros[REGISTRO],DADOS!$N$5,tabela_registros[TIPO],DADOS!$AB$4,tabela_registros[CATEGORIA],investirrendavariávelconsolidadonov[[#This Row],[ATUAL]])</f>
        <v>0</v>
      </c>
      <c r="O140" s="119" t="n">
        <f aca="false">SUMIFS(tabela_registros[VALOR],tabela_registros[MÊS],$AE$1,tabela_registros[DIA],investirrendavariávelconsolidadonov[[#Headers],[11]],tabela_registros[REGISTRO],DADOS!$N$5,tabela_registros[TIPO],DADOS!$AB$4,tabela_registros[CATEGORIA],investirrendavariávelconsolidadonov[[#This Row],[ATUAL]])</f>
        <v>0</v>
      </c>
      <c r="P140" s="119" t="n">
        <f aca="false">SUMIFS(tabela_registros[VALOR],tabela_registros[MÊS],$AE$1,tabela_registros[DIA],investirrendavariávelconsolidadonov[[#Headers],[12]],tabela_registros[REGISTRO],DADOS!$N$5,tabela_registros[TIPO],DADOS!$AB$4,tabela_registros[CATEGORIA],investirrendavariávelconsolidadonov[[#This Row],[ATUAL]])</f>
        <v>0</v>
      </c>
      <c r="Q140" s="119" t="n">
        <f aca="false">SUMIFS(tabela_registros[VALOR],tabela_registros[MÊS],$AE$1,tabela_registros[DIA],investirrendavariávelconsolidadonov[[#Headers],[13]],tabela_registros[REGISTRO],DADOS!$N$5,tabela_registros[TIPO],DADOS!$AB$4,tabela_registros[CATEGORIA],investirrendavariávelconsolidadonov[[#This Row],[ATUAL]])</f>
        <v>0</v>
      </c>
      <c r="R140" s="119" t="n">
        <f aca="false">SUMIFS(tabela_registros[VALOR],tabela_registros[MÊS],$AE$1,tabela_registros[DIA],investirrendavariávelconsolidadonov[[#Headers],[14]],tabela_registros[REGISTRO],DADOS!$N$5,tabela_registros[TIPO],DADOS!$AB$4,tabela_registros[CATEGORIA],investirrendavariávelconsolidadonov[[#This Row],[ATUAL]])</f>
        <v>0</v>
      </c>
      <c r="S140" s="119" t="n">
        <f aca="false">SUMIFS(tabela_registros[VALOR],tabela_registros[MÊS],$AE$1,tabela_registros[DIA],investirrendavariávelconsolidadonov[[#Headers],[15]],tabela_registros[REGISTRO],DADOS!$N$5,tabela_registros[TIPO],DADOS!$AB$4,tabela_registros[CATEGORIA],investirrendavariávelconsolidadonov[[#This Row],[ATUAL]])</f>
        <v>0</v>
      </c>
      <c r="T140" s="119" t="n">
        <f aca="false">SUMIFS(tabela_registros[VALOR],tabela_registros[MÊS],$AE$1,tabela_registros[DIA],investirrendavariávelconsolidadonov[[#Headers],[16]],tabela_registros[REGISTRO],DADOS!$N$5,tabela_registros[TIPO],DADOS!$AB$4,tabela_registros[CATEGORIA],investirrendavariávelconsolidadonov[[#This Row],[ATUAL]])</f>
        <v>0</v>
      </c>
      <c r="U140" s="119" t="n">
        <f aca="false">SUMIFS(tabela_registros[VALOR],tabela_registros[MÊS],$AE$1,tabela_registros[DIA],investirrendavariávelconsolidadonov[[#Headers],[17]],tabela_registros[REGISTRO],DADOS!$N$5,tabela_registros[TIPO],DADOS!$AB$4,tabela_registros[CATEGORIA],investirrendavariávelconsolidadonov[[#This Row],[ATUAL]])</f>
        <v>0</v>
      </c>
      <c r="V140" s="119" t="n">
        <f aca="false">SUMIFS(tabela_registros[VALOR],tabela_registros[MÊS],$AE$1,tabela_registros[DIA],investirrendavariávelconsolidadonov[[#Headers],[18]],tabela_registros[REGISTRO],DADOS!$N$5,tabela_registros[TIPO],DADOS!$AB$4,tabela_registros[CATEGORIA],investirrendavariávelconsolidadonov[[#This Row],[ATUAL]])</f>
        <v>0</v>
      </c>
      <c r="W140" s="119" t="n">
        <f aca="false">SUMIFS(tabela_registros[VALOR],tabela_registros[MÊS],$AE$1,tabela_registros[DIA],investirrendavariávelconsolidadonov[[#Headers],[19]],tabela_registros[REGISTRO],DADOS!$N$5,tabela_registros[TIPO],DADOS!$AB$4,tabela_registros[CATEGORIA],investirrendavariávelconsolidadonov[[#This Row],[ATUAL]])</f>
        <v>0</v>
      </c>
      <c r="X140" s="119" t="n">
        <f aca="false">SUMIFS(tabela_registros[VALOR],tabela_registros[MÊS],$AE$1,tabela_registros[DIA],investirrendavariávelconsolidadonov[[#Headers],[20]],tabela_registros[REGISTRO],DADOS!$N$5,tabela_registros[TIPO],DADOS!$AB$4,tabela_registros[CATEGORIA],investirrendavariávelconsolidadonov[[#This Row],[ATUAL]])</f>
        <v>0</v>
      </c>
      <c r="Y140" s="119" t="n">
        <f aca="false">SUMIFS(tabela_registros[VALOR],tabela_registros[MÊS],$AE$1,tabela_registros[DIA],investirrendavariávelconsolidadonov[[#Headers],[21]],tabela_registros[REGISTRO],DADOS!$N$5,tabela_registros[TIPO],DADOS!$AB$4,tabela_registros[CATEGORIA],investirrendavariávelconsolidadonov[[#This Row],[ATUAL]])</f>
        <v>0</v>
      </c>
      <c r="Z140" s="119" t="n">
        <f aca="false">SUMIFS(tabela_registros[VALOR],tabela_registros[MÊS],$AE$1,tabela_registros[DIA],investirrendavariávelconsolidadonov[[#Headers],[22]],tabela_registros[REGISTRO],DADOS!$N$5,tabela_registros[TIPO],DADOS!$AB$4,tabela_registros[CATEGORIA],investirrendavariávelconsolidadonov[[#This Row],[ATUAL]])</f>
        <v>0</v>
      </c>
      <c r="AA140" s="119" t="n">
        <f aca="false">SUMIFS(tabela_registros[VALOR],tabela_registros[MÊS],$AE$1,tabela_registros[DIA],investirrendavariávelconsolidadonov[[#Headers],[23]],tabela_registros[REGISTRO],DADOS!$N$5,tabela_registros[TIPO],DADOS!$AB$4,tabela_registros[CATEGORIA],investirrendavariávelconsolidadonov[[#This Row],[ATUAL]])</f>
        <v>0</v>
      </c>
      <c r="AB140" s="119" t="n">
        <f aca="false">SUMIFS(tabela_registros[VALOR],tabela_registros[MÊS],$AE$1,tabela_registros[DIA],investirrendavariávelconsolidadonov[[#Headers],[24]],tabela_registros[REGISTRO],DADOS!$N$5,tabela_registros[TIPO],DADOS!$AB$4,tabela_registros[CATEGORIA],investirrendavariávelconsolidadonov[[#This Row],[ATUAL]])</f>
        <v>0</v>
      </c>
      <c r="AC140" s="119" t="n">
        <f aca="false">SUMIFS(tabela_registros[VALOR],tabela_registros[MÊS],$AE$1,tabela_registros[DIA],investirrendavariávelconsolidadonov[[#Headers],[25]],tabela_registros[REGISTRO],DADOS!$N$5,tabela_registros[TIPO],DADOS!$AB$4,tabela_registros[CATEGORIA],investirrendavariávelconsolidadonov[[#This Row],[ATUAL]])</f>
        <v>0</v>
      </c>
      <c r="AD140" s="119" t="n">
        <f aca="false">SUMIFS(tabela_registros[VALOR],tabela_registros[MÊS],$AE$1,tabela_registros[DIA],investirrendavariávelconsolidadonov[[#Headers],[26]],tabela_registros[REGISTRO],DADOS!$N$5,tabela_registros[TIPO],DADOS!$AB$4,tabela_registros[CATEGORIA],investirrendavariávelconsolidadonov[[#This Row],[ATUAL]])</f>
        <v>0</v>
      </c>
      <c r="AE140" s="119" t="n">
        <f aca="false">SUMIFS(tabela_registros[VALOR],tabela_registros[MÊS],$AE$1,tabela_registros[DIA],investirrendavariávelconsolidadonov[[#Headers],[27]],tabela_registros[REGISTRO],DADOS!$N$5,tabela_registros[TIPO],DADOS!$AB$4,tabela_registros[CATEGORIA],investirrendavariávelconsolidadonov[[#This Row],[ATUAL]])</f>
        <v>0</v>
      </c>
      <c r="AF140" s="119" t="n">
        <f aca="false">SUMIFS(tabela_registros[VALOR],tabela_registros[MÊS],$AE$1,tabela_registros[DIA],investirrendavariávelconsolidadonov[[#Headers],[28]],tabela_registros[REGISTRO],DADOS!$N$5,tabela_registros[TIPO],DADOS!$AB$4,tabela_registros[CATEGORIA],investirrendavariávelconsolidadonov[[#This Row],[ATUAL]])</f>
        <v>0</v>
      </c>
      <c r="AG140" s="119" t="n">
        <f aca="false">SUMIFS(tabela_registros[VALOR],tabela_registros[MÊS],$AE$1,tabela_registros[DIA],investirrendavariávelconsolidadonov[[#Headers],[29]],tabela_registros[REGISTRO],DADOS!$N$5,tabela_registros[TIPO],DADOS!$AB$4,tabela_registros[CATEGORIA],investirrendavariávelconsolidadonov[[#This Row],[ATUAL]])</f>
        <v>0</v>
      </c>
      <c r="AH140" s="119" t="n">
        <f aca="false">SUMIFS(tabela_registros[VALOR],tabela_registros[MÊS],$AE$1,tabela_registros[DIA],investirrendavariávelconsolidadonov[[#Headers],[30]],tabela_registros[REGISTRO],DADOS!$N$5,tabela_registros[TIPO],DADOS!$AB$4,tabela_registros[CATEGORIA],investirrendavariávelconsolidadonov[[#This Row],[ATUAL]])</f>
        <v>0</v>
      </c>
      <c r="AI140" s="217" t="n">
        <f aca="false">SUMIFS(tabela_registros[VALOR],tabela_registros[MÊS],$AE$1,tabela_registros[DIA],investirrendavariávelconsolidadonov[[#Headers],[31]],tabela_registros[REGISTRO],DADOS!$N$5,tabela_registros[TIPO],DADOS!$AB$4,tabela_registros[CATEGORIA],investirrendavariávelconsolidadonov[[#This Row],[ATUAL]])</f>
        <v>0</v>
      </c>
      <c r="AJ140" s="149" t="n">
        <f aca="false">SUM(investirrendavariávelconsolidadonov[[#This Row],[1]:[31]])</f>
        <v>0</v>
      </c>
      <c r="AK140" s="165"/>
    </row>
    <row r="141" customFormat="false" ht="19.5" hidden="false" customHeight="true" outlineLevel="0" collapsed="false">
      <c r="B141" s="143"/>
      <c r="C141" s="144" t="str">
        <f aca="false">DADOS!$AF$12</f>
        <v>📎 OUTROS</v>
      </c>
      <c r="D141" s="145" t="str">
        <f aca="false">IF(investirrendavariávelconsolidadonov[[#This Row],[TOTAL (R$)]]=0,"",IF(OR(investirrendavariávelconsolidadonov[[#This Row],[TOTAL (R$)]]=LARGE($AJ$132:$AJ$141,1),investirrendavariávelconsolidadonov[[#This Row],[TOTAL (R$)]]=LARGE($AJ$132:$AJ$141,2)),DADOS!$I$10,""))</f>
        <v/>
      </c>
      <c r="E141" s="148" t="n">
        <f aca="false">SUMIFS(tabela_registros[VALOR],tabela_registros[MÊS],$AE$1,tabela_registros[DIA],investirrendavariávelconsolidadonov[[#Headers],[1]],tabela_registros[REGISTRO],DADOS!$N$5,tabela_registros[TIPO],DADOS!$AB$4,tabela_registros[CATEGORIA],investirrendavariávelconsolidadonov[[#This Row],[ATUAL]])</f>
        <v>0</v>
      </c>
      <c r="F141" s="119" t="n">
        <f aca="false">SUMIFS(tabela_registros[VALOR],tabela_registros[MÊS],$AE$1,tabela_registros[DIA],investirrendavariávelconsolidadonov[[#Headers],[2]],tabela_registros[REGISTRO],DADOS!$N$5,tabela_registros[TIPO],DADOS!$AB$4,tabela_registros[CATEGORIA],investirrendavariávelconsolidadonov[[#This Row],[ATUAL]])</f>
        <v>0</v>
      </c>
      <c r="G141" s="119" t="n">
        <f aca="false">SUMIFS(tabela_registros[VALOR],tabela_registros[MÊS],$AE$1,tabela_registros[DIA],investirrendavariávelconsolidadonov[[#Headers],[3]],tabela_registros[REGISTRO],DADOS!$N$5,tabela_registros[TIPO],DADOS!$AB$4,tabela_registros[CATEGORIA],investirrendavariávelconsolidadonov[[#This Row],[ATUAL]])</f>
        <v>0</v>
      </c>
      <c r="H141" s="119" t="n">
        <f aca="false">SUMIFS(tabela_registros[VALOR],tabela_registros[MÊS],$AE$1,tabela_registros[DIA],investirrendavariávelconsolidadonov[[#Headers],[4]],tabela_registros[REGISTRO],DADOS!$N$5,tabela_registros[TIPO],DADOS!$AB$4,tabela_registros[CATEGORIA],investirrendavariávelconsolidadonov[[#This Row],[ATUAL]])</f>
        <v>0</v>
      </c>
      <c r="I141" s="119" t="n">
        <f aca="false">SUMIFS(tabela_registros[VALOR],tabela_registros[MÊS],$AE$1,tabela_registros[DIA],investirrendavariávelconsolidadonov[[#Headers],[5]],tabela_registros[REGISTRO],DADOS!$N$5,tabela_registros[TIPO],DADOS!$AB$4,tabela_registros[CATEGORIA],investirrendavariávelconsolidadonov[[#This Row],[ATUAL]])</f>
        <v>0</v>
      </c>
      <c r="J141" s="119" t="n">
        <f aca="false">SUMIFS(tabela_registros[VALOR],tabela_registros[MÊS],$AE$1,tabela_registros[DIA],investirrendavariávelconsolidadonov[[#Headers],[6]],tabela_registros[REGISTRO],DADOS!$N$5,tabela_registros[TIPO],DADOS!$AB$4,tabela_registros[CATEGORIA],investirrendavariávelconsolidadonov[[#This Row],[ATUAL]])</f>
        <v>0</v>
      </c>
      <c r="K141" s="119" t="n">
        <f aca="false">SUMIFS(tabela_registros[VALOR],tabela_registros[MÊS],$AE$1,tabela_registros[DIA],investirrendavariávelconsolidadonov[[#Headers],[7]],tabela_registros[REGISTRO],DADOS!$N$5,tabela_registros[TIPO],DADOS!$AB$4,tabela_registros[CATEGORIA],investirrendavariávelconsolidadonov[[#This Row],[ATUAL]])</f>
        <v>0</v>
      </c>
      <c r="L141" s="119" t="n">
        <f aca="false">SUMIFS(tabela_registros[VALOR],tabela_registros[MÊS],$AE$1,tabela_registros[DIA],investirrendavariávelconsolidadonov[[#Headers],[8]],tabela_registros[REGISTRO],DADOS!$N$5,tabela_registros[TIPO],DADOS!$AB$4,tabela_registros[CATEGORIA],investirrendavariávelconsolidadonov[[#This Row],[ATUAL]])</f>
        <v>0</v>
      </c>
      <c r="M141" s="119" t="n">
        <f aca="false">SUMIFS(tabela_registros[VALOR],tabela_registros[MÊS],$AE$1,tabela_registros[DIA],investirrendavariávelconsolidadonov[[#Headers],[9]],tabela_registros[REGISTRO],DADOS!$N$5,tabela_registros[TIPO],DADOS!$AB$4,tabela_registros[CATEGORIA],investirrendavariávelconsolidadonov[[#This Row],[ATUAL]])</f>
        <v>0</v>
      </c>
      <c r="N141" s="119" t="n">
        <f aca="false">SUMIFS(tabela_registros[VALOR],tabela_registros[MÊS],$AE$1,tabela_registros[DIA],investirrendavariávelconsolidadonov[[#Headers],[10]],tabela_registros[REGISTRO],DADOS!$N$5,tabela_registros[TIPO],DADOS!$AB$4,tabela_registros[CATEGORIA],investirrendavariávelconsolidadonov[[#This Row],[ATUAL]])</f>
        <v>0</v>
      </c>
      <c r="O141" s="119" t="n">
        <f aca="false">SUMIFS(tabela_registros[VALOR],tabela_registros[MÊS],$AE$1,tabela_registros[DIA],investirrendavariávelconsolidadonov[[#Headers],[11]],tabela_registros[REGISTRO],DADOS!$N$5,tabela_registros[TIPO],DADOS!$AB$4,tabela_registros[CATEGORIA],investirrendavariávelconsolidadonov[[#This Row],[ATUAL]])</f>
        <v>0</v>
      </c>
      <c r="P141" s="119" t="n">
        <f aca="false">SUMIFS(tabela_registros[VALOR],tabela_registros[MÊS],$AE$1,tabela_registros[DIA],investirrendavariávelconsolidadonov[[#Headers],[12]],tabela_registros[REGISTRO],DADOS!$N$5,tabela_registros[TIPO],DADOS!$AB$4,tabela_registros[CATEGORIA],investirrendavariávelconsolidadonov[[#This Row],[ATUAL]])</f>
        <v>0</v>
      </c>
      <c r="Q141" s="119" t="n">
        <f aca="false">SUMIFS(tabela_registros[VALOR],tabela_registros[MÊS],$AE$1,tabela_registros[DIA],investirrendavariávelconsolidadonov[[#Headers],[13]],tabela_registros[REGISTRO],DADOS!$N$5,tabela_registros[TIPO],DADOS!$AB$4,tabela_registros[CATEGORIA],investirrendavariávelconsolidadonov[[#This Row],[ATUAL]])</f>
        <v>0</v>
      </c>
      <c r="R141" s="119" t="n">
        <f aca="false">SUMIFS(tabela_registros[VALOR],tabela_registros[MÊS],$AE$1,tabela_registros[DIA],investirrendavariávelconsolidadonov[[#Headers],[14]],tabela_registros[REGISTRO],DADOS!$N$5,tabela_registros[TIPO],DADOS!$AB$4,tabela_registros[CATEGORIA],investirrendavariávelconsolidadonov[[#This Row],[ATUAL]])</f>
        <v>0</v>
      </c>
      <c r="S141" s="119" t="n">
        <f aca="false">SUMIFS(tabela_registros[VALOR],tabela_registros[MÊS],$AE$1,tabela_registros[DIA],investirrendavariávelconsolidadonov[[#Headers],[15]],tabela_registros[REGISTRO],DADOS!$N$5,tabela_registros[TIPO],DADOS!$AB$4,tabela_registros[CATEGORIA],investirrendavariávelconsolidadonov[[#This Row],[ATUAL]])</f>
        <v>0</v>
      </c>
      <c r="T141" s="119" t="n">
        <f aca="false">SUMIFS(tabela_registros[VALOR],tabela_registros[MÊS],$AE$1,tabela_registros[DIA],investirrendavariávelconsolidadonov[[#Headers],[16]],tabela_registros[REGISTRO],DADOS!$N$5,tabela_registros[TIPO],DADOS!$AB$4,tabela_registros[CATEGORIA],investirrendavariávelconsolidadonov[[#This Row],[ATUAL]])</f>
        <v>0</v>
      </c>
      <c r="U141" s="119" t="n">
        <f aca="false">SUMIFS(tabela_registros[VALOR],tabela_registros[MÊS],$AE$1,tabela_registros[DIA],investirrendavariávelconsolidadonov[[#Headers],[17]],tabela_registros[REGISTRO],DADOS!$N$5,tabela_registros[TIPO],DADOS!$AB$4,tabela_registros[CATEGORIA],investirrendavariávelconsolidadonov[[#This Row],[ATUAL]])</f>
        <v>0</v>
      </c>
      <c r="V141" s="119" t="n">
        <f aca="false">SUMIFS(tabela_registros[VALOR],tabela_registros[MÊS],$AE$1,tabela_registros[DIA],investirrendavariávelconsolidadonov[[#Headers],[18]],tabela_registros[REGISTRO],DADOS!$N$5,tabela_registros[TIPO],DADOS!$AB$4,tabela_registros[CATEGORIA],investirrendavariávelconsolidadonov[[#This Row],[ATUAL]])</f>
        <v>0</v>
      </c>
      <c r="W141" s="119" t="n">
        <f aca="false">SUMIFS(tabela_registros[VALOR],tabela_registros[MÊS],$AE$1,tabela_registros[DIA],investirrendavariávelconsolidadonov[[#Headers],[19]],tabela_registros[REGISTRO],DADOS!$N$5,tabela_registros[TIPO],DADOS!$AB$4,tabela_registros[CATEGORIA],investirrendavariávelconsolidadonov[[#This Row],[ATUAL]])</f>
        <v>0</v>
      </c>
      <c r="X141" s="119" t="n">
        <f aca="false">SUMIFS(tabela_registros[VALOR],tabela_registros[MÊS],$AE$1,tabela_registros[DIA],investirrendavariávelconsolidadonov[[#Headers],[20]],tabela_registros[REGISTRO],DADOS!$N$5,tabela_registros[TIPO],DADOS!$AB$4,tabela_registros[CATEGORIA],investirrendavariávelconsolidadonov[[#This Row],[ATUAL]])</f>
        <v>0</v>
      </c>
      <c r="Y141" s="119" t="n">
        <f aca="false">SUMIFS(tabela_registros[VALOR],tabela_registros[MÊS],$AE$1,tabela_registros[DIA],investirrendavariávelconsolidadonov[[#Headers],[21]],tabela_registros[REGISTRO],DADOS!$N$5,tabela_registros[TIPO],DADOS!$AB$4,tabela_registros[CATEGORIA],investirrendavariávelconsolidadonov[[#This Row],[ATUAL]])</f>
        <v>0</v>
      </c>
      <c r="Z141" s="119" t="n">
        <f aca="false">SUMIFS(tabela_registros[VALOR],tabela_registros[MÊS],$AE$1,tabela_registros[DIA],investirrendavariávelconsolidadonov[[#Headers],[22]],tabela_registros[REGISTRO],DADOS!$N$5,tabela_registros[TIPO],DADOS!$AB$4,tabela_registros[CATEGORIA],investirrendavariávelconsolidadonov[[#This Row],[ATUAL]])</f>
        <v>0</v>
      </c>
      <c r="AA141" s="119" t="n">
        <f aca="false">SUMIFS(tabela_registros[VALOR],tabela_registros[MÊS],$AE$1,tabela_registros[DIA],investirrendavariávelconsolidadonov[[#Headers],[23]],tabela_registros[REGISTRO],DADOS!$N$5,tabela_registros[TIPO],DADOS!$AB$4,tabela_registros[CATEGORIA],investirrendavariávelconsolidadonov[[#This Row],[ATUAL]])</f>
        <v>0</v>
      </c>
      <c r="AB141" s="119" t="n">
        <f aca="false">SUMIFS(tabela_registros[VALOR],tabela_registros[MÊS],$AE$1,tabela_registros[DIA],investirrendavariávelconsolidadonov[[#Headers],[24]],tabela_registros[REGISTRO],DADOS!$N$5,tabela_registros[TIPO],DADOS!$AB$4,tabela_registros[CATEGORIA],investirrendavariávelconsolidadonov[[#This Row],[ATUAL]])</f>
        <v>0</v>
      </c>
      <c r="AC141" s="119" t="n">
        <f aca="false">SUMIFS(tabela_registros[VALOR],tabela_registros[MÊS],$AE$1,tabela_registros[DIA],investirrendavariávelconsolidadonov[[#Headers],[25]],tabela_registros[REGISTRO],DADOS!$N$5,tabela_registros[TIPO],DADOS!$AB$4,tabela_registros[CATEGORIA],investirrendavariávelconsolidadonov[[#This Row],[ATUAL]])</f>
        <v>0</v>
      </c>
      <c r="AD141" s="119" t="n">
        <f aca="false">SUMIFS(tabela_registros[VALOR],tabela_registros[MÊS],$AE$1,tabela_registros[DIA],investirrendavariávelconsolidadonov[[#Headers],[26]],tabela_registros[REGISTRO],DADOS!$N$5,tabela_registros[TIPO],DADOS!$AB$4,tabela_registros[CATEGORIA],investirrendavariávelconsolidadonov[[#This Row],[ATUAL]])</f>
        <v>0</v>
      </c>
      <c r="AE141" s="119" t="n">
        <f aca="false">SUMIFS(tabela_registros[VALOR],tabela_registros[MÊS],$AE$1,tabela_registros[DIA],investirrendavariávelconsolidadonov[[#Headers],[27]],tabela_registros[REGISTRO],DADOS!$N$5,tabela_registros[TIPO],DADOS!$AB$4,tabela_registros[CATEGORIA],investirrendavariávelconsolidadonov[[#This Row],[ATUAL]])</f>
        <v>0</v>
      </c>
      <c r="AF141" s="119" t="n">
        <f aca="false">SUMIFS(tabela_registros[VALOR],tabela_registros[MÊS],$AE$1,tabela_registros[DIA],investirrendavariávelconsolidadonov[[#Headers],[28]],tabela_registros[REGISTRO],DADOS!$N$5,tabela_registros[TIPO],DADOS!$AB$4,tabela_registros[CATEGORIA],investirrendavariávelconsolidadonov[[#This Row],[ATUAL]])</f>
        <v>0</v>
      </c>
      <c r="AG141" s="119" t="n">
        <f aca="false">SUMIFS(tabela_registros[VALOR],tabela_registros[MÊS],$AE$1,tabela_registros[DIA],investirrendavariávelconsolidadonov[[#Headers],[29]],tabela_registros[REGISTRO],DADOS!$N$5,tabela_registros[TIPO],DADOS!$AB$4,tabela_registros[CATEGORIA],investirrendavariávelconsolidadonov[[#This Row],[ATUAL]])</f>
        <v>0</v>
      </c>
      <c r="AH141" s="151" t="n">
        <f aca="false">SUMIFS(tabela_registros[VALOR],tabela_registros[MÊS],$AE$1,tabela_registros[DIA],investirrendavariávelconsolidadonov[[#Headers],[30]],tabela_registros[REGISTRO],DADOS!$N$5,tabela_registros[TIPO],DADOS!$AB$4,tabela_registros[CATEGORIA],investirrendavariávelconsolidadonov[[#This Row],[ATUAL]])</f>
        <v>0</v>
      </c>
      <c r="AI141" s="218" t="n">
        <f aca="false">SUMIFS(tabela_registros[VALOR],tabela_registros[MÊS],$AE$1,tabela_registros[DIA],investirrendavariávelconsolidadonov[[#Headers],[31]],tabela_registros[REGISTRO],DADOS!$N$5,tabela_registros[TIPO],DADOS!$AB$4,tabela_registros[CATEGORIA],investirrendavariávelconsolidadonov[[#This Row],[ATUAL]])</f>
        <v>0</v>
      </c>
      <c r="AJ141" s="219" t="n">
        <f aca="false">SUM(investirrendavariávelconsolidadonov[[#This Row],[1]:[31]])</f>
        <v>0</v>
      </c>
      <c r="AK141" s="165"/>
    </row>
    <row r="142" s="122" customFormat="true" ht="21" hidden="false" customHeight="true" outlineLevel="0" collapsed="false">
      <c r="B142" s="152"/>
      <c r="C142" s="153" t="s">
        <v>2</v>
      </c>
      <c r="D142" s="166"/>
      <c r="E142" s="155" t="n">
        <f aca="false">SUM(E132:E141)</f>
        <v>0</v>
      </c>
      <c r="F142" s="156" t="n">
        <f aca="false">SUM(F132:F141)+investirrendavariávelconsolidadonov[[#This Row],[1]]</f>
        <v>0</v>
      </c>
      <c r="G142" s="156" t="n">
        <f aca="false">SUM(G132:G141)+investirrendavariávelconsolidadonov[[#This Row],[2]]</f>
        <v>0</v>
      </c>
      <c r="H142" s="156" t="n">
        <f aca="false">SUM(H132:H141)+investirrendavariávelconsolidadonov[[#This Row],[3]]</f>
        <v>0</v>
      </c>
      <c r="I142" s="156" t="n">
        <f aca="false">SUM(I132:I141)+investirrendavariávelconsolidadonov[[#This Row],[4]]</f>
        <v>0</v>
      </c>
      <c r="J142" s="156" t="n">
        <f aca="false">SUM(J132:J141)+investirrendavariávelconsolidadonov[[#This Row],[5]]</f>
        <v>0</v>
      </c>
      <c r="K142" s="156" t="n">
        <f aca="false">SUM(K132:K141)+investirrendavariávelconsolidadonov[[#This Row],[6]]</f>
        <v>0</v>
      </c>
      <c r="L142" s="156" t="n">
        <f aca="false">SUM(L132:L141)+investirrendavariávelconsolidadonov[[#This Row],[7]]</f>
        <v>0</v>
      </c>
      <c r="M142" s="156" t="n">
        <f aca="false">SUM(M132:M141)+investirrendavariávelconsolidadonov[[#This Row],[8]]</f>
        <v>0</v>
      </c>
      <c r="N142" s="156" t="n">
        <f aca="false">SUM(N132:N141)+investirrendavariávelconsolidadonov[[#This Row],[9]]</f>
        <v>0</v>
      </c>
      <c r="O142" s="156" t="n">
        <f aca="false">SUM(O132:O141)+investirrendavariávelconsolidadonov[[#This Row],[10]]</f>
        <v>0</v>
      </c>
      <c r="P142" s="156" t="n">
        <f aca="false">SUM(P132:P141)+investirrendavariávelconsolidadonov[[#This Row],[11]]</f>
        <v>0</v>
      </c>
      <c r="Q142" s="156" t="n">
        <f aca="false">SUM(Q132:Q141)+investirrendavariávelconsolidadonov[[#This Row],[12]]</f>
        <v>0</v>
      </c>
      <c r="R142" s="156" t="n">
        <f aca="false">SUM(R132:R141)+investirrendavariávelconsolidadonov[[#This Row],[13]]</f>
        <v>0</v>
      </c>
      <c r="S142" s="156" t="n">
        <f aca="false">SUM(S132:S141)+investirrendavariávelconsolidadonov[[#This Row],[14]]</f>
        <v>0</v>
      </c>
      <c r="T142" s="156" t="n">
        <f aca="false">SUM(T132:T141)+investirrendavariávelconsolidadonov[[#This Row],[15]]</f>
        <v>0</v>
      </c>
      <c r="U142" s="156" t="n">
        <f aca="false">SUM(U132:U141)+investirrendavariávelconsolidadonov[[#This Row],[16]]</f>
        <v>0</v>
      </c>
      <c r="V142" s="156" t="n">
        <f aca="false">SUM(V132:V141)+investirrendavariávelconsolidadonov[[#This Row],[17]]</f>
        <v>0</v>
      </c>
      <c r="W142" s="156" t="n">
        <f aca="false">SUM(W132:W141)+investirrendavariávelconsolidadonov[[#This Row],[18]]</f>
        <v>0</v>
      </c>
      <c r="X142" s="156" t="n">
        <f aca="false">SUM(X132:X141)+investirrendavariávelconsolidadonov[[#This Row],[19]]</f>
        <v>0</v>
      </c>
      <c r="Y142" s="156" t="n">
        <f aca="false">SUM(Y132:Y141)+investirrendavariávelconsolidadonov[[#This Row],[20]]</f>
        <v>0</v>
      </c>
      <c r="Z142" s="156" t="n">
        <f aca="false">SUM(Z132:Z141)+investirrendavariávelconsolidadonov[[#This Row],[21]]</f>
        <v>0</v>
      </c>
      <c r="AA142" s="156" t="n">
        <f aca="false">SUM(AA132:AA141)+investirrendavariávelconsolidadonov[[#This Row],[22]]</f>
        <v>0</v>
      </c>
      <c r="AB142" s="156" t="n">
        <f aca="false">SUM(AB132:AB141)+investirrendavariávelconsolidadonov[[#This Row],[23]]</f>
        <v>0</v>
      </c>
      <c r="AC142" s="156" t="n">
        <f aca="false">SUM(AC132:AC141)+investirrendavariávelconsolidadonov[[#This Row],[24]]</f>
        <v>0</v>
      </c>
      <c r="AD142" s="156" t="n">
        <f aca="false">SUM(AD132:AD141)+investirrendavariávelconsolidadonov[[#This Row],[25]]</f>
        <v>0</v>
      </c>
      <c r="AE142" s="156" t="n">
        <f aca="false">SUM(AE132:AE141)+investirrendavariávelconsolidadonov[[#This Row],[26]]</f>
        <v>0</v>
      </c>
      <c r="AF142" s="156" t="n">
        <f aca="false">SUM(AF132:AF141)+investirrendavariávelconsolidadonov[[#This Row],[27]]</f>
        <v>0</v>
      </c>
      <c r="AG142" s="156" t="n">
        <f aca="false">SUM(AG132:AG141)+investirrendavariávelconsolidadonov[[#This Row],[28]]</f>
        <v>0</v>
      </c>
      <c r="AH142" s="156" t="n">
        <f aca="false">SUM(AH132:AH141)+investirrendavariávelconsolidadonov[[#This Row],[29]]</f>
        <v>0</v>
      </c>
      <c r="AI142" s="223" t="n">
        <f aca="false">SUM(AI132:AI141)+investirrendavariávelconsolidadonov[[#This Row],[30]]</f>
        <v>0</v>
      </c>
      <c r="AJ142" s="157" t="n">
        <f aca="false">investirrendavariávelconsolidadonov[[#This Row],[31]]</f>
        <v>0</v>
      </c>
      <c r="AK142" s="158"/>
    </row>
    <row r="143" customFormat="false" ht="6.75" hidden="false" customHeight="true" outlineLevel="0" collapsed="false">
      <c r="B143" s="97"/>
      <c r="C143" s="162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233"/>
      <c r="AJ143" s="164"/>
      <c r="AK143" s="244"/>
    </row>
    <row r="144" s="78" customFormat="true" ht="12.75" hidden="false" customHeight="false" outlineLevel="0" collapsed="false">
      <c r="E144" s="100"/>
    </row>
    <row r="145" s="78" customFormat="true" ht="12" hidden="false" customHeight="false" outlineLevel="0" collapsed="false"/>
    <row r="146" s="78" customFormat="true" ht="12" hidden="false" customHeight="false" outlineLevel="0" collapsed="false"/>
    <row r="147" customFormat="false" ht="39.75" hidden="false" customHeight="true" outlineLevel="0" collapsed="false">
      <c r="C147" s="101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3" t="s">
        <v>2</v>
      </c>
    </row>
    <row r="148" s="78" customFormat="true" ht="12.75" hidden="false" customHeight="false" outlineLevel="0" collapsed="false">
      <c r="B148" s="161"/>
      <c r="AJ148" s="106" t="s">
        <v>64</v>
      </c>
    </row>
    <row r="149" customFormat="false" ht="6.75" hidden="false" customHeight="true" outlineLevel="0" collapsed="false">
      <c r="B149" s="86"/>
      <c r="C149" s="162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233"/>
      <c r="AK149" s="139"/>
    </row>
    <row r="150" customFormat="false" ht="13.5" hidden="true" customHeight="false" outlineLevel="0" collapsed="false">
      <c r="B150" s="86"/>
      <c r="C150" s="109" t="s">
        <v>68</v>
      </c>
      <c r="D150" s="110" t="s">
        <v>69</v>
      </c>
      <c r="E150" s="110" t="s">
        <v>30</v>
      </c>
      <c r="F150" s="110" t="s">
        <v>31</v>
      </c>
      <c r="G150" s="110" t="s">
        <v>32</v>
      </c>
      <c r="H150" s="110" t="s">
        <v>33</v>
      </c>
      <c r="I150" s="110" t="s">
        <v>34</v>
      </c>
      <c r="J150" s="110" t="s">
        <v>35</v>
      </c>
      <c r="K150" s="110" t="s">
        <v>36</v>
      </c>
      <c r="L150" s="110" t="s">
        <v>37</v>
      </c>
      <c r="M150" s="110" t="s">
        <v>38</v>
      </c>
      <c r="N150" s="110" t="s">
        <v>39</v>
      </c>
      <c r="O150" s="110" t="s">
        <v>40</v>
      </c>
      <c r="P150" s="110" t="s">
        <v>41</v>
      </c>
      <c r="Q150" s="110" t="s">
        <v>81</v>
      </c>
      <c r="R150" s="110" t="s">
        <v>82</v>
      </c>
      <c r="S150" s="110" t="s">
        <v>83</v>
      </c>
      <c r="T150" s="110" t="s">
        <v>84</v>
      </c>
      <c r="U150" s="110" t="s">
        <v>85</v>
      </c>
      <c r="V150" s="110" t="s">
        <v>86</v>
      </c>
      <c r="W150" s="110" t="s">
        <v>87</v>
      </c>
      <c r="X150" s="110" t="s">
        <v>88</v>
      </c>
      <c r="Y150" s="110" t="s">
        <v>89</v>
      </c>
      <c r="Z150" s="110" t="s">
        <v>90</v>
      </c>
      <c r="AA150" s="110" t="s">
        <v>91</v>
      </c>
      <c r="AB150" s="110" t="s">
        <v>92</v>
      </c>
      <c r="AC150" s="110" t="s">
        <v>93</v>
      </c>
      <c r="AD150" s="110" t="s">
        <v>94</v>
      </c>
      <c r="AE150" s="110" t="s">
        <v>95</v>
      </c>
      <c r="AF150" s="110" t="s">
        <v>96</v>
      </c>
      <c r="AG150" s="110" t="s">
        <v>97</v>
      </c>
      <c r="AH150" s="110" t="s">
        <v>98</v>
      </c>
      <c r="AI150" s="110" t="s">
        <v>99</v>
      </c>
      <c r="AJ150" s="111" t="s">
        <v>70</v>
      </c>
      <c r="AK150" s="86"/>
    </row>
    <row r="151" customFormat="false" ht="19.5" hidden="false" customHeight="true" outlineLevel="0" collapsed="false">
      <c r="B151" s="143"/>
      <c r="C151" s="144" t="str">
        <f aca="false">DADOS!$AH$3</f>
        <v>📝 COE</v>
      </c>
      <c r="D151" s="145" t="str">
        <f aca="false">IF(investiroutrosconsolidadonov[[#This Row],[TOTAL (R$)]]=0,"",IF(OR(investiroutrosconsolidadonov[[#This Row],[TOTAL (R$)]]=LARGE($AJ$151:$AJ$158,1),investiroutrosconsolidadonov[[#This Row],[TOTAL (R$)]]=LARGE($AJ$151:$AJ$158,2)),DADOS!$I$10,""))</f>
        <v/>
      </c>
      <c r="E151" s="148" t="n">
        <f aca="false">SUMIFS(tabela_registros[VALOR],tabela_registros[MÊS],$AE$1,tabela_registros[DIA],investiroutrosconsolidadonov[[#Headers],[1]],tabela_registros[REGISTRO],DADOS!$N$5,tabela_registros[TIPO],DADOS!$AB$5,tabela_registros[CATEGORIA],investiroutrosconsolidadonov[[#This Row],[ATUAL]])</f>
        <v>0</v>
      </c>
      <c r="F151" s="119" t="n">
        <f aca="false">SUMIFS(tabela_registros[VALOR],tabela_registros[MÊS],$AE$1,tabela_registros[DIA],investiroutrosconsolidadonov[[#Headers],[2]],tabela_registros[REGISTRO],DADOS!$N$5,tabela_registros[TIPO],DADOS!$AB$5,tabela_registros[CATEGORIA],investiroutrosconsolidadonov[[#This Row],[ATUAL]])</f>
        <v>0</v>
      </c>
      <c r="G151" s="119" t="n">
        <f aca="false">SUMIFS(tabela_registros[VALOR],tabela_registros[MÊS],$AE$1,tabela_registros[DIA],investiroutrosconsolidadonov[[#Headers],[3]],tabela_registros[REGISTRO],DADOS!$N$5,tabela_registros[TIPO],DADOS!$AB$5,tabela_registros[CATEGORIA],investiroutrosconsolidadonov[[#This Row],[ATUAL]])</f>
        <v>0</v>
      </c>
      <c r="H151" s="119" t="n">
        <f aca="false">SUMIFS(tabela_registros[VALOR],tabela_registros[MÊS],$AE$1,tabela_registros[DIA],investiroutrosconsolidadonov[[#Headers],[4]],tabela_registros[REGISTRO],DADOS!$N$5,tabela_registros[TIPO],DADOS!$AB$5,tabela_registros[CATEGORIA],investiroutrosconsolidadonov[[#This Row],[ATUAL]])</f>
        <v>0</v>
      </c>
      <c r="I151" s="119" t="n">
        <f aca="false">SUMIFS(tabela_registros[VALOR],tabela_registros[MÊS],$AE$1,tabela_registros[DIA],investiroutrosconsolidadonov[[#Headers],[5]],tabela_registros[REGISTRO],DADOS!$N$5,tabela_registros[TIPO],DADOS!$AB$5,tabela_registros[CATEGORIA],investiroutrosconsolidadonov[[#This Row],[ATUAL]])</f>
        <v>0</v>
      </c>
      <c r="J151" s="119" t="n">
        <f aca="false">SUMIFS(tabela_registros[VALOR],tabela_registros[MÊS],$AE$1,tabela_registros[DIA],investiroutrosconsolidadonov[[#Headers],[6]],tabela_registros[REGISTRO],DADOS!$N$5,tabela_registros[TIPO],DADOS!$AB$5,tabela_registros[CATEGORIA],investiroutrosconsolidadonov[[#This Row],[ATUAL]])</f>
        <v>0</v>
      </c>
      <c r="K151" s="119" t="n">
        <f aca="false">SUMIFS(tabela_registros[VALOR],tabela_registros[MÊS],$AE$1,tabela_registros[DIA],investiroutrosconsolidadonov[[#Headers],[7]],tabela_registros[REGISTRO],DADOS!$N$5,tabela_registros[TIPO],DADOS!$AB$5,tabela_registros[CATEGORIA],investiroutrosconsolidadonov[[#This Row],[ATUAL]])</f>
        <v>0</v>
      </c>
      <c r="L151" s="119" t="n">
        <f aca="false">SUMIFS(tabela_registros[VALOR],tabela_registros[MÊS],$AE$1,tabela_registros[DIA],investiroutrosconsolidadonov[[#Headers],[8]],tabela_registros[REGISTRO],DADOS!$N$5,tabela_registros[TIPO],DADOS!$AB$5,tabela_registros[CATEGORIA],investiroutrosconsolidadonov[[#This Row],[ATUAL]])</f>
        <v>0</v>
      </c>
      <c r="M151" s="119" t="n">
        <f aca="false">SUMIFS(tabela_registros[VALOR],tabela_registros[MÊS],$AE$1,tabela_registros[DIA],investiroutrosconsolidadonov[[#Headers],[9]],tabela_registros[REGISTRO],DADOS!$N$5,tabela_registros[TIPO],DADOS!$AB$5,tabela_registros[CATEGORIA],investiroutrosconsolidadonov[[#This Row],[ATUAL]])</f>
        <v>0</v>
      </c>
      <c r="N151" s="119" t="n">
        <f aca="false">SUMIFS(tabela_registros[VALOR],tabela_registros[MÊS],$AE$1,tabela_registros[DIA],investiroutrosconsolidadonov[[#Headers],[10]],tabela_registros[REGISTRO],DADOS!$N$5,tabela_registros[TIPO],DADOS!$AB$5,tabela_registros[CATEGORIA],investiroutrosconsolidadonov[[#This Row],[ATUAL]])</f>
        <v>0</v>
      </c>
      <c r="O151" s="119" t="n">
        <f aca="false">SUMIFS(tabela_registros[VALOR],tabela_registros[MÊS],$AE$1,tabela_registros[DIA],investiroutrosconsolidadonov[[#Headers],[11]],tabela_registros[REGISTRO],DADOS!$N$5,tabela_registros[TIPO],DADOS!$AB$5,tabela_registros[CATEGORIA],investiroutrosconsolidadonov[[#This Row],[ATUAL]])</f>
        <v>0</v>
      </c>
      <c r="P151" s="119" t="n">
        <f aca="false">SUMIFS(tabela_registros[VALOR],tabela_registros[MÊS],$AE$1,tabela_registros[DIA],investiroutrosconsolidadonov[[#Headers],[12]],tabela_registros[REGISTRO],DADOS!$N$5,tabela_registros[TIPO],DADOS!$AB$5,tabela_registros[CATEGORIA],investiroutrosconsolidadonov[[#This Row],[ATUAL]])</f>
        <v>0</v>
      </c>
      <c r="Q151" s="119" t="n">
        <f aca="false">SUMIFS(tabela_registros[VALOR],tabela_registros[MÊS],$AE$1,tabela_registros[DIA],investiroutrosconsolidadonov[[#Headers],[13]],tabela_registros[REGISTRO],DADOS!$N$5,tabela_registros[TIPO],DADOS!$AB$5,tabela_registros[CATEGORIA],investiroutrosconsolidadonov[[#This Row],[ATUAL]])</f>
        <v>0</v>
      </c>
      <c r="R151" s="119" t="n">
        <f aca="false">SUMIFS(tabela_registros[VALOR],tabela_registros[MÊS],$AE$1,tabela_registros[DIA],investiroutrosconsolidadonov[[#Headers],[14]],tabela_registros[REGISTRO],DADOS!$N$5,tabela_registros[TIPO],DADOS!$AB$5,tabela_registros[CATEGORIA],investiroutrosconsolidadonov[[#This Row],[ATUAL]])</f>
        <v>0</v>
      </c>
      <c r="S151" s="119" t="n">
        <f aca="false">SUMIFS(tabela_registros[VALOR],tabela_registros[MÊS],$AE$1,tabela_registros[DIA],investiroutrosconsolidadonov[[#Headers],[15]],tabela_registros[REGISTRO],DADOS!$N$5,tabela_registros[TIPO],DADOS!$AB$5,tabela_registros[CATEGORIA],investiroutrosconsolidadonov[[#This Row],[ATUAL]])</f>
        <v>0</v>
      </c>
      <c r="T151" s="119" t="n">
        <f aca="false">SUMIFS(tabela_registros[VALOR],tabela_registros[MÊS],$AE$1,tabela_registros[DIA],investiroutrosconsolidadonov[[#Headers],[16]],tabela_registros[REGISTRO],DADOS!$N$5,tabela_registros[TIPO],DADOS!$AB$5,tabela_registros[CATEGORIA],investiroutrosconsolidadonov[[#This Row],[ATUAL]])</f>
        <v>0</v>
      </c>
      <c r="U151" s="119" t="n">
        <f aca="false">SUMIFS(tabela_registros[VALOR],tabela_registros[MÊS],$AE$1,tabela_registros[DIA],investiroutrosconsolidadonov[[#Headers],[17]],tabela_registros[REGISTRO],DADOS!$N$5,tabela_registros[TIPO],DADOS!$AB$5,tabela_registros[CATEGORIA],investiroutrosconsolidadonov[[#This Row],[ATUAL]])</f>
        <v>0</v>
      </c>
      <c r="V151" s="119" t="n">
        <f aca="false">SUMIFS(tabela_registros[VALOR],tabela_registros[MÊS],$AE$1,tabela_registros[DIA],investiroutrosconsolidadonov[[#Headers],[18]],tabela_registros[REGISTRO],DADOS!$N$5,tabela_registros[TIPO],DADOS!$AB$5,tabela_registros[CATEGORIA],investiroutrosconsolidadonov[[#This Row],[ATUAL]])</f>
        <v>0</v>
      </c>
      <c r="W151" s="119" t="n">
        <f aca="false">SUMIFS(tabela_registros[VALOR],tabela_registros[MÊS],$AE$1,tabela_registros[DIA],investiroutrosconsolidadonov[[#Headers],[19]],tabela_registros[REGISTRO],DADOS!$N$5,tabela_registros[TIPO],DADOS!$AB$5,tabela_registros[CATEGORIA],investiroutrosconsolidadonov[[#This Row],[ATUAL]])</f>
        <v>0</v>
      </c>
      <c r="X151" s="119" t="n">
        <f aca="false">SUMIFS(tabela_registros[VALOR],tabela_registros[MÊS],$AE$1,tabela_registros[DIA],investiroutrosconsolidadonov[[#Headers],[20]],tabela_registros[REGISTRO],DADOS!$N$5,tabela_registros[TIPO],DADOS!$AB$5,tabela_registros[CATEGORIA],investiroutrosconsolidadonov[[#This Row],[ATUAL]])</f>
        <v>0</v>
      </c>
      <c r="Y151" s="119" t="n">
        <f aca="false">SUMIFS(tabela_registros[VALOR],tabela_registros[MÊS],$AE$1,tabela_registros[DIA],investiroutrosconsolidadonov[[#Headers],[21]],tabela_registros[REGISTRO],DADOS!$N$5,tabela_registros[TIPO],DADOS!$AB$5,tabela_registros[CATEGORIA],investiroutrosconsolidadonov[[#This Row],[ATUAL]])</f>
        <v>0</v>
      </c>
      <c r="Z151" s="119" t="n">
        <f aca="false">SUMIFS(tabela_registros[VALOR],tabela_registros[MÊS],$AE$1,tabela_registros[DIA],investiroutrosconsolidadonov[[#Headers],[22]],tabela_registros[REGISTRO],DADOS!$N$5,tabela_registros[TIPO],DADOS!$AB$5,tabela_registros[CATEGORIA],investiroutrosconsolidadonov[[#This Row],[ATUAL]])</f>
        <v>0</v>
      </c>
      <c r="AA151" s="119" t="n">
        <f aca="false">SUMIFS(tabela_registros[VALOR],tabela_registros[MÊS],$AE$1,tabela_registros[DIA],investiroutrosconsolidadonov[[#Headers],[23]],tabela_registros[REGISTRO],DADOS!$N$5,tabela_registros[TIPO],DADOS!$AB$5,tabela_registros[CATEGORIA],investiroutrosconsolidadonov[[#This Row],[ATUAL]])</f>
        <v>0</v>
      </c>
      <c r="AB151" s="119" t="n">
        <f aca="false">SUMIFS(tabela_registros[VALOR],tabela_registros[MÊS],$AE$1,tabela_registros[DIA],investiroutrosconsolidadonov[[#Headers],[24]],tabela_registros[REGISTRO],DADOS!$N$5,tabela_registros[TIPO],DADOS!$AB$5,tabela_registros[CATEGORIA],investiroutrosconsolidadonov[[#This Row],[ATUAL]])</f>
        <v>0</v>
      </c>
      <c r="AC151" s="119" t="n">
        <f aca="false">SUMIFS(tabela_registros[VALOR],tabela_registros[MÊS],$AE$1,tabela_registros[DIA],investiroutrosconsolidadonov[[#Headers],[25]],tabela_registros[REGISTRO],DADOS!$N$5,tabela_registros[TIPO],DADOS!$AB$5,tabela_registros[CATEGORIA],investiroutrosconsolidadonov[[#This Row],[ATUAL]])</f>
        <v>0</v>
      </c>
      <c r="AD151" s="119" t="n">
        <f aca="false">SUMIFS(tabela_registros[VALOR],tabela_registros[MÊS],$AE$1,tabela_registros[DIA],investiroutrosconsolidadonov[[#Headers],[26]],tabela_registros[REGISTRO],DADOS!$N$5,tabela_registros[TIPO],DADOS!$AB$5,tabela_registros[CATEGORIA],investiroutrosconsolidadonov[[#This Row],[ATUAL]])</f>
        <v>0</v>
      </c>
      <c r="AE151" s="119" t="n">
        <f aca="false">SUMIFS(tabela_registros[VALOR],tabela_registros[MÊS],$AE$1,tabela_registros[DIA],investiroutrosconsolidadonov[[#Headers],[27]],tabela_registros[REGISTRO],DADOS!$N$5,tabela_registros[TIPO],DADOS!$AB$5,tabela_registros[CATEGORIA],investiroutrosconsolidadonov[[#This Row],[ATUAL]])</f>
        <v>0</v>
      </c>
      <c r="AF151" s="119" t="n">
        <f aca="false">SUMIFS(tabela_registros[VALOR],tabela_registros[MÊS],$AE$1,tabela_registros[DIA],investiroutrosconsolidadonov[[#Headers],[28]],tabela_registros[REGISTRO],DADOS!$N$5,tabela_registros[TIPO],DADOS!$AB$5,tabela_registros[CATEGORIA],investiroutrosconsolidadonov[[#This Row],[ATUAL]])</f>
        <v>0</v>
      </c>
      <c r="AG151" s="119" t="n">
        <f aca="false">SUMIFS(tabela_registros[VALOR],tabela_registros[MÊS],$AE$1,tabela_registros[DIA],investiroutrosconsolidadonov[[#Headers],[29]],tabela_registros[REGISTRO],DADOS!$N$5,tabela_registros[TIPO],DADOS!$AB$5,tabela_registros[CATEGORIA],investiroutrosconsolidadonov[[#This Row],[ATUAL]])</f>
        <v>0</v>
      </c>
      <c r="AH151" s="119" t="n">
        <f aca="false">SUMIFS(tabela_registros[VALOR],tabela_registros[MÊS],$AE$1,tabela_registros[DIA],investiroutrosconsolidadonov[[#Headers],[30]],tabela_registros[REGISTRO],DADOS!$N$5,tabela_registros[TIPO],DADOS!$AB$5,tabela_registros[CATEGORIA],investiroutrosconsolidadonov[[#This Row],[ATUAL]])</f>
        <v>0</v>
      </c>
      <c r="AI151" s="217" t="n">
        <f aca="false">SUMIFS(tabela_registros[VALOR],tabela_registros[MÊS],$AE$1,tabela_registros[DIA],investiroutrosconsolidadonov[[#Headers],[31]],tabela_registros[REGISTRO],DADOS!$N$5,tabela_registros[TIPO],DADOS!$AB$5,tabela_registros[CATEGORIA],investiroutrosconsolidadonov[[#This Row],[ATUAL]])</f>
        <v>0</v>
      </c>
      <c r="AJ151" s="149" t="n">
        <f aca="false">SUM(investiroutrosconsolidadonov[[#This Row],[1]:[31]])</f>
        <v>0</v>
      </c>
      <c r="AK151" s="165"/>
    </row>
    <row r="152" customFormat="false" ht="19.5" hidden="false" customHeight="true" outlineLevel="0" collapsed="false">
      <c r="B152" s="143"/>
      <c r="C152" s="144" t="str">
        <f aca="false">DADOS!$AH$4</f>
        <v>📝 FOREX</v>
      </c>
      <c r="D152" s="145" t="str">
        <f aca="false">IF(investiroutrosconsolidadonov[[#This Row],[TOTAL (R$)]]=0,"",IF(OR(investiroutrosconsolidadonov[[#This Row],[TOTAL (R$)]]=LARGE($AJ$151:$AJ$158,1),investiroutrosconsolidadonov[[#This Row],[TOTAL (R$)]]=LARGE($AJ$151:$AJ$158,2)),DADOS!$I$10,""))</f>
        <v/>
      </c>
      <c r="E152" s="148" t="n">
        <f aca="false">SUMIFS(tabela_registros[VALOR],tabela_registros[MÊS],$AE$1,tabela_registros[DIA],investiroutrosconsolidadonov[[#Headers],[1]],tabela_registros[REGISTRO],DADOS!$N$5,tabela_registros[TIPO],DADOS!$AB$5,tabela_registros[CATEGORIA],investiroutrosconsolidadonov[[#This Row],[ATUAL]])</f>
        <v>0</v>
      </c>
      <c r="F152" s="119" t="n">
        <f aca="false">SUMIFS(tabela_registros[VALOR],tabela_registros[MÊS],$AE$1,tabela_registros[DIA],investiroutrosconsolidadonov[[#Headers],[2]],tabela_registros[REGISTRO],DADOS!$N$5,tabela_registros[TIPO],DADOS!$AB$5,tabela_registros[CATEGORIA],investiroutrosconsolidadonov[[#This Row],[ATUAL]])</f>
        <v>0</v>
      </c>
      <c r="G152" s="119" t="n">
        <f aca="false">SUMIFS(tabela_registros[VALOR],tabela_registros[MÊS],$AE$1,tabela_registros[DIA],investiroutrosconsolidadonov[[#Headers],[3]],tabela_registros[REGISTRO],DADOS!$N$5,tabela_registros[TIPO],DADOS!$AB$5,tabela_registros[CATEGORIA],investiroutrosconsolidadonov[[#This Row],[ATUAL]])</f>
        <v>0</v>
      </c>
      <c r="H152" s="119" t="n">
        <f aca="false">SUMIFS(tabela_registros[VALOR],tabela_registros[MÊS],$AE$1,tabela_registros[DIA],investiroutrosconsolidadonov[[#Headers],[4]],tabela_registros[REGISTRO],DADOS!$N$5,tabela_registros[TIPO],DADOS!$AB$5,tabela_registros[CATEGORIA],investiroutrosconsolidadonov[[#This Row],[ATUAL]])</f>
        <v>0</v>
      </c>
      <c r="I152" s="119" t="n">
        <f aca="false">SUMIFS(tabela_registros[VALOR],tabela_registros[MÊS],$AE$1,tabela_registros[DIA],investiroutrosconsolidadonov[[#Headers],[5]],tabela_registros[REGISTRO],DADOS!$N$5,tabela_registros[TIPO],DADOS!$AB$5,tabela_registros[CATEGORIA],investiroutrosconsolidadonov[[#This Row],[ATUAL]])</f>
        <v>0</v>
      </c>
      <c r="J152" s="119" t="n">
        <f aca="false">SUMIFS(tabela_registros[VALOR],tabela_registros[MÊS],$AE$1,tabela_registros[DIA],investiroutrosconsolidadonov[[#Headers],[6]],tabela_registros[REGISTRO],DADOS!$N$5,tabela_registros[TIPO],DADOS!$AB$5,tabela_registros[CATEGORIA],investiroutrosconsolidadonov[[#This Row],[ATUAL]])</f>
        <v>0</v>
      </c>
      <c r="K152" s="119" t="n">
        <f aca="false">SUMIFS(tabela_registros[VALOR],tabela_registros[MÊS],$AE$1,tabela_registros[DIA],investiroutrosconsolidadonov[[#Headers],[7]],tabela_registros[REGISTRO],DADOS!$N$5,tabela_registros[TIPO],DADOS!$AB$5,tabela_registros[CATEGORIA],investiroutrosconsolidadonov[[#This Row],[ATUAL]])</f>
        <v>0</v>
      </c>
      <c r="L152" s="119" t="n">
        <f aca="false">SUMIFS(tabela_registros[VALOR],tabela_registros[MÊS],$AE$1,tabela_registros[DIA],investiroutrosconsolidadonov[[#Headers],[8]],tabela_registros[REGISTRO],DADOS!$N$5,tabela_registros[TIPO],DADOS!$AB$5,tabela_registros[CATEGORIA],investiroutrosconsolidadonov[[#This Row],[ATUAL]])</f>
        <v>0</v>
      </c>
      <c r="M152" s="119" t="n">
        <f aca="false">SUMIFS(tabela_registros[VALOR],tabela_registros[MÊS],$AE$1,tabela_registros[DIA],investiroutrosconsolidadonov[[#Headers],[9]],tabela_registros[REGISTRO],DADOS!$N$5,tabela_registros[TIPO],DADOS!$AB$5,tabela_registros[CATEGORIA],investiroutrosconsolidadonov[[#This Row],[ATUAL]])</f>
        <v>0</v>
      </c>
      <c r="N152" s="119" t="n">
        <f aca="false">SUMIFS(tabela_registros[VALOR],tabela_registros[MÊS],$AE$1,tabela_registros[DIA],investiroutrosconsolidadonov[[#Headers],[10]],tabela_registros[REGISTRO],DADOS!$N$5,tabela_registros[TIPO],DADOS!$AB$5,tabela_registros[CATEGORIA],investiroutrosconsolidadonov[[#This Row],[ATUAL]])</f>
        <v>0</v>
      </c>
      <c r="O152" s="119" t="n">
        <f aca="false">SUMIFS(tabela_registros[VALOR],tabela_registros[MÊS],$AE$1,tabela_registros[DIA],investiroutrosconsolidadonov[[#Headers],[11]],tabela_registros[REGISTRO],DADOS!$N$5,tabela_registros[TIPO],DADOS!$AB$5,tabela_registros[CATEGORIA],investiroutrosconsolidadonov[[#This Row],[ATUAL]])</f>
        <v>0</v>
      </c>
      <c r="P152" s="119" t="n">
        <f aca="false">SUMIFS(tabela_registros[VALOR],tabela_registros[MÊS],$AE$1,tabela_registros[DIA],investiroutrosconsolidadonov[[#Headers],[12]],tabela_registros[REGISTRO],DADOS!$N$5,tabela_registros[TIPO],DADOS!$AB$5,tabela_registros[CATEGORIA],investiroutrosconsolidadonov[[#This Row],[ATUAL]])</f>
        <v>0</v>
      </c>
      <c r="Q152" s="119" t="n">
        <f aca="false">SUMIFS(tabela_registros[VALOR],tabela_registros[MÊS],$AE$1,tabela_registros[DIA],investiroutrosconsolidadonov[[#Headers],[13]],tabela_registros[REGISTRO],DADOS!$N$5,tabela_registros[TIPO],DADOS!$AB$5,tabela_registros[CATEGORIA],investiroutrosconsolidadonov[[#This Row],[ATUAL]])</f>
        <v>0</v>
      </c>
      <c r="R152" s="119" t="n">
        <f aca="false">SUMIFS(tabela_registros[VALOR],tabela_registros[MÊS],$AE$1,tabela_registros[DIA],investiroutrosconsolidadonov[[#Headers],[14]],tabela_registros[REGISTRO],DADOS!$N$5,tabela_registros[TIPO],DADOS!$AB$5,tabela_registros[CATEGORIA],investiroutrosconsolidadonov[[#This Row],[ATUAL]])</f>
        <v>0</v>
      </c>
      <c r="S152" s="119" t="n">
        <f aca="false">SUMIFS(tabela_registros[VALOR],tabela_registros[MÊS],$AE$1,tabela_registros[DIA],investiroutrosconsolidadonov[[#Headers],[15]],tabela_registros[REGISTRO],DADOS!$N$5,tabela_registros[TIPO],DADOS!$AB$5,tabela_registros[CATEGORIA],investiroutrosconsolidadonov[[#This Row],[ATUAL]])</f>
        <v>0</v>
      </c>
      <c r="T152" s="119" t="n">
        <f aca="false">SUMIFS(tabela_registros[VALOR],tabela_registros[MÊS],$AE$1,tabela_registros[DIA],investiroutrosconsolidadonov[[#Headers],[16]],tabela_registros[REGISTRO],DADOS!$N$5,tabela_registros[TIPO],DADOS!$AB$5,tabela_registros[CATEGORIA],investiroutrosconsolidadonov[[#This Row],[ATUAL]])</f>
        <v>0</v>
      </c>
      <c r="U152" s="119" t="n">
        <f aca="false">SUMIFS(tabela_registros[VALOR],tabela_registros[MÊS],$AE$1,tabela_registros[DIA],investiroutrosconsolidadonov[[#Headers],[17]],tabela_registros[REGISTRO],DADOS!$N$5,tabela_registros[TIPO],DADOS!$AB$5,tabela_registros[CATEGORIA],investiroutrosconsolidadonov[[#This Row],[ATUAL]])</f>
        <v>0</v>
      </c>
      <c r="V152" s="119" t="n">
        <f aca="false">SUMIFS(tabela_registros[VALOR],tabela_registros[MÊS],$AE$1,tabela_registros[DIA],investiroutrosconsolidadonov[[#Headers],[18]],tabela_registros[REGISTRO],DADOS!$N$5,tabela_registros[TIPO],DADOS!$AB$5,tabela_registros[CATEGORIA],investiroutrosconsolidadonov[[#This Row],[ATUAL]])</f>
        <v>0</v>
      </c>
      <c r="W152" s="119" t="n">
        <f aca="false">SUMIFS(tabela_registros[VALOR],tabela_registros[MÊS],$AE$1,tabela_registros[DIA],investiroutrosconsolidadonov[[#Headers],[19]],tabela_registros[REGISTRO],DADOS!$N$5,tabela_registros[TIPO],DADOS!$AB$5,tabela_registros[CATEGORIA],investiroutrosconsolidadonov[[#This Row],[ATUAL]])</f>
        <v>0</v>
      </c>
      <c r="X152" s="119" t="n">
        <f aca="false">SUMIFS(tabela_registros[VALOR],tabela_registros[MÊS],$AE$1,tabela_registros[DIA],investiroutrosconsolidadonov[[#Headers],[20]],tabela_registros[REGISTRO],DADOS!$N$5,tabela_registros[TIPO],DADOS!$AB$5,tabela_registros[CATEGORIA],investiroutrosconsolidadonov[[#This Row],[ATUAL]])</f>
        <v>0</v>
      </c>
      <c r="Y152" s="119" t="n">
        <f aca="false">SUMIFS(tabela_registros[VALOR],tabela_registros[MÊS],$AE$1,tabela_registros[DIA],investiroutrosconsolidadonov[[#Headers],[21]],tabela_registros[REGISTRO],DADOS!$N$5,tabela_registros[TIPO],DADOS!$AB$5,tabela_registros[CATEGORIA],investiroutrosconsolidadonov[[#This Row],[ATUAL]])</f>
        <v>0</v>
      </c>
      <c r="Z152" s="119" t="n">
        <f aca="false">SUMIFS(tabela_registros[VALOR],tabela_registros[MÊS],$AE$1,tabela_registros[DIA],investiroutrosconsolidadonov[[#Headers],[22]],tabela_registros[REGISTRO],DADOS!$N$5,tabela_registros[TIPO],DADOS!$AB$5,tabela_registros[CATEGORIA],investiroutrosconsolidadonov[[#This Row],[ATUAL]])</f>
        <v>0</v>
      </c>
      <c r="AA152" s="119" t="n">
        <f aca="false">SUMIFS(tabela_registros[VALOR],tabela_registros[MÊS],$AE$1,tabela_registros[DIA],investiroutrosconsolidadonov[[#Headers],[23]],tabela_registros[REGISTRO],DADOS!$N$5,tabela_registros[TIPO],DADOS!$AB$5,tabela_registros[CATEGORIA],investiroutrosconsolidadonov[[#This Row],[ATUAL]])</f>
        <v>0</v>
      </c>
      <c r="AB152" s="119" t="n">
        <f aca="false">SUMIFS(tabela_registros[VALOR],tabela_registros[MÊS],$AE$1,tabela_registros[DIA],investiroutrosconsolidadonov[[#Headers],[24]],tabela_registros[REGISTRO],DADOS!$N$5,tabela_registros[TIPO],DADOS!$AB$5,tabela_registros[CATEGORIA],investiroutrosconsolidadonov[[#This Row],[ATUAL]])</f>
        <v>0</v>
      </c>
      <c r="AC152" s="119" t="n">
        <f aca="false">SUMIFS(tabela_registros[VALOR],tabela_registros[MÊS],$AE$1,tabela_registros[DIA],investiroutrosconsolidadonov[[#Headers],[25]],tabela_registros[REGISTRO],DADOS!$N$5,tabela_registros[TIPO],DADOS!$AB$5,tabela_registros[CATEGORIA],investiroutrosconsolidadonov[[#This Row],[ATUAL]])</f>
        <v>0</v>
      </c>
      <c r="AD152" s="119" t="n">
        <f aca="false">SUMIFS(tabela_registros[VALOR],tabela_registros[MÊS],$AE$1,tabela_registros[DIA],investiroutrosconsolidadonov[[#Headers],[26]],tabela_registros[REGISTRO],DADOS!$N$5,tabela_registros[TIPO],DADOS!$AB$5,tabela_registros[CATEGORIA],investiroutrosconsolidadonov[[#This Row],[ATUAL]])</f>
        <v>0</v>
      </c>
      <c r="AE152" s="119" t="n">
        <f aca="false">SUMIFS(tabela_registros[VALOR],tabela_registros[MÊS],$AE$1,tabela_registros[DIA],investiroutrosconsolidadonov[[#Headers],[27]],tabela_registros[REGISTRO],DADOS!$N$5,tabela_registros[TIPO],DADOS!$AB$5,tabela_registros[CATEGORIA],investiroutrosconsolidadonov[[#This Row],[ATUAL]])</f>
        <v>0</v>
      </c>
      <c r="AF152" s="119" t="n">
        <f aca="false">SUMIFS(tabela_registros[VALOR],tabela_registros[MÊS],$AE$1,tabela_registros[DIA],investiroutrosconsolidadonov[[#Headers],[28]],tabela_registros[REGISTRO],DADOS!$N$5,tabela_registros[TIPO],DADOS!$AB$5,tabela_registros[CATEGORIA],investiroutrosconsolidadonov[[#This Row],[ATUAL]])</f>
        <v>0</v>
      </c>
      <c r="AG152" s="119" t="n">
        <f aca="false">SUMIFS(tabela_registros[VALOR],tabela_registros[MÊS],$AE$1,tabela_registros[DIA],investiroutrosconsolidadonov[[#Headers],[29]],tabela_registros[REGISTRO],DADOS!$N$5,tabela_registros[TIPO],DADOS!$AB$5,tabela_registros[CATEGORIA],investiroutrosconsolidadonov[[#This Row],[ATUAL]])</f>
        <v>0</v>
      </c>
      <c r="AH152" s="119" t="n">
        <f aca="false">SUMIFS(tabela_registros[VALOR],tabela_registros[MÊS],$AE$1,tabela_registros[DIA],investiroutrosconsolidadonov[[#Headers],[30]],tabela_registros[REGISTRO],DADOS!$N$5,tabela_registros[TIPO],DADOS!$AB$5,tabela_registros[CATEGORIA],investiroutrosconsolidadonov[[#This Row],[ATUAL]])</f>
        <v>0</v>
      </c>
      <c r="AI152" s="217" t="n">
        <f aca="false">SUMIFS(tabela_registros[VALOR],tabela_registros[MÊS],$AE$1,tabela_registros[DIA],investiroutrosconsolidadonov[[#Headers],[31]],tabela_registros[REGISTRO],DADOS!$N$5,tabela_registros[TIPO],DADOS!$AB$5,tabela_registros[CATEGORIA],investiroutrosconsolidadonov[[#This Row],[ATUAL]])</f>
        <v>0</v>
      </c>
      <c r="AJ152" s="149" t="n">
        <f aca="false">SUM(investiroutrosconsolidadonov[[#This Row],[1]:[31]])</f>
        <v>0</v>
      </c>
      <c r="AK152" s="165"/>
    </row>
    <row r="153" customFormat="false" ht="19.5" hidden="false" customHeight="true" outlineLevel="0" collapsed="false">
      <c r="B153" s="143"/>
      <c r="C153" s="144" t="str">
        <f aca="false">DADOS!$AH$5</f>
        <v>📝 FUNDO DE INVESTIMENTO</v>
      </c>
      <c r="D153" s="145" t="str">
        <f aca="false">IF(investiroutrosconsolidadonov[[#This Row],[TOTAL (R$)]]=0,"",IF(OR(investiroutrosconsolidadonov[[#This Row],[TOTAL (R$)]]=LARGE($AJ$151:$AJ$158,1),investiroutrosconsolidadonov[[#This Row],[TOTAL (R$)]]=LARGE($AJ$151:$AJ$158,2)),DADOS!$I$10,""))</f>
        <v/>
      </c>
      <c r="E153" s="148" t="n">
        <f aca="false">SUMIFS(tabela_registros[VALOR],tabela_registros[MÊS],$AE$1,tabela_registros[DIA],investiroutrosconsolidadonov[[#Headers],[1]],tabela_registros[REGISTRO],DADOS!$N$5,tabela_registros[TIPO],DADOS!$AB$5,tabela_registros[CATEGORIA],investiroutrosconsolidadonov[[#This Row],[ATUAL]])</f>
        <v>0</v>
      </c>
      <c r="F153" s="119" t="n">
        <f aca="false">SUMIFS(tabela_registros[VALOR],tabela_registros[MÊS],$AE$1,tabela_registros[DIA],investiroutrosconsolidadonov[[#Headers],[2]],tabela_registros[REGISTRO],DADOS!$N$5,tabela_registros[TIPO],DADOS!$AB$5,tabela_registros[CATEGORIA],investiroutrosconsolidadonov[[#This Row],[ATUAL]])</f>
        <v>0</v>
      </c>
      <c r="G153" s="119" t="n">
        <f aca="false">SUMIFS(tabela_registros[VALOR],tabela_registros[MÊS],$AE$1,tabela_registros[DIA],investiroutrosconsolidadonov[[#Headers],[3]],tabela_registros[REGISTRO],DADOS!$N$5,tabela_registros[TIPO],DADOS!$AB$5,tabela_registros[CATEGORIA],investiroutrosconsolidadonov[[#This Row],[ATUAL]])</f>
        <v>0</v>
      </c>
      <c r="H153" s="119" t="n">
        <f aca="false">SUMIFS(tabela_registros[VALOR],tabela_registros[MÊS],$AE$1,tabela_registros[DIA],investiroutrosconsolidadonov[[#Headers],[4]],tabela_registros[REGISTRO],DADOS!$N$5,tabela_registros[TIPO],DADOS!$AB$5,tabela_registros[CATEGORIA],investiroutrosconsolidadonov[[#This Row],[ATUAL]])</f>
        <v>0</v>
      </c>
      <c r="I153" s="119" t="n">
        <f aca="false">SUMIFS(tabela_registros[VALOR],tabela_registros[MÊS],$AE$1,tabela_registros[DIA],investiroutrosconsolidadonov[[#Headers],[5]],tabela_registros[REGISTRO],DADOS!$N$5,tabela_registros[TIPO],DADOS!$AB$5,tabela_registros[CATEGORIA],investiroutrosconsolidadonov[[#This Row],[ATUAL]])</f>
        <v>0</v>
      </c>
      <c r="J153" s="119" t="n">
        <f aca="false">SUMIFS(tabela_registros[VALOR],tabela_registros[MÊS],$AE$1,tabela_registros[DIA],investiroutrosconsolidadonov[[#Headers],[6]],tabela_registros[REGISTRO],DADOS!$N$5,tabela_registros[TIPO],DADOS!$AB$5,tabela_registros[CATEGORIA],investiroutrosconsolidadonov[[#This Row],[ATUAL]])</f>
        <v>0</v>
      </c>
      <c r="K153" s="119" t="n">
        <f aca="false">SUMIFS(tabela_registros[VALOR],tabela_registros[MÊS],$AE$1,tabela_registros[DIA],investiroutrosconsolidadonov[[#Headers],[7]],tabela_registros[REGISTRO],DADOS!$N$5,tabela_registros[TIPO],DADOS!$AB$5,tabela_registros[CATEGORIA],investiroutrosconsolidadonov[[#This Row],[ATUAL]])</f>
        <v>0</v>
      </c>
      <c r="L153" s="119" t="n">
        <f aca="false">SUMIFS(tabela_registros[VALOR],tabela_registros[MÊS],$AE$1,tabela_registros[DIA],investiroutrosconsolidadonov[[#Headers],[8]],tabela_registros[REGISTRO],DADOS!$N$5,tabela_registros[TIPO],DADOS!$AB$5,tabela_registros[CATEGORIA],investiroutrosconsolidadonov[[#This Row],[ATUAL]])</f>
        <v>0</v>
      </c>
      <c r="M153" s="119" t="n">
        <f aca="false">SUMIFS(tabela_registros[VALOR],tabela_registros[MÊS],$AE$1,tabela_registros[DIA],investiroutrosconsolidadonov[[#Headers],[9]],tabela_registros[REGISTRO],DADOS!$N$5,tabela_registros[TIPO],DADOS!$AB$5,tabela_registros[CATEGORIA],investiroutrosconsolidadonov[[#This Row],[ATUAL]])</f>
        <v>0</v>
      </c>
      <c r="N153" s="119" t="n">
        <f aca="false">SUMIFS(tabela_registros[VALOR],tabela_registros[MÊS],$AE$1,tabela_registros[DIA],investiroutrosconsolidadonov[[#Headers],[10]],tabela_registros[REGISTRO],DADOS!$N$5,tabela_registros[TIPO],DADOS!$AB$5,tabela_registros[CATEGORIA],investiroutrosconsolidadonov[[#This Row],[ATUAL]])</f>
        <v>0</v>
      </c>
      <c r="O153" s="119" t="n">
        <f aca="false">SUMIFS(tabela_registros[VALOR],tabela_registros[MÊS],$AE$1,tabela_registros[DIA],investiroutrosconsolidadonov[[#Headers],[11]],tabela_registros[REGISTRO],DADOS!$N$5,tabela_registros[TIPO],DADOS!$AB$5,tabela_registros[CATEGORIA],investiroutrosconsolidadonov[[#This Row],[ATUAL]])</f>
        <v>0</v>
      </c>
      <c r="P153" s="119" t="n">
        <f aca="false">SUMIFS(tabela_registros[VALOR],tabela_registros[MÊS],$AE$1,tabela_registros[DIA],investiroutrosconsolidadonov[[#Headers],[12]],tabela_registros[REGISTRO],DADOS!$N$5,tabela_registros[TIPO],DADOS!$AB$5,tabela_registros[CATEGORIA],investiroutrosconsolidadonov[[#This Row],[ATUAL]])</f>
        <v>0</v>
      </c>
      <c r="Q153" s="119" t="n">
        <f aca="false">SUMIFS(tabela_registros[VALOR],tabela_registros[MÊS],$AE$1,tabela_registros[DIA],investiroutrosconsolidadonov[[#Headers],[13]],tabela_registros[REGISTRO],DADOS!$N$5,tabela_registros[TIPO],DADOS!$AB$5,tabela_registros[CATEGORIA],investiroutrosconsolidadonov[[#This Row],[ATUAL]])</f>
        <v>0</v>
      </c>
      <c r="R153" s="119" t="n">
        <f aca="false">SUMIFS(tabela_registros[VALOR],tabela_registros[MÊS],$AE$1,tabela_registros[DIA],investiroutrosconsolidadonov[[#Headers],[14]],tabela_registros[REGISTRO],DADOS!$N$5,tabela_registros[TIPO],DADOS!$AB$5,tabela_registros[CATEGORIA],investiroutrosconsolidadonov[[#This Row],[ATUAL]])</f>
        <v>0</v>
      </c>
      <c r="S153" s="119" t="n">
        <f aca="false">SUMIFS(tabela_registros[VALOR],tabela_registros[MÊS],$AE$1,tabela_registros[DIA],investiroutrosconsolidadonov[[#Headers],[15]],tabela_registros[REGISTRO],DADOS!$N$5,tabela_registros[TIPO],DADOS!$AB$5,tabela_registros[CATEGORIA],investiroutrosconsolidadonov[[#This Row],[ATUAL]])</f>
        <v>0</v>
      </c>
      <c r="T153" s="119" t="n">
        <f aca="false">SUMIFS(tabela_registros[VALOR],tabela_registros[MÊS],$AE$1,tabela_registros[DIA],investiroutrosconsolidadonov[[#Headers],[16]],tabela_registros[REGISTRO],DADOS!$N$5,tabela_registros[TIPO],DADOS!$AB$5,tabela_registros[CATEGORIA],investiroutrosconsolidadonov[[#This Row],[ATUAL]])</f>
        <v>0</v>
      </c>
      <c r="U153" s="119" t="n">
        <f aca="false">SUMIFS(tabela_registros[VALOR],tabela_registros[MÊS],$AE$1,tabela_registros[DIA],investiroutrosconsolidadonov[[#Headers],[17]],tabela_registros[REGISTRO],DADOS!$N$5,tabela_registros[TIPO],DADOS!$AB$5,tabela_registros[CATEGORIA],investiroutrosconsolidadonov[[#This Row],[ATUAL]])</f>
        <v>0</v>
      </c>
      <c r="V153" s="119" t="n">
        <f aca="false">SUMIFS(tabela_registros[VALOR],tabela_registros[MÊS],$AE$1,tabela_registros[DIA],investiroutrosconsolidadonov[[#Headers],[18]],tabela_registros[REGISTRO],DADOS!$N$5,tabela_registros[TIPO],DADOS!$AB$5,tabela_registros[CATEGORIA],investiroutrosconsolidadonov[[#This Row],[ATUAL]])</f>
        <v>0</v>
      </c>
      <c r="W153" s="119" t="n">
        <f aca="false">SUMIFS(tabela_registros[VALOR],tabela_registros[MÊS],$AE$1,tabela_registros[DIA],investiroutrosconsolidadonov[[#Headers],[19]],tabela_registros[REGISTRO],DADOS!$N$5,tabela_registros[TIPO],DADOS!$AB$5,tabela_registros[CATEGORIA],investiroutrosconsolidadonov[[#This Row],[ATUAL]])</f>
        <v>0</v>
      </c>
      <c r="X153" s="119" t="n">
        <f aca="false">SUMIFS(tabela_registros[VALOR],tabela_registros[MÊS],$AE$1,tabela_registros[DIA],investiroutrosconsolidadonov[[#Headers],[20]],tabela_registros[REGISTRO],DADOS!$N$5,tabela_registros[TIPO],DADOS!$AB$5,tabela_registros[CATEGORIA],investiroutrosconsolidadonov[[#This Row],[ATUAL]])</f>
        <v>0</v>
      </c>
      <c r="Y153" s="119" t="n">
        <f aca="false">SUMIFS(tabela_registros[VALOR],tabela_registros[MÊS],$AE$1,tabela_registros[DIA],investiroutrosconsolidadonov[[#Headers],[21]],tabela_registros[REGISTRO],DADOS!$N$5,tabela_registros[TIPO],DADOS!$AB$5,tabela_registros[CATEGORIA],investiroutrosconsolidadonov[[#This Row],[ATUAL]])</f>
        <v>0</v>
      </c>
      <c r="Z153" s="119" t="n">
        <f aca="false">SUMIFS(tabela_registros[VALOR],tabela_registros[MÊS],$AE$1,tabela_registros[DIA],investiroutrosconsolidadonov[[#Headers],[22]],tabela_registros[REGISTRO],DADOS!$N$5,tabela_registros[TIPO],DADOS!$AB$5,tabela_registros[CATEGORIA],investiroutrosconsolidadonov[[#This Row],[ATUAL]])</f>
        <v>0</v>
      </c>
      <c r="AA153" s="119" t="n">
        <f aca="false">SUMIFS(tabela_registros[VALOR],tabela_registros[MÊS],$AE$1,tabela_registros[DIA],investiroutrosconsolidadonov[[#Headers],[23]],tabela_registros[REGISTRO],DADOS!$N$5,tabela_registros[TIPO],DADOS!$AB$5,tabela_registros[CATEGORIA],investiroutrosconsolidadonov[[#This Row],[ATUAL]])</f>
        <v>0</v>
      </c>
      <c r="AB153" s="119" t="n">
        <f aca="false">SUMIFS(tabela_registros[VALOR],tabela_registros[MÊS],$AE$1,tabela_registros[DIA],investiroutrosconsolidadonov[[#Headers],[24]],tabela_registros[REGISTRO],DADOS!$N$5,tabela_registros[TIPO],DADOS!$AB$5,tabela_registros[CATEGORIA],investiroutrosconsolidadonov[[#This Row],[ATUAL]])</f>
        <v>0</v>
      </c>
      <c r="AC153" s="119" t="n">
        <f aca="false">SUMIFS(tabela_registros[VALOR],tabela_registros[MÊS],$AE$1,tabela_registros[DIA],investiroutrosconsolidadonov[[#Headers],[25]],tabela_registros[REGISTRO],DADOS!$N$5,tabela_registros[TIPO],DADOS!$AB$5,tabela_registros[CATEGORIA],investiroutrosconsolidadonov[[#This Row],[ATUAL]])</f>
        <v>0</v>
      </c>
      <c r="AD153" s="119" t="n">
        <f aca="false">SUMIFS(tabela_registros[VALOR],tabela_registros[MÊS],$AE$1,tabela_registros[DIA],investiroutrosconsolidadonov[[#Headers],[26]],tabela_registros[REGISTRO],DADOS!$N$5,tabela_registros[TIPO],DADOS!$AB$5,tabela_registros[CATEGORIA],investiroutrosconsolidadonov[[#This Row],[ATUAL]])</f>
        <v>0</v>
      </c>
      <c r="AE153" s="119" t="n">
        <f aca="false">SUMIFS(tabela_registros[VALOR],tabela_registros[MÊS],$AE$1,tabela_registros[DIA],investiroutrosconsolidadonov[[#Headers],[27]],tabela_registros[REGISTRO],DADOS!$N$5,tabela_registros[TIPO],DADOS!$AB$5,tabela_registros[CATEGORIA],investiroutrosconsolidadonov[[#This Row],[ATUAL]])</f>
        <v>0</v>
      </c>
      <c r="AF153" s="119" t="n">
        <f aca="false">SUMIFS(tabela_registros[VALOR],tabela_registros[MÊS],$AE$1,tabela_registros[DIA],investiroutrosconsolidadonov[[#Headers],[28]],tabela_registros[REGISTRO],DADOS!$N$5,tabela_registros[TIPO],DADOS!$AB$5,tabela_registros[CATEGORIA],investiroutrosconsolidadonov[[#This Row],[ATUAL]])</f>
        <v>0</v>
      </c>
      <c r="AG153" s="119" t="n">
        <f aca="false">SUMIFS(tabela_registros[VALOR],tabela_registros[MÊS],$AE$1,tabela_registros[DIA],investiroutrosconsolidadonov[[#Headers],[29]],tabela_registros[REGISTRO],DADOS!$N$5,tabela_registros[TIPO],DADOS!$AB$5,tabela_registros[CATEGORIA],investiroutrosconsolidadonov[[#This Row],[ATUAL]])</f>
        <v>0</v>
      </c>
      <c r="AH153" s="119" t="n">
        <f aca="false">SUMIFS(tabela_registros[VALOR],tabela_registros[MÊS],$AE$1,tabela_registros[DIA],investiroutrosconsolidadonov[[#Headers],[30]],tabela_registros[REGISTRO],DADOS!$N$5,tabela_registros[TIPO],DADOS!$AB$5,tabela_registros[CATEGORIA],investiroutrosconsolidadonov[[#This Row],[ATUAL]])</f>
        <v>0</v>
      </c>
      <c r="AI153" s="217" t="n">
        <f aca="false">SUMIFS(tabela_registros[VALOR],tabela_registros[MÊS],$AE$1,tabela_registros[DIA],investiroutrosconsolidadonov[[#Headers],[31]],tabela_registros[REGISTRO],DADOS!$N$5,tabela_registros[TIPO],DADOS!$AB$5,tabela_registros[CATEGORIA],investiroutrosconsolidadonov[[#This Row],[ATUAL]])</f>
        <v>0</v>
      </c>
      <c r="AJ153" s="149" t="n">
        <f aca="false">SUM(investiroutrosconsolidadonov[[#This Row],[1]:[31]])</f>
        <v>0</v>
      </c>
      <c r="AK153" s="165"/>
    </row>
    <row r="154" customFormat="false" ht="19.5" hidden="false" customHeight="true" outlineLevel="0" collapsed="false">
      <c r="B154" s="143"/>
      <c r="C154" s="144" t="str">
        <f aca="false">DADOS!$AH$6</f>
        <v>📝 NOVA EMPRESA</v>
      </c>
      <c r="D154" s="145" t="str">
        <f aca="false">IF(investiroutrosconsolidadonov[[#This Row],[TOTAL (R$)]]=0,"",IF(OR(investiroutrosconsolidadonov[[#This Row],[TOTAL (R$)]]=LARGE($AJ$151:$AJ$158,1),investiroutrosconsolidadonov[[#This Row],[TOTAL (R$)]]=LARGE($AJ$151:$AJ$158,2)),DADOS!$I$10,""))</f>
        <v/>
      </c>
      <c r="E154" s="148" t="n">
        <f aca="false">SUMIFS(tabela_registros[VALOR],tabela_registros[MÊS],$AE$1,tabela_registros[DIA],investiroutrosconsolidadonov[[#Headers],[1]],tabela_registros[REGISTRO],DADOS!$N$5,tabela_registros[TIPO],DADOS!$AB$5,tabela_registros[CATEGORIA],investiroutrosconsolidadonov[[#This Row],[ATUAL]])</f>
        <v>0</v>
      </c>
      <c r="F154" s="119" t="n">
        <f aca="false">SUMIFS(tabela_registros[VALOR],tabela_registros[MÊS],$AE$1,tabela_registros[DIA],investiroutrosconsolidadonov[[#Headers],[2]],tabela_registros[REGISTRO],DADOS!$N$5,tabela_registros[TIPO],DADOS!$AB$5,tabela_registros[CATEGORIA],investiroutrosconsolidadonov[[#This Row],[ATUAL]])</f>
        <v>0</v>
      </c>
      <c r="G154" s="119" t="n">
        <f aca="false">SUMIFS(tabela_registros[VALOR],tabela_registros[MÊS],$AE$1,tabela_registros[DIA],investiroutrosconsolidadonov[[#Headers],[3]],tabela_registros[REGISTRO],DADOS!$N$5,tabela_registros[TIPO],DADOS!$AB$5,tabela_registros[CATEGORIA],investiroutrosconsolidadonov[[#This Row],[ATUAL]])</f>
        <v>0</v>
      </c>
      <c r="H154" s="119" t="n">
        <f aca="false">SUMIFS(tabela_registros[VALOR],tabela_registros[MÊS],$AE$1,tabela_registros[DIA],investiroutrosconsolidadonov[[#Headers],[4]],tabela_registros[REGISTRO],DADOS!$N$5,tabela_registros[TIPO],DADOS!$AB$5,tabela_registros[CATEGORIA],investiroutrosconsolidadonov[[#This Row],[ATUAL]])</f>
        <v>0</v>
      </c>
      <c r="I154" s="119" t="n">
        <f aca="false">SUMIFS(tabela_registros[VALOR],tabela_registros[MÊS],$AE$1,tabela_registros[DIA],investiroutrosconsolidadonov[[#Headers],[5]],tabela_registros[REGISTRO],DADOS!$N$5,tabela_registros[TIPO],DADOS!$AB$5,tabela_registros[CATEGORIA],investiroutrosconsolidadonov[[#This Row],[ATUAL]])</f>
        <v>0</v>
      </c>
      <c r="J154" s="119" t="n">
        <f aca="false">SUMIFS(tabela_registros[VALOR],tabela_registros[MÊS],$AE$1,tabela_registros[DIA],investiroutrosconsolidadonov[[#Headers],[6]],tabela_registros[REGISTRO],DADOS!$N$5,tabela_registros[TIPO],DADOS!$AB$5,tabela_registros[CATEGORIA],investiroutrosconsolidadonov[[#This Row],[ATUAL]])</f>
        <v>0</v>
      </c>
      <c r="K154" s="119" t="n">
        <f aca="false">SUMIFS(tabela_registros[VALOR],tabela_registros[MÊS],$AE$1,tabela_registros[DIA],investiroutrosconsolidadonov[[#Headers],[7]],tabela_registros[REGISTRO],DADOS!$N$5,tabela_registros[TIPO],DADOS!$AB$5,tabela_registros[CATEGORIA],investiroutrosconsolidadonov[[#This Row],[ATUAL]])</f>
        <v>0</v>
      </c>
      <c r="L154" s="119" t="n">
        <f aca="false">SUMIFS(tabela_registros[VALOR],tabela_registros[MÊS],$AE$1,tabela_registros[DIA],investiroutrosconsolidadonov[[#Headers],[8]],tabela_registros[REGISTRO],DADOS!$N$5,tabela_registros[TIPO],DADOS!$AB$5,tabela_registros[CATEGORIA],investiroutrosconsolidadonov[[#This Row],[ATUAL]])</f>
        <v>0</v>
      </c>
      <c r="M154" s="119" t="n">
        <f aca="false">SUMIFS(tabela_registros[VALOR],tabela_registros[MÊS],$AE$1,tabela_registros[DIA],investiroutrosconsolidadonov[[#Headers],[9]],tabela_registros[REGISTRO],DADOS!$N$5,tabela_registros[TIPO],DADOS!$AB$5,tabela_registros[CATEGORIA],investiroutrosconsolidadonov[[#This Row],[ATUAL]])</f>
        <v>0</v>
      </c>
      <c r="N154" s="119" t="n">
        <f aca="false">SUMIFS(tabela_registros[VALOR],tabela_registros[MÊS],$AE$1,tabela_registros[DIA],investiroutrosconsolidadonov[[#Headers],[10]],tabela_registros[REGISTRO],DADOS!$N$5,tabela_registros[TIPO],DADOS!$AB$5,tabela_registros[CATEGORIA],investiroutrosconsolidadonov[[#This Row],[ATUAL]])</f>
        <v>0</v>
      </c>
      <c r="O154" s="119" t="n">
        <f aca="false">SUMIFS(tabela_registros[VALOR],tabela_registros[MÊS],$AE$1,tabela_registros[DIA],investiroutrosconsolidadonov[[#Headers],[11]],tabela_registros[REGISTRO],DADOS!$N$5,tabela_registros[TIPO],DADOS!$AB$5,tabela_registros[CATEGORIA],investiroutrosconsolidadonov[[#This Row],[ATUAL]])</f>
        <v>0</v>
      </c>
      <c r="P154" s="119" t="n">
        <f aca="false">SUMIFS(tabela_registros[VALOR],tabela_registros[MÊS],$AE$1,tabela_registros[DIA],investiroutrosconsolidadonov[[#Headers],[12]],tabela_registros[REGISTRO],DADOS!$N$5,tabela_registros[TIPO],DADOS!$AB$5,tabela_registros[CATEGORIA],investiroutrosconsolidadonov[[#This Row],[ATUAL]])</f>
        <v>0</v>
      </c>
      <c r="Q154" s="119" t="n">
        <f aca="false">SUMIFS(tabela_registros[VALOR],tabela_registros[MÊS],$AE$1,tabela_registros[DIA],investiroutrosconsolidadonov[[#Headers],[13]],tabela_registros[REGISTRO],DADOS!$N$5,tabela_registros[TIPO],DADOS!$AB$5,tabela_registros[CATEGORIA],investiroutrosconsolidadonov[[#This Row],[ATUAL]])</f>
        <v>0</v>
      </c>
      <c r="R154" s="119" t="n">
        <f aca="false">SUMIFS(tabela_registros[VALOR],tabela_registros[MÊS],$AE$1,tabela_registros[DIA],investiroutrosconsolidadonov[[#Headers],[14]],tabela_registros[REGISTRO],DADOS!$N$5,tabela_registros[TIPO],DADOS!$AB$5,tabela_registros[CATEGORIA],investiroutrosconsolidadonov[[#This Row],[ATUAL]])</f>
        <v>0</v>
      </c>
      <c r="S154" s="119" t="n">
        <f aca="false">SUMIFS(tabela_registros[VALOR],tabela_registros[MÊS],$AE$1,tabela_registros[DIA],investiroutrosconsolidadonov[[#Headers],[15]],tabela_registros[REGISTRO],DADOS!$N$5,tabela_registros[TIPO],DADOS!$AB$5,tabela_registros[CATEGORIA],investiroutrosconsolidadonov[[#This Row],[ATUAL]])</f>
        <v>0</v>
      </c>
      <c r="T154" s="119" t="n">
        <f aca="false">SUMIFS(tabela_registros[VALOR],tabela_registros[MÊS],$AE$1,tabela_registros[DIA],investiroutrosconsolidadonov[[#Headers],[16]],tabela_registros[REGISTRO],DADOS!$N$5,tabela_registros[TIPO],DADOS!$AB$5,tabela_registros[CATEGORIA],investiroutrosconsolidadonov[[#This Row],[ATUAL]])</f>
        <v>0</v>
      </c>
      <c r="U154" s="119" t="n">
        <f aca="false">SUMIFS(tabela_registros[VALOR],tabela_registros[MÊS],$AE$1,tabela_registros[DIA],investiroutrosconsolidadonov[[#Headers],[17]],tabela_registros[REGISTRO],DADOS!$N$5,tabela_registros[TIPO],DADOS!$AB$5,tabela_registros[CATEGORIA],investiroutrosconsolidadonov[[#This Row],[ATUAL]])</f>
        <v>0</v>
      </c>
      <c r="V154" s="119" t="n">
        <f aca="false">SUMIFS(tabela_registros[VALOR],tabela_registros[MÊS],$AE$1,tabela_registros[DIA],investiroutrosconsolidadonov[[#Headers],[18]],tabela_registros[REGISTRO],DADOS!$N$5,tabela_registros[TIPO],DADOS!$AB$5,tabela_registros[CATEGORIA],investiroutrosconsolidadonov[[#This Row],[ATUAL]])</f>
        <v>0</v>
      </c>
      <c r="W154" s="119" t="n">
        <f aca="false">SUMIFS(tabela_registros[VALOR],tabela_registros[MÊS],$AE$1,tabela_registros[DIA],investiroutrosconsolidadonov[[#Headers],[19]],tabela_registros[REGISTRO],DADOS!$N$5,tabela_registros[TIPO],DADOS!$AB$5,tabela_registros[CATEGORIA],investiroutrosconsolidadonov[[#This Row],[ATUAL]])</f>
        <v>0</v>
      </c>
      <c r="X154" s="119" t="n">
        <f aca="false">SUMIFS(tabela_registros[VALOR],tabela_registros[MÊS],$AE$1,tabela_registros[DIA],investiroutrosconsolidadonov[[#Headers],[20]],tabela_registros[REGISTRO],DADOS!$N$5,tabela_registros[TIPO],DADOS!$AB$5,tabela_registros[CATEGORIA],investiroutrosconsolidadonov[[#This Row],[ATUAL]])</f>
        <v>0</v>
      </c>
      <c r="Y154" s="119" t="n">
        <f aca="false">SUMIFS(tabela_registros[VALOR],tabela_registros[MÊS],$AE$1,tabela_registros[DIA],investiroutrosconsolidadonov[[#Headers],[21]],tabela_registros[REGISTRO],DADOS!$N$5,tabela_registros[TIPO],DADOS!$AB$5,tabela_registros[CATEGORIA],investiroutrosconsolidadonov[[#This Row],[ATUAL]])</f>
        <v>0</v>
      </c>
      <c r="Z154" s="119" t="n">
        <f aca="false">SUMIFS(tabela_registros[VALOR],tabela_registros[MÊS],$AE$1,tabela_registros[DIA],investiroutrosconsolidadonov[[#Headers],[22]],tabela_registros[REGISTRO],DADOS!$N$5,tabela_registros[TIPO],DADOS!$AB$5,tabela_registros[CATEGORIA],investiroutrosconsolidadonov[[#This Row],[ATUAL]])</f>
        <v>0</v>
      </c>
      <c r="AA154" s="119" t="n">
        <f aca="false">SUMIFS(tabela_registros[VALOR],tabela_registros[MÊS],$AE$1,tabela_registros[DIA],investiroutrosconsolidadonov[[#Headers],[23]],tabela_registros[REGISTRO],DADOS!$N$5,tabela_registros[TIPO],DADOS!$AB$5,tabela_registros[CATEGORIA],investiroutrosconsolidadonov[[#This Row],[ATUAL]])</f>
        <v>0</v>
      </c>
      <c r="AB154" s="119" t="n">
        <f aca="false">SUMIFS(tabela_registros[VALOR],tabela_registros[MÊS],$AE$1,tabela_registros[DIA],investiroutrosconsolidadonov[[#Headers],[24]],tabela_registros[REGISTRO],DADOS!$N$5,tabela_registros[TIPO],DADOS!$AB$5,tabela_registros[CATEGORIA],investiroutrosconsolidadonov[[#This Row],[ATUAL]])</f>
        <v>0</v>
      </c>
      <c r="AC154" s="119" t="n">
        <f aca="false">SUMIFS(tabela_registros[VALOR],tabela_registros[MÊS],$AE$1,tabela_registros[DIA],investiroutrosconsolidadonov[[#Headers],[25]],tabela_registros[REGISTRO],DADOS!$N$5,tabela_registros[TIPO],DADOS!$AB$5,tabela_registros[CATEGORIA],investiroutrosconsolidadonov[[#This Row],[ATUAL]])</f>
        <v>0</v>
      </c>
      <c r="AD154" s="119" t="n">
        <f aca="false">SUMIFS(tabela_registros[VALOR],tabela_registros[MÊS],$AE$1,tabela_registros[DIA],investiroutrosconsolidadonov[[#Headers],[26]],tabela_registros[REGISTRO],DADOS!$N$5,tabela_registros[TIPO],DADOS!$AB$5,tabela_registros[CATEGORIA],investiroutrosconsolidadonov[[#This Row],[ATUAL]])</f>
        <v>0</v>
      </c>
      <c r="AE154" s="119" t="n">
        <f aca="false">SUMIFS(tabela_registros[VALOR],tabela_registros[MÊS],$AE$1,tabela_registros[DIA],investiroutrosconsolidadonov[[#Headers],[27]],tabela_registros[REGISTRO],DADOS!$N$5,tabela_registros[TIPO],DADOS!$AB$5,tabela_registros[CATEGORIA],investiroutrosconsolidadonov[[#This Row],[ATUAL]])</f>
        <v>0</v>
      </c>
      <c r="AF154" s="119" t="n">
        <f aca="false">SUMIFS(tabela_registros[VALOR],tabela_registros[MÊS],$AE$1,tabela_registros[DIA],investiroutrosconsolidadonov[[#Headers],[28]],tabela_registros[REGISTRO],DADOS!$N$5,tabela_registros[TIPO],DADOS!$AB$5,tabela_registros[CATEGORIA],investiroutrosconsolidadonov[[#This Row],[ATUAL]])</f>
        <v>0</v>
      </c>
      <c r="AG154" s="119" t="n">
        <f aca="false">SUMIFS(tabela_registros[VALOR],tabela_registros[MÊS],$AE$1,tabela_registros[DIA],investiroutrosconsolidadonov[[#Headers],[29]],tabela_registros[REGISTRO],DADOS!$N$5,tabela_registros[TIPO],DADOS!$AB$5,tabela_registros[CATEGORIA],investiroutrosconsolidadonov[[#This Row],[ATUAL]])</f>
        <v>0</v>
      </c>
      <c r="AH154" s="119" t="n">
        <f aca="false">SUMIFS(tabela_registros[VALOR],tabela_registros[MÊS],$AE$1,tabela_registros[DIA],investiroutrosconsolidadonov[[#Headers],[30]],tabela_registros[REGISTRO],DADOS!$N$5,tabela_registros[TIPO],DADOS!$AB$5,tabela_registros[CATEGORIA],investiroutrosconsolidadonov[[#This Row],[ATUAL]])</f>
        <v>0</v>
      </c>
      <c r="AI154" s="217" t="n">
        <f aca="false">SUMIFS(tabela_registros[VALOR],tabela_registros[MÊS],$AE$1,tabela_registros[DIA],investiroutrosconsolidadonov[[#Headers],[31]],tabela_registros[REGISTRO],DADOS!$N$5,tabela_registros[TIPO],DADOS!$AB$5,tabela_registros[CATEGORIA],investiroutrosconsolidadonov[[#This Row],[ATUAL]])</f>
        <v>0</v>
      </c>
      <c r="AJ154" s="149" t="n">
        <f aca="false">SUM(investiroutrosconsolidadonov[[#This Row],[1]:[31]])</f>
        <v>0</v>
      </c>
      <c r="AK154" s="165"/>
    </row>
    <row r="155" customFormat="false" ht="19.5" hidden="false" customHeight="true" outlineLevel="0" collapsed="false">
      <c r="B155" s="143"/>
      <c r="C155" s="144" t="str">
        <f aca="false">DADOS!$AH$7</f>
        <v>📝 PEER TO COMPANY</v>
      </c>
      <c r="D155" s="145" t="str">
        <f aca="false">IF(investiroutrosconsolidadonov[[#This Row],[TOTAL (R$)]]=0,"",IF(OR(investiroutrosconsolidadonov[[#This Row],[TOTAL (R$)]]=LARGE($AJ$151:$AJ$158,1),investiroutrosconsolidadonov[[#This Row],[TOTAL (R$)]]=LARGE($AJ$151:$AJ$158,2)),DADOS!$I$10,""))</f>
        <v/>
      </c>
      <c r="E155" s="148" t="n">
        <f aca="false">SUMIFS(tabela_registros[VALOR],tabela_registros[MÊS],$AE$1,tabela_registros[DIA],investiroutrosconsolidadonov[[#Headers],[1]],tabela_registros[REGISTRO],DADOS!$N$5,tabela_registros[TIPO],DADOS!$AB$5,tabela_registros[CATEGORIA],investiroutrosconsolidadonov[[#This Row],[ATUAL]])</f>
        <v>0</v>
      </c>
      <c r="F155" s="119" t="n">
        <f aca="false">SUMIFS(tabela_registros[VALOR],tabela_registros[MÊS],$AE$1,tabela_registros[DIA],investiroutrosconsolidadonov[[#Headers],[2]],tabela_registros[REGISTRO],DADOS!$N$5,tabela_registros[TIPO],DADOS!$AB$5,tabela_registros[CATEGORIA],investiroutrosconsolidadonov[[#This Row],[ATUAL]])</f>
        <v>0</v>
      </c>
      <c r="G155" s="119" t="n">
        <f aca="false">SUMIFS(tabela_registros[VALOR],tabela_registros[MÊS],$AE$1,tabela_registros[DIA],investiroutrosconsolidadonov[[#Headers],[3]],tabela_registros[REGISTRO],DADOS!$N$5,tabela_registros[TIPO],DADOS!$AB$5,tabela_registros[CATEGORIA],investiroutrosconsolidadonov[[#This Row],[ATUAL]])</f>
        <v>0</v>
      </c>
      <c r="H155" s="119" t="n">
        <f aca="false">SUMIFS(tabela_registros[VALOR],tabela_registros[MÊS],$AE$1,tabela_registros[DIA],investiroutrosconsolidadonov[[#Headers],[4]],tabela_registros[REGISTRO],DADOS!$N$5,tabela_registros[TIPO],DADOS!$AB$5,tabela_registros[CATEGORIA],investiroutrosconsolidadonov[[#This Row],[ATUAL]])</f>
        <v>0</v>
      </c>
      <c r="I155" s="119" t="n">
        <f aca="false">SUMIFS(tabela_registros[VALOR],tabela_registros[MÊS],$AE$1,tabela_registros[DIA],investiroutrosconsolidadonov[[#Headers],[5]],tabela_registros[REGISTRO],DADOS!$N$5,tabela_registros[TIPO],DADOS!$AB$5,tabela_registros[CATEGORIA],investiroutrosconsolidadonov[[#This Row],[ATUAL]])</f>
        <v>0</v>
      </c>
      <c r="J155" s="119" t="n">
        <f aca="false">SUMIFS(tabela_registros[VALOR],tabela_registros[MÊS],$AE$1,tabela_registros[DIA],investiroutrosconsolidadonov[[#Headers],[6]],tabela_registros[REGISTRO],DADOS!$N$5,tabela_registros[TIPO],DADOS!$AB$5,tabela_registros[CATEGORIA],investiroutrosconsolidadonov[[#This Row],[ATUAL]])</f>
        <v>0</v>
      </c>
      <c r="K155" s="119" t="n">
        <f aca="false">SUMIFS(tabela_registros[VALOR],tabela_registros[MÊS],$AE$1,tabela_registros[DIA],investiroutrosconsolidadonov[[#Headers],[7]],tabela_registros[REGISTRO],DADOS!$N$5,tabela_registros[TIPO],DADOS!$AB$5,tabela_registros[CATEGORIA],investiroutrosconsolidadonov[[#This Row],[ATUAL]])</f>
        <v>0</v>
      </c>
      <c r="L155" s="119" t="n">
        <f aca="false">SUMIFS(tabela_registros[VALOR],tabela_registros[MÊS],$AE$1,tabela_registros[DIA],investiroutrosconsolidadonov[[#Headers],[8]],tabela_registros[REGISTRO],DADOS!$N$5,tabela_registros[TIPO],DADOS!$AB$5,tabela_registros[CATEGORIA],investiroutrosconsolidadonov[[#This Row],[ATUAL]])</f>
        <v>0</v>
      </c>
      <c r="M155" s="119" t="n">
        <f aca="false">SUMIFS(tabela_registros[VALOR],tabela_registros[MÊS],$AE$1,tabela_registros[DIA],investiroutrosconsolidadonov[[#Headers],[9]],tabela_registros[REGISTRO],DADOS!$N$5,tabela_registros[TIPO],DADOS!$AB$5,tabela_registros[CATEGORIA],investiroutrosconsolidadonov[[#This Row],[ATUAL]])</f>
        <v>0</v>
      </c>
      <c r="N155" s="119" t="n">
        <f aca="false">SUMIFS(tabela_registros[VALOR],tabela_registros[MÊS],$AE$1,tabela_registros[DIA],investiroutrosconsolidadonov[[#Headers],[10]],tabela_registros[REGISTRO],DADOS!$N$5,tabela_registros[TIPO],DADOS!$AB$5,tabela_registros[CATEGORIA],investiroutrosconsolidadonov[[#This Row],[ATUAL]])</f>
        <v>0</v>
      </c>
      <c r="O155" s="119" t="n">
        <f aca="false">SUMIFS(tabela_registros[VALOR],tabela_registros[MÊS],$AE$1,tabela_registros[DIA],investiroutrosconsolidadonov[[#Headers],[11]],tabela_registros[REGISTRO],DADOS!$N$5,tabela_registros[TIPO],DADOS!$AB$5,tabela_registros[CATEGORIA],investiroutrosconsolidadonov[[#This Row],[ATUAL]])</f>
        <v>0</v>
      </c>
      <c r="P155" s="119" t="n">
        <f aca="false">SUMIFS(tabela_registros[VALOR],tabela_registros[MÊS],$AE$1,tabela_registros[DIA],investiroutrosconsolidadonov[[#Headers],[12]],tabela_registros[REGISTRO],DADOS!$N$5,tabela_registros[TIPO],DADOS!$AB$5,tabela_registros[CATEGORIA],investiroutrosconsolidadonov[[#This Row],[ATUAL]])</f>
        <v>0</v>
      </c>
      <c r="Q155" s="119" t="n">
        <f aca="false">SUMIFS(tabela_registros[VALOR],tabela_registros[MÊS],$AE$1,tabela_registros[DIA],investiroutrosconsolidadonov[[#Headers],[13]],tabela_registros[REGISTRO],DADOS!$N$5,tabela_registros[TIPO],DADOS!$AB$5,tabela_registros[CATEGORIA],investiroutrosconsolidadonov[[#This Row],[ATUAL]])</f>
        <v>0</v>
      </c>
      <c r="R155" s="119" t="n">
        <f aca="false">SUMIFS(tabela_registros[VALOR],tabela_registros[MÊS],$AE$1,tabela_registros[DIA],investiroutrosconsolidadonov[[#Headers],[14]],tabela_registros[REGISTRO],DADOS!$N$5,tabela_registros[TIPO],DADOS!$AB$5,tabela_registros[CATEGORIA],investiroutrosconsolidadonov[[#This Row],[ATUAL]])</f>
        <v>0</v>
      </c>
      <c r="S155" s="119" t="n">
        <f aca="false">SUMIFS(tabela_registros[VALOR],tabela_registros[MÊS],$AE$1,tabela_registros[DIA],investiroutrosconsolidadonov[[#Headers],[15]],tabela_registros[REGISTRO],DADOS!$N$5,tabela_registros[TIPO],DADOS!$AB$5,tabela_registros[CATEGORIA],investiroutrosconsolidadonov[[#This Row],[ATUAL]])</f>
        <v>0</v>
      </c>
      <c r="T155" s="119" t="n">
        <f aca="false">SUMIFS(tabela_registros[VALOR],tabela_registros[MÊS],$AE$1,tabela_registros[DIA],investiroutrosconsolidadonov[[#Headers],[16]],tabela_registros[REGISTRO],DADOS!$N$5,tabela_registros[TIPO],DADOS!$AB$5,tabela_registros[CATEGORIA],investiroutrosconsolidadonov[[#This Row],[ATUAL]])</f>
        <v>0</v>
      </c>
      <c r="U155" s="119" t="n">
        <f aca="false">SUMIFS(tabela_registros[VALOR],tabela_registros[MÊS],$AE$1,tabela_registros[DIA],investiroutrosconsolidadonov[[#Headers],[17]],tabela_registros[REGISTRO],DADOS!$N$5,tabela_registros[TIPO],DADOS!$AB$5,tabela_registros[CATEGORIA],investiroutrosconsolidadonov[[#This Row],[ATUAL]])</f>
        <v>0</v>
      </c>
      <c r="V155" s="119" t="n">
        <f aca="false">SUMIFS(tabela_registros[VALOR],tabela_registros[MÊS],$AE$1,tabela_registros[DIA],investiroutrosconsolidadonov[[#Headers],[18]],tabela_registros[REGISTRO],DADOS!$N$5,tabela_registros[TIPO],DADOS!$AB$5,tabela_registros[CATEGORIA],investiroutrosconsolidadonov[[#This Row],[ATUAL]])</f>
        <v>0</v>
      </c>
      <c r="W155" s="119" t="n">
        <f aca="false">SUMIFS(tabela_registros[VALOR],tabela_registros[MÊS],$AE$1,tabela_registros[DIA],investiroutrosconsolidadonov[[#Headers],[19]],tabela_registros[REGISTRO],DADOS!$N$5,tabela_registros[TIPO],DADOS!$AB$5,tabela_registros[CATEGORIA],investiroutrosconsolidadonov[[#This Row],[ATUAL]])</f>
        <v>0</v>
      </c>
      <c r="X155" s="119" t="n">
        <f aca="false">SUMIFS(tabela_registros[VALOR],tabela_registros[MÊS],$AE$1,tabela_registros[DIA],investiroutrosconsolidadonov[[#Headers],[20]],tabela_registros[REGISTRO],DADOS!$N$5,tabela_registros[TIPO],DADOS!$AB$5,tabela_registros[CATEGORIA],investiroutrosconsolidadonov[[#This Row],[ATUAL]])</f>
        <v>0</v>
      </c>
      <c r="Y155" s="119" t="n">
        <f aca="false">SUMIFS(tabela_registros[VALOR],tabela_registros[MÊS],$AE$1,tabela_registros[DIA],investiroutrosconsolidadonov[[#Headers],[21]],tabela_registros[REGISTRO],DADOS!$N$5,tabela_registros[TIPO],DADOS!$AB$5,tabela_registros[CATEGORIA],investiroutrosconsolidadonov[[#This Row],[ATUAL]])</f>
        <v>0</v>
      </c>
      <c r="Z155" s="119" t="n">
        <f aca="false">SUMIFS(tabela_registros[VALOR],tabela_registros[MÊS],$AE$1,tabela_registros[DIA],investiroutrosconsolidadonov[[#Headers],[22]],tabela_registros[REGISTRO],DADOS!$N$5,tabela_registros[TIPO],DADOS!$AB$5,tabela_registros[CATEGORIA],investiroutrosconsolidadonov[[#This Row],[ATUAL]])</f>
        <v>0</v>
      </c>
      <c r="AA155" s="119" t="n">
        <f aca="false">SUMIFS(tabela_registros[VALOR],tabela_registros[MÊS],$AE$1,tabela_registros[DIA],investiroutrosconsolidadonov[[#Headers],[23]],tabela_registros[REGISTRO],DADOS!$N$5,tabela_registros[TIPO],DADOS!$AB$5,tabela_registros[CATEGORIA],investiroutrosconsolidadonov[[#This Row],[ATUAL]])</f>
        <v>0</v>
      </c>
      <c r="AB155" s="119" t="n">
        <f aca="false">SUMIFS(tabela_registros[VALOR],tabela_registros[MÊS],$AE$1,tabela_registros[DIA],investiroutrosconsolidadonov[[#Headers],[24]],tabela_registros[REGISTRO],DADOS!$N$5,tabela_registros[TIPO],DADOS!$AB$5,tabela_registros[CATEGORIA],investiroutrosconsolidadonov[[#This Row],[ATUAL]])</f>
        <v>0</v>
      </c>
      <c r="AC155" s="119" t="n">
        <f aca="false">SUMIFS(tabela_registros[VALOR],tabela_registros[MÊS],$AE$1,tabela_registros[DIA],investiroutrosconsolidadonov[[#Headers],[25]],tabela_registros[REGISTRO],DADOS!$N$5,tabela_registros[TIPO],DADOS!$AB$5,tabela_registros[CATEGORIA],investiroutrosconsolidadonov[[#This Row],[ATUAL]])</f>
        <v>0</v>
      </c>
      <c r="AD155" s="119" t="n">
        <f aca="false">SUMIFS(tabela_registros[VALOR],tabela_registros[MÊS],$AE$1,tabela_registros[DIA],investiroutrosconsolidadonov[[#Headers],[26]],tabela_registros[REGISTRO],DADOS!$N$5,tabela_registros[TIPO],DADOS!$AB$5,tabela_registros[CATEGORIA],investiroutrosconsolidadonov[[#This Row],[ATUAL]])</f>
        <v>0</v>
      </c>
      <c r="AE155" s="119" t="n">
        <f aca="false">SUMIFS(tabela_registros[VALOR],tabela_registros[MÊS],$AE$1,tabela_registros[DIA],investiroutrosconsolidadonov[[#Headers],[27]],tabela_registros[REGISTRO],DADOS!$N$5,tabela_registros[TIPO],DADOS!$AB$5,tabela_registros[CATEGORIA],investiroutrosconsolidadonov[[#This Row],[ATUAL]])</f>
        <v>0</v>
      </c>
      <c r="AF155" s="119" t="n">
        <f aca="false">SUMIFS(tabela_registros[VALOR],tabela_registros[MÊS],$AE$1,tabela_registros[DIA],investiroutrosconsolidadonov[[#Headers],[28]],tabela_registros[REGISTRO],DADOS!$N$5,tabela_registros[TIPO],DADOS!$AB$5,tabela_registros[CATEGORIA],investiroutrosconsolidadonov[[#This Row],[ATUAL]])</f>
        <v>0</v>
      </c>
      <c r="AG155" s="119" t="n">
        <f aca="false">SUMIFS(tabela_registros[VALOR],tabela_registros[MÊS],$AE$1,tabela_registros[DIA],investiroutrosconsolidadonov[[#Headers],[29]],tabela_registros[REGISTRO],DADOS!$N$5,tabela_registros[TIPO],DADOS!$AB$5,tabela_registros[CATEGORIA],investiroutrosconsolidadonov[[#This Row],[ATUAL]])</f>
        <v>0</v>
      </c>
      <c r="AH155" s="119" t="n">
        <f aca="false">SUMIFS(tabela_registros[VALOR],tabela_registros[MÊS],$AE$1,tabela_registros[DIA],investiroutrosconsolidadonov[[#Headers],[30]],tabela_registros[REGISTRO],DADOS!$N$5,tabela_registros[TIPO],DADOS!$AB$5,tabela_registros[CATEGORIA],investiroutrosconsolidadonov[[#This Row],[ATUAL]])</f>
        <v>0</v>
      </c>
      <c r="AI155" s="217" t="n">
        <f aca="false">SUMIFS(tabela_registros[VALOR],tabela_registros[MÊS],$AE$1,tabela_registros[DIA],investiroutrosconsolidadonov[[#Headers],[31]],tabela_registros[REGISTRO],DADOS!$N$5,tabela_registros[TIPO],DADOS!$AB$5,tabela_registros[CATEGORIA],investiroutrosconsolidadonov[[#This Row],[ATUAL]])</f>
        <v>0</v>
      </c>
      <c r="AJ155" s="149" t="n">
        <f aca="false">SUM(investiroutrosconsolidadonov[[#This Row],[1]:[31]])</f>
        <v>0</v>
      </c>
      <c r="AK155" s="165"/>
    </row>
    <row r="156" customFormat="false" ht="19.5" hidden="false" customHeight="true" outlineLevel="0" collapsed="false">
      <c r="B156" s="143"/>
      <c r="C156" s="144" t="str">
        <f aca="false">DADOS!$AH$8</f>
        <v>📝 PEER TO PEER</v>
      </c>
      <c r="D156" s="145" t="str">
        <f aca="false">IF(investiroutrosconsolidadonov[[#This Row],[TOTAL (R$)]]=0,"",IF(OR(investiroutrosconsolidadonov[[#This Row],[TOTAL (R$)]]=LARGE($AJ$151:$AJ$158,1),investiroutrosconsolidadonov[[#This Row],[TOTAL (R$)]]=LARGE($AJ$151:$AJ$158,2)),DADOS!$I$10,""))</f>
        <v/>
      </c>
      <c r="E156" s="148" t="n">
        <f aca="false">SUMIFS(tabela_registros[VALOR],tabela_registros[MÊS],$AE$1,tabela_registros[DIA],investiroutrosconsolidadonov[[#Headers],[1]],tabela_registros[REGISTRO],DADOS!$N$5,tabela_registros[TIPO],DADOS!$AB$5,tabela_registros[CATEGORIA],investiroutrosconsolidadonov[[#This Row],[ATUAL]])</f>
        <v>0</v>
      </c>
      <c r="F156" s="119" t="n">
        <f aca="false">SUMIFS(tabela_registros[VALOR],tabela_registros[MÊS],$AE$1,tabela_registros[DIA],investiroutrosconsolidadonov[[#Headers],[2]],tabela_registros[REGISTRO],DADOS!$N$5,tabela_registros[TIPO],DADOS!$AB$5,tabela_registros[CATEGORIA],investiroutrosconsolidadonov[[#This Row],[ATUAL]])</f>
        <v>0</v>
      </c>
      <c r="G156" s="119" t="n">
        <f aca="false">SUMIFS(tabela_registros[VALOR],tabela_registros[MÊS],$AE$1,tabela_registros[DIA],investiroutrosconsolidadonov[[#Headers],[3]],tabela_registros[REGISTRO],DADOS!$N$5,tabela_registros[TIPO],DADOS!$AB$5,tabela_registros[CATEGORIA],investiroutrosconsolidadonov[[#This Row],[ATUAL]])</f>
        <v>0</v>
      </c>
      <c r="H156" s="119" t="n">
        <f aca="false">SUMIFS(tabela_registros[VALOR],tabela_registros[MÊS],$AE$1,tabela_registros[DIA],investiroutrosconsolidadonov[[#Headers],[4]],tabela_registros[REGISTRO],DADOS!$N$5,tabela_registros[TIPO],DADOS!$AB$5,tabela_registros[CATEGORIA],investiroutrosconsolidadonov[[#This Row],[ATUAL]])</f>
        <v>0</v>
      </c>
      <c r="I156" s="119" t="n">
        <f aca="false">SUMIFS(tabela_registros[VALOR],tabela_registros[MÊS],$AE$1,tabela_registros[DIA],investiroutrosconsolidadonov[[#Headers],[5]],tabela_registros[REGISTRO],DADOS!$N$5,tabela_registros[TIPO],DADOS!$AB$5,tabela_registros[CATEGORIA],investiroutrosconsolidadonov[[#This Row],[ATUAL]])</f>
        <v>0</v>
      </c>
      <c r="J156" s="119" t="n">
        <f aca="false">SUMIFS(tabela_registros[VALOR],tabela_registros[MÊS],$AE$1,tabela_registros[DIA],investiroutrosconsolidadonov[[#Headers],[6]],tabela_registros[REGISTRO],DADOS!$N$5,tabela_registros[TIPO],DADOS!$AB$5,tabela_registros[CATEGORIA],investiroutrosconsolidadonov[[#This Row],[ATUAL]])</f>
        <v>0</v>
      </c>
      <c r="K156" s="119" t="n">
        <f aca="false">SUMIFS(tabela_registros[VALOR],tabela_registros[MÊS],$AE$1,tabela_registros[DIA],investiroutrosconsolidadonov[[#Headers],[7]],tabela_registros[REGISTRO],DADOS!$N$5,tabela_registros[TIPO],DADOS!$AB$5,tabela_registros[CATEGORIA],investiroutrosconsolidadonov[[#This Row],[ATUAL]])</f>
        <v>0</v>
      </c>
      <c r="L156" s="119" t="n">
        <f aca="false">SUMIFS(tabela_registros[VALOR],tabela_registros[MÊS],$AE$1,tabela_registros[DIA],investiroutrosconsolidadonov[[#Headers],[8]],tabela_registros[REGISTRO],DADOS!$N$5,tabela_registros[TIPO],DADOS!$AB$5,tabela_registros[CATEGORIA],investiroutrosconsolidadonov[[#This Row],[ATUAL]])</f>
        <v>0</v>
      </c>
      <c r="M156" s="119" t="n">
        <f aca="false">SUMIFS(tabela_registros[VALOR],tabela_registros[MÊS],$AE$1,tabela_registros[DIA],investiroutrosconsolidadonov[[#Headers],[9]],tabela_registros[REGISTRO],DADOS!$N$5,tabela_registros[TIPO],DADOS!$AB$5,tabela_registros[CATEGORIA],investiroutrosconsolidadonov[[#This Row],[ATUAL]])</f>
        <v>0</v>
      </c>
      <c r="N156" s="119" t="n">
        <f aca="false">SUMIFS(tabela_registros[VALOR],tabela_registros[MÊS],$AE$1,tabela_registros[DIA],investiroutrosconsolidadonov[[#Headers],[10]],tabela_registros[REGISTRO],DADOS!$N$5,tabela_registros[TIPO],DADOS!$AB$5,tabela_registros[CATEGORIA],investiroutrosconsolidadonov[[#This Row],[ATUAL]])</f>
        <v>0</v>
      </c>
      <c r="O156" s="119" t="n">
        <f aca="false">SUMIFS(tabela_registros[VALOR],tabela_registros[MÊS],$AE$1,tabela_registros[DIA],investiroutrosconsolidadonov[[#Headers],[11]],tabela_registros[REGISTRO],DADOS!$N$5,tabela_registros[TIPO],DADOS!$AB$5,tabela_registros[CATEGORIA],investiroutrosconsolidadonov[[#This Row],[ATUAL]])</f>
        <v>0</v>
      </c>
      <c r="P156" s="119" t="n">
        <f aca="false">SUMIFS(tabela_registros[VALOR],tabela_registros[MÊS],$AE$1,tabela_registros[DIA],investiroutrosconsolidadonov[[#Headers],[12]],tabela_registros[REGISTRO],DADOS!$N$5,tabela_registros[TIPO],DADOS!$AB$5,tabela_registros[CATEGORIA],investiroutrosconsolidadonov[[#This Row],[ATUAL]])</f>
        <v>0</v>
      </c>
      <c r="Q156" s="119" t="n">
        <f aca="false">SUMIFS(tabela_registros[VALOR],tabela_registros[MÊS],$AE$1,tabela_registros[DIA],investiroutrosconsolidadonov[[#Headers],[13]],tabela_registros[REGISTRO],DADOS!$N$5,tabela_registros[TIPO],DADOS!$AB$5,tabela_registros[CATEGORIA],investiroutrosconsolidadonov[[#This Row],[ATUAL]])</f>
        <v>0</v>
      </c>
      <c r="R156" s="119" t="n">
        <f aca="false">SUMIFS(tabela_registros[VALOR],tabela_registros[MÊS],$AE$1,tabela_registros[DIA],investiroutrosconsolidadonov[[#Headers],[14]],tabela_registros[REGISTRO],DADOS!$N$5,tabela_registros[TIPO],DADOS!$AB$5,tabela_registros[CATEGORIA],investiroutrosconsolidadonov[[#This Row],[ATUAL]])</f>
        <v>0</v>
      </c>
      <c r="S156" s="119" t="n">
        <f aca="false">SUMIFS(tabela_registros[VALOR],tabela_registros[MÊS],$AE$1,tabela_registros[DIA],investiroutrosconsolidadonov[[#Headers],[15]],tabela_registros[REGISTRO],DADOS!$N$5,tabela_registros[TIPO],DADOS!$AB$5,tabela_registros[CATEGORIA],investiroutrosconsolidadonov[[#This Row],[ATUAL]])</f>
        <v>0</v>
      </c>
      <c r="T156" s="119" t="n">
        <f aca="false">SUMIFS(tabela_registros[VALOR],tabela_registros[MÊS],$AE$1,tabela_registros[DIA],investiroutrosconsolidadonov[[#Headers],[16]],tabela_registros[REGISTRO],DADOS!$N$5,tabela_registros[TIPO],DADOS!$AB$5,tabela_registros[CATEGORIA],investiroutrosconsolidadonov[[#This Row],[ATUAL]])</f>
        <v>0</v>
      </c>
      <c r="U156" s="119" t="n">
        <f aca="false">SUMIFS(tabela_registros[VALOR],tabela_registros[MÊS],$AE$1,tabela_registros[DIA],investiroutrosconsolidadonov[[#Headers],[17]],tabela_registros[REGISTRO],DADOS!$N$5,tabela_registros[TIPO],DADOS!$AB$5,tabela_registros[CATEGORIA],investiroutrosconsolidadonov[[#This Row],[ATUAL]])</f>
        <v>0</v>
      </c>
      <c r="V156" s="119" t="n">
        <f aca="false">SUMIFS(tabela_registros[VALOR],tabela_registros[MÊS],$AE$1,tabela_registros[DIA],investiroutrosconsolidadonov[[#Headers],[18]],tabela_registros[REGISTRO],DADOS!$N$5,tabela_registros[TIPO],DADOS!$AB$5,tabela_registros[CATEGORIA],investiroutrosconsolidadonov[[#This Row],[ATUAL]])</f>
        <v>0</v>
      </c>
      <c r="W156" s="119" t="n">
        <f aca="false">SUMIFS(tabela_registros[VALOR],tabela_registros[MÊS],$AE$1,tabela_registros[DIA],investiroutrosconsolidadonov[[#Headers],[19]],tabela_registros[REGISTRO],DADOS!$N$5,tabela_registros[TIPO],DADOS!$AB$5,tabela_registros[CATEGORIA],investiroutrosconsolidadonov[[#This Row],[ATUAL]])</f>
        <v>0</v>
      </c>
      <c r="X156" s="119" t="n">
        <f aca="false">SUMIFS(tabela_registros[VALOR],tabela_registros[MÊS],$AE$1,tabela_registros[DIA],investiroutrosconsolidadonov[[#Headers],[20]],tabela_registros[REGISTRO],DADOS!$N$5,tabela_registros[TIPO],DADOS!$AB$5,tabela_registros[CATEGORIA],investiroutrosconsolidadonov[[#This Row],[ATUAL]])</f>
        <v>0</v>
      </c>
      <c r="Y156" s="119" t="n">
        <f aca="false">SUMIFS(tabela_registros[VALOR],tabela_registros[MÊS],$AE$1,tabela_registros[DIA],investiroutrosconsolidadonov[[#Headers],[21]],tabela_registros[REGISTRO],DADOS!$N$5,tabela_registros[TIPO],DADOS!$AB$5,tabela_registros[CATEGORIA],investiroutrosconsolidadonov[[#This Row],[ATUAL]])</f>
        <v>0</v>
      </c>
      <c r="Z156" s="119" t="n">
        <f aca="false">SUMIFS(tabela_registros[VALOR],tabela_registros[MÊS],$AE$1,tabela_registros[DIA],investiroutrosconsolidadonov[[#Headers],[22]],tabela_registros[REGISTRO],DADOS!$N$5,tabela_registros[TIPO],DADOS!$AB$5,tabela_registros[CATEGORIA],investiroutrosconsolidadonov[[#This Row],[ATUAL]])</f>
        <v>0</v>
      </c>
      <c r="AA156" s="119" t="n">
        <f aca="false">SUMIFS(tabela_registros[VALOR],tabela_registros[MÊS],$AE$1,tabela_registros[DIA],investiroutrosconsolidadonov[[#Headers],[23]],tabela_registros[REGISTRO],DADOS!$N$5,tabela_registros[TIPO],DADOS!$AB$5,tabela_registros[CATEGORIA],investiroutrosconsolidadonov[[#This Row],[ATUAL]])</f>
        <v>0</v>
      </c>
      <c r="AB156" s="119" t="n">
        <f aca="false">SUMIFS(tabela_registros[VALOR],tabela_registros[MÊS],$AE$1,tabela_registros[DIA],investiroutrosconsolidadonov[[#Headers],[24]],tabela_registros[REGISTRO],DADOS!$N$5,tabela_registros[TIPO],DADOS!$AB$5,tabela_registros[CATEGORIA],investiroutrosconsolidadonov[[#This Row],[ATUAL]])</f>
        <v>0</v>
      </c>
      <c r="AC156" s="119" t="n">
        <f aca="false">SUMIFS(tabela_registros[VALOR],tabela_registros[MÊS],$AE$1,tabela_registros[DIA],investiroutrosconsolidadonov[[#Headers],[25]],tabela_registros[REGISTRO],DADOS!$N$5,tabela_registros[TIPO],DADOS!$AB$5,tabela_registros[CATEGORIA],investiroutrosconsolidadonov[[#This Row],[ATUAL]])</f>
        <v>0</v>
      </c>
      <c r="AD156" s="119" t="n">
        <f aca="false">SUMIFS(tabela_registros[VALOR],tabela_registros[MÊS],$AE$1,tabela_registros[DIA],investiroutrosconsolidadonov[[#Headers],[26]],tabela_registros[REGISTRO],DADOS!$N$5,tabela_registros[TIPO],DADOS!$AB$5,tabela_registros[CATEGORIA],investiroutrosconsolidadonov[[#This Row],[ATUAL]])</f>
        <v>0</v>
      </c>
      <c r="AE156" s="119" t="n">
        <f aca="false">SUMIFS(tabela_registros[VALOR],tabela_registros[MÊS],$AE$1,tabela_registros[DIA],investiroutrosconsolidadonov[[#Headers],[27]],tabela_registros[REGISTRO],DADOS!$N$5,tabela_registros[TIPO],DADOS!$AB$5,tabela_registros[CATEGORIA],investiroutrosconsolidadonov[[#This Row],[ATUAL]])</f>
        <v>0</v>
      </c>
      <c r="AF156" s="119" t="n">
        <f aca="false">SUMIFS(tabela_registros[VALOR],tabela_registros[MÊS],$AE$1,tabela_registros[DIA],investiroutrosconsolidadonov[[#Headers],[28]],tabela_registros[REGISTRO],DADOS!$N$5,tabela_registros[TIPO],DADOS!$AB$5,tabela_registros[CATEGORIA],investiroutrosconsolidadonov[[#This Row],[ATUAL]])</f>
        <v>0</v>
      </c>
      <c r="AG156" s="119" t="n">
        <f aca="false">SUMIFS(tabela_registros[VALOR],tabela_registros[MÊS],$AE$1,tabela_registros[DIA],investiroutrosconsolidadonov[[#Headers],[29]],tabela_registros[REGISTRO],DADOS!$N$5,tabela_registros[TIPO],DADOS!$AB$5,tabela_registros[CATEGORIA],investiroutrosconsolidadonov[[#This Row],[ATUAL]])</f>
        <v>0</v>
      </c>
      <c r="AH156" s="119" t="n">
        <f aca="false">SUMIFS(tabela_registros[VALOR],tabela_registros[MÊS],$AE$1,tabela_registros[DIA],investiroutrosconsolidadonov[[#Headers],[30]],tabela_registros[REGISTRO],DADOS!$N$5,tabela_registros[TIPO],DADOS!$AB$5,tabela_registros[CATEGORIA],investiroutrosconsolidadonov[[#This Row],[ATUAL]])</f>
        <v>0</v>
      </c>
      <c r="AI156" s="217" t="n">
        <f aca="false">SUMIFS(tabela_registros[VALOR],tabela_registros[MÊS],$AE$1,tabela_registros[DIA],investiroutrosconsolidadonov[[#Headers],[31]],tabela_registros[REGISTRO],DADOS!$N$5,tabela_registros[TIPO],DADOS!$AB$5,tabela_registros[CATEGORIA],investiroutrosconsolidadonov[[#This Row],[ATUAL]])</f>
        <v>0</v>
      </c>
      <c r="AJ156" s="149" t="n">
        <f aca="false">SUM(investiroutrosconsolidadonov[[#This Row],[1]:[31]])</f>
        <v>0</v>
      </c>
      <c r="AK156" s="165"/>
    </row>
    <row r="157" customFormat="false" ht="19.5" hidden="false" customHeight="true" outlineLevel="0" collapsed="false">
      <c r="B157" s="143"/>
      <c r="C157" s="144" t="str">
        <f aca="false">DADOS!$AH$9</f>
        <v>📝 PREVIDÊNCIA PRIVADA</v>
      </c>
      <c r="D157" s="145" t="str">
        <f aca="false">IF(investiroutrosconsolidadonov[[#This Row],[TOTAL (R$)]]=0,"",IF(OR(investiroutrosconsolidadonov[[#This Row],[TOTAL (R$)]]=LARGE($AJ$151:$AJ$158,1),investiroutrosconsolidadonov[[#This Row],[TOTAL (R$)]]=LARGE($AJ$151:$AJ$158,2)),DADOS!$I$10,""))</f>
        <v/>
      </c>
      <c r="E157" s="148" t="n">
        <f aca="false">SUMIFS(tabela_registros[VALOR],tabela_registros[MÊS],$AE$1,tabela_registros[DIA],investiroutrosconsolidadonov[[#Headers],[1]],tabela_registros[REGISTRO],DADOS!$N$5,tabela_registros[TIPO],DADOS!$AB$5,tabela_registros[CATEGORIA],investiroutrosconsolidadonov[[#This Row],[ATUAL]])</f>
        <v>0</v>
      </c>
      <c r="F157" s="119" t="n">
        <f aca="false">SUMIFS(tabela_registros[VALOR],tabela_registros[MÊS],$AE$1,tabela_registros[DIA],investiroutrosconsolidadonov[[#Headers],[2]],tabela_registros[REGISTRO],DADOS!$N$5,tabela_registros[TIPO],DADOS!$AB$5,tabela_registros[CATEGORIA],investiroutrosconsolidadonov[[#This Row],[ATUAL]])</f>
        <v>0</v>
      </c>
      <c r="G157" s="119" t="n">
        <f aca="false">SUMIFS(tabela_registros[VALOR],tabela_registros[MÊS],$AE$1,tabela_registros[DIA],investiroutrosconsolidadonov[[#Headers],[3]],tabela_registros[REGISTRO],DADOS!$N$5,tabela_registros[TIPO],DADOS!$AB$5,tabela_registros[CATEGORIA],investiroutrosconsolidadonov[[#This Row],[ATUAL]])</f>
        <v>0</v>
      </c>
      <c r="H157" s="119" t="n">
        <f aca="false">SUMIFS(tabela_registros[VALOR],tabela_registros[MÊS],$AE$1,tabela_registros[DIA],investiroutrosconsolidadonov[[#Headers],[4]],tabela_registros[REGISTRO],DADOS!$N$5,tabela_registros[TIPO],DADOS!$AB$5,tabela_registros[CATEGORIA],investiroutrosconsolidadonov[[#This Row],[ATUAL]])</f>
        <v>0</v>
      </c>
      <c r="I157" s="119" t="n">
        <f aca="false">SUMIFS(tabela_registros[VALOR],tabela_registros[MÊS],$AE$1,tabela_registros[DIA],investiroutrosconsolidadonov[[#Headers],[5]],tabela_registros[REGISTRO],DADOS!$N$5,tabela_registros[TIPO],DADOS!$AB$5,tabela_registros[CATEGORIA],investiroutrosconsolidadonov[[#This Row],[ATUAL]])</f>
        <v>0</v>
      </c>
      <c r="J157" s="119" t="n">
        <f aca="false">SUMIFS(tabela_registros[VALOR],tabela_registros[MÊS],$AE$1,tabela_registros[DIA],investiroutrosconsolidadonov[[#Headers],[6]],tabela_registros[REGISTRO],DADOS!$N$5,tabela_registros[TIPO],DADOS!$AB$5,tabela_registros[CATEGORIA],investiroutrosconsolidadonov[[#This Row],[ATUAL]])</f>
        <v>0</v>
      </c>
      <c r="K157" s="119" t="n">
        <f aca="false">SUMIFS(tabela_registros[VALOR],tabela_registros[MÊS],$AE$1,tabela_registros[DIA],investiroutrosconsolidadonov[[#Headers],[7]],tabela_registros[REGISTRO],DADOS!$N$5,tabela_registros[TIPO],DADOS!$AB$5,tabela_registros[CATEGORIA],investiroutrosconsolidadonov[[#This Row],[ATUAL]])</f>
        <v>0</v>
      </c>
      <c r="L157" s="119" t="n">
        <f aca="false">SUMIFS(tabela_registros[VALOR],tabela_registros[MÊS],$AE$1,tabela_registros[DIA],investiroutrosconsolidadonov[[#Headers],[8]],tabela_registros[REGISTRO],DADOS!$N$5,tabela_registros[TIPO],DADOS!$AB$5,tabela_registros[CATEGORIA],investiroutrosconsolidadonov[[#This Row],[ATUAL]])</f>
        <v>0</v>
      </c>
      <c r="M157" s="119" t="n">
        <f aca="false">SUMIFS(tabela_registros[VALOR],tabela_registros[MÊS],$AE$1,tabela_registros[DIA],investiroutrosconsolidadonov[[#Headers],[9]],tabela_registros[REGISTRO],DADOS!$N$5,tabela_registros[TIPO],DADOS!$AB$5,tabela_registros[CATEGORIA],investiroutrosconsolidadonov[[#This Row],[ATUAL]])</f>
        <v>0</v>
      </c>
      <c r="N157" s="119" t="n">
        <f aca="false">SUMIFS(tabela_registros[VALOR],tabela_registros[MÊS],$AE$1,tabela_registros[DIA],investiroutrosconsolidadonov[[#Headers],[10]],tabela_registros[REGISTRO],DADOS!$N$5,tabela_registros[TIPO],DADOS!$AB$5,tabela_registros[CATEGORIA],investiroutrosconsolidadonov[[#This Row],[ATUAL]])</f>
        <v>0</v>
      </c>
      <c r="O157" s="119" t="n">
        <f aca="false">SUMIFS(tabela_registros[VALOR],tabela_registros[MÊS],$AE$1,tabela_registros[DIA],investiroutrosconsolidadonov[[#Headers],[11]],tabela_registros[REGISTRO],DADOS!$N$5,tabela_registros[TIPO],DADOS!$AB$5,tabela_registros[CATEGORIA],investiroutrosconsolidadonov[[#This Row],[ATUAL]])</f>
        <v>0</v>
      </c>
      <c r="P157" s="119" t="n">
        <f aca="false">SUMIFS(tabela_registros[VALOR],tabela_registros[MÊS],$AE$1,tabela_registros[DIA],investiroutrosconsolidadonov[[#Headers],[12]],tabela_registros[REGISTRO],DADOS!$N$5,tabela_registros[TIPO],DADOS!$AB$5,tabela_registros[CATEGORIA],investiroutrosconsolidadonov[[#This Row],[ATUAL]])</f>
        <v>0</v>
      </c>
      <c r="Q157" s="119" t="n">
        <f aca="false">SUMIFS(tabela_registros[VALOR],tabela_registros[MÊS],$AE$1,tabela_registros[DIA],investiroutrosconsolidadonov[[#Headers],[13]],tabela_registros[REGISTRO],DADOS!$N$5,tabela_registros[TIPO],DADOS!$AB$5,tabela_registros[CATEGORIA],investiroutrosconsolidadonov[[#This Row],[ATUAL]])</f>
        <v>0</v>
      </c>
      <c r="R157" s="119" t="n">
        <f aca="false">SUMIFS(tabela_registros[VALOR],tabela_registros[MÊS],$AE$1,tabela_registros[DIA],investiroutrosconsolidadonov[[#Headers],[14]],tabela_registros[REGISTRO],DADOS!$N$5,tabela_registros[TIPO],DADOS!$AB$5,tabela_registros[CATEGORIA],investiroutrosconsolidadonov[[#This Row],[ATUAL]])</f>
        <v>0</v>
      </c>
      <c r="S157" s="119" t="n">
        <f aca="false">SUMIFS(tabela_registros[VALOR],tabela_registros[MÊS],$AE$1,tabela_registros[DIA],investiroutrosconsolidadonov[[#Headers],[15]],tabela_registros[REGISTRO],DADOS!$N$5,tabela_registros[TIPO],DADOS!$AB$5,tabela_registros[CATEGORIA],investiroutrosconsolidadonov[[#This Row],[ATUAL]])</f>
        <v>0</v>
      </c>
      <c r="T157" s="119" t="n">
        <f aca="false">SUMIFS(tabela_registros[VALOR],tabela_registros[MÊS],$AE$1,tabela_registros[DIA],investiroutrosconsolidadonov[[#Headers],[16]],tabela_registros[REGISTRO],DADOS!$N$5,tabela_registros[TIPO],DADOS!$AB$5,tabela_registros[CATEGORIA],investiroutrosconsolidadonov[[#This Row],[ATUAL]])</f>
        <v>0</v>
      </c>
      <c r="U157" s="119" t="n">
        <f aca="false">SUMIFS(tabela_registros[VALOR],tabela_registros[MÊS],$AE$1,tabela_registros[DIA],investiroutrosconsolidadonov[[#Headers],[17]],tabela_registros[REGISTRO],DADOS!$N$5,tabela_registros[TIPO],DADOS!$AB$5,tabela_registros[CATEGORIA],investiroutrosconsolidadonov[[#This Row],[ATUAL]])</f>
        <v>0</v>
      </c>
      <c r="V157" s="119" t="n">
        <f aca="false">SUMIFS(tabela_registros[VALOR],tabela_registros[MÊS],$AE$1,tabela_registros[DIA],investiroutrosconsolidadonov[[#Headers],[18]],tabela_registros[REGISTRO],DADOS!$N$5,tabela_registros[TIPO],DADOS!$AB$5,tabela_registros[CATEGORIA],investiroutrosconsolidadonov[[#This Row],[ATUAL]])</f>
        <v>0</v>
      </c>
      <c r="W157" s="119" t="n">
        <f aca="false">SUMIFS(tabela_registros[VALOR],tabela_registros[MÊS],$AE$1,tabela_registros[DIA],investiroutrosconsolidadonov[[#Headers],[19]],tabela_registros[REGISTRO],DADOS!$N$5,tabela_registros[TIPO],DADOS!$AB$5,tabela_registros[CATEGORIA],investiroutrosconsolidadonov[[#This Row],[ATUAL]])</f>
        <v>0</v>
      </c>
      <c r="X157" s="119" t="n">
        <f aca="false">SUMIFS(tabela_registros[VALOR],tabela_registros[MÊS],$AE$1,tabela_registros[DIA],investiroutrosconsolidadonov[[#Headers],[20]],tabela_registros[REGISTRO],DADOS!$N$5,tabela_registros[TIPO],DADOS!$AB$5,tabela_registros[CATEGORIA],investiroutrosconsolidadonov[[#This Row],[ATUAL]])</f>
        <v>0</v>
      </c>
      <c r="Y157" s="119" t="n">
        <f aca="false">SUMIFS(tabela_registros[VALOR],tabela_registros[MÊS],$AE$1,tabela_registros[DIA],investiroutrosconsolidadonov[[#Headers],[21]],tabela_registros[REGISTRO],DADOS!$N$5,tabela_registros[TIPO],DADOS!$AB$5,tabela_registros[CATEGORIA],investiroutrosconsolidadonov[[#This Row],[ATUAL]])</f>
        <v>0</v>
      </c>
      <c r="Z157" s="119" t="n">
        <f aca="false">SUMIFS(tabela_registros[VALOR],tabela_registros[MÊS],$AE$1,tabela_registros[DIA],investiroutrosconsolidadonov[[#Headers],[22]],tabela_registros[REGISTRO],DADOS!$N$5,tabela_registros[TIPO],DADOS!$AB$5,tabela_registros[CATEGORIA],investiroutrosconsolidadonov[[#This Row],[ATUAL]])</f>
        <v>0</v>
      </c>
      <c r="AA157" s="119" t="n">
        <f aca="false">SUMIFS(tabela_registros[VALOR],tabela_registros[MÊS],$AE$1,tabela_registros[DIA],investiroutrosconsolidadonov[[#Headers],[23]],tabela_registros[REGISTRO],DADOS!$N$5,tabela_registros[TIPO],DADOS!$AB$5,tabela_registros[CATEGORIA],investiroutrosconsolidadonov[[#This Row],[ATUAL]])</f>
        <v>0</v>
      </c>
      <c r="AB157" s="119" t="n">
        <f aca="false">SUMIFS(tabela_registros[VALOR],tabela_registros[MÊS],$AE$1,tabela_registros[DIA],investiroutrosconsolidadonov[[#Headers],[24]],tabela_registros[REGISTRO],DADOS!$N$5,tabela_registros[TIPO],DADOS!$AB$5,tabela_registros[CATEGORIA],investiroutrosconsolidadonov[[#This Row],[ATUAL]])</f>
        <v>0</v>
      </c>
      <c r="AC157" s="119" t="n">
        <f aca="false">SUMIFS(tabela_registros[VALOR],tabela_registros[MÊS],$AE$1,tabela_registros[DIA],investiroutrosconsolidadonov[[#Headers],[25]],tabela_registros[REGISTRO],DADOS!$N$5,tabela_registros[TIPO],DADOS!$AB$5,tabela_registros[CATEGORIA],investiroutrosconsolidadonov[[#This Row],[ATUAL]])</f>
        <v>0</v>
      </c>
      <c r="AD157" s="119" t="n">
        <f aca="false">SUMIFS(tabela_registros[VALOR],tabela_registros[MÊS],$AE$1,tabela_registros[DIA],investiroutrosconsolidadonov[[#Headers],[26]],tabela_registros[REGISTRO],DADOS!$N$5,tabela_registros[TIPO],DADOS!$AB$5,tabela_registros[CATEGORIA],investiroutrosconsolidadonov[[#This Row],[ATUAL]])</f>
        <v>0</v>
      </c>
      <c r="AE157" s="119" t="n">
        <f aca="false">SUMIFS(tabela_registros[VALOR],tabela_registros[MÊS],$AE$1,tabela_registros[DIA],investiroutrosconsolidadonov[[#Headers],[27]],tabela_registros[REGISTRO],DADOS!$N$5,tabela_registros[TIPO],DADOS!$AB$5,tabela_registros[CATEGORIA],investiroutrosconsolidadonov[[#This Row],[ATUAL]])</f>
        <v>0</v>
      </c>
      <c r="AF157" s="119" t="n">
        <f aca="false">SUMIFS(tabela_registros[VALOR],tabela_registros[MÊS],$AE$1,tabela_registros[DIA],investiroutrosconsolidadonov[[#Headers],[28]],tabela_registros[REGISTRO],DADOS!$N$5,tabela_registros[TIPO],DADOS!$AB$5,tabela_registros[CATEGORIA],investiroutrosconsolidadonov[[#This Row],[ATUAL]])</f>
        <v>0</v>
      </c>
      <c r="AG157" s="119" t="n">
        <f aca="false">SUMIFS(tabela_registros[VALOR],tabela_registros[MÊS],$AE$1,tabela_registros[DIA],investiroutrosconsolidadonov[[#Headers],[29]],tabela_registros[REGISTRO],DADOS!$N$5,tabela_registros[TIPO],DADOS!$AB$5,tabela_registros[CATEGORIA],investiroutrosconsolidadonov[[#This Row],[ATUAL]])</f>
        <v>0</v>
      </c>
      <c r="AH157" s="119" t="n">
        <f aca="false">SUMIFS(tabela_registros[VALOR],tabela_registros[MÊS],$AE$1,tabela_registros[DIA],investiroutrosconsolidadonov[[#Headers],[30]],tabela_registros[REGISTRO],DADOS!$N$5,tabela_registros[TIPO],DADOS!$AB$5,tabela_registros[CATEGORIA],investiroutrosconsolidadonov[[#This Row],[ATUAL]])</f>
        <v>0</v>
      </c>
      <c r="AI157" s="217" t="n">
        <f aca="false">SUMIFS(tabela_registros[VALOR],tabela_registros[MÊS],$AE$1,tabela_registros[DIA],investiroutrosconsolidadonov[[#Headers],[31]],tabela_registros[REGISTRO],DADOS!$N$5,tabela_registros[TIPO],DADOS!$AB$5,tabela_registros[CATEGORIA],investiroutrosconsolidadonov[[#This Row],[ATUAL]])</f>
        <v>0</v>
      </c>
      <c r="AJ157" s="149" t="n">
        <f aca="false">SUM(investiroutrosconsolidadonov[[#This Row],[1]:[31]])</f>
        <v>0</v>
      </c>
      <c r="AK157" s="165"/>
    </row>
    <row r="158" customFormat="false" ht="19.5" hidden="false" customHeight="true" outlineLevel="0" collapsed="false">
      <c r="B158" s="143"/>
      <c r="C158" s="144" t="str">
        <f aca="false">DADOS!$AH$10</f>
        <v>📎 OUTROS</v>
      </c>
      <c r="D158" s="145" t="str">
        <f aca="false">IF(investiroutrosconsolidadonov[[#This Row],[TOTAL (R$)]]=0,"",IF(OR(investiroutrosconsolidadonov[[#This Row],[TOTAL (R$)]]=LARGE($AJ$151:$AJ$158,1),investiroutrosconsolidadonov[[#This Row],[TOTAL (R$)]]=LARGE($AJ$151:$AJ$158,2)),DADOS!$I$10,""))</f>
        <v/>
      </c>
      <c r="E158" s="148" t="n">
        <f aca="false">SUMIFS(tabela_registros[VALOR],tabela_registros[MÊS],$AE$1,tabela_registros[DIA],investiroutrosconsolidadonov[[#Headers],[1]],tabela_registros[REGISTRO],DADOS!$N$5,tabela_registros[TIPO],DADOS!$AB$5,tabela_registros[CATEGORIA],investiroutrosconsolidadonov[[#This Row],[ATUAL]])</f>
        <v>0</v>
      </c>
      <c r="F158" s="119" t="n">
        <f aca="false">SUMIFS(tabela_registros[VALOR],tabela_registros[MÊS],$AE$1,tabela_registros[DIA],investiroutrosconsolidadonov[[#Headers],[2]],tabela_registros[REGISTRO],DADOS!$N$5,tabela_registros[TIPO],DADOS!$AB$5,tabela_registros[CATEGORIA],investiroutrosconsolidadonov[[#This Row],[ATUAL]])</f>
        <v>0</v>
      </c>
      <c r="G158" s="119" t="n">
        <f aca="false">SUMIFS(tabela_registros[VALOR],tabela_registros[MÊS],$AE$1,tabela_registros[DIA],investiroutrosconsolidadonov[[#Headers],[3]],tabela_registros[REGISTRO],DADOS!$N$5,tabela_registros[TIPO],DADOS!$AB$5,tabela_registros[CATEGORIA],investiroutrosconsolidadonov[[#This Row],[ATUAL]])</f>
        <v>0</v>
      </c>
      <c r="H158" s="119" t="n">
        <f aca="false">SUMIFS(tabela_registros[VALOR],tabela_registros[MÊS],$AE$1,tabela_registros[DIA],investiroutrosconsolidadonov[[#Headers],[4]],tabela_registros[REGISTRO],DADOS!$N$5,tabela_registros[TIPO],DADOS!$AB$5,tabela_registros[CATEGORIA],investiroutrosconsolidadonov[[#This Row],[ATUAL]])</f>
        <v>0</v>
      </c>
      <c r="I158" s="119" t="n">
        <f aca="false">SUMIFS(tabela_registros[VALOR],tabela_registros[MÊS],$AE$1,tabela_registros[DIA],investiroutrosconsolidadonov[[#Headers],[5]],tabela_registros[REGISTRO],DADOS!$N$5,tabela_registros[TIPO],DADOS!$AB$5,tabela_registros[CATEGORIA],investiroutrosconsolidadonov[[#This Row],[ATUAL]])</f>
        <v>0</v>
      </c>
      <c r="J158" s="119" t="n">
        <f aca="false">SUMIFS(tabela_registros[VALOR],tabela_registros[MÊS],$AE$1,tabela_registros[DIA],investiroutrosconsolidadonov[[#Headers],[6]],tabela_registros[REGISTRO],DADOS!$N$5,tabela_registros[TIPO],DADOS!$AB$5,tabela_registros[CATEGORIA],investiroutrosconsolidadonov[[#This Row],[ATUAL]])</f>
        <v>0</v>
      </c>
      <c r="K158" s="119" t="n">
        <f aca="false">SUMIFS(tabela_registros[VALOR],tabela_registros[MÊS],$AE$1,tabela_registros[DIA],investiroutrosconsolidadonov[[#Headers],[7]],tabela_registros[REGISTRO],DADOS!$N$5,tabela_registros[TIPO],DADOS!$AB$5,tabela_registros[CATEGORIA],investiroutrosconsolidadonov[[#This Row],[ATUAL]])</f>
        <v>0</v>
      </c>
      <c r="L158" s="119" t="n">
        <f aca="false">SUMIFS(tabela_registros[VALOR],tabela_registros[MÊS],$AE$1,tabela_registros[DIA],investiroutrosconsolidadonov[[#Headers],[8]],tabela_registros[REGISTRO],DADOS!$N$5,tabela_registros[TIPO],DADOS!$AB$5,tabela_registros[CATEGORIA],investiroutrosconsolidadonov[[#This Row],[ATUAL]])</f>
        <v>0</v>
      </c>
      <c r="M158" s="119" t="n">
        <f aca="false">SUMIFS(tabela_registros[VALOR],tabela_registros[MÊS],$AE$1,tabela_registros[DIA],investiroutrosconsolidadonov[[#Headers],[9]],tabela_registros[REGISTRO],DADOS!$N$5,tabela_registros[TIPO],DADOS!$AB$5,tabela_registros[CATEGORIA],investiroutrosconsolidadonov[[#This Row],[ATUAL]])</f>
        <v>0</v>
      </c>
      <c r="N158" s="119" t="n">
        <f aca="false">SUMIFS(tabela_registros[VALOR],tabela_registros[MÊS],$AE$1,tabela_registros[DIA],investiroutrosconsolidadonov[[#Headers],[10]],tabela_registros[REGISTRO],DADOS!$N$5,tabela_registros[TIPO],DADOS!$AB$5,tabela_registros[CATEGORIA],investiroutrosconsolidadonov[[#This Row],[ATUAL]])</f>
        <v>0</v>
      </c>
      <c r="O158" s="119" t="n">
        <f aca="false">SUMIFS(tabela_registros[VALOR],tabela_registros[MÊS],$AE$1,tabela_registros[DIA],investiroutrosconsolidadonov[[#Headers],[11]],tabela_registros[REGISTRO],DADOS!$N$5,tabela_registros[TIPO],DADOS!$AB$5,tabela_registros[CATEGORIA],investiroutrosconsolidadonov[[#This Row],[ATUAL]])</f>
        <v>0</v>
      </c>
      <c r="P158" s="119" t="n">
        <f aca="false">SUMIFS(tabela_registros[VALOR],tabela_registros[MÊS],$AE$1,tabela_registros[DIA],investiroutrosconsolidadonov[[#Headers],[12]],tabela_registros[REGISTRO],DADOS!$N$5,tabela_registros[TIPO],DADOS!$AB$5,tabela_registros[CATEGORIA],investiroutrosconsolidadonov[[#This Row],[ATUAL]])</f>
        <v>0</v>
      </c>
      <c r="Q158" s="119" t="n">
        <f aca="false">SUMIFS(tabela_registros[VALOR],tabela_registros[MÊS],$AE$1,tabela_registros[DIA],investiroutrosconsolidadonov[[#Headers],[13]],tabela_registros[REGISTRO],DADOS!$N$5,tabela_registros[TIPO],DADOS!$AB$5,tabela_registros[CATEGORIA],investiroutrosconsolidadonov[[#This Row],[ATUAL]])</f>
        <v>0</v>
      </c>
      <c r="R158" s="119" t="n">
        <f aca="false">SUMIFS(tabela_registros[VALOR],tabela_registros[MÊS],$AE$1,tabela_registros[DIA],investiroutrosconsolidadonov[[#Headers],[14]],tabela_registros[REGISTRO],DADOS!$N$5,tabela_registros[TIPO],DADOS!$AB$5,tabela_registros[CATEGORIA],investiroutrosconsolidadonov[[#This Row],[ATUAL]])</f>
        <v>0</v>
      </c>
      <c r="S158" s="119" t="n">
        <f aca="false">SUMIFS(tabela_registros[VALOR],tabela_registros[MÊS],$AE$1,tabela_registros[DIA],investiroutrosconsolidadonov[[#Headers],[15]],tabela_registros[REGISTRO],DADOS!$N$5,tabela_registros[TIPO],DADOS!$AB$5,tabela_registros[CATEGORIA],investiroutrosconsolidadonov[[#This Row],[ATUAL]])</f>
        <v>0</v>
      </c>
      <c r="T158" s="119" t="n">
        <f aca="false">SUMIFS(tabela_registros[VALOR],tabela_registros[MÊS],$AE$1,tabela_registros[DIA],investiroutrosconsolidadonov[[#Headers],[16]],tabela_registros[REGISTRO],DADOS!$N$5,tabela_registros[TIPO],DADOS!$AB$5,tabela_registros[CATEGORIA],investiroutrosconsolidadonov[[#This Row],[ATUAL]])</f>
        <v>0</v>
      </c>
      <c r="U158" s="119" t="n">
        <f aca="false">SUMIFS(tabela_registros[VALOR],tabela_registros[MÊS],$AE$1,tabela_registros[DIA],investiroutrosconsolidadonov[[#Headers],[17]],tabela_registros[REGISTRO],DADOS!$N$5,tabela_registros[TIPO],DADOS!$AB$5,tabela_registros[CATEGORIA],investiroutrosconsolidadonov[[#This Row],[ATUAL]])</f>
        <v>0</v>
      </c>
      <c r="V158" s="119" t="n">
        <f aca="false">SUMIFS(tabela_registros[VALOR],tabela_registros[MÊS],$AE$1,tabela_registros[DIA],investiroutrosconsolidadonov[[#Headers],[18]],tabela_registros[REGISTRO],DADOS!$N$5,tabela_registros[TIPO],DADOS!$AB$5,tabela_registros[CATEGORIA],investiroutrosconsolidadonov[[#This Row],[ATUAL]])</f>
        <v>0</v>
      </c>
      <c r="W158" s="119" t="n">
        <f aca="false">SUMIFS(tabela_registros[VALOR],tabela_registros[MÊS],$AE$1,tabela_registros[DIA],investiroutrosconsolidadonov[[#Headers],[19]],tabela_registros[REGISTRO],DADOS!$N$5,tabela_registros[TIPO],DADOS!$AB$5,tabela_registros[CATEGORIA],investiroutrosconsolidadonov[[#This Row],[ATUAL]])</f>
        <v>0</v>
      </c>
      <c r="X158" s="119" t="n">
        <f aca="false">SUMIFS(tabela_registros[VALOR],tabela_registros[MÊS],$AE$1,tabela_registros[DIA],investiroutrosconsolidadonov[[#Headers],[20]],tabela_registros[REGISTRO],DADOS!$N$5,tabela_registros[TIPO],DADOS!$AB$5,tabela_registros[CATEGORIA],investiroutrosconsolidadonov[[#This Row],[ATUAL]])</f>
        <v>0</v>
      </c>
      <c r="Y158" s="119" t="n">
        <f aca="false">SUMIFS(tabela_registros[VALOR],tabela_registros[MÊS],$AE$1,tabela_registros[DIA],investiroutrosconsolidadonov[[#Headers],[21]],tabela_registros[REGISTRO],DADOS!$N$5,tabela_registros[TIPO],DADOS!$AB$5,tabela_registros[CATEGORIA],investiroutrosconsolidadonov[[#This Row],[ATUAL]])</f>
        <v>0</v>
      </c>
      <c r="Z158" s="119" t="n">
        <f aca="false">SUMIFS(tabela_registros[VALOR],tabela_registros[MÊS],$AE$1,tabela_registros[DIA],investiroutrosconsolidadonov[[#Headers],[22]],tabela_registros[REGISTRO],DADOS!$N$5,tabela_registros[TIPO],DADOS!$AB$5,tabela_registros[CATEGORIA],investiroutrosconsolidadonov[[#This Row],[ATUAL]])</f>
        <v>0</v>
      </c>
      <c r="AA158" s="119" t="n">
        <f aca="false">SUMIFS(tabela_registros[VALOR],tabela_registros[MÊS],$AE$1,tabela_registros[DIA],investiroutrosconsolidadonov[[#Headers],[23]],tabela_registros[REGISTRO],DADOS!$N$5,tabela_registros[TIPO],DADOS!$AB$5,tabela_registros[CATEGORIA],investiroutrosconsolidadonov[[#This Row],[ATUAL]])</f>
        <v>0</v>
      </c>
      <c r="AB158" s="119" t="n">
        <f aca="false">SUMIFS(tabela_registros[VALOR],tabela_registros[MÊS],$AE$1,tabela_registros[DIA],investiroutrosconsolidadonov[[#Headers],[24]],tabela_registros[REGISTRO],DADOS!$N$5,tabela_registros[TIPO],DADOS!$AB$5,tabela_registros[CATEGORIA],investiroutrosconsolidadonov[[#This Row],[ATUAL]])</f>
        <v>0</v>
      </c>
      <c r="AC158" s="119" t="n">
        <f aca="false">SUMIFS(tabela_registros[VALOR],tabela_registros[MÊS],$AE$1,tabela_registros[DIA],investiroutrosconsolidadonov[[#Headers],[25]],tabela_registros[REGISTRO],DADOS!$N$5,tabela_registros[TIPO],DADOS!$AB$5,tabela_registros[CATEGORIA],investiroutrosconsolidadonov[[#This Row],[ATUAL]])</f>
        <v>0</v>
      </c>
      <c r="AD158" s="119" t="n">
        <f aca="false">SUMIFS(tabela_registros[VALOR],tabela_registros[MÊS],$AE$1,tabela_registros[DIA],investiroutrosconsolidadonov[[#Headers],[26]],tabela_registros[REGISTRO],DADOS!$N$5,tabela_registros[TIPO],DADOS!$AB$5,tabela_registros[CATEGORIA],investiroutrosconsolidadonov[[#This Row],[ATUAL]])</f>
        <v>0</v>
      </c>
      <c r="AE158" s="119" t="n">
        <f aca="false">SUMIFS(tabela_registros[VALOR],tabela_registros[MÊS],$AE$1,tabela_registros[DIA],investiroutrosconsolidadonov[[#Headers],[27]],tabela_registros[REGISTRO],DADOS!$N$5,tabela_registros[TIPO],DADOS!$AB$5,tabela_registros[CATEGORIA],investiroutrosconsolidadonov[[#This Row],[ATUAL]])</f>
        <v>0</v>
      </c>
      <c r="AF158" s="119" t="n">
        <f aca="false">SUMIFS(tabela_registros[VALOR],tabela_registros[MÊS],$AE$1,tabela_registros[DIA],investiroutrosconsolidadonov[[#Headers],[28]],tabela_registros[REGISTRO],DADOS!$N$5,tabela_registros[TIPO],DADOS!$AB$5,tabela_registros[CATEGORIA],investiroutrosconsolidadonov[[#This Row],[ATUAL]])</f>
        <v>0</v>
      </c>
      <c r="AG158" s="119" t="n">
        <f aca="false">SUMIFS(tabela_registros[VALOR],tabela_registros[MÊS],$AE$1,tabela_registros[DIA],investiroutrosconsolidadonov[[#Headers],[29]],tabela_registros[REGISTRO],DADOS!$N$5,tabela_registros[TIPO],DADOS!$AB$5,tabela_registros[CATEGORIA],investiroutrosconsolidadonov[[#This Row],[ATUAL]])</f>
        <v>0</v>
      </c>
      <c r="AH158" s="151" t="n">
        <f aca="false">SUMIFS(tabela_registros[VALOR],tabela_registros[MÊS],$AE$1,tabela_registros[DIA],investiroutrosconsolidadonov[[#Headers],[30]],tabela_registros[REGISTRO],DADOS!$N$5,tabela_registros[TIPO],DADOS!$AB$5,tabela_registros[CATEGORIA],investiroutrosconsolidadonov[[#This Row],[ATUAL]])</f>
        <v>0</v>
      </c>
      <c r="AI158" s="218" t="n">
        <f aca="false">SUMIFS(tabela_registros[VALOR],tabela_registros[MÊS],$AE$1,tabela_registros[DIA],investiroutrosconsolidadonov[[#Headers],[31]],tabela_registros[REGISTRO],DADOS!$N$5,tabela_registros[TIPO],DADOS!$AB$5,tabela_registros[CATEGORIA],investiroutrosconsolidadonov[[#This Row],[ATUAL]])</f>
        <v>0</v>
      </c>
      <c r="AJ158" s="219" t="n">
        <f aca="false">SUM(investiroutrosconsolidadonov[[#This Row],[1]:[31]])</f>
        <v>0</v>
      </c>
      <c r="AK158" s="165"/>
    </row>
    <row r="159" s="122" customFormat="true" ht="21" hidden="false" customHeight="true" outlineLevel="0" collapsed="false">
      <c r="B159" s="152"/>
      <c r="C159" s="153" t="s">
        <v>2</v>
      </c>
      <c r="D159" s="166"/>
      <c r="E159" s="155" t="n">
        <f aca="false">SUM(E151:E158)</f>
        <v>0</v>
      </c>
      <c r="F159" s="156" t="n">
        <f aca="false">SUM(F151:F158)+investiroutrosconsolidadonov[[#This Row],[1]]</f>
        <v>0</v>
      </c>
      <c r="G159" s="156" t="n">
        <f aca="false">SUM(G151:G158)+investiroutrosconsolidadonov[[#This Row],[2]]</f>
        <v>0</v>
      </c>
      <c r="H159" s="156" t="n">
        <f aca="false">SUM(H151:H158)+investiroutrosconsolidadonov[[#This Row],[3]]</f>
        <v>0</v>
      </c>
      <c r="I159" s="156" t="n">
        <f aca="false">SUM(I151:I158)+investiroutrosconsolidadonov[[#This Row],[4]]</f>
        <v>0</v>
      </c>
      <c r="J159" s="156" t="n">
        <f aca="false">SUM(J151:J158)+investiroutrosconsolidadonov[[#This Row],[5]]</f>
        <v>0</v>
      </c>
      <c r="K159" s="156" t="n">
        <f aca="false">SUM(K151:K158)+investiroutrosconsolidadonov[[#This Row],[6]]</f>
        <v>0</v>
      </c>
      <c r="L159" s="156" t="n">
        <f aca="false">SUM(L151:L158)+investiroutrosconsolidadonov[[#This Row],[7]]</f>
        <v>0</v>
      </c>
      <c r="M159" s="156" t="n">
        <f aca="false">SUM(M151:M158)+investiroutrosconsolidadonov[[#This Row],[8]]</f>
        <v>0</v>
      </c>
      <c r="N159" s="156" t="n">
        <f aca="false">SUM(N151:N158)+investiroutrosconsolidadonov[[#This Row],[9]]</f>
        <v>0</v>
      </c>
      <c r="O159" s="156" t="n">
        <f aca="false">SUM(O151:O158)+investiroutrosconsolidadonov[[#This Row],[10]]</f>
        <v>0</v>
      </c>
      <c r="P159" s="156" t="n">
        <f aca="false">SUM(P151:P158)+investiroutrosconsolidadonov[[#This Row],[11]]</f>
        <v>0</v>
      </c>
      <c r="Q159" s="156" t="n">
        <f aca="false">SUM(Q151:Q158)+investiroutrosconsolidadonov[[#This Row],[12]]</f>
        <v>0</v>
      </c>
      <c r="R159" s="156" t="n">
        <f aca="false">SUM(R151:R158)+investiroutrosconsolidadonov[[#This Row],[13]]</f>
        <v>0</v>
      </c>
      <c r="S159" s="156" t="n">
        <f aca="false">SUM(S151:S158)+investiroutrosconsolidadonov[[#This Row],[14]]</f>
        <v>0</v>
      </c>
      <c r="T159" s="156" t="n">
        <f aca="false">SUM(T151:T158)+investiroutrosconsolidadonov[[#This Row],[15]]</f>
        <v>0</v>
      </c>
      <c r="U159" s="156" t="n">
        <f aca="false">SUM(U151:U158)+investiroutrosconsolidadonov[[#This Row],[16]]</f>
        <v>0</v>
      </c>
      <c r="V159" s="156" t="n">
        <f aca="false">SUM(V151:V158)+investiroutrosconsolidadonov[[#This Row],[17]]</f>
        <v>0</v>
      </c>
      <c r="W159" s="156" t="n">
        <f aca="false">SUM(W151:W158)+investiroutrosconsolidadonov[[#This Row],[18]]</f>
        <v>0</v>
      </c>
      <c r="X159" s="156" t="n">
        <f aca="false">SUM(X151:X158)+investiroutrosconsolidadonov[[#This Row],[19]]</f>
        <v>0</v>
      </c>
      <c r="Y159" s="156" t="n">
        <f aca="false">SUM(Y151:Y158)+investiroutrosconsolidadonov[[#This Row],[20]]</f>
        <v>0</v>
      </c>
      <c r="Z159" s="156" t="n">
        <f aca="false">SUM(Z151:Z158)+investiroutrosconsolidadonov[[#This Row],[21]]</f>
        <v>0</v>
      </c>
      <c r="AA159" s="156" t="n">
        <f aca="false">SUM(AA151:AA158)+investiroutrosconsolidadonov[[#This Row],[22]]</f>
        <v>0</v>
      </c>
      <c r="AB159" s="156" t="n">
        <f aca="false">SUM(AB151:AB158)+investiroutrosconsolidadonov[[#This Row],[23]]</f>
        <v>0</v>
      </c>
      <c r="AC159" s="156" t="n">
        <f aca="false">SUM(AC151:AC158)+investiroutrosconsolidadonov[[#This Row],[24]]</f>
        <v>0</v>
      </c>
      <c r="AD159" s="156" t="n">
        <f aca="false">SUM(AD151:AD158)+investiroutrosconsolidadonov[[#This Row],[25]]</f>
        <v>0</v>
      </c>
      <c r="AE159" s="156" t="n">
        <f aca="false">SUM(AE151:AE158)+investiroutrosconsolidadonov[[#This Row],[26]]</f>
        <v>0</v>
      </c>
      <c r="AF159" s="156" t="n">
        <f aca="false">SUM(AF151:AF158)+investiroutrosconsolidadonov[[#This Row],[27]]</f>
        <v>0</v>
      </c>
      <c r="AG159" s="156" t="n">
        <f aca="false">SUM(AG151:AG158)+investiroutrosconsolidadonov[[#This Row],[28]]</f>
        <v>0</v>
      </c>
      <c r="AH159" s="156" t="n">
        <f aca="false">SUM(AH151:AH158)+investiroutrosconsolidadonov[[#This Row],[29]]</f>
        <v>0</v>
      </c>
      <c r="AI159" s="223" t="n">
        <f aca="false">SUM(AI151:AI158)+investiroutrosconsolidadonov[[#This Row],[30]]</f>
        <v>0</v>
      </c>
      <c r="AJ159" s="157" t="n">
        <f aca="false">investiroutrosconsolidadonov[[#This Row],[31]]</f>
        <v>0</v>
      </c>
      <c r="AK159" s="158"/>
    </row>
    <row r="160" customFormat="false" ht="6.75" hidden="false" customHeight="true" outlineLevel="0" collapsed="false">
      <c r="B160" s="97"/>
      <c r="C160" s="162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233"/>
      <c r="AJ160" s="164"/>
      <c r="AK160" s="244"/>
    </row>
    <row r="161" s="78" customFormat="true" ht="12.75" hidden="false" customHeight="false" outlineLevel="0" collapsed="false">
      <c r="E161" s="100"/>
    </row>
    <row r="162" s="78" customFormat="true" ht="12" hidden="false" customHeight="false" outlineLevel="0" collapsed="false"/>
    <row r="163" s="78" customFormat="true" ht="12" hidden="false" customHeight="false" outlineLevel="0" collapsed="false"/>
    <row r="164" customFormat="false" ht="39.75" hidden="false" customHeight="true" outlineLevel="0" collapsed="false">
      <c r="C164" s="101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3" t="s">
        <v>2</v>
      </c>
    </row>
    <row r="165" s="78" customFormat="true" ht="12.75" hidden="false" customHeight="false" outlineLevel="0" collapsed="false">
      <c r="B165" s="161"/>
      <c r="AJ165" s="106" t="s">
        <v>64</v>
      </c>
    </row>
    <row r="166" customFormat="false" ht="6.75" hidden="false" customHeight="true" outlineLevel="0" collapsed="false">
      <c r="B166" s="86"/>
      <c r="C166" s="162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233"/>
      <c r="AK166" s="139"/>
    </row>
    <row r="167" customFormat="false" ht="13.5" hidden="true" customHeight="false" outlineLevel="0" collapsed="false">
      <c r="B167" s="86"/>
      <c r="C167" s="109" t="s">
        <v>68</v>
      </c>
      <c r="D167" s="110" t="s">
        <v>69</v>
      </c>
      <c r="E167" s="110" t="s">
        <v>30</v>
      </c>
      <c r="F167" s="110" t="s">
        <v>31</v>
      </c>
      <c r="G167" s="110" t="s">
        <v>32</v>
      </c>
      <c r="H167" s="110" t="s">
        <v>33</v>
      </c>
      <c r="I167" s="110" t="s">
        <v>34</v>
      </c>
      <c r="J167" s="110" t="s">
        <v>35</v>
      </c>
      <c r="K167" s="110" t="s">
        <v>36</v>
      </c>
      <c r="L167" s="110" t="s">
        <v>37</v>
      </c>
      <c r="M167" s="110" t="s">
        <v>38</v>
      </c>
      <c r="N167" s="110" t="s">
        <v>39</v>
      </c>
      <c r="O167" s="110" t="s">
        <v>40</v>
      </c>
      <c r="P167" s="110" t="s">
        <v>41</v>
      </c>
      <c r="Q167" s="110" t="s">
        <v>81</v>
      </c>
      <c r="R167" s="110" t="s">
        <v>82</v>
      </c>
      <c r="S167" s="110" t="s">
        <v>83</v>
      </c>
      <c r="T167" s="110" t="s">
        <v>84</v>
      </c>
      <c r="U167" s="110" t="s">
        <v>85</v>
      </c>
      <c r="V167" s="110" t="s">
        <v>86</v>
      </c>
      <c r="W167" s="110" t="s">
        <v>87</v>
      </c>
      <c r="X167" s="110" t="s">
        <v>88</v>
      </c>
      <c r="Y167" s="110" t="s">
        <v>89</v>
      </c>
      <c r="Z167" s="110" t="s">
        <v>90</v>
      </c>
      <c r="AA167" s="110" t="s">
        <v>91</v>
      </c>
      <c r="AB167" s="110" t="s">
        <v>92</v>
      </c>
      <c r="AC167" s="110" t="s">
        <v>93</v>
      </c>
      <c r="AD167" s="110" t="s">
        <v>94</v>
      </c>
      <c r="AE167" s="110" t="s">
        <v>95</v>
      </c>
      <c r="AF167" s="110" t="s">
        <v>96</v>
      </c>
      <c r="AG167" s="110" t="s">
        <v>97</v>
      </c>
      <c r="AH167" s="110" t="s">
        <v>98</v>
      </c>
      <c r="AI167" s="110" t="s">
        <v>99</v>
      </c>
      <c r="AJ167" s="111" t="s">
        <v>70</v>
      </c>
      <c r="AK167" s="86"/>
    </row>
    <row r="168" customFormat="false" ht="19.5" hidden="false" customHeight="true" outlineLevel="0" collapsed="false">
      <c r="B168" s="143"/>
      <c r="C168" s="144" t="str">
        <f aca="false">DADOS!$AL$3</f>
        <v>📝 CDB</v>
      </c>
      <c r="D168" s="145" t="str">
        <f aca="false">IF(reservafixaconsolidadonov[[#This Row],[TOTAL (R$)]]=0,"",IF(OR(reservafixaconsolidadonov[[#This Row],[TOTAL (R$)]]=LARGE($AJ$168:$AJ$177,1),reservafixaconsolidadonov[[#This Row],[TOTAL (R$)]]=LARGE($AJ$168:$AJ$177,2)),DADOS!$I$11,""))</f>
        <v/>
      </c>
      <c r="E168" s="148" t="n">
        <f aca="false">SUMIFS(tabela_registros[VALOR],tabela_registros[MÊS],$AE$1,tabela_registros[DIA],reservafixaconsolidadonov[[#Headers],[1]],tabela_registros[REGISTRO],DADOS!$N$6,tabela_registros[TIPO],DADOS!$AJ$3,tabela_registros[CATEGORIA],reservafixaconsolidadonov[[#This Row],[ATUAL]])</f>
        <v>0</v>
      </c>
      <c r="F168" s="119" t="n">
        <f aca="false">SUMIFS(tabela_registros[VALOR],tabela_registros[MÊS],$AE$1,tabela_registros[DIA],reservafixaconsolidadonov[[#Headers],[2]],tabela_registros[REGISTRO],DADOS!$N$6,tabela_registros[TIPO],DADOS!$AJ$3,tabela_registros[CATEGORIA],reservafixaconsolidadonov[[#This Row],[ATUAL]])</f>
        <v>0</v>
      </c>
      <c r="G168" s="119" t="n">
        <f aca="false">SUMIFS(tabela_registros[VALOR],tabela_registros[MÊS],$AE$1,tabela_registros[DIA],reservafixaconsolidadonov[[#Headers],[3]],tabela_registros[REGISTRO],DADOS!$N$6,tabela_registros[TIPO],DADOS!$AJ$3,tabela_registros[CATEGORIA],reservafixaconsolidadonov[[#This Row],[ATUAL]])</f>
        <v>0</v>
      </c>
      <c r="H168" s="119" t="n">
        <f aca="false">SUMIFS(tabela_registros[VALOR],tabela_registros[MÊS],$AE$1,tabela_registros[DIA],reservafixaconsolidadonov[[#Headers],[4]],tabela_registros[REGISTRO],DADOS!$N$6,tabela_registros[TIPO],DADOS!$AJ$3,tabela_registros[CATEGORIA],reservafixaconsolidadonov[[#This Row],[ATUAL]])</f>
        <v>0</v>
      </c>
      <c r="I168" s="119" t="n">
        <f aca="false">SUMIFS(tabela_registros[VALOR],tabela_registros[MÊS],$AE$1,tabela_registros[DIA],reservafixaconsolidadonov[[#Headers],[5]],tabela_registros[REGISTRO],DADOS!$N$6,tabela_registros[TIPO],DADOS!$AJ$3,tabela_registros[CATEGORIA],reservafixaconsolidadonov[[#This Row],[ATUAL]])</f>
        <v>0</v>
      </c>
      <c r="J168" s="119" t="n">
        <f aca="false">SUMIFS(tabela_registros[VALOR],tabela_registros[MÊS],$AE$1,tabela_registros[DIA],reservafixaconsolidadonov[[#Headers],[6]],tabela_registros[REGISTRO],DADOS!$N$6,tabela_registros[TIPO],DADOS!$AJ$3,tabela_registros[CATEGORIA],reservafixaconsolidadonov[[#This Row],[ATUAL]])</f>
        <v>0</v>
      </c>
      <c r="K168" s="119" t="n">
        <f aca="false">SUMIFS(tabela_registros[VALOR],tabela_registros[MÊS],$AE$1,tabela_registros[DIA],reservafixaconsolidadonov[[#Headers],[7]],tabela_registros[REGISTRO],DADOS!$N$6,tabela_registros[TIPO],DADOS!$AJ$3,tabela_registros[CATEGORIA],reservafixaconsolidadonov[[#This Row],[ATUAL]])</f>
        <v>0</v>
      </c>
      <c r="L168" s="119" t="n">
        <f aca="false">SUMIFS(tabela_registros[VALOR],tabela_registros[MÊS],$AE$1,tabela_registros[DIA],reservafixaconsolidadonov[[#Headers],[8]],tabela_registros[REGISTRO],DADOS!$N$6,tabela_registros[TIPO],DADOS!$AJ$3,tabela_registros[CATEGORIA],reservafixaconsolidadonov[[#This Row],[ATUAL]])</f>
        <v>0</v>
      </c>
      <c r="M168" s="119" t="n">
        <f aca="false">SUMIFS(tabela_registros[VALOR],tabela_registros[MÊS],$AE$1,tabela_registros[DIA],reservafixaconsolidadonov[[#Headers],[9]],tabela_registros[REGISTRO],DADOS!$N$6,tabela_registros[TIPO],DADOS!$AJ$3,tabela_registros[CATEGORIA],reservafixaconsolidadonov[[#This Row],[ATUAL]])</f>
        <v>0</v>
      </c>
      <c r="N168" s="119" t="n">
        <f aca="false">SUMIFS(tabela_registros[VALOR],tabela_registros[MÊS],$AE$1,tabela_registros[DIA],reservafixaconsolidadonov[[#Headers],[10]],tabela_registros[REGISTRO],DADOS!$N$6,tabela_registros[TIPO],DADOS!$AJ$3,tabela_registros[CATEGORIA],reservafixaconsolidadonov[[#This Row],[ATUAL]])</f>
        <v>0</v>
      </c>
      <c r="O168" s="119" t="n">
        <f aca="false">SUMIFS(tabela_registros[VALOR],tabela_registros[MÊS],$AE$1,tabela_registros[DIA],reservafixaconsolidadonov[[#Headers],[11]],tabela_registros[REGISTRO],DADOS!$N$6,tabela_registros[TIPO],DADOS!$AJ$3,tabela_registros[CATEGORIA],reservafixaconsolidadonov[[#This Row],[ATUAL]])</f>
        <v>0</v>
      </c>
      <c r="P168" s="119" t="n">
        <f aca="false">SUMIFS(tabela_registros[VALOR],tabela_registros[MÊS],$AE$1,tabela_registros[DIA],reservafixaconsolidadonov[[#Headers],[12]],tabela_registros[REGISTRO],DADOS!$N$6,tabela_registros[TIPO],DADOS!$AJ$3,tabela_registros[CATEGORIA],reservafixaconsolidadonov[[#This Row],[ATUAL]])</f>
        <v>0</v>
      </c>
      <c r="Q168" s="119" t="n">
        <f aca="false">SUMIFS(tabela_registros[VALOR],tabela_registros[MÊS],$AE$1,tabela_registros[DIA],reservafixaconsolidadonov[[#Headers],[13]],tabela_registros[REGISTRO],DADOS!$N$6,tabela_registros[TIPO],DADOS!$AJ$3,tabela_registros[CATEGORIA],reservafixaconsolidadonov[[#This Row],[ATUAL]])</f>
        <v>0</v>
      </c>
      <c r="R168" s="119" t="n">
        <f aca="false">SUMIFS(tabela_registros[VALOR],tabela_registros[MÊS],$AE$1,tabela_registros[DIA],reservafixaconsolidadonov[[#Headers],[14]],tabela_registros[REGISTRO],DADOS!$N$6,tabela_registros[TIPO],DADOS!$AJ$3,tabela_registros[CATEGORIA],reservafixaconsolidadonov[[#This Row],[ATUAL]])</f>
        <v>0</v>
      </c>
      <c r="S168" s="119" t="n">
        <f aca="false">SUMIFS(tabela_registros[VALOR],tabela_registros[MÊS],$AE$1,tabela_registros[DIA],reservafixaconsolidadonov[[#Headers],[15]],tabela_registros[REGISTRO],DADOS!$N$6,tabela_registros[TIPO],DADOS!$AJ$3,tabela_registros[CATEGORIA],reservafixaconsolidadonov[[#This Row],[ATUAL]])</f>
        <v>0</v>
      </c>
      <c r="T168" s="119" t="n">
        <f aca="false">SUMIFS(tabela_registros[VALOR],tabela_registros[MÊS],$AE$1,tabela_registros[DIA],reservafixaconsolidadonov[[#Headers],[16]],tabela_registros[REGISTRO],DADOS!$N$6,tabela_registros[TIPO],DADOS!$AJ$3,tabela_registros[CATEGORIA],reservafixaconsolidadonov[[#This Row],[ATUAL]])</f>
        <v>0</v>
      </c>
      <c r="U168" s="119" t="n">
        <f aca="false">SUMIFS(tabela_registros[VALOR],tabela_registros[MÊS],$AE$1,tabela_registros[DIA],reservafixaconsolidadonov[[#Headers],[17]],tabela_registros[REGISTRO],DADOS!$N$6,tabela_registros[TIPO],DADOS!$AJ$3,tabela_registros[CATEGORIA],reservafixaconsolidadonov[[#This Row],[ATUAL]])</f>
        <v>0</v>
      </c>
      <c r="V168" s="119" t="n">
        <f aca="false">SUMIFS(tabela_registros[VALOR],tabela_registros[MÊS],$AE$1,tabela_registros[DIA],reservafixaconsolidadonov[[#Headers],[18]],tabela_registros[REGISTRO],DADOS!$N$6,tabela_registros[TIPO],DADOS!$AJ$3,tabela_registros[CATEGORIA],reservafixaconsolidadonov[[#This Row],[ATUAL]])</f>
        <v>0</v>
      </c>
      <c r="W168" s="119" t="n">
        <f aca="false">SUMIFS(tabela_registros[VALOR],tabela_registros[MÊS],$AE$1,tabela_registros[DIA],reservafixaconsolidadonov[[#Headers],[19]],tabela_registros[REGISTRO],DADOS!$N$6,tabela_registros[TIPO],DADOS!$AJ$3,tabela_registros[CATEGORIA],reservafixaconsolidadonov[[#This Row],[ATUAL]])</f>
        <v>0</v>
      </c>
      <c r="X168" s="119" t="n">
        <f aca="false">SUMIFS(tabela_registros[VALOR],tabela_registros[MÊS],$AE$1,tabela_registros[DIA],reservafixaconsolidadonov[[#Headers],[20]],tabela_registros[REGISTRO],DADOS!$N$6,tabela_registros[TIPO],DADOS!$AJ$3,tabela_registros[CATEGORIA],reservafixaconsolidadonov[[#This Row],[ATUAL]])</f>
        <v>0</v>
      </c>
      <c r="Y168" s="119" t="n">
        <f aca="false">SUMIFS(tabela_registros[VALOR],tabela_registros[MÊS],$AE$1,tabela_registros[DIA],reservafixaconsolidadonov[[#Headers],[21]],tabela_registros[REGISTRO],DADOS!$N$6,tabela_registros[TIPO],DADOS!$AJ$3,tabela_registros[CATEGORIA],reservafixaconsolidadonov[[#This Row],[ATUAL]])</f>
        <v>0</v>
      </c>
      <c r="Z168" s="119" t="n">
        <f aca="false">SUMIFS(tabela_registros[VALOR],tabela_registros[MÊS],$AE$1,tabela_registros[DIA],reservafixaconsolidadonov[[#Headers],[22]],tabela_registros[REGISTRO],DADOS!$N$6,tabela_registros[TIPO],DADOS!$AJ$3,tabela_registros[CATEGORIA],reservafixaconsolidadonov[[#This Row],[ATUAL]])</f>
        <v>0</v>
      </c>
      <c r="AA168" s="119" t="n">
        <f aca="false">SUMIFS(tabela_registros[VALOR],tabela_registros[MÊS],$AE$1,tabela_registros[DIA],reservafixaconsolidadonov[[#Headers],[23]],tabela_registros[REGISTRO],DADOS!$N$6,tabela_registros[TIPO],DADOS!$AJ$3,tabela_registros[CATEGORIA],reservafixaconsolidadonov[[#This Row],[ATUAL]])</f>
        <v>0</v>
      </c>
      <c r="AB168" s="119" t="n">
        <f aca="false">SUMIFS(tabela_registros[VALOR],tabela_registros[MÊS],$AE$1,tabela_registros[DIA],reservafixaconsolidadonov[[#Headers],[24]],tabela_registros[REGISTRO],DADOS!$N$6,tabela_registros[TIPO],DADOS!$AJ$3,tabela_registros[CATEGORIA],reservafixaconsolidadonov[[#This Row],[ATUAL]])</f>
        <v>0</v>
      </c>
      <c r="AC168" s="119" t="n">
        <f aca="false">SUMIFS(tabela_registros[VALOR],tabela_registros[MÊS],$AE$1,tabela_registros[DIA],reservafixaconsolidadonov[[#Headers],[25]],tabela_registros[REGISTRO],DADOS!$N$6,tabela_registros[TIPO],DADOS!$AJ$3,tabela_registros[CATEGORIA],reservafixaconsolidadonov[[#This Row],[ATUAL]])</f>
        <v>0</v>
      </c>
      <c r="AD168" s="119" t="n">
        <f aca="false">SUMIFS(tabela_registros[VALOR],tabela_registros[MÊS],$AE$1,tabela_registros[DIA],reservafixaconsolidadonov[[#Headers],[26]],tabela_registros[REGISTRO],DADOS!$N$6,tabela_registros[TIPO],DADOS!$AJ$3,tabela_registros[CATEGORIA],reservafixaconsolidadonov[[#This Row],[ATUAL]])</f>
        <v>0</v>
      </c>
      <c r="AE168" s="119" t="n">
        <f aca="false">SUMIFS(tabela_registros[VALOR],tabela_registros[MÊS],$AE$1,tabela_registros[DIA],reservafixaconsolidadonov[[#Headers],[27]],tabela_registros[REGISTRO],DADOS!$N$6,tabela_registros[TIPO],DADOS!$AJ$3,tabela_registros[CATEGORIA],reservafixaconsolidadonov[[#This Row],[ATUAL]])</f>
        <v>0</v>
      </c>
      <c r="AF168" s="119" t="n">
        <f aca="false">SUMIFS(tabela_registros[VALOR],tabela_registros[MÊS],$AE$1,tabela_registros[DIA],reservafixaconsolidadonov[[#Headers],[28]],tabela_registros[REGISTRO],DADOS!$N$6,tabela_registros[TIPO],DADOS!$AJ$3,tabela_registros[CATEGORIA],reservafixaconsolidadonov[[#This Row],[ATUAL]])</f>
        <v>0</v>
      </c>
      <c r="AG168" s="119" t="n">
        <f aca="false">SUMIFS(tabela_registros[VALOR],tabela_registros[MÊS],$AE$1,tabela_registros[DIA],reservafixaconsolidadonov[[#Headers],[29]],tabela_registros[REGISTRO],DADOS!$N$6,tabela_registros[TIPO],DADOS!$AJ$3,tabela_registros[CATEGORIA],reservafixaconsolidadonov[[#This Row],[ATUAL]])</f>
        <v>0</v>
      </c>
      <c r="AH168" s="119" t="n">
        <f aca="false">SUMIFS(tabela_registros[VALOR],tabela_registros[MÊS],$AE$1,tabela_registros[DIA],reservafixaconsolidadonov[[#Headers],[30]],tabela_registros[REGISTRO],DADOS!$N$6,tabela_registros[TIPO],DADOS!$AJ$3,tabela_registros[CATEGORIA],reservafixaconsolidadonov[[#This Row],[ATUAL]])</f>
        <v>0</v>
      </c>
      <c r="AI168" s="217" t="n">
        <f aca="false">SUMIFS(tabela_registros[VALOR],tabela_registros[MÊS],$AE$1,tabela_registros[DIA],reservafixaconsolidadonov[[#Headers],[31]],tabela_registros[REGISTRO],DADOS!$N$6,tabela_registros[TIPO],DADOS!$AJ$3,tabela_registros[CATEGORIA],reservafixaconsolidadonov[[#This Row],[ATUAL]])</f>
        <v>0</v>
      </c>
      <c r="AJ168" s="149" t="n">
        <f aca="false">SUM(reservafixaconsolidadonov[[#This Row],[1]:[31]])</f>
        <v>0</v>
      </c>
      <c r="AK168" s="165"/>
    </row>
    <row r="169" customFormat="false" ht="19.5" hidden="false" customHeight="true" outlineLevel="0" collapsed="false">
      <c r="B169" s="143"/>
      <c r="C169" s="144" t="str">
        <f aca="false">DADOS!$AL$4</f>
        <v>📝 CRA</v>
      </c>
      <c r="D169" s="145" t="str">
        <f aca="false">IF(reservafixaconsolidadonov[[#This Row],[TOTAL (R$)]]=0,"",IF(OR(reservafixaconsolidadonov[[#This Row],[TOTAL (R$)]]=LARGE($AJ$168:$AJ$177,1),reservafixaconsolidadonov[[#This Row],[TOTAL (R$)]]=LARGE($AJ$168:$AJ$177,2)),DADOS!$I$11,""))</f>
        <v/>
      </c>
      <c r="E169" s="148" t="n">
        <f aca="false">SUMIFS(tabela_registros[VALOR],tabela_registros[MÊS],$AE$1,tabela_registros[DIA],reservafixaconsolidadonov[[#Headers],[1]],tabela_registros[REGISTRO],DADOS!$N$6,tabela_registros[TIPO],DADOS!$AJ$3,tabela_registros[CATEGORIA],reservafixaconsolidadonov[[#This Row],[ATUAL]])</f>
        <v>0</v>
      </c>
      <c r="F169" s="119" t="n">
        <f aca="false">SUMIFS(tabela_registros[VALOR],tabela_registros[MÊS],$AE$1,tabela_registros[DIA],reservafixaconsolidadonov[[#Headers],[2]],tabela_registros[REGISTRO],DADOS!$N$6,tabela_registros[TIPO],DADOS!$AJ$3,tabela_registros[CATEGORIA],reservafixaconsolidadonov[[#This Row],[ATUAL]])</f>
        <v>0</v>
      </c>
      <c r="G169" s="119" t="n">
        <f aca="false">SUMIFS(tabela_registros[VALOR],tabela_registros[MÊS],$AE$1,tabela_registros[DIA],reservafixaconsolidadonov[[#Headers],[3]],tabela_registros[REGISTRO],DADOS!$N$6,tabela_registros[TIPO],DADOS!$AJ$3,tabela_registros[CATEGORIA],reservafixaconsolidadonov[[#This Row],[ATUAL]])</f>
        <v>0</v>
      </c>
      <c r="H169" s="119" t="n">
        <f aca="false">SUMIFS(tabela_registros[VALOR],tabela_registros[MÊS],$AE$1,tabela_registros[DIA],reservafixaconsolidadonov[[#Headers],[4]],tabela_registros[REGISTRO],DADOS!$N$6,tabela_registros[TIPO],DADOS!$AJ$3,tabela_registros[CATEGORIA],reservafixaconsolidadonov[[#This Row],[ATUAL]])</f>
        <v>0</v>
      </c>
      <c r="I169" s="119" t="n">
        <f aca="false">SUMIFS(tabela_registros[VALOR],tabela_registros[MÊS],$AE$1,tabela_registros[DIA],reservafixaconsolidadonov[[#Headers],[5]],tabela_registros[REGISTRO],DADOS!$N$6,tabela_registros[TIPO],DADOS!$AJ$3,tabela_registros[CATEGORIA],reservafixaconsolidadonov[[#This Row],[ATUAL]])</f>
        <v>0</v>
      </c>
      <c r="J169" s="119" t="n">
        <f aca="false">SUMIFS(tabela_registros[VALOR],tabela_registros[MÊS],$AE$1,tabela_registros[DIA],reservafixaconsolidadonov[[#Headers],[6]],tabela_registros[REGISTRO],DADOS!$N$6,tabela_registros[TIPO],DADOS!$AJ$3,tabela_registros[CATEGORIA],reservafixaconsolidadonov[[#This Row],[ATUAL]])</f>
        <v>0</v>
      </c>
      <c r="K169" s="119" t="n">
        <f aca="false">SUMIFS(tabela_registros[VALOR],tabela_registros[MÊS],$AE$1,tabela_registros[DIA],reservafixaconsolidadonov[[#Headers],[7]],tabela_registros[REGISTRO],DADOS!$N$6,tabela_registros[TIPO],DADOS!$AJ$3,tabela_registros[CATEGORIA],reservafixaconsolidadonov[[#This Row],[ATUAL]])</f>
        <v>0</v>
      </c>
      <c r="L169" s="119" t="n">
        <f aca="false">SUMIFS(tabela_registros[VALOR],tabela_registros[MÊS],$AE$1,tabela_registros[DIA],reservafixaconsolidadonov[[#Headers],[8]],tabela_registros[REGISTRO],DADOS!$N$6,tabela_registros[TIPO],DADOS!$AJ$3,tabela_registros[CATEGORIA],reservafixaconsolidadonov[[#This Row],[ATUAL]])</f>
        <v>0</v>
      </c>
      <c r="M169" s="119" t="n">
        <f aca="false">SUMIFS(tabela_registros[VALOR],tabela_registros[MÊS],$AE$1,tabela_registros[DIA],reservafixaconsolidadonov[[#Headers],[9]],tabela_registros[REGISTRO],DADOS!$N$6,tabela_registros[TIPO],DADOS!$AJ$3,tabela_registros[CATEGORIA],reservafixaconsolidadonov[[#This Row],[ATUAL]])</f>
        <v>0</v>
      </c>
      <c r="N169" s="119" t="n">
        <f aca="false">SUMIFS(tabela_registros[VALOR],tabela_registros[MÊS],$AE$1,tabela_registros[DIA],reservafixaconsolidadonov[[#Headers],[10]],tabela_registros[REGISTRO],DADOS!$N$6,tabela_registros[TIPO],DADOS!$AJ$3,tabela_registros[CATEGORIA],reservafixaconsolidadonov[[#This Row],[ATUAL]])</f>
        <v>0</v>
      </c>
      <c r="O169" s="119" t="n">
        <f aca="false">SUMIFS(tabela_registros[VALOR],tabela_registros[MÊS],$AE$1,tabela_registros[DIA],reservafixaconsolidadonov[[#Headers],[11]],tabela_registros[REGISTRO],DADOS!$N$6,tabela_registros[TIPO],DADOS!$AJ$3,tabela_registros[CATEGORIA],reservafixaconsolidadonov[[#This Row],[ATUAL]])</f>
        <v>0</v>
      </c>
      <c r="P169" s="119" t="n">
        <f aca="false">SUMIFS(tabela_registros[VALOR],tabela_registros[MÊS],$AE$1,tabela_registros[DIA],reservafixaconsolidadonov[[#Headers],[12]],tabela_registros[REGISTRO],DADOS!$N$6,tabela_registros[TIPO],DADOS!$AJ$3,tabela_registros[CATEGORIA],reservafixaconsolidadonov[[#This Row],[ATUAL]])</f>
        <v>0</v>
      </c>
      <c r="Q169" s="119" t="n">
        <f aca="false">SUMIFS(tabela_registros[VALOR],tabela_registros[MÊS],$AE$1,tabela_registros[DIA],reservafixaconsolidadonov[[#Headers],[13]],tabela_registros[REGISTRO],DADOS!$N$6,tabela_registros[TIPO],DADOS!$AJ$3,tabela_registros[CATEGORIA],reservafixaconsolidadonov[[#This Row],[ATUAL]])</f>
        <v>0</v>
      </c>
      <c r="R169" s="119" t="n">
        <f aca="false">SUMIFS(tabela_registros[VALOR],tabela_registros[MÊS],$AE$1,tabela_registros[DIA],reservafixaconsolidadonov[[#Headers],[14]],tabela_registros[REGISTRO],DADOS!$N$6,tabela_registros[TIPO],DADOS!$AJ$3,tabela_registros[CATEGORIA],reservafixaconsolidadonov[[#This Row],[ATUAL]])</f>
        <v>0</v>
      </c>
      <c r="S169" s="119" t="n">
        <f aca="false">SUMIFS(tabela_registros[VALOR],tabela_registros[MÊS],$AE$1,tabela_registros[DIA],reservafixaconsolidadonov[[#Headers],[15]],tabela_registros[REGISTRO],DADOS!$N$6,tabela_registros[TIPO],DADOS!$AJ$3,tabela_registros[CATEGORIA],reservafixaconsolidadonov[[#This Row],[ATUAL]])</f>
        <v>0</v>
      </c>
      <c r="T169" s="119" t="n">
        <f aca="false">SUMIFS(tabela_registros[VALOR],tabela_registros[MÊS],$AE$1,tabela_registros[DIA],reservafixaconsolidadonov[[#Headers],[16]],tabela_registros[REGISTRO],DADOS!$N$6,tabela_registros[TIPO],DADOS!$AJ$3,tabela_registros[CATEGORIA],reservafixaconsolidadonov[[#This Row],[ATUAL]])</f>
        <v>0</v>
      </c>
      <c r="U169" s="119" t="n">
        <f aca="false">SUMIFS(tabela_registros[VALOR],tabela_registros[MÊS],$AE$1,tabela_registros[DIA],reservafixaconsolidadonov[[#Headers],[17]],tabela_registros[REGISTRO],DADOS!$N$6,tabela_registros[TIPO],DADOS!$AJ$3,tabela_registros[CATEGORIA],reservafixaconsolidadonov[[#This Row],[ATUAL]])</f>
        <v>0</v>
      </c>
      <c r="V169" s="119" t="n">
        <f aca="false">SUMIFS(tabela_registros[VALOR],tabela_registros[MÊS],$AE$1,tabela_registros[DIA],reservafixaconsolidadonov[[#Headers],[18]],tabela_registros[REGISTRO],DADOS!$N$6,tabela_registros[TIPO],DADOS!$AJ$3,tabela_registros[CATEGORIA],reservafixaconsolidadonov[[#This Row],[ATUAL]])</f>
        <v>0</v>
      </c>
      <c r="W169" s="119" t="n">
        <f aca="false">SUMIFS(tabela_registros[VALOR],tabela_registros[MÊS],$AE$1,tabela_registros[DIA],reservafixaconsolidadonov[[#Headers],[19]],tabela_registros[REGISTRO],DADOS!$N$6,tabela_registros[TIPO],DADOS!$AJ$3,tabela_registros[CATEGORIA],reservafixaconsolidadonov[[#This Row],[ATUAL]])</f>
        <v>0</v>
      </c>
      <c r="X169" s="119" t="n">
        <f aca="false">SUMIFS(tabela_registros[VALOR],tabela_registros[MÊS],$AE$1,tabela_registros[DIA],reservafixaconsolidadonov[[#Headers],[20]],tabela_registros[REGISTRO],DADOS!$N$6,tabela_registros[TIPO],DADOS!$AJ$3,tabela_registros[CATEGORIA],reservafixaconsolidadonov[[#This Row],[ATUAL]])</f>
        <v>0</v>
      </c>
      <c r="Y169" s="119" t="n">
        <f aca="false">SUMIFS(tabela_registros[VALOR],tabela_registros[MÊS],$AE$1,tabela_registros[DIA],reservafixaconsolidadonov[[#Headers],[21]],tabela_registros[REGISTRO],DADOS!$N$6,tabela_registros[TIPO],DADOS!$AJ$3,tabela_registros[CATEGORIA],reservafixaconsolidadonov[[#This Row],[ATUAL]])</f>
        <v>0</v>
      </c>
      <c r="Z169" s="119" t="n">
        <f aca="false">SUMIFS(tabela_registros[VALOR],tabela_registros[MÊS],$AE$1,tabela_registros[DIA],reservafixaconsolidadonov[[#Headers],[22]],tabela_registros[REGISTRO],DADOS!$N$6,tabela_registros[TIPO],DADOS!$AJ$3,tabela_registros[CATEGORIA],reservafixaconsolidadonov[[#This Row],[ATUAL]])</f>
        <v>0</v>
      </c>
      <c r="AA169" s="119" t="n">
        <f aca="false">SUMIFS(tabela_registros[VALOR],tabela_registros[MÊS],$AE$1,tabela_registros[DIA],reservafixaconsolidadonov[[#Headers],[23]],tabela_registros[REGISTRO],DADOS!$N$6,tabela_registros[TIPO],DADOS!$AJ$3,tabela_registros[CATEGORIA],reservafixaconsolidadonov[[#This Row],[ATUAL]])</f>
        <v>0</v>
      </c>
      <c r="AB169" s="119" t="n">
        <f aca="false">SUMIFS(tabela_registros[VALOR],tabela_registros[MÊS],$AE$1,tabela_registros[DIA],reservafixaconsolidadonov[[#Headers],[24]],tabela_registros[REGISTRO],DADOS!$N$6,tabela_registros[TIPO],DADOS!$AJ$3,tabela_registros[CATEGORIA],reservafixaconsolidadonov[[#This Row],[ATUAL]])</f>
        <v>0</v>
      </c>
      <c r="AC169" s="119" t="n">
        <f aca="false">SUMIFS(tabela_registros[VALOR],tabela_registros[MÊS],$AE$1,tabela_registros[DIA],reservafixaconsolidadonov[[#Headers],[25]],tabela_registros[REGISTRO],DADOS!$N$6,tabela_registros[TIPO],DADOS!$AJ$3,tabela_registros[CATEGORIA],reservafixaconsolidadonov[[#This Row],[ATUAL]])</f>
        <v>0</v>
      </c>
      <c r="AD169" s="119" t="n">
        <f aca="false">SUMIFS(tabela_registros[VALOR],tabela_registros[MÊS],$AE$1,tabela_registros[DIA],reservafixaconsolidadonov[[#Headers],[26]],tabela_registros[REGISTRO],DADOS!$N$6,tabela_registros[TIPO],DADOS!$AJ$3,tabela_registros[CATEGORIA],reservafixaconsolidadonov[[#This Row],[ATUAL]])</f>
        <v>0</v>
      </c>
      <c r="AE169" s="119" t="n">
        <f aca="false">SUMIFS(tabela_registros[VALOR],tabela_registros[MÊS],$AE$1,tabela_registros[DIA],reservafixaconsolidadonov[[#Headers],[27]],tabela_registros[REGISTRO],DADOS!$N$6,tabela_registros[TIPO],DADOS!$AJ$3,tabela_registros[CATEGORIA],reservafixaconsolidadonov[[#This Row],[ATUAL]])</f>
        <v>0</v>
      </c>
      <c r="AF169" s="119" t="n">
        <f aca="false">SUMIFS(tabela_registros[VALOR],tabela_registros[MÊS],$AE$1,tabela_registros[DIA],reservafixaconsolidadonov[[#Headers],[28]],tabela_registros[REGISTRO],DADOS!$N$6,tabela_registros[TIPO],DADOS!$AJ$3,tabela_registros[CATEGORIA],reservafixaconsolidadonov[[#This Row],[ATUAL]])</f>
        <v>0</v>
      </c>
      <c r="AG169" s="119" t="n">
        <f aca="false">SUMIFS(tabela_registros[VALOR],tabela_registros[MÊS],$AE$1,tabela_registros[DIA],reservafixaconsolidadonov[[#Headers],[29]],tabela_registros[REGISTRO],DADOS!$N$6,tabela_registros[TIPO],DADOS!$AJ$3,tabela_registros[CATEGORIA],reservafixaconsolidadonov[[#This Row],[ATUAL]])</f>
        <v>0</v>
      </c>
      <c r="AH169" s="119" t="n">
        <f aca="false">SUMIFS(tabela_registros[VALOR],tabela_registros[MÊS],$AE$1,tabela_registros[DIA],reservafixaconsolidadonov[[#Headers],[30]],tabela_registros[REGISTRO],DADOS!$N$6,tabela_registros[TIPO],DADOS!$AJ$3,tabela_registros[CATEGORIA],reservafixaconsolidadonov[[#This Row],[ATUAL]])</f>
        <v>0</v>
      </c>
      <c r="AI169" s="217" t="n">
        <f aca="false">SUMIFS(tabela_registros[VALOR],tabela_registros[MÊS],$AE$1,tabela_registros[DIA],reservafixaconsolidadonov[[#Headers],[31]],tabela_registros[REGISTRO],DADOS!$N$6,tabela_registros[TIPO],DADOS!$AJ$3,tabela_registros[CATEGORIA],reservafixaconsolidadonov[[#This Row],[ATUAL]])</f>
        <v>0</v>
      </c>
      <c r="AJ169" s="149" t="n">
        <f aca="false">SUM(reservafixaconsolidadonov[[#This Row],[1]:[31]])</f>
        <v>0</v>
      </c>
      <c r="AK169" s="165"/>
    </row>
    <row r="170" customFormat="false" ht="19.5" hidden="false" customHeight="true" outlineLevel="0" collapsed="false">
      <c r="B170" s="143"/>
      <c r="C170" s="144" t="str">
        <f aca="false">DADOS!$AL$5</f>
        <v>📝 CRI</v>
      </c>
      <c r="D170" s="145" t="str">
        <f aca="false">IF(reservafixaconsolidadonov[[#This Row],[TOTAL (R$)]]=0,"",IF(OR(reservafixaconsolidadonov[[#This Row],[TOTAL (R$)]]=LARGE($AJ$168:$AJ$177,1),reservafixaconsolidadonov[[#This Row],[TOTAL (R$)]]=LARGE($AJ$168:$AJ$177,2)),DADOS!$I$11,""))</f>
        <v/>
      </c>
      <c r="E170" s="148" t="n">
        <f aca="false">SUMIFS(tabela_registros[VALOR],tabela_registros[MÊS],$AE$1,tabela_registros[DIA],reservafixaconsolidadonov[[#Headers],[1]],tabela_registros[REGISTRO],DADOS!$N$6,tabela_registros[TIPO],DADOS!$AJ$3,tabela_registros[CATEGORIA],reservafixaconsolidadonov[[#This Row],[ATUAL]])</f>
        <v>0</v>
      </c>
      <c r="F170" s="119" t="n">
        <f aca="false">SUMIFS(tabela_registros[VALOR],tabela_registros[MÊS],$AE$1,tabela_registros[DIA],reservafixaconsolidadonov[[#Headers],[2]],tabela_registros[REGISTRO],DADOS!$N$6,tabela_registros[TIPO],DADOS!$AJ$3,tabela_registros[CATEGORIA],reservafixaconsolidadonov[[#This Row],[ATUAL]])</f>
        <v>0</v>
      </c>
      <c r="G170" s="119" t="n">
        <f aca="false">SUMIFS(tabela_registros[VALOR],tabela_registros[MÊS],$AE$1,tabela_registros[DIA],reservafixaconsolidadonov[[#Headers],[3]],tabela_registros[REGISTRO],DADOS!$N$6,tabela_registros[TIPO],DADOS!$AJ$3,tabela_registros[CATEGORIA],reservafixaconsolidadonov[[#This Row],[ATUAL]])</f>
        <v>0</v>
      </c>
      <c r="H170" s="119" t="n">
        <f aca="false">SUMIFS(tabela_registros[VALOR],tabela_registros[MÊS],$AE$1,tabela_registros[DIA],reservafixaconsolidadonov[[#Headers],[4]],tabela_registros[REGISTRO],DADOS!$N$6,tabela_registros[TIPO],DADOS!$AJ$3,tabela_registros[CATEGORIA],reservafixaconsolidadonov[[#This Row],[ATUAL]])</f>
        <v>0</v>
      </c>
      <c r="I170" s="119" t="n">
        <f aca="false">SUMIFS(tabela_registros[VALOR],tabela_registros[MÊS],$AE$1,tabela_registros[DIA],reservafixaconsolidadonov[[#Headers],[5]],tabela_registros[REGISTRO],DADOS!$N$6,tabela_registros[TIPO],DADOS!$AJ$3,tabela_registros[CATEGORIA],reservafixaconsolidadonov[[#This Row],[ATUAL]])</f>
        <v>0</v>
      </c>
      <c r="J170" s="119" t="n">
        <f aca="false">SUMIFS(tabela_registros[VALOR],tabela_registros[MÊS],$AE$1,tabela_registros[DIA],reservafixaconsolidadonov[[#Headers],[6]],tabela_registros[REGISTRO],DADOS!$N$6,tabela_registros[TIPO],DADOS!$AJ$3,tabela_registros[CATEGORIA],reservafixaconsolidadonov[[#This Row],[ATUAL]])</f>
        <v>0</v>
      </c>
      <c r="K170" s="119" t="n">
        <f aca="false">SUMIFS(tabela_registros[VALOR],tabela_registros[MÊS],$AE$1,tabela_registros[DIA],reservafixaconsolidadonov[[#Headers],[7]],tabela_registros[REGISTRO],DADOS!$N$6,tabela_registros[TIPO],DADOS!$AJ$3,tabela_registros[CATEGORIA],reservafixaconsolidadonov[[#This Row],[ATUAL]])</f>
        <v>0</v>
      </c>
      <c r="L170" s="119" t="n">
        <f aca="false">SUMIFS(tabela_registros[VALOR],tabela_registros[MÊS],$AE$1,tabela_registros[DIA],reservafixaconsolidadonov[[#Headers],[8]],tabela_registros[REGISTRO],DADOS!$N$6,tabela_registros[TIPO],DADOS!$AJ$3,tabela_registros[CATEGORIA],reservafixaconsolidadonov[[#This Row],[ATUAL]])</f>
        <v>0</v>
      </c>
      <c r="M170" s="119" t="n">
        <f aca="false">SUMIFS(tabela_registros[VALOR],tabela_registros[MÊS],$AE$1,tabela_registros[DIA],reservafixaconsolidadonov[[#Headers],[9]],tabela_registros[REGISTRO],DADOS!$N$6,tabela_registros[TIPO],DADOS!$AJ$3,tabela_registros[CATEGORIA],reservafixaconsolidadonov[[#This Row],[ATUAL]])</f>
        <v>0</v>
      </c>
      <c r="N170" s="119" t="n">
        <f aca="false">SUMIFS(tabela_registros[VALOR],tabela_registros[MÊS],$AE$1,tabela_registros[DIA],reservafixaconsolidadonov[[#Headers],[10]],tabela_registros[REGISTRO],DADOS!$N$6,tabela_registros[TIPO],DADOS!$AJ$3,tabela_registros[CATEGORIA],reservafixaconsolidadonov[[#This Row],[ATUAL]])</f>
        <v>0</v>
      </c>
      <c r="O170" s="119" t="n">
        <f aca="false">SUMIFS(tabela_registros[VALOR],tabela_registros[MÊS],$AE$1,tabela_registros[DIA],reservafixaconsolidadonov[[#Headers],[11]],tabela_registros[REGISTRO],DADOS!$N$6,tabela_registros[TIPO],DADOS!$AJ$3,tabela_registros[CATEGORIA],reservafixaconsolidadonov[[#This Row],[ATUAL]])</f>
        <v>0</v>
      </c>
      <c r="P170" s="119" t="n">
        <f aca="false">SUMIFS(tabela_registros[VALOR],tabela_registros[MÊS],$AE$1,tabela_registros[DIA],reservafixaconsolidadonov[[#Headers],[12]],tabela_registros[REGISTRO],DADOS!$N$6,tabela_registros[TIPO],DADOS!$AJ$3,tabela_registros[CATEGORIA],reservafixaconsolidadonov[[#This Row],[ATUAL]])</f>
        <v>0</v>
      </c>
      <c r="Q170" s="119" t="n">
        <f aca="false">SUMIFS(tabela_registros[VALOR],tabela_registros[MÊS],$AE$1,tabela_registros[DIA],reservafixaconsolidadonov[[#Headers],[13]],tabela_registros[REGISTRO],DADOS!$N$6,tabela_registros[TIPO],DADOS!$AJ$3,tabela_registros[CATEGORIA],reservafixaconsolidadonov[[#This Row],[ATUAL]])</f>
        <v>0</v>
      </c>
      <c r="R170" s="119" t="n">
        <f aca="false">SUMIFS(tabela_registros[VALOR],tabela_registros[MÊS],$AE$1,tabela_registros[DIA],reservafixaconsolidadonov[[#Headers],[14]],tabela_registros[REGISTRO],DADOS!$N$6,tabela_registros[TIPO],DADOS!$AJ$3,tabela_registros[CATEGORIA],reservafixaconsolidadonov[[#This Row],[ATUAL]])</f>
        <v>0</v>
      </c>
      <c r="S170" s="119" t="n">
        <f aca="false">SUMIFS(tabela_registros[VALOR],tabela_registros[MÊS],$AE$1,tabela_registros[DIA],reservafixaconsolidadonov[[#Headers],[15]],tabela_registros[REGISTRO],DADOS!$N$6,tabela_registros[TIPO],DADOS!$AJ$3,tabela_registros[CATEGORIA],reservafixaconsolidadonov[[#This Row],[ATUAL]])</f>
        <v>0</v>
      </c>
      <c r="T170" s="119" t="n">
        <f aca="false">SUMIFS(tabela_registros[VALOR],tabela_registros[MÊS],$AE$1,tabela_registros[DIA],reservafixaconsolidadonov[[#Headers],[16]],tabela_registros[REGISTRO],DADOS!$N$6,tabela_registros[TIPO],DADOS!$AJ$3,tabela_registros[CATEGORIA],reservafixaconsolidadonov[[#This Row],[ATUAL]])</f>
        <v>0</v>
      </c>
      <c r="U170" s="119" t="n">
        <f aca="false">SUMIFS(tabela_registros[VALOR],tabela_registros[MÊS],$AE$1,tabela_registros[DIA],reservafixaconsolidadonov[[#Headers],[17]],tabela_registros[REGISTRO],DADOS!$N$6,tabela_registros[TIPO],DADOS!$AJ$3,tabela_registros[CATEGORIA],reservafixaconsolidadonov[[#This Row],[ATUAL]])</f>
        <v>0</v>
      </c>
      <c r="V170" s="119" t="n">
        <f aca="false">SUMIFS(tabela_registros[VALOR],tabela_registros[MÊS],$AE$1,tabela_registros[DIA],reservafixaconsolidadonov[[#Headers],[18]],tabela_registros[REGISTRO],DADOS!$N$6,tabela_registros[TIPO],DADOS!$AJ$3,tabela_registros[CATEGORIA],reservafixaconsolidadonov[[#This Row],[ATUAL]])</f>
        <v>0</v>
      </c>
      <c r="W170" s="119" t="n">
        <f aca="false">SUMIFS(tabela_registros[VALOR],tabela_registros[MÊS],$AE$1,tabela_registros[DIA],reservafixaconsolidadonov[[#Headers],[19]],tabela_registros[REGISTRO],DADOS!$N$6,tabela_registros[TIPO],DADOS!$AJ$3,tabela_registros[CATEGORIA],reservafixaconsolidadonov[[#This Row],[ATUAL]])</f>
        <v>0</v>
      </c>
      <c r="X170" s="119" t="n">
        <f aca="false">SUMIFS(tabela_registros[VALOR],tabela_registros[MÊS],$AE$1,tabela_registros[DIA],reservafixaconsolidadonov[[#Headers],[20]],tabela_registros[REGISTRO],DADOS!$N$6,tabela_registros[TIPO],DADOS!$AJ$3,tabela_registros[CATEGORIA],reservafixaconsolidadonov[[#This Row],[ATUAL]])</f>
        <v>0</v>
      </c>
      <c r="Y170" s="119" t="n">
        <f aca="false">SUMIFS(tabela_registros[VALOR],tabela_registros[MÊS],$AE$1,tabela_registros[DIA],reservafixaconsolidadonov[[#Headers],[21]],tabela_registros[REGISTRO],DADOS!$N$6,tabela_registros[TIPO],DADOS!$AJ$3,tabela_registros[CATEGORIA],reservafixaconsolidadonov[[#This Row],[ATUAL]])</f>
        <v>0</v>
      </c>
      <c r="Z170" s="119" t="n">
        <f aca="false">SUMIFS(tabela_registros[VALOR],tabela_registros[MÊS],$AE$1,tabela_registros[DIA],reservafixaconsolidadonov[[#Headers],[22]],tabela_registros[REGISTRO],DADOS!$N$6,tabela_registros[TIPO],DADOS!$AJ$3,tabela_registros[CATEGORIA],reservafixaconsolidadonov[[#This Row],[ATUAL]])</f>
        <v>0</v>
      </c>
      <c r="AA170" s="119" t="n">
        <f aca="false">SUMIFS(tabela_registros[VALOR],tabela_registros[MÊS],$AE$1,tabela_registros[DIA],reservafixaconsolidadonov[[#Headers],[23]],tabela_registros[REGISTRO],DADOS!$N$6,tabela_registros[TIPO],DADOS!$AJ$3,tabela_registros[CATEGORIA],reservafixaconsolidadonov[[#This Row],[ATUAL]])</f>
        <v>0</v>
      </c>
      <c r="AB170" s="119" t="n">
        <f aca="false">SUMIFS(tabela_registros[VALOR],tabela_registros[MÊS],$AE$1,tabela_registros[DIA],reservafixaconsolidadonov[[#Headers],[24]],tabela_registros[REGISTRO],DADOS!$N$6,tabela_registros[TIPO],DADOS!$AJ$3,tabela_registros[CATEGORIA],reservafixaconsolidadonov[[#This Row],[ATUAL]])</f>
        <v>0</v>
      </c>
      <c r="AC170" s="119" t="n">
        <f aca="false">SUMIFS(tabela_registros[VALOR],tabela_registros[MÊS],$AE$1,tabela_registros[DIA],reservafixaconsolidadonov[[#Headers],[25]],tabela_registros[REGISTRO],DADOS!$N$6,tabela_registros[TIPO],DADOS!$AJ$3,tabela_registros[CATEGORIA],reservafixaconsolidadonov[[#This Row],[ATUAL]])</f>
        <v>0</v>
      </c>
      <c r="AD170" s="119" t="n">
        <f aca="false">SUMIFS(tabela_registros[VALOR],tabela_registros[MÊS],$AE$1,tabela_registros[DIA],reservafixaconsolidadonov[[#Headers],[26]],tabela_registros[REGISTRO],DADOS!$N$6,tabela_registros[TIPO],DADOS!$AJ$3,tabela_registros[CATEGORIA],reservafixaconsolidadonov[[#This Row],[ATUAL]])</f>
        <v>0</v>
      </c>
      <c r="AE170" s="119" t="n">
        <f aca="false">SUMIFS(tabela_registros[VALOR],tabela_registros[MÊS],$AE$1,tabela_registros[DIA],reservafixaconsolidadonov[[#Headers],[27]],tabela_registros[REGISTRO],DADOS!$N$6,tabela_registros[TIPO],DADOS!$AJ$3,tabela_registros[CATEGORIA],reservafixaconsolidadonov[[#This Row],[ATUAL]])</f>
        <v>0</v>
      </c>
      <c r="AF170" s="119" t="n">
        <f aca="false">SUMIFS(tabela_registros[VALOR],tabela_registros[MÊS],$AE$1,tabela_registros[DIA],reservafixaconsolidadonov[[#Headers],[28]],tabela_registros[REGISTRO],DADOS!$N$6,tabela_registros[TIPO],DADOS!$AJ$3,tabela_registros[CATEGORIA],reservafixaconsolidadonov[[#This Row],[ATUAL]])</f>
        <v>0</v>
      </c>
      <c r="AG170" s="119" t="n">
        <f aca="false">SUMIFS(tabela_registros[VALOR],tabela_registros[MÊS],$AE$1,tabela_registros[DIA],reservafixaconsolidadonov[[#Headers],[29]],tabela_registros[REGISTRO],DADOS!$N$6,tabela_registros[TIPO],DADOS!$AJ$3,tabela_registros[CATEGORIA],reservafixaconsolidadonov[[#This Row],[ATUAL]])</f>
        <v>0</v>
      </c>
      <c r="AH170" s="119" t="n">
        <f aca="false">SUMIFS(tabela_registros[VALOR],tabela_registros[MÊS],$AE$1,tabela_registros[DIA],reservafixaconsolidadonov[[#Headers],[30]],tabela_registros[REGISTRO],DADOS!$N$6,tabela_registros[TIPO],DADOS!$AJ$3,tabela_registros[CATEGORIA],reservafixaconsolidadonov[[#This Row],[ATUAL]])</f>
        <v>0</v>
      </c>
      <c r="AI170" s="217" t="n">
        <f aca="false">SUMIFS(tabela_registros[VALOR],tabela_registros[MÊS],$AE$1,tabela_registros[DIA],reservafixaconsolidadonov[[#Headers],[31]],tabela_registros[REGISTRO],DADOS!$N$6,tabela_registros[TIPO],DADOS!$AJ$3,tabela_registros[CATEGORIA],reservafixaconsolidadonov[[#This Row],[ATUAL]])</f>
        <v>0</v>
      </c>
      <c r="AJ170" s="149" t="n">
        <f aca="false">SUM(reservafixaconsolidadonov[[#This Row],[1]:[31]])</f>
        <v>0</v>
      </c>
      <c r="AK170" s="165"/>
    </row>
    <row r="171" customFormat="false" ht="19.5" hidden="false" customHeight="true" outlineLevel="0" collapsed="false">
      <c r="B171" s="143"/>
      <c r="C171" s="144" t="str">
        <f aca="false">DADOS!$AL$6</f>
        <v>📝 DEBÊNTURE</v>
      </c>
      <c r="D171" s="145" t="str">
        <f aca="false">IF(reservafixaconsolidadonov[[#This Row],[TOTAL (R$)]]=0,"",IF(OR(reservafixaconsolidadonov[[#This Row],[TOTAL (R$)]]=LARGE($AJ$168:$AJ$177,1),reservafixaconsolidadonov[[#This Row],[TOTAL (R$)]]=LARGE($AJ$168:$AJ$177,2)),DADOS!$I$11,""))</f>
        <v/>
      </c>
      <c r="E171" s="148" t="n">
        <f aca="false">SUMIFS(tabela_registros[VALOR],tabela_registros[MÊS],$AE$1,tabela_registros[DIA],reservafixaconsolidadonov[[#Headers],[1]],tabela_registros[REGISTRO],DADOS!$N$6,tabela_registros[TIPO],DADOS!$AJ$3,tabela_registros[CATEGORIA],reservafixaconsolidadonov[[#This Row],[ATUAL]])</f>
        <v>0</v>
      </c>
      <c r="F171" s="119" t="n">
        <f aca="false">SUMIFS(tabela_registros[VALOR],tabela_registros[MÊS],$AE$1,tabela_registros[DIA],reservafixaconsolidadonov[[#Headers],[2]],tabela_registros[REGISTRO],DADOS!$N$6,tabela_registros[TIPO],DADOS!$AJ$3,tabela_registros[CATEGORIA],reservafixaconsolidadonov[[#This Row],[ATUAL]])</f>
        <v>0</v>
      </c>
      <c r="G171" s="119" t="n">
        <f aca="false">SUMIFS(tabela_registros[VALOR],tabela_registros[MÊS],$AE$1,tabela_registros[DIA],reservafixaconsolidadonov[[#Headers],[3]],tabela_registros[REGISTRO],DADOS!$N$6,tabela_registros[TIPO],DADOS!$AJ$3,tabela_registros[CATEGORIA],reservafixaconsolidadonov[[#This Row],[ATUAL]])</f>
        <v>0</v>
      </c>
      <c r="H171" s="119" t="n">
        <f aca="false">SUMIFS(tabela_registros[VALOR],tabela_registros[MÊS],$AE$1,tabela_registros[DIA],reservafixaconsolidadonov[[#Headers],[4]],tabela_registros[REGISTRO],DADOS!$N$6,tabela_registros[TIPO],DADOS!$AJ$3,tabela_registros[CATEGORIA],reservafixaconsolidadonov[[#This Row],[ATUAL]])</f>
        <v>0</v>
      </c>
      <c r="I171" s="119" t="n">
        <f aca="false">SUMIFS(tabela_registros[VALOR],tabela_registros[MÊS],$AE$1,tabela_registros[DIA],reservafixaconsolidadonov[[#Headers],[5]],tabela_registros[REGISTRO],DADOS!$N$6,tabela_registros[TIPO],DADOS!$AJ$3,tabela_registros[CATEGORIA],reservafixaconsolidadonov[[#This Row],[ATUAL]])</f>
        <v>0</v>
      </c>
      <c r="J171" s="119" t="n">
        <f aca="false">SUMIFS(tabela_registros[VALOR],tabela_registros[MÊS],$AE$1,tabela_registros[DIA],reservafixaconsolidadonov[[#Headers],[6]],tabela_registros[REGISTRO],DADOS!$N$6,tabela_registros[TIPO],DADOS!$AJ$3,tabela_registros[CATEGORIA],reservafixaconsolidadonov[[#This Row],[ATUAL]])</f>
        <v>0</v>
      </c>
      <c r="K171" s="119" t="n">
        <f aca="false">SUMIFS(tabela_registros[VALOR],tabela_registros[MÊS],$AE$1,tabela_registros[DIA],reservafixaconsolidadonov[[#Headers],[7]],tabela_registros[REGISTRO],DADOS!$N$6,tabela_registros[TIPO],DADOS!$AJ$3,tabela_registros[CATEGORIA],reservafixaconsolidadonov[[#This Row],[ATUAL]])</f>
        <v>0</v>
      </c>
      <c r="L171" s="119" t="n">
        <f aca="false">SUMIFS(tabela_registros[VALOR],tabela_registros[MÊS],$AE$1,tabela_registros[DIA],reservafixaconsolidadonov[[#Headers],[8]],tabela_registros[REGISTRO],DADOS!$N$6,tabela_registros[TIPO],DADOS!$AJ$3,tabela_registros[CATEGORIA],reservafixaconsolidadonov[[#This Row],[ATUAL]])</f>
        <v>0</v>
      </c>
      <c r="M171" s="119" t="n">
        <f aca="false">SUMIFS(tabela_registros[VALOR],tabela_registros[MÊS],$AE$1,tabela_registros[DIA],reservafixaconsolidadonov[[#Headers],[9]],tabela_registros[REGISTRO],DADOS!$N$6,tabela_registros[TIPO],DADOS!$AJ$3,tabela_registros[CATEGORIA],reservafixaconsolidadonov[[#This Row],[ATUAL]])</f>
        <v>0</v>
      </c>
      <c r="N171" s="119" t="n">
        <f aca="false">SUMIFS(tabela_registros[VALOR],tabela_registros[MÊS],$AE$1,tabela_registros[DIA],reservafixaconsolidadonov[[#Headers],[10]],tabela_registros[REGISTRO],DADOS!$N$6,tabela_registros[TIPO],DADOS!$AJ$3,tabela_registros[CATEGORIA],reservafixaconsolidadonov[[#This Row],[ATUAL]])</f>
        <v>0</v>
      </c>
      <c r="O171" s="119" t="n">
        <f aca="false">SUMIFS(tabela_registros[VALOR],tabela_registros[MÊS],$AE$1,tabela_registros[DIA],reservafixaconsolidadonov[[#Headers],[11]],tabela_registros[REGISTRO],DADOS!$N$6,tabela_registros[TIPO],DADOS!$AJ$3,tabela_registros[CATEGORIA],reservafixaconsolidadonov[[#This Row],[ATUAL]])</f>
        <v>0</v>
      </c>
      <c r="P171" s="119" t="n">
        <f aca="false">SUMIFS(tabela_registros[VALOR],tabela_registros[MÊS],$AE$1,tabela_registros[DIA],reservafixaconsolidadonov[[#Headers],[12]],tabela_registros[REGISTRO],DADOS!$N$6,tabela_registros[TIPO],DADOS!$AJ$3,tabela_registros[CATEGORIA],reservafixaconsolidadonov[[#This Row],[ATUAL]])</f>
        <v>0</v>
      </c>
      <c r="Q171" s="119" t="n">
        <f aca="false">SUMIFS(tabela_registros[VALOR],tabela_registros[MÊS],$AE$1,tabela_registros[DIA],reservafixaconsolidadonov[[#Headers],[13]],tabela_registros[REGISTRO],DADOS!$N$6,tabela_registros[TIPO],DADOS!$AJ$3,tabela_registros[CATEGORIA],reservafixaconsolidadonov[[#This Row],[ATUAL]])</f>
        <v>0</v>
      </c>
      <c r="R171" s="119" t="n">
        <f aca="false">SUMIFS(tabela_registros[VALOR],tabela_registros[MÊS],$AE$1,tabela_registros[DIA],reservafixaconsolidadonov[[#Headers],[14]],tabela_registros[REGISTRO],DADOS!$N$6,tabela_registros[TIPO],DADOS!$AJ$3,tabela_registros[CATEGORIA],reservafixaconsolidadonov[[#This Row],[ATUAL]])</f>
        <v>0</v>
      </c>
      <c r="S171" s="119" t="n">
        <f aca="false">SUMIFS(tabela_registros[VALOR],tabela_registros[MÊS],$AE$1,tabela_registros[DIA],reservafixaconsolidadonov[[#Headers],[15]],tabela_registros[REGISTRO],DADOS!$N$6,tabela_registros[TIPO],DADOS!$AJ$3,tabela_registros[CATEGORIA],reservafixaconsolidadonov[[#This Row],[ATUAL]])</f>
        <v>0</v>
      </c>
      <c r="T171" s="119" t="n">
        <f aca="false">SUMIFS(tabela_registros[VALOR],tabela_registros[MÊS],$AE$1,tabela_registros[DIA],reservafixaconsolidadonov[[#Headers],[16]],tabela_registros[REGISTRO],DADOS!$N$6,tabela_registros[TIPO],DADOS!$AJ$3,tabela_registros[CATEGORIA],reservafixaconsolidadonov[[#This Row],[ATUAL]])</f>
        <v>0</v>
      </c>
      <c r="U171" s="119" t="n">
        <f aca="false">SUMIFS(tabela_registros[VALOR],tabela_registros[MÊS],$AE$1,tabela_registros[DIA],reservafixaconsolidadonov[[#Headers],[17]],tabela_registros[REGISTRO],DADOS!$N$6,tabela_registros[TIPO],DADOS!$AJ$3,tabela_registros[CATEGORIA],reservafixaconsolidadonov[[#This Row],[ATUAL]])</f>
        <v>0</v>
      </c>
      <c r="V171" s="119" t="n">
        <f aca="false">SUMIFS(tabela_registros[VALOR],tabela_registros[MÊS],$AE$1,tabela_registros[DIA],reservafixaconsolidadonov[[#Headers],[18]],tabela_registros[REGISTRO],DADOS!$N$6,tabela_registros[TIPO],DADOS!$AJ$3,tabela_registros[CATEGORIA],reservafixaconsolidadonov[[#This Row],[ATUAL]])</f>
        <v>0</v>
      </c>
      <c r="W171" s="119" t="n">
        <f aca="false">SUMIFS(tabela_registros[VALOR],tabela_registros[MÊS],$AE$1,tabela_registros[DIA],reservafixaconsolidadonov[[#Headers],[19]],tabela_registros[REGISTRO],DADOS!$N$6,tabela_registros[TIPO],DADOS!$AJ$3,tabela_registros[CATEGORIA],reservafixaconsolidadonov[[#This Row],[ATUAL]])</f>
        <v>0</v>
      </c>
      <c r="X171" s="119" t="n">
        <f aca="false">SUMIFS(tabela_registros[VALOR],tabela_registros[MÊS],$AE$1,tabela_registros[DIA],reservafixaconsolidadonov[[#Headers],[20]],tabela_registros[REGISTRO],DADOS!$N$6,tabela_registros[TIPO],DADOS!$AJ$3,tabela_registros[CATEGORIA],reservafixaconsolidadonov[[#This Row],[ATUAL]])</f>
        <v>0</v>
      </c>
      <c r="Y171" s="119" t="n">
        <f aca="false">SUMIFS(tabela_registros[VALOR],tabela_registros[MÊS],$AE$1,tabela_registros[DIA],reservafixaconsolidadonov[[#Headers],[21]],tabela_registros[REGISTRO],DADOS!$N$6,tabela_registros[TIPO],DADOS!$AJ$3,tabela_registros[CATEGORIA],reservafixaconsolidadonov[[#This Row],[ATUAL]])</f>
        <v>0</v>
      </c>
      <c r="Z171" s="119" t="n">
        <f aca="false">SUMIFS(tabela_registros[VALOR],tabela_registros[MÊS],$AE$1,tabela_registros[DIA],reservafixaconsolidadonov[[#Headers],[22]],tabela_registros[REGISTRO],DADOS!$N$6,tabela_registros[TIPO],DADOS!$AJ$3,tabela_registros[CATEGORIA],reservafixaconsolidadonov[[#This Row],[ATUAL]])</f>
        <v>0</v>
      </c>
      <c r="AA171" s="119" t="n">
        <f aca="false">SUMIFS(tabela_registros[VALOR],tabela_registros[MÊS],$AE$1,tabela_registros[DIA],reservafixaconsolidadonov[[#Headers],[23]],tabela_registros[REGISTRO],DADOS!$N$6,tabela_registros[TIPO],DADOS!$AJ$3,tabela_registros[CATEGORIA],reservafixaconsolidadonov[[#This Row],[ATUAL]])</f>
        <v>0</v>
      </c>
      <c r="AB171" s="119" t="n">
        <f aca="false">SUMIFS(tabela_registros[VALOR],tabela_registros[MÊS],$AE$1,tabela_registros[DIA],reservafixaconsolidadonov[[#Headers],[24]],tabela_registros[REGISTRO],DADOS!$N$6,tabela_registros[TIPO],DADOS!$AJ$3,tabela_registros[CATEGORIA],reservafixaconsolidadonov[[#This Row],[ATUAL]])</f>
        <v>0</v>
      </c>
      <c r="AC171" s="119" t="n">
        <f aca="false">SUMIFS(tabela_registros[VALOR],tabela_registros[MÊS],$AE$1,tabela_registros[DIA],reservafixaconsolidadonov[[#Headers],[25]],tabela_registros[REGISTRO],DADOS!$N$6,tabela_registros[TIPO],DADOS!$AJ$3,tabela_registros[CATEGORIA],reservafixaconsolidadonov[[#This Row],[ATUAL]])</f>
        <v>0</v>
      </c>
      <c r="AD171" s="119" t="n">
        <f aca="false">SUMIFS(tabela_registros[VALOR],tabela_registros[MÊS],$AE$1,tabela_registros[DIA],reservafixaconsolidadonov[[#Headers],[26]],tabela_registros[REGISTRO],DADOS!$N$6,tabela_registros[TIPO],DADOS!$AJ$3,tabela_registros[CATEGORIA],reservafixaconsolidadonov[[#This Row],[ATUAL]])</f>
        <v>0</v>
      </c>
      <c r="AE171" s="119" t="n">
        <f aca="false">SUMIFS(tabela_registros[VALOR],tabela_registros[MÊS],$AE$1,tabela_registros[DIA],reservafixaconsolidadonov[[#Headers],[27]],tabela_registros[REGISTRO],DADOS!$N$6,tabela_registros[TIPO],DADOS!$AJ$3,tabela_registros[CATEGORIA],reservafixaconsolidadonov[[#This Row],[ATUAL]])</f>
        <v>0</v>
      </c>
      <c r="AF171" s="119" t="n">
        <f aca="false">SUMIFS(tabela_registros[VALOR],tabela_registros[MÊS],$AE$1,tabela_registros[DIA],reservafixaconsolidadonov[[#Headers],[28]],tabela_registros[REGISTRO],DADOS!$N$6,tabela_registros[TIPO],DADOS!$AJ$3,tabela_registros[CATEGORIA],reservafixaconsolidadonov[[#This Row],[ATUAL]])</f>
        <v>0</v>
      </c>
      <c r="AG171" s="119" t="n">
        <f aca="false">SUMIFS(tabela_registros[VALOR],tabela_registros[MÊS],$AE$1,tabela_registros[DIA],reservafixaconsolidadonov[[#Headers],[29]],tabela_registros[REGISTRO],DADOS!$N$6,tabela_registros[TIPO],DADOS!$AJ$3,tabela_registros[CATEGORIA],reservafixaconsolidadonov[[#This Row],[ATUAL]])</f>
        <v>0</v>
      </c>
      <c r="AH171" s="119" t="n">
        <f aca="false">SUMIFS(tabela_registros[VALOR],tabela_registros[MÊS],$AE$1,tabela_registros[DIA],reservafixaconsolidadonov[[#Headers],[30]],tabela_registros[REGISTRO],DADOS!$N$6,tabela_registros[TIPO],DADOS!$AJ$3,tabela_registros[CATEGORIA],reservafixaconsolidadonov[[#This Row],[ATUAL]])</f>
        <v>0</v>
      </c>
      <c r="AI171" s="217" t="n">
        <f aca="false">SUMIFS(tabela_registros[VALOR],tabela_registros[MÊS],$AE$1,tabela_registros[DIA],reservafixaconsolidadonov[[#Headers],[31]],tabela_registros[REGISTRO],DADOS!$N$6,tabela_registros[TIPO],DADOS!$AJ$3,tabela_registros[CATEGORIA],reservafixaconsolidadonov[[#This Row],[ATUAL]])</f>
        <v>0</v>
      </c>
      <c r="AJ171" s="149" t="n">
        <f aca="false">SUM(reservafixaconsolidadonov[[#This Row],[1]:[31]])</f>
        <v>0</v>
      </c>
      <c r="AK171" s="165"/>
    </row>
    <row r="172" customFormat="false" ht="19.5" hidden="false" customHeight="true" outlineLevel="0" collapsed="false">
      <c r="B172" s="143"/>
      <c r="C172" s="144" t="str">
        <f aca="false">DADOS!$AL$7</f>
        <v>📝 EXTERIOR</v>
      </c>
      <c r="D172" s="145" t="str">
        <f aca="false">IF(reservafixaconsolidadonov[[#This Row],[TOTAL (R$)]]=0,"",IF(OR(reservafixaconsolidadonov[[#This Row],[TOTAL (R$)]]=LARGE($AJ$168:$AJ$177,1),reservafixaconsolidadonov[[#This Row],[TOTAL (R$)]]=LARGE($AJ$168:$AJ$177,2)),DADOS!$I$11,""))</f>
        <v/>
      </c>
      <c r="E172" s="148" t="n">
        <f aca="false">SUMIFS(tabela_registros[VALOR],tabela_registros[MÊS],$AE$1,tabela_registros[DIA],reservafixaconsolidadonov[[#Headers],[1]],tabela_registros[REGISTRO],DADOS!$N$6,tabela_registros[TIPO],DADOS!$AJ$3,tabela_registros[CATEGORIA],reservafixaconsolidadonov[[#This Row],[ATUAL]])</f>
        <v>0</v>
      </c>
      <c r="F172" s="119" t="n">
        <f aca="false">SUMIFS(tabela_registros[VALOR],tabela_registros[MÊS],$AE$1,tabela_registros[DIA],reservafixaconsolidadonov[[#Headers],[2]],tabela_registros[REGISTRO],DADOS!$N$6,tabela_registros[TIPO],DADOS!$AJ$3,tabela_registros[CATEGORIA],reservafixaconsolidadonov[[#This Row],[ATUAL]])</f>
        <v>0</v>
      </c>
      <c r="G172" s="119" t="n">
        <f aca="false">SUMIFS(tabela_registros[VALOR],tabela_registros[MÊS],$AE$1,tabela_registros[DIA],reservafixaconsolidadonov[[#Headers],[3]],tabela_registros[REGISTRO],DADOS!$N$6,tabela_registros[TIPO],DADOS!$AJ$3,tabela_registros[CATEGORIA],reservafixaconsolidadonov[[#This Row],[ATUAL]])</f>
        <v>0</v>
      </c>
      <c r="H172" s="119" t="n">
        <f aca="false">SUMIFS(tabela_registros[VALOR],tabela_registros[MÊS],$AE$1,tabela_registros[DIA],reservafixaconsolidadonov[[#Headers],[4]],tabela_registros[REGISTRO],DADOS!$N$6,tabela_registros[TIPO],DADOS!$AJ$3,tabela_registros[CATEGORIA],reservafixaconsolidadonov[[#This Row],[ATUAL]])</f>
        <v>0</v>
      </c>
      <c r="I172" s="119" t="n">
        <f aca="false">SUMIFS(tabela_registros[VALOR],tabela_registros[MÊS],$AE$1,tabela_registros[DIA],reservafixaconsolidadonov[[#Headers],[5]],tabela_registros[REGISTRO],DADOS!$N$6,tabela_registros[TIPO],DADOS!$AJ$3,tabela_registros[CATEGORIA],reservafixaconsolidadonov[[#This Row],[ATUAL]])</f>
        <v>0</v>
      </c>
      <c r="J172" s="119" t="n">
        <f aca="false">SUMIFS(tabela_registros[VALOR],tabela_registros[MÊS],$AE$1,tabela_registros[DIA],reservafixaconsolidadonov[[#Headers],[6]],tabela_registros[REGISTRO],DADOS!$N$6,tabela_registros[TIPO],DADOS!$AJ$3,tabela_registros[CATEGORIA],reservafixaconsolidadonov[[#This Row],[ATUAL]])</f>
        <v>0</v>
      </c>
      <c r="K172" s="119" t="n">
        <f aca="false">SUMIFS(tabela_registros[VALOR],tabela_registros[MÊS],$AE$1,tabela_registros[DIA],reservafixaconsolidadonov[[#Headers],[7]],tabela_registros[REGISTRO],DADOS!$N$6,tabela_registros[TIPO],DADOS!$AJ$3,tabela_registros[CATEGORIA],reservafixaconsolidadonov[[#This Row],[ATUAL]])</f>
        <v>0</v>
      </c>
      <c r="L172" s="119" t="n">
        <f aca="false">SUMIFS(tabela_registros[VALOR],tabela_registros[MÊS],$AE$1,tabela_registros[DIA],reservafixaconsolidadonov[[#Headers],[8]],tabela_registros[REGISTRO],DADOS!$N$6,tabela_registros[TIPO],DADOS!$AJ$3,tabela_registros[CATEGORIA],reservafixaconsolidadonov[[#This Row],[ATUAL]])</f>
        <v>0</v>
      </c>
      <c r="M172" s="119" t="n">
        <f aca="false">SUMIFS(tabela_registros[VALOR],tabela_registros[MÊS],$AE$1,tabela_registros[DIA],reservafixaconsolidadonov[[#Headers],[9]],tabela_registros[REGISTRO],DADOS!$N$6,tabela_registros[TIPO],DADOS!$AJ$3,tabela_registros[CATEGORIA],reservafixaconsolidadonov[[#This Row],[ATUAL]])</f>
        <v>0</v>
      </c>
      <c r="N172" s="119" t="n">
        <f aca="false">SUMIFS(tabela_registros[VALOR],tabela_registros[MÊS],$AE$1,tabela_registros[DIA],reservafixaconsolidadonov[[#Headers],[10]],tabela_registros[REGISTRO],DADOS!$N$6,tabela_registros[TIPO],DADOS!$AJ$3,tabela_registros[CATEGORIA],reservafixaconsolidadonov[[#This Row],[ATUAL]])</f>
        <v>0</v>
      </c>
      <c r="O172" s="119" t="n">
        <f aca="false">SUMIFS(tabela_registros[VALOR],tabela_registros[MÊS],$AE$1,tabela_registros[DIA],reservafixaconsolidadonov[[#Headers],[11]],tabela_registros[REGISTRO],DADOS!$N$6,tabela_registros[TIPO],DADOS!$AJ$3,tabela_registros[CATEGORIA],reservafixaconsolidadonov[[#This Row],[ATUAL]])</f>
        <v>0</v>
      </c>
      <c r="P172" s="119" t="n">
        <f aca="false">SUMIFS(tabela_registros[VALOR],tabela_registros[MÊS],$AE$1,tabela_registros[DIA],reservafixaconsolidadonov[[#Headers],[12]],tabela_registros[REGISTRO],DADOS!$N$6,tabela_registros[TIPO],DADOS!$AJ$3,tabela_registros[CATEGORIA],reservafixaconsolidadonov[[#This Row],[ATUAL]])</f>
        <v>0</v>
      </c>
      <c r="Q172" s="119" t="n">
        <f aca="false">SUMIFS(tabela_registros[VALOR],tabela_registros[MÊS],$AE$1,tabela_registros[DIA],reservafixaconsolidadonov[[#Headers],[13]],tabela_registros[REGISTRO],DADOS!$N$6,tabela_registros[TIPO],DADOS!$AJ$3,tabela_registros[CATEGORIA],reservafixaconsolidadonov[[#This Row],[ATUAL]])</f>
        <v>0</v>
      </c>
      <c r="R172" s="119" t="n">
        <f aca="false">SUMIFS(tabela_registros[VALOR],tabela_registros[MÊS],$AE$1,tabela_registros[DIA],reservafixaconsolidadonov[[#Headers],[14]],tabela_registros[REGISTRO],DADOS!$N$6,tabela_registros[TIPO],DADOS!$AJ$3,tabela_registros[CATEGORIA],reservafixaconsolidadonov[[#This Row],[ATUAL]])</f>
        <v>0</v>
      </c>
      <c r="S172" s="119" t="n">
        <f aca="false">SUMIFS(tabela_registros[VALOR],tabela_registros[MÊS],$AE$1,tabela_registros[DIA],reservafixaconsolidadonov[[#Headers],[15]],tabela_registros[REGISTRO],DADOS!$N$6,tabela_registros[TIPO],DADOS!$AJ$3,tabela_registros[CATEGORIA],reservafixaconsolidadonov[[#This Row],[ATUAL]])</f>
        <v>0</v>
      </c>
      <c r="T172" s="119" t="n">
        <f aca="false">SUMIFS(tabela_registros[VALOR],tabela_registros[MÊS],$AE$1,tabela_registros[DIA],reservafixaconsolidadonov[[#Headers],[16]],tabela_registros[REGISTRO],DADOS!$N$6,tabela_registros[TIPO],DADOS!$AJ$3,tabela_registros[CATEGORIA],reservafixaconsolidadonov[[#This Row],[ATUAL]])</f>
        <v>0</v>
      </c>
      <c r="U172" s="119" t="n">
        <f aca="false">SUMIFS(tabela_registros[VALOR],tabela_registros[MÊS],$AE$1,tabela_registros[DIA],reservafixaconsolidadonov[[#Headers],[17]],tabela_registros[REGISTRO],DADOS!$N$6,tabela_registros[TIPO],DADOS!$AJ$3,tabela_registros[CATEGORIA],reservafixaconsolidadonov[[#This Row],[ATUAL]])</f>
        <v>0</v>
      </c>
      <c r="V172" s="119" t="n">
        <f aca="false">SUMIFS(tabela_registros[VALOR],tabela_registros[MÊS],$AE$1,tabela_registros[DIA],reservafixaconsolidadonov[[#Headers],[18]],tabela_registros[REGISTRO],DADOS!$N$6,tabela_registros[TIPO],DADOS!$AJ$3,tabela_registros[CATEGORIA],reservafixaconsolidadonov[[#This Row],[ATUAL]])</f>
        <v>0</v>
      </c>
      <c r="W172" s="119" t="n">
        <f aca="false">SUMIFS(tabela_registros[VALOR],tabela_registros[MÊS],$AE$1,tabela_registros[DIA],reservafixaconsolidadonov[[#Headers],[19]],tabela_registros[REGISTRO],DADOS!$N$6,tabela_registros[TIPO],DADOS!$AJ$3,tabela_registros[CATEGORIA],reservafixaconsolidadonov[[#This Row],[ATUAL]])</f>
        <v>0</v>
      </c>
      <c r="X172" s="119" t="n">
        <f aca="false">SUMIFS(tabela_registros[VALOR],tabela_registros[MÊS],$AE$1,tabela_registros[DIA],reservafixaconsolidadonov[[#Headers],[20]],tabela_registros[REGISTRO],DADOS!$N$6,tabela_registros[TIPO],DADOS!$AJ$3,tabela_registros[CATEGORIA],reservafixaconsolidadonov[[#This Row],[ATUAL]])</f>
        <v>0</v>
      </c>
      <c r="Y172" s="119" t="n">
        <f aca="false">SUMIFS(tabela_registros[VALOR],tabela_registros[MÊS],$AE$1,tabela_registros[DIA],reservafixaconsolidadonov[[#Headers],[21]],tabela_registros[REGISTRO],DADOS!$N$6,tabela_registros[TIPO],DADOS!$AJ$3,tabela_registros[CATEGORIA],reservafixaconsolidadonov[[#This Row],[ATUAL]])</f>
        <v>0</v>
      </c>
      <c r="Z172" s="119" t="n">
        <f aca="false">SUMIFS(tabela_registros[VALOR],tabela_registros[MÊS],$AE$1,tabela_registros[DIA],reservafixaconsolidadonov[[#Headers],[22]],tabela_registros[REGISTRO],DADOS!$N$6,tabela_registros[TIPO],DADOS!$AJ$3,tabela_registros[CATEGORIA],reservafixaconsolidadonov[[#This Row],[ATUAL]])</f>
        <v>0</v>
      </c>
      <c r="AA172" s="119" t="n">
        <f aca="false">SUMIFS(tabela_registros[VALOR],tabela_registros[MÊS],$AE$1,tabela_registros[DIA],reservafixaconsolidadonov[[#Headers],[23]],tabela_registros[REGISTRO],DADOS!$N$6,tabela_registros[TIPO],DADOS!$AJ$3,tabela_registros[CATEGORIA],reservafixaconsolidadonov[[#This Row],[ATUAL]])</f>
        <v>0</v>
      </c>
      <c r="AB172" s="119" t="n">
        <f aca="false">SUMIFS(tabela_registros[VALOR],tabela_registros[MÊS],$AE$1,tabela_registros[DIA],reservafixaconsolidadonov[[#Headers],[24]],tabela_registros[REGISTRO],DADOS!$N$6,tabela_registros[TIPO],DADOS!$AJ$3,tabela_registros[CATEGORIA],reservafixaconsolidadonov[[#This Row],[ATUAL]])</f>
        <v>0</v>
      </c>
      <c r="AC172" s="119" t="n">
        <f aca="false">SUMIFS(tabela_registros[VALOR],tabela_registros[MÊS],$AE$1,tabela_registros[DIA],reservafixaconsolidadonov[[#Headers],[25]],tabela_registros[REGISTRO],DADOS!$N$6,tabela_registros[TIPO],DADOS!$AJ$3,tabela_registros[CATEGORIA],reservafixaconsolidadonov[[#This Row],[ATUAL]])</f>
        <v>0</v>
      </c>
      <c r="AD172" s="119" t="n">
        <f aca="false">SUMIFS(tabela_registros[VALOR],tabela_registros[MÊS],$AE$1,tabela_registros[DIA],reservafixaconsolidadonov[[#Headers],[26]],tabela_registros[REGISTRO],DADOS!$N$6,tabela_registros[TIPO],DADOS!$AJ$3,tabela_registros[CATEGORIA],reservafixaconsolidadonov[[#This Row],[ATUAL]])</f>
        <v>0</v>
      </c>
      <c r="AE172" s="119" t="n">
        <f aca="false">SUMIFS(tabela_registros[VALOR],tabela_registros[MÊS],$AE$1,tabela_registros[DIA],reservafixaconsolidadonov[[#Headers],[27]],tabela_registros[REGISTRO],DADOS!$N$6,tabela_registros[TIPO],DADOS!$AJ$3,tabela_registros[CATEGORIA],reservafixaconsolidadonov[[#This Row],[ATUAL]])</f>
        <v>0</v>
      </c>
      <c r="AF172" s="119" t="n">
        <f aca="false">SUMIFS(tabela_registros[VALOR],tabela_registros[MÊS],$AE$1,tabela_registros[DIA],reservafixaconsolidadonov[[#Headers],[28]],tabela_registros[REGISTRO],DADOS!$N$6,tabela_registros[TIPO],DADOS!$AJ$3,tabela_registros[CATEGORIA],reservafixaconsolidadonov[[#This Row],[ATUAL]])</f>
        <v>0</v>
      </c>
      <c r="AG172" s="119" t="n">
        <f aca="false">SUMIFS(tabela_registros[VALOR],tabela_registros[MÊS],$AE$1,tabela_registros[DIA],reservafixaconsolidadonov[[#Headers],[29]],tabela_registros[REGISTRO],DADOS!$N$6,tabela_registros[TIPO],DADOS!$AJ$3,tabela_registros[CATEGORIA],reservafixaconsolidadonov[[#This Row],[ATUAL]])</f>
        <v>0</v>
      </c>
      <c r="AH172" s="119" t="n">
        <f aca="false">SUMIFS(tabela_registros[VALOR],tabela_registros[MÊS],$AE$1,tabela_registros[DIA],reservafixaconsolidadonov[[#Headers],[30]],tabela_registros[REGISTRO],DADOS!$N$6,tabela_registros[TIPO],DADOS!$AJ$3,tabela_registros[CATEGORIA],reservafixaconsolidadonov[[#This Row],[ATUAL]])</f>
        <v>0</v>
      </c>
      <c r="AI172" s="217" t="n">
        <f aca="false">SUMIFS(tabela_registros[VALOR],tabela_registros[MÊS],$AE$1,tabela_registros[DIA],reservafixaconsolidadonov[[#Headers],[31]],tabela_registros[REGISTRO],DADOS!$N$6,tabela_registros[TIPO],DADOS!$AJ$3,tabela_registros[CATEGORIA],reservafixaconsolidadonov[[#This Row],[ATUAL]])</f>
        <v>0</v>
      </c>
      <c r="AJ172" s="149" t="n">
        <f aca="false">SUM(reservafixaconsolidadonov[[#This Row],[1]:[31]])</f>
        <v>0</v>
      </c>
      <c r="AK172" s="165"/>
    </row>
    <row r="173" customFormat="false" ht="19.5" hidden="false" customHeight="true" outlineLevel="0" collapsed="false">
      <c r="B173" s="143"/>
      <c r="C173" s="144" t="str">
        <f aca="false">DADOS!$AL$8</f>
        <v>📝 LC</v>
      </c>
      <c r="D173" s="145" t="str">
        <f aca="false">IF(reservafixaconsolidadonov[[#This Row],[TOTAL (R$)]]=0,"",IF(OR(reservafixaconsolidadonov[[#This Row],[TOTAL (R$)]]=LARGE($AJ$168:$AJ$177,1),reservafixaconsolidadonov[[#This Row],[TOTAL (R$)]]=LARGE($AJ$168:$AJ$177,2)),DADOS!$I$11,""))</f>
        <v/>
      </c>
      <c r="E173" s="148" t="n">
        <f aca="false">SUMIFS(tabela_registros[VALOR],tabela_registros[MÊS],$AE$1,tabela_registros[DIA],reservafixaconsolidadonov[[#Headers],[1]],tabela_registros[REGISTRO],DADOS!$N$6,tabela_registros[TIPO],DADOS!$AJ$3,tabela_registros[CATEGORIA],reservafixaconsolidadonov[[#This Row],[ATUAL]])</f>
        <v>0</v>
      </c>
      <c r="F173" s="119" t="n">
        <f aca="false">SUMIFS(tabela_registros[VALOR],tabela_registros[MÊS],$AE$1,tabela_registros[DIA],reservafixaconsolidadonov[[#Headers],[2]],tabela_registros[REGISTRO],DADOS!$N$6,tabela_registros[TIPO],DADOS!$AJ$3,tabela_registros[CATEGORIA],reservafixaconsolidadonov[[#This Row],[ATUAL]])</f>
        <v>0</v>
      </c>
      <c r="G173" s="119" t="n">
        <f aca="false">SUMIFS(tabela_registros[VALOR],tabela_registros[MÊS],$AE$1,tabela_registros[DIA],reservafixaconsolidadonov[[#Headers],[3]],tabela_registros[REGISTRO],DADOS!$N$6,tabela_registros[TIPO],DADOS!$AJ$3,tabela_registros[CATEGORIA],reservafixaconsolidadonov[[#This Row],[ATUAL]])</f>
        <v>0</v>
      </c>
      <c r="H173" s="119" t="n">
        <f aca="false">SUMIFS(tabela_registros[VALOR],tabela_registros[MÊS],$AE$1,tabela_registros[DIA],reservafixaconsolidadonov[[#Headers],[4]],tabela_registros[REGISTRO],DADOS!$N$6,tabela_registros[TIPO],DADOS!$AJ$3,tabela_registros[CATEGORIA],reservafixaconsolidadonov[[#This Row],[ATUAL]])</f>
        <v>0</v>
      </c>
      <c r="I173" s="119" t="n">
        <f aca="false">SUMIFS(tabela_registros[VALOR],tabela_registros[MÊS],$AE$1,tabela_registros[DIA],reservafixaconsolidadonov[[#Headers],[5]],tabela_registros[REGISTRO],DADOS!$N$6,tabela_registros[TIPO],DADOS!$AJ$3,tabela_registros[CATEGORIA],reservafixaconsolidadonov[[#This Row],[ATUAL]])</f>
        <v>0</v>
      </c>
      <c r="J173" s="119" t="n">
        <f aca="false">SUMIFS(tabela_registros[VALOR],tabela_registros[MÊS],$AE$1,tabela_registros[DIA],reservafixaconsolidadonov[[#Headers],[6]],tabela_registros[REGISTRO],DADOS!$N$6,tabela_registros[TIPO],DADOS!$AJ$3,tabela_registros[CATEGORIA],reservafixaconsolidadonov[[#This Row],[ATUAL]])</f>
        <v>0</v>
      </c>
      <c r="K173" s="119" t="n">
        <f aca="false">SUMIFS(tabela_registros[VALOR],tabela_registros[MÊS],$AE$1,tabela_registros[DIA],reservafixaconsolidadonov[[#Headers],[7]],tabela_registros[REGISTRO],DADOS!$N$6,tabela_registros[TIPO],DADOS!$AJ$3,tabela_registros[CATEGORIA],reservafixaconsolidadonov[[#This Row],[ATUAL]])</f>
        <v>0</v>
      </c>
      <c r="L173" s="119" t="n">
        <f aca="false">SUMIFS(tabela_registros[VALOR],tabela_registros[MÊS],$AE$1,tabela_registros[DIA],reservafixaconsolidadonov[[#Headers],[8]],tabela_registros[REGISTRO],DADOS!$N$6,tabela_registros[TIPO],DADOS!$AJ$3,tabela_registros[CATEGORIA],reservafixaconsolidadonov[[#This Row],[ATUAL]])</f>
        <v>0</v>
      </c>
      <c r="M173" s="119" t="n">
        <f aca="false">SUMIFS(tabela_registros[VALOR],tabela_registros[MÊS],$AE$1,tabela_registros[DIA],reservafixaconsolidadonov[[#Headers],[9]],tabela_registros[REGISTRO],DADOS!$N$6,tabela_registros[TIPO],DADOS!$AJ$3,tabela_registros[CATEGORIA],reservafixaconsolidadonov[[#This Row],[ATUAL]])</f>
        <v>0</v>
      </c>
      <c r="N173" s="119" t="n">
        <f aca="false">SUMIFS(tabela_registros[VALOR],tabela_registros[MÊS],$AE$1,tabela_registros[DIA],reservafixaconsolidadonov[[#Headers],[10]],tabela_registros[REGISTRO],DADOS!$N$6,tabela_registros[TIPO],DADOS!$AJ$3,tabela_registros[CATEGORIA],reservafixaconsolidadonov[[#This Row],[ATUAL]])</f>
        <v>0</v>
      </c>
      <c r="O173" s="119" t="n">
        <f aca="false">SUMIFS(tabela_registros[VALOR],tabela_registros[MÊS],$AE$1,tabela_registros[DIA],reservafixaconsolidadonov[[#Headers],[11]],tabela_registros[REGISTRO],DADOS!$N$6,tabela_registros[TIPO],DADOS!$AJ$3,tabela_registros[CATEGORIA],reservafixaconsolidadonov[[#This Row],[ATUAL]])</f>
        <v>0</v>
      </c>
      <c r="P173" s="119" t="n">
        <f aca="false">SUMIFS(tabela_registros[VALOR],tabela_registros[MÊS],$AE$1,tabela_registros[DIA],reservafixaconsolidadonov[[#Headers],[12]],tabela_registros[REGISTRO],DADOS!$N$6,tabela_registros[TIPO],DADOS!$AJ$3,tabela_registros[CATEGORIA],reservafixaconsolidadonov[[#This Row],[ATUAL]])</f>
        <v>0</v>
      </c>
      <c r="Q173" s="119" t="n">
        <f aca="false">SUMIFS(tabela_registros[VALOR],tabela_registros[MÊS],$AE$1,tabela_registros[DIA],reservafixaconsolidadonov[[#Headers],[13]],tabela_registros[REGISTRO],DADOS!$N$6,tabela_registros[TIPO],DADOS!$AJ$3,tabela_registros[CATEGORIA],reservafixaconsolidadonov[[#This Row],[ATUAL]])</f>
        <v>0</v>
      </c>
      <c r="R173" s="119" t="n">
        <f aca="false">SUMIFS(tabela_registros[VALOR],tabela_registros[MÊS],$AE$1,tabela_registros[DIA],reservafixaconsolidadonov[[#Headers],[14]],tabela_registros[REGISTRO],DADOS!$N$6,tabela_registros[TIPO],DADOS!$AJ$3,tabela_registros[CATEGORIA],reservafixaconsolidadonov[[#This Row],[ATUAL]])</f>
        <v>0</v>
      </c>
      <c r="S173" s="119" t="n">
        <f aca="false">SUMIFS(tabela_registros[VALOR],tabela_registros[MÊS],$AE$1,tabela_registros[DIA],reservafixaconsolidadonov[[#Headers],[15]],tabela_registros[REGISTRO],DADOS!$N$6,tabela_registros[TIPO],DADOS!$AJ$3,tabela_registros[CATEGORIA],reservafixaconsolidadonov[[#This Row],[ATUAL]])</f>
        <v>0</v>
      </c>
      <c r="T173" s="119" t="n">
        <f aca="false">SUMIFS(tabela_registros[VALOR],tabela_registros[MÊS],$AE$1,tabela_registros[DIA],reservafixaconsolidadonov[[#Headers],[16]],tabela_registros[REGISTRO],DADOS!$N$6,tabela_registros[TIPO],DADOS!$AJ$3,tabela_registros[CATEGORIA],reservafixaconsolidadonov[[#This Row],[ATUAL]])</f>
        <v>0</v>
      </c>
      <c r="U173" s="119" t="n">
        <f aca="false">SUMIFS(tabela_registros[VALOR],tabela_registros[MÊS],$AE$1,tabela_registros[DIA],reservafixaconsolidadonov[[#Headers],[17]],tabela_registros[REGISTRO],DADOS!$N$6,tabela_registros[TIPO],DADOS!$AJ$3,tabela_registros[CATEGORIA],reservafixaconsolidadonov[[#This Row],[ATUAL]])</f>
        <v>0</v>
      </c>
      <c r="V173" s="119" t="n">
        <f aca="false">SUMIFS(tabela_registros[VALOR],tabela_registros[MÊS],$AE$1,tabela_registros[DIA],reservafixaconsolidadonov[[#Headers],[18]],tabela_registros[REGISTRO],DADOS!$N$6,tabela_registros[TIPO],DADOS!$AJ$3,tabela_registros[CATEGORIA],reservafixaconsolidadonov[[#This Row],[ATUAL]])</f>
        <v>0</v>
      </c>
      <c r="W173" s="119" t="n">
        <f aca="false">SUMIFS(tabela_registros[VALOR],tabela_registros[MÊS],$AE$1,tabela_registros[DIA],reservafixaconsolidadonov[[#Headers],[19]],tabela_registros[REGISTRO],DADOS!$N$6,tabela_registros[TIPO],DADOS!$AJ$3,tabela_registros[CATEGORIA],reservafixaconsolidadonov[[#This Row],[ATUAL]])</f>
        <v>0</v>
      </c>
      <c r="X173" s="119" t="n">
        <f aca="false">SUMIFS(tabela_registros[VALOR],tabela_registros[MÊS],$AE$1,tabela_registros[DIA],reservafixaconsolidadonov[[#Headers],[20]],tabela_registros[REGISTRO],DADOS!$N$6,tabela_registros[TIPO],DADOS!$AJ$3,tabela_registros[CATEGORIA],reservafixaconsolidadonov[[#This Row],[ATUAL]])</f>
        <v>0</v>
      </c>
      <c r="Y173" s="119" t="n">
        <f aca="false">SUMIFS(tabela_registros[VALOR],tabela_registros[MÊS],$AE$1,tabela_registros[DIA],reservafixaconsolidadonov[[#Headers],[21]],tabela_registros[REGISTRO],DADOS!$N$6,tabela_registros[TIPO],DADOS!$AJ$3,tabela_registros[CATEGORIA],reservafixaconsolidadonov[[#This Row],[ATUAL]])</f>
        <v>0</v>
      </c>
      <c r="Z173" s="119" t="n">
        <f aca="false">SUMIFS(tabela_registros[VALOR],tabela_registros[MÊS],$AE$1,tabela_registros[DIA],reservafixaconsolidadonov[[#Headers],[22]],tabela_registros[REGISTRO],DADOS!$N$6,tabela_registros[TIPO],DADOS!$AJ$3,tabela_registros[CATEGORIA],reservafixaconsolidadonov[[#This Row],[ATUAL]])</f>
        <v>0</v>
      </c>
      <c r="AA173" s="119" t="n">
        <f aca="false">SUMIFS(tabela_registros[VALOR],tabela_registros[MÊS],$AE$1,tabela_registros[DIA],reservafixaconsolidadonov[[#Headers],[23]],tabela_registros[REGISTRO],DADOS!$N$6,tabela_registros[TIPO],DADOS!$AJ$3,tabela_registros[CATEGORIA],reservafixaconsolidadonov[[#This Row],[ATUAL]])</f>
        <v>0</v>
      </c>
      <c r="AB173" s="119" t="n">
        <f aca="false">SUMIFS(tabela_registros[VALOR],tabela_registros[MÊS],$AE$1,tabela_registros[DIA],reservafixaconsolidadonov[[#Headers],[24]],tabela_registros[REGISTRO],DADOS!$N$6,tabela_registros[TIPO],DADOS!$AJ$3,tabela_registros[CATEGORIA],reservafixaconsolidadonov[[#This Row],[ATUAL]])</f>
        <v>0</v>
      </c>
      <c r="AC173" s="119" t="n">
        <f aca="false">SUMIFS(tabela_registros[VALOR],tabela_registros[MÊS],$AE$1,tabela_registros[DIA],reservafixaconsolidadonov[[#Headers],[25]],tabela_registros[REGISTRO],DADOS!$N$6,tabela_registros[TIPO],DADOS!$AJ$3,tabela_registros[CATEGORIA],reservafixaconsolidadonov[[#This Row],[ATUAL]])</f>
        <v>0</v>
      </c>
      <c r="AD173" s="119" t="n">
        <f aca="false">SUMIFS(tabela_registros[VALOR],tabela_registros[MÊS],$AE$1,tabela_registros[DIA],reservafixaconsolidadonov[[#Headers],[26]],tabela_registros[REGISTRO],DADOS!$N$6,tabela_registros[TIPO],DADOS!$AJ$3,tabela_registros[CATEGORIA],reservafixaconsolidadonov[[#This Row],[ATUAL]])</f>
        <v>0</v>
      </c>
      <c r="AE173" s="119" t="n">
        <f aca="false">SUMIFS(tabela_registros[VALOR],tabela_registros[MÊS],$AE$1,tabela_registros[DIA],reservafixaconsolidadonov[[#Headers],[27]],tabela_registros[REGISTRO],DADOS!$N$6,tabela_registros[TIPO],DADOS!$AJ$3,tabela_registros[CATEGORIA],reservafixaconsolidadonov[[#This Row],[ATUAL]])</f>
        <v>0</v>
      </c>
      <c r="AF173" s="119" t="n">
        <f aca="false">SUMIFS(tabela_registros[VALOR],tabela_registros[MÊS],$AE$1,tabela_registros[DIA],reservafixaconsolidadonov[[#Headers],[28]],tabela_registros[REGISTRO],DADOS!$N$6,tabela_registros[TIPO],DADOS!$AJ$3,tabela_registros[CATEGORIA],reservafixaconsolidadonov[[#This Row],[ATUAL]])</f>
        <v>0</v>
      </c>
      <c r="AG173" s="119" t="n">
        <f aca="false">SUMIFS(tabela_registros[VALOR],tabela_registros[MÊS],$AE$1,tabela_registros[DIA],reservafixaconsolidadonov[[#Headers],[29]],tabela_registros[REGISTRO],DADOS!$N$6,tabela_registros[TIPO],DADOS!$AJ$3,tabela_registros[CATEGORIA],reservafixaconsolidadonov[[#This Row],[ATUAL]])</f>
        <v>0</v>
      </c>
      <c r="AH173" s="119" t="n">
        <f aca="false">SUMIFS(tabela_registros[VALOR],tabela_registros[MÊS],$AE$1,tabela_registros[DIA],reservafixaconsolidadonov[[#Headers],[30]],tabela_registros[REGISTRO],DADOS!$N$6,tabela_registros[TIPO],DADOS!$AJ$3,tabela_registros[CATEGORIA],reservafixaconsolidadonov[[#This Row],[ATUAL]])</f>
        <v>0</v>
      </c>
      <c r="AI173" s="217" t="n">
        <f aca="false">SUMIFS(tabela_registros[VALOR],tabela_registros[MÊS],$AE$1,tabela_registros[DIA],reservafixaconsolidadonov[[#Headers],[31]],tabela_registros[REGISTRO],DADOS!$N$6,tabela_registros[TIPO],DADOS!$AJ$3,tabela_registros[CATEGORIA],reservafixaconsolidadonov[[#This Row],[ATUAL]])</f>
        <v>0</v>
      </c>
      <c r="AJ173" s="149" t="n">
        <f aca="false">SUM(reservafixaconsolidadonov[[#This Row],[1]:[31]])</f>
        <v>0</v>
      </c>
      <c r="AK173" s="165"/>
    </row>
    <row r="174" customFormat="false" ht="19.5" hidden="false" customHeight="true" outlineLevel="0" collapsed="false">
      <c r="B174" s="143"/>
      <c r="C174" s="144" t="str">
        <f aca="false">DADOS!$AL$9</f>
        <v>📝 LCA</v>
      </c>
      <c r="D174" s="145" t="str">
        <f aca="false">IF(reservafixaconsolidadonov[[#This Row],[TOTAL (R$)]]=0,"",IF(OR(reservafixaconsolidadonov[[#This Row],[TOTAL (R$)]]=LARGE($AJ$168:$AJ$177,1),reservafixaconsolidadonov[[#This Row],[TOTAL (R$)]]=LARGE($AJ$168:$AJ$177,2)),DADOS!$I$11,""))</f>
        <v/>
      </c>
      <c r="E174" s="148" t="n">
        <f aca="false">SUMIFS(tabela_registros[VALOR],tabela_registros[MÊS],$AE$1,tabela_registros[DIA],reservafixaconsolidadonov[[#Headers],[1]],tabela_registros[REGISTRO],DADOS!$N$6,tabela_registros[TIPO],DADOS!$AJ$3,tabela_registros[CATEGORIA],reservafixaconsolidadonov[[#This Row],[ATUAL]])</f>
        <v>0</v>
      </c>
      <c r="F174" s="119" t="n">
        <f aca="false">SUMIFS(tabela_registros[VALOR],tabela_registros[MÊS],$AE$1,tabela_registros[DIA],reservafixaconsolidadonov[[#Headers],[2]],tabela_registros[REGISTRO],DADOS!$N$6,tabela_registros[TIPO],DADOS!$AJ$3,tabela_registros[CATEGORIA],reservafixaconsolidadonov[[#This Row],[ATUAL]])</f>
        <v>0</v>
      </c>
      <c r="G174" s="119" t="n">
        <f aca="false">SUMIFS(tabela_registros[VALOR],tabela_registros[MÊS],$AE$1,tabela_registros[DIA],reservafixaconsolidadonov[[#Headers],[3]],tabela_registros[REGISTRO],DADOS!$N$6,tabela_registros[TIPO],DADOS!$AJ$3,tabela_registros[CATEGORIA],reservafixaconsolidadonov[[#This Row],[ATUAL]])</f>
        <v>0</v>
      </c>
      <c r="H174" s="119" t="n">
        <f aca="false">SUMIFS(tabela_registros[VALOR],tabela_registros[MÊS],$AE$1,tabela_registros[DIA],reservafixaconsolidadonov[[#Headers],[4]],tabela_registros[REGISTRO],DADOS!$N$6,tabela_registros[TIPO],DADOS!$AJ$3,tabela_registros[CATEGORIA],reservafixaconsolidadonov[[#This Row],[ATUAL]])</f>
        <v>0</v>
      </c>
      <c r="I174" s="119" t="n">
        <f aca="false">SUMIFS(tabela_registros[VALOR],tabela_registros[MÊS],$AE$1,tabela_registros[DIA],reservafixaconsolidadonov[[#Headers],[5]],tabela_registros[REGISTRO],DADOS!$N$6,tabela_registros[TIPO],DADOS!$AJ$3,tabela_registros[CATEGORIA],reservafixaconsolidadonov[[#This Row],[ATUAL]])</f>
        <v>0</v>
      </c>
      <c r="J174" s="119" t="n">
        <f aca="false">SUMIFS(tabela_registros[VALOR],tabela_registros[MÊS],$AE$1,tabela_registros[DIA],reservafixaconsolidadonov[[#Headers],[6]],tabela_registros[REGISTRO],DADOS!$N$6,tabela_registros[TIPO],DADOS!$AJ$3,tabela_registros[CATEGORIA],reservafixaconsolidadonov[[#This Row],[ATUAL]])</f>
        <v>0</v>
      </c>
      <c r="K174" s="119" t="n">
        <f aca="false">SUMIFS(tabela_registros[VALOR],tabela_registros[MÊS],$AE$1,tabela_registros[DIA],reservafixaconsolidadonov[[#Headers],[7]],tabela_registros[REGISTRO],DADOS!$N$6,tabela_registros[TIPO],DADOS!$AJ$3,tabela_registros[CATEGORIA],reservafixaconsolidadonov[[#This Row],[ATUAL]])</f>
        <v>0</v>
      </c>
      <c r="L174" s="119" t="n">
        <f aca="false">SUMIFS(tabela_registros[VALOR],tabela_registros[MÊS],$AE$1,tabela_registros[DIA],reservafixaconsolidadonov[[#Headers],[8]],tabela_registros[REGISTRO],DADOS!$N$6,tabela_registros[TIPO],DADOS!$AJ$3,tabela_registros[CATEGORIA],reservafixaconsolidadonov[[#This Row],[ATUAL]])</f>
        <v>0</v>
      </c>
      <c r="M174" s="119" t="n">
        <f aca="false">SUMIFS(tabela_registros[VALOR],tabela_registros[MÊS],$AE$1,tabela_registros[DIA],reservafixaconsolidadonov[[#Headers],[9]],tabela_registros[REGISTRO],DADOS!$N$6,tabela_registros[TIPO],DADOS!$AJ$3,tabela_registros[CATEGORIA],reservafixaconsolidadonov[[#This Row],[ATUAL]])</f>
        <v>0</v>
      </c>
      <c r="N174" s="119" t="n">
        <f aca="false">SUMIFS(tabela_registros[VALOR],tabela_registros[MÊS],$AE$1,tabela_registros[DIA],reservafixaconsolidadonov[[#Headers],[10]],tabela_registros[REGISTRO],DADOS!$N$6,tabela_registros[TIPO],DADOS!$AJ$3,tabela_registros[CATEGORIA],reservafixaconsolidadonov[[#This Row],[ATUAL]])</f>
        <v>0</v>
      </c>
      <c r="O174" s="119" t="n">
        <f aca="false">SUMIFS(tabela_registros[VALOR],tabela_registros[MÊS],$AE$1,tabela_registros[DIA],reservafixaconsolidadonov[[#Headers],[11]],tabela_registros[REGISTRO],DADOS!$N$6,tabela_registros[TIPO],DADOS!$AJ$3,tabela_registros[CATEGORIA],reservafixaconsolidadonov[[#This Row],[ATUAL]])</f>
        <v>0</v>
      </c>
      <c r="P174" s="119" t="n">
        <f aca="false">SUMIFS(tabela_registros[VALOR],tabela_registros[MÊS],$AE$1,tabela_registros[DIA],reservafixaconsolidadonov[[#Headers],[12]],tabela_registros[REGISTRO],DADOS!$N$6,tabela_registros[TIPO],DADOS!$AJ$3,tabela_registros[CATEGORIA],reservafixaconsolidadonov[[#This Row],[ATUAL]])</f>
        <v>0</v>
      </c>
      <c r="Q174" s="119" t="n">
        <f aca="false">SUMIFS(tabela_registros[VALOR],tabela_registros[MÊS],$AE$1,tabela_registros[DIA],reservafixaconsolidadonov[[#Headers],[13]],tabela_registros[REGISTRO],DADOS!$N$6,tabela_registros[TIPO],DADOS!$AJ$3,tabela_registros[CATEGORIA],reservafixaconsolidadonov[[#This Row],[ATUAL]])</f>
        <v>0</v>
      </c>
      <c r="R174" s="119" t="n">
        <f aca="false">SUMIFS(tabela_registros[VALOR],tabela_registros[MÊS],$AE$1,tabela_registros[DIA],reservafixaconsolidadonov[[#Headers],[14]],tabela_registros[REGISTRO],DADOS!$N$6,tabela_registros[TIPO],DADOS!$AJ$3,tabela_registros[CATEGORIA],reservafixaconsolidadonov[[#This Row],[ATUAL]])</f>
        <v>0</v>
      </c>
      <c r="S174" s="119" t="n">
        <f aca="false">SUMIFS(tabela_registros[VALOR],tabela_registros[MÊS],$AE$1,tabela_registros[DIA],reservafixaconsolidadonov[[#Headers],[15]],tabela_registros[REGISTRO],DADOS!$N$6,tabela_registros[TIPO],DADOS!$AJ$3,tabela_registros[CATEGORIA],reservafixaconsolidadonov[[#This Row],[ATUAL]])</f>
        <v>0</v>
      </c>
      <c r="T174" s="119" t="n">
        <f aca="false">SUMIFS(tabela_registros[VALOR],tabela_registros[MÊS],$AE$1,tabela_registros[DIA],reservafixaconsolidadonov[[#Headers],[16]],tabela_registros[REGISTRO],DADOS!$N$6,tabela_registros[TIPO],DADOS!$AJ$3,tabela_registros[CATEGORIA],reservafixaconsolidadonov[[#This Row],[ATUAL]])</f>
        <v>0</v>
      </c>
      <c r="U174" s="119" t="n">
        <f aca="false">SUMIFS(tabela_registros[VALOR],tabela_registros[MÊS],$AE$1,tabela_registros[DIA],reservafixaconsolidadonov[[#Headers],[17]],tabela_registros[REGISTRO],DADOS!$N$6,tabela_registros[TIPO],DADOS!$AJ$3,tabela_registros[CATEGORIA],reservafixaconsolidadonov[[#This Row],[ATUAL]])</f>
        <v>0</v>
      </c>
      <c r="V174" s="119" t="n">
        <f aca="false">SUMIFS(tabela_registros[VALOR],tabela_registros[MÊS],$AE$1,tabela_registros[DIA],reservafixaconsolidadonov[[#Headers],[18]],tabela_registros[REGISTRO],DADOS!$N$6,tabela_registros[TIPO],DADOS!$AJ$3,tabela_registros[CATEGORIA],reservafixaconsolidadonov[[#This Row],[ATUAL]])</f>
        <v>0</v>
      </c>
      <c r="W174" s="119" t="n">
        <f aca="false">SUMIFS(tabela_registros[VALOR],tabela_registros[MÊS],$AE$1,tabela_registros[DIA],reservafixaconsolidadonov[[#Headers],[19]],tabela_registros[REGISTRO],DADOS!$N$6,tabela_registros[TIPO],DADOS!$AJ$3,tabela_registros[CATEGORIA],reservafixaconsolidadonov[[#This Row],[ATUAL]])</f>
        <v>0</v>
      </c>
      <c r="X174" s="119" t="n">
        <f aca="false">SUMIFS(tabela_registros[VALOR],tabela_registros[MÊS],$AE$1,tabela_registros[DIA],reservafixaconsolidadonov[[#Headers],[20]],tabela_registros[REGISTRO],DADOS!$N$6,tabela_registros[TIPO],DADOS!$AJ$3,tabela_registros[CATEGORIA],reservafixaconsolidadonov[[#This Row],[ATUAL]])</f>
        <v>0</v>
      </c>
      <c r="Y174" s="119" t="n">
        <f aca="false">SUMIFS(tabela_registros[VALOR],tabela_registros[MÊS],$AE$1,tabela_registros[DIA],reservafixaconsolidadonov[[#Headers],[21]],tabela_registros[REGISTRO],DADOS!$N$6,tabela_registros[TIPO],DADOS!$AJ$3,tabela_registros[CATEGORIA],reservafixaconsolidadonov[[#This Row],[ATUAL]])</f>
        <v>0</v>
      </c>
      <c r="Z174" s="119" t="n">
        <f aca="false">SUMIFS(tabela_registros[VALOR],tabela_registros[MÊS],$AE$1,tabela_registros[DIA],reservafixaconsolidadonov[[#Headers],[22]],tabela_registros[REGISTRO],DADOS!$N$6,tabela_registros[TIPO],DADOS!$AJ$3,tabela_registros[CATEGORIA],reservafixaconsolidadonov[[#This Row],[ATUAL]])</f>
        <v>0</v>
      </c>
      <c r="AA174" s="119" t="n">
        <f aca="false">SUMIFS(tabela_registros[VALOR],tabela_registros[MÊS],$AE$1,tabela_registros[DIA],reservafixaconsolidadonov[[#Headers],[23]],tabela_registros[REGISTRO],DADOS!$N$6,tabela_registros[TIPO],DADOS!$AJ$3,tabela_registros[CATEGORIA],reservafixaconsolidadonov[[#This Row],[ATUAL]])</f>
        <v>0</v>
      </c>
      <c r="AB174" s="119" t="n">
        <f aca="false">SUMIFS(tabela_registros[VALOR],tabela_registros[MÊS],$AE$1,tabela_registros[DIA],reservafixaconsolidadonov[[#Headers],[24]],tabela_registros[REGISTRO],DADOS!$N$6,tabela_registros[TIPO],DADOS!$AJ$3,tabela_registros[CATEGORIA],reservafixaconsolidadonov[[#This Row],[ATUAL]])</f>
        <v>0</v>
      </c>
      <c r="AC174" s="119" t="n">
        <f aca="false">SUMIFS(tabela_registros[VALOR],tabela_registros[MÊS],$AE$1,tabela_registros[DIA],reservafixaconsolidadonov[[#Headers],[25]],tabela_registros[REGISTRO],DADOS!$N$6,tabela_registros[TIPO],DADOS!$AJ$3,tabela_registros[CATEGORIA],reservafixaconsolidadonov[[#This Row],[ATUAL]])</f>
        <v>0</v>
      </c>
      <c r="AD174" s="119" t="n">
        <f aca="false">SUMIFS(tabela_registros[VALOR],tabela_registros[MÊS],$AE$1,tabela_registros[DIA],reservafixaconsolidadonov[[#Headers],[26]],tabela_registros[REGISTRO],DADOS!$N$6,tabela_registros[TIPO],DADOS!$AJ$3,tabela_registros[CATEGORIA],reservafixaconsolidadonov[[#This Row],[ATUAL]])</f>
        <v>0</v>
      </c>
      <c r="AE174" s="119" t="n">
        <f aca="false">SUMIFS(tabela_registros[VALOR],tabela_registros[MÊS],$AE$1,tabela_registros[DIA],reservafixaconsolidadonov[[#Headers],[27]],tabela_registros[REGISTRO],DADOS!$N$6,tabela_registros[TIPO],DADOS!$AJ$3,tabela_registros[CATEGORIA],reservafixaconsolidadonov[[#This Row],[ATUAL]])</f>
        <v>0</v>
      </c>
      <c r="AF174" s="119" t="n">
        <f aca="false">SUMIFS(tabela_registros[VALOR],tabela_registros[MÊS],$AE$1,tabela_registros[DIA],reservafixaconsolidadonov[[#Headers],[28]],tabela_registros[REGISTRO],DADOS!$N$6,tabela_registros[TIPO],DADOS!$AJ$3,tabela_registros[CATEGORIA],reservafixaconsolidadonov[[#This Row],[ATUAL]])</f>
        <v>0</v>
      </c>
      <c r="AG174" s="119" t="n">
        <f aca="false">SUMIFS(tabela_registros[VALOR],tabela_registros[MÊS],$AE$1,tabela_registros[DIA],reservafixaconsolidadonov[[#Headers],[29]],tabela_registros[REGISTRO],DADOS!$N$6,tabela_registros[TIPO],DADOS!$AJ$3,tabela_registros[CATEGORIA],reservafixaconsolidadonov[[#This Row],[ATUAL]])</f>
        <v>0</v>
      </c>
      <c r="AH174" s="119" t="n">
        <f aca="false">SUMIFS(tabela_registros[VALOR],tabela_registros[MÊS],$AE$1,tabela_registros[DIA],reservafixaconsolidadonov[[#Headers],[30]],tabela_registros[REGISTRO],DADOS!$N$6,tabela_registros[TIPO],DADOS!$AJ$3,tabela_registros[CATEGORIA],reservafixaconsolidadonov[[#This Row],[ATUAL]])</f>
        <v>0</v>
      </c>
      <c r="AI174" s="217" t="n">
        <f aca="false">SUMIFS(tabela_registros[VALOR],tabela_registros[MÊS],$AE$1,tabela_registros[DIA],reservafixaconsolidadonov[[#Headers],[31]],tabela_registros[REGISTRO],DADOS!$N$6,tabela_registros[TIPO],DADOS!$AJ$3,tabela_registros[CATEGORIA],reservafixaconsolidadonov[[#This Row],[ATUAL]])</f>
        <v>0</v>
      </c>
      <c r="AJ174" s="149" t="n">
        <f aca="false">SUM(reservafixaconsolidadonov[[#This Row],[1]:[31]])</f>
        <v>0</v>
      </c>
      <c r="AK174" s="165"/>
    </row>
    <row r="175" customFormat="false" ht="19.5" hidden="false" customHeight="true" outlineLevel="0" collapsed="false">
      <c r="B175" s="143"/>
      <c r="C175" s="144" t="str">
        <f aca="false">DADOS!$AL$10</f>
        <v>📝 LCI</v>
      </c>
      <c r="D175" s="145" t="str">
        <f aca="false">IF(reservafixaconsolidadonov[[#This Row],[TOTAL (R$)]]=0,"",IF(OR(reservafixaconsolidadonov[[#This Row],[TOTAL (R$)]]=LARGE($AJ$168:$AJ$177,1),reservafixaconsolidadonov[[#This Row],[TOTAL (R$)]]=LARGE($AJ$168:$AJ$177,2)),DADOS!$I$11,""))</f>
        <v/>
      </c>
      <c r="E175" s="148" t="n">
        <f aca="false">SUMIFS(tabela_registros[VALOR],tabela_registros[MÊS],$AE$1,tabela_registros[DIA],reservafixaconsolidadonov[[#Headers],[1]],tabela_registros[REGISTRO],DADOS!$N$6,tabela_registros[TIPO],DADOS!$AJ$3,tabela_registros[CATEGORIA],reservafixaconsolidadonov[[#This Row],[ATUAL]])</f>
        <v>0</v>
      </c>
      <c r="F175" s="119" t="n">
        <f aca="false">SUMIFS(tabela_registros[VALOR],tabela_registros[MÊS],$AE$1,tabela_registros[DIA],reservafixaconsolidadonov[[#Headers],[2]],tabela_registros[REGISTRO],DADOS!$N$6,tabela_registros[TIPO],DADOS!$AJ$3,tabela_registros[CATEGORIA],reservafixaconsolidadonov[[#This Row],[ATUAL]])</f>
        <v>0</v>
      </c>
      <c r="G175" s="119" t="n">
        <f aca="false">SUMIFS(tabela_registros[VALOR],tabela_registros[MÊS],$AE$1,tabela_registros[DIA],reservafixaconsolidadonov[[#Headers],[3]],tabela_registros[REGISTRO],DADOS!$N$6,tabela_registros[TIPO],DADOS!$AJ$3,tabela_registros[CATEGORIA],reservafixaconsolidadonov[[#This Row],[ATUAL]])</f>
        <v>0</v>
      </c>
      <c r="H175" s="119" t="n">
        <f aca="false">SUMIFS(tabela_registros[VALOR],tabela_registros[MÊS],$AE$1,tabela_registros[DIA],reservafixaconsolidadonov[[#Headers],[4]],tabela_registros[REGISTRO],DADOS!$N$6,tabela_registros[TIPO],DADOS!$AJ$3,tabela_registros[CATEGORIA],reservafixaconsolidadonov[[#This Row],[ATUAL]])</f>
        <v>0</v>
      </c>
      <c r="I175" s="119" t="n">
        <f aca="false">SUMIFS(tabela_registros[VALOR],tabela_registros[MÊS],$AE$1,tabela_registros[DIA],reservafixaconsolidadonov[[#Headers],[5]],tabela_registros[REGISTRO],DADOS!$N$6,tabela_registros[TIPO],DADOS!$AJ$3,tabela_registros[CATEGORIA],reservafixaconsolidadonov[[#This Row],[ATUAL]])</f>
        <v>0</v>
      </c>
      <c r="J175" s="119" t="n">
        <f aca="false">SUMIFS(tabela_registros[VALOR],tabela_registros[MÊS],$AE$1,tabela_registros[DIA],reservafixaconsolidadonov[[#Headers],[6]],tabela_registros[REGISTRO],DADOS!$N$6,tabela_registros[TIPO],DADOS!$AJ$3,tabela_registros[CATEGORIA],reservafixaconsolidadonov[[#This Row],[ATUAL]])</f>
        <v>0</v>
      </c>
      <c r="K175" s="119" t="n">
        <f aca="false">SUMIFS(tabela_registros[VALOR],tabela_registros[MÊS],$AE$1,tabela_registros[DIA],reservafixaconsolidadonov[[#Headers],[7]],tabela_registros[REGISTRO],DADOS!$N$6,tabela_registros[TIPO],DADOS!$AJ$3,tabela_registros[CATEGORIA],reservafixaconsolidadonov[[#This Row],[ATUAL]])</f>
        <v>0</v>
      </c>
      <c r="L175" s="119" t="n">
        <f aca="false">SUMIFS(tabela_registros[VALOR],tabela_registros[MÊS],$AE$1,tabela_registros[DIA],reservafixaconsolidadonov[[#Headers],[8]],tabela_registros[REGISTRO],DADOS!$N$6,tabela_registros[TIPO],DADOS!$AJ$3,tabela_registros[CATEGORIA],reservafixaconsolidadonov[[#This Row],[ATUAL]])</f>
        <v>0</v>
      </c>
      <c r="M175" s="119" t="n">
        <f aca="false">SUMIFS(tabela_registros[VALOR],tabela_registros[MÊS],$AE$1,tabela_registros[DIA],reservafixaconsolidadonov[[#Headers],[9]],tabela_registros[REGISTRO],DADOS!$N$6,tabela_registros[TIPO],DADOS!$AJ$3,tabela_registros[CATEGORIA],reservafixaconsolidadonov[[#This Row],[ATUAL]])</f>
        <v>0</v>
      </c>
      <c r="N175" s="119" t="n">
        <f aca="false">SUMIFS(tabela_registros[VALOR],tabela_registros[MÊS],$AE$1,tabela_registros[DIA],reservafixaconsolidadonov[[#Headers],[10]],tabela_registros[REGISTRO],DADOS!$N$6,tabela_registros[TIPO],DADOS!$AJ$3,tabela_registros[CATEGORIA],reservafixaconsolidadonov[[#This Row],[ATUAL]])</f>
        <v>0</v>
      </c>
      <c r="O175" s="119" t="n">
        <f aca="false">SUMIFS(tabela_registros[VALOR],tabela_registros[MÊS],$AE$1,tabela_registros[DIA],reservafixaconsolidadonov[[#Headers],[11]],tabela_registros[REGISTRO],DADOS!$N$6,tabela_registros[TIPO],DADOS!$AJ$3,tabela_registros[CATEGORIA],reservafixaconsolidadonov[[#This Row],[ATUAL]])</f>
        <v>0</v>
      </c>
      <c r="P175" s="119" t="n">
        <f aca="false">SUMIFS(tabela_registros[VALOR],tabela_registros[MÊS],$AE$1,tabela_registros[DIA],reservafixaconsolidadonov[[#Headers],[12]],tabela_registros[REGISTRO],DADOS!$N$6,tabela_registros[TIPO],DADOS!$AJ$3,tabela_registros[CATEGORIA],reservafixaconsolidadonov[[#This Row],[ATUAL]])</f>
        <v>0</v>
      </c>
      <c r="Q175" s="119" t="n">
        <f aca="false">SUMIFS(tabela_registros[VALOR],tabela_registros[MÊS],$AE$1,tabela_registros[DIA],reservafixaconsolidadonov[[#Headers],[13]],tabela_registros[REGISTRO],DADOS!$N$6,tabela_registros[TIPO],DADOS!$AJ$3,tabela_registros[CATEGORIA],reservafixaconsolidadonov[[#This Row],[ATUAL]])</f>
        <v>0</v>
      </c>
      <c r="R175" s="119" t="n">
        <f aca="false">SUMIFS(tabela_registros[VALOR],tabela_registros[MÊS],$AE$1,tabela_registros[DIA],reservafixaconsolidadonov[[#Headers],[14]],tabela_registros[REGISTRO],DADOS!$N$6,tabela_registros[TIPO],DADOS!$AJ$3,tabela_registros[CATEGORIA],reservafixaconsolidadonov[[#This Row],[ATUAL]])</f>
        <v>0</v>
      </c>
      <c r="S175" s="119" t="n">
        <f aca="false">SUMIFS(tabela_registros[VALOR],tabela_registros[MÊS],$AE$1,tabela_registros[DIA],reservafixaconsolidadonov[[#Headers],[15]],tabela_registros[REGISTRO],DADOS!$N$6,tabela_registros[TIPO],DADOS!$AJ$3,tabela_registros[CATEGORIA],reservafixaconsolidadonov[[#This Row],[ATUAL]])</f>
        <v>0</v>
      </c>
      <c r="T175" s="119" t="n">
        <f aca="false">SUMIFS(tabela_registros[VALOR],tabela_registros[MÊS],$AE$1,tabela_registros[DIA],reservafixaconsolidadonov[[#Headers],[16]],tabela_registros[REGISTRO],DADOS!$N$6,tabela_registros[TIPO],DADOS!$AJ$3,tabela_registros[CATEGORIA],reservafixaconsolidadonov[[#This Row],[ATUAL]])</f>
        <v>0</v>
      </c>
      <c r="U175" s="119" t="n">
        <f aca="false">SUMIFS(tabela_registros[VALOR],tabela_registros[MÊS],$AE$1,tabela_registros[DIA],reservafixaconsolidadonov[[#Headers],[17]],tabela_registros[REGISTRO],DADOS!$N$6,tabela_registros[TIPO],DADOS!$AJ$3,tabela_registros[CATEGORIA],reservafixaconsolidadonov[[#This Row],[ATUAL]])</f>
        <v>0</v>
      </c>
      <c r="V175" s="119" t="n">
        <f aca="false">SUMIFS(tabela_registros[VALOR],tabela_registros[MÊS],$AE$1,tabela_registros[DIA],reservafixaconsolidadonov[[#Headers],[18]],tabela_registros[REGISTRO],DADOS!$N$6,tabela_registros[TIPO],DADOS!$AJ$3,tabela_registros[CATEGORIA],reservafixaconsolidadonov[[#This Row],[ATUAL]])</f>
        <v>0</v>
      </c>
      <c r="W175" s="119" t="n">
        <f aca="false">SUMIFS(tabela_registros[VALOR],tabela_registros[MÊS],$AE$1,tabela_registros[DIA],reservafixaconsolidadonov[[#Headers],[19]],tabela_registros[REGISTRO],DADOS!$N$6,tabela_registros[TIPO],DADOS!$AJ$3,tabela_registros[CATEGORIA],reservafixaconsolidadonov[[#This Row],[ATUAL]])</f>
        <v>0</v>
      </c>
      <c r="X175" s="119" t="n">
        <f aca="false">SUMIFS(tabela_registros[VALOR],tabela_registros[MÊS],$AE$1,tabela_registros[DIA],reservafixaconsolidadonov[[#Headers],[20]],tabela_registros[REGISTRO],DADOS!$N$6,tabela_registros[TIPO],DADOS!$AJ$3,tabela_registros[CATEGORIA],reservafixaconsolidadonov[[#This Row],[ATUAL]])</f>
        <v>0</v>
      </c>
      <c r="Y175" s="119" t="n">
        <f aca="false">SUMIFS(tabela_registros[VALOR],tabela_registros[MÊS],$AE$1,tabela_registros[DIA],reservafixaconsolidadonov[[#Headers],[21]],tabela_registros[REGISTRO],DADOS!$N$6,tabela_registros[TIPO],DADOS!$AJ$3,tabela_registros[CATEGORIA],reservafixaconsolidadonov[[#This Row],[ATUAL]])</f>
        <v>0</v>
      </c>
      <c r="Z175" s="119" t="n">
        <f aca="false">SUMIFS(tabela_registros[VALOR],tabela_registros[MÊS],$AE$1,tabela_registros[DIA],reservafixaconsolidadonov[[#Headers],[22]],tabela_registros[REGISTRO],DADOS!$N$6,tabela_registros[TIPO],DADOS!$AJ$3,tabela_registros[CATEGORIA],reservafixaconsolidadonov[[#This Row],[ATUAL]])</f>
        <v>0</v>
      </c>
      <c r="AA175" s="119" t="n">
        <f aca="false">SUMIFS(tabela_registros[VALOR],tabela_registros[MÊS],$AE$1,tabela_registros[DIA],reservafixaconsolidadonov[[#Headers],[23]],tabela_registros[REGISTRO],DADOS!$N$6,tabela_registros[TIPO],DADOS!$AJ$3,tabela_registros[CATEGORIA],reservafixaconsolidadonov[[#This Row],[ATUAL]])</f>
        <v>0</v>
      </c>
      <c r="AB175" s="119" t="n">
        <f aca="false">SUMIFS(tabela_registros[VALOR],tabela_registros[MÊS],$AE$1,tabela_registros[DIA],reservafixaconsolidadonov[[#Headers],[24]],tabela_registros[REGISTRO],DADOS!$N$6,tabela_registros[TIPO],DADOS!$AJ$3,tabela_registros[CATEGORIA],reservafixaconsolidadonov[[#This Row],[ATUAL]])</f>
        <v>0</v>
      </c>
      <c r="AC175" s="119" t="n">
        <f aca="false">SUMIFS(tabela_registros[VALOR],tabela_registros[MÊS],$AE$1,tabela_registros[DIA],reservafixaconsolidadonov[[#Headers],[25]],tabela_registros[REGISTRO],DADOS!$N$6,tabela_registros[TIPO],DADOS!$AJ$3,tabela_registros[CATEGORIA],reservafixaconsolidadonov[[#This Row],[ATUAL]])</f>
        <v>0</v>
      </c>
      <c r="AD175" s="119" t="n">
        <f aca="false">SUMIFS(tabela_registros[VALOR],tabela_registros[MÊS],$AE$1,tabela_registros[DIA],reservafixaconsolidadonov[[#Headers],[26]],tabela_registros[REGISTRO],DADOS!$N$6,tabela_registros[TIPO],DADOS!$AJ$3,tabela_registros[CATEGORIA],reservafixaconsolidadonov[[#This Row],[ATUAL]])</f>
        <v>0</v>
      </c>
      <c r="AE175" s="119" t="n">
        <f aca="false">SUMIFS(tabela_registros[VALOR],tabela_registros[MÊS],$AE$1,tabela_registros[DIA],reservafixaconsolidadonov[[#Headers],[27]],tabela_registros[REGISTRO],DADOS!$N$6,tabela_registros[TIPO],DADOS!$AJ$3,tabela_registros[CATEGORIA],reservafixaconsolidadonov[[#This Row],[ATUAL]])</f>
        <v>0</v>
      </c>
      <c r="AF175" s="119" t="n">
        <f aca="false">SUMIFS(tabela_registros[VALOR],tabela_registros[MÊS],$AE$1,tabela_registros[DIA],reservafixaconsolidadonov[[#Headers],[28]],tabela_registros[REGISTRO],DADOS!$N$6,tabela_registros[TIPO],DADOS!$AJ$3,tabela_registros[CATEGORIA],reservafixaconsolidadonov[[#This Row],[ATUAL]])</f>
        <v>0</v>
      </c>
      <c r="AG175" s="119" t="n">
        <f aca="false">SUMIFS(tabela_registros[VALOR],tabela_registros[MÊS],$AE$1,tabela_registros[DIA],reservafixaconsolidadonov[[#Headers],[29]],tabela_registros[REGISTRO],DADOS!$N$6,tabela_registros[TIPO],DADOS!$AJ$3,tabela_registros[CATEGORIA],reservafixaconsolidadonov[[#This Row],[ATUAL]])</f>
        <v>0</v>
      </c>
      <c r="AH175" s="119" t="n">
        <f aca="false">SUMIFS(tabela_registros[VALOR],tabela_registros[MÊS],$AE$1,tabela_registros[DIA],reservafixaconsolidadonov[[#Headers],[30]],tabela_registros[REGISTRO],DADOS!$N$6,tabela_registros[TIPO],DADOS!$AJ$3,tabela_registros[CATEGORIA],reservafixaconsolidadonov[[#This Row],[ATUAL]])</f>
        <v>0</v>
      </c>
      <c r="AI175" s="217" t="n">
        <f aca="false">SUMIFS(tabela_registros[VALOR],tabela_registros[MÊS],$AE$1,tabela_registros[DIA],reservafixaconsolidadonov[[#Headers],[31]],tabela_registros[REGISTRO],DADOS!$N$6,tabela_registros[TIPO],DADOS!$AJ$3,tabela_registros[CATEGORIA],reservafixaconsolidadonov[[#This Row],[ATUAL]])</f>
        <v>0</v>
      </c>
      <c r="AJ175" s="149" t="n">
        <f aca="false">SUM(reservafixaconsolidadonov[[#This Row],[1]:[31]])</f>
        <v>0</v>
      </c>
      <c r="AK175" s="165"/>
    </row>
    <row r="176" customFormat="false" ht="19.5" hidden="false" customHeight="true" outlineLevel="0" collapsed="false">
      <c r="B176" s="143"/>
      <c r="C176" s="144" t="str">
        <f aca="false">DADOS!$AL$11</f>
        <v>📝 TESOURO DIRETO</v>
      </c>
      <c r="D176" s="145" t="str">
        <f aca="false">IF(reservafixaconsolidadonov[[#This Row],[TOTAL (R$)]]=0,"",IF(OR(reservafixaconsolidadonov[[#This Row],[TOTAL (R$)]]=LARGE($AJ$168:$AJ$177,1),reservafixaconsolidadonov[[#This Row],[TOTAL (R$)]]=LARGE($AJ$168:$AJ$177,2)),DADOS!$I$11,""))</f>
        <v/>
      </c>
      <c r="E176" s="148" t="n">
        <f aca="false">SUMIFS(tabela_registros[VALOR],tabela_registros[MÊS],$AE$1,tabela_registros[DIA],reservafixaconsolidadonov[[#Headers],[1]],tabela_registros[REGISTRO],DADOS!$N$6,tabela_registros[TIPO],DADOS!$AJ$3,tabela_registros[CATEGORIA],reservafixaconsolidadonov[[#This Row],[ATUAL]])</f>
        <v>0</v>
      </c>
      <c r="F176" s="119" t="n">
        <f aca="false">SUMIFS(tabela_registros[VALOR],tabela_registros[MÊS],$AE$1,tabela_registros[DIA],reservafixaconsolidadonov[[#Headers],[2]],tabela_registros[REGISTRO],DADOS!$N$6,tabela_registros[TIPO],DADOS!$AJ$3,tabela_registros[CATEGORIA],reservafixaconsolidadonov[[#This Row],[ATUAL]])</f>
        <v>0</v>
      </c>
      <c r="G176" s="119" t="n">
        <f aca="false">SUMIFS(tabela_registros[VALOR],tabela_registros[MÊS],$AE$1,tabela_registros[DIA],reservafixaconsolidadonov[[#Headers],[3]],tabela_registros[REGISTRO],DADOS!$N$6,tabela_registros[TIPO],DADOS!$AJ$3,tabela_registros[CATEGORIA],reservafixaconsolidadonov[[#This Row],[ATUAL]])</f>
        <v>0</v>
      </c>
      <c r="H176" s="119" t="n">
        <f aca="false">SUMIFS(tabela_registros[VALOR],tabela_registros[MÊS],$AE$1,tabela_registros[DIA],reservafixaconsolidadonov[[#Headers],[4]],tabela_registros[REGISTRO],DADOS!$N$6,tabela_registros[TIPO],DADOS!$AJ$3,tabela_registros[CATEGORIA],reservafixaconsolidadonov[[#This Row],[ATUAL]])</f>
        <v>0</v>
      </c>
      <c r="I176" s="119" t="n">
        <f aca="false">SUMIFS(tabela_registros[VALOR],tabela_registros[MÊS],$AE$1,tabela_registros[DIA],reservafixaconsolidadonov[[#Headers],[5]],tabela_registros[REGISTRO],DADOS!$N$6,tabela_registros[TIPO],DADOS!$AJ$3,tabela_registros[CATEGORIA],reservafixaconsolidadonov[[#This Row],[ATUAL]])</f>
        <v>0</v>
      </c>
      <c r="J176" s="119" t="n">
        <f aca="false">SUMIFS(tabela_registros[VALOR],tabela_registros[MÊS],$AE$1,tabela_registros[DIA],reservafixaconsolidadonov[[#Headers],[6]],tabela_registros[REGISTRO],DADOS!$N$6,tabela_registros[TIPO],DADOS!$AJ$3,tabela_registros[CATEGORIA],reservafixaconsolidadonov[[#This Row],[ATUAL]])</f>
        <v>0</v>
      </c>
      <c r="K176" s="119" t="n">
        <f aca="false">SUMIFS(tabela_registros[VALOR],tabela_registros[MÊS],$AE$1,tabela_registros[DIA],reservafixaconsolidadonov[[#Headers],[7]],tabela_registros[REGISTRO],DADOS!$N$6,tabela_registros[TIPO],DADOS!$AJ$3,tabela_registros[CATEGORIA],reservafixaconsolidadonov[[#This Row],[ATUAL]])</f>
        <v>0</v>
      </c>
      <c r="L176" s="119" t="n">
        <f aca="false">SUMIFS(tabela_registros[VALOR],tabela_registros[MÊS],$AE$1,tabela_registros[DIA],reservafixaconsolidadonov[[#Headers],[8]],tabela_registros[REGISTRO],DADOS!$N$6,tabela_registros[TIPO],DADOS!$AJ$3,tabela_registros[CATEGORIA],reservafixaconsolidadonov[[#This Row],[ATUAL]])</f>
        <v>0</v>
      </c>
      <c r="M176" s="119" t="n">
        <f aca="false">SUMIFS(tabela_registros[VALOR],tabela_registros[MÊS],$AE$1,tabela_registros[DIA],reservafixaconsolidadonov[[#Headers],[9]],tabela_registros[REGISTRO],DADOS!$N$6,tabela_registros[TIPO],DADOS!$AJ$3,tabela_registros[CATEGORIA],reservafixaconsolidadonov[[#This Row],[ATUAL]])</f>
        <v>0</v>
      </c>
      <c r="N176" s="119" t="n">
        <f aca="false">SUMIFS(tabela_registros[VALOR],tabela_registros[MÊS],$AE$1,tabela_registros[DIA],reservafixaconsolidadonov[[#Headers],[10]],tabela_registros[REGISTRO],DADOS!$N$6,tabela_registros[TIPO],DADOS!$AJ$3,tabela_registros[CATEGORIA],reservafixaconsolidadonov[[#This Row],[ATUAL]])</f>
        <v>0</v>
      </c>
      <c r="O176" s="119" t="n">
        <f aca="false">SUMIFS(tabela_registros[VALOR],tabela_registros[MÊS],$AE$1,tabela_registros[DIA],reservafixaconsolidadonov[[#Headers],[11]],tabela_registros[REGISTRO],DADOS!$N$6,tabela_registros[TIPO],DADOS!$AJ$3,tabela_registros[CATEGORIA],reservafixaconsolidadonov[[#This Row],[ATUAL]])</f>
        <v>0</v>
      </c>
      <c r="P176" s="119" t="n">
        <f aca="false">SUMIFS(tabela_registros[VALOR],tabela_registros[MÊS],$AE$1,tabela_registros[DIA],reservafixaconsolidadonov[[#Headers],[12]],tabela_registros[REGISTRO],DADOS!$N$6,tabela_registros[TIPO],DADOS!$AJ$3,tabela_registros[CATEGORIA],reservafixaconsolidadonov[[#This Row],[ATUAL]])</f>
        <v>0</v>
      </c>
      <c r="Q176" s="119" t="n">
        <f aca="false">SUMIFS(tabela_registros[VALOR],tabela_registros[MÊS],$AE$1,tabela_registros[DIA],reservafixaconsolidadonov[[#Headers],[13]],tabela_registros[REGISTRO],DADOS!$N$6,tabela_registros[TIPO],DADOS!$AJ$3,tabela_registros[CATEGORIA],reservafixaconsolidadonov[[#This Row],[ATUAL]])</f>
        <v>0</v>
      </c>
      <c r="R176" s="119" t="n">
        <f aca="false">SUMIFS(tabela_registros[VALOR],tabela_registros[MÊS],$AE$1,tabela_registros[DIA],reservafixaconsolidadonov[[#Headers],[14]],tabela_registros[REGISTRO],DADOS!$N$6,tabela_registros[TIPO],DADOS!$AJ$3,tabela_registros[CATEGORIA],reservafixaconsolidadonov[[#This Row],[ATUAL]])</f>
        <v>0</v>
      </c>
      <c r="S176" s="119" t="n">
        <f aca="false">SUMIFS(tabela_registros[VALOR],tabela_registros[MÊS],$AE$1,tabela_registros[DIA],reservafixaconsolidadonov[[#Headers],[15]],tabela_registros[REGISTRO],DADOS!$N$6,tabela_registros[TIPO],DADOS!$AJ$3,tabela_registros[CATEGORIA],reservafixaconsolidadonov[[#This Row],[ATUAL]])</f>
        <v>0</v>
      </c>
      <c r="T176" s="119" t="n">
        <f aca="false">SUMIFS(tabela_registros[VALOR],tabela_registros[MÊS],$AE$1,tabela_registros[DIA],reservafixaconsolidadonov[[#Headers],[16]],tabela_registros[REGISTRO],DADOS!$N$6,tabela_registros[TIPO],DADOS!$AJ$3,tabela_registros[CATEGORIA],reservafixaconsolidadonov[[#This Row],[ATUAL]])</f>
        <v>0</v>
      </c>
      <c r="U176" s="119" t="n">
        <f aca="false">SUMIFS(tabela_registros[VALOR],tabela_registros[MÊS],$AE$1,tabela_registros[DIA],reservafixaconsolidadonov[[#Headers],[17]],tabela_registros[REGISTRO],DADOS!$N$6,tabela_registros[TIPO],DADOS!$AJ$3,tabela_registros[CATEGORIA],reservafixaconsolidadonov[[#This Row],[ATUAL]])</f>
        <v>0</v>
      </c>
      <c r="V176" s="119" t="n">
        <f aca="false">SUMIFS(tabela_registros[VALOR],tabela_registros[MÊS],$AE$1,tabela_registros[DIA],reservafixaconsolidadonov[[#Headers],[18]],tabela_registros[REGISTRO],DADOS!$N$6,tabela_registros[TIPO],DADOS!$AJ$3,tabela_registros[CATEGORIA],reservafixaconsolidadonov[[#This Row],[ATUAL]])</f>
        <v>0</v>
      </c>
      <c r="W176" s="119" t="n">
        <f aca="false">SUMIFS(tabela_registros[VALOR],tabela_registros[MÊS],$AE$1,tabela_registros[DIA],reservafixaconsolidadonov[[#Headers],[19]],tabela_registros[REGISTRO],DADOS!$N$6,tabela_registros[TIPO],DADOS!$AJ$3,tabela_registros[CATEGORIA],reservafixaconsolidadonov[[#This Row],[ATUAL]])</f>
        <v>0</v>
      </c>
      <c r="X176" s="119" t="n">
        <f aca="false">SUMIFS(tabela_registros[VALOR],tabela_registros[MÊS],$AE$1,tabela_registros[DIA],reservafixaconsolidadonov[[#Headers],[20]],tabela_registros[REGISTRO],DADOS!$N$6,tabela_registros[TIPO],DADOS!$AJ$3,tabela_registros[CATEGORIA],reservafixaconsolidadonov[[#This Row],[ATUAL]])</f>
        <v>0</v>
      </c>
      <c r="Y176" s="119" t="n">
        <f aca="false">SUMIFS(tabela_registros[VALOR],tabela_registros[MÊS],$AE$1,tabela_registros[DIA],reservafixaconsolidadonov[[#Headers],[21]],tabela_registros[REGISTRO],DADOS!$N$6,tabela_registros[TIPO],DADOS!$AJ$3,tabela_registros[CATEGORIA],reservafixaconsolidadonov[[#This Row],[ATUAL]])</f>
        <v>0</v>
      </c>
      <c r="Z176" s="119" t="n">
        <f aca="false">SUMIFS(tabela_registros[VALOR],tabela_registros[MÊS],$AE$1,tabela_registros[DIA],reservafixaconsolidadonov[[#Headers],[22]],tabela_registros[REGISTRO],DADOS!$N$6,tabela_registros[TIPO],DADOS!$AJ$3,tabela_registros[CATEGORIA],reservafixaconsolidadonov[[#This Row],[ATUAL]])</f>
        <v>0</v>
      </c>
      <c r="AA176" s="119" t="n">
        <f aca="false">SUMIFS(tabela_registros[VALOR],tabela_registros[MÊS],$AE$1,tabela_registros[DIA],reservafixaconsolidadonov[[#Headers],[23]],tabela_registros[REGISTRO],DADOS!$N$6,tabela_registros[TIPO],DADOS!$AJ$3,tabela_registros[CATEGORIA],reservafixaconsolidadonov[[#This Row],[ATUAL]])</f>
        <v>0</v>
      </c>
      <c r="AB176" s="119" t="n">
        <f aca="false">SUMIFS(tabela_registros[VALOR],tabela_registros[MÊS],$AE$1,tabela_registros[DIA],reservafixaconsolidadonov[[#Headers],[24]],tabela_registros[REGISTRO],DADOS!$N$6,tabela_registros[TIPO],DADOS!$AJ$3,tabela_registros[CATEGORIA],reservafixaconsolidadonov[[#This Row],[ATUAL]])</f>
        <v>0</v>
      </c>
      <c r="AC176" s="119" t="n">
        <f aca="false">SUMIFS(tabela_registros[VALOR],tabela_registros[MÊS],$AE$1,tabela_registros[DIA],reservafixaconsolidadonov[[#Headers],[25]],tabela_registros[REGISTRO],DADOS!$N$6,tabela_registros[TIPO],DADOS!$AJ$3,tabela_registros[CATEGORIA],reservafixaconsolidadonov[[#This Row],[ATUAL]])</f>
        <v>0</v>
      </c>
      <c r="AD176" s="119" t="n">
        <f aca="false">SUMIFS(tabela_registros[VALOR],tabela_registros[MÊS],$AE$1,tabela_registros[DIA],reservafixaconsolidadonov[[#Headers],[26]],tabela_registros[REGISTRO],DADOS!$N$6,tabela_registros[TIPO],DADOS!$AJ$3,tabela_registros[CATEGORIA],reservafixaconsolidadonov[[#This Row],[ATUAL]])</f>
        <v>0</v>
      </c>
      <c r="AE176" s="119" t="n">
        <f aca="false">SUMIFS(tabela_registros[VALOR],tabela_registros[MÊS],$AE$1,tabela_registros[DIA],reservafixaconsolidadonov[[#Headers],[27]],tabela_registros[REGISTRO],DADOS!$N$6,tabela_registros[TIPO],DADOS!$AJ$3,tabela_registros[CATEGORIA],reservafixaconsolidadonov[[#This Row],[ATUAL]])</f>
        <v>0</v>
      </c>
      <c r="AF176" s="119" t="n">
        <f aca="false">SUMIFS(tabela_registros[VALOR],tabela_registros[MÊS],$AE$1,tabela_registros[DIA],reservafixaconsolidadonov[[#Headers],[28]],tabela_registros[REGISTRO],DADOS!$N$6,tabela_registros[TIPO],DADOS!$AJ$3,tabela_registros[CATEGORIA],reservafixaconsolidadonov[[#This Row],[ATUAL]])</f>
        <v>0</v>
      </c>
      <c r="AG176" s="119" t="n">
        <f aca="false">SUMIFS(tabela_registros[VALOR],tabela_registros[MÊS],$AE$1,tabela_registros[DIA],reservafixaconsolidadonov[[#Headers],[29]],tabela_registros[REGISTRO],DADOS!$N$6,tabela_registros[TIPO],DADOS!$AJ$3,tabela_registros[CATEGORIA],reservafixaconsolidadonov[[#This Row],[ATUAL]])</f>
        <v>0</v>
      </c>
      <c r="AH176" s="119" t="n">
        <f aca="false">SUMIFS(tabela_registros[VALOR],tabela_registros[MÊS],$AE$1,tabela_registros[DIA],reservafixaconsolidadonov[[#Headers],[30]],tabela_registros[REGISTRO],DADOS!$N$6,tabela_registros[TIPO],DADOS!$AJ$3,tabela_registros[CATEGORIA],reservafixaconsolidadonov[[#This Row],[ATUAL]])</f>
        <v>0</v>
      </c>
      <c r="AI176" s="217" t="n">
        <f aca="false">SUMIFS(tabela_registros[VALOR],tabela_registros[MÊS],$AE$1,tabela_registros[DIA],reservafixaconsolidadonov[[#Headers],[31]],tabela_registros[REGISTRO],DADOS!$N$6,tabela_registros[TIPO],DADOS!$AJ$3,tabela_registros[CATEGORIA],reservafixaconsolidadonov[[#This Row],[ATUAL]])</f>
        <v>0</v>
      </c>
      <c r="AJ176" s="149" t="n">
        <f aca="false">SUM(reservafixaconsolidadonov[[#This Row],[1]:[31]])</f>
        <v>0</v>
      </c>
      <c r="AK176" s="165"/>
    </row>
    <row r="177" customFormat="false" ht="19.5" hidden="false" customHeight="true" outlineLevel="0" collapsed="false">
      <c r="B177" s="143"/>
      <c r="C177" s="144" t="str">
        <f aca="false">DADOS!$AL$12</f>
        <v>📎 OUTROS</v>
      </c>
      <c r="D177" s="145" t="str">
        <f aca="false">IF(reservafixaconsolidadonov[[#This Row],[TOTAL (R$)]]=0,"",IF(OR(reservafixaconsolidadonov[[#This Row],[TOTAL (R$)]]=LARGE($AJ$168:$AJ$177,1),reservafixaconsolidadonov[[#This Row],[TOTAL (R$)]]=LARGE($AJ$168:$AJ$177,2)),DADOS!$I$11,""))</f>
        <v/>
      </c>
      <c r="E177" s="148" t="n">
        <f aca="false">SUMIFS(tabela_registros[VALOR],tabela_registros[MÊS],$AE$1,tabela_registros[DIA],reservafixaconsolidadonov[[#Headers],[1]],tabela_registros[REGISTRO],DADOS!$N$6,tabela_registros[TIPO],DADOS!$AJ$3,tabela_registros[CATEGORIA],reservafixaconsolidadonov[[#This Row],[ATUAL]])</f>
        <v>0</v>
      </c>
      <c r="F177" s="119" t="n">
        <f aca="false">SUMIFS(tabela_registros[VALOR],tabela_registros[MÊS],$AE$1,tabela_registros[DIA],reservafixaconsolidadonov[[#Headers],[2]],tabela_registros[REGISTRO],DADOS!$N$6,tabela_registros[TIPO],DADOS!$AJ$3,tabela_registros[CATEGORIA],reservafixaconsolidadonov[[#This Row],[ATUAL]])</f>
        <v>0</v>
      </c>
      <c r="G177" s="119" t="n">
        <f aca="false">SUMIFS(tabela_registros[VALOR],tabela_registros[MÊS],$AE$1,tabela_registros[DIA],reservafixaconsolidadonov[[#Headers],[3]],tabela_registros[REGISTRO],DADOS!$N$6,tabela_registros[TIPO],DADOS!$AJ$3,tabela_registros[CATEGORIA],reservafixaconsolidadonov[[#This Row],[ATUAL]])</f>
        <v>0</v>
      </c>
      <c r="H177" s="119" t="n">
        <f aca="false">SUMIFS(tabela_registros[VALOR],tabela_registros[MÊS],$AE$1,tabela_registros[DIA],reservafixaconsolidadonov[[#Headers],[4]],tabela_registros[REGISTRO],DADOS!$N$6,tabela_registros[TIPO],DADOS!$AJ$3,tabela_registros[CATEGORIA],reservafixaconsolidadonov[[#This Row],[ATUAL]])</f>
        <v>0</v>
      </c>
      <c r="I177" s="119" t="n">
        <f aca="false">SUMIFS(tabela_registros[VALOR],tabela_registros[MÊS],$AE$1,tabela_registros[DIA],reservafixaconsolidadonov[[#Headers],[5]],tabela_registros[REGISTRO],DADOS!$N$6,tabela_registros[TIPO],DADOS!$AJ$3,tabela_registros[CATEGORIA],reservafixaconsolidadonov[[#This Row],[ATUAL]])</f>
        <v>0</v>
      </c>
      <c r="J177" s="119" t="n">
        <f aca="false">SUMIFS(tabela_registros[VALOR],tabela_registros[MÊS],$AE$1,tabela_registros[DIA],reservafixaconsolidadonov[[#Headers],[6]],tabela_registros[REGISTRO],DADOS!$N$6,tabela_registros[TIPO],DADOS!$AJ$3,tabela_registros[CATEGORIA],reservafixaconsolidadonov[[#This Row],[ATUAL]])</f>
        <v>0</v>
      </c>
      <c r="K177" s="119" t="n">
        <f aca="false">SUMIFS(tabela_registros[VALOR],tabela_registros[MÊS],$AE$1,tabela_registros[DIA],reservafixaconsolidadonov[[#Headers],[7]],tabela_registros[REGISTRO],DADOS!$N$6,tabela_registros[TIPO],DADOS!$AJ$3,tabela_registros[CATEGORIA],reservafixaconsolidadonov[[#This Row],[ATUAL]])</f>
        <v>0</v>
      </c>
      <c r="L177" s="119" t="n">
        <f aca="false">SUMIFS(tabela_registros[VALOR],tabela_registros[MÊS],$AE$1,tabela_registros[DIA],reservafixaconsolidadonov[[#Headers],[8]],tabela_registros[REGISTRO],DADOS!$N$6,tabela_registros[TIPO],DADOS!$AJ$3,tabela_registros[CATEGORIA],reservafixaconsolidadonov[[#This Row],[ATUAL]])</f>
        <v>0</v>
      </c>
      <c r="M177" s="119" t="n">
        <f aca="false">SUMIFS(tabela_registros[VALOR],tabela_registros[MÊS],$AE$1,tabela_registros[DIA],reservafixaconsolidadonov[[#Headers],[9]],tabela_registros[REGISTRO],DADOS!$N$6,tabela_registros[TIPO],DADOS!$AJ$3,tabela_registros[CATEGORIA],reservafixaconsolidadonov[[#This Row],[ATUAL]])</f>
        <v>0</v>
      </c>
      <c r="N177" s="119" t="n">
        <f aca="false">SUMIFS(tabela_registros[VALOR],tabela_registros[MÊS],$AE$1,tabela_registros[DIA],reservafixaconsolidadonov[[#Headers],[10]],tabela_registros[REGISTRO],DADOS!$N$6,tabela_registros[TIPO],DADOS!$AJ$3,tabela_registros[CATEGORIA],reservafixaconsolidadonov[[#This Row],[ATUAL]])</f>
        <v>0</v>
      </c>
      <c r="O177" s="119" t="n">
        <f aca="false">SUMIFS(tabela_registros[VALOR],tabela_registros[MÊS],$AE$1,tabela_registros[DIA],reservafixaconsolidadonov[[#Headers],[11]],tabela_registros[REGISTRO],DADOS!$N$6,tabela_registros[TIPO],DADOS!$AJ$3,tabela_registros[CATEGORIA],reservafixaconsolidadonov[[#This Row],[ATUAL]])</f>
        <v>0</v>
      </c>
      <c r="P177" s="119" t="n">
        <f aca="false">SUMIFS(tabela_registros[VALOR],tabela_registros[MÊS],$AE$1,tabela_registros[DIA],reservafixaconsolidadonov[[#Headers],[12]],tabela_registros[REGISTRO],DADOS!$N$6,tabela_registros[TIPO],DADOS!$AJ$3,tabela_registros[CATEGORIA],reservafixaconsolidadonov[[#This Row],[ATUAL]])</f>
        <v>0</v>
      </c>
      <c r="Q177" s="119" t="n">
        <f aca="false">SUMIFS(tabela_registros[VALOR],tabela_registros[MÊS],$AE$1,tabela_registros[DIA],reservafixaconsolidadonov[[#Headers],[13]],tabela_registros[REGISTRO],DADOS!$N$6,tabela_registros[TIPO],DADOS!$AJ$3,tabela_registros[CATEGORIA],reservafixaconsolidadonov[[#This Row],[ATUAL]])</f>
        <v>0</v>
      </c>
      <c r="R177" s="119" t="n">
        <f aca="false">SUMIFS(tabela_registros[VALOR],tabela_registros[MÊS],$AE$1,tabela_registros[DIA],reservafixaconsolidadonov[[#Headers],[14]],tabela_registros[REGISTRO],DADOS!$N$6,tabela_registros[TIPO],DADOS!$AJ$3,tabela_registros[CATEGORIA],reservafixaconsolidadonov[[#This Row],[ATUAL]])</f>
        <v>0</v>
      </c>
      <c r="S177" s="119" t="n">
        <f aca="false">SUMIFS(tabela_registros[VALOR],tabela_registros[MÊS],$AE$1,tabela_registros[DIA],reservafixaconsolidadonov[[#Headers],[15]],tabela_registros[REGISTRO],DADOS!$N$6,tabela_registros[TIPO],DADOS!$AJ$3,tabela_registros[CATEGORIA],reservafixaconsolidadonov[[#This Row],[ATUAL]])</f>
        <v>0</v>
      </c>
      <c r="T177" s="119" t="n">
        <f aca="false">SUMIFS(tabela_registros[VALOR],tabela_registros[MÊS],$AE$1,tabela_registros[DIA],reservafixaconsolidadonov[[#Headers],[16]],tabela_registros[REGISTRO],DADOS!$N$6,tabela_registros[TIPO],DADOS!$AJ$3,tabela_registros[CATEGORIA],reservafixaconsolidadonov[[#This Row],[ATUAL]])</f>
        <v>0</v>
      </c>
      <c r="U177" s="119" t="n">
        <f aca="false">SUMIFS(tabela_registros[VALOR],tabela_registros[MÊS],$AE$1,tabela_registros[DIA],reservafixaconsolidadonov[[#Headers],[17]],tabela_registros[REGISTRO],DADOS!$N$6,tabela_registros[TIPO],DADOS!$AJ$3,tabela_registros[CATEGORIA],reservafixaconsolidadonov[[#This Row],[ATUAL]])</f>
        <v>0</v>
      </c>
      <c r="V177" s="119" t="n">
        <f aca="false">SUMIFS(tabela_registros[VALOR],tabela_registros[MÊS],$AE$1,tabela_registros[DIA],reservafixaconsolidadonov[[#Headers],[18]],tabela_registros[REGISTRO],DADOS!$N$6,tabela_registros[TIPO],DADOS!$AJ$3,tabela_registros[CATEGORIA],reservafixaconsolidadonov[[#This Row],[ATUAL]])</f>
        <v>0</v>
      </c>
      <c r="W177" s="119" t="n">
        <f aca="false">SUMIFS(tabela_registros[VALOR],tabela_registros[MÊS],$AE$1,tabela_registros[DIA],reservafixaconsolidadonov[[#Headers],[19]],tabela_registros[REGISTRO],DADOS!$N$6,tabela_registros[TIPO],DADOS!$AJ$3,tabela_registros[CATEGORIA],reservafixaconsolidadonov[[#This Row],[ATUAL]])</f>
        <v>0</v>
      </c>
      <c r="X177" s="119" t="n">
        <f aca="false">SUMIFS(tabela_registros[VALOR],tabela_registros[MÊS],$AE$1,tabela_registros[DIA],reservafixaconsolidadonov[[#Headers],[20]],tabela_registros[REGISTRO],DADOS!$N$6,tabela_registros[TIPO],DADOS!$AJ$3,tabela_registros[CATEGORIA],reservafixaconsolidadonov[[#This Row],[ATUAL]])</f>
        <v>0</v>
      </c>
      <c r="Y177" s="119" t="n">
        <f aca="false">SUMIFS(tabela_registros[VALOR],tabela_registros[MÊS],$AE$1,tabela_registros[DIA],reservafixaconsolidadonov[[#Headers],[21]],tabela_registros[REGISTRO],DADOS!$N$6,tabela_registros[TIPO],DADOS!$AJ$3,tabela_registros[CATEGORIA],reservafixaconsolidadonov[[#This Row],[ATUAL]])</f>
        <v>0</v>
      </c>
      <c r="Z177" s="119" t="n">
        <f aca="false">SUMIFS(tabela_registros[VALOR],tabela_registros[MÊS],$AE$1,tabela_registros[DIA],reservafixaconsolidadonov[[#Headers],[22]],tabela_registros[REGISTRO],DADOS!$N$6,tabela_registros[TIPO],DADOS!$AJ$3,tabela_registros[CATEGORIA],reservafixaconsolidadonov[[#This Row],[ATUAL]])</f>
        <v>0</v>
      </c>
      <c r="AA177" s="119" t="n">
        <f aca="false">SUMIFS(tabela_registros[VALOR],tabela_registros[MÊS],$AE$1,tabela_registros[DIA],reservafixaconsolidadonov[[#Headers],[23]],tabela_registros[REGISTRO],DADOS!$N$6,tabela_registros[TIPO],DADOS!$AJ$3,tabela_registros[CATEGORIA],reservafixaconsolidadonov[[#This Row],[ATUAL]])</f>
        <v>0</v>
      </c>
      <c r="AB177" s="119" t="n">
        <f aca="false">SUMIFS(tabela_registros[VALOR],tabela_registros[MÊS],$AE$1,tabela_registros[DIA],reservafixaconsolidadonov[[#Headers],[24]],tabela_registros[REGISTRO],DADOS!$N$6,tabela_registros[TIPO],DADOS!$AJ$3,tabela_registros[CATEGORIA],reservafixaconsolidadonov[[#This Row],[ATUAL]])</f>
        <v>0</v>
      </c>
      <c r="AC177" s="119" t="n">
        <f aca="false">SUMIFS(tabela_registros[VALOR],tabela_registros[MÊS],$AE$1,tabela_registros[DIA],reservafixaconsolidadonov[[#Headers],[25]],tabela_registros[REGISTRO],DADOS!$N$6,tabela_registros[TIPO],DADOS!$AJ$3,tabela_registros[CATEGORIA],reservafixaconsolidadonov[[#This Row],[ATUAL]])</f>
        <v>0</v>
      </c>
      <c r="AD177" s="119" t="n">
        <f aca="false">SUMIFS(tabela_registros[VALOR],tabela_registros[MÊS],$AE$1,tabela_registros[DIA],reservafixaconsolidadonov[[#Headers],[26]],tabela_registros[REGISTRO],DADOS!$N$6,tabela_registros[TIPO],DADOS!$AJ$3,tabela_registros[CATEGORIA],reservafixaconsolidadonov[[#This Row],[ATUAL]])</f>
        <v>0</v>
      </c>
      <c r="AE177" s="119" t="n">
        <f aca="false">SUMIFS(tabela_registros[VALOR],tabela_registros[MÊS],$AE$1,tabela_registros[DIA],reservafixaconsolidadonov[[#Headers],[27]],tabela_registros[REGISTRO],DADOS!$N$6,tabela_registros[TIPO],DADOS!$AJ$3,tabela_registros[CATEGORIA],reservafixaconsolidadonov[[#This Row],[ATUAL]])</f>
        <v>0</v>
      </c>
      <c r="AF177" s="119" t="n">
        <f aca="false">SUMIFS(tabela_registros[VALOR],tabela_registros[MÊS],$AE$1,tabela_registros[DIA],reservafixaconsolidadonov[[#Headers],[28]],tabela_registros[REGISTRO],DADOS!$N$6,tabela_registros[TIPO],DADOS!$AJ$3,tabela_registros[CATEGORIA],reservafixaconsolidadonov[[#This Row],[ATUAL]])</f>
        <v>0</v>
      </c>
      <c r="AG177" s="119" t="n">
        <f aca="false">SUMIFS(tabela_registros[VALOR],tabela_registros[MÊS],$AE$1,tabela_registros[DIA],reservafixaconsolidadonov[[#Headers],[29]],tabela_registros[REGISTRO],DADOS!$N$6,tabela_registros[TIPO],DADOS!$AJ$3,tabela_registros[CATEGORIA],reservafixaconsolidadonov[[#This Row],[ATUAL]])</f>
        <v>0</v>
      </c>
      <c r="AH177" s="151" t="n">
        <f aca="false">SUMIFS(tabela_registros[VALOR],tabela_registros[MÊS],$AE$1,tabela_registros[DIA],reservafixaconsolidadonov[[#Headers],[30]],tabela_registros[REGISTRO],DADOS!$N$6,tabela_registros[TIPO],DADOS!$AJ$3,tabela_registros[CATEGORIA],reservafixaconsolidadonov[[#This Row],[ATUAL]])</f>
        <v>0</v>
      </c>
      <c r="AI177" s="218" t="n">
        <f aca="false">SUMIFS(tabela_registros[VALOR],tabela_registros[MÊS],$AE$1,tabela_registros[DIA],reservafixaconsolidadonov[[#Headers],[31]],tabela_registros[REGISTRO],DADOS!$N$6,tabela_registros[TIPO],DADOS!$AJ$3,tabela_registros[CATEGORIA],reservafixaconsolidadonov[[#This Row],[ATUAL]])</f>
        <v>0</v>
      </c>
      <c r="AJ177" s="219" t="n">
        <f aca="false">SUM(reservafixaconsolidadonov[[#This Row],[1]:[31]])</f>
        <v>0</v>
      </c>
      <c r="AK177" s="165"/>
    </row>
    <row r="178" s="122" customFormat="true" ht="21" hidden="false" customHeight="true" outlineLevel="0" collapsed="false">
      <c r="B178" s="152"/>
      <c r="C178" s="153" t="s">
        <v>2</v>
      </c>
      <c r="D178" s="166"/>
      <c r="E178" s="155" t="n">
        <f aca="false">SUM(E168:E177)</f>
        <v>0</v>
      </c>
      <c r="F178" s="156" t="n">
        <f aca="false">SUM(F168:F177)+reservafixaconsolidadonov[[#This Row],[1]]</f>
        <v>0</v>
      </c>
      <c r="G178" s="156" t="n">
        <f aca="false">SUM(G168:G177)+reservafixaconsolidadonov[[#This Row],[2]]</f>
        <v>0</v>
      </c>
      <c r="H178" s="156" t="n">
        <f aca="false">SUM(H168:H177)+reservafixaconsolidadonov[[#This Row],[3]]</f>
        <v>0</v>
      </c>
      <c r="I178" s="156" t="n">
        <f aca="false">SUM(I168:I177)+reservafixaconsolidadonov[[#This Row],[4]]</f>
        <v>0</v>
      </c>
      <c r="J178" s="156" t="n">
        <f aca="false">SUM(J168:J177)+reservafixaconsolidadonov[[#This Row],[5]]</f>
        <v>0</v>
      </c>
      <c r="K178" s="156" t="n">
        <f aca="false">SUM(K168:K177)+reservafixaconsolidadonov[[#This Row],[6]]</f>
        <v>0</v>
      </c>
      <c r="L178" s="156" t="n">
        <f aca="false">SUM(L168:L177)+reservafixaconsolidadonov[[#This Row],[7]]</f>
        <v>0</v>
      </c>
      <c r="M178" s="156" t="n">
        <f aca="false">SUM(M168:M177)+reservafixaconsolidadonov[[#This Row],[8]]</f>
        <v>0</v>
      </c>
      <c r="N178" s="156" t="n">
        <f aca="false">SUM(N168:N177)+reservafixaconsolidadonov[[#This Row],[9]]</f>
        <v>0</v>
      </c>
      <c r="O178" s="156" t="n">
        <f aca="false">SUM(O168:O177)+reservafixaconsolidadonov[[#This Row],[10]]</f>
        <v>0</v>
      </c>
      <c r="P178" s="156" t="n">
        <f aca="false">SUM(P168:P177)+reservafixaconsolidadonov[[#This Row],[11]]</f>
        <v>0</v>
      </c>
      <c r="Q178" s="156" t="n">
        <f aca="false">SUM(Q168:Q177)+reservafixaconsolidadonov[[#This Row],[12]]</f>
        <v>0</v>
      </c>
      <c r="R178" s="156" t="n">
        <f aca="false">SUM(R168:R177)+reservafixaconsolidadonov[[#This Row],[13]]</f>
        <v>0</v>
      </c>
      <c r="S178" s="156" t="n">
        <f aca="false">SUM(S168:S177)+reservafixaconsolidadonov[[#This Row],[14]]</f>
        <v>0</v>
      </c>
      <c r="T178" s="156" t="n">
        <f aca="false">SUM(T168:T177)+reservafixaconsolidadonov[[#This Row],[15]]</f>
        <v>0</v>
      </c>
      <c r="U178" s="156" t="n">
        <f aca="false">SUM(U168:U177)+reservafixaconsolidadonov[[#This Row],[16]]</f>
        <v>0</v>
      </c>
      <c r="V178" s="156" t="n">
        <f aca="false">SUM(V168:V177)+reservafixaconsolidadonov[[#This Row],[17]]</f>
        <v>0</v>
      </c>
      <c r="W178" s="156" t="n">
        <f aca="false">SUM(W168:W177)+reservafixaconsolidadonov[[#This Row],[18]]</f>
        <v>0</v>
      </c>
      <c r="X178" s="156" t="n">
        <f aca="false">SUM(X168:X177)+reservafixaconsolidadonov[[#This Row],[19]]</f>
        <v>0</v>
      </c>
      <c r="Y178" s="156" t="n">
        <f aca="false">SUM(Y168:Y177)+reservafixaconsolidadonov[[#This Row],[20]]</f>
        <v>0</v>
      </c>
      <c r="Z178" s="156" t="n">
        <f aca="false">SUM(Z168:Z177)+reservafixaconsolidadonov[[#This Row],[21]]</f>
        <v>0</v>
      </c>
      <c r="AA178" s="156" t="n">
        <f aca="false">SUM(AA168:AA177)+reservafixaconsolidadonov[[#This Row],[22]]</f>
        <v>0</v>
      </c>
      <c r="AB178" s="156" t="n">
        <f aca="false">SUM(AB168:AB177)+reservafixaconsolidadonov[[#This Row],[23]]</f>
        <v>0</v>
      </c>
      <c r="AC178" s="156" t="n">
        <f aca="false">SUM(AC168:AC177)+reservafixaconsolidadonov[[#This Row],[24]]</f>
        <v>0</v>
      </c>
      <c r="AD178" s="156" t="n">
        <f aca="false">SUM(AD168:AD177)+reservafixaconsolidadonov[[#This Row],[25]]</f>
        <v>0</v>
      </c>
      <c r="AE178" s="156" t="n">
        <f aca="false">SUM(AE168:AE177)+reservafixaconsolidadonov[[#This Row],[26]]</f>
        <v>0</v>
      </c>
      <c r="AF178" s="156" t="n">
        <f aca="false">SUM(AF168:AF177)+reservafixaconsolidadonov[[#This Row],[27]]</f>
        <v>0</v>
      </c>
      <c r="AG178" s="156" t="n">
        <f aca="false">SUM(AG168:AG177)+reservafixaconsolidadonov[[#This Row],[28]]</f>
        <v>0</v>
      </c>
      <c r="AH178" s="156" t="n">
        <f aca="false">SUM(AH168:AH177)+reservafixaconsolidadonov[[#This Row],[29]]</f>
        <v>0</v>
      </c>
      <c r="AI178" s="223" t="n">
        <f aca="false">SUM(AI168:AI177)+reservafixaconsolidadonov[[#This Row],[30]]</f>
        <v>0</v>
      </c>
      <c r="AJ178" s="157" t="n">
        <f aca="false">reservafixaconsolidadonov[[#This Row],[31]]</f>
        <v>0</v>
      </c>
      <c r="AK178" s="158"/>
    </row>
    <row r="179" customFormat="false" ht="6.75" hidden="false" customHeight="true" outlineLevel="0" collapsed="false">
      <c r="B179" s="97"/>
      <c r="C179" s="162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233"/>
      <c r="AJ179" s="164"/>
      <c r="AK179" s="244"/>
    </row>
    <row r="180" s="78" customFormat="true" ht="12.75" hidden="false" customHeight="false" outlineLevel="0" collapsed="false">
      <c r="E180" s="100"/>
    </row>
    <row r="181" s="78" customFormat="true" ht="12" hidden="false" customHeight="false" outlineLevel="0" collapsed="false"/>
    <row r="182" s="78" customFormat="true" ht="12" hidden="false" customHeight="false" outlineLevel="0" collapsed="false"/>
    <row r="183" customFormat="false" ht="39.75" hidden="false" customHeight="true" outlineLevel="0" collapsed="false">
      <c r="C183" s="101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3" t="s">
        <v>2</v>
      </c>
    </row>
    <row r="184" s="78" customFormat="true" ht="12.75" hidden="false" customHeight="false" outlineLevel="0" collapsed="false">
      <c r="B184" s="161"/>
      <c r="AJ184" s="106" t="s">
        <v>64</v>
      </c>
    </row>
    <row r="185" customFormat="false" ht="6.75" hidden="false" customHeight="true" outlineLevel="0" collapsed="false">
      <c r="B185" s="86"/>
      <c r="C185" s="162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233"/>
      <c r="AK185" s="139"/>
    </row>
    <row r="186" customFormat="false" ht="13.5" hidden="true" customHeight="false" outlineLevel="0" collapsed="false">
      <c r="B186" s="86"/>
      <c r="C186" s="109" t="s">
        <v>68</v>
      </c>
      <c r="D186" s="110" t="s">
        <v>69</v>
      </c>
      <c r="E186" s="110" t="s">
        <v>30</v>
      </c>
      <c r="F186" s="110" t="s">
        <v>31</v>
      </c>
      <c r="G186" s="110" t="s">
        <v>32</v>
      </c>
      <c r="H186" s="110" t="s">
        <v>33</v>
      </c>
      <c r="I186" s="110" t="s">
        <v>34</v>
      </c>
      <c r="J186" s="110" t="s">
        <v>35</v>
      </c>
      <c r="K186" s="110" t="s">
        <v>36</v>
      </c>
      <c r="L186" s="110" t="s">
        <v>37</v>
      </c>
      <c r="M186" s="110" t="s">
        <v>38</v>
      </c>
      <c r="N186" s="110" t="s">
        <v>39</v>
      </c>
      <c r="O186" s="110" t="s">
        <v>40</v>
      </c>
      <c r="P186" s="110" t="s">
        <v>41</v>
      </c>
      <c r="Q186" s="110" t="s">
        <v>81</v>
      </c>
      <c r="R186" s="110" t="s">
        <v>82</v>
      </c>
      <c r="S186" s="110" t="s">
        <v>83</v>
      </c>
      <c r="T186" s="110" t="s">
        <v>84</v>
      </c>
      <c r="U186" s="110" t="s">
        <v>85</v>
      </c>
      <c r="V186" s="110" t="s">
        <v>86</v>
      </c>
      <c r="W186" s="110" t="s">
        <v>87</v>
      </c>
      <c r="X186" s="110" t="s">
        <v>88</v>
      </c>
      <c r="Y186" s="110" t="s">
        <v>89</v>
      </c>
      <c r="Z186" s="110" t="s">
        <v>90</v>
      </c>
      <c r="AA186" s="110" t="s">
        <v>91</v>
      </c>
      <c r="AB186" s="110" t="s">
        <v>92</v>
      </c>
      <c r="AC186" s="110" t="s">
        <v>93</v>
      </c>
      <c r="AD186" s="110" t="s">
        <v>94</v>
      </c>
      <c r="AE186" s="110" t="s">
        <v>95</v>
      </c>
      <c r="AF186" s="110" t="s">
        <v>96</v>
      </c>
      <c r="AG186" s="110" t="s">
        <v>97</v>
      </c>
      <c r="AH186" s="110" t="s">
        <v>98</v>
      </c>
      <c r="AI186" s="110" t="s">
        <v>99</v>
      </c>
      <c r="AJ186" s="111" t="s">
        <v>70</v>
      </c>
      <c r="AK186" s="86"/>
    </row>
    <row r="187" customFormat="false" ht="19.5" hidden="false" customHeight="true" outlineLevel="0" collapsed="false">
      <c r="B187" s="143"/>
      <c r="C187" s="144" t="str">
        <f aca="false">DADOS!$AN$3</f>
        <v>📝 AÇÃO</v>
      </c>
      <c r="D187" s="145" t="str">
        <f aca="false">IF(reservavariáveisconsolidadonov[[#This Row],[TOTAL (R$)]]=0,"",IF(OR(reservavariáveisconsolidadonov[[#This Row],[TOTAL (R$)]]=LARGE($AJ$187:$AJ$196,1),reservavariáveisconsolidadonov[[#This Row],[TOTAL (R$)]]=LARGE($AJ$187:$AJ$196,2)),DADOS!$I$11,""))</f>
        <v/>
      </c>
      <c r="E187" s="148" t="n">
        <f aca="false">SUMIFS(tabela_registros[VALOR],tabela_registros[MÊS],$AE$1,tabela_registros[DIA],reservavariáveisconsolidadonov[[#Headers],[1]],tabela_registros[REGISTRO],DADOS!$N$6,tabela_registros[TIPO],DADOS!$AJ$4,tabela_registros[CATEGORIA],reservavariáveisconsolidadonov[[#This Row],[ATUAL]])</f>
        <v>0</v>
      </c>
      <c r="F187" s="119" t="n">
        <f aca="false">SUMIFS(tabela_registros[VALOR],tabela_registros[MÊS],$AE$1,tabela_registros[DIA],reservavariáveisconsolidadonov[[#Headers],[2]],tabela_registros[REGISTRO],DADOS!$N$6,tabela_registros[TIPO],DADOS!$AJ$4,tabela_registros[CATEGORIA],reservavariáveisconsolidadonov[[#This Row],[ATUAL]])</f>
        <v>0</v>
      </c>
      <c r="G187" s="119" t="n">
        <f aca="false">SUMIFS(tabela_registros[VALOR],tabela_registros[MÊS],$AE$1,tabela_registros[DIA],reservavariáveisconsolidadonov[[#Headers],[3]],tabela_registros[REGISTRO],DADOS!$N$6,tabela_registros[TIPO],DADOS!$AJ$4,tabela_registros[CATEGORIA],reservavariáveisconsolidadonov[[#This Row],[ATUAL]])</f>
        <v>0</v>
      </c>
      <c r="H187" s="119" t="n">
        <f aca="false">SUMIFS(tabela_registros[VALOR],tabela_registros[MÊS],$AE$1,tabela_registros[DIA],reservavariáveisconsolidadonov[[#Headers],[4]],tabela_registros[REGISTRO],DADOS!$N$6,tabela_registros[TIPO],DADOS!$AJ$4,tabela_registros[CATEGORIA],reservavariáveisconsolidadonov[[#This Row],[ATUAL]])</f>
        <v>0</v>
      </c>
      <c r="I187" s="119" t="n">
        <f aca="false">SUMIFS(tabela_registros[VALOR],tabela_registros[MÊS],$AE$1,tabela_registros[DIA],reservavariáveisconsolidadonov[[#Headers],[5]],tabela_registros[REGISTRO],DADOS!$N$6,tabela_registros[TIPO],DADOS!$AJ$4,tabela_registros[CATEGORIA],reservavariáveisconsolidadonov[[#This Row],[ATUAL]])</f>
        <v>0</v>
      </c>
      <c r="J187" s="119" t="n">
        <f aca="false">SUMIFS(tabela_registros[VALOR],tabela_registros[MÊS],$AE$1,tabela_registros[DIA],reservavariáveisconsolidadonov[[#Headers],[6]],tabela_registros[REGISTRO],DADOS!$N$6,tabela_registros[TIPO],DADOS!$AJ$4,tabela_registros[CATEGORIA],reservavariáveisconsolidadonov[[#This Row],[ATUAL]])</f>
        <v>0</v>
      </c>
      <c r="K187" s="119" t="n">
        <f aca="false">SUMIFS(tabela_registros[VALOR],tabela_registros[MÊS],$AE$1,tabela_registros[DIA],reservavariáveisconsolidadonov[[#Headers],[7]],tabela_registros[REGISTRO],DADOS!$N$6,tabela_registros[TIPO],DADOS!$AJ$4,tabela_registros[CATEGORIA],reservavariáveisconsolidadonov[[#This Row],[ATUAL]])</f>
        <v>0</v>
      </c>
      <c r="L187" s="119" t="n">
        <f aca="false">SUMIFS(tabela_registros[VALOR],tabela_registros[MÊS],$AE$1,tabela_registros[DIA],reservavariáveisconsolidadonov[[#Headers],[8]],tabela_registros[REGISTRO],DADOS!$N$6,tabela_registros[TIPO],DADOS!$AJ$4,tabela_registros[CATEGORIA],reservavariáveisconsolidadonov[[#This Row],[ATUAL]])</f>
        <v>0</v>
      </c>
      <c r="M187" s="119" t="n">
        <f aca="false">SUMIFS(tabela_registros[VALOR],tabela_registros[MÊS],$AE$1,tabela_registros[DIA],reservavariáveisconsolidadonov[[#Headers],[9]],tabela_registros[REGISTRO],DADOS!$N$6,tabela_registros[TIPO],DADOS!$AJ$4,tabela_registros[CATEGORIA],reservavariáveisconsolidadonov[[#This Row],[ATUAL]])</f>
        <v>0</v>
      </c>
      <c r="N187" s="119" t="n">
        <f aca="false">SUMIFS(tabela_registros[VALOR],tabela_registros[MÊS],$AE$1,tabela_registros[DIA],reservavariáveisconsolidadonov[[#Headers],[10]],tabela_registros[REGISTRO],DADOS!$N$6,tabela_registros[TIPO],DADOS!$AJ$4,tabela_registros[CATEGORIA],reservavariáveisconsolidadonov[[#This Row],[ATUAL]])</f>
        <v>0</v>
      </c>
      <c r="O187" s="119" t="n">
        <f aca="false">SUMIFS(tabela_registros[VALOR],tabela_registros[MÊS],$AE$1,tabela_registros[DIA],reservavariáveisconsolidadonov[[#Headers],[11]],tabela_registros[REGISTRO],DADOS!$N$6,tabela_registros[TIPO],DADOS!$AJ$4,tabela_registros[CATEGORIA],reservavariáveisconsolidadonov[[#This Row],[ATUAL]])</f>
        <v>0</v>
      </c>
      <c r="P187" s="119" t="n">
        <f aca="false">SUMIFS(tabela_registros[VALOR],tabela_registros[MÊS],$AE$1,tabela_registros[DIA],reservavariáveisconsolidadonov[[#Headers],[12]],tabela_registros[REGISTRO],DADOS!$N$6,tabela_registros[TIPO],DADOS!$AJ$4,tabela_registros[CATEGORIA],reservavariáveisconsolidadonov[[#This Row],[ATUAL]])</f>
        <v>0</v>
      </c>
      <c r="Q187" s="119" t="n">
        <f aca="false">SUMIFS(tabela_registros[VALOR],tabela_registros[MÊS],$AE$1,tabela_registros[DIA],reservavariáveisconsolidadonov[[#Headers],[13]],tabela_registros[REGISTRO],DADOS!$N$6,tabela_registros[TIPO],DADOS!$AJ$4,tabela_registros[CATEGORIA],reservavariáveisconsolidadonov[[#This Row],[ATUAL]])</f>
        <v>0</v>
      </c>
      <c r="R187" s="119" t="n">
        <f aca="false">SUMIFS(tabela_registros[VALOR],tabela_registros[MÊS],$AE$1,tabela_registros[DIA],reservavariáveisconsolidadonov[[#Headers],[14]],tabela_registros[REGISTRO],DADOS!$N$6,tabela_registros[TIPO],DADOS!$AJ$4,tabela_registros[CATEGORIA],reservavariáveisconsolidadonov[[#This Row],[ATUAL]])</f>
        <v>0</v>
      </c>
      <c r="S187" s="119" t="n">
        <f aca="false">SUMIFS(tabela_registros[VALOR],tabela_registros[MÊS],$AE$1,tabela_registros[DIA],reservavariáveisconsolidadonov[[#Headers],[15]],tabela_registros[REGISTRO],DADOS!$N$6,tabela_registros[TIPO],DADOS!$AJ$4,tabela_registros[CATEGORIA],reservavariáveisconsolidadonov[[#This Row],[ATUAL]])</f>
        <v>0</v>
      </c>
      <c r="T187" s="119" t="n">
        <f aca="false">SUMIFS(tabela_registros[VALOR],tabela_registros[MÊS],$AE$1,tabela_registros[DIA],reservavariáveisconsolidadonov[[#Headers],[16]],tabela_registros[REGISTRO],DADOS!$N$6,tabela_registros[TIPO],DADOS!$AJ$4,tabela_registros[CATEGORIA],reservavariáveisconsolidadonov[[#This Row],[ATUAL]])</f>
        <v>0</v>
      </c>
      <c r="U187" s="119" t="n">
        <f aca="false">SUMIFS(tabela_registros[VALOR],tabela_registros[MÊS],$AE$1,tabela_registros[DIA],reservavariáveisconsolidadonov[[#Headers],[17]],tabela_registros[REGISTRO],DADOS!$N$6,tabela_registros[TIPO],DADOS!$AJ$4,tabela_registros[CATEGORIA],reservavariáveisconsolidadonov[[#This Row],[ATUAL]])</f>
        <v>0</v>
      </c>
      <c r="V187" s="119" t="n">
        <f aca="false">SUMIFS(tabela_registros[VALOR],tabela_registros[MÊS],$AE$1,tabela_registros[DIA],reservavariáveisconsolidadonov[[#Headers],[18]],tabela_registros[REGISTRO],DADOS!$N$6,tabela_registros[TIPO],DADOS!$AJ$4,tabela_registros[CATEGORIA],reservavariáveisconsolidadonov[[#This Row],[ATUAL]])</f>
        <v>0</v>
      </c>
      <c r="W187" s="119" t="n">
        <f aca="false">SUMIFS(tabela_registros[VALOR],tabela_registros[MÊS],$AE$1,tabela_registros[DIA],reservavariáveisconsolidadonov[[#Headers],[19]],tabela_registros[REGISTRO],DADOS!$N$6,tabela_registros[TIPO],DADOS!$AJ$4,tabela_registros[CATEGORIA],reservavariáveisconsolidadonov[[#This Row],[ATUAL]])</f>
        <v>0</v>
      </c>
      <c r="X187" s="119" t="n">
        <f aca="false">SUMIFS(tabela_registros[VALOR],tabela_registros[MÊS],$AE$1,tabela_registros[DIA],reservavariáveisconsolidadonov[[#Headers],[20]],tabela_registros[REGISTRO],DADOS!$N$6,tabela_registros[TIPO],DADOS!$AJ$4,tabela_registros[CATEGORIA],reservavariáveisconsolidadonov[[#This Row],[ATUAL]])</f>
        <v>0</v>
      </c>
      <c r="Y187" s="119" t="n">
        <f aca="false">SUMIFS(tabela_registros[VALOR],tabela_registros[MÊS],$AE$1,tabela_registros[DIA],reservavariáveisconsolidadonov[[#Headers],[21]],tabela_registros[REGISTRO],DADOS!$N$6,tabela_registros[TIPO],DADOS!$AJ$4,tabela_registros[CATEGORIA],reservavariáveisconsolidadonov[[#This Row],[ATUAL]])</f>
        <v>0</v>
      </c>
      <c r="Z187" s="119" t="n">
        <f aca="false">SUMIFS(tabela_registros[VALOR],tabela_registros[MÊS],$AE$1,tabela_registros[DIA],reservavariáveisconsolidadonov[[#Headers],[22]],tabela_registros[REGISTRO],DADOS!$N$6,tabela_registros[TIPO],DADOS!$AJ$4,tabela_registros[CATEGORIA],reservavariáveisconsolidadonov[[#This Row],[ATUAL]])</f>
        <v>0</v>
      </c>
      <c r="AA187" s="119" t="n">
        <f aca="false">SUMIFS(tabela_registros[VALOR],tabela_registros[MÊS],$AE$1,tabela_registros[DIA],reservavariáveisconsolidadonov[[#Headers],[23]],tabela_registros[REGISTRO],DADOS!$N$6,tabela_registros[TIPO],DADOS!$AJ$4,tabela_registros[CATEGORIA],reservavariáveisconsolidadonov[[#This Row],[ATUAL]])</f>
        <v>0</v>
      </c>
      <c r="AB187" s="119" t="n">
        <f aca="false">SUMIFS(tabela_registros[VALOR],tabela_registros[MÊS],$AE$1,tabela_registros[DIA],reservavariáveisconsolidadonov[[#Headers],[24]],tabela_registros[REGISTRO],DADOS!$N$6,tabela_registros[TIPO],DADOS!$AJ$4,tabela_registros[CATEGORIA],reservavariáveisconsolidadonov[[#This Row],[ATUAL]])</f>
        <v>0</v>
      </c>
      <c r="AC187" s="119" t="n">
        <f aca="false">SUMIFS(tabela_registros[VALOR],tabela_registros[MÊS],$AE$1,tabela_registros[DIA],reservavariáveisconsolidadonov[[#Headers],[25]],tabela_registros[REGISTRO],DADOS!$N$6,tabela_registros[TIPO],DADOS!$AJ$4,tabela_registros[CATEGORIA],reservavariáveisconsolidadonov[[#This Row],[ATUAL]])</f>
        <v>0</v>
      </c>
      <c r="AD187" s="119" t="n">
        <f aca="false">SUMIFS(tabela_registros[VALOR],tabela_registros[MÊS],$AE$1,tabela_registros[DIA],reservavariáveisconsolidadonov[[#Headers],[26]],tabela_registros[REGISTRO],DADOS!$N$6,tabela_registros[TIPO],DADOS!$AJ$4,tabela_registros[CATEGORIA],reservavariáveisconsolidadonov[[#This Row],[ATUAL]])</f>
        <v>0</v>
      </c>
      <c r="AE187" s="119" t="n">
        <f aca="false">SUMIFS(tabela_registros[VALOR],tabela_registros[MÊS],$AE$1,tabela_registros[DIA],reservavariáveisconsolidadonov[[#Headers],[27]],tabela_registros[REGISTRO],DADOS!$N$6,tabela_registros[TIPO],DADOS!$AJ$4,tabela_registros[CATEGORIA],reservavariáveisconsolidadonov[[#This Row],[ATUAL]])</f>
        <v>0</v>
      </c>
      <c r="AF187" s="119" t="n">
        <f aca="false">SUMIFS(tabela_registros[VALOR],tabela_registros[MÊS],$AE$1,tabela_registros[DIA],reservavariáveisconsolidadonov[[#Headers],[28]],tabela_registros[REGISTRO],DADOS!$N$6,tabela_registros[TIPO],DADOS!$AJ$4,tabela_registros[CATEGORIA],reservavariáveisconsolidadonov[[#This Row],[ATUAL]])</f>
        <v>0</v>
      </c>
      <c r="AG187" s="119" t="n">
        <f aca="false">SUMIFS(tabela_registros[VALOR],tabela_registros[MÊS],$AE$1,tabela_registros[DIA],reservavariáveisconsolidadonov[[#Headers],[29]],tabela_registros[REGISTRO],DADOS!$N$6,tabela_registros[TIPO],DADOS!$AJ$4,tabela_registros[CATEGORIA],reservavariáveisconsolidadonov[[#This Row],[ATUAL]])</f>
        <v>0</v>
      </c>
      <c r="AH187" s="119" t="n">
        <f aca="false">SUMIFS(tabela_registros[VALOR],tabela_registros[MÊS],$AE$1,tabela_registros[DIA],reservavariáveisconsolidadonov[[#Headers],[30]],tabela_registros[REGISTRO],DADOS!$N$6,tabela_registros[TIPO],DADOS!$AJ$4,tabela_registros[CATEGORIA],reservavariáveisconsolidadonov[[#This Row],[ATUAL]])</f>
        <v>0</v>
      </c>
      <c r="AI187" s="217" t="n">
        <f aca="false">SUMIFS(tabela_registros[VALOR],tabela_registros[MÊS],$AE$1,tabela_registros[DIA],reservavariáveisconsolidadonov[[#Headers],[31]],tabela_registros[REGISTRO],DADOS!$N$6,tabela_registros[TIPO],DADOS!$AJ$4,tabela_registros[CATEGORIA],reservavariáveisconsolidadonov[[#This Row],[ATUAL]])</f>
        <v>0</v>
      </c>
      <c r="AJ187" s="149" t="n">
        <f aca="false">SUM(reservavariáveisconsolidadonov[[#This Row],[1]:[31]])</f>
        <v>0</v>
      </c>
      <c r="AK187" s="165"/>
    </row>
    <row r="188" customFormat="false" ht="19.5" hidden="false" customHeight="true" outlineLevel="0" collapsed="false">
      <c r="B188" s="143"/>
      <c r="C188" s="144" t="str">
        <f aca="false">DADOS!$AN$4</f>
        <v>📝 COMÓDITE</v>
      </c>
      <c r="D188" s="145" t="str">
        <f aca="false">IF(reservavariáveisconsolidadonov[[#This Row],[TOTAL (R$)]]=0,"",IF(OR(reservavariáveisconsolidadonov[[#This Row],[TOTAL (R$)]]=LARGE($AJ$187:$AJ$196,1),reservavariáveisconsolidadonov[[#This Row],[TOTAL (R$)]]=LARGE($AJ$187:$AJ$196,2)),DADOS!$I$11,""))</f>
        <v/>
      </c>
      <c r="E188" s="148" t="n">
        <f aca="false">SUMIFS(tabela_registros[VALOR],tabela_registros[MÊS],$AE$1,tabela_registros[DIA],reservavariáveisconsolidadonov[[#Headers],[1]],tabela_registros[REGISTRO],DADOS!$N$6,tabela_registros[TIPO],DADOS!$AJ$4,tabela_registros[CATEGORIA],reservavariáveisconsolidadonov[[#This Row],[ATUAL]])</f>
        <v>0</v>
      </c>
      <c r="F188" s="119" t="n">
        <f aca="false">SUMIFS(tabela_registros[VALOR],tabela_registros[MÊS],$AE$1,tabela_registros[DIA],reservavariáveisconsolidadonov[[#Headers],[2]],tabela_registros[REGISTRO],DADOS!$N$6,tabela_registros[TIPO],DADOS!$AJ$4,tabela_registros[CATEGORIA],reservavariáveisconsolidadonov[[#This Row],[ATUAL]])</f>
        <v>0</v>
      </c>
      <c r="G188" s="119" t="n">
        <f aca="false">SUMIFS(tabela_registros[VALOR],tabela_registros[MÊS],$AE$1,tabela_registros[DIA],reservavariáveisconsolidadonov[[#Headers],[3]],tabela_registros[REGISTRO],DADOS!$N$6,tabela_registros[TIPO],DADOS!$AJ$4,tabela_registros[CATEGORIA],reservavariáveisconsolidadonov[[#This Row],[ATUAL]])</f>
        <v>0</v>
      </c>
      <c r="H188" s="119" t="n">
        <f aca="false">SUMIFS(tabela_registros[VALOR],tabela_registros[MÊS],$AE$1,tabela_registros[DIA],reservavariáveisconsolidadonov[[#Headers],[4]],tabela_registros[REGISTRO],DADOS!$N$6,tabela_registros[TIPO],DADOS!$AJ$4,tabela_registros[CATEGORIA],reservavariáveisconsolidadonov[[#This Row],[ATUAL]])</f>
        <v>0</v>
      </c>
      <c r="I188" s="119" t="n">
        <f aca="false">SUMIFS(tabela_registros[VALOR],tabela_registros[MÊS],$AE$1,tabela_registros[DIA],reservavariáveisconsolidadonov[[#Headers],[5]],tabela_registros[REGISTRO],DADOS!$N$6,tabela_registros[TIPO],DADOS!$AJ$4,tabela_registros[CATEGORIA],reservavariáveisconsolidadonov[[#This Row],[ATUAL]])</f>
        <v>0</v>
      </c>
      <c r="J188" s="119" t="n">
        <f aca="false">SUMIFS(tabela_registros[VALOR],tabela_registros[MÊS],$AE$1,tabela_registros[DIA],reservavariáveisconsolidadonov[[#Headers],[6]],tabela_registros[REGISTRO],DADOS!$N$6,tabela_registros[TIPO],DADOS!$AJ$4,tabela_registros[CATEGORIA],reservavariáveisconsolidadonov[[#This Row],[ATUAL]])</f>
        <v>0</v>
      </c>
      <c r="K188" s="119" t="n">
        <f aca="false">SUMIFS(tabela_registros[VALOR],tabela_registros[MÊS],$AE$1,tabela_registros[DIA],reservavariáveisconsolidadonov[[#Headers],[7]],tabela_registros[REGISTRO],DADOS!$N$6,tabela_registros[TIPO],DADOS!$AJ$4,tabela_registros[CATEGORIA],reservavariáveisconsolidadonov[[#This Row],[ATUAL]])</f>
        <v>0</v>
      </c>
      <c r="L188" s="119" t="n">
        <f aca="false">SUMIFS(tabela_registros[VALOR],tabela_registros[MÊS],$AE$1,tabela_registros[DIA],reservavariáveisconsolidadonov[[#Headers],[8]],tabela_registros[REGISTRO],DADOS!$N$6,tabela_registros[TIPO],DADOS!$AJ$4,tabela_registros[CATEGORIA],reservavariáveisconsolidadonov[[#This Row],[ATUAL]])</f>
        <v>0</v>
      </c>
      <c r="M188" s="119" t="n">
        <f aca="false">SUMIFS(tabela_registros[VALOR],tabela_registros[MÊS],$AE$1,tabela_registros[DIA],reservavariáveisconsolidadonov[[#Headers],[9]],tabela_registros[REGISTRO],DADOS!$N$6,tabela_registros[TIPO],DADOS!$AJ$4,tabela_registros[CATEGORIA],reservavariáveisconsolidadonov[[#This Row],[ATUAL]])</f>
        <v>0</v>
      </c>
      <c r="N188" s="119" t="n">
        <f aca="false">SUMIFS(tabela_registros[VALOR],tabela_registros[MÊS],$AE$1,tabela_registros[DIA],reservavariáveisconsolidadonov[[#Headers],[10]],tabela_registros[REGISTRO],DADOS!$N$6,tabela_registros[TIPO],DADOS!$AJ$4,tabela_registros[CATEGORIA],reservavariáveisconsolidadonov[[#This Row],[ATUAL]])</f>
        <v>0</v>
      </c>
      <c r="O188" s="119" t="n">
        <f aca="false">SUMIFS(tabela_registros[VALOR],tabela_registros[MÊS],$AE$1,tabela_registros[DIA],reservavariáveisconsolidadonov[[#Headers],[11]],tabela_registros[REGISTRO],DADOS!$N$6,tabela_registros[TIPO],DADOS!$AJ$4,tabela_registros[CATEGORIA],reservavariáveisconsolidadonov[[#This Row],[ATUAL]])</f>
        <v>0</v>
      </c>
      <c r="P188" s="119" t="n">
        <f aca="false">SUMIFS(tabela_registros[VALOR],tabela_registros[MÊS],$AE$1,tabela_registros[DIA],reservavariáveisconsolidadonov[[#Headers],[12]],tabela_registros[REGISTRO],DADOS!$N$6,tabela_registros[TIPO],DADOS!$AJ$4,tabela_registros[CATEGORIA],reservavariáveisconsolidadonov[[#This Row],[ATUAL]])</f>
        <v>0</v>
      </c>
      <c r="Q188" s="119" t="n">
        <f aca="false">SUMIFS(tabela_registros[VALOR],tabela_registros[MÊS],$AE$1,tabela_registros[DIA],reservavariáveisconsolidadonov[[#Headers],[13]],tabela_registros[REGISTRO],DADOS!$N$6,tabela_registros[TIPO],DADOS!$AJ$4,tabela_registros[CATEGORIA],reservavariáveisconsolidadonov[[#This Row],[ATUAL]])</f>
        <v>0</v>
      </c>
      <c r="R188" s="119" t="n">
        <f aca="false">SUMIFS(tabela_registros[VALOR],tabela_registros[MÊS],$AE$1,tabela_registros[DIA],reservavariáveisconsolidadonov[[#Headers],[14]],tabela_registros[REGISTRO],DADOS!$N$6,tabela_registros[TIPO],DADOS!$AJ$4,tabela_registros[CATEGORIA],reservavariáveisconsolidadonov[[#This Row],[ATUAL]])</f>
        <v>0</v>
      </c>
      <c r="S188" s="119" t="n">
        <f aca="false">SUMIFS(tabela_registros[VALOR],tabela_registros[MÊS],$AE$1,tabela_registros[DIA],reservavariáveisconsolidadonov[[#Headers],[15]],tabela_registros[REGISTRO],DADOS!$N$6,tabela_registros[TIPO],DADOS!$AJ$4,tabela_registros[CATEGORIA],reservavariáveisconsolidadonov[[#This Row],[ATUAL]])</f>
        <v>0</v>
      </c>
      <c r="T188" s="119" t="n">
        <f aca="false">SUMIFS(tabela_registros[VALOR],tabela_registros[MÊS],$AE$1,tabela_registros[DIA],reservavariáveisconsolidadonov[[#Headers],[16]],tabela_registros[REGISTRO],DADOS!$N$6,tabela_registros[TIPO],DADOS!$AJ$4,tabela_registros[CATEGORIA],reservavariáveisconsolidadonov[[#This Row],[ATUAL]])</f>
        <v>0</v>
      </c>
      <c r="U188" s="119" t="n">
        <f aca="false">SUMIFS(tabela_registros[VALOR],tabela_registros[MÊS],$AE$1,tabela_registros[DIA],reservavariáveisconsolidadonov[[#Headers],[17]],tabela_registros[REGISTRO],DADOS!$N$6,tabela_registros[TIPO],DADOS!$AJ$4,tabela_registros[CATEGORIA],reservavariáveisconsolidadonov[[#This Row],[ATUAL]])</f>
        <v>0</v>
      </c>
      <c r="V188" s="119" t="n">
        <f aca="false">SUMIFS(tabela_registros[VALOR],tabela_registros[MÊS],$AE$1,tabela_registros[DIA],reservavariáveisconsolidadonov[[#Headers],[18]],tabela_registros[REGISTRO],DADOS!$N$6,tabela_registros[TIPO],DADOS!$AJ$4,tabela_registros[CATEGORIA],reservavariáveisconsolidadonov[[#This Row],[ATUAL]])</f>
        <v>0</v>
      </c>
      <c r="W188" s="119" t="n">
        <f aca="false">SUMIFS(tabela_registros[VALOR],tabela_registros[MÊS],$AE$1,tabela_registros[DIA],reservavariáveisconsolidadonov[[#Headers],[19]],tabela_registros[REGISTRO],DADOS!$N$6,tabela_registros[TIPO],DADOS!$AJ$4,tabela_registros[CATEGORIA],reservavariáveisconsolidadonov[[#This Row],[ATUAL]])</f>
        <v>0</v>
      </c>
      <c r="X188" s="119" t="n">
        <f aca="false">SUMIFS(tabela_registros[VALOR],tabela_registros[MÊS],$AE$1,tabela_registros[DIA],reservavariáveisconsolidadonov[[#Headers],[20]],tabela_registros[REGISTRO],DADOS!$N$6,tabela_registros[TIPO],DADOS!$AJ$4,tabela_registros[CATEGORIA],reservavariáveisconsolidadonov[[#This Row],[ATUAL]])</f>
        <v>0</v>
      </c>
      <c r="Y188" s="119" t="n">
        <f aca="false">SUMIFS(tabela_registros[VALOR],tabela_registros[MÊS],$AE$1,tabela_registros[DIA],reservavariáveisconsolidadonov[[#Headers],[21]],tabela_registros[REGISTRO],DADOS!$N$6,tabela_registros[TIPO],DADOS!$AJ$4,tabela_registros[CATEGORIA],reservavariáveisconsolidadonov[[#This Row],[ATUAL]])</f>
        <v>0</v>
      </c>
      <c r="Z188" s="119" t="n">
        <f aca="false">SUMIFS(tabela_registros[VALOR],tabela_registros[MÊS],$AE$1,tabela_registros[DIA],reservavariáveisconsolidadonov[[#Headers],[22]],tabela_registros[REGISTRO],DADOS!$N$6,tabela_registros[TIPO],DADOS!$AJ$4,tabela_registros[CATEGORIA],reservavariáveisconsolidadonov[[#This Row],[ATUAL]])</f>
        <v>0</v>
      </c>
      <c r="AA188" s="119" t="n">
        <f aca="false">SUMIFS(tabela_registros[VALOR],tabela_registros[MÊS],$AE$1,tabela_registros[DIA],reservavariáveisconsolidadonov[[#Headers],[23]],tabela_registros[REGISTRO],DADOS!$N$6,tabela_registros[TIPO],DADOS!$AJ$4,tabela_registros[CATEGORIA],reservavariáveisconsolidadonov[[#This Row],[ATUAL]])</f>
        <v>0</v>
      </c>
      <c r="AB188" s="119" t="n">
        <f aca="false">SUMIFS(tabela_registros[VALOR],tabela_registros[MÊS],$AE$1,tabela_registros[DIA],reservavariáveisconsolidadonov[[#Headers],[24]],tabela_registros[REGISTRO],DADOS!$N$6,tabela_registros[TIPO],DADOS!$AJ$4,tabela_registros[CATEGORIA],reservavariáveisconsolidadonov[[#This Row],[ATUAL]])</f>
        <v>0</v>
      </c>
      <c r="AC188" s="119" t="n">
        <f aca="false">SUMIFS(tabela_registros[VALOR],tabela_registros[MÊS],$AE$1,tabela_registros[DIA],reservavariáveisconsolidadonov[[#Headers],[25]],tabela_registros[REGISTRO],DADOS!$N$6,tabela_registros[TIPO],DADOS!$AJ$4,tabela_registros[CATEGORIA],reservavariáveisconsolidadonov[[#This Row],[ATUAL]])</f>
        <v>0</v>
      </c>
      <c r="AD188" s="119" t="n">
        <f aca="false">SUMIFS(tabela_registros[VALOR],tabela_registros[MÊS],$AE$1,tabela_registros[DIA],reservavariáveisconsolidadonov[[#Headers],[26]],tabela_registros[REGISTRO],DADOS!$N$6,tabela_registros[TIPO],DADOS!$AJ$4,tabela_registros[CATEGORIA],reservavariáveisconsolidadonov[[#This Row],[ATUAL]])</f>
        <v>0</v>
      </c>
      <c r="AE188" s="119" t="n">
        <f aca="false">SUMIFS(tabela_registros[VALOR],tabela_registros[MÊS],$AE$1,tabela_registros[DIA],reservavariáveisconsolidadonov[[#Headers],[27]],tabela_registros[REGISTRO],DADOS!$N$6,tabela_registros[TIPO],DADOS!$AJ$4,tabela_registros[CATEGORIA],reservavariáveisconsolidadonov[[#This Row],[ATUAL]])</f>
        <v>0</v>
      </c>
      <c r="AF188" s="119" t="n">
        <f aca="false">SUMIFS(tabela_registros[VALOR],tabela_registros[MÊS],$AE$1,tabela_registros[DIA],reservavariáveisconsolidadonov[[#Headers],[28]],tabela_registros[REGISTRO],DADOS!$N$6,tabela_registros[TIPO],DADOS!$AJ$4,tabela_registros[CATEGORIA],reservavariáveisconsolidadonov[[#This Row],[ATUAL]])</f>
        <v>0</v>
      </c>
      <c r="AG188" s="119" t="n">
        <f aca="false">SUMIFS(tabela_registros[VALOR],tabela_registros[MÊS],$AE$1,tabela_registros[DIA],reservavariáveisconsolidadonov[[#Headers],[29]],tabela_registros[REGISTRO],DADOS!$N$6,tabela_registros[TIPO],DADOS!$AJ$4,tabela_registros[CATEGORIA],reservavariáveisconsolidadonov[[#This Row],[ATUAL]])</f>
        <v>0</v>
      </c>
      <c r="AH188" s="119" t="n">
        <f aca="false">SUMIFS(tabela_registros[VALOR],tabela_registros[MÊS],$AE$1,tabela_registros[DIA],reservavariáveisconsolidadonov[[#Headers],[30]],tabela_registros[REGISTRO],DADOS!$N$6,tabela_registros[TIPO],DADOS!$AJ$4,tabela_registros[CATEGORIA],reservavariáveisconsolidadonov[[#This Row],[ATUAL]])</f>
        <v>0</v>
      </c>
      <c r="AI188" s="217" t="n">
        <f aca="false">SUMIFS(tabela_registros[VALOR],tabela_registros[MÊS],$AE$1,tabela_registros[DIA],reservavariáveisconsolidadonov[[#Headers],[31]],tabela_registros[REGISTRO],DADOS!$N$6,tabela_registros[TIPO],DADOS!$AJ$4,tabela_registros[CATEGORIA],reservavariáveisconsolidadonov[[#This Row],[ATUAL]])</f>
        <v>0</v>
      </c>
      <c r="AJ188" s="149" t="n">
        <f aca="false">SUM(reservavariáveisconsolidadonov[[#This Row],[1]:[31]])</f>
        <v>0</v>
      </c>
      <c r="AK188" s="165"/>
    </row>
    <row r="189" customFormat="false" ht="19.5" hidden="false" customHeight="true" outlineLevel="0" collapsed="false">
      <c r="B189" s="143"/>
      <c r="C189" s="144" t="str">
        <f aca="false">DADOS!$AN$5</f>
        <v>📝 CONTRATO DE FUTUROS</v>
      </c>
      <c r="D189" s="145" t="str">
        <f aca="false">IF(reservavariáveisconsolidadonov[[#This Row],[TOTAL (R$)]]=0,"",IF(OR(reservavariáveisconsolidadonov[[#This Row],[TOTAL (R$)]]=LARGE($AJ$187:$AJ$196,1),reservavariáveisconsolidadonov[[#This Row],[TOTAL (R$)]]=LARGE($AJ$187:$AJ$196,2)),DADOS!$I$11,""))</f>
        <v/>
      </c>
      <c r="E189" s="148" t="n">
        <f aca="false">SUMIFS(tabela_registros[VALOR],tabela_registros[MÊS],$AE$1,tabela_registros[DIA],reservavariáveisconsolidadonov[[#Headers],[1]],tabela_registros[REGISTRO],DADOS!$N$6,tabela_registros[TIPO],DADOS!$AJ$4,tabela_registros[CATEGORIA],reservavariáveisconsolidadonov[[#This Row],[ATUAL]])</f>
        <v>0</v>
      </c>
      <c r="F189" s="119" t="n">
        <f aca="false">SUMIFS(tabela_registros[VALOR],tabela_registros[MÊS],$AE$1,tabela_registros[DIA],reservavariáveisconsolidadonov[[#Headers],[2]],tabela_registros[REGISTRO],DADOS!$N$6,tabela_registros[TIPO],DADOS!$AJ$4,tabela_registros[CATEGORIA],reservavariáveisconsolidadonov[[#This Row],[ATUAL]])</f>
        <v>0</v>
      </c>
      <c r="G189" s="119" t="n">
        <f aca="false">SUMIFS(tabela_registros[VALOR],tabela_registros[MÊS],$AE$1,tabela_registros[DIA],reservavariáveisconsolidadonov[[#Headers],[3]],tabela_registros[REGISTRO],DADOS!$N$6,tabela_registros[TIPO],DADOS!$AJ$4,tabela_registros[CATEGORIA],reservavariáveisconsolidadonov[[#This Row],[ATUAL]])</f>
        <v>0</v>
      </c>
      <c r="H189" s="119" t="n">
        <f aca="false">SUMIFS(tabela_registros[VALOR],tabela_registros[MÊS],$AE$1,tabela_registros[DIA],reservavariáveisconsolidadonov[[#Headers],[4]],tabela_registros[REGISTRO],DADOS!$N$6,tabela_registros[TIPO],DADOS!$AJ$4,tabela_registros[CATEGORIA],reservavariáveisconsolidadonov[[#This Row],[ATUAL]])</f>
        <v>0</v>
      </c>
      <c r="I189" s="119" t="n">
        <f aca="false">SUMIFS(tabela_registros[VALOR],tabela_registros[MÊS],$AE$1,tabela_registros[DIA],reservavariáveisconsolidadonov[[#Headers],[5]],tabela_registros[REGISTRO],DADOS!$N$6,tabela_registros[TIPO],DADOS!$AJ$4,tabela_registros[CATEGORIA],reservavariáveisconsolidadonov[[#This Row],[ATUAL]])</f>
        <v>0</v>
      </c>
      <c r="J189" s="119" t="n">
        <f aca="false">SUMIFS(tabela_registros[VALOR],tabela_registros[MÊS],$AE$1,tabela_registros[DIA],reservavariáveisconsolidadonov[[#Headers],[6]],tabela_registros[REGISTRO],DADOS!$N$6,tabela_registros[TIPO],DADOS!$AJ$4,tabela_registros[CATEGORIA],reservavariáveisconsolidadonov[[#This Row],[ATUAL]])</f>
        <v>0</v>
      </c>
      <c r="K189" s="119" t="n">
        <f aca="false">SUMIFS(tabela_registros[VALOR],tabela_registros[MÊS],$AE$1,tabela_registros[DIA],reservavariáveisconsolidadonov[[#Headers],[7]],tabela_registros[REGISTRO],DADOS!$N$6,tabela_registros[TIPO],DADOS!$AJ$4,tabela_registros[CATEGORIA],reservavariáveisconsolidadonov[[#This Row],[ATUAL]])</f>
        <v>0</v>
      </c>
      <c r="L189" s="119" t="n">
        <f aca="false">SUMIFS(tabela_registros[VALOR],tabela_registros[MÊS],$AE$1,tabela_registros[DIA],reservavariáveisconsolidadonov[[#Headers],[8]],tabela_registros[REGISTRO],DADOS!$N$6,tabela_registros[TIPO],DADOS!$AJ$4,tabela_registros[CATEGORIA],reservavariáveisconsolidadonov[[#This Row],[ATUAL]])</f>
        <v>0</v>
      </c>
      <c r="M189" s="119" t="n">
        <f aca="false">SUMIFS(tabela_registros[VALOR],tabela_registros[MÊS],$AE$1,tabela_registros[DIA],reservavariáveisconsolidadonov[[#Headers],[9]],tabela_registros[REGISTRO],DADOS!$N$6,tabela_registros[TIPO],DADOS!$AJ$4,tabela_registros[CATEGORIA],reservavariáveisconsolidadonov[[#This Row],[ATUAL]])</f>
        <v>0</v>
      </c>
      <c r="N189" s="119" t="n">
        <f aca="false">SUMIFS(tabela_registros[VALOR],tabela_registros[MÊS],$AE$1,tabela_registros[DIA],reservavariáveisconsolidadonov[[#Headers],[10]],tabela_registros[REGISTRO],DADOS!$N$6,tabela_registros[TIPO],DADOS!$AJ$4,tabela_registros[CATEGORIA],reservavariáveisconsolidadonov[[#This Row],[ATUAL]])</f>
        <v>0</v>
      </c>
      <c r="O189" s="119" t="n">
        <f aca="false">SUMIFS(tabela_registros[VALOR],tabela_registros[MÊS],$AE$1,tabela_registros[DIA],reservavariáveisconsolidadonov[[#Headers],[11]],tabela_registros[REGISTRO],DADOS!$N$6,tabela_registros[TIPO],DADOS!$AJ$4,tabela_registros[CATEGORIA],reservavariáveisconsolidadonov[[#This Row],[ATUAL]])</f>
        <v>0</v>
      </c>
      <c r="P189" s="119" t="n">
        <f aca="false">SUMIFS(tabela_registros[VALOR],tabela_registros[MÊS],$AE$1,tabela_registros[DIA],reservavariáveisconsolidadonov[[#Headers],[12]],tabela_registros[REGISTRO],DADOS!$N$6,tabela_registros[TIPO],DADOS!$AJ$4,tabela_registros[CATEGORIA],reservavariáveisconsolidadonov[[#This Row],[ATUAL]])</f>
        <v>0</v>
      </c>
      <c r="Q189" s="119" t="n">
        <f aca="false">SUMIFS(tabela_registros[VALOR],tabela_registros[MÊS],$AE$1,tabela_registros[DIA],reservavariáveisconsolidadonov[[#Headers],[13]],tabela_registros[REGISTRO],DADOS!$N$6,tabela_registros[TIPO],DADOS!$AJ$4,tabela_registros[CATEGORIA],reservavariáveisconsolidadonov[[#This Row],[ATUAL]])</f>
        <v>0</v>
      </c>
      <c r="R189" s="119" t="n">
        <f aca="false">SUMIFS(tabela_registros[VALOR],tabela_registros[MÊS],$AE$1,tabela_registros[DIA],reservavariáveisconsolidadonov[[#Headers],[14]],tabela_registros[REGISTRO],DADOS!$N$6,tabela_registros[TIPO],DADOS!$AJ$4,tabela_registros[CATEGORIA],reservavariáveisconsolidadonov[[#This Row],[ATUAL]])</f>
        <v>0</v>
      </c>
      <c r="S189" s="119" t="n">
        <f aca="false">SUMIFS(tabela_registros[VALOR],tabela_registros[MÊS],$AE$1,tabela_registros[DIA],reservavariáveisconsolidadonov[[#Headers],[15]],tabela_registros[REGISTRO],DADOS!$N$6,tabela_registros[TIPO],DADOS!$AJ$4,tabela_registros[CATEGORIA],reservavariáveisconsolidadonov[[#This Row],[ATUAL]])</f>
        <v>0</v>
      </c>
      <c r="T189" s="119" t="n">
        <f aca="false">SUMIFS(tabela_registros[VALOR],tabela_registros[MÊS],$AE$1,tabela_registros[DIA],reservavariáveisconsolidadonov[[#Headers],[16]],tabela_registros[REGISTRO],DADOS!$N$6,tabela_registros[TIPO],DADOS!$AJ$4,tabela_registros[CATEGORIA],reservavariáveisconsolidadonov[[#This Row],[ATUAL]])</f>
        <v>0</v>
      </c>
      <c r="U189" s="119" t="n">
        <f aca="false">SUMIFS(tabela_registros[VALOR],tabela_registros[MÊS],$AE$1,tabela_registros[DIA],reservavariáveisconsolidadonov[[#Headers],[17]],tabela_registros[REGISTRO],DADOS!$N$6,tabela_registros[TIPO],DADOS!$AJ$4,tabela_registros[CATEGORIA],reservavariáveisconsolidadonov[[#This Row],[ATUAL]])</f>
        <v>0</v>
      </c>
      <c r="V189" s="119" t="n">
        <f aca="false">SUMIFS(tabela_registros[VALOR],tabela_registros[MÊS],$AE$1,tabela_registros[DIA],reservavariáveisconsolidadonov[[#Headers],[18]],tabela_registros[REGISTRO],DADOS!$N$6,tabela_registros[TIPO],DADOS!$AJ$4,tabela_registros[CATEGORIA],reservavariáveisconsolidadonov[[#This Row],[ATUAL]])</f>
        <v>0</v>
      </c>
      <c r="W189" s="119" t="n">
        <f aca="false">SUMIFS(tabela_registros[VALOR],tabela_registros[MÊS],$AE$1,tabela_registros[DIA],reservavariáveisconsolidadonov[[#Headers],[19]],tabela_registros[REGISTRO],DADOS!$N$6,tabela_registros[TIPO],DADOS!$AJ$4,tabela_registros[CATEGORIA],reservavariáveisconsolidadonov[[#This Row],[ATUAL]])</f>
        <v>0</v>
      </c>
      <c r="X189" s="119" t="n">
        <f aca="false">SUMIFS(tabela_registros[VALOR],tabela_registros[MÊS],$AE$1,tabela_registros[DIA],reservavariáveisconsolidadonov[[#Headers],[20]],tabela_registros[REGISTRO],DADOS!$N$6,tabela_registros[TIPO],DADOS!$AJ$4,tabela_registros[CATEGORIA],reservavariáveisconsolidadonov[[#This Row],[ATUAL]])</f>
        <v>0</v>
      </c>
      <c r="Y189" s="119" t="n">
        <f aca="false">SUMIFS(tabela_registros[VALOR],tabela_registros[MÊS],$AE$1,tabela_registros[DIA],reservavariáveisconsolidadonov[[#Headers],[21]],tabela_registros[REGISTRO],DADOS!$N$6,tabela_registros[TIPO],DADOS!$AJ$4,tabela_registros[CATEGORIA],reservavariáveisconsolidadonov[[#This Row],[ATUAL]])</f>
        <v>0</v>
      </c>
      <c r="Z189" s="119" t="n">
        <f aca="false">SUMIFS(tabela_registros[VALOR],tabela_registros[MÊS],$AE$1,tabela_registros[DIA],reservavariáveisconsolidadonov[[#Headers],[22]],tabela_registros[REGISTRO],DADOS!$N$6,tabela_registros[TIPO],DADOS!$AJ$4,tabela_registros[CATEGORIA],reservavariáveisconsolidadonov[[#This Row],[ATUAL]])</f>
        <v>0</v>
      </c>
      <c r="AA189" s="119" t="n">
        <f aca="false">SUMIFS(tabela_registros[VALOR],tabela_registros[MÊS],$AE$1,tabela_registros[DIA],reservavariáveisconsolidadonov[[#Headers],[23]],tabela_registros[REGISTRO],DADOS!$N$6,tabela_registros[TIPO],DADOS!$AJ$4,tabela_registros[CATEGORIA],reservavariáveisconsolidadonov[[#This Row],[ATUAL]])</f>
        <v>0</v>
      </c>
      <c r="AB189" s="119" t="n">
        <f aca="false">SUMIFS(tabela_registros[VALOR],tabela_registros[MÊS],$AE$1,tabela_registros[DIA],reservavariáveisconsolidadonov[[#Headers],[24]],tabela_registros[REGISTRO],DADOS!$N$6,tabela_registros[TIPO],DADOS!$AJ$4,tabela_registros[CATEGORIA],reservavariáveisconsolidadonov[[#This Row],[ATUAL]])</f>
        <v>0</v>
      </c>
      <c r="AC189" s="119" t="n">
        <f aca="false">SUMIFS(tabela_registros[VALOR],tabela_registros[MÊS],$AE$1,tabela_registros[DIA],reservavariáveisconsolidadonov[[#Headers],[25]],tabela_registros[REGISTRO],DADOS!$N$6,tabela_registros[TIPO],DADOS!$AJ$4,tabela_registros[CATEGORIA],reservavariáveisconsolidadonov[[#This Row],[ATUAL]])</f>
        <v>0</v>
      </c>
      <c r="AD189" s="119" t="n">
        <f aca="false">SUMIFS(tabela_registros[VALOR],tabela_registros[MÊS],$AE$1,tabela_registros[DIA],reservavariáveisconsolidadonov[[#Headers],[26]],tabela_registros[REGISTRO],DADOS!$N$6,tabela_registros[TIPO],DADOS!$AJ$4,tabela_registros[CATEGORIA],reservavariáveisconsolidadonov[[#This Row],[ATUAL]])</f>
        <v>0</v>
      </c>
      <c r="AE189" s="119" t="n">
        <f aca="false">SUMIFS(tabela_registros[VALOR],tabela_registros[MÊS],$AE$1,tabela_registros[DIA],reservavariáveisconsolidadonov[[#Headers],[27]],tabela_registros[REGISTRO],DADOS!$N$6,tabela_registros[TIPO],DADOS!$AJ$4,tabela_registros[CATEGORIA],reservavariáveisconsolidadonov[[#This Row],[ATUAL]])</f>
        <v>0</v>
      </c>
      <c r="AF189" s="119" t="n">
        <f aca="false">SUMIFS(tabela_registros[VALOR],tabela_registros[MÊS],$AE$1,tabela_registros[DIA],reservavariáveisconsolidadonov[[#Headers],[28]],tabela_registros[REGISTRO],DADOS!$N$6,tabela_registros[TIPO],DADOS!$AJ$4,tabela_registros[CATEGORIA],reservavariáveisconsolidadonov[[#This Row],[ATUAL]])</f>
        <v>0</v>
      </c>
      <c r="AG189" s="119" t="n">
        <f aca="false">SUMIFS(tabela_registros[VALOR],tabela_registros[MÊS],$AE$1,tabela_registros[DIA],reservavariáveisconsolidadonov[[#Headers],[29]],tabela_registros[REGISTRO],DADOS!$N$6,tabela_registros[TIPO],DADOS!$AJ$4,tabela_registros[CATEGORIA],reservavariáveisconsolidadonov[[#This Row],[ATUAL]])</f>
        <v>0</v>
      </c>
      <c r="AH189" s="119" t="n">
        <f aca="false">SUMIFS(tabela_registros[VALOR],tabela_registros[MÊS],$AE$1,tabela_registros[DIA],reservavariáveisconsolidadonov[[#Headers],[30]],tabela_registros[REGISTRO],DADOS!$N$6,tabela_registros[TIPO],DADOS!$AJ$4,tabela_registros[CATEGORIA],reservavariáveisconsolidadonov[[#This Row],[ATUAL]])</f>
        <v>0</v>
      </c>
      <c r="AI189" s="217" t="n">
        <f aca="false">SUMIFS(tabela_registros[VALOR],tabela_registros[MÊS],$AE$1,tabela_registros[DIA],reservavariáveisconsolidadonov[[#Headers],[31]],tabela_registros[REGISTRO],DADOS!$N$6,tabela_registros[TIPO],DADOS!$AJ$4,tabela_registros[CATEGORIA],reservavariáveisconsolidadonov[[#This Row],[ATUAL]])</f>
        <v>0</v>
      </c>
      <c r="AJ189" s="149" t="n">
        <f aca="false">SUM(reservavariáveisconsolidadonov[[#This Row],[1]:[31]])</f>
        <v>0</v>
      </c>
      <c r="AK189" s="165"/>
    </row>
    <row r="190" customFormat="false" ht="19.5" hidden="false" customHeight="true" outlineLevel="0" collapsed="false">
      <c r="B190" s="143"/>
      <c r="C190" s="144" t="str">
        <f aca="false">DADOS!$AN$6</f>
        <v>📝 CONTRATO DE OPÇÕES</v>
      </c>
      <c r="D190" s="145" t="str">
        <f aca="false">IF(reservavariáveisconsolidadonov[[#This Row],[TOTAL (R$)]]=0,"",IF(OR(reservavariáveisconsolidadonov[[#This Row],[TOTAL (R$)]]=LARGE($AJ$187:$AJ$196,1),reservavariáveisconsolidadonov[[#This Row],[TOTAL (R$)]]=LARGE($AJ$187:$AJ$196,2)),DADOS!$I$11,""))</f>
        <v/>
      </c>
      <c r="E190" s="148" t="n">
        <f aca="false">SUMIFS(tabela_registros[VALOR],tabela_registros[MÊS],$AE$1,tabela_registros[DIA],reservavariáveisconsolidadonov[[#Headers],[1]],tabela_registros[REGISTRO],DADOS!$N$6,tabela_registros[TIPO],DADOS!$AJ$4,tabela_registros[CATEGORIA],reservavariáveisconsolidadonov[[#This Row],[ATUAL]])</f>
        <v>0</v>
      </c>
      <c r="F190" s="119" t="n">
        <f aca="false">SUMIFS(tabela_registros[VALOR],tabela_registros[MÊS],$AE$1,tabela_registros[DIA],reservavariáveisconsolidadonov[[#Headers],[2]],tabela_registros[REGISTRO],DADOS!$N$6,tabela_registros[TIPO],DADOS!$AJ$4,tabela_registros[CATEGORIA],reservavariáveisconsolidadonov[[#This Row],[ATUAL]])</f>
        <v>0</v>
      </c>
      <c r="G190" s="119" t="n">
        <f aca="false">SUMIFS(tabela_registros[VALOR],tabela_registros[MÊS],$AE$1,tabela_registros[DIA],reservavariáveisconsolidadonov[[#Headers],[3]],tabela_registros[REGISTRO],DADOS!$N$6,tabela_registros[TIPO],DADOS!$AJ$4,tabela_registros[CATEGORIA],reservavariáveisconsolidadonov[[#This Row],[ATUAL]])</f>
        <v>0</v>
      </c>
      <c r="H190" s="119" t="n">
        <f aca="false">SUMIFS(tabela_registros[VALOR],tabela_registros[MÊS],$AE$1,tabela_registros[DIA],reservavariáveisconsolidadonov[[#Headers],[4]],tabela_registros[REGISTRO],DADOS!$N$6,tabela_registros[TIPO],DADOS!$AJ$4,tabela_registros[CATEGORIA],reservavariáveisconsolidadonov[[#This Row],[ATUAL]])</f>
        <v>0</v>
      </c>
      <c r="I190" s="119" t="n">
        <f aca="false">SUMIFS(tabela_registros[VALOR],tabela_registros[MÊS],$AE$1,tabela_registros[DIA],reservavariáveisconsolidadonov[[#Headers],[5]],tabela_registros[REGISTRO],DADOS!$N$6,tabela_registros[TIPO],DADOS!$AJ$4,tabela_registros[CATEGORIA],reservavariáveisconsolidadonov[[#This Row],[ATUAL]])</f>
        <v>0</v>
      </c>
      <c r="J190" s="119" t="n">
        <f aca="false">SUMIFS(tabela_registros[VALOR],tabela_registros[MÊS],$AE$1,tabela_registros[DIA],reservavariáveisconsolidadonov[[#Headers],[6]],tabela_registros[REGISTRO],DADOS!$N$6,tabela_registros[TIPO],DADOS!$AJ$4,tabela_registros[CATEGORIA],reservavariáveisconsolidadonov[[#This Row],[ATUAL]])</f>
        <v>0</v>
      </c>
      <c r="K190" s="119" t="n">
        <f aca="false">SUMIFS(tabela_registros[VALOR],tabela_registros[MÊS],$AE$1,tabela_registros[DIA],reservavariáveisconsolidadonov[[#Headers],[7]],tabela_registros[REGISTRO],DADOS!$N$6,tabela_registros[TIPO],DADOS!$AJ$4,tabela_registros[CATEGORIA],reservavariáveisconsolidadonov[[#This Row],[ATUAL]])</f>
        <v>0</v>
      </c>
      <c r="L190" s="119" t="n">
        <f aca="false">SUMIFS(tabela_registros[VALOR],tabela_registros[MÊS],$AE$1,tabela_registros[DIA],reservavariáveisconsolidadonov[[#Headers],[8]],tabela_registros[REGISTRO],DADOS!$N$6,tabela_registros[TIPO],DADOS!$AJ$4,tabela_registros[CATEGORIA],reservavariáveisconsolidadonov[[#This Row],[ATUAL]])</f>
        <v>0</v>
      </c>
      <c r="M190" s="119" t="n">
        <f aca="false">SUMIFS(tabela_registros[VALOR],tabela_registros[MÊS],$AE$1,tabela_registros[DIA],reservavariáveisconsolidadonov[[#Headers],[9]],tabela_registros[REGISTRO],DADOS!$N$6,tabela_registros[TIPO],DADOS!$AJ$4,tabela_registros[CATEGORIA],reservavariáveisconsolidadonov[[#This Row],[ATUAL]])</f>
        <v>0</v>
      </c>
      <c r="N190" s="119" t="n">
        <f aca="false">SUMIFS(tabela_registros[VALOR],tabela_registros[MÊS],$AE$1,tabela_registros[DIA],reservavariáveisconsolidadonov[[#Headers],[10]],tabela_registros[REGISTRO],DADOS!$N$6,tabela_registros[TIPO],DADOS!$AJ$4,tabela_registros[CATEGORIA],reservavariáveisconsolidadonov[[#This Row],[ATUAL]])</f>
        <v>0</v>
      </c>
      <c r="O190" s="119" t="n">
        <f aca="false">SUMIFS(tabela_registros[VALOR],tabela_registros[MÊS],$AE$1,tabela_registros[DIA],reservavariáveisconsolidadonov[[#Headers],[11]],tabela_registros[REGISTRO],DADOS!$N$6,tabela_registros[TIPO],DADOS!$AJ$4,tabela_registros[CATEGORIA],reservavariáveisconsolidadonov[[#This Row],[ATUAL]])</f>
        <v>0</v>
      </c>
      <c r="P190" s="119" t="n">
        <f aca="false">SUMIFS(tabela_registros[VALOR],tabela_registros[MÊS],$AE$1,tabela_registros[DIA],reservavariáveisconsolidadonov[[#Headers],[12]],tabela_registros[REGISTRO],DADOS!$N$6,tabela_registros[TIPO],DADOS!$AJ$4,tabela_registros[CATEGORIA],reservavariáveisconsolidadonov[[#This Row],[ATUAL]])</f>
        <v>0</v>
      </c>
      <c r="Q190" s="119" t="n">
        <f aca="false">SUMIFS(tabela_registros[VALOR],tabela_registros[MÊS],$AE$1,tabela_registros[DIA],reservavariáveisconsolidadonov[[#Headers],[13]],tabela_registros[REGISTRO],DADOS!$N$6,tabela_registros[TIPO],DADOS!$AJ$4,tabela_registros[CATEGORIA],reservavariáveisconsolidadonov[[#This Row],[ATUAL]])</f>
        <v>0</v>
      </c>
      <c r="R190" s="119" t="n">
        <f aca="false">SUMIFS(tabela_registros[VALOR],tabela_registros[MÊS],$AE$1,tabela_registros[DIA],reservavariáveisconsolidadonov[[#Headers],[14]],tabela_registros[REGISTRO],DADOS!$N$6,tabela_registros[TIPO],DADOS!$AJ$4,tabela_registros[CATEGORIA],reservavariáveisconsolidadonov[[#This Row],[ATUAL]])</f>
        <v>0</v>
      </c>
      <c r="S190" s="119" t="n">
        <f aca="false">SUMIFS(tabela_registros[VALOR],tabela_registros[MÊS],$AE$1,tabela_registros[DIA],reservavariáveisconsolidadonov[[#Headers],[15]],tabela_registros[REGISTRO],DADOS!$N$6,tabela_registros[TIPO],DADOS!$AJ$4,tabela_registros[CATEGORIA],reservavariáveisconsolidadonov[[#This Row],[ATUAL]])</f>
        <v>0</v>
      </c>
      <c r="T190" s="119" t="n">
        <f aca="false">SUMIFS(tabela_registros[VALOR],tabela_registros[MÊS],$AE$1,tabela_registros[DIA],reservavariáveisconsolidadonov[[#Headers],[16]],tabela_registros[REGISTRO],DADOS!$N$6,tabela_registros[TIPO],DADOS!$AJ$4,tabela_registros[CATEGORIA],reservavariáveisconsolidadonov[[#This Row],[ATUAL]])</f>
        <v>0</v>
      </c>
      <c r="U190" s="119" t="n">
        <f aca="false">SUMIFS(tabela_registros[VALOR],tabela_registros[MÊS],$AE$1,tabela_registros[DIA],reservavariáveisconsolidadonov[[#Headers],[17]],tabela_registros[REGISTRO],DADOS!$N$6,tabela_registros[TIPO],DADOS!$AJ$4,tabela_registros[CATEGORIA],reservavariáveisconsolidadonov[[#This Row],[ATUAL]])</f>
        <v>0</v>
      </c>
      <c r="V190" s="119" t="n">
        <f aca="false">SUMIFS(tabela_registros[VALOR],tabela_registros[MÊS],$AE$1,tabela_registros[DIA],reservavariáveisconsolidadonov[[#Headers],[18]],tabela_registros[REGISTRO],DADOS!$N$6,tabela_registros[TIPO],DADOS!$AJ$4,tabela_registros[CATEGORIA],reservavariáveisconsolidadonov[[#This Row],[ATUAL]])</f>
        <v>0</v>
      </c>
      <c r="W190" s="119" t="n">
        <f aca="false">SUMIFS(tabela_registros[VALOR],tabela_registros[MÊS],$AE$1,tabela_registros[DIA],reservavariáveisconsolidadonov[[#Headers],[19]],tabela_registros[REGISTRO],DADOS!$N$6,tabela_registros[TIPO],DADOS!$AJ$4,tabela_registros[CATEGORIA],reservavariáveisconsolidadonov[[#This Row],[ATUAL]])</f>
        <v>0</v>
      </c>
      <c r="X190" s="119" t="n">
        <f aca="false">SUMIFS(tabela_registros[VALOR],tabela_registros[MÊS],$AE$1,tabela_registros[DIA],reservavariáveisconsolidadonov[[#Headers],[20]],tabela_registros[REGISTRO],DADOS!$N$6,tabela_registros[TIPO],DADOS!$AJ$4,tabela_registros[CATEGORIA],reservavariáveisconsolidadonov[[#This Row],[ATUAL]])</f>
        <v>0</v>
      </c>
      <c r="Y190" s="119" t="n">
        <f aca="false">SUMIFS(tabela_registros[VALOR],tabela_registros[MÊS],$AE$1,tabela_registros[DIA],reservavariáveisconsolidadonov[[#Headers],[21]],tabela_registros[REGISTRO],DADOS!$N$6,tabela_registros[TIPO],DADOS!$AJ$4,tabela_registros[CATEGORIA],reservavariáveisconsolidadonov[[#This Row],[ATUAL]])</f>
        <v>0</v>
      </c>
      <c r="Z190" s="119" t="n">
        <f aca="false">SUMIFS(tabela_registros[VALOR],tabela_registros[MÊS],$AE$1,tabela_registros[DIA],reservavariáveisconsolidadonov[[#Headers],[22]],tabela_registros[REGISTRO],DADOS!$N$6,tabela_registros[TIPO],DADOS!$AJ$4,tabela_registros[CATEGORIA],reservavariáveisconsolidadonov[[#This Row],[ATUAL]])</f>
        <v>0</v>
      </c>
      <c r="AA190" s="119" t="n">
        <f aca="false">SUMIFS(tabela_registros[VALOR],tabela_registros[MÊS],$AE$1,tabela_registros[DIA],reservavariáveisconsolidadonov[[#Headers],[23]],tabela_registros[REGISTRO],DADOS!$N$6,tabela_registros[TIPO],DADOS!$AJ$4,tabela_registros[CATEGORIA],reservavariáveisconsolidadonov[[#This Row],[ATUAL]])</f>
        <v>0</v>
      </c>
      <c r="AB190" s="119" t="n">
        <f aca="false">SUMIFS(tabela_registros[VALOR],tabela_registros[MÊS],$AE$1,tabela_registros[DIA],reservavariáveisconsolidadonov[[#Headers],[24]],tabela_registros[REGISTRO],DADOS!$N$6,tabela_registros[TIPO],DADOS!$AJ$4,tabela_registros[CATEGORIA],reservavariáveisconsolidadonov[[#This Row],[ATUAL]])</f>
        <v>0</v>
      </c>
      <c r="AC190" s="119" t="n">
        <f aca="false">SUMIFS(tabela_registros[VALOR],tabela_registros[MÊS],$AE$1,tabela_registros[DIA],reservavariáveisconsolidadonov[[#Headers],[25]],tabela_registros[REGISTRO],DADOS!$N$6,tabela_registros[TIPO],DADOS!$AJ$4,tabela_registros[CATEGORIA],reservavariáveisconsolidadonov[[#This Row],[ATUAL]])</f>
        <v>0</v>
      </c>
      <c r="AD190" s="119" t="n">
        <f aca="false">SUMIFS(tabela_registros[VALOR],tabela_registros[MÊS],$AE$1,tabela_registros[DIA],reservavariáveisconsolidadonov[[#Headers],[26]],tabela_registros[REGISTRO],DADOS!$N$6,tabela_registros[TIPO],DADOS!$AJ$4,tabela_registros[CATEGORIA],reservavariáveisconsolidadonov[[#This Row],[ATUAL]])</f>
        <v>0</v>
      </c>
      <c r="AE190" s="119" t="n">
        <f aca="false">SUMIFS(tabela_registros[VALOR],tabela_registros[MÊS],$AE$1,tabela_registros[DIA],reservavariáveisconsolidadonov[[#Headers],[27]],tabela_registros[REGISTRO],DADOS!$N$6,tabela_registros[TIPO],DADOS!$AJ$4,tabela_registros[CATEGORIA],reservavariáveisconsolidadonov[[#This Row],[ATUAL]])</f>
        <v>0</v>
      </c>
      <c r="AF190" s="119" t="n">
        <f aca="false">SUMIFS(tabela_registros[VALOR],tabela_registros[MÊS],$AE$1,tabela_registros[DIA],reservavariáveisconsolidadonov[[#Headers],[28]],tabela_registros[REGISTRO],DADOS!$N$6,tabela_registros[TIPO],DADOS!$AJ$4,tabela_registros[CATEGORIA],reservavariáveisconsolidadonov[[#This Row],[ATUAL]])</f>
        <v>0</v>
      </c>
      <c r="AG190" s="119" t="n">
        <f aca="false">SUMIFS(tabela_registros[VALOR],tabela_registros[MÊS],$AE$1,tabela_registros[DIA],reservavariáveisconsolidadonov[[#Headers],[29]],tabela_registros[REGISTRO],DADOS!$N$6,tabela_registros[TIPO],DADOS!$AJ$4,tabela_registros[CATEGORIA],reservavariáveisconsolidadonov[[#This Row],[ATUAL]])</f>
        <v>0</v>
      </c>
      <c r="AH190" s="119" t="n">
        <f aca="false">SUMIFS(tabela_registros[VALOR],tabela_registros[MÊS],$AE$1,tabela_registros[DIA],reservavariáveisconsolidadonov[[#Headers],[30]],tabela_registros[REGISTRO],DADOS!$N$6,tabela_registros[TIPO],DADOS!$AJ$4,tabela_registros[CATEGORIA],reservavariáveisconsolidadonov[[#This Row],[ATUAL]])</f>
        <v>0</v>
      </c>
      <c r="AI190" s="217" t="n">
        <f aca="false">SUMIFS(tabela_registros[VALOR],tabela_registros[MÊS],$AE$1,tabela_registros[DIA],reservavariáveisconsolidadonov[[#Headers],[31]],tabela_registros[REGISTRO],DADOS!$N$6,tabela_registros[TIPO],DADOS!$AJ$4,tabela_registros[CATEGORIA],reservavariáveisconsolidadonov[[#This Row],[ATUAL]])</f>
        <v>0</v>
      </c>
      <c r="AJ190" s="149" t="n">
        <f aca="false">SUM(reservavariáveisconsolidadonov[[#This Row],[1]:[31]])</f>
        <v>0</v>
      </c>
      <c r="AK190" s="165"/>
    </row>
    <row r="191" customFormat="false" ht="19.5" hidden="false" customHeight="true" outlineLevel="0" collapsed="false">
      <c r="B191" s="143"/>
      <c r="C191" s="144" t="str">
        <f aca="false">DADOS!$AN$7</f>
        <v>📝 CRIPTOMOEDA</v>
      </c>
      <c r="D191" s="145" t="str">
        <f aca="false">IF(reservavariáveisconsolidadonov[[#This Row],[TOTAL (R$)]]=0,"",IF(OR(reservavariáveisconsolidadonov[[#This Row],[TOTAL (R$)]]=LARGE($AJ$187:$AJ$196,1),reservavariáveisconsolidadonov[[#This Row],[TOTAL (R$)]]=LARGE($AJ$187:$AJ$196,2)),DADOS!$I$11,""))</f>
        <v/>
      </c>
      <c r="E191" s="148" t="n">
        <f aca="false">SUMIFS(tabela_registros[VALOR],tabela_registros[MÊS],$AE$1,tabela_registros[DIA],reservavariáveisconsolidadonov[[#Headers],[1]],tabela_registros[REGISTRO],DADOS!$N$6,tabela_registros[TIPO],DADOS!$AJ$4,tabela_registros[CATEGORIA],reservavariáveisconsolidadonov[[#This Row],[ATUAL]])</f>
        <v>0</v>
      </c>
      <c r="F191" s="119" t="n">
        <f aca="false">SUMIFS(tabela_registros[VALOR],tabela_registros[MÊS],$AE$1,tabela_registros[DIA],reservavariáveisconsolidadonov[[#Headers],[2]],tabela_registros[REGISTRO],DADOS!$N$6,tabela_registros[TIPO],DADOS!$AJ$4,tabela_registros[CATEGORIA],reservavariáveisconsolidadonov[[#This Row],[ATUAL]])</f>
        <v>0</v>
      </c>
      <c r="G191" s="119" t="n">
        <f aca="false">SUMIFS(tabela_registros[VALOR],tabela_registros[MÊS],$AE$1,tabela_registros[DIA],reservavariáveisconsolidadonov[[#Headers],[3]],tabela_registros[REGISTRO],DADOS!$N$6,tabela_registros[TIPO],DADOS!$AJ$4,tabela_registros[CATEGORIA],reservavariáveisconsolidadonov[[#This Row],[ATUAL]])</f>
        <v>0</v>
      </c>
      <c r="H191" s="119" t="n">
        <f aca="false">SUMIFS(tabela_registros[VALOR],tabela_registros[MÊS],$AE$1,tabela_registros[DIA],reservavariáveisconsolidadonov[[#Headers],[4]],tabela_registros[REGISTRO],DADOS!$N$6,tabela_registros[TIPO],DADOS!$AJ$4,tabela_registros[CATEGORIA],reservavariáveisconsolidadonov[[#This Row],[ATUAL]])</f>
        <v>0</v>
      </c>
      <c r="I191" s="119" t="n">
        <f aca="false">SUMIFS(tabela_registros[VALOR],tabela_registros[MÊS],$AE$1,tabela_registros[DIA],reservavariáveisconsolidadonov[[#Headers],[5]],tabela_registros[REGISTRO],DADOS!$N$6,tabela_registros[TIPO],DADOS!$AJ$4,tabela_registros[CATEGORIA],reservavariáveisconsolidadonov[[#This Row],[ATUAL]])</f>
        <v>0</v>
      </c>
      <c r="J191" s="119" t="n">
        <f aca="false">SUMIFS(tabela_registros[VALOR],tabela_registros[MÊS],$AE$1,tabela_registros[DIA],reservavariáveisconsolidadonov[[#Headers],[6]],tabela_registros[REGISTRO],DADOS!$N$6,tabela_registros[TIPO],DADOS!$AJ$4,tabela_registros[CATEGORIA],reservavariáveisconsolidadonov[[#This Row],[ATUAL]])</f>
        <v>0</v>
      </c>
      <c r="K191" s="119" t="n">
        <f aca="false">SUMIFS(tabela_registros[VALOR],tabela_registros[MÊS],$AE$1,tabela_registros[DIA],reservavariáveisconsolidadonov[[#Headers],[7]],tabela_registros[REGISTRO],DADOS!$N$6,tabela_registros[TIPO],DADOS!$AJ$4,tabela_registros[CATEGORIA],reservavariáveisconsolidadonov[[#This Row],[ATUAL]])</f>
        <v>0</v>
      </c>
      <c r="L191" s="119" t="n">
        <f aca="false">SUMIFS(tabela_registros[VALOR],tabela_registros[MÊS],$AE$1,tabela_registros[DIA],reservavariáveisconsolidadonov[[#Headers],[8]],tabela_registros[REGISTRO],DADOS!$N$6,tabela_registros[TIPO],DADOS!$AJ$4,tabela_registros[CATEGORIA],reservavariáveisconsolidadonov[[#This Row],[ATUAL]])</f>
        <v>0</v>
      </c>
      <c r="M191" s="119" t="n">
        <f aca="false">SUMIFS(tabela_registros[VALOR],tabela_registros[MÊS],$AE$1,tabela_registros[DIA],reservavariáveisconsolidadonov[[#Headers],[9]],tabela_registros[REGISTRO],DADOS!$N$6,tabela_registros[TIPO],DADOS!$AJ$4,tabela_registros[CATEGORIA],reservavariáveisconsolidadonov[[#This Row],[ATUAL]])</f>
        <v>0</v>
      </c>
      <c r="N191" s="119" t="n">
        <f aca="false">SUMIFS(tabela_registros[VALOR],tabela_registros[MÊS],$AE$1,tabela_registros[DIA],reservavariáveisconsolidadonov[[#Headers],[10]],tabela_registros[REGISTRO],DADOS!$N$6,tabela_registros[TIPO],DADOS!$AJ$4,tabela_registros[CATEGORIA],reservavariáveisconsolidadonov[[#This Row],[ATUAL]])</f>
        <v>0</v>
      </c>
      <c r="O191" s="119" t="n">
        <f aca="false">SUMIFS(tabela_registros[VALOR],tabela_registros[MÊS],$AE$1,tabela_registros[DIA],reservavariáveisconsolidadonov[[#Headers],[11]],tabela_registros[REGISTRO],DADOS!$N$6,tabela_registros[TIPO],DADOS!$AJ$4,tabela_registros[CATEGORIA],reservavariáveisconsolidadonov[[#This Row],[ATUAL]])</f>
        <v>0</v>
      </c>
      <c r="P191" s="119" t="n">
        <f aca="false">SUMIFS(tabela_registros[VALOR],tabela_registros[MÊS],$AE$1,tabela_registros[DIA],reservavariáveisconsolidadonov[[#Headers],[12]],tabela_registros[REGISTRO],DADOS!$N$6,tabela_registros[TIPO],DADOS!$AJ$4,tabela_registros[CATEGORIA],reservavariáveisconsolidadonov[[#This Row],[ATUAL]])</f>
        <v>0</v>
      </c>
      <c r="Q191" s="119" t="n">
        <f aca="false">SUMIFS(tabela_registros[VALOR],tabela_registros[MÊS],$AE$1,tabela_registros[DIA],reservavariáveisconsolidadonov[[#Headers],[13]],tabela_registros[REGISTRO],DADOS!$N$6,tabela_registros[TIPO],DADOS!$AJ$4,tabela_registros[CATEGORIA],reservavariáveisconsolidadonov[[#This Row],[ATUAL]])</f>
        <v>0</v>
      </c>
      <c r="R191" s="119" t="n">
        <f aca="false">SUMIFS(tabela_registros[VALOR],tabela_registros[MÊS],$AE$1,tabela_registros[DIA],reservavariáveisconsolidadonov[[#Headers],[14]],tabela_registros[REGISTRO],DADOS!$N$6,tabela_registros[TIPO],DADOS!$AJ$4,tabela_registros[CATEGORIA],reservavariáveisconsolidadonov[[#This Row],[ATUAL]])</f>
        <v>0</v>
      </c>
      <c r="S191" s="119" t="n">
        <f aca="false">SUMIFS(tabela_registros[VALOR],tabela_registros[MÊS],$AE$1,tabela_registros[DIA],reservavariáveisconsolidadonov[[#Headers],[15]],tabela_registros[REGISTRO],DADOS!$N$6,tabela_registros[TIPO],DADOS!$AJ$4,tabela_registros[CATEGORIA],reservavariáveisconsolidadonov[[#This Row],[ATUAL]])</f>
        <v>0</v>
      </c>
      <c r="T191" s="119" t="n">
        <f aca="false">SUMIFS(tabela_registros[VALOR],tabela_registros[MÊS],$AE$1,tabela_registros[DIA],reservavariáveisconsolidadonov[[#Headers],[16]],tabela_registros[REGISTRO],DADOS!$N$6,tabela_registros[TIPO],DADOS!$AJ$4,tabela_registros[CATEGORIA],reservavariáveisconsolidadonov[[#This Row],[ATUAL]])</f>
        <v>0</v>
      </c>
      <c r="U191" s="119" t="n">
        <f aca="false">SUMIFS(tabela_registros[VALOR],tabela_registros[MÊS],$AE$1,tabela_registros[DIA],reservavariáveisconsolidadonov[[#Headers],[17]],tabela_registros[REGISTRO],DADOS!$N$6,tabela_registros[TIPO],DADOS!$AJ$4,tabela_registros[CATEGORIA],reservavariáveisconsolidadonov[[#This Row],[ATUAL]])</f>
        <v>0</v>
      </c>
      <c r="V191" s="119" t="n">
        <f aca="false">SUMIFS(tabela_registros[VALOR],tabela_registros[MÊS],$AE$1,tabela_registros[DIA],reservavariáveisconsolidadonov[[#Headers],[18]],tabela_registros[REGISTRO],DADOS!$N$6,tabela_registros[TIPO],DADOS!$AJ$4,tabela_registros[CATEGORIA],reservavariáveisconsolidadonov[[#This Row],[ATUAL]])</f>
        <v>0</v>
      </c>
      <c r="W191" s="119" t="n">
        <f aca="false">SUMIFS(tabela_registros[VALOR],tabela_registros[MÊS],$AE$1,tabela_registros[DIA],reservavariáveisconsolidadonov[[#Headers],[19]],tabela_registros[REGISTRO],DADOS!$N$6,tabela_registros[TIPO],DADOS!$AJ$4,tabela_registros[CATEGORIA],reservavariáveisconsolidadonov[[#This Row],[ATUAL]])</f>
        <v>0</v>
      </c>
      <c r="X191" s="119" t="n">
        <f aca="false">SUMIFS(tabela_registros[VALOR],tabela_registros[MÊS],$AE$1,tabela_registros[DIA],reservavariáveisconsolidadonov[[#Headers],[20]],tabela_registros[REGISTRO],DADOS!$N$6,tabela_registros[TIPO],DADOS!$AJ$4,tabela_registros[CATEGORIA],reservavariáveisconsolidadonov[[#This Row],[ATUAL]])</f>
        <v>0</v>
      </c>
      <c r="Y191" s="119" t="n">
        <f aca="false">SUMIFS(tabela_registros[VALOR],tabela_registros[MÊS],$AE$1,tabela_registros[DIA],reservavariáveisconsolidadonov[[#Headers],[21]],tabela_registros[REGISTRO],DADOS!$N$6,tabela_registros[TIPO],DADOS!$AJ$4,tabela_registros[CATEGORIA],reservavariáveisconsolidadonov[[#This Row],[ATUAL]])</f>
        <v>0</v>
      </c>
      <c r="Z191" s="119" t="n">
        <f aca="false">SUMIFS(tabela_registros[VALOR],tabela_registros[MÊS],$AE$1,tabela_registros[DIA],reservavariáveisconsolidadonov[[#Headers],[22]],tabela_registros[REGISTRO],DADOS!$N$6,tabela_registros[TIPO],DADOS!$AJ$4,tabela_registros[CATEGORIA],reservavariáveisconsolidadonov[[#This Row],[ATUAL]])</f>
        <v>0</v>
      </c>
      <c r="AA191" s="119" t="n">
        <f aca="false">SUMIFS(tabela_registros[VALOR],tabela_registros[MÊS],$AE$1,tabela_registros[DIA],reservavariáveisconsolidadonov[[#Headers],[23]],tabela_registros[REGISTRO],DADOS!$N$6,tabela_registros[TIPO],DADOS!$AJ$4,tabela_registros[CATEGORIA],reservavariáveisconsolidadonov[[#This Row],[ATUAL]])</f>
        <v>0</v>
      </c>
      <c r="AB191" s="119" t="n">
        <f aca="false">SUMIFS(tabela_registros[VALOR],tabela_registros[MÊS],$AE$1,tabela_registros[DIA],reservavariáveisconsolidadonov[[#Headers],[24]],tabela_registros[REGISTRO],DADOS!$N$6,tabela_registros[TIPO],DADOS!$AJ$4,tabela_registros[CATEGORIA],reservavariáveisconsolidadonov[[#This Row],[ATUAL]])</f>
        <v>0</v>
      </c>
      <c r="AC191" s="119" t="n">
        <f aca="false">SUMIFS(tabela_registros[VALOR],tabela_registros[MÊS],$AE$1,tabela_registros[DIA],reservavariáveisconsolidadonov[[#Headers],[25]],tabela_registros[REGISTRO],DADOS!$N$6,tabela_registros[TIPO],DADOS!$AJ$4,tabela_registros[CATEGORIA],reservavariáveisconsolidadonov[[#This Row],[ATUAL]])</f>
        <v>0</v>
      </c>
      <c r="AD191" s="119" t="n">
        <f aca="false">SUMIFS(tabela_registros[VALOR],tabela_registros[MÊS],$AE$1,tabela_registros[DIA],reservavariáveisconsolidadonov[[#Headers],[26]],tabela_registros[REGISTRO],DADOS!$N$6,tabela_registros[TIPO],DADOS!$AJ$4,tabela_registros[CATEGORIA],reservavariáveisconsolidadonov[[#This Row],[ATUAL]])</f>
        <v>0</v>
      </c>
      <c r="AE191" s="119" t="n">
        <f aca="false">SUMIFS(tabela_registros[VALOR],tabela_registros[MÊS],$AE$1,tabela_registros[DIA],reservavariáveisconsolidadonov[[#Headers],[27]],tabela_registros[REGISTRO],DADOS!$N$6,tabela_registros[TIPO],DADOS!$AJ$4,tabela_registros[CATEGORIA],reservavariáveisconsolidadonov[[#This Row],[ATUAL]])</f>
        <v>0</v>
      </c>
      <c r="AF191" s="119" t="n">
        <f aca="false">SUMIFS(tabela_registros[VALOR],tabela_registros[MÊS],$AE$1,tabela_registros[DIA],reservavariáveisconsolidadonov[[#Headers],[28]],tabela_registros[REGISTRO],DADOS!$N$6,tabela_registros[TIPO],DADOS!$AJ$4,tabela_registros[CATEGORIA],reservavariáveisconsolidadonov[[#This Row],[ATUAL]])</f>
        <v>0</v>
      </c>
      <c r="AG191" s="119" t="n">
        <f aca="false">SUMIFS(tabela_registros[VALOR],tabela_registros[MÊS],$AE$1,tabela_registros[DIA],reservavariáveisconsolidadonov[[#Headers],[29]],tabela_registros[REGISTRO],DADOS!$N$6,tabela_registros[TIPO],DADOS!$AJ$4,tabela_registros[CATEGORIA],reservavariáveisconsolidadonov[[#This Row],[ATUAL]])</f>
        <v>0</v>
      </c>
      <c r="AH191" s="119" t="n">
        <f aca="false">SUMIFS(tabela_registros[VALOR],tabela_registros[MÊS],$AE$1,tabela_registros[DIA],reservavariáveisconsolidadonov[[#Headers],[30]],tabela_registros[REGISTRO],DADOS!$N$6,tabela_registros[TIPO],DADOS!$AJ$4,tabela_registros[CATEGORIA],reservavariáveisconsolidadonov[[#This Row],[ATUAL]])</f>
        <v>0</v>
      </c>
      <c r="AI191" s="217" t="n">
        <f aca="false">SUMIFS(tabela_registros[VALOR],tabela_registros[MÊS],$AE$1,tabela_registros[DIA],reservavariáveisconsolidadonov[[#Headers],[31]],tabela_registros[REGISTRO],DADOS!$N$6,tabela_registros[TIPO],DADOS!$AJ$4,tabela_registros[CATEGORIA],reservavariáveisconsolidadonov[[#This Row],[ATUAL]])</f>
        <v>0</v>
      </c>
      <c r="AJ191" s="149" t="n">
        <f aca="false">SUM(reservavariáveisconsolidadonov[[#This Row],[1]:[31]])</f>
        <v>0</v>
      </c>
      <c r="AK191" s="165"/>
    </row>
    <row r="192" customFormat="false" ht="19.5" hidden="false" customHeight="true" outlineLevel="0" collapsed="false">
      <c r="B192" s="143"/>
      <c r="C192" s="144" t="str">
        <f aca="false">DADOS!$AN$8</f>
        <v>📝 ETF</v>
      </c>
      <c r="D192" s="145" t="str">
        <f aca="false">IF(reservavariáveisconsolidadonov[[#This Row],[TOTAL (R$)]]=0,"",IF(OR(reservavariáveisconsolidadonov[[#This Row],[TOTAL (R$)]]=LARGE($AJ$187:$AJ$196,1),reservavariáveisconsolidadonov[[#This Row],[TOTAL (R$)]]=LARGE($AJ$187:$AJ$196,2)),DADOS!$I$11,""))</f>
        <v/>
      </c>
      <c r="E192" s="148" t="n">
        <f aca="false">SUMIFS(tabela_registros[VALOR],tabela_registros[MÊS],$AE$1,tabela_registros[DIA],reservavariáveisconsolidadonov[[#Headers],[1]],tabela_registros[REGISTRO],DADOS!$N$6,tabela_registros[TIPO],DADOS!$AJ$4,tabela_registros[CATEGORIA],reservavariáveisconsolidadonov[[#This Row],[ATUAL]])</f>
        <v>0</v>
      </c>
      <c r="F192" s="119" t="n">
        <f aca="false">SUMIFS(tabela_registros[VALOR],tabela_registros[MÊS],$AE$1,tabela_registros[DIA],reservavariáveisconsolidadonov[[#Headers],[2]],tabela_registros[REGISTRO],DADOS!$N$6,tabela_registros[TIPO],DADOS!$AJ$4,tabela_registros[CATEGORIA],reservavariáveisconsolidadonov[[#This Row],[ATUAL]])</f>
        <v>0</v>
      </c>
      <c r="G192" s="119" t="n">
        <f aca="false">SUMIFS(tabela_registros[VALOR],tabela_registros[MÊS],$AE$1,tabela_registros[DIA],reservavariáveisconsolidadonov[[#Headers],[3]],tabela_registros[REGISTRO],DADOS!$N$6,tabela_registros[TIPO],DADOS!$AJ$4,tabela_registros[CATEGORIA],reservavariáveisconsolidadonov[[#This Row],[ATUAL]])</f>
        <v>0</v>
      </c>
      <c r="H192" s="119" t="n">
        <f aca="false">SUMIFS(tabela_registros[VALOR],tabela_registros[MÊS],$AE$1,tabela_registros[DIA],reservavariáveisconsolidadonov[[#Headers],[4]],tabela_registros[REGISTRO],DADOS!$N$6,tabela_registros[TIPO],DADOS!$AJ$4,tabela_registros[CATEGORIA],reservavariáveisconsolidadonov[[#This Row],[ATUAL]])</f>
        <v>0</v>
      </c>
      <c r="I192" s="119" t="n">
        <f aca="false">SUMIFS(tabela_registros[VALOR],tabela_registros[MÊS],$AE$1,tabela_registros[DIA],reservavariáveisconsolidadonov[[#Headers],[5]],tabela_registros[REGISTRO],DADOS!$N$6,tabela_registros[TIPO],DADOS!$AJ$4,tabela_registros[CATEGORIA],reservavariáveisconsolidadonov[[#This Row],[ATUAL]])</f>
        <v>0</v>
      </c>
      <c r="J192" s="119" t="n">
        <f aca="false">SUMIFS(tabela_registros[VALOR],tabela_registros[MÊS],$AE$1,tabela_registros[DIA],reservavariáveisconsolidadonov[[#Headers],[6]],tabela_registros[REGISTRO],DADOS!$N$6,tabela_registros[TIPO],DADOS!$AJ$4,tabela_registros[CATEGORIA],reservavariáveisconsolidadonov[[#This Row],[ATUAL]])</f>
        <v>0</v>
      </c>
      <c r="K192" s="119" t="n">
        <f aca="false">SUMIFS(tabela_registros[VALOR],tabela_registros[MÊS],$AE$1,tabela_registros[DIA],reservavariáveisconsolidadonov[[#Headers],[7]],tabela_registros[REGISTRO],DADOS!$N$6,tabela_registros[TIPO],DADOS!$AJ$4,tabela_registros[CATEGORIA],reservavariáveisconsolidadonov[[#This Row],[ATUAL]])</f>
        <v>0</v>
      </c>
      <c r="L192" s="119" t="n">
        <f aca="false">SUMIFS(tabela_registros[VALOR],tabela_registros[MÊS],$AE$1,tabela_registros[DIA],reservavariáveisconsolidadonov[[#Headers],[8]],tabela_registros[REGISTRO],DADOS!$N$6,tabela_registros[TIPO],DADOS!$AJ$4,tabela_registros[CATEGORIA],reservavariáveisconsolidadonov[[#This Row],[ATUAL]])</f>
        <v>0</v>
      </c>
      <c r="M192" s="119" t="n">
        <f aca="false">SUMIFS(tabela_registros[VALOR],tabela_registros[MÊS],$AE$1,tabela_registros[DIA],reservavariáveisconsolidadonov[[#Headers],[9]],tabela_registros[REGISTRO],DADOS!$N$6,tabela_registros[TIPO],DADOS!$AJ$4,tabela_registros[CATEGORIA],reservavariáveisconsolidadonov[[#This Row],[ATUAL]])</f>
        <v>0</v>
      </c>
      <c r="N192" s="119" t="n">
        <f aca="false">SUMIFS(tabela_registros[VALOR],tabela_registros[MÊS],$AE$1,tabela_registros[DIA],reservavariáveisconsolidadonov[[#Headers],[10]],tabela_registros[REGISTRO],DADOS!$N$6,tabela_registros[TIPO],DADOS!$AJ$4,tabela_registros[CATEGORIA],reservavariáveisconsolidadonov[[#This Row],[ATUAL]])</f>
        <v>0</v>
      </c>
      <c r="O192" s="119" t="n">
        <f aca="false">SUMIFS(tabela_registros[VALOR],tabela_registros[MÊS],$AE$1,tabela_registros[DIA],reservavariáveisconsolidadonov[[#Headers],[11]],tabela_registros[REGISTRO],DADOS!$N$6,tabela_registros[TIPO],DADOS!$AJ$4,tabela_registros[CATEGORIA],reservavariáveisconsolidadonov[[#This Row],[ATUAL]])</f>
        <v>0</v>
      </c>
      <c r="P192" s="119" t="n">
        <f aca="false">SUMIFS(tabela_registros[VALOR],tabela_registros[MÊS],$AE$1,tabela_registros[DIA],reservavariáveisconsolidadonov[[#Headers],[12]],tabela_registros[REGISTRO],DADOS!$N$6,tabela_registros[TIPO],DADOS!$AJ$4,tabela_registros[CATEGORIA],reservavariáveisconsolidadonov[[#This Row],[ATUAL]])</f>
        <v>0</v>
      </c>
      <c r="Q192" s="119" t="n">
        <f aca="false">SUMIFS(tabela_registros[VALOR],tabela_registros[MÊS],$AE$1,tabela_registros[DIA],reservavariáveisconsolidadonov[[#Headers],[13]],tabela_registros[REGISTRO],DADOS!$N$6,tabela_registros[TIPO],DADOS!$AJ$4,tabela_registros[CATEGORIA],reservavariáveisconsolidadonov[[#This Row],[ATUAL]])</f>
        <v>0</v>
      </c>
      <c r="R192" s="119" t="n">
        <f aca="false">SUMIFS(tabela_registros[VALOR],tabela_registros[MÊS],$AE$1,tabela_registros[DIA],reservavariáveisconsolidadonov[[#Headers],[14]],tabela_registros[REGISTRO],DADOS!$N$6,tabela_registros[TIPO],DADOS!$AJ$4,tabela_registros[CATEGORIA],reservavariáveisconsolidadonov[[#This Row],[ATUAL]])</f>
        <v>0</v>
      </c>
      <c r="S192" s="119" t="n">
        <f aca="false">SUMIFS(tabela_registros[VALOR],tabela_registros[MÊS],$AE$1,tabela_registros[DIA],reservavariáveisconsolidadonov[[#Headers],[15]],tabela_registros[REGISTRO],DADOS!$N$6,tabela_registros[TIPO],DADOS!$AJ$4,tabela_registros[CATEGORIA],reservavariáveisconsolidadonov[[#This Row],[ATUAL]])</f>
        <v>0</v>
      </c>
      <c r="T192" s="119" t="n">
        <f aca="false">SUMIFS(tabela_registros[VALOR],tabela_registros[MÊS],$AE$1,tabela_registros[DIA],reservavariáveisconsolidadonov[[#Headers],[16]],tabela_registros[REGISTRO],DADOS!$N$6,tabela_registros[TIPO],DADOS!$AJ$4,tabela_registros[CATEGORIA],reservavariáveisconsolidadonov[[#This Row],[ATUAL]])</f>
        <v>0</v>
      </c>
      <c r="U192" s="119" t="n">
        <f aca="false">SUMIFS(tabela_registros[VALOR],tabela_registros[MÊS],$AE$1,tabela_registros[DIA],reservavariáveisconsolidadonov[[#Headers],[17]],tabela_registros[REGISTRO],DADOS!$N$6,tabela_registros[TIPO],DADOS!$AJ$4,tabela_registros[CATEGORIA],reservavariáveisconsolidadonov[[#This Row],[ATUAL]])</f>
        <v>0</v>
      </c>
      <c r="V192" s="119" t="n">
        <f aca="false">SUMIFS(tabela_registros[VALOR],tabela_registros[MÊS],$AE$1,tabela_registros[DIA],reservavariáveisconsolidadonov[[#Headers],[18]],tabela_registros[REGISTRO],DADOS!$N$6,tabela_registros[TIPO],DADOS!$AJ$4,tabela_registros[CATEGORIA],reservavariáveisconsolidadonov[[#This Row],[ATUAL]])</f>
        <v>0</v>
      </c>
      <c r="W192" s="119" t="n">
        <f aca="false">SUMIFS(tabela_registros[VALOR],tabela_registros[MÊS],$AE$1,tabela_registros[DIA],reservavariáveisconsolidadonov[[#Headers],[19]],tabela_registros[REGISTRO],DADOS!$N$6,tabela_registros[TIPO],DADOS!$AJ$4,tabela_registros[CATEGORIA],reservavariáveisconsolidadonov[[#This Row],[ATUAL]])</f>
        <v>0</v>
      </c>
      <c r="X192" s="119" t="n">
        <f aca="false">SUMIFS(tabela_registros[VALOR],tabela_registros[MÊS],$AE$1,tabela_registros[DIA],reservavariáveisconsolidadonov[[#Headers],[20]],tabela_registros[REGISTRO],DADOS!$N$6,tabela_registros[TIPO],DADOS!$AJ$4,tabela_registros[CATEGORIA],reservavariáveisconsolidadonov[[#This Row],[ATUAL]])</f>
        <v>0</v>
      </c>
      <c r="Y192" s="119" t="n">
        <f aca="false">SUMIFS(tabela_registros[VALOR],tabela_registros[MÊS],$AE$1,tabela_registros[DIA],reservavariáveisconsolidadonov[[#Headers],[21]],tabela_registros[REGISTRO],DADOS!$N$6,tabela_registros[TIPO],DADOS!$AJ$4,tabela_registros[CATEGORIA],reservavariáveisconsolidadonov[[#This Row],[ATUAL]])</f>
        <v>0</v>
      </c>
      <c r="Z192" s="119" t="n">
        <f aca="false">SUMIFS(tabela_registros[VALOR],tabela_registros[MÊS],$AE$1,tabela_registros[DIA],reservavariáveisconsolidadonov[[#Headers],[22]],tabela_registros[REGISTRO],DADOS!$N$6,tabela_registros[TIPO],DADOS!$AJ$4,tabela_registros[CATEGORIA],reservavariáveisconsolidadonov[[#This Row],[ATUAL]])</f>
        <v>0</v>
      </c>
      <c r="AA192" s="119" t="n">
        <f aca="false">SUMIFS(tabela_registros[VALOR],tabela_registros[MÊS],$AE$1,tabela_registros[DIA],reservavariáveisconsolidadonov[[#Headers],[23]],tabela_registros[REGISTRO],DADOS!$N$6,tabela_registros[TIPO],DADOS!$AJ$4,tabela_registros[CATEGORIA],reservavariáveisconsolidadonov[[#This Row],[ATUAL]])</f>
        <v>0</v>
      </c>
      <c r="AB192" s="119" t="n">
        <f aca="false">SUMIFS(tabela_registros[VALOR],tabela_registros[MÊS],$AE$1,tabela_registros[DIA],reservavariáveisconsolidadonov[[#Headers],[24]],tabela_registros[REGISTRO],DADOS!$N$6,tabela_registros[TIPO],DADOS!$AJ$4,tabela_registros[CATEGORIA],reservavariáveisconsolidadonov[[#This Row],[ATUAL]])</f>
        <v>0</v>
      </c>
      <c r="AC192" s="119" t="n">
        <f aca="false">SUMIFS(tabela_registros[VALOR],tabela_registros[MÊS],$AE$1,tabela_registros[DIA],reservavariáveisconsolidadonov[[#Headers],[25]],tabela_registros[REGISTRO],DADOS!$N$6,tabela_registros[TIPO],DADOS!$AJ$4,tabela_registros[CATEGORIA],reservavariáveisconsolidadonov[[#This Row],[ATUAL]])</f>
        <v>0</v>
      </c>
      <c r="AD192" s="119" t="n">
        <f aca="false">SUMIFS(tabela_registros[VALOR],tabela_registros[MÊS],$AE$1,tabela_registros[DIA],reservavariáveisconsolidadonov[[#Headers],[26]],tabela_registros[REGISTRO],DADOS!$N$6,tabela_registros[TIPO],DADOS!$AJ$4,tabela_registros[CATEGORIA],reservavariáveisconsolidadonov[[#This Row],[ATUAL]])</f>
        <v>0</v>
      </c>
      <c r="AE192" s="119" t="n">
        <f aca="false">SUMIFS(tabela_registros[VALOR],tabela_registros[MÊS],$AE$1,tabela_registros[DIA],reservavariáveisconsolidadonov[[#Headers],[27]],tabela_registros[REGISTRO],DADOS!$N$6,tabela_registros[TIPO],DADOS!$AJ$4,tabela_registros[CATEGORIA],reservavariáveisconsolidadonov[[#This Row],[ATUAL]])</f>
        <v>0</v>
      </c>
      <c r="AF192" s="119" t="n">
        <f aca="false">SUMIFS(tabela_registros[VALOR],tabela_registros[MÊS],$AE$1,tabela_registros[DIA],reservavariáveisconsolidadonov[[#Headers],[28]],tabela_registros[REGISTRO],DADOS!$N$6,tabela_registros[TIPO],DADOS!$AJ$4,tabela_registros[CATEGORIA],reservavariáveisconsolidadonov[[#This Row],[ATUAL]])</f>
        <v>0</v>
      </c>
      <c r="AG192" s="119" t="n">
        <f aca="false">SUMIFS(tabela_registros[VALOR],tabela_registros[MÊS],$AE$1,tabela_registros[DIA],reservavariáveisconsolidadonov[[#Headers],[29]],tabela_registros[REGISTRO],DADOS!$N$6,tabela_registros[TIPO],DADOS!$AJ$4,tabela_registros[CATEGORIA],reservavariáveisconsolidadonov[[#This Row],[ATUAL]])</f>
        <v>0</v>
      </c>
      <c r="AH192" s="119" t="n">
        <f aca="false">SUMIFS(tabela_registros[VALOR],tabela_registros[MÊS],$AE$1,tabela_registros[DIA],reservavariáveisconsolidadonov[[#Headers],[30]],tabela_registros[REGISTRO],DADOS!$N$6,tabela_registros[TIPO],DADOS!$AJ$4,tabela_registros[CATEGORIA],reservavariáveisconsolidadonov[[#This Row],[ATUAL]])</f>
        <v>0</v>
      </c>
      <c r="AI192" s="217" t="n">
        <f aca="false">SUMIFS(tabela_registros[VALOR],tabela_registros[MÊS],$AE$1,tabela_registros[DIA],reservavariáveisconsolidadonov[[#Headers],[31]],tabela_registros[REGISTRO],DADOS!$N$6,tabela_registros[TIPO],DADOS!$AJ$4,tabela_registros[CATEGORIA],reservavariáveisconsolidadonov[[#This Row],[ATUAL]])</f>
        <v>0</v>
      </c>
      <c r="AJ192" s="149" t="n">
        <f aca="false">SUM(reservavariáveisconsolidadonov[[#This Row],[1]:[31]])</f>
        <v>0</v>
      </c>
      <c r="AK192" s="165"/>
    </row>
    <row r="193" customFormat="false" ht="19.5" hidden="false" customHeight="true" outlineLevel="0" collapsed="false">
      <c r="B193" s="143"/>
      <c r="C193" s="144" t="str">
        <f aca="false">DADOS!$AN$9</f>
        <v>📝 EXTERIOR</v>
      </c>
      <c r="D193" s="145" t="str">
        <f aca="false">IF(reservavariáveisconsolidadonov[[#This Row],[TOTAL (R$)]]=0,"",IF(OR(reservavariáveisconsolidadonov[[#This Row],[TOTAL (R$)]]=LARGE($AJ$187:$AJ$196,1),reservavariáveisconsolidadonov[[#This Row],[TOTAL (R$)]]=LARGE($AJ$187:$AJ$196,2)),DADOS!$I$11,""))</f>
        <v/>
      </c>
      <c r="E193" s="148" t="n">
        <f aca="false">SUMIFS(tabela_registros[VALOR],tabela_registros[MÊS],$AE$1,tabela_registros[DIA],reservavariáveisconsolidadonov[[#Headers],[1]],tabela_registros[REGISTRO],DADOS!$N$6,tabela_registros[TIPO],DADOS!$AJ$4,tabela_registros[CATEGORIA],reservavariáveisconsolidadonov[[#This Row],[ATUAL]])</f>
        <v>0</v>
      </c>
      <c r="F193" s="119" t="n">
        <f aca="false">SUMIFS(tabela_registros[VALOR],tabela_registros[MÊS],$AE$1,tabela_registros[DIA],reservavariáveisconsolidadonov[[#Headers],[2]],tabela_registros[REGISTRO],DADOS!$N$6,tabela_registros[TIPO],DADOS!$AJ$4,tabela_registros[CATEGORIA],reservavariáveisconsolidadonov[[#This Row],[ATUAL]])</f>
        <v>0</v>
      </c>
      <c r="G193" s="119" t="n">
        <f aca="false">SUMIFS(tabela_registros[VALOR],tabela_registros[MÊS],$AE$1,tabela_registros[DIA],reservavariáveisconsolidadonov[[#Headers],[3]],tabela_registros[REGISTRO],DADOS!$N$6,tabela_registros[TIPO],DADOS!$AJ$4,tabela_registros[CATEGORIA],reservavariáveisconsolidadonov[[#This Row],[ATUAL]])</f>
        <v>0</v>
      </c>
      <c r="H193" s="119" t="n">
        <f aca="false">SUMIFS(tabela_registros[VALOR],tabela_registros[MÊS],$AE$1,tabela_registros[DIA],reservavariáveisconsolidadonov[[#Headers],[4]],tabela_registros[REGISTRO],DADOS!$N$6,tabela_registros[TIPO],DADOS!$AJ$4,tabela_registros[CATEGORIA],reservavariáveisconsolidadonov[[#This Row],[ATUAL]])</f>
        <v>0</v>
      </c>
      <c r="I193" s="119" t="n">
        <f aca="false">SUMIFS(tabela_registros[VALOR],tabela_registros[MÊS],$AE$1,tabela_registros[DIA],reservavariáveisconsolidadonov[[#Headers],[5]],tabela_registros[REGISTRO],DADOS!$N$6,tabela_registros[TIPO],DADOS!$AJ$4,tabela_registros[CATEGORIA],reservavariáveisconsolidadonov[[#This Row],[ATUAL]])</f>
        <v>0</v>
      </c>
      <c r="J193" s="119" t="n">
        <f aca="false">SUMIFS(tabela_registros[VALOR],tabela_registros[MÊS],$AE$1,tabela_registros[DIA],reservavariáveisconsolidadonov[[#Headers],[6]],tabela_registros[REGISTRO],DADOS!$N$6,tabela_registros[TIPO],DADOS!$AJ$4,tabela_registros[CATEGORIA],reservavariáveisconsolidadonov[[#This Row],[ATUAL]])</f>
        <v>0</v>
      </c>
      <c r="K193" s="119" t="n">
        <f aca="false">SUMIFS(tabela_registros[VALOR],tabela_registros[MÊS],$AE$1,tabela_registros[DIA],reservavariáveisconsolidadonov[[#Headers],[7]],tabela_registros[REGISTRO],DADOS!$N$6,tabela_registros[TIPO],DADOS!$AJ$4,tabela_registros[CATEGORIA],reservavariáveisconsolidadonov[[#This Row],[ATUAL]])</f>
        <v>0</v>
      </c>
      <c r="L193" s="119" t="n">
        <f aca="false">SUMIFS(tabela_registros[VALOR],tabela_registros[MÊS],$AE$1,tabela_registros[DIA],reservavariáveisconsolidadonov[[#Headers],[8]],tabela_registros[REGISTRO],DADOS!$N$6,tabela_registros[TIPO],DADOS!$AJ$4,tabela_registros[CATEGORIA],reservavariáveisconsolidadonov[[#This Row],[ATUAL]])</f>
        <v>0</v>
      </c>
      <c r="M193" s="119" t="n">
        <f aca="false">SUMIFS(tabela_registros[VALOR],tabela_registros[MÊS],$AE$1,tabela_registros[DIA],reservavariáveisconsolidadonov[[#Headers],[9]],tabela_registros[REGISTRO],DADOS!$N$6,tabela_registros[TIPO],DADOS!$AJ$4,tabela_registros[CATEGORIA],reservavariáveisconsolidadonov[[#This Row],[ATUAL]])</f>
        <v>0</v>
      </c>
      <c r="N193" s="119" t="n">
        <f aca="false">SUMIFS(tabela_registros[VALOR],tabela_registros[MÊS],$AE$1,tabela_registros[DIA],reservavariáveisconsolidadonov[[#Headers],[10]],tabela_registros[REGISTRO],DADOS!$N$6,tabela_registros[TIPO],DADOS!$AJ$4,tabela_registros[CATEGORIA],reservavariáveisconsolidadonov[[#This Row],[ATUAL]])</f>
        <v>0</v>
      </c>
      <c r="O193" s="119" t="n">
        <f aca="false">SUMIFS(tabela_registros[VALOR],tabela_registros[MÊS],$AE$1,tabela_registros[DIA],reservavariáveisconsolidadonov[[#Headers],[11]],tabela_registros[REGISTRO],DADOS!$N$6,tabela_registros[TIPO],DADOS!$AJ$4,tabela_registros[CATEGORIA],reservavariáveisconsolidadonov[[#This Row],[ATUAL]])</f>
        <v>0</v>
      </c>
      <c r="P193" s="119" t="n">
        <f aca="false">SUMIFS(tabela_registros[VALOR],tabela_registros[MÊS],$AE$1,tabela_registros[DIA],reservavariáveisconsolidadonov[[#Headers],[12]],tabela_registros[REGISTRO],DADOS!$N$6,tabela_registros[TIPO],DADOS!$AJ$4,tabela_registros[CATEGORIA],reservavariáveisconsolidadonov[[#This Row],[ATUAL]])</f>
        <v>0</v>
      </c>
      <c r="Q193" s="119" t="n">
        <f aca="false">SUMIFS(tabela_registros[VALOR],tabela_registros[MÊS],$AE$1,tabela_registros[DIA],reservavariáveisconsolidadonov[[#Headers],[13]],tabela_registros[REGISTRO],DADOS!$N$6,tabela_registros[TIPO],DADOS!$AJ$4,tabela_registros[CATEGORIA],reservavariáveisconsolidadonov[[#This Row],[ATUAL]])</f>
        <v>0</v>
      </c>
      <c r="R193" s="119" t="n">
        <f aca="false">SUMIFS(tabela_registros[VALOR],tabela_registros[MÊS],$AE$1,tabela_registros[DIA],reservavariáveisconsolidadonov[[#Headers],[14]],tabela_registros[REGISTRO],DADOS!$N$6,tabela_registros[TIPO],DADOS!$AJ$4,tabela_registros[CATEGORIA],reservavariáveisconsolidadonov[[#This Row],[ATUAL]])</f>
        <v>0</v>
      </c>
      <c r="S193" s="119" t="n">
        <f aca="false">SUMIFS(tabela_registros[VALOR],tabela_registros[MÊS],$AE$1,tabela_registros[DIA],reservavariáveisconsolidadonov[[#Headers],[15]],tabela_registros[REGISTRO],DADOS!$N$6,tabela_registros[TIPO],DADOS!$AJ$4,tabela_registros[CATEGORIA],reservavariáveisconsolidadonov[[#This Row],[ATUAL]])</f>
        <v>0</v>
      </c>
      <c r="T193" s="119" t="n">
        <f aca="false">SUMIFS(tabela_registros[VALOR],tabela_registros[MÊS],$AE$1,tabela_registros[DIA],reservavariáveisconsolidadonov[[#Headers],[16]],tabela_registros[REGISTRO],DADOS!$N$6,tabela_registros[TIPO],DADOS!$AJ$4,tabela_registros[CATEGORIA],reservavariáveisconsolidadonov[[#This Row],[ATUAL]])</f>
        <v>0</v>
      </c>
      <c r="U193" s="119" t="n">
        <f aca="false">SUMIFS(tabela_registros[VALOR],tabela_registros[MÊS],$AE$1,tabela_registros[DIA],reservavariáveisconsolidadonov[[#Headers],[17]],tabela_registros[REGISTRO],DADOS!$N$6,tabela_registros[TIPO],DADOS!$AJ$4,tabela_registros[CATEGORIA],reservavariáveisconsolidadonov[[#This Row],[ATUAL]])</f>
        <v>0</v>
      </c>
      <c r="V193" s="119" t="n">
        <f aca="false">SUMIFS(tabela_registros[VALOR],tabela_registros[MÊS],$AE$1,tabela_registros[DIA],reservavariáveisconsolidadonov[[#Headers],[18]],tabela_registros[REGISTRO],DADOS!$N$6,tabela_registros[TIPO],DADOS!$AJ$4,tabela_registros[CATEGORIA],reservavariáveisconsolidadonov[[#This Row],[ATUAL]])</f>
        <v>0</v>
      </c>
      <c r="W193" s="119" t="n">
        <f aca="false">SUMIFS(tabela_registros[VALOR],tabela_registros[MÊS],$AE$1,tabela_registros[DIA],reservavariáveisconsolidadonov[[#Headers],[19]],tabela_registros[REGISTRO],DADOS!$N$6,tabela_registros[TIPO],DADOS!$AJ$4,tabela_registros[CATEGORIA],reservavariáveisconsolidadonov[[#This Row],[ATUAL]])</f>
        <v>0</v>
      </c>
      <c r="X193" s="119" t="n">
        <f aca="false">SUMIFS(tabela_registros[VALOR],tabela_registros[MÊS],$AE$1,tabela_registros[DIA],reservavariáveisconsolidadonov[[#Headers],[20]],tabela_registros[REGISTRO],DADOS!$N$6,tabela_registros[TIPO],DADOS!$AJ$4,tabela_registros[CATEGORIA],reservavariáveisconsolidadonov[[#This Row],[ATUAL]])</f>
        <v>0</v>
      </c>
      <c r="Y193" s="119" t="n">
        <f aca="false">SUMIFS(tabela_registros[VALOR],tabela_registros[MÊS],$AE$1,tabela_registros[DIA],reservavariáveisconsolidadonov[[#Headers],[21]],tabela_registros[REGISTRO],DADOS!$N$6,tabela_registros[TIPO],DADOS!$AJ$4,tabela_registros[CATEGORIA],reservavariáveisconsolidadonov[[#This Row],[ATUAL]])</f>
        <v>0</v>
      </c>
      <c r="Z193" s="119" t="n">
        <f aca="false">SUMIFS(tabela_registros[VALOR],tabela_registros[MÊS],$AE$1,tabela_registros[DIA],reservavariáveisconsolidadonov[[#Headers],[22]],tabela_registros[REGISTRO],DADOS!$N$6,tabela_registros[TIPO],DADOS!$AJ$4,tabela_registros[CATEGORIA],reservavariáveisconsolidadonov[[#This Row],[ATUAL]])</f>
        <v>0</v>
      </c>
      <c r="AA193" s="119" t="n">
        <f aca="false">SUMIFS(tabela_registros[VALOR],tabela_registros[MÊS],$AE$1,tabela_registros[DIA],reservavariáveisconsolidadonov[[#Headers],[23]],tabela_registros[REGISTRO],DADOS!$N$6,tabela_registros[TIPO],DADOS!$AJ$4,tabela_registros[CATEGORIA],reservavariáveisconsolidadonov[[#This Row],[ATUAL]])</f>
        <v>0</v>
      </c>
      <c r="AB193" s="119" t="n">
        <f aca="false">SUMIFS(tabela_registros[VALOR],tabela_registros[MÊS],$AE$1,tabela_registros[DIA],reservavariáveisconsolidadonov[[#Headers],[24]],tabela_registros[REGISTRO],DADOS!$N$6,tabela_registros[TIPO],DADOS!$AJ$4,tabela_registros[CATEGORIA],reservavariáveisconsolidadonov[[#This Row],[ATUAL]])</f>
        <v>0</v>
      </c>
      <c r="AC193" s="119" t="n">
        <f aca="false">SUMIFS(tabela_registros[VALOR],tabela_registros[MÊS],$AE$1,tabela_registros[DIA],reservavariáveisconsolidadonov[[#Headers],[25]],tabela_registros[REGISTRO],DADOS!$N$6,tabela_registros[TIPO],DADOS!$AJ$4,tabela_registros[CATEGORIA],reservavariáveisconsolidadonov[[#This Row],[ATUAL]])</f>
        <v>0</v>
      </c>
      <c r="AD193" s="119" t="n">
        <f aca="false">SUMIFS(tabela_registros[VALOR],tabela_registros[MÊS],$AE$1,tabela_registros[DIA],reservavariáveisconsolidadonov[[#Headers],[26]],tabela_registros[REGISTRO],DADOS!$N$6,tabela_registros[TIPO],DADOS!$AJ$4,tabela_registros[CATEGORIA],reservavariáveisconsolidadonov[[#This Row],[ATUAL]])</f>
        <v>0</v>
      </c>
      <c r="AE193" s="119" t="n">
        <f aca="false">SUMIFS(tabela_registros[VALOR],tabela_registros[MÊS],$AE$1,tabela_registros[DIA],reservavariáveisconsolidadonov[[#Headers],[27]],tabela_registros[REGISTRO],DADOS!$N$6,tabela_registros[TIPO],DADOS!$AJ$4,tabela_registros[CATEGORIA],reservavariáveisconsolidadonov[[#This Row],[ATUAL]])</f>
        <v>0</v>
      </c>
      <c r="AF193" s="119" t="n">
        <f aca="false">SUMIFS(tabela_registros[VALOR],tabela_registros[MÊS],$AE$1,tabela_registros[DIA],reservavariáveisconsolidadonov[[#Headers],[28]],tabela_registros[REGISTRO],DADOS!$N$6,tabela_registros[TIPO],DADOS!$AJ$4,tabela_registros[CATEGORIA],reservavariáveisconsolidadonov[[#This Row],[ATUAL]])</f>
        <v>0</v>
      </c>
      <c r="AG193" s="119" t="n">
        <f aca="false">SUMIFS(tabela_registros[VALOR],tabela_registros[MÊS],$AE$1,tabela_registros[DIA],reservavariáveisconsolidadonov[[#Headers],[29]],tabela_registros[REGISTRO],DADOS!$N$6,tabela_registros[TIPO],DADOS!$AJ$4,tabela_registros[CATEGORIA],reservavariáveisconsolidadonov[[#This Row],[ATUAL]])</f>
        <v>0</v>
      </c>
      <c r="AH193" s="119" t="n">
        <f aca="false">SUMIFS(tabela_registros[VALOR],tabela_registros[MÊS],$AE$1,tabela_registros[DIA],reservavariáveisconsolidadonov[[#Headers],[30]],tabela_registros[REGISTRO],DADOS!$N$6,tabela_registros[TIPO],DADOS!$AJ$4,tabela_registros[CATEGORIA],reservavariáveisconsolidadonov[[#This Row],[ATUAL]])</f>
        <v>0</v>
      </c>
      <c r="AI193" s="217" t="n">
        <f aca="false">SUMIFS(tabela_registros[VALOR],tabela_registros[MÊS],$AE$1,tabela_registros[DIA],reservavariáveisconsolidadonov[[#Headers],[31]],tabela_registros[REGISTRO],DADOS!$N$6,tabela_registros[TIPO],DADOS!$AJ$4,tabela_registros[CATEGORIA],reservavariáveisconsolidadonov[[#This Row],[ATUAL]])</f>
        <v>0</v>
      </c>
      <c r="AJ193" s="149" t="n">
        <f aca="false">SUM(reservavariáveisconsolidadonov[[#This Row],[1]:[31]])</f>
        <v>0</v>
      </c>
      <c r="AK193" s="165"/>
    </row>
    <row r="194" customFormat="false" ht="19.5" hidden="false" customHeight="true" outlineLevel="0" collapsed="false">
      <c r="B194" s="143"/>
      <c r="C194" s="144" t="str">
        <f aca="false">DADOS!$AN$10</f>
        <v>📝 FII</v>
      </c>
      <c r="D194" s="145" t="str">
        <f aca="false">IF(reservavariáveisconsolidadonov[[#This Row],[TOTAL (R$)]]=0,"",IF(OR(reservavariáveisconsolidadonov[[#This Row],[TOTAL (R$)]]=LARGE($AJ$187:$AJ$196,1),reservavariáveisconsolidadonov[[#This Row],[TOTAL (R$)]]=LARGE($AJ$187:$AJ$196,2)),DADOS!$I$11,""))</f>
        <v/>
      </c>
      <c r="E194" s="148" t="n">
        <f aca="false">SUMIFS(tabela_registros[VALOR],tabela_registros[MÊS],$AE$1,tabela_registros[DIA],reservavariáveisconsolidadonov[[#Headers],[1]],tabela_registros[REGISTRO],DADOS!$N$6,tabela_registros[TIPO],DADOS!$AJ$4,tabela_registros[CATEGORIA],reservavariáveisconsolidadonov[[#This Row],[ATUAL]])</f>
        <v>0</v>
      </c>
      <c r="F194" s="119" t="n">
        <f aca="false">SUMIFS(tabela_registros[VALOR],tabela_registros[MÊS],$AE$1,tabela_registros[DIA],reservavariáveisconsolidadonov[[#Headers],[2]],tabela_registros[REGISTRO],DADOS!$N$6,tabela_registros[TIPO],DADOS!$AJ$4,tabela_registros[CATEGORIA],reservavariáveisconsolidadonov[[#This Row],[ATUAL]])</f>
        <v>0</v>
      </c>
      <c r="G194" s="119" t="n">
        <f aca="false">SUMIFS(tabela_registros[VALOR],tabela_registros[MÊS],$AE$1,tabela_registros[DIA],reservavariáveisconsolidadonov[[#Headers],[3]],tabela_registros[REGISTRO],DADOS!$N$6,tabela_registros[TIPO],DADOS!$AJ$4,tabela_registros[CATEGORIA],reservavariáveisconsolidadonov[[#This Row],[ATUAL]])</f>
        <v>0</v>
      </c>
      <c r="H194" s="119" t="n">
        <f aca="false">SUMIFS(tabela_registros[VALOR],tabela_registros[MÊS],$AE$1,tabela_registros[DIA],reservavariáveisconsolidadonov[[#Headers],[4]],tabela_registros[REGISTRO],DADOS!$N$6,tabela_registros[TIPO],DADOS!$AJ$4,tabela_registros[CATEGORIA],reservavariáveisconsolidadonov[[#This Row],[ATUAL]])</f>
        <v>0</v>
      </c>
      <c r="I194" s="119" t="n">
        <f aca="false">SUMIFS(tabela_registros[VALOR],tabela_registros[MÊS],$AE$1,tabela_registros[DIA],reservavariáveisconsolidadonov[[#Headers],[5]],tabela_registros[REGISTRO],DADOS!$N$6,tabela_registros[TIPO],DADOS!$AJ$4,tabela_registros[CATEGORIA],reservavariáveisconsolidadonov[[#This Row],[ATUAL]])</f>
        <v>0</v>
      </c>
      <c r="J194" s="119" t="n">
        <f aca="false">SUMIFS(tabela_registros[VALOR],tabela_registros[MÊS],$AE$1,tabela_registros[DIA],reservavariáveisconsolidadonov[[#Headers],[6]],tabela_registros[REGISTRO],DADOS!$N$6,tabela_registros[TIPO],DADOS!$AJ$4,tabela_registros[CATEGORIA],reservavariáveisconsolidadonov[[#This Row],[ATUAL]])</f>
        <v>0</v>
      </c>
      <c r="K194" s="119" t="n">
        <f aca="false">SUMIFS(tabela_registros[VALOR],tabela_registros[MÊS],$AE$1,tabela_registros[DIA],reservavariáveisconsolidadonov[[#Headers],[7]],tabela_registros[REGISTRO],DADOS!$N$6,tabela_registros[TIPO],DADOS!$AJ$4,tabela_registros[CATEGORIA],reservavariáveisconsolidadonov[[#This Row],[ATUAL]])</f>
        <v>0</v>
      </c>
      <c r="L194" s="119" t="n">
        <f aca="false">SUMIFS(tabela_registros[VALOR],tabela_registros[MÊS],$AE$1,tabela_registros[DIA],reservavariáveisconsolidadonov[[#Headers],[8]],tabela_registros[REGISTRO],DADOS!$N$6,tabela_registros[TIPO],DADOS!$AJ$4,tabela_registros[CATEGORIA],reservavariáveisconsolidadonov[[#This Row],[ATUAL]])</f>
        <v>0</v>
      </c>
      <c r="M194" s="119" t="n">
        <f aca="false">SUMIFS(tabela_registros[VALOR],tabela_registros[MÊS],$AE$1,tabela_registros[DIA],reservavariáveisconsolidadonov[[#Headers],[9]],tabela_registros[REGISTRO],DADOS!$N$6,tabela_registros[TIPO],DADOS!$AJ$4,tabela_registros[CATEGORIA],reservavariáveisconsolidadonov[[#This Row],[ATUAL]])</f>
        <v>0</v>
      </c>
      <c r="N194" s="119" t="n">
        <f aca="false">SUMIFS(tabela_registros[VALOR],tabela_registros[MÊS],$AE$1,tabela_registros[DIA],reservavariáveisconsolidadonov[[#Headers],[10]],tabela_registros[REGISTRO],DADOS!$N$6,tabela_registros[TIPO],DADOS!$AJ$4,tabela_registros[CATEGORIA],reservavariáveisconsolidadonov[[#This Row],[ATUAL]])</f>
        <v>0</v>
      </c>
      <c r="O194" s="119" t="n">
        <f aca="false">SUMIFS(tabela_registros[VALOR],tabela_registros[MÊS],$AE$1,tabela_registros[DIA],reservavariáveisconsolidadonov[[#Headers],[11]],tabela_registros[REGISTRO],DADOS!$N$6,tabela_registros[TIPO],DADOS!$AJ$4,tabela_registros[CATEGORIA],reservavariáveisconsolidadonov[[#This Row],[ATUAL]])</f>
        <v>0</v>
      </c>
      <c r="P194" s="119" t="n">
        <f aca="false">SUMIFS(tabela_registros[VALOR],tabela_registros[MÊS],$AE$1,tabela_registros[DIA],reservavariáveisconsolidadonov[[#Headers],[12]],tabela_registros[REGISTRO],DADOS!$N$6,tabela_registros[TIPO],DADOS!$AJ$4,tabela_registros[CATEGORIA],reservavariáveisconsolidadonov[[#This Row],[ATUAL]])</f>
        <v>0</v>
      </c>
      <c r="Q194" s="119" t="n">
        <f aca="false">SUMIFS(tabela_registros[VALOR],tabela_registros[MÊS],$AE$1,tabela_registros[DIA],reservavariáveisconsolidadonov[[#Headers],[13]],tabela_registros[REGISTRO],DADOS!$N$6,tabela_registros[TIPO],DADOS!$AJ$4,tabela_registros[CATEGORIA],reservavariáveisconsolidadonov[[#This Row],[ATUAL]])</f>
        <v>0</v>
      </c>
      <c r="R194" s="119" t="n">
        <f aca="false">SUMIFS(tabela_registros[VALOR],tabela_registros[MÊS],$AE$1,tabela_registros[DIA],reservavariáveisconsolidadonov[[#Headers],[14]],tabela_registros[REGISTRO],DADOS!$N$6,tabela_registros[TIPO],DADOS!$AJ$4,tabela_registros[CATEGORIA],reservavariáveisconsolidadonov[[#This Row],[ATUAL]])</f>
        <v>0</v>
      </c>
      <c r="S194" s="119" t="n">
        <f aca="false">SUMIFS(tabela_registros[VALOR],tabela_registros[MÊS],$AE$1,tabela_registros[DIA],reservavariáveisconsolidadonov[[#Headers],[15]],tabela_registros[REGISTRO],DADOS!$N$6,tabela_registros[TIPO],DADOS!$AJ$4,tabela_registros[CATEGORIA],reservavariáveisconsolidadonov[[#This Row],[ATUAL]])</f>
        <v>0</v>
      </c>
      <c r="T194" s="119" t="n">
        <f aca="false">SUMIFS(tabela_registros[VALOR],tabela_registros[MÊS],$AE$1,tabela_registros[DIA],reservavariáveisconsolidadonov[[#Headers],[16]],tabela_registros[REGISTRO],DADOS!$N$6,tabela_registros[TIPO],DADOS!$AJ$4,tabela_registros[CATEGORIA],reservavariáveisconsolidadonov[[#This Row],[ATUAL]])</f>
        <v>0</v>
      </c>
      <c r="U194" s="119" t="n">
        <f aca="false">SUMIFS(tabela_registros[VALOR],tabela_registros[MÊS],$AE$1,tabela_registros[DIA],reservavariáveisconsolidadonov[[#Headers],[17]],tabela_registros[REGISTRO],DADOS!$N$6,tabela_registros[TIPO],DADOS!$AJ$4,tabela_registros[CATEGORIA],reservavariáveisconsolidadonov[[#This Row],[ATUAL]])</f>
        <v>0</v>
      </c>
      <c r="V194" s="119" t="n">
        <f aca="false">SUMIFS(tabela_registros[VALOR],tabela_registros[MÊS],$AE$1,tabela_registros[DIA],reservavariáveisconsolidadonov[[#Headers],[18]],tabela_registros[REGISTRO],DADOS!$N$6,tabela_registros[TIPO],DADOS!$AJ$4,tabela_registros[CATEGORIA],reservavariáveisconsolidadonov[[#This Row],[ATUAL]])</f>
        <v>0</v>
      </c>
      <c r="W194" s="119" t="n">
        <f aca="false">SUMIFS(tabela_registros[VALOR],tabela_registros[MÊS],$AE$1,tabela_registros[DIA],reservavariáveisconsolidadonov[[#Headers],[19]],tabela_registros[REGISTRO],DADOS!$N$6,tabela_registros[TIPO],DADOS!$AJ$4,tabela_registros[CATEGORIA],reservavariáveisconsolidadonov[[#This Row],[ATUAL]])</f>
        <v>0</v>
      </c>
      <c r="X194" s="119" t="n">
        <f aca="false">SUMIFS(tabela_registros[VALOR],tabela_registros[MÊS],$AE$1,tabela_registros[DIA],reservavariáveisconsolidadonov[[#Headers],[20]],tabela_registros[REGISTRO],DADOS!$N$6,tabela_registros[TIPO],DADOS!$AJ$4,tabela_registros[CATEGORIA],reservavariáveisconsolidadonov[[#This Row],[ATUAL]])</f>
        <v>0</v>
      </c>
      <c r="Y194" s="119" t="n">
        <f aca="false">SUMIFS(tabela_registros[VALOR],tabela_registros[MÊS],$AE$1,tabela_registros[DIA],reservavariáveisconsolidadonov[[#Headers],[21]],tabela_registros[REGISTRO],DADOS!$N$6,tabela_registros[TIPO],DADOS!$AJ$4,tabela_registros[CATEGORIA],reservavariáveisconsolidadonov[[#This Row],[ATUAL]])</f>
        <v>0</v>
      </c>
      <c r="Z194" s="119" t="n">
        <f aca="false">SUMIFS(tabela_registros[VALOR],tabela_registros[MÊS],$AE$1,tabela_registros[DIA],reservavariáveisconsolidadonov[[#Headers],[22]],tabela_registros[REGISTRO],DADOS!$N$6,tabela_registros[TIPO],DADOS!$AJ$4,tabela_registros[CATEGORIA],reservavariáveisconsolidadonov[[#This Row],[ATUAL]])</f>
        <v>0</v>
      </c>
      <c r="AA194" s="119" t="n">
        <f aca="false">SUMIFS(tabela_registros[VALOR],tabela_registros[MÊS],$AE$1,tabela_registros[DIA],reservavariáveisconsolidadonov[[#Headers],[23]],tabela_registros[REGISTRO],DADOS!$N$6,tabela_registros[TIPO],DADOS!$AJ$4,tabela_registros[CATEGORIA],reservavariáveisconsolidadonov[[#This Row],[ATUAL]])</f>
        <v>0</v>
      </c>
      <c r="AB194" s="119" t="n">
        <f aca="false">SUMIFS(tabela_registros[VALOR],tabela_registros[MÊS],$AE$1,tabela_registros[DIA],reservavariáveisconsolidadonov[[#Headers],[24]],tabela_registros[REGISTRO],DADOS!$N$6,tabela_registros[TIPO],DADOS!$AJ$4,tabela_registros[CATEGORIA],reservavariáveisconsolidadonov[[#This Row],[ATUAL]])</f>
        <v>0</v>
      </c>
      <c r="AC194" s="119" t="n">
        <f aca="false">SUMIFS(tabela_registros[VALOR],tabela_registros[MÊS],$AE$1,tabela_registros[DIA],reservavariáveisconsolidadonov[[#Headers],[25]],tabela_registros[REGISTRO],DADOS!$N$6,tabela_registros[TIPO],DADOS!$AJ$4,tabela_registros[CATEGORIA],reservavariáveisconsolidadonov[[#This Row],[ATUAL]])</f>
        <v>0</v>
      </c>
      <c r="AD194" s="119" t="n">
        <f aca="false">SUMIFS(tabela_registros[VALOR],tabela_registros[MÊS],$AE$1,tabela_registros[DIA],reservavariáveisconsolidadonov[[#Headers],[26]],tabela_registros[REGISTRO],DADOS!$N$6,tabela_registros[TIPO],DADOS!$AJ$4,tabela_registros[CATEGORIA],reservavariáveisconsolidadonov[[#This Row],[ATUAL]])</f>
        <v>0</v>
      </c>
      <c r="AE194" s="119" t="n">
        <f aca="false">SUMIFS(tabela_registros[VALOR],tabela_registros[MÊS],$AE$1,tabela_registros[DIA],reservavariáveisconsolidadonov[[#Headers],[27]],tabela_registros[REGISTRO],DADOS!$N$6,tabela_registros[TIPO],DADOS!$AJ$4,tabela_registros[CATEGORIA],reservavariáveisconsolidadonov[[#This Row],[ATUAL]])</f>
        <v>0</v>
      </c>
      <c r="AF194" s="119" t="n">
        <f aca="false">SUMIFS(tabela_registros[VALOR],tabela_registros[MÊS],$AE$1,tabela_registros[DIA],reservavariáveisconsolidadonov[[#Headers],[28]],tabela_registros[REGISTRO],DADOS!$N$6,tabela_registros[TIPO],DADOS!$AJ$4,tabela_registros[CATEGORIA],reservavariáveisconsolidadonov[[#This Row],[ATUAL]])</f>
        <v>0</v>
      </c>
      <c r="AG194" s="119" t="n">
        <f aca="false">SUMIFS(tabela_registros[VALOR],tabela_registros[MÊS],$AE$1,tabela_registros[DIA],reservavariáveisconsolidadonov[[#Headers],[29]],tabela_registros[REGISTRO],DADOS!$N$6,tabela_registros[TIPO],DADOS!$AJ$4,tabela_registros[CATEGORIA],reservavariáveisconsolidadonov[[#This Row],[ATUAL]])</f>
        <v>0</v>
      </c>
      <c r="AH194" s="119" t="n">
        <f aca="false">SUMIFS(tabela_registros[VALOR],tabela_registros[MÊS],$AE$1,tabela_registros[DIA],reservavariáveisconsolidadonov[[#Headers],[30]],tabela_registros[REGISTRO],DADOS!$N$6,tabela_registros[TIPO],DADOS!$AJ$4,tabela_registros[CATEGORIA],reservavariáveisconsolidadonov[[#This Row],[ATUAL]])</f>
        <v>0</v>
      </c>
      <c r="AI194" s="217" t="n">
        <f aca="false">SUMIFS(tabela_registros[VALOR],tabela_registros[MÊS],$AE$1,tabela_registros[DIA],reservavariáveisconsolidadonov[[#Headers],[31]],tabela_registros[REGISTRO],DADOS!$N$6,tabela_registros[TIPO],DADOS!$AJ$4,tabela_registros[CATEGORIA],reservavariáveisconsolidadonov[[#This Row],[ATUAL]])</f>
        <v>0</v>
      </c>
      <c r="AJ194" s="149" t="n">
        <f aca="false">SUM(reservavariáveisconsolidadonov[[#This Row],[1]:[31]])</f>
        <v>0</v>
      </c>
      <c r="AK194" s="165"/>
    </row>
    <row r="195" customFormat="false" ht="19.5" hidden="false" customHeight="true" outlineLevel="0" collapsed="false">
      <c r="B195" s="143"/>
      <c r="C195" s="144" t="str">
        <f aca="false">DADOS!$AN$11</f>
        <v>📝 MOEDA</v>
      </c>
      <c r="D195" s="145" t="str">
        <f aca="false">IF(reservavariáveisconsolidadonov[[#This Row],[TOTAL (R$)]]=0,"",IF(OR(reservavariáveisconsolidadonov[[#This Row],[TOTAL (R$)]]=LARGE($AJ$187:$AJ$196,1),reservavariáveisconsolidadonov[[#This Row],[TOTAL (R$)]]=LARGE($AJ$187:$AJ$196,2)),DADOS!$I$11,""))</f>
        <v/>
      </c>
      <c r="E195" s="148" t="n">
        <f aca="false">SUMIFS(tabela_registros[VALOR],tabela_registros[MÊS],$AE$1,tabela_registros[DIA],reservavariáveisconsolidadonov[[#Headers],[1]],tabela_registros[REGISTRO],DADOS!$N$6,tabela_registros[TIPO],DADOS!$AJ$4,tabela_registros[CATEGORIA],reservavariáveisconsolidadonov[[#This Row],[ATUAL]])</f>
        <v>0</v>
      </c>
      <c r="F195" s="119" t="n">
        <f aca="false">SUMIFS(tabela_registros[VALOR],tabela_registros[MÊS],$AE$1,tabela_registros[DIA],reservavariáveisconsolidadonov[[#Headers],[2]],tabela_registros[REGISTRO],DADOS!$N$6,tabela_registros[TIPO],DADOS!$AJ$4,tabela_registros[CATEGORIA],reservavariáveisconsolidadonov[[#This Row],[ATUAL]])</f>
        <v>0</v>
      </c>
      <c r="G195" s="119" t="n">
        <f aca="false">SUMIFS(tabela_registros[VALOR],tabela_registros[MÊS],$AE$1,tabela_registros[DIA],reservavariáveisconsolidadonov[[#Headers],[3]],tabela_registros[REGISTRO],DADOS!$N$6,tabela_registros[TIPO],DADOS!$AJ$4,tabela_registros[CATEGORIA],reservavariáveisconsolidadonov[[#This Row],[ATUAL]])</f>
        <v>0</v>
      </c>
      <c r="H195" s="119" t="n">
        <f aca="false">SUMIFS(tabela_registros[VALOR],tabela_registros[MÊS],$AE$1,tabela_registros[DIA],reservavariáveisconsolidadonov[[#Headers],[4]],tabela_registros[REGISTRO],DADOS!$N$6,tabela_registros[TIPO],DADOS!$AJ$4,tabela_registros[CATEGORIA],reservavariáveisconsolidadonov[[#This Row],[ATUAL]])</f>
        <v>0</v>
      </c>
      <c r="I195" s="119" t="n">
        <f aca="false">SUMIFS(tabela_registros[VALOR],tabela_registros[MÊS],$AE$1,tabela_registros[DIA],reservavariáveisconsolidadonov[[#Headers],[5]],tabela_registros[REGISTRO],DADOS!$N$6,tabela_registros[TIPO],DADOS!$AJ$4,tabela_registros[CATEGORIA],reservavariáveisconsolidadonov[[#This Row],[ATUAL]])</f>
        <v>0</v>
      </c>
      <c r="J195" s="119" t="n">
        <f aca="false">SUMIFS(tabela_registros[VALOR],tabela_registros[MÊS],$AE$1,tabela_registros[DIA],reservavariáveisconsolidadonov[[#Headers],[6]],tabela_registros[REGISTRO],DADOS!$N$6,tabela_registros[TIPO],DADOS!$AJ$4,tabela_registros[CATEGORIA],reservavariáveisconsolidadonov[[#This Row],[ATUAL]])</f>
        <v>0</v>
      </c>
      <c r="K195" s="119" t="n">
        <f aca="false">SUMIFS(tabela_registros[VALOR],tabela_registros[MÊS],$AE$1,tabela_registros[DIA],reservavariáveisconsolidadonov[[#Headers],[7]],tabela_registros[REGISTRO],DADOS!$N$6,tabela_registros[TIPO],DADOS!$AJ$4,tabela_registros[CATEGORIA],reservavariáveisconsolidadonov[[#This Row],[ATUAL]])</f>
        <v>0</v>
      </c>
      <c r="L195" s="119" t="n">
        <f aca="false">SUMIFS(tabela_registros[VALOR],tabela_registros[MÊS],$AE$1,tabela_registros[DIA],reservavariáveisconsolidadonov[[#Headers],[8]],tabela_registros[REGISTRO],DADOS!$N$6,tabela_registros[TIPO],DADOS!$AJ$4,tabela_registros[CATEGORIA],reservavariáveisconsolidadonov[[#This Row],[ATUAL]])</f>
        <v>0</v>
      </c>
      <c r="M195" s="119" t="n">
        <f aca="false">SUMIFS(tabela_registros[VALOR],tabela_registros[MÊS],$AE$1,tabela_registros[DIA],reservavariáveisconsolidadonov[[#Headers],[9]],tabela_registros[REGISTRO],DADOS!$N$6,tabela_registros[TIPO],DADOS!$AJ$4,tabela_registros[CATEGORIA],reservavariáveisconsolidadonov[[#This Row],[ATUAL]])</f>
        <v>0</v>
      </c>
      <c r="N195" s="119" t="n">
        <f aca="false">SUMIFS(tabela_registros[VALOR],tabela_registros[MÊS],$AE$1,tabela_registros[DIA],reservavariáveisconsolidadonov[[#Headers],[10]],tabela_registros[REGISTRO],DADOS!$N$6,tabela_registros[TIPO],DADOS!$AJ$4,tabela_registros[CATEGORIA],reservavariáveisconsolidadonov[[#This Row],[ATUAL]])</f>
        <v>0</v>
      </c>
      <c r="O195" s="119" t="n">
        <f aca="false">SUMIFS(tabela_registros[VALOR],tabela_registros[MÊS],$AE$1,tabela_registros[DIA],reservavariáveisconsolidadonov[[#Headers],[11]],tabela_registros[REGISTRO],DADOS!$N$6,tabela_registros[TIPO],DADOS!$AJ$4,tabela_registros[CATEGORIA],reservavariáveisconsolidadonov[[#This Row],[ATUAL]])</f>
        <v>0</v>
      </c>
      <c r="P195" s="119" t="n">
        <f aca="false">SUMIFS(tabela_registros[VALOR],tabela_registros[MÊS],$AE$1,tabela_registros[DIA],reservavariáveisconsolidadonov[[#Headers],[12]],tabela_registros[REGISTRO],DADOS!$N$6,tabela_registros[TIPO],DADOS!$AJ$4,tabela_registros[CATEGORIA],reservavariáveisconsolidadonov[[#This Row],[ATUAL]])</f>
        <v>0</v>
      </c>
      <c r="Q195" s="119" t="n">
        <f aca="false">SUMIFS(tabela_registros[VALOR],tabela_registros[MÊS],$AE$1,tabela_registros[DIA],reservavariáveisconsolidadonov[[#Headers],[13]],tabela_registros[REGISTRO],DADOS!$N$6,tabela_registros[TIPO],DADOS!$AJ$4,tabela_registros[CATEGORIA],reservavariáveisconsolidadonov[[#This Row],[ATUAL]])</f>
        <v>0</v>
      </c>
      <c r="R195" s="119" t="n">
        <f aca="false">SUMIFS(tabela_registros[VALOR],tabela_registros[MÊS],$AE$1,tabela_registros[DIA],reservavariáveisconsolidadonov[[#Headers],[14]],tabela_registros[REGISTRO],DADOS!$N$6,tabela_registros[TIPO],DADOS!$AJ$4,tabela_registros[CATEGORIA],reservavariáveisconsolidadonov[[#This Row],[ATUAL]])</f>
        <v>0</v>
      </c>
      <c r="S195" s="119" t="n">
        <f aca="false">SUMIFS(tabela_registros[VALOR],tabela_registros[MÊS],$AE$1,tabela_registros[DIA],reservavariáveisconsolidadonov[[#Headers],[15]],tabela_registros[REGISTRO],DADOS!$N$6,tabela_registros[TIPO],DADOS!$AJ$4,tabela_registros[CATEGORIA],reservavariáveisconsolidadonov[[#This Row],[ATUAL]])</f>
        <v>0</v>
      </c>
      <c r="T195" s="119" t="n">
        <f aca="false">SUMIFS(tabela_registros[VALOR],tabela_registros[MÊS],$AE$1,tabela_registros[DIA],reservavariáveisconsolidadonov[[#Headers],[16]],tabela_registros[REGISTRO],DADOS!$N$6,tabela_registros[TIPO],DADOS!$AJ$4,tabela_registros[CATEGORIA],reservavariáveisconsolidadonov[[#This Row],[ATUAL]])</f>
        <v>0</v>
      </c>
      <c r="U195" s="119" t="n">
        <f aca="false">SUMIFS(tabela_registros[VALOR],tabela_registros[MÊS],$AE$1,tabela_registros[DIA],reservavariáveisconsolidadonov[[#Headers],[17]],tabela_registros[REGISTRO],DADOS!$N$6,tabela_registros[TIPO],DADOS!$AJ$4,tabela_registros[CATEGORIA],reservavariáveisconsolidadonov[[#This Row],[ATUAL]])</f>
        <v>0</v>
      </c>
      <c r="V195" s="119" t="n">
        <f aca="false">SUMIFS(tabela_registros[VALOR],tabela_registros[MÊS],$AE$1,tabela_registros[DIA],reservavariáveisconsolidadonov[[#Headers],[18]],tabela_registros[REGISTRO],DADOS!$N$6,tabela_registros[TIPO],DADOS!$AJ$4,tabela_registros[CATEGORIA],reservavariáveisconsolidadonov[[#This Row],[ATUAL]])</f>
        <v>0</v>
      </c>
      <c r="W195" s="119" t="n">
        <f aca="false">SUMIFS(tabela_registros[VALOR],tabela_registros[MÊS],$AE$1,tabela_registros[DIA],reservavariáveisconsolidadonov[[#Headers],[19]],tabela_registros[REGISTRO],DADOS!$N$6,tabela_registros[TIPO],DADOS!$AJ$4,tabela_registros[CATEGORIA],reservavariáveisconsolidadonov[[#This Row],[ATUAL]])</f>
        <v>0</v>
      </c>
      <c r="X195" s="119" t="n">
        <f aca="false">SUMIFS(tabela_registros[VALOR],tabela_registros[MÊS],$AE$1,tabela_registros[DIA],reservavariáveisconsolidadonov[[#Headers],[20]],tabela_registros[REGISTRO],DADOS!$N$6,tabela_registros[TIPO],DADOS!$AJ$4,tabela_registros[CATEGORIA],reservavariáveisconsolidadonov[[#This Row],[ATUAL]])</f>
        <v>0</v>
      </c>
      <c r="Y195" s="119" t="n">
        <f aca="false">SUMIFS(tabela_registros[VALOR],tabela_registros[MÊS],$AE$1,tabela_registros[DIA],reservavariáveisconsolidadonov[[#Headers],[21]],tabela_registros[REGISTRO],DADOS!$N$6,tabela_registros[TIPO],DADOS!$AJ$4,tabela_registros[CATEGORIA],reservavariáveisconsolidadonov[[#This Row],[ATUAL]])</f>
        <v>0</v>
      </c>
      <c r="Z195" s="119" t="n">
        <f aca="false">SUMIFS(tabela_registros[VALOR],tabela_registros[MÊS],$AE$1,tabela_registros[DIA],reservavariáveisconsolidadonov[[#Headers],[22]],tabela_registros[REGISTRO],DADOS!$N$6,tabela_registros[TIPO],DADOS!$AJ$4,tabela_registros[CATEGORIA],reservavariáveisconsolidadonov[[#This Row],[ATUAL]])</f>
        <v>0</v>
      </c>
      <c r="AA195" s="119" t="n">
        <f aca="false">SUMIFS(tabela_registros[VALOR],tabela_registros[MÊS],$AE$1,tabela_registros[DIA],reservavariáveisconsolidadonov[[#Headers],[23]],tabela_registros[REGISTRO],DADOS!$N$6,tabela_registros[TIPO],DADOS!$AJ$4,tabela_registros[CATEGORIA],reservavariáveisconsolidadonov[[#This Row],[ATUAL]])</f>
        <v>0</v>
      </c>
      <c r="AB195" s="119" t="n">
        <f aca="false">SUMIFS(tabela_registros[VALOR],tabela_registros[MÊS],$AE$1,tabela_registros[DIA],reservavariáveisconsolidadonov[[#Headers],[24]],tabela_registros[REGISTRO],DADOS!$N$6,tabela_registros[TIPO],DADOS!$AJ$4,tabela_registros[CATEGORIA],reservavariáveisconsolidadonov[[#This Row],[ATUAL]])</f>
        <v>0</v>
      </c>
      <c r="AC195" s="119" t="n">
        <f aca="false">SUMIFS(tabela_registros[VALOR],tabela_registros[MÊS],$AE$1,tabela_registros[DIA],reservavariáveisconsolidadonov[[#Headers],[25]],tabela_registros[REGISTRO],DADOS!$N$6,tabela_registros[TIPO],DADOS!$AJ$4,tabela_registros[CATEGORIA],reservavariáveisconsolidadonov[[#This Row],[ATUAL]])</f>
        <v>0</v>
      </c>
      <c r="AD195" s="119" t="n">
        <f aca="false">SUMIFS(tabela_registros[VALOR],tabela_registros[MÊS],$AE$1,tabela_registros[DIA],reservavariáveisconsolidadonov[[#Headers],[26]],tabela_registros[REGISTRO],DADOS!$N$6,tabela_registros[TIPO],DADOS!$AJ$4,tabela_registros[CATEGORIA],reservavariáveisconsolidadonov[[#This Row],[ATUAL]])</f>
        <v>0</v>
      </c>
      <c r="AE195" s="119" t="n">
        <f aca="false">SUMIFS(tabela_registros[VALOR],tabela_registros[MÊS],$AE$1,tabela_registros[DIA],reservavariáveisconsolidadonov[[#Headers],[27]],tabela_registros[REGISTRO],DADOS!$N$6,tabela_registros[TIPO],DADOS!$AJ$4,tabela_registros[CATEGORIA],reservavariáveisconsolidadonov[[#This Row],[ATUAL]])</f>
        <v>0</v>
      </c>
      <c r="AF195" s="119" t="n">
        <f aca="false">SUMIFS(tabela_registros[VALOR],tabela_registros[MÊS],$AE$1,tabela_registros[DIA],reservavariáveisconsolidadonov[[#Headers],[28]],tabela_registros[REGISTRO],DADOS!$N$6,tabela_registros[TIPO],DADOS!$AJ$4,tabela_registros[CATEGORIA],reservavariáveisconsolidadonov[[#This Row],[ATUAL]])</f>
        <v>0</v>
      </c>
      <c r="AG195" s="119" t="n">
        <f aca="false">SUMIFS(tabela_registros[VALOR],tabela_registros[MÊS],$AE$1,tabela_registros[DIA],reservavariáveisconsolidadonov[[#Headers],[29]],tabela_registros[REGISTRO],DADOS!$N$6,tabela_registros[TIPO],DADOS!$AJ$4,tabela_registros[CATEGORIA],reservavariáveisconsolidadonov[[#This Row],[ATUAL]])</f>
        <v>0</v>
      </c>
      <c r="AH195" s="119" t="n">
        <f aca="false">SUMIFS(tabela_registros[VALOR],tabela_registros[MÊS],$AE$1,tabela_registros[DIA],reservavariáveisconsolidadonov[[#Headers],[30]],tabela_registros[REGISTRO],DADOS!$N$6,tabela_registros[TIPO],DADOS!$AJ$4,tabela_registros[CATEGORIA],reservavariáveisconsolidadonov[[#This Row],[ATUAL]])</f>
        <v>0</v>
      </c>
      <c r="AI195" s="217" t="n">
        <f aca="false">SUMIFS(tabela_registros[VALOR],tabela_registros[MÊS],$AE$1,tabela_registros[DIA],reservavariáveisconsolidadonov[[#Headers],[31]],tabela_registros[REGISTRO],DADOS!$N$6,tabela_registros[TIPO],DADOS!$AJ$4,tabela_registros[CATEGORIA],reservavariáveisconsolidadonov[[#This Row],[ATUAL]])</f>
        <v>0</v>
      </c>
      <c r="AJ195" s="149" t="n">
        <f aca="false">SUM(reservavariáveisconsolidadonov[[#This Row],[1]:[31]])</f>
        <v>0</v>
      </c>
      <c r="AK195" s="165"/>
    </row>
    <row r="196" customFormat="false" ht="19.5" hidden="false" customHeight="true" outlineLevel="0" collapsed="false">
      <c r="B196" s="143"/>
      <c r="C196" s="144" t="str">
        <f aca="false">DADOS!$AN$12</f>
        <v>📎 OUTROS</v>
      </c>
      <c r="D196" s="145" t="str">
        <f aca="false">IF(reservavariáveisconsolidadonov[[#This Row],[TOTAL (R$)]]=0,"",IF(OR(reservavariáveisconsolidadonov[[#This Row],[TOTAL (R$)]]=LARGE($AJ$187:$AJ$196,1),reservavariáveisconsolidadonov[[#This Row],[TOTAL (R$)]]=LARGE($AJ$187:$AJ$196,2)),DADOS!$I$11,""))</f>
        <v/>
      </c>
      <c r="E196" s="148" t="n">
        <f aca="false">SUMIFS(tabela_registros[VALOR],tabela_registros[MÊS],$AE$1,tabela_registros[DIA],reservavariáveisconsolidadonov[[#Headers],[1]],tabela_registros[REGISTRO],DADOS!$N$6,tabela_registros[TIPO],DADOS!$AJ$4,tabela_registros[CATEGORIA],reservavariáveisconsolidadonov[[#This Row],[ATUAL]])</f>
        <v>0</v>
      </c>
      <c r="F196" s="119" t="n">
        <f aca="false">SUMIFS(tabela_registros[VALOR],tabela_registros[MÊS],$AE$1,tabela_registros[DIA],reservavariáveisconsolidadonov[[#Headers],[2]],tabela_registros[REGISTRO],DADOS!$N$6,tabela_registros[TIPO],DADOS!$AJ$4,tabela_registros[CATEGORIA],reservavariáveisconsolidadonov[[#This Row],[ATUAL]])</f>
        <v>0</v>
      </c>
      <c r="G196" s="119" t="n">
        <f aca="false">SUMIFS(tabela_registros[VALOR],tabela_registros[MÊS],$AE$1,tabela_registros[DIA],reservavariáveisconsolidadonov[[#Headers],[3]],tabela_registros[REGISTRO],DADOS!$N$6,tabela_registros[TIPO],DADOS!$AJ$4,tabela_registros[CATEGORIA],reservavariáveisconsolidadonov[[#This Row],[ATUAL]])</f>
        <v>0</v>
      </c>
      <c r="H196" s="119" t="n">
        <f aca="false">SUMIFS(tabela_registros[VALOR],tabela_registros[MÊS],$AE$1,tabela_registros[DIA],reservavariáveisconsolidadonov[[#Headers],[4]],tabela_registros[REGISTRO],DADOS!$N$6,tabela_registros[TIPO],DADOS!$AJ$4,tabela_registros[CATEGORIA],reservavariáveisconsolidadonov[[#This Row],[ATUAL]])</f>
        <v>0</v>
      </c>
      <c r="I196" s="119" t="n">
        <f aca="false">SUMIFS(tabela_registros[VALOR],tabela_registros[MÊS],$AE$1,tabela_registros[DIA],reservavariáveisconsolidadonov[[#Headers],[5]],tabela_registros[REGISTRO],DADOS!$N$6,tabela_registros[TIPO],DADOS!$AJ$4,tabela_registros[CATEGORIA],reservavariáveisconsolidadonov[[#This Row],[ATUAL]])</f>
        <v>0</v>
      </c>
      <c r="J196" s="119" t="n">
        <f aca="false">SUMIFS(tabela_registros[VALOR],tabela_registros[MÊS],$AE$1,tabela_registros[DIA],reservavariáveisconsolidadonov[[#Headers],[6]],tabela_registros[REGISTRO],DADOS!$N$6,tabela_registros[TIPO],DADOS!$AJ$4,tabela_registros[CATEGORIA],reservavariáveisconsolidadonov[[#This Row],[ATUAL]])</f>
        <v>0</v>
      </c>
      <c r="K196" s="119" t="n">
        <f aca="false">SUMIFS(tabela_registros[VALOR],tabela_registros[MÊS],$AE$1,tabela_registros[DIA],reservavariáveisconsolidadonov[[#Headers],[7]],tabela_registros[REGISTRO],DADOS!$N$6,tabela_registros[TIPO],DADOS!$AJ$4,tabela_registros[CATEGORIA],reservavariáveisconsolidadonov[[#This Row],[ATUAL]])</f>
        <v>0</v>
      </c>
      <c r="L196" s="119" t="n">
        <f aca="false">SUMIFS(tabela_registros[VALOR],tabela_registros[MÊS],$AE$1,tabela_registros[DIA],reservavariáveisconsolidadonov[[#Headers],[8]],tabela_registros[REGISTRO],DADOS!$N$6,tabela_registros[TIPO],DADOS!$AJ$4,tabela_registros[CATEGORIA],reservavariáveisconsolidadonov[[#This Row],[ATUAL]])</f>
        <v>0</v>
      </c>
      <c r="M196" s="119" t="n">
        <f aca="false">SUMIFS(tabela_registros[VALOR],tabela_registros[MÊS],$AE$1,tabela_registros[DIA],reservavariáveisconsolidadonov[[#Headers],[9]],tabela_registros[REGISTRO],DADOS!$N$6,tabela_registros[TIPO],DADOS!$AJ$4,tabela_registros[CATEGORIA],reservavariáveisconsolidadonov[[#This Row],[ATUAL]])</f>
        <v>0</v>
      </c>
      <c r="N196" s="119" t="n">
        <f aca="false">SUMIFS(tabela_registros[VALOR],tabela_registros[MÊS],$AE$1,tabela_registros[DIA],reservavariáveisconsolidadonov[[#Headers],[10]],tabela_registros[REGISTRO],DADOS!$N$6,tabela_registros[TIPO],DADOS!$AJ$4,tabela_registros[CATEGORIA],reservavariáveisconsolidadonov[[#This Row],[ATUAL]])</f>
        <v>0</v>
      </c>
      <c r="O196" s="119" t="n">
        <f aca="false">SUMIFS(tabela_registros[VALOR],tabela_registros[MÊS],$AE$1,tabela_registros[DIA],reservavariáveisconsolidadonov[[#Headers],[11]],tabela_registros[REGISTRO],DADOS!$N$6,tabela_registros[TIPO],DADOS!$AJ$4,tabela_registros[CATEGORIA],reservavariáveisconsolidadonov[[#This Row],[ATUAL]])</f>
        <v>0</v>
      </c>
      <c r="P196" s="119" t="n">
        <f aca="false">SUMIFS(tabela_registros[VALOR],tabela_registros[MÊS],$AE$1,tabela_registros[DIA],reservavariáveisconsolidadonov[[#Headers],[12]],tabela_registros[REGISTRO],DADOS!$N$6,tabela_registros[TIPO],DADOS!$AJ$4,tabela_registros[CATEGORIA],reservavariáveisconsolidadonov[[#This Row],[ATUAL]])</f>
        <v>0</v>
      </c>
      <c r="Q196" s="119" t="n">
        <f aca="false">SUMIFS(tabela_registros[VALOR],tabela_registros[MÊS],$AE$1,tabela_registros[DIA],reservavariáveisconsolidadonov[[#Headers],[13]],tabela_registros[REGISTRO],DADOS!$N$6,tabela_registros[TIPO],DADOS!$AJ$4,tabela_registros[CATEGORIA],reservavariáveisconsolidadonov[[#This Row],[ATUAL]])</f>
        <v>0</v>
      </c>
      <c r="R196" s="119" t="n">
        <f aca="false">SUMIFS(tabela_registros[VALOR],tabela_registros[MÊS],$AE$1,tabela_registros[DIA],reservavariáveisconsolidadonov[[#Headers],[14]],tabela_registros[REGISTRO],DADOS!$N$6,tabela_registros[TIPO],DADOS!$AJ$4,tabela_registros[CATEGORIA],reservavariáveisconsolidadonov[[#This Row],[ATUAL]])</f>
        <v>0</v>
      </c>
      <c r="S196" s="119" t="n">
        <f aca="false">SUMIFS(tabela_registros[VALOR],tabela_registros[MÊS],$AE$1,tabela_registros[DIA],reservavariáveisconsolidadonov[[#Headers],[15]],tabela_registros[REGISTRO],DADOS!$N$6,tabela_registros[TIPO],DADOS!$AJ$4,tabela_registros[CATEGORIA],reservavariáveisconsolidadonov[[#This Row],[ATUAL]])</f>
        <v>0</v>
      </c>
      <c r="T196" s="119" t="n">
        <f aca="false">SUMIFS(tabela_registros[VALOR],tabela_registros[MÊS],$AE$1,tabela_registros[DIA],reservavariáveisconsolidadonov[[#Headers],[16]],tabela_registros[REGISTRO],DADOS!$N$6,tabela_registros[TIPO],DADOS!$AJ$4,tabela_registros[CATEGORIA],reservavariáveisconsolidadonov[[#This Row],[ATUAL]])</f>
        <v>0</v>
      </c>
      <c r="U196" s="119" t="n">
        <f aca="false">SUMIFS(tabela_registros[VALOR],tabela_registros[MÊS],$AE$1,tabela_registros[DIA],reservavariáveisconsolidadonov[[#Headers],[17]],tabela_registros[REGISTRO],DADOS!$N$6,tabela_registros[TIPO],DADOS!$AJ$4,tabela_registros[CATEGORIA],reservavariáveisconsolidadonov[[#This Row],[ATUAL]])</f>
        <v>0</v>
      </c>
      <c r="V196" s="119" t="n">
        <f aca="false">SUMIFS(tabela_registros[VALOR],tabela_registros[MÊS],$AE$1,tabela_registros[DIA],reservavariáveisconsolidadonov[[#Headers],[18]],tabela_registros[REGISTRO],DADOS!$N$6,tabela_registros[TIPO],DADOS!$AJ$4,tabela_registros[CATEGORIA],reservavariáveisconsolidadonov[[#This Row],[ATUAL]])</f>
        <v>0</v>
      </c>
      <c r="W196" s="119" t="n">
        <f aca="false">SUMIFS(tabela_registros[VALOR],tabela_registros[MÊS],$AE$1,tabela_registros[DIA],reservavariáveisconsolidadonov[[#Headers],[19]],tabela_registros[REGISTRO],DADOS!$N$6,tabela_registros[TIPO],DADOS!$AJ$4,tabela_registros[CATEGORIA],reservavariáveisconsolidadonov[[#This Row],[ATUAL]])</f>
        <v>0</v>
      </c>
      <c r="X196" s="119" t="n">
        <f aca="false">SUMIFS(tabela_registros[VALOR],tabela_registros[MÊS],$AE$1,tabela_registros[DIA],reservavariáveisconsolidadonov[[#Headers],[20]],tabela_registros[REGISTRO],DADOS!$N$6,tabela_registros[TIPO],DADOS!$AJ$4,tabela_registros[CATEGORIA],reservavariáveisconsolidadonov[[#This Row],[ATUAL]])</f>
        <v>0</v>
      </c>
      <c r="Y196" s="119" t="n">
        <f aca="false">SUMIFS(tabela_registros[VALOR],tabela_registros[MÊS],$AE$1,tabela_registros[DIA],reservavariáveisconsolidadonov[[#Headers],[21]],tabela_registros[REGISTRO],DADOS!$N$6,tabela_registros[TIPO],DADOS!$AJ$4,tabela_registros[CATEGORIA],reservavariáveisconsolidadonov[[#This Row],[ATUAL]])</f>
        <v>0</v>
      </c>
      <c r="Z196" s="119" t="n">
        <f aca="false">SUMIFS(tabela_registros[VALOR],tabela_registros[MÊS],$AE$1,tabela_registros[DIA],reservavariáveisconsolidadonov[[#Headers],[22]],tabela_registros[REGISTRO],DADOS!$N$6,tabela_registros[TIPO],DADOS!$AJ$4,tabela_registros[CATEGORIA],reservavariáveisconsolidadonov[[#This Row],[ATUAL]])</f>
        <v>0</v>
      </c>
      <c r="AA196" s="119" t="n">
        <f aca="false">SUMIFS(tabela_registros[VALOR],tabela_registros[MÊS],$AE$1,tabela_registros[DIA],reservavariáveisconsolidadonov[[#Headers],[23]],tabela_registros[REGISTRO],DADOS!$N$6,tabela_registros[TIPO],DADOS!$AJ$4,tabela_registros[CATEGORIA],reservavariáveisconsolidadonov[[#This Row],[ATUAL]])</f>
        <v>0</v>
      </c>
      <c r="AB196" s="119" t="n">
        <f aca="false">SUMIFS(tabela_registros[VALOR],tabela_registros[MÊS],$AE$1,tabela_registros[DIA],reservavariáveisconsolidadonov[[#Headers],[24]],tabela_registros[REGISTRO],DADOS!$N$6,tabela_registros[TIPO],DADOS!$AJ$4,tabela_registros[CATEGORIA],reservavariáveisconsolidadonov[[#This Row],[ATUAL]])</f>
        <v>0</v>
      </c>
      <c r="AC196" s="119" t="n">
        <f aca="false">SUMIFS(tabela_registros[VALOR],tabela_registros[MÊS],$AE$1,tabela_registros[DIA],reservavariáveisconsolidadonov[[#Headers],[25]],tabela_registros[REGISTRO],DADOS!$N$6,tabela_registros[TIPO],DADOS!$AJ$4,tabela_registros[CATEGORIA],reservavariáveisconsolidadonov[[#This Row],[ATUAL]])</f>
        <v>0</v>
      </c>
      <c r="AD196" s="119" t="n">
        <f aca="false">SUMIFS(tabela_registros[VALOR],tabela_registros[MÊS],$AE$1,tabela_registros[DIA],reservavariáveisconsolidadonov[[#Headers],[26]],tabela_registros[REGISTRO],DADOS!$N$6,tabela_registros[TIPO],DADOS!$AJ$4,tabela_registros[CATEGORIA],reservavariáveisconsolidadonov[[#This Row],[ATUAL]])</f>
        <v>0</v>
      </c>
      <c r="AE196" s="119" t="n">
        <f aca="false">SUMIFS(tabela_registros[VALOR],tabela_registros[MÊS],$AE$1,tabela_registros[DIA],reservavariáveisconsolidadonov[[#Headers],[27]],tabela_registros[REGISTRO],DADOS!$N$6,tabela_registros[TIPO],DADOS!$AJ$4,tabela_registros[CATEGORIA],reservavariáveisconsolidadonov[[#This Row],[ATUAL]])</f>
        <v>0</v>
      </c>
      <c r="AF196" s="119" t="n">
        <f aca="false">SUMIFS(tabela_registros[VALOR],tabela_registros[MÊS],$AE$1,tabela_registros[DIA],reservavariáveisconsolidadonov[[#Headers],[28]],tabela_registros[REGISTRO],DADOS!$N$6,tabela_registros[TIPO],DADOS!$AJ$4,tabela_registros[CATEGORIA],reservavariáveisconsolidadonov[[#This Row],[ATUAL]])</f>
        <v>0</v>
      </c>
      <c r="AG196" s="119" t="n">
        <f aca="false">SUMIFS(tabela_registros[VALOR],tabela_registros[MÊS],$AE$1,tabela_registros[DIA],reservavariáveisconsolidadonov[[#Headers],[29]],tabela_registros[REGISTRO],DADOS!$N$6,tabela_registros[TIPO],DADOS!$AJ$4,tabela_registros[CATEGORIA],reservavariáveisconsolidadonov[[#This Row],[ATUAL]])</f>
        <v>0</v>
      </c>
      <c r="AH196" s="151" t="n">
        <f aca="false">SUMIFS(tabela_registros[VALOR],tabela_registros[MÊS],$AE$1,tabela_registros[DIA],reservavariáveisconsolidadonov[[#Headers],[30]],tabela_registros[REGISTRO],DADOS!$N$6,tabela_registros[TIPO],DADOS!$AJ$4,tabela_registros[CATEGORIA],reservavariáveisconsolidadonov[[#This Row],[ATUAL]])</f>
        <v>0</v>
      </c>
      <c r="AI196" s="218" t="n">
        <f aca="false">SUMIFS(tabela_registros[VALOR],tabela_registros[MÊS],$AE$1,tabela_registros[DIA],reservavariáveisconsolidadonov[[#Headers],[31]],tabela_registros[REGISTRO],DADOS!$N$6,tabela_registros[TIPO],DADOS!$AJ$4,tabela_registros[CATEGORIA],reservavariáveisconsolidadonov[[#This Row],[ATUAL]])</f>
        <v>0</v>
      </c>
      <c r="AJ196" s="219" t="n">
        <f aca="false">SUM(reservavariáveisconsolidadonov[[#This Row],[1]:[31]])</f>
        <v>0</v>
      </c>
      <c r="AK196" s="165"/>
    </row>
    <row r="197" s="122" customFormat="true" ht="21" hidden="false" customHeight="true" outlineLevel="0" collapsed="false">
      <c r="B197" s="152"/>
      <c r="C197" s="153" t="s">
        <v>2</v>
      </c>
      <c r="D197" s="166"/>
      <c r="E197" s="155" t="n">
        <f aca="false">SUM(E187:E196)</f>
        <v>0</v>
      </c>
      <c r="F197" s="156" t="n">
        <f aca="false">SUM(F187:F196)+reservavariáveisconsolidadonov[[#This Row],[1]]</f>
        <v>0</v>
      </c>
      <c r="G197" s="156" t="n">
        <f aca="false">SUM(G187:G196)+reservavariáveisconsolidadonov[[#This Row],[2]]</f>
        <v>0</v>
      </c>
      <c r="H197" s="156" t="n">
        <f aca="false">SUM(H187:H196)+reservavariáveisconsolidadonov[[#This Row],[3]]</f>
        <v>0</v>
      </c>
      <c r="I197" s="156" t="n">
        <f aca="false">SUM(I187:I196)+reservavariáveisconsolidadonov[[#This Row],[4]]</f>
        <v>0</v>
      </c>
      <c r="J197" s="156" t="n">
        <f aca="false">SUM(J187:J196)+reservavariáveisconsolidadonov[[#This Row],[5]]</f>
        <v>0</v>
      </c>
      <c r="K197" s="156" t="n">
        <f aca="false">SUM(K187:K196)+reservavariáveisconsolidadonov[[#This Row],[6]]</f>
        <v>0</v>
      </c>
      <c r="L197" s="156" t="n">
        <f aca="false">SUM(L187:L196)+reservavariáveisconsolidadonov[[#This Row],[7]]</f>
        <v>0</v>
      </c>
      <c r="M197" s="156" t="n">
        <f aca="false">SUM(M187:M196)+reservavariáveisconsolidadonov[[#This Row],[8]]</f>
        <v>0</v>
      </c>
      <c r="N197" s="156" t="n">
        <f aca="false">SUM(N187:N196)+reservavariáveisconsolidadonov[[#This Row],[9]]</f>
        <v>0</v>
      </c>
      <c r="O197" s="156" t="n">
        <f aca="false">SUM(O187:O196)+reservavariáveisconsolidadonov[[#This Row],[10]]</f>
        <v>0</v>
      </c>
      <c r="P197" s="156" t="n">
        <f aca="false">SUM(P187:P196)+reservavariáveisconsolidadonov[[#This Row],[11]]</f>
        <v>0</v>
      </c>
      <c r="Q197" s="156" t="n">
        <f aca="false">SUM(Q187:Q196)+reservavariáveisconsolidadonov[[#This Row],[12]]</f>
        <v>0</v>
      </c>
      <c r="R197" s="156" t="n">
        <f aca="false">SUM(R187:R196)+reservavariáveisconsolidadonov[[#This Row],[13]]</f>
        <v>0</v>
      </c>
      <c r="S197" s="156" t="n">
        <f aca="false">SUM(S187:S196)+reservavariáveisconsolidadonov[[#This Row],[14]]</f>
        <v>0</v>
      </c>
      <c r="T197" s="156" t="n">
        <f aca="false">SUM(T187:T196)+reservavariáveisconsolidadonov[[#This Row],[15]]</f>
        <v>0</v>
      </c>
      <c r="U197" s="156" t="n">
        <f aca="false">SUM(U187:U196)+reservavariáveisconsolidadonov[[#This Row],[16]]</f>
        <v>0</v>
      </c>
      <c r="V197" s="156" t="n">
        <f aca="false">SUM(V187:V196)+reservavariáveisconsolidadonov[[#This Row],[17]]</f>
        <v>0</v>
      </c>
      <c r="W197" s="156" t="n">
        <f aca="false">SUM(W187:W196)+reservavariáveisconsolidadonov[[#This Row],[18]]</f>
        <v>0</v>
      </c>
      <c r="X197" s="156" t="n">
        <f aca="false">SUM(X187:X196)+reservavariáveisconsolidadonov[[#This Row],[19]]</f>
        <v>0</v>
      </c>
      <c r="Y197" s="156" t="n">
        <f aca="false">SUM(Y187:Y196)+reservavariáveisconsolidadonov[[#This Row],[20]]</f>
        <v>0</v>
      </c>
      <c r="Z197" s="156" t="n">
        <f aca="false">SUM(Z187:Z196)+reservavariáveisconsolidadonov[[#This Row],[21]]</f>
        <v>0</v>
      </c>
      <c r="AA197" s="156" t="n">
        <f aca="false">SUM(AA187:AA196)+reservavariáveisconsolidadonov[[#This Row],[22]]</f>
        <v>0</v>
      </c>
      <c r="AB197" s="156" t="n">
        <f aca="false">SUM(AB187:AB196)+reservavariáveisconsolidadonov[[#This Row],[23]]</f>
        <v>0</v>
      </c>
      <c r="AC197" s="156" t="n">
        <f aca="false">SUM(AC187:AC196)+reservavariáveisconsolidadonov[[#This Row],[24]]</f>
        <v>0</v>
      </c>
      <c r="AD197" s="156" t="n">
        <f aca="false">SUM(AD187:AD196)+reservavariáveisconsolidadonov[[#This Row],[25]]</f>
        <v>0</v>
      </c>
      <c r="AE197" s="156" t="n">
        <f aca="false">SUM(AE187:AE196)+reservavariáveisconsolidadonov[[#This Row],[26]]</f>
        <v>0</v>
      </c>
      <c r="AF197" s="156" t="n">
        <f aca="false">SUM(AF187:AF196)+reservavariáveisconsolidadonov[[#This Row],[27]]</f>
        <v>0</v>
      </c>
      <c r="AG197" s="156" t="n">
        <f aca="false">SUM(AG187:AG196)+reservavariáveisconsolidadonov[[#This Row],[28]]</f>
        <v>0</v>
      </c>
      <c r="AH197" s="156" t="n">
        <f aca="false">SUM(AH187:AH196)+reservavariáveisconsolidadonov[[#This Row],[29]]</f>
        <v>0</v>
      </c>
      <c r="AI197" s="223" t="n">
        <f aca="false">SUM(AI187:AI196)+reservavariáveisconsolidadonov[[#This Row],[30]]</f>
        <v>0</v>
      </c>
      <c r="AJ197" s="157" t="n">
        <f aca="false">reservavariáveisconsolidadonov[[#This Row],[31]]</f>
        <v>0</v>
      </c>
      <c r="AK197" s="158"/>
    </row>
    <row r="198" customFormat="false" ht="6.75" hidden="false" customHeight="true" outlineLevel="0" collapsed="false">
      <c r="B198" s="97"/>
      <c r="C198" s="162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233"/>
      <c r="AJ198" s="164"/>
      <c r="AK198" s="244"/>
    </row>
    <row r="199" s="78" customFormat="true" ht="12.75" hidden="false" customHeight="false" outlineLevel="0" collapsed="false">
      <c r="E199" s="100"/>
    </row>
    <row r="200" s="78" customFormat="true" ht="12" hidden="false" customHeight="false" outlineLevel="0" collapsed="false"/>
    <row r="201" s="78" customFormat="true" ht="12" hidden="false" customHeight="false" outlineLevel="0" collapsed="false"/>
    <row r="202" customFormat="false" ht="39.75" hidden="false" customHeight="true" outlineLevel="0" collapsed="false">
      <c r="C202" s="101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3" t="s">
        <v>2</v>
      </c>
    </row>
    <row r="203" s="78" customFormat="true" ht="12.75" hidden="false" customHeight="false" outlineLevel="0" collapsed="false">
      <c r="B203" s="161"/>
      <c r="AJ203" s="106" t="s">
        <v>64</v>
      </c>
    </row>
    <row r="204" customFormat="false" ht="6.75" hidden="false" customHeight="true" outlineLevel="0" collapsed="false">
      <c r="B204" s="86"/>
      <c r="C204" s="162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233"/>
      <c r="AK204" s="139"/>
    </row>
    <row r="205" customFormat="false" ht="13.5" hidden="true" customHeight="false" outlineLevel="0" collapsed="false">
      <c r="B205" s="86"/>
      <c r="C205" s="109" t="s">
        <v>68</v>
      </c>
      <c r="D205" s="110" t="s">
        <v>69</v>
      </c>
      <c r="E205" s="110" t="s">
        <v>30</v>
      </c>
      <c r="F205" s="110" t="s">
        <v>31</v>
      </c>
      <c r="G205" s="110" t="s">
        <v>32</v>
      </c>
      <c r="H205" s="110" t="s">
        <v>33</v>
      </c>
      <c r="I205" s="110" t="s">
        <v>34</v>
      </c>
      <c r="J205" s="110" t="s">
        <v>35</v>
      </c>
      <c r="K205" s="110" t="s">
        <v>36</v>
      </c>
      <c r="L205" s="110" t="s">
        <v>37</v>
      </c>
      <c r="M205" s="110" t="s">
        <v>38</v>
      </c>
      <c r="N205" s="110" t="s">
        <v>39</v>
      </c>
      <c r="O205" s="110" t="s">
        <v>40</v>
      </c>
      <c r="P205" s="110" t="s">
        <v>41</v>
      </c>
      <c r="Q205" s="110" t="s">
        <v>81</v>
      </c>
      <c r="R205" s="110" t="s">
        <v>82</v>
      </c>
      <c r="S205" s="110" t="s">
        <v>83</v>
      </c>
      <c r="T205" s="110" t="s">
        <v>84</v>
      </c>
      <c r="U205" s="110" t="s">
        <v>85</v>
      </c>
      <c r="V205" s="110" t="s">
        <v>86</v>
      </c>
      <c r="W205" s="110" t="s">
        <v>87</v>
      </c>
      <c r="X205" s="110" t="s">
        <v>88</v>
      </c>
      <c r="Y205" s="110" t="s">
        <v>89</v>
      </c>
      <c r="Z205" s="110" t="s">
        <v>90</v>
      </c>
      <c r="AA205" s="110" t="s">
        <v>91</v>
      </c>
      <c r="AB205" s="110" t="s">
        <v>92</v>
      </c>
      <c r="AC205" s="110" t="s">
        <v>93</v>
      </c>
      <c r="AD205" s="110" t="s">
        <v>94</v>
      </c>
      <c r="AE205" s="110" t="s">
        <v>95</v>
      </c>
      <c r="AF205" s="110" t="s">
        <v>96</v>
      </c>
      <c r="AG205" s="110" t="s">
        <v>97</v>
      </c>
      <c r="AH205" s="110" t="s">
        <v>98</v>
      </c>
      <c r="AI205" s="110" t="s">
        <v>99</v>
      </c>
      <c r="AJ205" s="111" t="s">
        <v>70</v>
      </c>
      <c r="AK205" s="86"/>
    </row>
    <row r="206" customFormat="false" ht="19.5" hidden="false" customHeight="true" outlineLevel="0" collapsed="false">
      <c r="B206" s="143"/>
      <c r="C206" s="144" t="str">
        <f aca="false">DADOS!$AP$3</f>
        <v>📝 COE</v>
      </c>
      <c r="D206" s="145" t="str">
        <f aca="false">IF(reservaoutrosconsolidadonov[[#This Row],[TOTAL (R$)]]=0,"",IF(OR(reservaoutrosconsolidadonov[[#This Row],[TOTAL (R$)]]=LARGE($AJ$206:$AJ$213,1),reservaoutrosconsolidadonov[[#This Row],[TOTAL (R$)]]=LARGE($AJ$206:$AJ$213,2)),DADOS!$I$11,""))</f>
        <v/>
      </c>
      <c r="E206" s="148" t="n">
        <f aca="false">SUMIFS(tabela_registros[VALOR],tabela_registros[MÊS],$AE$1,tabela_registros[DIA],reservaoutrosconsolidadonov[[#Headers],[1]],tabela_registros[REGISTRO],DADOS!$N$6,tabela_registros[TIPO],DADOS!$AJ$5,tabela_registros[CATEGORIA],reservaoutrosconsolidadonov[[#This Row],[ATUAL]])</f>
        <v>0</v>
      </c>
      <c r="F206" s="119" t="n">
        <f aca="false">SUMIFS(tabela_registros[VALOR],tabela_registros[MÊS],$AE$1,tabela_registros[DIA],reservaoutrosconsolidadonov[[#Headers],[2]],tabela_registros[REGISTRO],DADOS!$N$6,tabela_registros[TIPO],DADOS!$AJ$5,tabela_registros[CATEGORIA],reservaoutrosconsolidadonov[[#This Row],[ATUAL]])</f>
        <v>0</v>
      </c>
      <c r="G206" s="119" t="n">
        <f aca="false">SUMIFS(tabela_registros[VALOR],tabela_registros[MÊS],$AE$1,tabela_registros[DIA],reservaoutrosconsolidadonov[[#Headers],[3]],tabela_registros[REGISTRO],DADOS!$N$6,tabela_registros[TIPO],DADOS!$AJ$5,tabela_registros[CATEGORIA],reservaoutrosconsolidadonov[[#This Row],[ATUAL]])</f>
        <v>0</v>
      </c>
      <c r="H206" s="119" t="n">
        <f aca="false">SUMIFS(tabela_registros[VALOR],tabela_registros[MÊS],$AE$1,tabela_registros[DIA],reservaoutrosconsolidadonov[[#Headers],[4]],tabela_registros[REGISTRO],DADOS!$N$6,tabela_registros[TIPO],DADOS!$AJ$5,tabela_registros[CATEGORIA],reservaoutrosconsolidadonov[[#This Row],[ATUAL]])</f>
        <v>0</v>
      </c>
      <c r="I206" s="119" t="n">
        <f aca="false">SUMIFS(tabela_registros[VALOR],tabela_registros[MÊS],$AE$1,tabela_registros[DIA],reservaoutrosconsolidadonov[[#Headers],[5]],tabela_registros[REGISTRO],DADOS!$N$6,tabela_registros[TIPO],DADOS!$AJ$5,tabela_registros[CATEGORIA],reservaoutrosconsolidadonov[[#This Row],[ATUAL]])</f>
        <v>0</v>
      </c>
      <c r="J206" s="119" t="n">
        <f aca="false">SUMIFS(tabela_registros[VALOR],tabela_registros[MÊS],$AE$1,tabela_registros[DIA],reservaoutrosconsolidadonov[[#Headers],[6]],tabela_registros[REGISTRO],DADOS!$N$6,tabela_registros[TIPO],DADOS!$AJ$5,tabela_registros[CATEGORIA],reservaoutrosconsolidadonov[[#This Row],[ATUAL]])</f>
        <v>0</v>
      </c>
      <c r="K206" s="119" t="n">
        <f aca="false">SUMIFS(tabela_registros[VALOR],tabela_registros[MÊS],$AE$1,tabela_registros[DIA],reservaoutrosconsolidadonov[[#Headers],[7]],tabela_registros[REGISTRO],DADOS!$N$6,tabela_registros[TIPO],DADOS!$AJ$5,tabela_registros[CATEGORIA],reservaoutrosconsolidadonov[[#This Row],[ATUAL]])</f>
        <v>0</v>
      </c>
      <c r="L206" s="119" t="n">
        <f aca="false">SUMIFS(tabela_registros[VALOR],tabela_registros[MÊS],$AE$1,tabela_registros[DIA],reservaoutrosconsolidadonov[[#Headers],[8]],tabela_registros[REGISTRO],DADOS!$N$6,tabela_registros[TIPO],DADOS!$AJ$5,tabela_registros[CATEGORIA],reservaoutrosconsolidadonov[[#This Row],[ATUAL]])</f>
        <v>0</v>
      </c>
      <c r="M206" s="119" t="n">
        <f aca="false">SUMIFS(tabela_registros[VALOR],tabela_registros[MÊS],$AE$1,tabela_registros[DIA],reservaoutrosconsolidadonov[[#Headers],[9]],tabela_registros[REGISTRO],DADOS!$N$6,tabela_registros[TIPO],DADOS!$AJ$5,tabela_registros[CATEGORIA],reservaoutrosconsolidadonov[[#This Row],[ATUAL]])</f>
        <v>0</v>
      </c>
      <c r="N206" s="119" t="n">
        <f aca="false">SUMIFS(tabela_registros[VALOR],tabela_registros[MÊS],$AE$1,tabela_registros[DIA],reservaoutrosconsolidadonov[[#Headers],[10]],tabela_registros[REGISTRO],DADOS!$N$6,tabela_registros[TIPO],DADOS!$AJ$5,tabela_registros[CATEGORIA],reservaoutrosconsolidadonov[[#This Row],[ATUAL]])</f>
        <v>0</v>
      </c>
      <c r="O206" s="119" t="n">
        <f aca="false">SUMIFS(tabela_registros[VALOR],tabela_registros[MÊS],$AE$1,tabela_registros[DIA],reservaoutrosconsolidadonov[[#Headers],[11]],tabela_registros[REGISTRO],DADOS!$N$6,tabela_registros[TIPO],DADOS!$AJ$5,tabela_registros[CATEGORIA],reservaoutrosconsolidadonov[[#This Row],[ATUAL]])</f>
        <v>0</v>
      </c>
      <c r="P206" s="119" t="n">
        <f aca="false">SUMIFS(tabela_registros[VALOR],tabela_registros[MÊS],$AE$1,tabela_registros[DIA],reservaoutrosconsolidadonov[[#Headers],[12]],tabela_registros[REGISTRO],DADOS!$N$6,tabela_registros[TIPO],DADOS!$AJ$5,tabela_registros[CATEGORIA],reservaoutrosconsolidadonov[[#This Row],[ATUAL]])</f>
        <v>0</v>
      </c>
      <c r="Q206" s="119" t="n">
        <f aca="false">SUMIFS(tabela_registros[VALOR],tabela_registros[MÊS],$AE$1,tabela_registros[DIA],reservaoutrosconsolidadonov[[#Headers],[13]],tabela_registros[REGISTRO],DADOS!$N$6,tabela_registros[TIPO],DADOS!$AJ$5,tabela_registros[CATEGORIA],reservaoutrosconsolidadonov[[#This Row],[ATUAL]])</f>
        <v>0</v>
      </c>
      <c r="R206" s="119" t="n">
        <f aca="false">SUMIFS(tabela_registros[VALOR],tabela_registros[MÊS],$AE$1,tabela_registros[DIA],reservaoutrosconsolidadonov[[#Headers],[14]],tabela_registros[REGISTRO],DADOS!$N$6,tabela_registros[TIPO],DADOS!$AJ$5,tabela_registros[CATEGORIA],reservaoutrosconsolidadonov[[#This Row],[ATUAL]])</f>
        <v>0</v>
      </c>
      <c r="S206" s="119" t="n">
        <f aca="false">SUMIFS(tabela_registros[VALOR],tabela_registros[MÊS],$AE$1,tabela_registros[DIA],reservaoutrosconsolidadonov[[#Headers],[15]],tabela_registros[REGISTRO],DADOS!$N$6,tabela_registros[TIPO],DADOS!$AJ$5,tabela_registros[CATEGORIA],reservaoutrosconsolidadonov[[#This Row],[ATUAL]])</f>
        <v>0</v>
      </c>
      <c r="T206" s="119" t="n">
        <f aca="false">SUMIFS(tabela_registros[VALOR],tabela_registros[MÊS],$AE$1,tabela_registros[DIA],reservaoutrosconsolidadonov[[#Headers],[16]],tabela_registros[REGISTRO],DADOS!$N$6,tabela_registros[TIPO],DADOS!$AJ$5,tabela_registros[CATEGORIA],reservaoutrosconsolidadonov[[#This Row],[ATUAL]])</f>
        <v>0</v>
      </c>
      <c r="U206" s="119" t="n">
        <f aca="false">SUMIFS(tabela_registros[VALOR],tabela_registros[MÊS],$AE$1,tabela_registros[DIA],reservaoutrosconsolidadonov[[#Headers],[17]],tabela_registros[REGISTRO],DADOS!$N$6,tabela_registros[TIPO],DADOS!$AJ$5,tabela_registros[CATEGORIA],reservaoutrosconsolidadonov[[#This Row],[ATUAL]])</f>
        <v>0</v>
      </c>
      <c r="V206" s="119" t="n">
        <f aca="false">SUMIFS(tabela_registros[VALOR],tabela_registros[MÊS],$AE$1,tabela_registros[DIA],reservaoutrosconsolidadonov[[#Headers],[18]],tabela_registros[REGISTRO],DADOS!$N$6,tabela_registros[TIPO],DADOS!$AJ$5,tabela_registros[CATEGORIA],reservaoutrosconsolidadonov[[#This Row],[ATUAL]])</f>
        <v>0</v>
      </c>
      <c r="W206" s="119" t="n">
        <f aca="false">SUMIFS(tabela_registros[VALOR],tabela_registros[MÊS],$AE$1,tabela_registros[DIA],reservaoutrosconsolidadonov[[#Headers],[19]],tabela_registros[REGISTRO],DADOS!$N$6,tabela_registros[TIPO],DADOS!$AJ$5,tabela_registros[CATEGORIA],reservaoutrosconsolidadonov[[#This Row],[ATUAL]])</f>
        <v>0</v>
      </c>
      <c r="X206" s="119" t="n">
        <f aca="false">SUMIFS(tabela_registros[VALOR],tabela_registros[MÊS],$AE$1,tabela_registros[DIA],reservaoutrosconsolidadonov[[#Headers],[20]],tabela_registros[REGISTRO],DADOS!$N$6,tabela_registros[TIPO],DADOS!$AJ$5,tabela_registros[CATEGORIA],reservaoutrosconsolidadonov[[#This Row],[ATUAL]])</f>
        <v>0</v>
      </c>
      <c r="Y206" s="119" t="n">
        <f aca="false">SUMIFS(tabela_registros[VALOR],tabela_registros[MÊS],$AE$1,tabela_registros[DIA],reservaoutrosconsolidadonov[[#Headers],[21]],tabela_registros[REGISTRO],DADOS!$N$6,tabela_registros[TIPO],DADOS!$AJ$5,tabela_registros[CATEGORIA],reservaoutrosconsolidadonov[[#This Row],[ATUAL]])</f>
        <v>0</v>
      </c>
      <c r="Z206" s="119" t="n">
        <f aca="false">SUMIFS(tabela_registros[VALOR],tabela_registros[MÊS],$AE$1,tabela_registros[DIA],reservaoutrosconsolidadonov[[#Headers],[22]],tabela_registros[REGISTRO],DADOS!$N$6,tabela_registros[TIPO],DADOS!$AJ$5,tabela_registros[CATEGORIA],reservaoutrosconsolidadonov[[#This Row],[ATUAL]])</f>
        <v>0</v>
      </c>
      <c r="AA206" s="119" t="n">
        <f aca="false">SUMIFS(tabela_registros[VALOR],tabela_registros[MÊS],$AE$1,tabela_registros[DIA],reservaoutrosconsolidadonov[[#Headers],[23]],tabela_registros[REGISTRO],DADOS!$N$6,tabela_registros[TIPO],DADOS!$AJ$5,tabela_registros[CATEGORIA],reservaoutrosconsolidadonov[[#This Row],[ATUAL]])</f>
        <v>0</v>
      </c>
      <c r="AB206" s="119" t="n">
        <f aca="false">SUMIFS(tabela_registros[VALOR],tabela_registros[MÊS],$AE$1,tabela_registros[DIA],reservaoutrosconsolidadonov[[#Headers],[24]],tabela_registros[REGISTRO],DADOS!$N$6,tabela_registros[TIPO],DADOS!$AJ$5,tabela_registros[CATEGORIA],reservaoutrosconsolidadonov[[#This Row],[ATUAL]])</f>
        <v>0</v>
      </c>
      <c r="AC206" s="119" t="n">
        <f aca="false">SUMIFS(tabela_registros[VALOR],tabela_registros[MÊS],$AE$1,tabela_registros[DIA],reservaoutrosconsolidadonov[[#Headers],[25]],tabela_registros[REGISTRO],DADOS!$N$6,tabela_registros[TIPO],DADOS!$AJ$5,tabela_registros[CATEGORIA],reservaoutrosconsolidadonov[[#This Row],[ATUAL]])</f>
        <v>0</v>
      </c>
      <c r="AD206" s="119" t="n">
        <f aca="false">SUMIFS(tabela_registros[VALOR],tabela_registros[MÊS],$AE$1,tabela_registros[DIA],reservaoutrosconsolidadonov[[#Headers],[26]],tabela_registros[REGISTRO],DADOS!$N$6,tabela_registros[TIPO],DADOS!$AJ$5,tabela_registros[CATEGORIA],reservaoutrosconsolidadonov[[#This Row],[ATUAL]])</f>
        <v>0</v>
      </c>
      <c r="AE206" s="119" t="n">
        <f aca="false">SUMIFS(tabela_registros[VALOR],tabela_registros[MÊS],$AE$1,tabela_registros[DIA],reservaoutrosconsolidadonov[[#Headers],[27]],tabela_registros[REGISTRO],DADOS!$N$6,tabela_registros[TIPO],DADOS!$AJ$5,tabela_registros[CATEGORIA],reservaoutrosconsolidadonov[[#This Row],[ATUAL]])</f>
        <v>0</v>
      </c>
      <c r="AF206" s="119" t="n">
        <f aca="false">SUMIFS(tabela_registros[VALOR],tabela_registros[MÊS],$AE$1,tabela_registros[DIA],reservaoutrosconsolidadonov[[#Headers],[28]],tabela_registros[REGISTRO],DADOS!$N$6,tabela_registros[TIPO],DADOS!$AJ$5,tabela_registros[CATEGORIA],reservaoutrosconsolidadonov[[#This Row],[ATUAL]])</f>
        <v>0</v>
      </c>
      <c r="AG206" s="119" t="n">
        <f aca="false">SUMIFS(tabela_registros[VALOR],tabela_registros[MÊS],$AE$1,tabela_registros[DIA],reservaoutrosconsolidadonov[[#Headers],[29]],tabela_registros[REGISTRO],DADOS!$N$6,tabela_registros[TIPO],DADOS!$AJ$5,tabela_registros[CATEGORIA],reservaoutrosconsolidadonov[[#This Row],[ATUAL]])</f>
        <v>0</v>
      </c>
      <c r="AH206" s="119" t="n">
        <f aca="false">SUMIFS(tabela_registros[VALOR],tabela_registros[MÊS],$AE$1,tabela_registros[DIA],reservaoutrosconsolidadonov[[#Headers],[30]],tabela_registros[REGISTRO],DADOS!$N$6,tabela_registros[TIPO],DADOS!$AJ$5,tabela_registros[CATEGORIA],reservaoutrosconsolidadonov[[#This Row],[ATUAL]])</f>
        <v>0</v>
      </c>
      <c r="AI206" s="217" t="n">
        <f aca="false">SUMIFS(tabela_registros[VALOR],tabela_registros[MÊS],$AE$1,tabela_registros[DIA],reservaoutrosconsolidadonov[[#Headers],[31]],tabela_registros[REGISTRO],DADOS!$N$6,tabela_registros[TIPO],DADOS!$AJ$5,tabela_registros[CATEGORIA],reservaoutrosconsolidadonov[[#This Row],[ATUAL]])</f>
        <v>0</v>
      </c>
      <c r="AJ206" s="149" t="n">
        <f aca="false">SUM(reservaoutrosconsolidadonov[[#This Row],[1]:[31]])</f>
        <v>0</v>
      </c>
      <c r="AK206" s="165"/>
    </row>
    <row r="207" customFormat="false" ht="19.5" hidden="false" customHeight="true" outlineLevel="0" collapsed="false">
      <c r="B207" s="143"/>
      <c r="C207" s="144" t="str">
        <f aca="false">DADOS!$AP$4</f>
        <v>📝 FOREX</v>
      </c>
      <c r="D207" s="145" t="str">
        <f aca="false">IF(reservaoutrosconsolidadonov[[#This Row],[TOTAL (R$)]]=0,"",IF(OR(reservaoutrosconsolidadonov[[#This Row],[TOTAL (R$)]]=LARGE($AJ$206:$AJ$213,1),reservaoutrosconsolidadonov[[#This Row],[TOTAL (R$)]]=LARGE($AJ$206:$AJ$213,2)),DADOS!$I$11,""))</f>
        <v/>
      </c>
      <c r="E207" s="148" t="n">
        <f aca="false">SUMIFS(tabela_registros[VALOR],tabela_registros[MÊS],$AE$1,tabela_registros[DIA],reservaoutrosconsolidadonov[[#Headers],[1]],tabela_registros[REGISTRO],DADOS!$N$6,tabela_registros[TIPO],DADOS!$AJ$5,tabela_registros[CATEGORIA],reservaoutrosconsolidadonov[[#This Row],[ATUAL]])</f>
        <v>0</v>
      </c>
      <c r="F207" s="119" t="n">
        <f aca="false">SUMIFS(tabela_registros[VALOR],tabela_registros[MÊS],$AE$1,tabela_registros[DIA],reservaoutrosconsolidadonov[[#Headers],[2]],tabela_registros[REGISTRO],DADOS!$N$6,tabela_registros[TIPO],DADOS!$AJ$5,tabela_registros[CATEGORIA],reservaoutrosconsolidadonov[[#This Row],[ATUAL]])</f>
        <v>0</v>
      </c>
      <c r="G207" s="119" t="n">
        <f aca="false">SUMIFS(tabela_registros[VALOR],tabela_registros[MÊS],$AE$1,tabela_registros[DIA],reservaoutrosconsolidadonov[[#Headers],[3]],tabela_registros[REGISTRO],DADOS!$N$6,tabela_registros[TIPO],DADOS!$AJ$5,tabela_registros[CATEGORIA],reservaoutrosconsolidadonov[[#This Row],[ATUAL]])</f>
        <v>0</v>
      </c>
      <c r="H207" s="119" t="n">
        <f aca="false">SUMIFS(tabela_registros[VALOR],tabela_registros[MÊS],$AE$1,tabela_registros[DIA],reservaoutrosconsolidadonov[[#Headers],[4]],tabela_registros[REGISTRO],DADOS!$N$6,tabela_registros[TIPO],DADOS!$AJ$5,tabela_registros[CATEGORIA],reservaoutrosconsolidadonov[[#This Row],[ATUAL]])</f>
        <v>0</v>
      </c>
      <c r="I207" s="119" t="n">
        <f aca="false">SUMIFS(tabela_registros[VALOR],tabela_registros[MÊS],$AE$1,tabela_registros[DIA],reservaoutrosconsolidadonov[[#Headers],[5]],tabela_registros[REGISTRO],DADOS!$N$6,tabela_registros[TIPO],DADOS!$AJ$5,tabela_registros[CATEGORIA],reservaoutrosconsolidadonov[[#This Row],[ATUAL]])</f>
        <v>0</v>
      </c>
      <c r="J207" s="119" t="n">
        <f aca="false">SUMIFS(tabela_registros[VALOR],tabela_registros[MÊS],$AE$1,tabela_registros[DIA],reservaoutrosconsolidadonov[[#Headers],[6]],tabela_registros[REGISTRO],DADOS!$N$6,tabela_registros[TIPO],DADOS!$AJ$5,tabela_registros[CATEGORIA],reservaoutrosconsolidadonov[[#This Row],[ATUAL]])</f>
        <v>0</v>
      </c>
      <c r="K207" s="119" t="n">
        <f aca="false">SUMIFS(tabela_registros[VALOR],tabela_registros[MÊS],$AE$1,tabela_registros[DIA],reservaoutrosconsolidadonov[[#Headers],[7]],tabela_registros[REGISTRO],DADOS!$N$6,tabela_registros[TIPO],DADOS!$AJ$5,tabela_registros[CATEGORIA],reservaoutrosconsolidadonov[[#This Row],[ATUAL]])</f>
        <v>0</v>
      </c>
      <c r="L207" s="119" t="n">
        <f aca="false">SUMIFS(tabela_registros[VALOR],tabela_registros[MÊS],$AE$1,tabela_registros[DIA],reservaoutrosconsolidadonov[[#Headers],[8]],tabela_registros[REGISTRO],DADOS!$N$6,tabela_registros[TIPO],DADOS!$AJ$5,tabela_registros[CATEGORIA],reservaoutrosconsolidadonov[[#This Row],[ATUAL]])</f>
        <v>0</v>
      </c>
      <c r="M207" s="119" t="n">
        <f aca="false">SUMIFS(tabela_registros[VALOR],tabela_registros[MÊS],$AE$1,tabela_registros[DIA],reservaoutrosconsolidadonov[[#Headers],[9]],tabela_registros[REGISTRO],DADOS!$N$6,tabela_registros[TIPO],DADOS!$AJ$5,tabela_registros[CATEGORIA],reservaoutrosconsolidadonov[[#This Row],[ATUAL]])</f>
        <v>0</v>
      </c>
      <c r="N207" s="119" t="n">
        <f aca="false">SUMIFS(tabela_registros[VALOR],tabela_registros[MÊS],$AE$1,tabela_registros[DIA],reservaoutrosconsolidadonov[[#Headers],[10]],tabela_registros[REGISTRO],DADOS!$N$6,tabela_registros[TIPO],DADOS!$AJ$5,tabela_registros[CATEGORIA],reservaoutrosconsolidadonov[[#This Row],[ATUAL]])</f>
        <v>0</v>
      </c>
      <c r="O207" s="119" t="n">
        <f aca="false">SUMIFS(tabela_registros[VALOR],tabela_registros[MÊS],$AE$1,tabela_registros[DIA],reservaoutrosconsolidadonov[[#Headers],[11]],tabela_registros[REGISTRO],DADOS!$N$6,tabela_registros[TIPO],DADOS!$AJ$5,tabela_registros[CATEGORIA],reservaoutrosconsolidadonov[[#This Row],[ATUAL]])</f>
        <v>0</v>
      </c>
      <c r="P207" s="119" t="n">
        <f aca="false">SUMIFS(tabela_registros[VALOR],tabela_registros[MÊS],$AE$1,tabela_registros[DIA],reservaoutrosconsolidadonov[[#Headers],[12]],tabela_registros[REGISTRO],DADOS!$N$6,tabela_registros[TIPO],DADOS!$AJ$5,tabela_registros[CATEGORIA],reservaoutrosconsolidadonov[[#This Row],[ATUAL]])</f>
        <v>0</v>
      </c>
      <c r="Q207" s="119" t="n">
        <f aca="false">SUMIFS(tabela_registros[VALOR],tabela_registros[MÊS],$AE$1,tabela_registros[DIA],reservaoutrosconsolidadonov[[#Headers],[13]],tabela_registros[REGISTRO],DADOS!$N$6,tabela_registros[TIPO],DADOS!$AJ$5,tabela_registros[CATEGORIA],reservaoutrosconsolidadonov[[#This Row],[ATUAL]])</f>
        <v>0</v>
      </c>
      <c r="R207" s="119" t="n">
        <f aca="false">SUMIFS(tabela_registros[VALOR],tabela_registros[MÊS],$AE$1,tabela_registros[DIA],reservaoutrosconsolidadonov[[#Headers],[14]],tabela_registros[REGISTRO],DADOS!$N$6,tabela_registros[TIPO],DADOS!$AJ$5,tabela_registros[CATEGORIA],reservaoutrosconsolidadonov[[#This Row],[ATUAL]])</f>
        <v>0</v>
      </c>
      <c r="S207" s="119" t="n">
        <f aca="false">SUMIFS(tabela_registros[VALOR],tabela_registros[MÊS],$AE$1,tabela_registros[DIA],reservaoutrosconsolidadonov[[#Headers],[15]],tabela_registros[REGISTRO],DADOS!$N$6,tabela_registros[TIPO],DADOS!$AJ$5,tabela_registros[CATEGORIA],reservaoutrosconsolidadonov[[#This Row],[ATUAL]])</f>
        <v>0</v>
      </c>
      <c r="T207" s="119" t="n">
        <f aca="false">SUMIFS(tabela_registros[VALOR],tabela_registros[MÊS],$AE$1,tabela_registros[DIA],reservaoutrosconsolidadonov[[#Headers],[16]],tabela_registros[REGISTRO],DADOS!$N$6,tabela_registros[TIPO],DADOS!$AJ$5,tabela_registros[CATEGORIA],reservaoutrosconsolidadonov[[#This Row],[ATUAL]])</f>
        <v>0</v>
      </c>
      <c r="U207" s="119" t="n">
        <f aca="false">SUMIFS(tabela_registros[VALOR],tabela_registros[MÊS],$AE$1,tabela_registros[DIA],reservaoutrosconsolidadonov[[#Headers],[17]],tabela_registros[REGISTRO],DADOS!$N$6,tabela_registros[TIPO],DADOS!$AJ$5,tabela_registros[CATEGORIA],reservaoutrosconsolidadonov[[#This Row],[ATUAL]])</f>
        <v>0</v>
      </c>
      <c r="V207" s="119" t="n">
        <f aca="false">SUMIFS(tabela_registros[VALOR],tabela_registros[MÊS],$AE$1,tabela_registros[DIA],reservaoutrosconsolidadonov[[#Headers],[18]],tabela_registros[REGISTRO],DADOS!$N$6,tabela_registros[TIPO],DADOS!$AJ$5,tabela_registros[CATEGORIA],reservaoutrosconsolidadonov[[#This Row],[ATUAL]])</f>
        <v>0</v>
      </c>
      <c r="W207" s="119" t="n">
        <f aca="false">SUMIFS(tabela_registros[VALOR],tabela_registros[MÊS],$AE$1,tabela_registros[DIA],reservaoutrosconsolidadonov[[#Headers],[19]],tabela_registros[REGISTRO],DADOS!$N$6,tabela_registros[TIPO],DADOS!$AJ$5,tabela_registros[CATEGORIA],reservaoutrosconsolidadonov[[#This Row],[ATUAL]])</f>
        <v>0</v>
      </c>
      <c r="X207" s="119" t="n">
        <f aca="false">SUMIFS(tabela_registros[VALOR],tabela_registros[MÊS],$AE$1,tabela_registros[DIA],reservaoutrosconsolidadonov[[#Headers],[20]],tabela_registros[REGISTRO],DADOS!$N$6,tabela_registros[TIPO],DADOS!$AJ$5,tabela_registros[CATEGORIA],reservaoutrosconsolidadonov[[#This Row],[ATUAL]])</f>
        <v>0</v>
      </c>
      <c r="Y207" s="119" t="n">
        <f aca="false">SUMIFS(tabela_registros[VALOR],tabela_registros[MÊS],$AE$1,tabela_registros[DIA],reservaoutrosconsolidadonov[[#Headers],[21]],tabela_registros[REGISTRO],DADOS!$N$6,tabela_registros[TIPO],DADOS!$AJ$5,tabela_registros[CATEGORIA],reservaoutrosconsolidadonov[[#This Row],[ATUAL]])</f>
        <v>0</v>
      </c>
      <c r="Z207" s="119" t="n">
        <f aca="false">SUMIFS(tabela_registros[VALOR],tabela_registros[MÊS],$AE$1,tabela_registros[DIA],reservaoutrosconsolidadonov[[#Headers],[22]],tabela_registros[REGISTRO],DADOS!$N$6,tabela_registros[TIPO],DADOS!$AJ$5,tabela_registros[CATEGORIA],reservaoutrosconsolidadonov[[#This Row],[ATUAL]])</f>
        <v>0</v>
      </c>
      <c r="AA207" s="119" t="n">
        <f aca="false">SUMIFS(tabela_registros[VALOR],tabela_registros[MÊS],$AE$1,tabela_registros[DIA],reservaoutrosconsolidadonov[[#Headers],[23]],tabela_registros[REGISTRO],DADOS!$N$6,tabela_registros[TIPO],DADOS!$AJ$5,tabela_registros[CATEGORIA],reservaoutrosconsolidadonov[[#This Row],[ATUAL]])</f>
        <v>0</v>
      </c>
      <c r="AB207" s="119" t="n">
        <f aca="false">SUMIFS(tabela_registros[VALOR],tabela_registros[MÊS],$AE$1,tabela_registros[DIA],reservaoutrosconsolidadonov[[#Headers],[24]],tabela_registros[REGISTRO],DADOS!$N$6,tabela_registros[TIPO],DADOS!$AJ$5,tabela_registros[CATEGORIA],reservaoutrosconsolidadonov[[#This Row],[ATUAL]])</f>
        <v>0</v>
      </c>
      <c r="AC207" s="119" t="n">
        <f aca="false">SUMIFS(tabela_registros[VALOR],tabela_registros[MÊS],$AE$1,tabela_registros[DIA],reservaoutrosconsolidadonov[[#Headers],[25]],tabela_registros[REGISTRO],DADOS!$N$6,tabela_registros[TIPO],DADOS!$AJ$5,tabela_registros[CATEGORIA],reservaoutrosconsolidadonov[[#This Row],[ATUAL]])</f>
        <v>0</v>
      </c>
      <c r="AD207" s="119" t="n">
        <f aca="false">SUMIFS(tabela_registros[VALOR],tabela_registros[MÊS],$AE$1,tabela_registros[DIA],reservaoutrosconsolidadonov[[#Headers],[26]],tabela_registros[REGISTRO],DADOS!$N$6,tabela_registros[TIPO],DADOS!$AJ$5,tabela_registros[CATEGORIA],reservaoutrosconsolidadonov[[#This Row],[ATUAL]])</f>
        <v>0</v>
      </c>
      <c r="AE207" s="119" t="n">
        <f aca="false">SUMIFS(tabela_registros[VALOR],tabela_registros[MÊS],$AE$1,tabela_registros[DIA],reservaoutrosconsolidadonov[[#Headers],[27]],tabela_registros[REGISTRO],DADOS!$N$6,tabela_registros[TIPO],DADOS!$AJ$5,tabela_registros[CATEGORIA],reservaoutrosconsolidadonov[[#This Row],[ATUAL]])</f>
        <v>0</v>
      </c>
      <c r="AF207" s="119" t="n">
        <f aca="false">SUMIFS(tabela_registros[VALOR],tabela_registros[MÊS],$AE$1,tabela_registros[DIA],reservaoutrosconsolidadonov[[#Headers],[28]],tabela_registros[REGISTRO],DADOS!$N$6,tabela_registros[TIPO],DADOS!$AJ$5,tabela_registros[CATEGORIA],reservaoutrosconsolidadonov[[#This Row],[ATUAL]])</f>
        <v>0</v>
      </c>
      <c r="AG207" s="119" t="n">
        <f aca="false">SUMIFS(tabela_registros[VALOR],tabela_registros[MÊS],$AE$1,tabela_registros[DIA],reservaoutrosconsolidadonov[[#Headers],[29]],tabela_registros[REGISTRO],DADOS!$N$6,tabela_registros[TIPO],DADOS!$AJ$5,tabela_registros[CATEGORIA],reservaoutrosconsolidadonov[[#This Row],[ATUAL]])</f>
        <v>0</v>
      </c>
      <c r="AH207" s="119" t="n">
        <f aca="false">SUMIFS(tabela_registros[VALOR],tabela_registros[MÊS],$AE$1,tabela_registros[DIA],reservaoutrosconsolidadonov[[#Headers],[30]],tabela_registros[REGISTRO],DADOS!$N$6,tabela_registros[TIPO],DADOS!$AJ$5,tabela_registros[CATEGORIA],reservaoutrosconsolidadonov[[#This Row],[ATUAL]])</f>
        <v>0</v>
      </c>
      <c r="AI207" s="217" t="n">
        <f aca="false">SUMIFS(tabela_registros[VALOR],tabela_registros[MÊS],$AE$1,tabela_registros[DIA],reservaoutrosconsolidadonov[[#Headers],[31]],tabela_registros[REGISTRO],DADOS!$N$6,tabela_registros[TIPO],DADOS!$AJ$5,tabela_registros[CATEGORIA],reservaoutrosconsolidadonov[[#This Row],[ATUAL]])</f>
        <v>0</v>
      </c>
      <c r="AJ207" s="149" t="n">
        <f aca="false">SUM(reservaoutrosconsolidadonov[[#This Row],[1]:[31]])</f>
        <v>0</v>
      </c>
      <c r="AK207" s="165"/>
    </row>
    <row r="208" customFormat="false" ht="19.5" hidden="false" customHeight="true" outlineLevel="0" collapsed="false">
      <c r="B208" s="143"/>
      <c r="C208" s="144" t="str">
        <f aca="false">DADOS!$AP$5</f>
        <v>📝 FUNDO DE INVESTIMENTO</v>
      </c>
      <c r="D208" s="145" t="str">
        <f aca="false">IF(reservaoutrosconsolidadonov[[#This Row],[TOTAL (R$)]]=0,"",IF(OR(reservaoutrosconsolidadonov[[#This Row],[TOTAL (R$)]]=LARGE($AJ$206:$AJ$213,1),reservaoutrosconsolidadonov[[#This Row],[TOTAL (R$)]]=LARGE($AJ$206:$AJ$213,2)),DADOS!$I$11,""))</f>
        <v/>
      </c>
      <c r="E208" s="148" t="n">
        <f aca="false">SUMIFS(tabela_registros[VALOR],tabela_registros[MÊS],$AE$1,tabela_registros[DIA],reservaoutrosconsolidadonov[[#Headers],[1]],tabela_registros[REGISTRO],DADOS!$N$6,tabela_registros[TIPO],DADOS!$AJ$5,tabela_registros[CATEGORIA],reservaoutrosconsolidadonov[[#This Row],[ATUAL]])</f>
        <v>0</v>
      </c>
      <c r="F208" s="119" t="n">
        <f aca="false">SUMIFS(tabela_registros[VALOR],tabela_registros[MÊS],$AE$1,tabela_registros[DIA],reservaoutrosconsolidadonov[[#Headers],[2]],tabela_registros[REGISTRO],DADOS!$N$6,tabela_registros[TIPO],DADOS!$AJ$5,tabela_registros[CATEGORIA],reservaoutrosconsolidadonov[[#This Row],[ATUAL]])</f>
        <v>0</v>
      </c>
      <c r="G208" s="119" t="n">
        <f aca="false">SUMIFS(tabela_registros[VALOR],tabela_registros[MÊS],$AE$1,tabela_registros[DIA],reservaoutrosconsolidadonov[[#Headers],[3]],tabela_registros[REGISTRO],DADOS!$N$6,tabela_registros[TIPO],DADOS!$AJ$5,tabela_registros[CATEGORIA],reservaoutrosconsolidadonov[[#This Row],[ATUAL]])</f>
        <v>0</v>
      </c>
      <c r="H208" s="119" t="n">
        <f aca="false">SUMIFS(tabela_registros[VALOR],tabela_registros[MÊS],$AE$1,tabela_registros[DIA],reservaoutrosconsolidadonov[[#Headers],[4]],tabela_registros[REGISTRO],DADOS!$N$6,tabela_registros[TIPO],DADOS!$AJ$5,tabela_registros[CATEGORIA],reservaoutrosconsolidadonov[[#This Row],[ATUAL]])</f>
        <v>0</v>
      </c>
      <c r="I208" s="119" t="n">
        <f aca="false">SUMIFS(tabela_registros[VALOR],tabela_registros[MÊS],$AE$1,tabela_registros[DIA],reservaoutrosconsolidadonov[[#Headers],[5]],tabela_registros[REGISTRO],DADOS!$N$6,tabela_registros[TIPO],DADOS!$AJ$5,tabela_registros[CATEGORIA],reservaoutrosconsolidadonov[[#This Row],[ATUAL]])</f>
        <v>0</v>
      </c>
      <c r="J208" s="119" t="n">
        <f aca="false">SUMIFS(tabela_registros[VALOR],tabela_registros[MÊS],$AE$1,tabela_registros[DIA],reservaoutrosconsolidadonov[[#Headers],[6]],tabela_registros[REGISTRO],DADOS!$N$6,tabela_registros[TIPO],DADOS!$AJ$5,tabela_registros[CATEGORIA],reservaoutrosconsolidadonov[[#This Row],[ATUAL]])</f>
        <v>0</v>
      </c>
      <c r="K208" s="119" t="n">
        <f aca="false">SUMIFS(tabela_registros[VALOR],tabela_registros[MÊS],$AE$1,tabela_registros[DIA],reservaoutrosconsolidadonov[[#Headers],[7]],tabela_registros[REGISTRO],DADOS!$N$6,tabela_registros[TIPO],DADOS!$AJ$5,tabela_registros[CATEGORIA],reservaoutrosconsolidadonov[[#This Row],[ATUAL]])</f>
        <v>0</v>
      </c>
      <c r="L208" s="119" t="n">
        <f aca="false">SUMIFS(tabela_registros[VALOR],tabela_registros[MÊS],$AE$1,tabela_registros[DIA],reservaoutrosconsolidadonov[[#Headers],[8]],tabela_registros[REGISTRO],DADOS!$N$6,tabela_registros[TIPO],DADOS!$AJ$5,tabela_registros[CATEGORIA],reservaoutrosconsolidadonov[[#This Row],[ATUAL]])</f>
        <v>0</v>
      </c>
      <c r="M208" s="119" t="n">
        <f aca="false">SUMIFS(tabela_registros[VALOR],tabela_registros[MÊS],$AE$1,tabela_registros[DIA],reservaoutrosconsolidadonov[[#Headers],[9]],tabela_registros[REGISTRO],DADOS!$N$6,tabela_registros[TIPO],DADOS!$AJ$5,tabela_registros[CATEGORIA],reservaoutrosconsolidadonov[[#This Row],[ATUAL]])</f>
        <v>0</v>
      </c>
      <c r="N208" s="119" t="n">
        <f aca="false">SUMIFS(tabela_registros[VALOR],tabela_registros[MÊS],$AE$1,tabela_registros[DIA],reservaoutrosconsolidadonov[[#Headers],[10]],tabela_registros[REGISTRO],DADOS!$N$6,tabela_registros[TIPO],DADOS!$AJ$5,tabela_registros[CATEGORIA],reservaoutrosconsolidadonov[[#This Row],[ATUAL]])</f>
        <v>0</v>
      </c>
      <c r="O208" s="119" t="n">
        <f aca="false">SUMIFS(tabela_registros[VALOR],tabela_registros[MÊS],$AE$1,tabela_registros[DIA],reservaoutrosconsolidadonov[[#Headers],[11]],tabela_registros[REGISTRO],DADOS!$N$6,tabela_registros[TIPO],DADOS!$AJ$5,tabela_registros[CATEGORIA],reservaoutrosconsolidadonov[[#This Row],[ATUAL]])</f>
        <v>0</v>
      </c>
      <c r="P208" s="119" t="n">
        <f aca="false">SUMIFS(tabela_registros[VALOR],tabela_registros[MÊS],$AE$1,tabela_registros[DIA],reservaoutrosconsolidadonov[[#Headers],[12]],tabela_registros[REGISTRO],DADOS!$N$6,tabela_registros[TIPO],DADOS!$AJ$5,tabela_registros[CATEGORIA],reservaoutrosconsolidadonov[[#This Row],[ATUAL]])</f>
        <v>0</v>
      </c>
      <c r="Q208" s="119" t="n">
        <f aca="false">SUMIFS(tabela_registros[VALOR],tabela_registros[MÊS],$AE$1,tabela_registros[DIA],reservaoutrosconsolidadonov[[#Headers],[13]],tabela_registros[REGISTRO],DADOS!$N$6,tabela_registros[TIPO],DADOS!$AJ$5,tabela_registros[CATEGORIA],reservaoutrosconsolidadonov[[#This Row],[ATUAL]])</f>
        <v>0</v>
      </c>
      <c r="R208" s="119" t="n">
        <f aca="false">SUMIFS(tabela_registros[VALOR],tabela_registros[MÊS],$AE$1,tabela_registros[DIA],reservaoutrosconsolidadonov[[#Headers],[14]],tabela_registros[REGISTRO],DADOS!$N$6,tabela_registros[TIPO],DADOS!$AJ$5,tabela_registros[CATEGORIA],reservaoutrosconsolidadonov[[#This Row],[ATUAL]])</f>
        <v>0</v>
      </c>
      <c r="S208" s="119" t="n">
        <f aca="false">SUMIFS(tabela_registros[VALOR],tabela_registros[MÊS],$AE$1,tabela_registros[DIA],reservaoutrosconsolidadonov[[#Headers],[15]],tabela_registros[REGISTRO],DADOS!$N$6,tabela_registros[TIPO],DADOS!$AJ$5,tabela_registros[CATEGORIA],reservaoutrosconsolidadonov[[#This Row],[ATUAL]])</f>
        <v>0</v>
      </c>
      <c r="T208" s="119" t="n">
        <f aca="false">SUMIFS(tabela_registros[VALOR],tabela_registros[MÊS],$AE$1,tabela_registros[DIA],reservaoutrosconsolidadonov[[#Headers],[16]],tabela_registros[REGISTRO],DADOS!$N$6,tabela_registros[TIPO],DADOS!$AJ$5,tabela_registros[CATEGORIA],reservaoutrosconsolidadonov[[#This Row],[ATUAL]])</f>
        <v>0</v>
      </c>
      <c r="U208" s="119" t="n">
        <f aca="false">SUMIFS(tabela_registros[VALOR],tabela_registros[MÊS],$AE$1,tabela_registros[DIA],reservaoutrosconsolidadonov[[#Headers],[17]],tabela_registros[REGISTRO],DADOS!$N$6,tabela_registros[TIPO],DADOS!$AJ$5,tabela_registros[CATEGORIA],reservaoutrosconsolidadonov[[#This Row],[ATUAL]])</f>
        <v>0</v>
      </c>
      <c r="V208" s="119" t="n">
        <f aca="false">SUMIFS(tabela_registros[VALOR],tabela_registros[MÊS],$AE$1,tabela_registros[DIA],reservaoutrosconsolidadonov[[#Headers],[18]],tabela_registros[REGISTRO],DADOS!$N$6,tabela_registros[TIPO],DADOS!$AJ$5,tabela_registros[CATEGORIA],reservaoutrosconsolidadonov[[#This Row],[ATUAL]])</f>
        <v>0</v>
      </c>
      <c r="W208" s="119" t="n">
        <f aca="false">SUMIFS(tabela_registros[VALOR],tabela_registros[MÊS],$AE$1,tabela_registros[DIA],reservaoutrosconsolidadonov[[#Headers],[19]],tabela_registros[REGISTRO],DADOS!$N$6,tabela_registros[TIPO],DADOS!$AJ$5,tabela_registros[CATEGORIA],reservaoutrosconsolidadonov[[#This Row],[ATUAL]])</f>
        <v>0</v>
      </c>
      <c r="X208" s="119" t="n">
        <f aca="false">SUMIFS(tabela_registros[VALOR],tabela_registros[MÊS],$AE$1,tabela_registros[DIA],reservaoutrosconsolidadonov[[#Headers],[20]],tabela_registros[REGISTRO],DADOS!$N$6,tabela_registros[TIPO],DADOS!$AJ$5,tabela_registros[CATEGORIA],reservaoutrosconsolidadonov[[#This Row],[ATUAL]])</f>
        <v>0</v>
      </c>
      <c r="Y208" s="119" t="n">
        <f aca="false">SUMIFS(tabela_registros[VALOR],tabela_registros[MÊS],$AE$1,tabela_registros[DIA],reservaoutrosconsolidadonov[[#Headers],[21]],tabela_registros[REGISTRO],DADOS!$N$6,tabela_registros[TIPO],DADOS!$AJ$5,tabela_registros[CATEGORIA],reservaoutrosconsolidadonov[[#This Row],[ATUAL]])</f>
        <v>0</v>
      </c>
      <c r="Z208" s="119" t="n">
        <f aca="false">SUMIFS(tabela_registros[VALOR],tabela_registros[MÊS],$AE$1,tabela_registros[DIA],reservaoutrosconsolidadonov[[#Headers],[22]],tabela_registros[REGISTRO],DADOS!$N$6,tabela_registros[TIPO],DADOS!$AJ$5,tabela_registros[CATEGORIA],reservaoutrosconsolidadonov[[#This Row],[ATUAL]])</f>
        <v>0</v>
      </c>
      <c r="AA208" s="119" t="n">
        <f aca="false">SUMIFS(tabela_registros[VALOR],tabela_registros[MÊS],$AE$1,tabela_registros[DIA],reservaoutrosconsolidadonov[[#Headers],[23]],tabela_registros[REGISTRO],DADOS!$N$6,tabela_registros[TIPO],DADOS!$AJ$5,tabela_registros[CATEGORIA],reservaoutrosconsolidadonov[[#This Row],[ATUAL]])</f>
        <v>0</v>
      </c>
      <c r="AB208" s="119" t="n">
        <f aca="false">SUMIFS(tabela_registros[VALOR],tabela_registros[MÊS],$AE$1,tabela_registros[DIA],reservaoutrosconsolidadonov[[#Headers],[24]],tabela_registros[REGISTRO],DADOS!$N$6,tabela_registros[TIPO],DADOS!$AJ$5,tabela_registros[CATEGORIA],reservaoutrosconsolidadonov[[#This Row],[ATUAL]])</f>
        <v>0</v>
      </c>
      <c r="AC208" s="119" t="n">
        <f aca="false">SUMIFS(tabela_registros[VALOR],tabela_registros[MÊS],$AE$1,tabela_registros[DIA],reservaoutrosconsolidadonov[[#Headers],[25]],tabela_registros[REGISTRO],DADOS!$N$6,tabela_registros[TIPO],DADOS!$AJ$5,tabela_registros[CATEGORIA],reservaoutrosconsolidadonov[[#This Row],[ATUAL]])</f>
        <v>0</v>
      </c>
      <c r="AD208" s="119" t="n">
        <f aca="false">SUMIFS(tabela_registros[VALOR],tabela_registros[MÊS],$AE$1,tabela_registros[DIA],reservaoutrosconsolidadonov[[#Headers],[26]],tabela_registros[REGISTRO],DADOS!$N$6,tabela_registros[TIPO],DADOS!$AJ$5,tabela_registros[CATEGORIA],reservaoutrosconsolidadonov[[#This Row],[ATUAL]])</f>
        <v>0</v>
      </c>
      <c r="AE208" s="119" t="n">
        <f aca="false">SUMIFS(tabela_registros[VALOR],tabela_registros[MÊS],$AE$1,tabela_registros[DIA],reservaoutrosconsolidadonov[[#Headers],[27]],tabela_registros[REGISTRO],DADOS!$N$6,tabela_registros[TIPO],DADOS!$AJ$5,tabela_registros[CATEGORIA],reservaoutrosconsolidadonov[[#This Row],[ATUAL]])</f>
        <v>0</v>
      </c>
      <c r="AF208" s="119" t="n">
        <f aca="false">SUMIFS(tabela_registros[VALOR],tabela_registros[MÊS],$AE$1,tabela_registros[DIA],reservaoutrosconsolidadonov[[#Headers],[28]],tabela_registros[REGISTRO],DADOS!$N$6,tabela_registros[TIPO],DADOS!$AJ$5,tabela_registros[CATEGORIA],reservaoutrosconsolidadonov[[#This Row],[ATUAL]])</f>
        <v>0</v>
      </c>
      <c r="AG208" s="119" t="n">
        <f aca="false">SUMIFS(tabela_registros[VALOR],tabela_registros[MÊS],$AE$1,tabela_registros[DIA],reservaoutrosconsolidadonov[[#Headers],[29]],tabela_registros[REGISTRO],DADOS!$N$6,tabela_registros[TIPO],DADOS!$AJ$5,tabela_registros[CATEGORIA],reservaoutrosconsolidadonov[[#This Row],[ATUAL]])</f>
        <v>0</v>
      </c>
      <c r="AH208" s="119" t="n">
        <f aca="false">SUMIFS(tabela_registros[VALOR],tabela_registros[MÊS],$AE$1,tabela_registros[DIA],reservaoutrosconsolidadonov[[#Headers],[30]],tabela_registros[REGISTRO],DADOS!$N$6,tabela_registros[TIPO],DADOS!$AJ$5,tabela_registros[CATEGORIA],reservaoutrosconsolidadonov[[#This Row],[ATUAL]])</f>
        <v>0</v>
      </c>
      <c r="AI208" s="217" t="n">
        <f aca="false">SUMIFS(tabela_registros[VALOR],tabela_registros[MÊS],$AE$1,tabela_registros[DIA],reservaoutrosconsolidadonov[[#Headers],[31]],tabela_registros[REGISTRO],DADOS!$N$6,tabela_registros[TIPO],DADOS!$AJ$5,tabela_registros[CATEGORIA],reservaoutrosconsolidadonov[[#This Row],[ATUAL]])</f>
        <v>0</v>
      </c>
      <c r="AJ208" s="149" t="n">
        <f aca="false">SUM(reservaoutrosconsolidadonov[[#This Row],[1]:[31]])</f>
        <v>0</v>
      </c>
      <c r="AK208" s="165"/>
    </row>
    <row r="209" customFormat="false" ht="19.5" hidden="false" customHeight="true" outlineLevel="0" collapsed="false">
      <c r="B209" s="143"/>
      <c r="C209" s="144" t="str">
        <f aca="false">DADOS!$AP$6</f>
        <v>📝 NOVA EMPRESA</v>
      </c>
      <c r="D209" s="145" t="str">
        <f aca="false">IF(reservaoutrosconsolidadonov[[#This Row],[TOTAL (R$)]]=0,"",IF(OR(reservaoutrosconsolidadonov[[#This Row],[TOTAL (R$)]]=LARGE($AJ$206:$AJ$213,1),reservaoutrosconsolidadonov[[#This Row],[TOTAL (R$)]]=LARGE($AJ$206:$AJ$213,2)),DADOS!$I$11,""))</f>
        <v/>
      </c>
      <c r="E209" s="148" t="n">
        <f aca="false">SUMIFS(tabela_registros[VALOR],tabela_registros[MÊS],$AE$1,tabela_registros[DIA],reservaoutrosconsolidadonov[[#Headers],[1]],tabela_registros[REGISTRO],DADOS!$N$6,tabela_registros[TIPO],DADOS!$AJ$5,tabela_registros[CATEGORIA],reservaoutrosconsolidadonov[[#This Row],[ATUAL]])</f>
        <v>0</v>
      </c>
      <c r="F209" s="119" t="n">
        <f aca="false">SUMIFS(tabela_registros[VALOR],tabela_registros[MÊS],$AE$1,tabela_registros[DIA],reservaoutrosconsolidadonov[[#Headers],[2]],tabela_registros[REGISTRO],DADOS!$N$6,tabela_registros[TIPO],DADOS!$AJ$5,tabela_registros[CATEGORIA],reservaoutrosconsolidadonov[[#This Row],[ATUAL]])</f>
        <v>0</v>
      </c>
      <c r="G209" s="119" t="n">
        <f aca="false">SUMIFS(tabela_registros[VALOR],tabela_registros[MÊS],$AE$1,tabela_registros[DIA],reservaoutrosconsolidadonov[[#Headers],[3]],tabela_registros[REGISTRO],DADOS!$N$6,tabela_registros[TIPO],DADOS!$AJ$5,tabela_registros[CATEGORIA],reservaoutrosconsolidadonov[[#This Row],[ATUAL]])</f>
        <v>0</v>
      </c>
      <c r="H209" s="119" t="n">
        <f aca="false">SUMIFS(tabela_registros[VALOR],tabela_registros[MÊS],$AE$1,tabela_registros[DIA],reservaoutrosconsolidadonov[[#Headers],[4]],tabela_registros[REGISTRO],DADOS!$N$6,tabela_registros[TIPO],DADOS!$AJ$5,tabela_registros[CATEGORIA],reservaoutrosconsolidadonov[[#This Row],[ATUAL]])</f>
        <v>0</v>
      </c>
      <c r="I209" s="119" t="n">
        <f aca="false">SUMIFS(tabela_registros[VALOR],tabela_registros[MÊS],$AE$1,tabela_registros[DIA],reservaoutrosconsolidadonov[[#Headers],[5]],tabela_registros[REGISTRO],DADOS!$N$6,tabela_registros[TIPO],DADOS!$AJ$5,tabela_registros[CATEGORIA],reservaoutrosconsolidadonov[[#This Row],[ATUAL]])</f>
        <v>0</v>
      </c>
      <c r="J209" s="119" t="n">
        <f aca="false">SUMIFS(tabela_registros[VALOR],tabela_registros[MÊS],$AE$1,tabela_registros[DIA],reservaoutrosconsolidadonov[[#Headers],[6]],tabela_registros[REGISTRO],DADOS!$N$6,tabela_registros[TIPO],DADOS!$AJ$5,tabela_registros[CATEGORIA],reservaoutrosconsolidadonov[[#This Row],[ATUAL]])</f>
        <v>0</v>
      </c>
      <c r="K209" s="119" t="n">
        <f aca="false">SUMIFS(tabela_registros[VALOR],tabela_registros[MÊS],$AE$1,tabela_registros[DIA],reservaoutrosconsolidadonov[[#Headers],[7]],tabela_registros[REGISTRO],DADOS!$N$6,tabela_registros[TIPO],DADOS!$AJ$5,tabela_registros[CATEGORIA],reservaoutrosconsolidadonov[[#This Row],[ATUAL]])</f>
        <v>0</v>
      </c>
      <c r="L209" s="119" t="n">
        <f aca="false">SUMIFS(tabela_registros[VALOR],tabela_registros[MÊS],$AE$1,tabela_registros[DIA],reservaoutrosconsolidadonov[[#Headers],[8]],tabela_registros[REGISTRO],DADOS!$N$6,tabela_registros[TIPO],DADOS!$AJ$5,tabela_registros[CATEGORIA],reservaoutrosconsolidadonov[[#This Row],[ATUAL]])</f>
        <v>0</v>
      </c>
      <c r="M209" s="119" t="n">
        <f aca="false">SUMIFS(tabela_registros[VALOR],tabela_registros[MÊS],$AE$1,tabela_registros[DIA],reservaoutrosconsolidadonov[[#Headers],[9]],tabela_registros[REGISTRO],DADOS!$N$6,tabela_registros[TIPO],DADOS!$AJ$5,tabela_registros[CATEGORIA],reservaoutrosconsolidadonov[[#This Row],[ATUAL]])</f>
        <v>0</v>
      </c>
      <c r="N209" s="119" t="n">
        <f aca="false">SUMIFS(tabela_registros[VALOR],tabela_registros[MÊS],$AE$1,tabela_registros[DIA],reservaoutrosconsolidadonov[[#Headers],[10]],tabela_registros[REGISTRO],DADOS!$N$6,tabela_registros[TIPO],DADOS!$AJ$5,tabela_registros[CATEGORIA],reservaoutrosconsolidadonov[[#This Row],[ATUAL]])</f>
        <v>0</v>
      </c>
      <c r="O209" s="119" t="n">
        <f aca="false">SUMIFS(tabela_registros[VALOR],tabela_registros[MÊS],$AE$1,tabela_registros[DIA],reservaoutrosconsolidadonov[[#Headers],[11]],tabela_registros[REGISTRO],DADOS!$N$6,tabela_registros[TIPO],DADOS!$AJ$5,tabela_registros[CATEGORIA],reservaoutrosconsolidadonov[[#This Row],[ATUAL]])</f>
        <v>0</v>
      </c>
      <c r="P209" s="119" t="n">
        <f aca="false">SUMIFS(tabela_registros[VALOR],tabela_registros[MÊS],$AE$1,tabela_registros[DIA],reservaoutrosconsolidadonov[[#Headers],[12]],tabela_registros[REGISTRO],DADOS!$N$6,tabela_registros[TIPO],DADOS!$AJ$5,tabela_registros[CATEGORIA],reservaoutrosconsolidadonov[[#This Row],[ATUAL]])</f>
        <v>0</v>
      </c>
      <c r="Q209" s="119" t="n">
        <f aca="false">SUMIFS(tabela_registros[VALOR],tabela_registros[MÊS],$AE$1,tabela_registros[DIA],reservaoutrosconsolidadonov[[#Headers],[13]],tabela_registros[REGISTRO],DADOS!$N$6,tabela_registros[TIPO],DADOS!$AJ$5,tabela_registros[CATEGORIA],reservaoutrosconsolidadonov[[#This Row],[ATUAL]])</f>
        <v>0</v>
      </c>
      <c r="R209" s="119" t="n">
        <f aca="false">SUMIFS(tabela_registros[VALOR],tabela_registros[MÊS],$AE$1,tabela_registros[DIA],reservaoutrosconsolidadonov[[#Headers],[14]],tabela_registros[REGISTRO],DADOS!$N$6,tabela_registros[TIPO],DADOS!$AJ$5,tabela_registros[CATEGORIA],reservaoutrosconsolidadonov[[#This Row],[ATUAL]])</f>
        <v>0</v>
      </c>
      <c r="S209" s="119" t="n">
        <f aca="false">SUMIFS(tabela_registros[VALOR],tabela_registros[MÊS],$AE$1,tabela_registros[DIA],reservaoutrosconsolidadonov[[#Headers],[15]],tabela_registros[REGISTRO],DADOS!$N$6,tabela_registros[TIPO],DADOS!$AJ$5,tabela_registros[CATEGORIA],reservaoutrosconsolidadonov[[#This Row],[ATUAL]])</f>
        <v>0</v>
      </c>
      <c r="T209" s="119" t="n">
        <f aca="false">SUMIFS(tabela_registros[VALOR],tabela_registros[MÊS],$AE$1,tabela_registros[DIA],reservaoutrosconsolidadonov[[#Headers],[16]],tabela_registros[REGISTRO],DADOS!$N$6,tabela_registros[TIPO],DADOS!$AJ$5,tabela_registros[CATEGORIA],reservaoutrosconsolidadonov[[#This Row],[ATUAL]])</f>
        <v>0</v>
      </c>
      <c r="U209" s="119" t="n">
        <f aca="false">SUMIFS(tabela_registros[VALOR],tabela_registros[MÊS],$AE$1,tabela_registros[DIA],reservaoutrosconsolidadonov[[#Headers],[17]],tabela_registros[REGISTRO],DADOS!$N$6,tabela_registros[TIPO],DADOS!$AJ$5,tabela_registros[CATEGORIA],reservaoutrosconsolidadonov[[#This Row],[ATUAL]])</f>
        <v>0</v>
      </c>
      <c r="V209" s="119" t="n">
        <f aca="false">SUMIFS(tabela_registros[VALOR],tabela_registros[MÊS],$AE$1,tabela_registros[DIA],reservaoutrosconsolidadonov[[#Headers],[18]],tabela_registros[REGISTRO],DADOS!$N$6,tabela_registros[TIPO],DADOS!$AJ$5,tabela_registros[CATEGORIA],reservaoutrosconsolidadonov[[#This Row],[ATUAL]])</f>
        <v>0</v>
      </c>
      <c r="W209" s="119" t="n">
        <f aca="false">SUMIFS(tabela_registros[VALOR],tabela_registros[MÊS],$AE$1,tabela_registros[DIA],reservaoutrosconsolidadonov[[#Headers],[19]],tabela_registros[REGISTRO],DADOS!$N$6,tabela_registros[TIPO],DADOS!$AJ$5,tabela_registros[CATEGORIA],reservaoutrosconsolidadonov[[#This Row],[ATUAL]])</f>
        <v>0</v>
      </c>
      <c r="X209" s="119" t="n">
        <f aca="false">SUMIFS(tabela_registros[VALOR],tabela_registros[MÊS],$AE$1,tabela_registros[DIA],reservaoutrosconsolidadonov[[#Headers],[20]],tabela_registros[REGISTRO],DADOS!$N$6,tabela_registros[TIPO],DADOS!$AJ$5,tabela_registros[CATEGORIA],reservaoutrosconsolidadonov[[#This Row],[ATUAL]])</f>
        <v>0</v>
      </c>
      <c r="Y209" s="119" t="n">
        <f aca="false">SUMIFS(tabela_registros[VALOR],tabela_registros[MÊS],$AE$1,tabela_registros[DIA],reservaoutrosconsolidadonov[[#Headers],[21]],tabela_registros[REGISTRO],DADOS!$N$6,tabela_registros[TIPO],DADOS!$AJ$5,tabela_registros[CATEGORIA],reservaoutrosconsolidadonov[[#This Row],[ATUAL]])</f>
        <v>0</v>
      </c>
      <c r="Z209" s="119" t="n">
        <f aca="false">SUMIFS(tabela_registros[VALOR],tabela_registros[MÊS],$AE$1,tabela_registros[DIA],reservaoutrosconsolidadonov[[#Headers],[22]],tabela_registros[REGISTRO],DADOS!$N$6,tabela_registros[TIPO],DADOS!$AJ$5,tabela_registros[CATEGORIA],reservaoutrosconsolidadonov[[#This Row],[ATUAL]])</f>
        <v>0</v>
      </c>
      <c r="AA209" s="119" t="n">
        <f aca="false">SUMIFS(tabela_registros[VALOR],tabela_registros[MÊS],$AE$1,tabela_registros[DIA],reservaoutrosconsolidadonov[[#Headers],[23]],tabela_registros[REGISTRO],DADOS!$N$6,tabela_registros[TIPO],DADOS!$AJ$5,tabela_registros[CATEGORIA],reservaoutrosconsolidadonov[[#This Row],[ATUAL]])</f>
        <v>0</v>
      </c>
      <c r="AB209" s="119" t="n">
        <f aca="false">SUMIFS(tabela_registros[VALOR],tabela_registros[MÊS],$AE$1,tabela_registros[DIA],reservaoutrosconsolidadonov[[#Headers],[24]],tabela_registros[REGISTRO],DADOS!$N$6,tabela_registros[TIPO],DADOS!$AJ$5,tabela_registros[CATEGORIA],reservaoutrosconsolidadonov[[#This Row],[ATUAL]])</f>
        <v>0</v>
      </c>
      <c r="AC209" s="119" t="n">
        <f aca="false">SUMIFS(tabela_registros[VALOR],tabela_registros[MÊS],$AE$1,tabela_registros[DIA],reservaoutrosconsolidadonov[[#Headers],[25]],tabela_registros[REGISTRO],DADOS!$N$6,tabela_registros[TIPO],DADOS!$AJ$5,tabela_registros[CATEGORIA],reservaoutrosconsolidadonov[[#This Row],[ATUAL]])</f>
        <v>0</v>
      </c>
      <c r="AD209" s="119" t="n">
        <f aca="false">SUMIFS(tabela_registros[VALOR],tabela_registros[MÊS],$AE$1,tabela_registros[DIA],reservaoutrosconsolidadonov[[#Headers],[26]],tabela_registros[REGISTRO],DADOS!$N$6,tabela_registros[TIPO],DADOS!$AJ$5,tabela_registros[CATEGORIA],reservaoutrosconsolidadonov[[#This Row],[ATUAL]])</f>
        <v>0</v>
      </c>
      <c r="AE209" s="119" t="n">
        <f aca="false">SUMIFS(tabela_registros[VALOR],tabela_registros[MÊS],$AE$1,tabela_registros[DIA],reservaoutrosconsolidadonov[[#Headers],[27]],tabela_registros[REGISTRO],DADOS!$N$6,tabela_registros[TIPO],DADOS!$AJ$5,tabela_registros[CATEGORIA],reservaoutrosconsolidadonov[[#This Row],[ATUAL]])</f>
        <v>0</v>
      </c>
      <c r="AF209" s="119" t="n">
        <f aca="false">SUMIFS(tabela_registros[VALOR],tabela_registros[MÊS],$AE$1,tabela_registros[DIA],reservaoutrosconsolidadonov[[#Headers],[28]],tabela_registros[REGISTRO],DADOS!$N$6,tabela_registros[TIPO],DADOS!$AJ$5,tabela_registros[CATEGORIA],reservaoutrosconsolidadonov[[#This Row],[ATUAL]])</f>
        <v>0</v>
      </c>
      <c r="AG209" s="119" t="n">
        <f aca="false">SUMIFS(tabela_registros[VALOR],tabela_registros[MÊS],$AE$1,tabela_registros[DIA],reservaoutrosconsolidadonov[[#Headers],[29]],tabela_registros[REGISTRO],DADOS!$N$6,tabela_registros[TIPO],DADOS!$AJ$5,tabela_registros[CATEGORIA],reservaoutrosconsolidadonov[[#This Row],[ATUAL]])</f>
        <v>0</v>
      </c>
      <c r="AH209" s="119" t="n">
        <f aca="false">SUMIFS(tabela_registros[VALOR],tabela_registros[MÊS],$AE$1,tabela_registros[DIA],reservaoutrosconsolidadonov[[#Headers],[30]],tabela_registros[REGISTRO],DADOS!$N$6,tabela_registros[TIPO],DADOS!$AJ$5,tabela_registros[CATEGORIA],reservaoutrosconsolidadonov[[#This Row],[ATUAL]])</f>
        <v>0</v>
      </c>
      <c r="AI209" s="217" t="n">
        <f aca="false">SUMIFS(tabela_registros[VALOR],tabela_registros[MÊS],$AE$1,tabela_registros[DIA],reservaoutrosconsolidadonov[[#Headers],[31]],tabela_registros[REGISTRO],DADOS!$N$6,tabela_registros[TIPO],DADOS!$AJ$5,tabela_registros[CATEGORIA],reservaoutrosconsolidadonov[[#This Row],[ATUAL]])</f>
        <v>0</v>
      </c>
      <c r="AJ209" s="149" t="n">
        <f aca="false">SUM(reservaoutrosconsolidadonov[[#This Row],[1]:[31]])</f>
        <v>0</v>
      </c>
      <c r="AK209" s="165"/>
    </row>
    <row r="210" customFormat="false" ht="19.5" hidden="false" customHeight="true" outlineLevel="0" collapsed="false">
      <c r="B210" s="143"/>
      <c r="C210" s="144" t="str">
        <f aca="false">DADOS!$AP$7</f>
        <v>📝 PEER TO COMPANY</v>
      </c>
      <c r="D210" s="145" t="str">
        <f aca="false">IF(reservaoutrosconsolidadonov[[#This Row],[TOTAL (R$)]]=0,"",IF(OR(reservaoutrosconsolidadonov[[#This Row],[TOTAL (R$)]]=LARGE($AJ$206:$AJ$213,1),reservaoutrosconsolidadonov[[#This Row],[TOTAL (R$)]]=LARGE($AJ$206:$AJ$213,2)),DADOS!$I$11,""))</f>
        <v/>
      </c>
      <c r="E210" s="148" t="n">
        <f aca="false">SUMIFS(tabela_registros[VALOR],tabela_registros[MÊS],$AE$1,tabela_registros[DIA],reservaoutrosconsolidadonov[[#Headers],[1]],tabela_registros[REGISTRO],DADOS!$N$6,tabela_registros[TIPO],DADOS!$AJ$5,tabela_registros[CATEGORIA],reservaoutrosconsolidadonov[[#This Row],[ATUAL]])</f>
        <v>0</v>
      </c>
      <c r="F210" s="119" t="n">
        <f aca="false">SUMIFS(tabela_registros[VALOR],tabela_registros[MÊS],$AE$1,tabela_registros[DIA],reservaoutrosconsolidadonov[[#Headers],[2]],tabela_registros[REGISTRO],DADOS!$N$6,tabela_registros[TIPO],DADOS!$AJ$5,tabela_registros[CATEGORIA],reservaoutrosconsolidadonov[[#This Row],[ATUAL]])</f>
        <v>0</v>
      </c>
      <c r="G210" s="119" t="n">
        <f aca="false">SUMIFS(tabela_registros[VALOR],tabela_registros[MÊS],$AE$1,tabela_registros[DIA],reservaoutrosconsolidadonov[[#Headers],[3]],tabela_registros[REGISTRO],DADOS!$N$6,tabela_registros[TIPO],DADOS!$AJ$5,tabela_registros[CATEGORIA],reservaoutrosconsolidadonov[[#This Row],[ATUAL]])</f>
        <v>0</v>
      </c>
      <c r="H210" s="119" t="n">
        <f aca="false">SUMIFS(tabela_registros[VALOR],tabela_registros[MÊS],$AE$1,tabela_registros[DIA],reservaoutrosconsolidadonov[[#Headers],[4]],tabela_registros[REGISTRO],DADOS!$N$6,tabela_registros[TIPO],DADOS!$AJ$5,tabela_registros[CATEGORIA],reservaoutrosconsolidadonov[[#This Row],[ATUAL]])</f>
        <v>0</v>
      </c>
      <c r="I210" s="119" t="n">
        <f aca="false">SUMIFS(tabela_registros[VALOR],tabela_registros[MÊS],$AE$1,tabela_registros[DIA],reservaoutrosconsolidadonov[[#Headers],[5]],tabela_registros[REGISTRO],DADOS!$N$6,tabela_registros[TIPO],DADOS!$AJ$5,tabela_registros[CATEGORIA],reservaoutrosconsolidadonov[[#This Row],[ATUAL]])</f>
        <v>0</v>
      </c>
      <c r="J210" s="119" t="n">
        <f aca="false">SUMIFS(tabela_registros[VALOR],tabela_registros[MÊS],$AE$1,tabela_registros[DIA],reservaoutrosconsolidadonov[[#Headers],[6]],tabela_registros[REGISTRO],DADOS!$N$6,tabela_registros[TIPO],DADOS!$AJ$5,tabela_registros[CATEGORIA],reservaoutrosconsolidadonov[[#This Row],[ATUAL]])</f>
        <v>0</v>
      </c>
      <c r="K210" s="119" t="n">
        <f aca="false">SUMIFS(tabela_registros[VALOR],tabela_registros[MÊS],$AE$1,tabela_registros[DIA],reservaoutrosconsolidadonov[[#Headers],[7]],tabela_registros[REGISTRO],DADOS!$N$6,tabela_registros[TIPO],DADOS!$AJ$5,tabela_registros[CATEGORIA],reservaoutrosconsolidadonov[[#This Row],[ATUAL]])</f>
        <v>0</v>
      </c>
      <c r="L210" s="119" t="n">
        <f aca="false">SUMIFS(tabela_registros[VALOR],tabela_registros[MÊS],$AE$1,tabela_registros[DIA],reservaoutrosconsolidadonov[[#Headers],[8]],tabela_registros[REGISTRO],DADOS!$N$6,tabela_registros[TIPO],DADOS!$AJ$5,tabela_registros[CATEGORIA],reservaoutrosconsolidadonov[[#This Row],[ATUAL]])</f>
        <v>0</v>
      </c>
      <c r="M210" s="119" t="n">
        <f aca="false">SUMIFS(tabela_registros[VALOR],tabela_registros[MÊS],$AE$1,tabela_registros[DIA],reservaoutrosconsolidadonov[[#Headers],[9]],tabela_registros[REGISTRO],DADOS!$N$6,tabela_registros[TIPO],DADOS!$AJ$5,tabela_registros[CATEGORIA],reservaoutrosconsolidadonov[[#This Row],[ATUAL]])</f>
        <v>0</v>
      </c>
      <c r="N210" s="119" t="n">
        <f aca="false">SUMIFS(tabela_registros[VALOR],tabela_registros[MÊS],$AE$1,tabela_registros[DIA],reservaoutrosconsolidadonov[[#Headers],[10]],tabela_registros[REGISTRO],DADOS!$N$6,tabela_registros[TIPO],DADOS!$AJ$5,tabela_registros[CATEGORIA],reservaoutrosconsolidadonov[[#This Row],[ATUAL]])</f>
        <v>0</v>
      </c>
      <c r="O210" s="119" t="n">
        <f aca="false">SUMIFS(tabela_registros[VALOR],tabela_registros[MÊS],$AE$1,tabela_registros[DIA],reservaoutrosconsolidadonov[[#Headers],[11]],tabela_registros[REGISTRO],DADOS!$N$6,tabela_registros[TIPO],DADOS!$AJ$5,tabela_registros[CATEGORIA],reservaoutrosconsolidadonov[[#This Row],[ATUAL]])</f>
        <v>0</v>
      </c>
      <c r="P210" s="119" t="n">
        <f aca="false">SUMIFS(tabela_registros[VALOR],tabela_registros[MÊS],$AE$1,tabela_registros[DIA],reservaoutrosconsolidadonov[[#Headers],[12]],tabela_registros[REGISTRO],DADOS!$N$6,tabela_registros[TIPO],DADOS!$AJ$5,tabela_registros[CATEGORIA],reservaoutrosconsolidadonov[[#This Row],[ATUAL]])</f>
        <v>0</v>
      </c>
      <c r="Q210" s="119" t="n">
        <f aca="false">SUMIFS(tabela_registros[VALOR],tabela_registros[MÊS],$AE$1,tabela_registros[DIA],reservaoutrosconsolidadonov[[#Headers],[13]],tabela_registros[REGISTRO],DADOS!$N$6,tabela_registros[TIPO],DADOS!$AJ$5,tabela_registros[CATEGORIA],reservaoutrosconsolidadonov[[#This Row],[ATUAL]])</f>
        <v>0</v>
      </c>
      <c r="R210" s="119" t="n">
        <f aca="false">SUMIFS(tabela_registros[VALOR],tabela_registros[MÊS],$AE$1,tabela_registros[DIA],reservaoutrosconsolidadonov[[#Headers],[14]],tabela_registros[REGISTRO],DADOS!$N$6,tabela_registros[TIPO],DADOS!$AJ$5,tabela_registros[CATEGORIA],reservaoutrosconsolidadonov[[#This Row],[ATUAL]])</f>
        <v>0</v>
      </c>
      <c r="S210" s="119" t="n">
        <f aca="false">SUMIFS(tabela_registros[VALOR],tabela_registros[MÊS],$AE$1,tabela_registros[DIA],reservaoutrosconsolidadonov[[#Headers],[15]],tabela_registros[REGISTRO],DADOS!$N$6,tabela_registros[TIPO],DADOS!$AJ$5,tabela_registros[CATEGORIA],reservaoutrosconsolidadonov[[#This Row],[ATUAL]])</f>
        <v>0</v>
      </c>
      <c r="T210" s="119" t="n">
        <f aca="false">SUMIFS(tabela_registros[VALOR],tabela_registros[MÊS],$AE$1,tabela_registros[DIA],reservaoutrosconsolidadonov[[#Headers],[16]],tabela_registros[REGISTRO],DADOS!$N$6,tabela_registros[TIPO],DADOS!$AJ$5,tabela_registros[CATEGORIA],reservaoutrosconsolidadonov[[#This Row],[ATUAL]])</f>
        <v>0</v>
      </c>
      <c r="U210" s="119" t="n">
        <f aca="false">SUMIFS(tabela_registros[VALOR],tabela_registros[MÊS],$AE$1,tabela_registros[DIA],reservaoutrosconsolidadonov[[#Headers],[17]],tabela_registros[REGISTRO],DADOS!$N$6,tabela_registros[TIPO],DADOS!$AJ$5,tabela_registros[CATEGORIA],reservaoutrosconsolidadonov[[#This Row],[ATUAL]])</f>
        <v>0</v>
      </c>
      <c r="V210" s="119" t="n">
        <f aca="false">SUMIFS(tabela_registros[VALOR],tabela_registros[MÊS],$AE$1,tabela_registros[DIA],reservaoutrosconsolidadonov[[#Headers],[18]],tabela_registros[REGISTRO],DADOS!$N$6,tabela_registros[TIPO],DADOS!$AJ$5,tabela_registros[CATEGORIA],reservaoutrosconsolidadonov[[#This Row],[ATUAL]])</f>
        <v>0</v>
      </c>
      <c r="W210" s="119" t="n">
        <f aca="false">SUMIFS(tabela_registros[VALOR],tabela_registros[MÊS],$AE$1,tabela_registros[DIA],reservaoutrosconsolidadonov[[#Headers],[19]],tabela_registros[REGISTRO],DADOS!$N$6,tabela_registros[TIPO],DADOS!$AJ$5,tabela_registros[CATEGORIA],reservaoutrosconsolidadonov[[#This Row],[ATUAL]])</f>
        <v>0</v>
      </c>
      <c r="X210" s="119" t="n">
        <f aca="false">SUMIFS(tabela_registros[VALOR],tabela_registros[MÊS],$AE$1,tabela_registros[DIA],reservaoutrosconsolidadonov[[#Headers],[20]],tabela_registros[REGISTRO],DADOS!$N$6,tabela_registros[TIPO],DADOS!$AJ$5,tabela_registros[CATEGORIA],reservaoutrosconsolidadonov[[#This Row],[ATUAL]])</f>
        <v>0</v>
      </c>
      <c r="Y210" s="119" t="n">
        <f aca="false">SUMIFS(tabela_registros[VALOR],tabela_registros[MÊS],$AE$1,tabela_registros[DIA],reservaoutrosconsolidadonov[[#Headers],[21]],tabela_registros[REGISTRO],DADOS!$N$6,tabela_registros[TIPO],DADOS!$AJ$5,tabela_registros[CATEGORIA],reservaoutrosconsolidadonov[[#This Row],[ATUAL]])</f>
        <v>0</v>
      </c>
      <c r="Z210" s="119" t="n">
        <f aca="false">SUMIFS(tabela_registros[VALOR],tabela_registros[MÊS],$AE$1,tabela_registros[DIA],reservaoutrosconsolidadonov[[#Headers],[22]],tabela_registros[REGISTRO],DADOS!$N$6,tabela_registros[TIPO],DADOS!$AJ$5,tabela_registros[CATEGORIA],reservaoutrosconsolidadonov[[#This Row],[ATUAL]])</f>
        <v>0</v>
      </c>
      <c r="AA210" s="119" t="n">
        <f aca="false">SUMIFS(tabela_registros[VALOR],tabela_registros[MÊS],$AE$1,tabela_registros[DIA],reservaoutrosconsolidadonov[[#Headers],[23]],tabela_registros[REGISTRO],DADOS!$N$6,tabela_registros[TIPO],DADOS!$AJ$5,tabela_registros[CATEGORIA],reservaoutrosconsolidadonov[[#This Row],[ATUAL]])</f>
        <v>0</v>
      </c>
      <c r="AB210" s="119" t="n">
        <f aca="false">SUMIFS(tabela_registros[VALOR],tabela_registros[MÊS],$AE$1,tabela_registros[DIA],reservaoutrosconsolidadonov[[#Headers],[24]],tabela_registros[REGISTRO],DADOS!$N$6,tabela_registros[TIPO],DADOS!$AJ$5,tabela_registros[CATEGORIA],reservaoutrosconsolidadonov[[#This Row],[ATUAL]])</f>
        <v>0</v>
      </c>
      <c r="AC210" s="119" t="n">
        <f aca="false">SUMIFS(tabela_registros[VALOR],tabela_registros[MÊS],$AE$1,tabela_registros[DIA],reservaoutrosconsolidadonov[[#Headers],[25]],tabela_registros[REGISTRO],DADOS!$N$6,tabela_registros[TIPO],DADOS!$AJ$5,tabela_registros[CATEGORIA],reservaoutrosconsolidadonov[[#This Row],[ATUAL]])</f>
        <v>0</v>
      </c>
      <c r="AD210" s="119" t="n">
        <f aca="false">SUMIFS(tabela_registros[VALOR],tabela_registros[MÊS],$AE$1,tabela_registros[DIA],reservaoutrosconsolidadonov[[#Headers],[26]],tabela_registros[REGISTRO],DADOS!$N$6,tabela_registros[TIPO],DADOS!$AJ$5,tabela_registros[CATEGORIA],reservaoutrosconsolidadonov[[#This Row],[ATUAL]])</f>
        <v>0</v>
      </c>
      <c r="AE210" s="119" t="n">
        <f aca="false">SUMIFS(tabela_registros[VALOR],tabela_registros[MÊS],$AE$1,tabela_registros[DIA],reservaoutrosconsolidadonov[[#Headers],[27]],tabela_registros[REGISTRO],DADOS!$N$6,tabela_registros[TIPO],DADOS!$AJ$5,tabela_registros[CATEGORIA],reservaoutrosconsolidadonov[[#This Row],[ATUAL]])</f>
        <v>0</v>
      </c>
      <c r="AF210" s="119" t="n">
        <f aca="false">SUMIFS(tabela_registros[VALOR],tabela_registros[MÊS],$AE$1,tabela_registros[DIA],reservaoutrosconsolidadonov[[#Headers],[28]],tabela_registros[REGISTRO],DADOS!$N$6,tabela_registros[TIPO],DADOS!$AJ$5,tabela_registros[CATEGORIA],reservaoutrosconsolidadonov[[#This Row],[ATUAL]])</f>
        <v>0</v>
      </c>
      <c r="AG210" s="119" t="n">
        <f aca="false">SUMIFS(tabela_registros[VALOR],tabela_registros[MÊS],$AE$1,tabela_registros[DIA],reservaoutrosconsolidadonov[[#Headers],[29]],tabela_registros[REGISTRO],DADOS!$N$6,tabela_registros[TIPO],DADOS!$AJ$5,tabela_registros[CATEGORIA],reservaoutrosconsolidadonov[[#This Row],[ATUAL]])</f>
        <v>0</v>
      </c>
      <c r="AH210" s="119" t="n">
        <f aca="false">SUMIFS(tabela_registros[VALOR],tabela_registros[MÊS],$AE$1,tabela_registros[DIA],reservaoutrosconsolidadonov[[#Headers],[30]],tabela_registros[REGISTRO],DADOS!$N$6,tabela_registros[TIPO],DADOS!$AJ$5,tabela_registros[CATEGORIA],reservaoutrosconsolidadonov[[#This Row],[ATUAL]])</f>
        <v>0</v>
      </c>
      <c r="AI210" s="217" t="n">
        <f aca="false">SUMIFS(tabela_registros[VALOR],tabela_registros[MÊS],$AE$1,tabela_registros[DIA],reservaoutrosconsolidadonov[[#Headers],[31]],tabela_registros[REGISTRO],DADOS!$N$6,tabela_registros[TIPO],DADOS!$AJ$5,tabela_registros[CATEGORIA],reservaoutrosconsolidadonov[[#This Row],[ATUAL]])</f>
        <v>0</v>
      </c>
      <c r="AJ210" s="149" t="n">
        <f aca="false">SUM(reservaoutrosconsolidadonov[[#This Row],[1]:[31]])</f>
        <v>0</v>
      </c>
      <c r="AK210" s="165"/>
    </row>
    <row r="211" customFormat="false" ht="19.5" hidden="false" customHeight="true" outlineLevel="0" collapsed="false">
      <c r="B211" s="143"/>
      <c r="C211" s="144" t="str">
        <f aca="false">DADOS!$AP$8</f>
        <v>📝 PEER TO PEER</v>
      </c>
      <c r="D211" s="145" t="str">
        <f aca="false">IF(reservaoutrosconsolidadonov[[#This Row],[TOTAL (R$)]]=0,"",IF(OR(reservaoutrosconsolidadonov[[#This Row],[TOTAL (R$)]]=LARGE($AJ$206:$AJ$213,1),reservaoutrosconsolidadonov[[#This Row],[TOTAL (R$)]]=LARGE($AJ$206:$AJ$213,2)),DADOS!$I$11,""))</f>
        <v/>
      </c>
      <c r="E211" s="148" t="n">
        <f aca="false">SUMIFS(tabela_registros[VALOR],tabela_registros[MÊS],$AE$1,tabela_registros[DIA],reservaoutrosconsolidadonov[[#Headers],[1]],tabela_registros[REGISTRO],DADOS!$N$6,tabela_registros[TIPO],DADOS!$AJ$5,tabela_registros[CATEGORIA],reservaoutrosconsolidadonov[[#This Row],[ATUAL]])</f>
        <v>0</v>
      </c>
      <c r="F211" s="119" t="n">
        <f aca="false">SUMIFS(tabela_registros[VALOR],tabela_registros[MÊS],$AE$1,tabela_registros[DIA],reservaoutrosconsolidadonov[[#Headers],[2]],tabela_registros[REGISTRO],DADOS!$N$6,tabela_registros[TIPO],DADOS!$AJ$5,tabela_registros[CATEGORIA],reservaoutrosconsolidadonov[[#This Row],[ATUAL]])</f>
        <v>0</v>
      </c>
      <c r="G211" s="119" t="n">
        <f aca="false">SUMIFS(tabela_registros[VALOR],tabela_registros[MÊS],$AE$1,tabela_registros[DIA],reservaoutrosconsolidadonov[[#Headers],[3]],tabela_registros[REGISTRO],DADOS!$N$6,tabela_registros[TIPO],DADOS!$AJ$5,tabela_registros[CATEGORIA],reservaoutrosconsolidadonov[[#This Row],[ATUAL]])</f>
        <v>0</v>
      </c>
      <c r="H211" s="119" t="n">
        <f aca="false">SUMIFS(tabela_registros[VALOR],tabela_registros[MÊS],$AE$1,tabela_registros[DIA],reservaoutrosconsolidadonov[[#Headers],[4]],tabela_registros[REGISTRO],DADOS!$N$6,tabela_registros[TIPO],DADOS!$AJ$5,tabela_registros[CATEGORIA],reservaoutrosconsolidadonov[[#This Row],[ATUAL]])</f>
        <v>0</v>
      </c>
      <c r="I211" s="119" t="n">
        <f aca="false">SUMIFS(tabela_registros[VALOR],tabela_registros[MÊS],$AE$1,tabela_registros[DIA],reservaoutrosconsolidadonov[[#Headers],[5]],tabela_registros[REGISTRO],DADOS!$N$6,tabela_registros[TIPO],DADOS!$AJ$5,tabela_registros[CATEGORIA],reservaoutrosconsolidadonov[[#This Row],[ATUAL]])</f>
        <v>0</v>
      </c>
      <c r="J211" s="119" t="n">
        <f aca="false">SUMIFS(tabela_registros[VALOR],tabela_registros[MÊS],$AE$1,tabela_registros[DIA],reservaoutrosconsolidadonov[[#Headers],[6]],tabela_registros[REGISTRO],DADOS!$N$6,tabela_registros[TIPO],DADOS!$AJ$5,tabela_registros[CATEGORIA],reservaoutrosconsolidadonov[[#This Row],[ATUAL]])</f>
        <v>0</v>
      </c>
      <c r="K211" s="119" t="n">
        <f aca="false">SUMIFS(tabela_registros[VALOR],tabela_registros[MÊS],$AE$1,tabela_registros[DIA],reservaoutrosconsolidadonov[[#Headers],[7]],tabela_registros[REGISTRO],DADOS!$N$6,tabela_registros[TIPO],DADOS!$AJ$5,tabela_registros[CATEGORIA],reservaoutrosconsolidadonov[[#This Row],[ATUAL]])</f>
        <v>0</v>
      </c>
      <c r="L211" s="119" t="n">
        <f aca="false">SUMIFS(tabela_registros[VALOR],tabela_registros[MÊS],$AE$1,tabela_registros[DIA],reservaoutrosconsolidadonov[[#Headers],[8]],tabela_registros[REGISTRO],DADOS!$N$6,tabela_registros[TIPO],DADOS!$AJ$5,tabela_registros[CATEGORIA],reservaoutrosconsolidadonov[[#This Row],[ATUAL]])</f>
        <v>0</v>
      </c>
      <c r="M211" s="119" t="n">
        <f aca="false">SUMIFS(tabela_registros[VALOR],tabela_registros[MÊS],$AE$1,tabela_registros[DIA],reservaoutrosconsolidadonov[[#Headers],[9]],tabela_registros[REGISTRO],DADOS!$N$6,tabela_registros[TIPO],DADOS!$AJ$5,tabela_registros[CATEGORIA],reservaoutrosconsolidadonov[[#This Row],[ATUAL]])</f>
        <v>0</v>
      </c>
      <c r="N211" s="119" t="n">
        <f aca="false">SUMIFS(tabela_registros[VALOR],tabela_registros[MÊS],$AE$1,tabela_registros[DIA],reservaoutrosconsolidadonov[[#Headers],[10]],tabela_registros[REGISTRO],DADOS!$N$6,tabela_registros[TIPO],DADOS!$AJ$5,tabela_registros[CATEGORIA],reservaoutrosconsolidadonov[[#This Row],[ATUAL]])</f>
        <v>0</v>
      </c>
      <c r="O211" s="119" t="n">
        <f aca="false">SUMIFS(tabela_registros[VALOR],tabela_registros[MÊS],$AE$1,tabela_registros[DIA],reservaoutrosconsolidadonov[[#Headers],[11]],tabela_registros[REGISTRO],DADOS!$N$6,tabela_registros[TIPO],DADOS!$AJ$5,tabela_registros[CATEGORIA],reservaoutrosconsolidadonov[[#This Row],[ATUAL]])</f>
        <v>0</v>
      </c>
      <c r="P211" s="119" t="n">
        <f aca="false">SUMIFS(tabela_registros[VALOR],tabela_registros[MÊS],$AE$1,tabela_registros[DIA],reservaoutrosconsolidadonov[[#Headers],[12]],tabela_registros[REGISTRO],DADOS!$N$6,tabela_registros[TIPO],DADOS!$AJ$5,tabela_registros[CATEGORIA],reservaoutrosconsolidadonov[[#This Row],[ATUAL]])</f>
        <v>0</v>
      </c>
      <c r="Q211" s="119" t="n">
        <f aca="false">SUMIFS(tabela_registros[VALOR],tabela_registros[MÊS],$AE$1,tabela_registros[DIA],reservaoutrosconsolidadonov[[#Headers],[13]],tabela_registros[REGISTRO],DADOS!$N$6,tabela_registros[TIPO],DADOS!$AJ$5,tabela_registros[CATEGORIA],reservaoutrosconsolidadonov[[#This Row],[ATUAL]])</f>
        <v>0</v>
      </c>
      <c r="R211" s="119" t="n">
        <f aca="false">SUMIFS(tabela_registros[VALOR],tabela_registros[MÊS],$AE$1,tabela_registros[DIA],reservaoutrosconsolidadonov[[#Headers],[14]],tabela_registros[REGISTRO],DADOS!$N$6,tabela_registros[TIPO],DADOS!$AJ$5,tabela_registros[CATEGORIA],reservaoutrosconsolidadonov[[#This Row],[ATUAL]])</f>
        <v>0</v>
      </c>
      <c r="S211" s="119" t="n">
        <f aca="false">SUMIFS(tabela_registros[VALOR],tabela_registros[MÊS],$AE$1,tabela_registros[DIA],reservaoutrosconsolidadonov[[#Headers],[15]],tabela_registros[REGISTRO],DADOS!$N$6,tabela_registros[TIPO],DADOS!$AJ$5,tabela_registros[CATEGORIA],reservaoutrosconsolidadonov[[#This Row],[ATUAL]])</f>
        <v>0</v>
      </c>
      <c r="T211" s="119" t="n">
        <f aca="false">SUMIFS(tabela_registros[VALOR],tabela_registros[MÊS],$AE$1,tabela_registros[DIA],reservaoutrosconsolidadonov[[#Headers],[16]],tabela_registros[REGISTRO],DADOS!$N$6,tabela_registros[TIPO],DADOS!$AJ$5,tabela_registros[CATEGORIA],reservaoutrosconsolidadonov[[#This Row],[ATUAL]])</f>
        <v>0</v>
      </c>
      <c r="U211" s="119" t="n">
        <f aca="false">SUMIFS(tabela_registros[VALOR],tabela_registros[MÊS],$AE$1,tabela_registros[DIA],reservaoutrosconsolidadonov[[#Headers],[17]],tabela_registros[REGISTRO],DADOS!$N$6,tabela_registros[TIPO],DADOS!$AJ$5,tabela_registros[CATEGORIA],reservaoutrosconsolidadonov[[#This Row],[ATUAL]])</f>
        <v>0</v>
      </c>
      <c r="V211" s="119" t="n">
        <f aca="false">SUMIFS(tabela_registros[VALOR],tabela_registros[MÊS],$AE$1,tabela_registros[DIA],reservaoutrosconsolidadonov[[#Headers],[18]],tabela_registros[REGISTRO],DADOS!$N$6,tabela_registros[TIPO],DADOS!$AJ$5,tabela_registros[CATEGORIA],reservaoutrosconsolidadonov[[#This Row],[ATUAL]])</f>
        <v>0</v>
      </c>
      <c r="W211" s="119" t="n">
        <f aca="false">SUMIFS(tabela_registros[VALOR],tabela_registros[MÊS],$AE$1,tabela_registros[DIA],reservaoutrosconsolidadonov[[#Headers],[19]],tabela_registros[REGISTRO],DADOS!$N$6,tabela_registros[TIPO],DADOS!$AJ$5,tabela_registros[CATEGORIA],reservaoutrosconsolidadonov[[#This Row],[ATUAL]])</f>
        <v>0</v>
      </c>
      <c r="X211" s="119" t="n">
        <f aca="false">SUMIFS(tabela_registros[VALOR],tabela_registros[MÊS],$AE$1,tabela_registros[DIA],reservaoutrosconsolidadonov[[#Headers],[20]],tabela_registros[REGISTRO],DADOS!$N$6,tabela_registros[TIPO],DADOS!$AJ$5,tabela_registros[CATEGORIA],reservaoutrosconsolidadonov[[#This Row],[ATUAL]])</f>
        <v>0</v>
      </c>
      <c r="Y211" s="119" t="n">
        <f aca="false">SUMIFS(tabela_registros[VALOR],tabela_registros[MÊS],$AE$1,tabela_registros[DIA],reservaoutrosconsolidadonov[[#Headers],[21]],tabela_registros[REGISTRO],DADOS!$N$6,tabela_registros[TIPO],DADOS!$AJ$5,tabela_registros[CATEGORIA],reservaoutrosconsolidadonov[[#This Row],[ATUAL]])</f>
        <v>0</v>
      </c>
      <c r="Z211" s="119" t="n">
        <f aca="false">SUMIFS(tabela_registros[VALOR],tabela_registros[MÊS],$AE$1,tabela_registros[DIA],reservaoutrosconsolidadonov[[#Headers],[22]],tabela_registros[REGISTRO],DADOS!$N$6,tabela_registros[TIPO],DADOS!$AJ$5,tabela_registros[CATEGORIA],reservaoutrosconsolidadonov[[#This Row],[ATUAL]])</f>
        <v>0</v>
      </c>
      <c r="AA211" s="119" t="n">
        <f aca="false">SUMIFS(tabela_registros[VALOR],tabela_registros[MÊS],$AE$1,tabela_registros[DIA],reservaoutrosconsolidadonov[[#Headers],[23]],tabela_registros[REGISTRO],DADOS!$N$6,tabela_registros[TIPO],DADOS!$AJ$5,tabela_registros[CATEGORIA],reservaoutrosconsolidadonov[[#This Row],[ATUAL]])</f>
        <v>0</v>
      </c>
      <c r="AB211" s="119" t="n">
        <f aca="false">SUMIFS(tabela_registros[VALOR],tabela_registros[MÊS],$AE$1,tabela_registros[DIA],reservaoutrosconsolidadonov[[#Headers],[24]],tabela_registros[REGISTRO],DADOS!$N$6,tabela_registros[TIPO],DADOS!$AJ$5,tabela_registros[CATEGORIA],reservaoutrosconsolidadonov[[#This Row],[ATUAL]])</f>
        <v>0</v>
      </c>
      <c r="AC211" s="119" t="n">
        <f aca="false">SUMIFS(tabela_registros[VALOR],tabela_registros[MÊS],$AE$1,tabela_registros[DIA],reservaoutrosconsolidadonov[[#Headers],[25]],tabela_registros[REGISTRO],DADOS!$N$6,tabela_registros[TIPO],DADOS!$AJ$5,tabela_registros[CATEGORIA],reservaoutrosconsolidadonov[[#This Row],[ATUAL]])</f>
        <v>0</v>
      </c>
      <c r="AD211" s="119" t="n">
        <f aca="false">SUMIFS(tabela_registros[VALOR],tabela_registros[MÊS],$AE$1,tabela_registros[DIA],reservaoutrosconsolidadonov[[#Headers],[26]],tabela_registros[REGISTRO],DADOS!$N$6,tabela_registros[TIPO],DADOS!$AJ$5,tabela_registros[CATEGORIA],reservaoutrosconsolidadonov[[#This Row],[ATUAL]])</f>
        <v>0</v>
      </c>
      <c r="AE211" s="119" t="n">
        <f aca="false">SUMIFS(tabela_registros[VALOR],tabela_registros[MÊS],$AE$1,tabela_registros[DIA],reservaoutrosconsolidadonov[[#Headers],[27]],tabela_registros[REGISTRO],DADOS!$N$6,tabela_registros[TIPO],DADOS!$AJ$5,tabela_registros[CATEGORIA],reservaoutrosconsolidadonov[[#This Row],[ATUAL]])</f>
        <v>0</v>
      </c>
      <c r="AF211" s="119" t="n">
        <f aca="false">SUMIFS(tabela_registros[VALOR],tabela_registros[MÊS],$AE$1,tabela_registros[DIA],reservaoutrosconsolidadonov[[#Headers],[28]],tabela_registros[REGISTRO],DADOS!$N$6,tabela_registros[TIPO],DADOS!$AJ$5,tabela_registros[CATEGORIA],reservaoutrosconsolidadonov[[#This Row],[ATUAL]])</f>
        <v>0</v>
      </c>
      <c r="AG211" s="119" t="n">
        <f aca="false">SUMIFS(tabela_registros[VALOR],tabela_registros[MÊS],$AE$1,tabela_registros[DIA],reservaoutrosconsolidadonov[[#Headers],[29]],tabela_registros[REGISTRO],DADOS!$N$6,tabela_registros[TIPO],DADOS!$AJ$5,tabela_registros[CATEGORIA],reservaoutrosconsolidadonov[[#This Row],[ATUAL]])</f>
        <v>0</v>
      </c>
      <c r="AH211" s="119" t="n">
        <f aca="false">SUMIFS(tabela_registros[VALOR],tabela_registros[MÊS],$AE$1,tabela_registros[DIA],reservaoutrosconsolidadonov[[#Headers],[30]],tabela_registros[REGISTRO],DADOS!$N$6,tabela_registros[TIPO],DADOS!$AJ$5,tabela_registros[CATEGORIA],reservaoutrosconsolidadonov[[#This Row],[ATUAL]])</f>
        <v>0</v>
      </c>
      <c r="AI211" s="217" t="n">
        <f aca="false">SUMIFS(tabela_registros[VALOR],tabela_registros[MÊS],$AE$1,tabela_registros[DIA],reservaoutrosconsolidadonov[[#Headers],[31]],tabela_registros[REGISTRO],DADOS!$N$6,tabela_registros[TIPO],DADOS!$AJ$5,tabela_registros[CATEGORIA],reservaoutrosconsolidadonov[[#This Row],[ATUAL]])</f>
        <v>0</v>
      </c>
      <c r="AJ211" s="149" t="n">
        <f aca="false">SUM(reservaoutrosconsolidadonov[[#This Row],[1]:[31]])</f>
        <v>0</v>
      </c>
      <c r="AK211" s="165"/>
    </row>
    <row r="212" customFormat="false" ht="19.5" hidden="false" customHeight="true" outlineLevel="0" collapsed="false">
      <c r="B212" s="143"/>
      <c r="C212" s="144" t="str">
        <f aca="false">DADOS!$AP$9</f>
        <v>📝 PREVIDÊNCIA PRIVADA</v>
      </c>
      <c r="D212" s="145" t="str">
        <f aca="false">IF(reservaoutrosconsolidadonov[[#This Row],[TOTAL (R$)]]=0,"",IF(OR(reservaoutrosconsolidadonov[[#This Row],[TOTAL (R$)]]=LARGE($AJ$206:$AJ$213,1),reservaoutrosconsolidadonov[[#This Row],[TOTAL (R$)]]=LARGE($AJ$206:$AJ$213,2)),DADOS!$I$11,""))</f>
        <v/>
      </c>
      <c r="E212" s="148" t="n">
        <f aca="false">SUMIFS(tabela_registros[VALOR],tabela_registros[MÊS],$AE$1,tabela_registros[DIA],reservaoutrosconsolidadonov[[#Headers],[1]],tabela_registros[REGISTRO],DADOS!$N$6,tabela_registros[TIPO],DADOS!$AJ$5,tabela_registros[CATEGORIA],reservaoutrosconsolidadonov[[#This Row],[ATUAL]])</f>
        <v>0</v>
      </c>
      <c r="F212" s="119" t="n">
        <f aca="false">SUMIFS(tabela_registros[VALOR],tabela_registros[MÊS],$AE$1,tabela_registros[DIA],reservaoutrosconsolidadonov[[#Headers],[2]],tabela_registros[REGISTRO],DADOS!$N$6,tabela_registros[TIPO],DADOS!$AJ$5,tabela_registros[CATEGORIA],reservaoutrosconsolidadonov[[#This Row],[ATUAL]])</f>
        <v>0</v>
      </c>
      <c r="G212" s="119" t="n">
        <f aca="false">SUMIFS(tabela_registros[VALOR],tabela_registros[MÊS],$AE$1,tabela_registros[DIA],reservaoutrosconsolidadonov[[#Headers],[3]],tabela_registros[REGISTRO],DADOS!$N$6,tabela_registros[TIPO],DADOS!$AJ$5,tabela_registros[CATEGORIA],reservaoutrosconsolidadonov[[#This Row],[ATUAL]])</f>
        <v>0</v>
      </c>
      <c r="H212" s="119" t="n">
        <f aca="false">SUMIFS(tabela_registros[VALOR],tabela_registros[MÊS],$AE$1,tabela_registros[DIA],reservaoutrosconsolidadonov[[#Headers],[4]],tabela_registros[REGISTRO],DADOS!$N$6,tabela_registros[TIPO],DADOS!$AJ$5,tabela_registros[CATEGORIA],reservaoutrosconsolidadonov[[#This Row],[ATUAL]])</f>
        <v>0</v>
      </c>
      <c r="I212" s="119" t="n">
        <f aca="false">SUMIFS(tabela_registros[VALOR],tabela_registros[MÊS],$AE$1,tabela_registros[DIA],reservaoutrosconsolidadonov[[#Headers],[5]],tabela_registros[REGISTRO],DADOS!$N$6,tabela_registros[TIPO],DADOS!$AJ$5,tabela_registros[CATEGORIA],reservaoutrosconsolidadonov[[#This Row],[ATUAL]])</f>
        <v>0</v>
      </c>
      <c r="J212" s="119" t="n">
        <f aca="false">SUMIFS(tabela_registros[VALOR],tabela_registros[MÊS],$AE$1,tabela_registros[DIA],reservaoutrosconsolidadonov[[#Headers],[6]],tabela_registros[REGISTRO],DADOS!$N$6,tabela_registros[TIPO],DADOS!$AJ$5,tabela_registros[CATEGORIA],reservaoutrosconsolidadonov[[#This Row],[ATUAL]])</f>
        <v>0</v>
      </c>
      <c r="K212" s="119" t="n">
        <f aca="false">SUMIFS(tabela_registros[VALOR],tabela_registros[MÊS],$AE$1,tabela_registros[DIA],reservaoutrosconsolidadonov[[#Headers],[7]],tabela_registros[REGISTRO],DADOS!$N$6,tabela_registros[TIPO],DADOS!$AJ$5,tabela_registros[CATEGORIA],reservaoutrosconsolidadonov[[#This Row],[ATUAL]])</f>
        <v>0</v>
      </c>
      <c r="L212" s="119" t="n">
        <f aca="false">SUMIFS(tabela_registros[VALOR],tabela_registros[MÊS],$AE$1,tabela_registros[DIA],reservaoutrosconsolidadonov[[#Headers],[8]],tabela_registros[REGISTRO],DADOS!$N$6,tabela_registros[TIPO],DADOS!$AJ$5,tabela_registros[CATEGORIA],reservaoutrosconsolidadonov[[#This Row],[ATUAL]])</f>
        <v>0</v>
      </c>
      <c r="M212" s="119" t="n">
        <f aca="false">SUMIFS(tabela_registros[VALOR],tabela_registros[MÊS],$AE$1,tabela_registros[DIA],reservaoutrosconsolidadonov[[#Headers],[9]],tabela_registros[REGISTRO],DADOS!$N$6,tabela_registros[TIPO],DADOS!$AJ$5,tabela_registros[CATEGORIA],reservaoutrosconsolidadonov[[#This Row],[ATUAL]])</f>
        <v>0</v>
      </c>
      <c r="N212" s="119" t="n">
        <f aca="false">SUMIFS(tabela_registros[VALOR],tabela_registros[MÊS],$AE$1,tabela_registros[DIA],reservaoutrosconsolidadonov[[#Headers],[10]],tabela_registros[REGISTRO],DADOS!$N$6,tabela_registros[TIPO],DADOS!$AJ$5,tabela_registros[CATEGORIA],reservaoutrosconsolidadonov[[#This Row],[ATUAL]])</f>
        <v>0</v>
      </c>
      <c r="O212" s="119" t="n">
        <f aca="false">SUMIFS(tabela_registros[VALOR],tabela_registros[MÊS],$AE$1,tabela_registros[DIA],reservaoutrosconsolidadonov[[#Headers],[11]],tabela_registros[REGISTRO],DADOS!$N$6,tabela_registros[TIPO],DADOS!$AJ$5,tabela_registros[CATEGORIA],reservaoutrosconsolidadonov[[#This Row],[ATUAL]])</f>
        <v>0</v>
      </c>
      <c r="P212" s="119" t="n">
        <f aca="false">SUMIFS(tabela_registros[VALOR],tabela_registros[MÊS],$AE$1,tabela_registros[DIA],reservaoutrosconsolidadonov[[#Headers],[12]],tabela_registros[REGISTRO],DADOS!$N$6,tabela_registros[TIPO],DADOS!$AJ$5,tabela_registros[CATEGORIA],reservaoutrosconsolidadonov[[#This Row],[ATUAL]])</f>
        <v>0</v>
      </c>
      <c r="Q212" s="119" t="n">
        <f aca="false">SUMIFS(tabela_registros[VALOR],tabela_registros[MÊS],$AE$1,tabela_registros[DIA],reservaoutrosconsolidadonov[[#Headers],[13]],tabela_registros[REGISTRO],DADOS!$N$6,tabela_registros[TIPO],DADOS!$AJ$5,tabela_registros[CATEGORIA],reservaoutrosconsolidadonov[[#This Row],[ATUAL]])</f>
        <v>0</v>
      </c>
      <c r="R212" s="119" t="n">
        <f aca="false">SUMIFS(tabela_registros[VALOR],tabela_registros[MÊS],$AE$1,tabela_registros[DIA],reservaoutrosconsolidadonov[[#Headers],[14]],tabela_registros[REGISTRO],DADOS!$N$6,tabela_registros[TIPO],DADOS!$AJ$5,tabela_registros[CATEGORIA],reservaoutrosconsolidadonov[[#This Row],[ATUAL]])</f>
        <v>0</v>
      </c>
      <c r="S212" s="119" t="n">
        <f aca="false">SUMIFS(tabela_registros[VALOR],tabela_registros[MÊS],$AE$1,tabela_registros[DIA],reservaoutrosconsolidadonov[[#Headers],[15]],tabela_registros[REGISTRO],DADOS!$N$6,tabela_registros[TIPO],DADOS!$AJ$5,tabela_registros[CATEGORIA],reservaoutrosconsolidadonov[[#This Row],[ATUAL]])</f>
        <v>0</v>
      </c>
      <c r="T212" s="119" t="n">
        <f aca="false">SUMIFS(tabela_registros[VALOR],tabela_registros[MÊS],$AE$1,tabela_registros[DIA],reservaoutrosconsolidadonov[[#Headers],[16]],tabela_registros[REGISTRO],DADOS!$N$6,tabela_registros[TIPO],DADOS!$AJ$5,tabela_registros[CATEGORIA],reservaoutrosconsolidadonov[[#This Row],[ATUAL]])</f>
        <v>0</v>
      </c>
      <c r="U212" s="119" t="n">
        <f aca="false">SUMIFS(tabela_registros[VALOR],tabela_registros[MÊS],$AE$1,tabela_registros[DIA],reservaoutrosconsolidadonov[[#Headers],[17]],tabela_registros[REGISTRO],DADOS!$N$6,tabela_registros[TIPO],DADOS!$AJ$5,tabela_registros[CATEGORIA],reservaoutrosconsolidadonov[[#This Row],[ATUAL]])</f>
        <v>0</v>
      </c>
      <c r="V212" s="119" t="n">
        <f aca="false">SUMIFS(tabela_registros[VALOR],tabela_registros[MÊS],$AE$1,tabela_registros[DIA],reservaoutrosconsolidadonov[[#Headers],[18]],tabela_registros[REGISTRO],DADOS!$N$6,tabela_registros[TIPO],DADOS!$AJ$5,tabela_registros[CATEGORIA],reservaoutrosconsolidadonov[[#This Row],[ATUAL]])</f>
        <v>0</v>
      </c>
      <c r="W212" s="119" t="n">
        <f aca="false">SUMIFS(tabela_registros[VALOR],tabela_registros[MÊS],$AE$1,tabela_registros[DIA],reservaoutrosconsolidadonov[[#Headers],[19]],tabela_registros[REGISTRO],DADOS!$N$6,tabela_registros[TIPO],DADOS!$AJ$5,tabela_registros[CATEGORIA],reservaoutrosconsolidadonov[[#This Row],[ATUAL]])</f>
        <v>0</v>
      </c>
      <c r="X212" s="119" t="n">
        <f aca="false">SUMIFS(tabela_registros[VALOR],tabela_registros[MÊS],$AE$1,tabela_registros[DIA],reservaoutrosconsolidadonov[[#Headers],[20]],tabela_registros[REGISTRO],DADOS!$N$6,tabela_registros[TIPO],DADOS!$AJ$5,tabela_registros[CATEGORIA],reservaoutrosconsolidadonov[[#This Row],[ATUAL]])</f>
        <v>0</v>
      </c>
      <c r="Y212" s="119" t="n">
        <f aca="false">SUMIFS(tabela_registros[VALOR],tabela_registros[MÊS],$AE$1,tabela_registros[DIA],reservaoutrosconsolidadonov[[#Headers],[21]],tabela_registros[REGISTRO],DADOS!$N$6,tabela_registros[TIPO],DADOS!$AJ$5,tabela_registros[CATEGORIA],reservaoutrosconsolidadonov[[#This Row],[ATUAL]])</f>
        <v>0</v>
      </c>
      <c r="Z212" s="119" t="n">
        <f aca="false">SUMIFS(tabela_registros[VALOR],tabela_registros[MÊS],$AE$1,tabela_registros[DIA],reservaoutrosconsolidadonov[[#Headers],[22]],tabela_registros[REGISTRO],DADOS!$N$6,tabela_registros[TIPO],DADOS!$AJ$5,tabela_registros[CATEGORIA],reservaoutrosconsolidadonov[[#This Row],[ATUAL]])</f>
        <v>0</v>
      </c>
      <c r="AA212" s="119" t="n">
        <f aca="false">SUMIFS(tabela_registros[VALOR],tabela_registros[MÊS],$AE$1,tabela_registros[DIA],reservaoutrosconsolidadonov[[#Headers],[23]],tabela_registros[REGISTRO],DADOS!$N$6,tabela_registros[TIPO],DADOS!$AJ$5,tabela_registros[CATEGORIA],reservaoutrosconsolidadonov[[#This Row],[ATUAL]])</f>
        <v>0</v>
      </c>
      <c r="AB212" s="119" t="n">
        <f aca="false">SUMIFS(tabela_registros[VALOR],tabela_registros[MÊS],$AE$1,tabela_registros[DIA],reservaoutrosconsolidadonov[[#Headers],[24]],tabela_registros[REGISTRO],DADOS!$N$6,tabela_registros[TIPO],DADOS!$AJ$5,tabela_registros[CATEGORIA],reservaoutrosconsolidadonov[[#This Row],[ATUAL]])</f>
        <v>0</v>
      </c>
      <c r="AC212" s="119" t="n">
        <f aca="false">SUMIFS(tabela_registros[VALOR],tabela_registros[MÊS],$AE$1,tabela_registros[DIA],reservaoutrosconsolidadonov[[#Headers],[25]],tabela_registros[REGISTRO],DADOS!$N$6,tabela_registros[TIPO],DADOS!$AJ$5,tabela_registros[CATEGORIA],reservaoutrosconsolidadonov[[#This Row],[ATUAL]])</f>
        <v>0</v>
      </c>
      <c r="AD212" s="119" t="n">
        <f aca="false">SUMIFS(tabela_registros[VALOR],tabela_registros[MÊS],$AE$1,tabela_registros[DIA],reservaoutrosconsolidadonov[[#Headers],[26]],tabela_registros[REGISTRO],DADOS!$N$6,tabela_registros[TIPO],DADOS!$AJ$5,tabela_registros[CATEGORIA],reservaoutrosconsolidadonov[[#This Row],[ATUAL]])</f>
        <v>0</v>
      </c>
      <c r="AE212" s="119" t="n">
        <f aca="false">SUMIFS(tabela_registros[VALOR],tabela_registros[MÊS],$AE$1,tabela_registros[DIA],reservaoutrosconsolidadonov[[#Headers],[27]],tabela_registros[REGISTRO],DADOS!$N$6,tabela_registros[TIPO],DADOS!$AJ$5,tabela_registros[CATEGORIA],reservaoutrosconsolidadonov[[#This Row],[ATUAL]])</f>
        <v>0</v>
      </c>
      <c r="AF212" s="119" t="n">
        <f aca="false">SUMIFS(tabela_registros[VALOR],tabela_registros[MÊS],$AE$1,tabela_registros[DIA],reservaoutrosconsolidadonov[[#Headers],[28]],tabela_registros[REGISTRO],DADOS!$N$6,tabela_registros[TIPO],DADOS!$AJ$5,tabela_registros[CATEGORIA],reservaoutrosconsolidadonov[[#This Row],[ATUAL]])</f>
        <v>0</v>
      </c>
      <c r="AG212" s="119" t="n">
        <f aca="false">SUMIFS(tabela_registros[VALOR],tabela_registros[MÊS],$AE$1,tabela_registros[DIA],reservaoutrosconsolidadonov[[#Headers],[29]],tabela_registros[REGISTRO],DADOS!$N$6,tabela_registros[TIPO],DADOS!$AJ$5,tabela_registros[CATEGORIA],reservaoutrosconsolidadonov[[#This Row],[ATUAL]])</f>
        <v>0</v>
      </c>
      <c r="AH212" s="119" t="n">
        <f aca="false">SUMIFS(tabela_registros[VALOR],tabela_registros[MÊS],$AE$1,tabela_registros[DIA],reservaoutrosconsolidadonov[[#Headers],[30]],tabela_registros[REGISTRO],DADOS!$N$6,tabela_registros[TIPO],DADOS!$AJ$5,tabela_registros[CATEGORIA],reservaoutrosconsolidadonov[[#This Row],[ATUAL]])</f>
        <v>0</v>
      </c>
      <c r="AI212" s="217" t="n">
        <f aca="false">SUMIFS(tabela_registros[VALOR],tabela_registros[MÊS],$AE$1,tabela_registros[DIA],reservaoutrosconsolidadonov[[#Headers],[31]],tabela_registros[REGISTRO],DADOS!$N$6,tabela_registros[TIPO],DADOS!$AJ$5,tabela_registros[CATEGORIA],reservaoutrosconsolidadonov[[#This Row],[ATUAL]])</f>
        <v>0</v>
      </c>
      <c r="AJ212" s="149" t="n">
        <f aca="false">SUM(reservaoutrosconsolidadonov[[#This Row],[1]:[31]])</f>
        <v>0</v>
      </c>
      <c r="AK212" s="165"/>
    </row>
    <row r="213" customFormat="false" ht="19.5" hidden="false" customHeight="true" outlineLevel="0" collapsed="false">
      <c r="B213" s="143"/>
      <c r="C213" s="144" t="str">
        <f aca="false">DADOS!$AP$10</f>
        <v>📎 OUTROS</v>
      </c>
      <c r="D213" s="145" t="str">
        <f aca="false">IF(reservaoutrosconsolidadonov[[#This Row],[TOTAL (R$)]]=0,"",IF(OR(reservaoutrosconsolidadonov[[#This Row],[TOTAL (R$)]]=LARGE($AJ$206:$AJ$213,1),reservaoutrosconsolidadonov[[#This Row],[TOTAL (R$)]]=LARGE($AJ$206:$AJ$213,2)),DADOS!$I$11,""))</f>
        <v/>
      </c>
      <c r="E213" s="148" t="n">
        <f aca="false">SUMIFS(tabela_registros[VALOR],tabela_registros[MÊS],$AE$1,tabela_registros[DIA],reservaoutrosconsolidadonov[[#Headers],[1]],tabela_registros[REGISTRO],DADOS!$N$6,tabela_registros[TIPO],DADOS!$AJ$5,tabela_registros[CATEGORIA],reservaoutrosconsolidadonov[[#This Row],[ATUAL]])</f>
        <v>0</v>
      </c>
      <c r="F213" s="119" t="n">
        <f aca="false">SUMIFS(tabela_registros[VALOR],tabela_registros[MÊS],$AE$1,tabela_registros[DIA],reservaoutrosconsolidadonov[[#Headers],[2]],tabela_registros[REGISTRO],DADOS!$N$6,tabela_registros[TIPO],DADOS!$AJ$5,tabela_registros[CATEGORIA],reservaoutrosconsolidadonov[[#This Row],[ATUAL]])</f>
        <v>0</v>
      </c>
      <c r="G213" s="119" t="n">
        <f aca="false">SUMIFS(tabela_registros[VALOR],tabela_registros[MÊS],$AE$1,tabela_registros[DIA],reservaoutrosconsolidadonov[[#Headers],[3]],tabela_registros[REGISTRO],DADOS!$N$6,tabela_registros[TIPO],DADOS!$AJ$5,tabela_registros[CATEGORIA],reservaoutrosconsolidadonov[[#This Row],[ATUAL]])</f>
        <v>0</v>
      </c>
      <c r="H213" s="119" t="n">
        <f aca="false">SUMIFS(tabela_registros[VALOR],tabela_registros[MÊS],$AE$1,tabela_registros[DIA],reservaoutrosconsolidadonov[[#Headers],[4]],tabela_registros[REGISTRO],DADOS!$N$6,tabela_registros[TIPO],DADOS!$AJ$5,tabela_registros[CATEGORIA],reservaoutrosconsolidadonov[[#This Row],[ATUAL]])</f>
        <v>0</v>
      </c>
      <c r="I213" s="119" t="n">
        <f aca="false">SUMIFS(tabela_registros[VALOR],tabela_registros[MÊS],$AE$1,tabela_registros[DIA],reservaoutrosconsolidadonov[[#Headers],[5]],tabela_registros[REGISTRO],DADOS!$N$6,tabela_registros[TIPO],DADOS!$AJ$5,tabela_registros[CATEGORIA],reservaoutrosconsolidadonov[[#This Row],[ATUAL]])</f>
        <v>0</v>
      </c>
      <c r="J213" s="119" t="n">
        <f aca="false">SUMIFS(tabela_registros[VALOR],tabela_registros[MÊS],$AE$1,tabela_registros[DIA],reservaoutrosconsolidadonov[[#Headers],[6]],tabela_registros[REGISTRO],DADOS!$N$6,tabela_registros[TIPO],DADOS!$AJ$5,tabela_registros[CATEGORIA],reservaoutrosconsolidadonov[[#This Row],[ATUAL]])</f>
        <v>0</v>
      </c>
      <c r="K213" s="119" t="n">
        <f aca="false">SUMIFS(tabela_registros[VALOR],tabela_registros[MÊS],$AE$1,tabela_registros[DIA],reservaoutrosconsolidadonov[[#Headers],[7]],tabela_registros[REGISTRO],DADOS!$N$6,tabela_registros[TIPO],DADOS!$AJ$5,tabela_registros[CATEGORIA],reservaoutrosconsolidadonov[[#This Row],[ATUAL]])</f>
        <v>0</v>
      </c>
      <c r="L213" s="119" t="n">
        <f aca="false">SUMIFS(tabela_registros[VALOR],tabela_registros[MÊS],$AE$1,tabela_registros[DIA],reservaoutrosconsolidadonov[[#Headers],[8]],tabela_registros[REGISTRO],DADOS!$N$6,tabela_registros[TIPO],DADOS!$AJ$5,tabela_registros[CATEGORIA],reservaoutrosconsolidadonov[[#This Row],[ATUAL]])</f>
        <v>0</v>
      </c>
      <c r="M213" s="119" t="n">
        <f aca="false">SUMIFS(tabela_registros[VALOR],tabela_registros[MÊS],$AE$1,tabela_registros[DIA],reservaoutrosconsolidadonov[[#Headers],[9]],tabela_registros[REGISTRO],DADOS!$N$6,tabela_registros[TIPO],DADOS!$AJ$5,tabela_registros[CATEGORIA],reservaoutrosconsolidadonov[[#This Row],[ATUAL]])</f>
        <v>0</v>
      </c>
      <c r="N213" s="119" t="n">
        <f aca="false">SUMIFS(tabela_registros[VALOR],tabela_registros[MÊS],$AE$1,tabela_registros[DIA],reservaoutrosconsolidadonov[[#Headers],[10]],tabela_registros[REGISTRO],DADOS!$N$6,tabela_registros[TIPO],DADOS!$AJ$5,tabela_registros[CATEGORIA],reservaoutrosconsolidadonov[[#This Row],[ATUAL]])</f>
        <v>0</v>
      </c>
      <c r="O213" s="119" t="n">
        <f aca="false">SUMIFS(tabela_registros[VALOR],tabela_registros[MÊS],$AE$1,tabela_registros[DIA],reservaoutrosconsolidadonov[[#Headers],[11]],tabela_registros[REGISTRO],DADOS!$N$6,tabela_registros[TIPO],DADOS!$AJ$5,tabela_registros[CATEGORIA],reservaoutrosconsolidadonov[[#This Row],[ATUAL]])</f>
        <v>0</v>
      </c>
      <c r="P213" s="119" t="n">
        <f aca="false">SUMIFS(tabela_registros[VALOR],tabela_registros[MÊS],$AE$1,tabela_registros[DIA],reservaoutrosconsolidadonov[[#Headers],[12]],tabela_registros[REGISTRO],DADOS!$N$6,tabela_registros[TIPO],DADOS!$AJ$5,tabela_registros[CATEGORIA],reservaoutrosconsolidadonov[[#This Row],[ATUAL]])</f>
        <v>0</v>
      </c>
      <c r="Q213" s="119" t="n">
        <f aca="false">SUMIFS(tabela_registros[VALOR],tabela_registros[MÊS],$AE$1,tabela_registros[DIA],reservaoutrosconsolidadonov[[#Headers],[13]],tabela_registros[REGISTRO],DADOS!$N$6,tabela_registros[TIPO],DADOS!$AJ$5,tabela_registros[CATEGORIA],reservaoutrosconsolidadonov[[#This Row],[ATUAL]])</f>
        <v>0</v>
      </c>
      <c r="R213" s="119" t="n">
        <f aca="false">SUMIFS(tabela_registros[VALOR],tabela_registros[MÊS],$AE$1,tabela_registros[DIA],reservaoutrosconsolidadonov[[#Headers],[14]],tabela_registros[REGISTRO],DADOS!$N$6,tabela_registros[TIPO],DADOS!$AJ$5,tabela_registros[CATEGORIA],reservaoutrosconsolidadonov[[#This Row],[ATUAL]])</f>
        <v>0</v>
      </c>
      <c r="S213" s="119" t="n">
        <f aca="false">SUMIFS(tabela_registros[VALOR],tabela_registros[MÊS],$AE$1,tabela_registros[DIA],reservaoutrosconsolidadonov[[#Headers],[15]],tabela_registros[REGISTRO],DADOS!$N$6,tabela_registros[TIPO],DADOS!$AJ$5,tabela_registros[CATEGORIA],reservaoutrosconsolidadonov[[#This Row],[ATUAL]])</f>
        <v>0</v>
      </c>
      <c r="T213" s="119" t="n">
        <f aca="false">SUMIFS(tabela_registros[VALOR],tabela_registros[MÊS],$AE$1,tabela_registros[DIA],reservaoutrosconsolidadonov[[#Headers],[16]],tabela_registros[REGISTRO],DADOS!$N$6,tabela_registros[TIPO],DADOS!$AJ$5,tabela_registros[CATEGORIA],reservaoutrosconsolidadonov[[#This Row],[ATUAL]])</f>
        <v>0</v>
      </c>
      <c r="U213" s="119" t="n">
        <f aca="false">SUMIFS(tabela_registros[VALOR],tabela_registros[MÊS],$AE$1,tabela_registros[DIA],reservaoutrosconsolidadonov[[#Headers],[17]],tabela_registros[REGISTRO],DADOS!$N$6,tabela_registros[TIPO],DADOS!$AJ$5,tabela_registros[CATEGORIA],reservaoutrosconsolidadonov[[#This Row],[ATUAL]])</f>
        <v>0</v>
      </c>
      <c r="V213" s="119" t="n">
        <f aca="false">SUMIFS(tabela_registros[VALOR],tabela_registros[MÊS],$AE$1,tabela_registros[DIA],reservaoutrosconsolidadonov[[#Headers],[18]],tabela_registros[REGISTRO],DADOS!$N$6,tabela_registros[TIPO],DADOS!$AJ$5,tabela_registros[CATEGORIA],reservaoutrosconsolidadonov[[#This Row],[ATUAL]])</f>
        <v>0</v>
      </c>
      <c r="W213" s="119" t="n">
        <f aca="false">SUMIFS(tabela_registros[VALOR],tabela_registros[MÊS],$AE$1,tabela_registros[DIA],reservaoutrosconsolidadonov[[#Headers],[19]],tabela_registros[REGISTRO],DADOS!$N$6,tabela_registros[TIPO],DADOS!$AJ$5,tabela_registros[CATEGORIA],reservaoutrosconsolidadonov[[#This Row],[ATUAL]])</f>
        <v>0</v>
      </c>
      <c r="X213" s="119" t="n">
        <f aca="false">SUMIFS(tabela_registros[VALOR],tabela_registros[MÊS],$AE$1,tabela_registros[DIA],reservaoutrosconsolidadonov[[#Headers],[20]],tabela_registros[REGISTRO],DADOS!$N$6,tabela_registros[TIPO],DADOS!$AJ$5,tabela_registros[CATEGORIA],reservaoutrosconsolidadonov[[#This Row],[ATUAL]])</f>
        <v>0</v>
      </c>
      <c r="Y213" s="119" t="n">
        <f aca="false">SUMIFS(tabela_registros[VALOR],tabela_registros[MÊS],$AE$1,tabela_registros[DIA],reservaoutrosconsolidadonov[[#Headers],[21]],tabela_registros[REGISTRO],DADOS!$N$6,tabela_registros[TIPO],DADOS!$AJ$5,tabela_registros[CATEGORIA],reservaoutrosconsolidadonov[[#This Row],[ATUAL]])</f>
        <v>0</v>
      </c>
      <c r="Z213" s="119" t="n">
        <f aca="false">SUMIFS(tabela_registros[VALOR],tabela_registros[MÊS],$AE$1,tabela_registros[DIA],reservaoutrosconsolidadonov[[#Headers],[22]],tabela_registros[REGISTRO],DADOS!$N$6,tabela_registros[TIPO],DADOS!$AJ$5,tabela_registros[CATEGORIA],reservaoutrosconsolidadonov[[#This Row],[ATUAL]])</f>
        <v>0</v>
      </c>
      <c r="AA213" s="119" t="n">
        <f aca="false">SUMIFS(tabela_registros[VALOR],tabela_registros[MÊS],$AE$1,tabela_registros[DIA],reservaoutrosconsolidadonov[[#Headers],[23]],tabela_registros[REGISTRO],DADOS!$N$6,tabela_registros[TIPO],DADOS!$AJ$5,tabela_registros[CATEGORIA],reservaoutrosconsolidadonov[[#This Row],[ATUAL]])</f>
        <v>0</v>
      </c>
      <c r="AB213" s="119" t="n">
        <f aca="false">SUMIFS(tabela_registros[VALOR],tabela_registros[MÊS],$AE$1,tabela_registros[DIA],reservaoutrosconsolidadonov[[#Headers],[24]],tabela_registros[REGISTRO],DADOS!$N$6,tabela_registros[TIPO],DADOS!$AJ$5,tabela_registros[CATEGORIA],reservaoutrosconsolidadonov[[#This Row],[ATUAL]])</f>
        <v>0</v>
      </c>
      <c r="AC213" s="119" t="n">
        <f aca="false">SUMIFS(tabela_registros[VALOR],tabela_registros[MÊS],$AE$1,tabela_registros[DIA],reservaoutrosconsolidadonov[[#Headers],[25]],tabela_registros[REGISTRO],DADOS!$N$6,tabela_registros[TIPO],DADOS!$AJ$5,tabela_registros[CATEGORIA],reservaoutrosconsolidadonov[[#This Row],[ATUAL]])</f>
        <v>0</v>
      </c>
      <c r="AD213" s="119" t="n">
        <f aca="false">SUMIFS(tabela_registros[VALOR],tabela_registros[MÊS],$AE$1,tabela_registros[DIA],reservaoutrosconsolidadonov[[#Headers],[26]],tabela_registros[REGISTRO],DADOS!$N$6,tabela_registros[TIPO],DADOS!$AJ$5,tabela_registros[CATEGORIA],reservaoutrosconsolidadonov[[#This Row],[ATUAL]])</f>
        <v>0</v>
      </c>
      <c r="AE213" s="119" t="n">
        <f aca="false">SUMIFS(tabela_registros[VALOR],tabela_registros[MÊS],$AE$1,tabela_registros[DIA],reservaoutrosconsolidadonov[[#Headers],[27]],tabela_registros[REGISTRO],DADOS!$N$6,tabela_registros[TIPO],DADOS!$AJ$5,tabela_registros[CATEGORIA],reservaoutrosconsolidadonov[[#This Row],[ATUAL]])</f>
        <v>0</v>
      </c>
      <c r="AF213" s="119" t="n">
        <f aca="false">SUMIFS(tabela_registros[VALOR],tabela_registros[MÊS],$AE$1,tabela_registros[DIA],reservaoutrosconsolidadonov[[#Headers],[28]],tabela_registros[REGISTRO],DADOS!$N$6,tabela_registros[TIPO],DADOS!$AJ$5,tabela_registros[CATEGORIA],reservaoutrosconsolidadonov[[#This Row],[ATUAL]])</f>
        <v>0</v>
      </c>
      <c r="AG213" s="119" t="n">
        <f aca="false">SUMIFS(tabela_registros[VALOR],tabela_registros[MÊS],$AE$1,tabela_registros[DIA],reservaoutrosconsolidadonov[[#Headers],[29]],tabela_registros[REGISTRO],DADOS!$N$6,tabela_registros[TIPO],DADOS!$AJ$5,tabela_registros[CATEGORIA],reservaoutrosconsolidadonov[[#This Row],[ATUAL]])</f>
        <v>0</v>
      </c>
      <c r="AH213" s="151" t="n">
        <f aca="false">SUMIFS(tabela_registros[VALOR],tabela_registros[MÊS],$AE$1,tabela_registros[DIA],reservaoutrosconsolidadonov[[#Headers],[30]],tabela_registros[REGISTRO],DADOS!$N$6,tabela_registros[TIPO],DADOS!$AJ$5,tabela_registros[CATEGORIA],reservaoutrosconsolidadonov[[#This Row],[ATUAL]])</f>
        <v>0</v>
      </c>
      <c r="AI213" s="218" t="n">
        <f aca="false">SUMIFS(tabela_registros[VALOR],tabela_registros[MÊS],$AE$1,tabela_registros[DIA],reservaoutrosconsolidadonov[[#Headers],[31]],tabela_registros[REGISTRO],DADOS!$N$6,tabela_registros[TIPO],DADOS!$AJ$5,tabela_registros[CATEGORIA],reservaoutrosconsolidadonov[[#This Row],[ATUAL]])</f>
        <v>0</v>
      </c>
      <c r="AJ213" s="219" t="n">
        <f aca="false">SUM(reservaoutrosconsolidadonov[[#This Row],[1]:[31]])</f>
        <v>0</v>
      </c>
      <c r="AK213" s="165"/>
    </row>
    <row r="214" s="122" customFormat="true" ht="21" hidden="false" customHeight="true" outlineLevel="0" collapsed="false">
      <c r="B214" s="152"/>
      <c r="C214" s="153" t="s">
        <v>2</v>
      </c>
      <c r="D214" s="166"/>
      <c r="E214" s="155" t="n">
        <f aca="false">SUM(E206:E213)</f>
        <v>0</v>
      </c>
      <c r="F214" s="156" t="n">
        <f aca="false">SUM(F206:F213)+reservaoutrosconsolidadonov[[#This Row],[1]]</f>
        <v>0</v>
      </c>
      <c r="G214" s="156" t="n">
        <f aca="false">SUM(G206:G213)+reservaoutrosconsolidadonov[[#This Row],[2]]</f>
        <v>0</v>
      </c>
      <c r="H214" s="156" t="n">
        <f aca="false">SUM(H206:H213)+reservaoutrosconsolidadonov[[#This Row],[3]]</f>
        <v>0</v>
      </c>
      <c r="I214" s="156" t="n">
        <f aca="false">SUM(I206:I213)+reservaoutrosconsolidadonov[[#This Row],[4]]</f>
        <v>0</v>
      </c>
      <c r="J214" s="156" t="n">
        <f aca="false">SUM(J206:J213)+reservaoutrosconsolidadonov[[#This Row],[5]]</f>
        <v>0</v>
      </c>
      <c r="K214" s="156" t="n">
        <f aca="false">SUM(K206:K213)+reservaoutrosconsolidadonov[[#This Row],[6]]</f>
        <v>0</v>
      </c>
      <c r="L214" s="156" t="n">
        <f aca="false">SUM(L206:L213)+reservaoutrosconsolidadonov[[#This Row],[7]]</f>
        <v>0</v>
      </c>
      <c r="M214" s="156" t="n">
        <f aca="false">SUM(M206:M213)+reservaoutrosconsolidadonov[[#This Row],[8]]</f>
        <v>0</v>
      </c>
      <c r="N214" s="156" t="n">
        <f aca="false">SUM(N206:N213)+reservaoutrosconsolidadonov[[#This Row],[9]]</f>
        <v>0</v>
      </c>
      <c r="O214" s="156" t="n">
        <f aca="false">SUM(O206:O213)+reservaoutrosconsolidadonov[[#This Row],[10]]</f>
        <v>0</v>
      </c>
      <c r="P214" s="156" t="n">
        <f aca="false">SUM(P206:P213)+reservaoutrosconsolidadonov[[#This Row],[11]]</f>
        <v>0</v>
      </c>
      <c r="Q214" s="156" t="n">
        <f aca="false">SUM(Q206:Q213)+reservaoutrosconsolidadonov[[#This Row],[12]]</f>
        <v>0</v>
      </c>
      <c r="R214" s="156" t="n">
        <f aca="false">SUM(R206:R213)+reservaoutrosconsolidadonov[[#This Row],[13]]</f>
        <v>0</v>
      </c>
      <c r="S214" s="156" t="n">
        <f aca="false">SUM(S206:S213)+reservaoutrosconsolidadonov[[#This Row],[14]]</f>
        <v>0</v>
      </c>
      <c r="T214" s="156" t="n">
        <f aca="false">SUM(T206:T213)+reservaoutrosconsolidadonov[[#This Row],[15]]</f>
        <v>0</v>
      </c>
      <c r="U214" s="156" t="n">
        <f aca="false">SUM(U206:U213)+reservaoutrosconsolidadonov[[#This Row],[16]]</f>
        <v>0</v>
      </c>
      <c r="V214" s="156" t="n">
        <f aca="false">SUM(V206:V213)+reservaoutrosconsolidadonov[[#This Row],[17]]</f>
        <v>0</v>
      </c>
      <c r="W214" s="156" t="n">
        <f aca="false">SUM(W206:W213)+reservaoutrosconsolidadonov[[#This Row],[18]]</f>
        <v>0</v>
      </c>
      <c r="X214" s="156" t="n">
        <f aca="false">SUM(X206:X213)+reservaoutrosconsolidadonov[[#This Row],[19]]</f>
        <v>0</v>
      </c>
      <c r="Y214" s="156" t="n">
        <f aca="false">SUM(Y206:Y213)+reservaoutrosconsolidadonov[[#This Row],[20]]</f>
        <v>0</v>
      </c>
      <c r="Z214" s="156" t="n">
        <f aca="false">SUM(Z206:Z213)+reservaoutrosconsolidadonov[[#This Row],[21]]</f>
        <v>0</v>
      </c>
      <c r="AA214" s="156" t="n">
        <f aca="false">SUM(AA206:AA213)+reservaoutrosconsolidadonov[[#This Row],[22]]</f>
        <v>0</v>
      </c>
      <c r="AB214" s="156" t="n">
        <f aca="false">SUM(AB206:AB213)+reservaoutrosconsolidadonov[[#This Row],[23]]</f>
        <v>0</v>
      </c>
      <c r="AC214" s="156" t="n">
        <f aca="false">SUM(AC206:AC213)+reservaoutrosconsolidadonov[[#This Row],[24]]</f>
        <v>0</v>
      </c>
      <c r="AD214" s="156" t="n">
        <f aca="false">SUM(AD206:AD213)+reservaoutrosconsolidadonov[[#This Row],[25]]</f>
        <v>0</v>
      </c>
      <c r="AE214" s="156" t="n">
        <f aca="false">SUM(AE206:AE213)+reservaoutrosconsolidadonov[[#This Row],[26]]</f>
        <v>0</v>
      </c>
      <c r="AF214" s="156" t="n">
        <f aca="false">SUM(AF206:AF213)+reservaoutrosconsolidadonov[[#This Row],[27]]</f>
        <v>0</v>
      </c>
      <c r="AG214" s="156" t="n">
        <f aca="false">SUM(AG206:AG213)+reservaoutrosconsolidadonov[[#This Row],[28]]</f>
        <v>0</v>
      </c>
      <c r="AH214" s="156" t="n">
        <f aca="false">SUM(AH206:AH213)+reservaoutrosconsolidadonov[[#This Row],[29]]</f>
        <v>0</v>
      </c>
      <c r="AI214" s="223" t="n">
        <f aca="false">SUM(AI206:AI213)+reservaoutrosconsolidadonov[[#This Row],[30]]</f>
        <v>0</v>
      </c>
      <c r="AJ214" s="157" t="n">
        <f aca="false">reservaoutrosconsolidadonov[[#This Row],[31]]</f>
        <v>0</v>
      </c>
      <c r="AK214" s="158"/>
    </row>
    <row r="215" customFormat="false" ht="6.75" hidden="false" customHeight="true" outlineLevel="0" collapsed="false">
      <c r="B215" s="97"/>
      <c r="C215" s="162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233"/>
      <c r="AJ215" s="164"/>
      <c r="AK215" s="244"/>
    </row>
    <row r="216" customFormat="false" ht="12.75" hidden="false" customHeight="false" outlineLevel="0" collapsed="false"/>
    <row r="217" customFormat="false" ht="12" hidden="false" customHeight="false" outlineLevel="0" collapsed="false"/>
  </sheetData>
  <sheetProtection algorithmName="SHA-512" hashValue="R7U/Veb7Slx4V1idWmqQfYeZIJmFSnv5VN/+SZbB3MCaIpqaru9HFmgLMyb0kgi5Qlb/LJqOIOlflYUhk1Qcag==" saltValue="sLTBSiCN72bMXMPNkUoAfg==" spinCount="100000" sheet="true" objects="true" scenarios="true" selectLockedCells="true" selectUnlockedCells="true"/>
  <mergeCells count="26">
    <mergeCell ref="C2:C6"/>
    <mergeCell ref="E3:G3"/>
    <mergeCell ref="I3:K3"/>
    <mergeCell ref="M3:O3"/>
    <mergeCell ref="Q3:S3"/>
    <mergeCell ref="U3:W3"/>
    <mergeCell ref="Z3:AA4"/>
    <mergeCell ref="AC3:AD4"/>
    <mergeCell ref="AF3:AG4"/>
    <mergeCell ref="E4:G4"/>
    <mergeCell ref="I4:K4"/>
    <mergeCell ref="M4:O4"/>
    <mergeCell ref="Q4:S4"/>
    <mergeCell ref="U4:W4"/>
    <mergeCell ref="E10:AI10"/>
    <mergeCell ref="E21:AI21"/>
    <mergeCell ref="E33:AI33"/>
    <mergeCell ref="E56:AI56"/>
    <mergeCell ref="E78:AI78"/>
    <mergeCell ref="E92:AI92"/>
    <mergeCell ref="E109:AI109"/>
    <mergeCell ref="E128:AI128"/>
    <mergeCell ref="E147:AI147"/>
    <mergeCell ref="E164:AI164"/>
    <mergeCell ref="E183:AI183"/>
    <mergeCell ref="E202:AI202"/>
  </mergeCells>
  <hyperlinks>
    <hyperlink ref="Z3" location="'🔒'!A1" display="REGISTROS"/>
    <hyperlink ref="AC3" location="'📈'!A1" display="RADAR"/>
    <hyperlink ref="AF3" location="ANUAL!A1" display="ANUA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17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24" activeCellId="0" sqref="D24"/>
    </sheetView>
  </sheetViews>
  <sheetFormatPr defaultColWidth="2.1484375" defaultRowHeight="12" zeroHeight="true" outlineLevelRow="0" outlineLevelCol="0"/>
  <cols>
    <col collapsed="false" customWidth="false" hidden="false" outlineLevel="0" max="1" min="1" style="78" width="2.14"/>
    <col collapsed="false" customWidth="true" hidden="false" outlineLevel="0" max="2" min="2" style="78" width="1.58"/>
    <col collapsed="false" customWidth="true" hidden="false" outlineLevel="0" max="3" min="3" style="78" width="29.29"/>
    <col collapsed="false" customWidth="true" hidden="false" outlineLevel="0" max="4" min="4" style="78" width="4.71"/>
    <col collapsed="false" customWidth="true" hidden="false" outlineLevel="0" max="34" min="5" style="78" width="5.57"/>
    <col collapsed="false" customWidth="true" hidden="false" outlineLevel="0" max="35" min="35" style="167" width="5.57"/>
    <col collapsed="false" customWidth="true" hidden="false" outlineLevel="0" max="36" min="36" style="78" width="9.58"/>
    <col collapsed="false" customWidth="true" hidden="false" outlineLevel="0" max="37" min="37" style="78" width="1.58"/>
    <col collapsed="false" customWidth="true" hidden="false" outlineLevel="0" max="38" min="38" style="78" width="2"/>
    <col collapsed="false" customWidth="false" hidden="true" outlineLevel="0" max="1024" min="39" style="78" width="2.14"/>
  </cols>
  <sheetData>
    <row r="1" customFormat="false" ht="29.25" hidden="true" customHeight="true" outlineLevel="0" collapsed="false">
      <c r="A1" s="81"/>
      <c r="B1" s="81"/>
      <c r="C1" s="81"/>
      <c r="D1" s="82"/>
      <c r="AD1" s="78" t="s">
        <v>19</v>
      </c>
      <c r="AE1" s="168" t="n">
        <v>12</v>
      </c>
      <c r="AH1" s="78" t="s">
        <v>42</v>
      </c>
      <c r="AI1" s="169" t="n">
        <f aca="false">IF('⚙️'!$Q$3=$AE$1,'⚙️'!$F$13,0)</f>
        <v>0</v>
      </c>
      <c r="AK1" s="169"/>
    </row>
    <row r="2" customFormat="false" ht="15.75" hidden="false" customHeight="true" outlineLevel="0" collapsed="false">
      <c r="A2" s="84"/>
      <c r="B2" s="84"/>
      <c r="C2" s="85" t="s">
        <v>110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7"/>
      <c r="U2" s="87"/>
      <c r="V2" s="87"/>
      <c r="W2" s="87"/>
      <c r="X2" s="87"/>
      <c r="Y2" s="87"/>
      <c r="Z2" s="87"/>
      <c r="AA2" s="87"/>
      <c r="AB2" s="87"/>
      <c r="AC2" s="238"/>
      <c r="AD2" s="239"/>
      <c r="AE2" s="239"/>
      <c r="AF2" s="239"/>
      <c r="AG2" s="239"/>
      <c r="AH2" s="239"/>
      <c r="AI2" s="239"/>
      <c r="AJ2" s="239"/>
      <c r="AK2" s="239"/>
      <c r="AL2" s="239"/>
    </row>
    <row r="3" s="180" customFormat="true" ht="18" hidden="false" customHeight="true" outlineLevel="0" collapsed="false">
      <c r="A3" s="89"/>
      <c r="B3" s="89"/>
      <c r="C3" s="85"/>
      <c r="D3" s="86"/>
      <c r="E3" s="90" t="s">
        <v>45</v>
      </c>
      <c r="F3" s="90"/>
      <c r="G3" s="90"/>
      <c r="H3" s="87"/>
      <c r="I3" s="90" t="s">
        <v>46</v>
      </c>
      <c r="J3" s="90"/>
      <c r="K3" s="90"/>
      <c r="L3" s="87"/>
      <c r="M3" s="90" t="s">
        <v>47</v>
      </c>
      <c r="N3" s="90"/>
      <c r="O3" s="90"/>
      <c r="P3" s="87"/>
      <c r="Q3" s="90" t="s">
        <v>48</v>
      </c>
      <c r="R3" s="90"/>
      <c r="S3" s="90"/>
      <c r="T3" s="87"/>
      <c r="U3" s="90" t="s">
        <v>49</v>
      </c>
      <c r="V3" s="90"/>
      <c r="W3" s="90"/>
      <c r="X3" s="87"/>
      <c r="Y3" s="87"/>
      <c r="Z3" s="178" t="s">
        <v>50</v>
      </c>
      <c r="AA3" s="178"/>
      <c r="AB3" s="239"/>
      <c r="AC3" s="178" t="s">
        <v>51</v>
      </c>
      <c r="AD3" s="178"/>
      <c r="AE3" s="239"/>
      <c r="AF3" s="178" t="s">
        <v>17</v>
      </c>
      <c r="AG3" s="178"/>
      <c r="AH3" s="240"/>
      <c r="AI3" s="240"/>
      <c r="AJ3" s="240"/>
      <c r="AK3" s="239"/>
      <c r="AL3" s="239"/>
    </row>
    <row r="4" s="180" customFormat="true" ht="18" hidden="false" customHeight="true" outlineLevel="0" collapsed="false">
      <c r="A4" s="89"/>
      <c r="B4" s="89"/>
      <c r="C4" s="85"/>
      <c r="D4" s="86"/>
      <c r="E4" s="94" t="n">
        <f aca="false">$AJ$16</f>
        <v>0</v>
      </c>
      <c r="F4" s="94"/>
      <c r="G4" s="94"/>
      <c r="H4" s="87"/>
      <c r="I4" s="94" t="n">
        <f aca="false">$AJ$14</f>
        <v>0</v>
      </c>
      <c r="J4" s="94"/>
      <c r="K4" s="94"/>
      <c r="L4" s="87"/>
      <c r="M4" s="94" t="n">
        <f aca="false">$AJ$15</f>
        <v>0</v>
      </c>
      <c r="N4" s="94"/>
      <c r="O4" s="94"/>
      <c r="P4" s="87"/>
      <c r="Q4" s="94" t="n">
        <f aca="false">$AJ$25</f>
        <v>0</v>
      </c>
      <c r="R4" s="94"/>
      <c r="S4" s="94"/>
      <c r="T4" s="87"/>
      <c r="U4" s="94" t="n">
        <f aca="false">$AJ$26</f>
        <v>0</v>
      </c>
      <c r="V4" s="94"/>
      <c r="W4" s="94"/>
      <c r="X4" s="87"/>
      <c r="Y4" s="87"/>
      <c r="Z4" s="178"/>
      <c r="AA4" s="178"/>
      <c r="AB4" s="239"/>
      <c r="AC4" s="178"/>
      <c r="AD4" s="178"/>
      <c r="AE4" s="239"/>
      <c r="AF4" s="178"/>
      <c r="AG4" s="178"/>
      <c r="AH4" s="240"/>
      <c r="AI4" s="240"/>
      <c r="AJ4" s="240"/>
      <c r="AK4" s="239"/>
      <c r="AL4" s="239"/>
    </row>
    <row r="5" customFormat="false" ht="11.25" hidden="false" customHeight="true" outlineLevel="0" collapsed="false">
      <c r="A5" s="89"/>
      <c r="B5" s="89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7"/>
      <c r="Y5" s="86"/>
      <c r="Z5" s="86"/>
      <c r="AA5" s="87"/>
      <c r="AB5" s="87"/>
      <c r="AC5" s="241"/>
      <c r="AD5" s="242"/>
      <c r="AE5" s="242"/>
      <c r="AF5" s="242"/>
      <c r="AG5" s="242"/>
      <c r="AH5" s="242"/>
      <c r="AI5" s="242"/>
      <c r="AJ5" s="239"/>
      <c r="AK5" s="239"/>
      <c r="AL5" s="239"/>
    </row>
    <row r="6" customFormat="false" ht="13.5" hidden="false" customHeight="true" outlineLevel="0" collapsed="false">
      <c r="A6" s="96"/>
      <c r="B6" s="96"/>
      <c r="C6" s="85"/>
      <c r="D6" s="97"/>
      <c r="E6" s="98" t="s">
        <v>30</v>
      </c>
      <c r="F6" s="98" t="s">
        <v>31</v>
      </c>
      <c r="G6" s="99" t="s">
        <v>32</v>
      </c>
      <c r="H6" s="99" t="s">
        <v>33</v>
      </c>
      <c r="I6" s="99" t="s">
        <v>34</v>
      </c>
      <c r="J6" s="99" t="s">
        <v>35</v>
      </c>
      <c r="K6" s="99" t="s">
        <v>36</v>
      </c>
      <c r="L6" s="99" t="s">
        <v>37</v>
      </c>
      <c r="M6" s="99" t="s">
        <v>38</v>
      </c>
      <c r="N6" s="99" t="s">
        <v>39</v>
      </c>
      <c r="O6" s="99" t="s">
        <v>40</v>
      </c>
      <c r="P6" s="99" t="s">
        <v>41</v>
      </c>
      <c r="Q6" s="99" t="s">
        <v>81</v>
      </c>
      <c r="R6" s="99" t="s">
        <v>82</v>
      </c>
      <c r="S6" s="99" t="s">
        <v>83</v>
      </c>
      <c r="T6" s="99" t="s">
        <v>84</v>
      </c>
      <c r="U6" s="99" t="s">
        <v>85</v>
      </c>
      <c r="V6" s="99" t="s">
        <v>86</v>
      </c>
      <c r="W6" s="99" t="s">
        <v>87</v>
      </c>
      <c r="X6" s="99" t="s">
        <v>88</v>
      </c>
      <c r="Y6" s="99" t="s">
        <v>89</v>
      </c>
      <c r="Z6" s="99" t="s">
        <v>90</v>
      </c>
      <c r="AA6" s="99" t="s">
        <v>91</v>
      </c>
      <c r="AB6" s="99" t="s">
        <v>92</v>
      </c>
      <c r="AC6" s="99" t="s">
        <v>93</v>
      </c>
      <c r="AD6" s="99" t="s">
        <v>94</v>
      </c>
      <c r="AE6" s="99" t="s">
        <v>95</v>
      </c>
      <c r="AF6" s="99" t="s">
        <v>96</v>
      </c>
      <c r="AG6" s="99" t="s">
        <v>97</v>
      </c>
      <c r="AH6" s="99" t="s">
        <v>98</v>
      </c>
      <c r="AI6" s="243" t="s">
        <v>99</v>
      </c>
      <c r="AJ6" s="239"/>
      <c r="AK6" s="239"/>
      <c r="AL6" s="239"/>
    </row>
    <row r="7" s="78" customFormat="true" ht="12.75" hidden="false" customHeight="false" outlineLevel="0" collapsed="false">
      <c r="E7" s="100"/>
    </row>
    <row r="8" s="78" customFormat="true" ht="12" hidden="false" customHeight="false" outlineLevel="0" collapsed="false"/>
    <row r="9" s="78" customFormat="true" ht="12" hidden="false" customHeight="false" outlineLevel="0" collapsed="false"/>
    <row r="10" customFormat="false" ht="39.75" hidden="false" customHeight="true" outlineLevel="0" collapsed="false">
      <c r="C10" s="101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3" t="s">
        <v>2</v>
      </c>
    </row>
    <row r="11" s="78" customFormat="true" ht="12.75" hidden="false" customHeight="false" outlineLevel="0" collapsed="false">
      <c r="AJ11" s="106" t="s">
        <v>64</v>
      </c>
    </row>
    <row r="12" customFormat="false" ht="6.75" hidden="false" customHeight="tru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94"/>
      <c r="AK12" s="107"/>
    </row>
    <row r="13" customFormat="false" ht="13.5" hidden="true" customHeight="false" outlineLevel="0" collapsed="false">
      <c r="B13" s="86"/>
      <c r="C13" s="109" t="s">
        <v>68</v>
      </c>
      <c r="D13" s="110" t="s">
        <v>69</v>
      </c>
      <c r="E13" s="110" t="s">
        <v>30</v>
      </c>
      <c r="F13" s="110" t="s">
        <v>31</v>
      </c>
      <c r="G13" s="110" t="s">
        <v>32</v>
      </c>
      <c r="H13" s="110" t="s">
        <v>33</v>
      </c>
      <c r="I13" s="110" t="s">
        <v>34</v>
      </c>
      <c r="J13" s="110" t="s">
        <v>35</v>
      </c>
      <c r="K13" s="110" t="s">
        <v>36</v>
      </c>
      <c r="L13" s="110" t="s">
        <v>37</v>
      </c>
      <c r="M13" s="110" t="s">
        <v>38</v>
      </c>
      <c r="N13" s="110" t="s">
        <v>39</v>
      </c>
      <c r="O13" s="110" t="s">
        <v>40</v>
      </c>
      <c r="P13" s="110" t="s">
        <v>41</v>
      </c>
      <c r="Q13" s="110" t="s">
        <v>81</v>
      </c>
      <c r="R13" s="110" t="s">
        <v>82</v>
      </c>
      <c r="S13" s="110" t="s">
        <v>83</v>
      </c>
      <c r="T13" s="110" t="s">
        <v>84</v>
      </c>
      <c r="U13" s="110" t="s">
        <v>85</v>
      </c>
      <c r="V13" s="110" t="s">
        <v>86</v>
      </c>
      <c r="W13" s="110" t="s">
        <v>87</v>
      </c>
      <c r="X13" s="110" t="s">
        <v>88</v>
      </c>
      <c r="Y13" s="110" t="s">
        <v>89</v>
      </c>
      <c r="Z13" s="110" t="s">
        <v>90</v>
      </c>
      <c r="AA13" s="110" t="s">
        <v>91</v>
      </c>
      <c r="AB13" s="110" t="s">
        <v>92</v>
      </c>
      <c r="AC13" s="110" t="s">
        <v>93</v>
      </c>
      <c r="AD13" s="110" t="s">
        <v>94</v>
      </c>
      <c r="AE13" s="110" t="s">
        <v>95</v>
      </c>
      <c r="AF13" s="110" t="s">
        <v>96</v>
      </c>
      <c r="AG13" s="110" t="s">
        <v>97</v>
      </c>
      <c r="AH13" s="110" t="s">
        <v>98</v>
      </c>
      <c r="AI13" s="110" t="s">
        <v>99</v>
      </c>
      <c r="AJ13" s="111" t="s">
        <v>70</v>
      </c>
      <c r="AK13" s="107"/>
    </row>
    <row r="14" customFormat="false" ht="19.5" hidden="false" customHeight="true" outlineLevel="0" collapsed="false">
      <c r="B14" s="107"/>
      <c r="C14" s="112" t="s">
        <v>71</v>
      </c>
      <c r="D14" s="113"/>
      <c r="E14" s="114" t="n">
        <f aca="false">SUMIFS(tabela_registros[VALOR],tabela_registros[MÊS],$AE$1,tabela_registros[DIA],deztotal3059718395107119131143155167[[#Headers],[1]],tabela_registros[REGISTRO],DADOS!$N$3)</f>
        <v>0</v>
      </c>
      <c r="F14" s="114" t="n">
        <f aca="false">SUMIFS(tabela_registros[VALOR],tabela_registros[MÊS],$AE$1,tabela_registros[DIA],deztotal3059718395107119131143155167[[#Headers],[2]],tabela_registros[REGISTRO],DADOS!$N$3)</f>
        <v>0</v>
      </c>
      <c r="G14" s="114" t="n">
        <f aca="false">SUMIFS(tabela_registros[VALOR],tabela_registros[MÊS],$AE$1,tabela_registros[DIA],deztotal3059718395107119131143155167[[#Headers],[3]],tabela_registros[REGISTRO],DADOS!$N$3)</f>
        <v>0</v>
      </c>
      <c r="H14" s="114" t="n">
        <f aca="false">SUMIFS(tabela_registros[VALOR],tabela_registros[MÊS],$AE$1,tabela_registros[DIA],deztotal3059718395107119131143155167[[#Headers],[4]],tabela_registros[REGISTRO],DADOS!$N$3)</f>
        <v>0</v>
      </c>
      <c r="I14" s="114" t="n">
        <f aca="false">SUMIFS(tabela_registros[VALOR],tabela_registros[MÊS],$AE$1,tabela_registros[DIA],deztotal3059718395107119131143155167[[#Headers],[5]],tabela_registros[REGISTRO],DADOS!$N$3)</f>
        <v>0</v>
      </c>
      <c r="J14" s="114" t="n">
        <f aca="false">SUMIFS(tabela_registros[VALOR],tabela_registros[MÊS],$AE$1,tabela_registros[DIA],deztotal3059718395107119131143155167[[#Headers],[6]],tabela_registros[REGISTRO],DADOS!$N$3)</f>
        <v>0</v>
      </c>
      <c r="K14" s="114" t="n">
        <f aca="false">SUMIFS(tabela_registros[VALOR],tabela_registros[MÊS],$AE$1,tabela_registros[DIA],deztotal3059718395107119131143155167[[#Headers],[7]],tabela_registros[REGISTRO],DADOS!$N$3)</f>
        <v>0</v>
      </c>
      <c r="L14" s="114" t="n">
        <f aca="false">SUMIFS(tabela_registros[VALOR],tabela_registros[MÊS],$AE$1,tabela_registros[DIA],deztotal3059718395107119131143155167[[#Headers],[8]],tabela_registros[REGISTRO],DADOS!$N$3)</f>
        <v>0</v>
      </c>
      <c r="M14" s="114" t="n">
        <f aca="false">SUMIFS(tabela_registros[VALOR],tabela_registros[MÊS],$AE$1,tabela_registros[DIA],deztotal3059718395107119131143155167[[#Headers],[9]],tabela_registros[REGISTRO],DADOS!$N$3)</f>
        <v>0</v>
      </c>
      <c r="N14" s="114" t="n">
        <f aca="false">SUMIFS(tabela_registros[VALOR],tabela_registros[MÊS],$AE$1,tabela_registros[DIA],deztotal3059718395107119131143155167[[#Headers],[10]],tabela_registros[REGISTRO],DADOS!$N$3)</f>
        <v>0</v>
      </c>
      <c r="O14" s="114" t="n">
        <f aca="false">SUMIFS(tabela_registros[VALOR],tabela_registros[MÊS],$AE$1,tabela_registros[DIA],deztotal3059718395107119131143155167[[#Headers],[11]],tabela_registros[REGISTRO],DADOS!$N$3)</f>
        <v>0</v>
      </c>
      <c r="P14" s="114" t="n">
        <f aca="false">SUMIFS(tabela_registros[VALOR],tabela_registros[MÊS],$AE$1,tabela_registros[DIA],deztotal3059718395107119131143155167[[#Headers],[12]],tabela_registros[REGISTRO],DADOS!$N$3)</f>
        <v>0</v>
      </c>
      <c r="Q14" s="114" t="n">
        <f aca="false">SUMIFS(tabela_registros[VALOR],tabela_registros[MÊS],$AE$1,tabela_registros[DIA],deztotal3059718395107119131143155167[[#Headers],[13]],tabela_registros[REGISTRO],DADOS!$N$3)</f>
        <v>0</v>
      </c>
      <c r="R14" s="114" t="n">
        <f aca="false">SUMIFS(tabela_registros[VALOR],tabela_registros[MÊS],$AE$1,tabela_registros[DIA],deztotal3059718395107119131143155167[[#Headers],[14]],tabela_registros[REGISTRO],DADOS!$N$3)</f>
        <v>0</v>
      </c>
      <c r="S14" s="114" t="n">
        <f aca="false">SUMIFS(tabela_registros[VALOR],tabela_registros[MÊS],$AE$1,tabela_registros[DIA],deztotal3059718395107119131143155167[[#Headers],[15]],tabela_registros[REGISTRO],DADOS!$N$3)</f>
        <v>0</v>
      </c>
      <c r="T14" s="114" t="n">
        <f aca="false">SUMIFS(tabela_registros[VALOR],tabela_registros[MÊS],$AE$1,tabela_registros[DIA],deztotal3059718395107119131143155167[[#Headers],[16]],tabela_registros[REGISTRO],DADOS!$N$3)</f>
        <v>0</v>
      </c>
      <c r="U14" s="114" t="n">
        <f aca="false">SUMIFS(tabela_registros[VALOR],tabela_registros[MÊS],$AE$1,tabela_registros[DIA],deztotal3059718395107119131143155167[[#Headers],[17]],tabela_registros[REGISTRO],DADOS!$N$3)</f>
        <v>0</v>
      </c>
      <c r="V14" s="114" t="n">
        <f aca="false">SUMIFS(tabela_registros[VALOR],tabela_registros[MÊS],$AE$1,tabela_registros[DIA],deztotal3059718395107119131143155167[[#Headers],[18]],tabela_registros[REGISTRO],DADOS!$N$3)</f>
        <v>0</v>
      </c>
      <c r="W14" s="114" t="n">
        <f aca="false">SUMIFS(tabela_registros[VALOR],tabela_registros[MÊS],$AE$1,tabela_registros[DIA],deztotal3059718395107119131143155167[[#Headers],[19]],tabela_registros[REGISTRO],DADOS!$N$3)</f>
        <v>0</v>
      </c>
      <c r="X14" s="114" t="n">
        <f aca="false">SUMIFS(tabela_registros[VALOR],tabela_registros[MÊS],$AE$1,tabela_registros[DIA],deztotal3059718395107119131143155167[[#Headers],[20]],tabela_registros[REGISTRO],DADOS!$N$3)</f>
        <v>0</v>
      </c>
      <c r="Y14" s="114" t="n">
        <f aca="false">SUMIFS(tabela_registros[VALOR],tabela_registros[MÊS],$AE$1,tabela_registros[DIA],deztotal3059718395107119131143155167[[#Headers],[21]],tabela_registros[REGISTRO],DADOS!$N$3)</f>
        <v>0</v>
      </c>
      <c r="Z14" s="114" t="n">
        <f aca="false">SUMIFS(tabela_registros[VALOR],tabela_registros[MÊS],$AE$1,tabela_registros[DIA],deztotal3059718395107119131143155167[[#Headers],[22]],tabela_registros[REGISTRO],DADOS!$N$3)</f>
        <v>0</v>
      </c>
      <c r="AA14" s="114" t="n">
        <f aca="false">SUMIFS(tabela_registros[VALOR],tabela_registros[MÊS],$AE$1,tabela_registros[DIA],deztotal3059718395107119131143155167[[#Headers],[23]],tabela_registros[REGISTRO],DADOS!$N$3)</f>
        <v>0</v>
      </c>
      <c r="AB14" s="114" t="n">
        <f aca="false">SUMIFS(tabela_registros[VALOR],tabela_registros[MÊS],$AE$1,tabela_registros[DIA],deztotal3059718395107119131143155167[[#Headers],[24]],tabela_registros[REGISTRO],DADOS!$N$3)</f>
        <v>0</v>
      </c>
      <c r="AC14" s="114" t="n">
        <f aca="false">SUMIFS(tabela_registros[VALOR],tabela_registros[MÊS],$AE$1,tabela_registros[DIA],deztotal3059718395107119131143155167[[#Headers],[25]],tabela_registros[REGISTRO],DADOS!$N$3)</f>
        <v>0</v>
      </c>
      <c r="AD14" s="114" t="n">
        <f aca="false">SUMIFS(tabela_registros[VALOR],tabela_registros[MÊS],$AE$1,tabela_registros[DIA],deztotal3059718395107119131143155167[[#Headers],[26]],tabela_registros[REGISTRO],DADOS!$N$3)</f>
        <v>0</v>
      </c>
      <c r="AE14" s="114" t="n">
        <f aca="false">SUMIFS(tabela_registros[VALOR],tabela_registros[MÊS],$AE$1,tabela_registros[DIA],deztotal3059718395107119131143155167[[#Headers],[27]],tabela_registros[REGISTRO],DADOS!$N$3)</f>
        <v>0</v>
      </c>
      <c r="AF14" s="114" t="n">
        <f aca="false">SUMIFS(tabela_registros[VALOR],tabela_registros[MÊS],$AE$1,tabela_registros[DIA],deztotal3059718395107119131143155167[[#Headers],[28]],tabela_registros[REGISTRO],DADOS!$N$3)</f>
        <v>0</v>
      </c>
      <c r="AG14" s="114" t="n">
        <f aca="false">SUMIFS(tabela_registros[VALOR],tabela_registros[MÊS],$AE$1,tabela_registros[DIA],deztotal3059718395107119131143155167[[#Headers],[29]],tabela_registros[REGISTRO],DADOS!$N$3)</f>
        <v>0</v>
      </c>
      <c r="AH14" s="114" t="n">
        <f aca="false">SUMIFS(tabela_registros[VALOR],tabela_registros[MÊS],$AE$1,tabela_registros[DIA],deztotal3059718395107119131143155167[[#Headers],[30]],tabela_registros[REGISTRO],DADOS!$N$3)</f>
        <v>0</v>
      </c>
      <c r="AI14" s="115" t="n">
        <f aca="false">SUMIFS(tabela_registros[VALOR],tabela_registros[MÊS],$AE$1,tabela_registros[DIA],deztotal3059718395107119131143155167[[#Headers],[31]],tabela_registros[REGISTRO],DADOS!$N$3)</f>
        <v>0</v>
      </c>
      <c r="AJ14" s="116" t="n">
        <f aca="false">SUM(deztotal3059718395107119131143155167[[#This Row],[1]:[31]])</f>
        <v>0</v>
      </c>
      <c r="AK14" s="107"/>
    </row>
    <row r="15" customFormat="false" ht="18" hidden="false" customHeight="true" outlineLevel="0" collapsed="false">
      <c r="B15" s="107"/>
      <c r="C15" s="112" t="s">
        <v>72</v>
      </c>
      <c r="D15" s="113"/>
      <c r="E15" s="119" t="n">
        <f aca="false">SUMIFS(tabela_registros[VALOR],tabela_registros[MÊS],$AE$1,tabela_registros[DIA],deztotal3059718395107119131143155167[[#Headers],[1]],tabela_registros[REGISTRO],DADOS!$N$4)</f>
        <v>0</v>
      </c>
      <c r="F15" s="119" t="n">
        <f aca="false">SUMIFS(tabela_registros[VALOR],tabela_registros[MÊS],$AE$1,tabela_registros[DIA],deztotal3059718395107119131143155167[[#Headers],[2]],tabela_registros[REGISTRO],DADOS!$N$4)</f>
        <v>0</v>
      </c>
      <c r="G15" s="119" t="n">
        <f aca="false">SUMIFS(tabela_registros[VALOR],tabela_registros[MÊS],$AE$1,tabela_registros[DIA],deztotal3059718395107119131143155167[[#Headers],[3]],tabela_registros[REGISTRO],DADOS!$N$4)</f>
        <v>0</v>
      </c>
      <c r="H15" s="119" t="n">
        <f aca="false">SUMIFS(tabela_registros[VALOR],tabela_registros[MÊS],$AE$1,tabela_registros[DIA],deztotal3059718395107119131143155167[[#Headers],[4]],tabela_registros[REGISTRO],DADOS!$N$4)</f>
        <v>0</v>
      </c>
      <c r="I15" s="119" t="n">
        <f aca="false">SUMIFS(tabela_registros[VALOR],tabela_registros[MÊS],$AE$1,tabela_registros[DIA],deztotal3059718395107119131143155167[[#Headers],[5]],tabela_registros[REGISTRO],DADOS!$N$4)</f>
        <v>0</v>
      </c>
      <c r="J15" s="119" t="n">
        <f aca="false">SUMIFS(tabela_registros[VALOR],tabela_registros[MÊS],$AE$1,tabela_registros[DIA],deztotal3059718395107119131143155167[[#Headers],[6]],tabela_registros[REGISTRO],DADOS!$N$4)</f>
        <v>0</v>
      </c>
      <c r="K15" s="119" t="n">
        <f aca="false">SUMIFS(tabela_registros[VALOR],tabela_registros[MÊS],$AE$1,tabela_registros[DIA],deztotal3059718395107119131143155167[[#Headers],[7]],tabela_registros[REGISTRO],DADOS!$N$4)</f>
        <v>0</v>
      </c>
      <c r="L15" s="119" t="n">
        <f aca="false">SUMIFS(tabela_registros[VALOR],tabela_registros[MÊS],$AE$1,tabela_registros[DIA],deztotal3059718395107119131143155167[[#Headers],[8]],tabela_registros[REGISTRO],DADOS!$N$4)</f>
        <v>0</v>
      </c>
      <c r="M15" s="119" t="n">
        <f aca="false">SUMIFS(tabela_registros[VALOR],tabela_registros[MÊS],$AE$1,tabela_registros[DIA],deztotal3059718395107119131143155167[[#Headers],[9]],tabela_registros[REGISTRO],DADOS!$N$4)</f>
        <v>0</v>
      </c>
      <c r="N15" s="119" t="n">
        <f aca="false">SUMIFS(tabela_registros[VALOR],tabela_registros[MÊS],$AE$1,tabela_registros[DIA],deztotal3059718395107119131143155167[[#Headers],[10]],tabela_registros[REGISTRO],DADOS!$N$4)</f>
        <v>0</v>
      </c>
      <c r="O15" s="119" t="n">
        <f aca="false">SUMIFS(tabela_registros[VALOR],tabela_registros[MÊS],$AE$1,tabela_registros[DIA],deztotal3059718395107119131143155167[[#Headers],[11]],tabela_registros[REGISTRO],DADOS!$N$4)</f>
        <v>0</v>
      </c>
      <c r="P15" s="119" t="n">
        <f aca="false">SUMIFS(tabela_registros[VALOR],tabela_registros[MÊS],$AE$1,tabela_registros[DIA],deztotal3059718395107119131143155167[[#Headers],[12]],tabela_registros[REGISTRO],DADOS!$N$4)</f>
        <v>0</v>
      </c>
      <c r="Q15" s="119" t="n">
        <f aca="false">SUMIFS(tabela_registros[VALOR],tabela_registros[MÊS],$AE$1,tabela_registros[DIA],deztotal3059718395107119131143155167[[#Headers],[13]],tabela_registros[REGISTRO],DADOS!$N$4)</f>
        <v>0</v>
      </c>
      <c r="R15" s="119" t="n">
        <f aca="false">SUMIFS(tabela_registros[VALOR],tabela_registros[MÊS],$AE$1,tabela_registros[DIA],deztotal3059718395107119131143155167[[#Headers],[14]],tabela_registros[REGISTRO],DADOS!$N$4)</f>
        <v>0</v>
      </c>
      <c r="S15" s="119" t="n">
        <f aca="false">SUMIFS(tabela_registros[VALOR],tabela_registros[MÊS],$AE$1,tabela_registros[DIA],deztotal3059718395107119131143155167[[#Headers],[15]],tabela_registros[REGISTRO],DADOS!$N$4)</f>
        <v>0</v>
      </c>
      <c r="T15" s="119" t="n">
        <f aca="false">SUMIFS(tabela_registros[VALOR],tabela_registros[MÊS],$AE$1,tabela_registros[DIA],deztotal3059718395107119131143155167[[#Headers],[16]],tabela_registros[REGISTRO],DADOS!$N$4)</f>
        <v>0</v>
      </c>
      <c r="U15" s="119" t="n">
        <f aca="false">SUMIFS(tabela_registros[VALOR],tabela_registros[MÊS],$AE$1,tabela_registros[DIA],deztotal3059718395107119131143155167[[#Headers],[17]],tabela_registros[REGISTRO],DADOS!$N$4)</f>
        <v>0</v>
      </c>
      <c r="V15" s="119" t="n">
        <f aca="false">SUMIFS(tabela_registros[VALOR],tabela_registros[MÊS],$AE$1,tabela_registros[DIA],deztotal3059718395107119131143155167[[#Headers],[18]],tabela_registros[REGISTRO],DADOS!$N$4)</f>
        <v>0</v>
      </c>
      <c r="W15" s="119" t="n">
        <f aca="false">SUMIFS(tabela_registros[VALOR],tabela_registros[MÊS],$AE$1,tabela_registros[DIA],deztotal3059718395107119131143155167[[#Headers],[19]],tabela_registros[REGISTRO],DADOS!$N$4)</f>
        <v>0</v>
      </c>
      <c r="X15" s="119" t="n">
        <f aca="false">SUMIFS(tabela_registros[VALOR],tabela_registros[MÊS],$AE$1,tabela_registros[DIA],deztotal3059718395107119131143155167[[#Headers],[20]],tabela_registros[REGISTRO],DADOS!$N$4)</f>
        <v>0</v>
      </c>
      <c r="Y15" s="119" t="n">
        <f aca="false">SUMIFS(tabela_registros[VALOR],tabela_registros[MÊS],$AE$1,tabela_registros[DIA],deztotal3059718395107119131143155167[[#Headers],[21]],tabela_registros[REGISTRO],DADOS!$N$4)</f>
        <v>0</v>
      </c>
      <c r="Z15" s="119" t="n">
        <f aca="false">SUMIFS(tabela_registros[VALOR],tabela_registros[MÊS],$AE$1,tabela_registros[DIA],deztotal3059718395107119131143155167[[#Headers],[22]],tabela_registros[REGISTRO],DADOS!$N$4)</f>
        <v>0</v>
      </c>
      <c r="AA15" s="119" t="n">
        <f aca="false">SUMIFS(tabela_registros[VALOR],tabela_registros[MÊS],$AE$1,tabela_registros[DIA],deztotal3059718395107119131143155167[[#Headers],[23]],tabela_registros[REGISTRO],DADOS!$N$4)</f>
        <v>0</v>
      </c>
      <c r="AB15" s="119" t="n">
        <f aca="false">SUMIFS(tabela_registros[VALOR],tabela_registros[MÊS],$AE$1,tabela_registros[DIA],deztotal3059718395107119131143155167[[#Headers],[24]],tabela_registros[REGISTRO],DADOS!$N$4)</f>
        <v>0</v>
      </c>
      <c r="AC15" s="119" t="n">
        <f aca="false">SUMIFS(tabela_registros[VALOR],tabela_registros[MÊS],$AE$1,tabela_registros[DIA],deztotal3059718395107119131143155167[[#Headers],[25]],tabela_registros[REGISTRO],DADOS!$N$4)</f>
        <v>0</v>
      </c>
      <c r="AD15" s="119" t="n">
        <f aca="false">SUMIFS(tabela_registros[VALOR],tabela_registros[MÊS],$AE$1,tabela_registros[DIA],deztotal3059718395107119131143155167[[#Headers],[26]],tabela_registros[REGISTRO],DADOS!$N$4)</f>
        <v>0</v>
      </c>
      <c r="AE15" s="119" t="n">
        <f aca="false">SUMIFS(tabela_registros[VALOR],tabela_registros[MÊS],$AE$1,tabela_registros[DIA],deztotal3059718395107119131143155167[[#Headers],[27]],tabela_registros[REGISTRO],DADOS!$N$4)</f>
        <v>0</v>
      </c>
      <c r="AF15" s="119" t="n">
        <f aca="false">SUMIFS(tabela_registros[VALOR],tabela_registros[MÊS],$AE$1,tabela_registros[DIA],deztotal3059718395107119131143155167[[#Headers],[28]],tabela_registros[REGISTRO],DADOS!$N$4)</f>
        <v>0</v>
      </c>
      <c r="AG15" s="119" t="n">
        <f aca="false">SUMIFS(tabela_registros[VALOR],tabela_registros[MÊS],$AE$1,tabela_registros[DIA],deztotal3059718395107119131143155167[[#Headers],[29]],tabela_registros[REGISTRO],DADOS!$N$4)</f>
        <v>0</v>
      </c>
      <c r="AH15" s="119" t="n">
        <f aca="false">SUMIFS(tabela_registros[VALOR],tabela_registros[MÊS],$AE$1,tabela_registros[DIA],deztotal3059718395107119131143155167[[#Headers],[30]],tabela_registros[REGISTRO],DADOS!$N$4)</f>
        <v>0</v>
      </c>
      <c r="AI15" s="120" t="n">
        <f aca="false">SUMIFS(tabela_registros[VALOR],tabela_registros[MÊS],$AE$1,tabela_registros[DIA],deztotal3059718395107119131143155167[[#Headers],[31]],tabela_registros[REGISTRO],DADOS!$N$4)</f>
        <v>0</v>
      </c>
      <c r="AJ15" s="121" t="n">
        <f aca="false">SUM(deztotal3059718395107119131143155167[[#This Row],[1]:[31]])</f>
        <v>0</v>
      </c>
      <c r="AK15" s="107"/>
    </row>
    <row r="16" s="122" customFormat="true" ht="21" hidden="false" customHeight="true" outlineLevel="0" collapsed="false">
      <c r="B16" s="123"/>
      <c r="C16" s="124" t="s">
        <v>73</v>
      </c>
      <c r="D16" s="125"/>
      <c r="E16" s="126" t="n">
        <f aca="false">(E14-E15)+AI1</f>
        <v>0</v>
      </c>
      <c r="F16" s="127" t="n">
        <f aca="false">deztotal3059718395107119131143155167[[#This Row],[1]]+(F14-F15)</f>
        <v>0</v>
      </c>
      <c r="G16" s="127" t="n">
        <f aca="false">deztotal3059718395107119131143155167[[#This Row],[2]]+(G14-G15)</f>
        <v>0</v>
      </c>
      <c r="H16" s="127" t="n">
        <f aca="false">deztotal3059718395107119131143155167[[#This Row],[3]]+(H14-H15)</f>
        <v>0</v>
      </c>
      <c r="I16" s="127" t="n">
        <f aca="false">deztotal3059718395107119131143155167[[#This Row],[4]]+(I14-I15)</f>
        <v>0</v>
      </c>
      <c r="J16" s="127" t="n">
        <f aca="false">deztotal3059718395107119131143155167[[#This Row],[5]]+(J14-J15)</f>
        <v>0</v>
      </c>
      <c r="K16" s="127" t="n">
        <f aca="false">deztotal3059718395107119131143155167[[#This Row],[6]]+(K14-K15)</f>
        <v>0</v>
      </c>
      <c r="L16" s="127" t="n">
        <f aca="false">deztotal3059718395107119131143155167[[#This Row],[7]]+(L14-L15)</f>
        <v>0</v>
      </c>
      <c r="M16" s="127" t="n">
        <f aca="false">deztotal3059718395107119131143155167[[#This Row],[8]]+(M14-M15)</f>
        <v>0</v>
      </c>
      <c r="N16" s="127" t="n">
        <f aca="false">deztotal3059718395107119131143155167[[#This Row],[9]]+(N14-N15)</f>
        <v>0</v>
      </c>
      <c r="O16" s="127" t="n">
        <f aca="false">deztotal3059718395107119131143155167[[#This Row],[10]]+(O14-O15)</f>
        <v>0</v>
      </c>
      <c r="P16" s="127" t="n">
        <f aca="false">deztotal3059718395107119131143155167[[#This Row],[11]]+(P14-P15)</f>
        <v>0</v>
      </c>
      <c r="Q16" s="127" t="n">
        <f aca="false">deztotal3059718395107119131143155167[[#This Row],[12]]+(Q14-Q15)</f>
        <v>0</v>
      </c>
      <c r="R16" s="127" t="n">
        <f aca="false">deztotal3059718395107119131143155167[[#This Row],[13]]+(R14-R15)</f>
        <v>0</v>
      </c>
      <c r="S16" s="127" t="n">
        <f aca="false">deztotal3059718395107119131143155167[[#This Row],[14]]+(S14-S15)</f>
        <v>0</v>
      </c>
      <c r="T16" s="127" t="n">
        <f aca="false">deztotal3059718395107119131143155167[[#This Row],[15]]+(T14-T15)</f>
        <v>0</v>
      </c>
      <c r="U16" s="127" t="n">
        <f aca="false">deztotal3059718395107119131143155167[[#This Row],[16]]+(U14-U15)</f>
        <v>0</v>
      </c>
      <c r="V16" s="127" t="n">
        <f aca="false">deztotal3059718395107119131143155167[[#This Row],[17]]+(V14-V15)</f>
        <v>0</v>
      </c>
      <c r="W16" s="127" t="n">
        <f aca="false">deztotal3059718395107119131143155167[[#This Row],[18]]+(W14-W15)</f>
        <v>0</v>
      </c>
      <c r="X16" s="127" t="n">
        <f aca="false">deztotal3059718395107119131143155167[[#This Row],[19]]+(X14-X15)</f>
        <v>0</v>
      </c>
      <c r="Y16" s="127" t="n">
        <f aca="false">deztotal3059718395107119131143155167[[#This Row],[20]]+(Y14-Y15)</f>
        <v>0</v>
      </c>
      <c r="Z16" s="127" t="n">
        <f aca="false">deztotal3059718395107119131143155167[[#This Row],[21]]+(Z14-Z15)</f>
        <v>0</v>
      </c>
      <c r="AA16" s="127" t="n">
        <f aca="false">deztotal3059718395107119131143155167[[#This Row],[22]]+(AA14-AA15)</f>
        <v>0</v>
      </c>
      <c r="AB16" s="127" t="n">
        <f aca="false">deztotal3059718395107119131143155167[[#This Row],[23]]+(AB14-AB15)</f>
        <v>0</v>
      </c>
      <c r="AC16" s="127" t="n">
        <f aca="false">deztotal3059718395107119131143155167[[#This Row],[24]]+(AC14-AC15)</f>
        <v>0</v>
      </c>
      <c r="AD16" s="127" t="n">
        <f aca="false">deztotal3059718395107119131143155167[[#This Row],[25]]+(AD14-AD15)</f>
        <v>0</v>
      </c>
      <c r="AE16" s="127" t="n">
        <f aca="false">deztotal3059718395107119131143155167[[#This Row],[26]]+(AE14-AE15)</f>
        <v>0</v>
      </c>
      <c r="AF16" s="127" t="n">
        <f aca="false">deztotal3059718395107119131143155167[[#This Row],[27]]+(AF14-AF15)</f>
        <v>0</v>
      </c>
      <c r="AG16" s="127" t="n">
        <f aca="false">deztotal3059718395107119131143155167[[#This Row],[28]]+(AG14-AG15)</f>
        <v>0</v>
      </c>
      <c r="AH16" s="127" t="n">
        <f aca="false">deztotal3059718395107119131143155167[[#This Row],[29]]+(AH14-AH15)</f>
        <v>0</v>
      </c>
      <c r="AI16" s="128" t="n">
        <f aca="false">deztotal3059718395107119131143155167[[#This Row],[30]]+(AI14-AI15)</f>
        <v>0</v>
      </c>
      <c r="AJ16" s="129" t="n">
        <f aca="false">deztotal3059718395107119131143155167[[#This Row],[31]]</f>
        <v>0</v>
      </c>
      <c r="AK16" s="123"/>
    </row>
    <row r="17" customFormat="false" ht="6.75" hidden="false" customHeight="true" outlineLevel="0" collapsed="false"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94"/>
      <c r="AJ17" s="107"/>
      <c r="AK17" s="107"/>
    </row>
    <row r="18" customFormat="false" ht="12.75" hidden="false" customHeight="false" outlineLevel="0" collapsed="false">
      <c r="C18" s="133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</row>
    <row r="19" customFormat="false" ht="12" hidden="false" customHeight="false" outlineLevel="0" collapsed="false">
      <c r="C19" s="133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</row>
    <row r="20" customFormat="false" ht="12" hidden="false" customHeight="false" outlineLevel="0" collapsed="false">
      <c r="A20" s="133"/>
      <c r="B20" s="133"/>
      <c r="C20" s="133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</row>
    <row r="21" customFormat="false" ht="39.75" hidden="false" customHeight="true" outlineLevel="0" collapsed="false">
      <c r="A21" s="133"/>
      <c r="B21" s="133"/>
      <c r="C21" s="133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3" t="s">
        <v>2</v>
      </c>
    </row>
    <row r="22" s="78" customFormat="true" ht="11.25" hidden="false" customHeight="true" outlineLevel="0" collapsed="false">
      <c r="C22" s="101"/>
      <c r="AJ22" s="106" t="s">
        <v>64</v>
      </c>
    </row>
    <row r="23" customFormat="false" ht="6.75" hidden="false" customHeight="true" outlineLevel="0" collapsed="false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94"/>
      <c r="AK23" s="107"/>
    </row>
    <row r="24" customFormat="false" ht="13.5" hidden="true" customHeight="false" outlineLevel="0" collapsed="false">
      <c r="B24" s="86"/>
      <c r="C24" s="110" t="s">
        <v>68</v>
      </c>
      <c r="D24" s="107" t="s">
        <v>69</v>
      </c>
      <c r="E24" s="110" t="s">
        <v>30</v>
      </c>
      <c r="F24" s="110" t="s">
        <v>31</v>
      </c>
      <c r="G24" s="110" t="s">
        <v>32</v>
      </c>
      <c r="H24" s="110" t="s">
        <v>33</v>
      </c>
      <c r="I24" s="110" t="s">
        <v>34</v>
      </c>
      <c r="J24" s="110" t="s">
        <v>35</v>
      </c>
      <c r="K24" s="110" t="s">
        <v>36</v>
      </c>
      <c r="L24" s="110" t="s">
        <v>37</v>
      </c>
      <c r="M24" s="110" t="s">
        <v>38</v>
      </c>
      <c r="N24" s="110" t="s">
        <v>39</v>
      </c>
      <c r="O24" s="110" t="s">
        <v>40</v>
      </c>
      <c r="P24" s="110" t="s">
        <v>41</v>
      </c>
      <c r="Q24" s="110" t="s">
        <v>81</v>
      </c>
      <c r="R24" s="110" t="s">
        <v>82</v>
      </c>
      <c r="S24" s="110" t="s">
        <v>83</v>
      </c>
      <c r="T24" s="110" t="s">
        <v>84</v>
      </c>
      <c r="U24" s="110" t="s">
        <v>85</v>
      </c>
      <c r="V24" s="110" t="s">
        <v>86</v>
      </c>
      <c r="W24" s="110" t="s">
        <v>87</v>
      </c>
      <c r="X24" s="110" t="s">
        <v>88</v>
      </c>
      <c r="Y24" s="110" t="s">
        <v>89</v>
      </c>
      <c r="Z24" s="110" t="s">
        <v>90</v>
      </c>
      <c r="AA24" s="110" t="s">
        <v>91</v>
      </c>
      <c r="AB24" s="110" t="s">
        <v>92</v>
      </c>
      <c r="AC24" s="110" t="s">
        <v>93</v>
      </c>
      <c r="AD24" s="110" t="s">
        <v>94</v>
      </c>
      <c r="AE24" s="110" t="s">
        <v>95</v>
      </c>
      <c r="AF24" s="110" t="s">
        <v>96</v>
      </c>
      <c r="AG24" s="110" t="s">
        <v>97</v>
      </c>
      <c r="AH24" s="110" t="s">
        <v>98</v>
      </c>
      <c r="AI24" s="110" t="s">
        <v>99</v>
      </c>
      <c r="AJ24" s="111" t="s">
        <v>70</v>
      </c>
      <c r="AK24" s="107"/>
    </row>
    <row r="25" customFormat="false" ht="19.5" hidden="false" customHeight="true" outlineLevel="0" collapsed="false">
      <c r="B25" s="107"/>
      <c r="C25" s="112" t="s">
        <v>15</v>
      </c>
      <c r="D25" s="113"/>
      <c r="E25" s="114" t="n">
        <f aca="false">SUMIFS(tabela_registros[VALOR],tabela_registros[MÊS],$AE$1,tabela_registros[DIA],deztotal3059718395107119131143155167[[#Headers],[1]],tabela_registros[REGISTRO],DADOS!$N$5)</f>
        <v>0</v>
      </c>
      <c r="F25" s="114" t="n">
        <f aca="false">SUMIFS(tabela_registros[VALOR],tabela_registros[MÊS],$AE$1,tabela_registros[DIA],deztotal3059718395107119131143155167[[#Headers],[2]],tabela_registros[REGISTRO],DADOS!$N$5)</f>
        <v>0</v>
      </c>
      <c r="G25" s="114" t="n">
        <f aca="false">SUMIFS(tabela_registros[VALOR],tabela_registros[MÊS],$AE$1,tabela_registros[DIA],deztotal3059718395107119131143155167[[#Headers],[3]],tabela_registros[REGISTRO],DADOS!$N$5)</f>
        <v>0</v>
      </c>
      <c r="H25" s="114" t="n">
        <f aca="false">SUMIFS(tabela_registros[VALOR],tabela_registros[MÊS],$AE$1,tabela_registros[DIA],deztotal3059718395107119131143155167[[#Headers],[4]],tabela_registros[REGISTRO],DADOS!$N$5)</f>
        <v>0</v>
      </c>
      <c r="I25" s="114" t="n">
        <f aca="false">SUMIFS(tabela_registros[VALOR],tabela_registros[MÊS],$AE$1,tabela_registros[DIA],deztotal3059718395107119131143155167[[#Headers],[5]],tabela_registros[REGISTRO],DADOS!$N$5)</f>
        <v>0</v>
      </c>
      <c r="J25" s="114" t="n">
        <f aca="false">SUMIFS(tabela_registros[VALOR],tabela_registros[MÊS],$AE$1,tabela_registros[DIA],deztotal3059718395107119131143155167[[#Headers],[6]],tabela_registros[REGISTRO],DADOS!$N$5)</f>
        <v>0</v>
      </c>
      <c r="K25" s="114" t="n">
        <f aca="false">SUMIFS(tabela_registros[VALOR],tabela_registros[MÊS],$AE$1,tabela_registros[DIA],deztotal3059718395107119131143155167[[#Headers],[7]],tabela_registros[REGISTRO],DADOS!$N$5)</f>
        <v>0</v>
      </c>
      <c r="L25" s="114" t="n">
        <f aca="false">SUMIFS(tabela_registros[VALOR],tabela_registros[MÊS],$AE$1,tabela_registros[DIA],deztotal3059718395107119131143155167[[#Headers],[8]],tabela_registros[REGISTRO],DADOS!$N$5)</f>
        <v>0</v>
      </c>
      <c r="M25" s="114" t="n">
        <f aca="false">SUMIFS(tabela_registros[VALOR],tabela_registros[MÊS],$AE$1,tabela_registros[DIA],deztotal3059718395107119131143155167[[#Headers],[9]],tabela_registros[REGISTRO],DADOS!$N$5)</f>
        <v>0</v>
      </c>
      <c r="N25" s="114" t="n">
        <f aca="false">SUMIFS(tabela_registros[VALOR],tabela_registros[MÊS],$AE$1,tabela_registros[DIA],deztotal3059718395107119131143155167[[#Headers],[10]],tabela_registros[REGISTRO],DADOS!$N$5)</f>
        <v>0</v>
      </c>
      <c r="O25" s="114" t="n">
        <f aca="false">SUMIFS(tabela_registros[VALOR],tabela_registros[MÊS],$AE$1,tabela_registros[DIA],deztotal3059718395107119131143155167[[#Headers],[11]],tabela_registros[REGISTRO],DADOS!$N$5)</f>
        <v>0</v>
      </c>
      <c r="P25" s="114" t="n">
        <f aca="false">SUMIFS(tabela_registros[VALOR],tabela_registros[MÊS],$AE$1,tabela_registros[DIA],deztotal3059718395107119131143155167[[#Headers],[12]],tabela_registros[REGISTRO],DADOS!$N$5)</f>
        <v>0</v>
      </c>
      <c r="Q25" s="114" t="n">
        <f aca="false">SUMIFS(tabela_registros[VALOR],tabela_registros[MÊS],$AE$1,tabela_registros[DIA],deztotal3059718395107119131143155167[[#Headers],[13]],tabela_registros[REGISTRO],DADOS!$N$5)</f>
        <v>0</v>
      </c>
      <c r="R25" s="114" t="n">
        <f aca="false">SUMIFS(tabela_registros[VALOR],tabela_registros[MÊS],$AE$1,tabela_registros[DIA],deztotal3059718395107119131143155167[[#Headers],[14]],tabela_registros[REGISTRO],DADOS!$N$5)</f>
        <v>0</v>
      </c>
      <c r="S25" s="114" t="n">
        <f aca="false">SUMIFS(tabela_registros[VALOR],tabela_registros[MÊS],$AE$1,tabela_registros[DIA],deztotal3059718395107119131143155167[[#Headers],[15]],tabela_registros[REGISTRO],DADOS!$N$5)</f>
        <v>0</v>
      </c>
      <c r="T25" s="114" t="n">
        <f aca="false">SUMIFS(tabela_registros[VALOR],tabela_registros[MÊS],$AE$1,tabela_registros[DIA],deztotal3059718395107119131143155167[[#Headers],[16]],tabela_registros[REGISTRO],DADOS!$N$5)</f>
        <v>0</v>
      </c>
      <c r="U25" s="114" t="n">
        <f aca="false">SUMIFS(tabela_registros[VALOR],tabela_registros[MÊS],$AE$1,tabela_registros[DIA],deztotal3059718395107119131143155167[[#Headers],[17]],tabela_registros[REGISTRO],DADOS!$N$5)</f>
        <v>0</v>
      </c>
      <c r="V25" s="114" t="n">
        <f aca="false">SUMIFS(tabela_registros[VALOR],tabela_registros[MÊS],$AE$1,tabela_registros[DIA],deztotal3059718395107119131143155167[[#Headers],[18]],tabela_registros[REGISTRO],DADOS!$N$5)</f>
        <v>0</v>
      </c>
      <c r="W25" s="114" t="n">
        <f aca="false">SUMIFS(tabela_registros[VALOR],tabela_registros[MÊS],$AE$1,tabela_registros[DIA],deztotal3059718395107119131143155167[[#Headers],[19]],tabela_registros[REGISTRO],DADOS!$N$5)</f>
        <v>0</v>
      </c>
      <c r="X25" s="114" t="n">
        <f aca="false">SUMIFS(tabela_registros[VALOR],tabela_registros[MÊS],$AE$1,tabela_registros[DIA],deztotal3059718395107119131143155167[[#Headers],[20]],tabela_registros[REGISTRO],DADOS!$N$5)</f>
        <v>0</v>
      </c>
      <c r="Y25" s="114" t="n">
        <f aca="false">SUMIFS(tabela_registros[VALOR],tabela_registros[MÊS],$AE$1,tabela_registros[DIA],deztotal3059718395107119131143155167[[#Headers],[21]],tabela_registros[REGISTRO],DADOS!$N$5)</f>
        <v>0</v>
      </c>
      <c r="Z25" s="114" t="n">
        <f aca="false">SUMIFS(tabela_registros[VALOR],tabela_registros[MÊS],$AE$1,tabela_registros[DIA],deztotal3059718395107119131143155167[[#Headers],[22]],tabela_registros[REGISTRO],DADOS!$N$5)</f>
        <v>0</v>
      </c>
      <c r="AA25" s="114" t="n">
        <f aca="false">SUMIFS(tabela_registros[VALOR],tabela_registros[MÊS],$AE$1,tabela_registros[DIA],deztotal3059718395107119131143155167[[#Headers],[23]],tabela_registros[REGISTRO],DADOS!$N$5)</f>
        <v>0</v>
      </c>
      <c r="AB25" s="114" t="n">
        <f aca="false">SUMIFS(tabela_registros[VALOR],tabela_registros[MÊS],$AE$1,tabela_registros[DIA],deztotal3059718395107119131143155167[[#Headers],[24]],tabela_registros[REGISTRO],DADOS!$N$5)</f>
        <v>0</v>
      </c>
      <c r="AC25" s="114" t="n">
        <f aca="false">SUMIFS(tabela_registros[VALOR],tabela_registros[MÊS],$AE$1,tabela_registros[DIA],deztotal3059718395107119131143155167[[#Headers],[25]],tabela_registros[REGISTRO],DADOS!$N$5)</f>
        <v>0</v>
      </c>
      <c r="AD25" s="114" t="n">
        <f aca="false">SUMIFS(tabela_registros[VALOR],tabela_registros[MÊS],$AE$1,tabela_registros[DIA],deztotal3059718395107119131143155167[[#Headers],[26]],tabela_registros[REGISTRO],DADOS!$N$5)</f>
        <v>0</v>
      </c>
      <c r="AE25" s="114" t="n">
        <f aca="false">SUMIFS(tabela_registros[VALOR],tabela_registros[MÊS],$AE$1,tabela_registros[DIA],deztotal3059718395107119131143155167[[#Headers],[27]],tabela_registros[REGISTRO],DADOS!$N$5)</f>
        <v>0</v>
      </c>
      <c r="AF25" s="114" t="n">
        <f aca="false">SUMIFS(tabela_registros[VALOR],tabela_registros[MÊS],$AE$1,tabela_registros[DIA],deztotal3059718395107119131143155167[[#Headers],[28]],tabela_registros[REGISTRO],DADOS!$N$5)</f>
        <v>0</v>
      </c>
      <c r="AG25" s="114" t="n">
        <f aca="false">SUMIFS(tabela_registros[VALOR],tabela_registros[MÊS],$AE$1,tabela_registros[DIA],deztotal3059718395107119131143155167[[#Headers],[29]],tabela_registros[REGISTRO],DADOS!$N$5)</f>
        <v>0</v>
      </c>
      <c r="AH25" s="114" t="n">
        <f aca="false">SUMIFS(tabela_registros[VALOR],tabela_registros[MÊS],$AE$1,tabela_registros[DIA],deztotal3059718395107119131143155167[[#Headers],[30]],tabela_registros[REGISTRO],DADOS!$N$5)</f>
        <v>0</v>
      </c>
      <c r="AI25" s="115" t="n">
        <f aca="false">SUMIFS(tabela_registros[VALOR],tabela_registros[MÊS],$AE$1,tabela_registros[DIA],deztotal3059718395107119131143155167[[#Headers],[31]],tabela_registros[REGISTRO],DADOS!$N$5)</f>
        <v>0</v>
      </c>
      <c r="AJ25" s="116" t="n">
        <f aca="false">SUM(E25:AI25)</f>
        <v>0</v>
      </c>
      <c r="AK25" s="107"/>
    </row>
    <row r="26" customFormat="false" ht="18" hidden="false" customHeight="true" outlineLevel="0" collapsed="false">
      <c r="B26" s="107"/>
      <c r="C26" s="135" t="s">
        <v>14</v>
      </c>
      <c r="D26" s="136"/>
      <c r="E26" s="119" t="n">
        <f aca="false">SUMIFS(tabela_registros[VALOR],tabela_registros[MÊS],$AE$1,tabela_registros[DIA],deztotal3059718395107119131143155167[[#Headers],[1]],tabela_registros[REGISTRO],DADOS!$N$6)</f>
        <v>0</v>
      </c>
      <c r="F26" s="119" t="n">
        <f aca="false">SUMIFS(tabela_registros[VALOR],tabela_registros[MÊS],$AE$1,tabela_registros[DIA],deztotal3059718395107119131143155167[[#Headers],[2]],tabela_registros[REGISTRO],DADOS!$N$6)</f>
        <v>0</v>
      </c>
      <c r="G26" s="119" t="n">
        <f aca="false">SUMIFS(tabela_registros[VALOR],tabela_registros[MÊS],$AE$1,tabela_registros[DIA],deztotal3059718395107119131143155167[[#Headers],[3]],tabela_registros[REGISTRO],DADOS!$N$6)</f>
        <v>0</v>
      </c>
      <c r="H26" s="119" t="n">
        <f aca="false">SUMIFS(tabela_registros[VALOR],tabela_registros[MÊS],$AE$1,tabela_registros[DIA],deztotal3059718395107119131143155167[[#Headers],[4]],tabela_registros[REGISTRO],DADOS!$N$6)</f>
        <v>0</v>
      </c>
      <c r="I26" s="119" t="n">
        <f aca="false">SUMIFS(tabela_registros[VALOR],tabela_registros[MÊS],$AE$1,tabela_registros[DIA],deztotal3059718395107119131143155167[[#Headers],[5]],tabela_registros[REGISTRO],DADOS!$N$6)</f>
        <v>0</v>
      </c>
      <c r="J26" s="119" t="n">
        <f aca="false">SUMIFS(tabela_registros[VALOR],tabela_registros[MÊS],$AE$1,tabela_registros[DIA],deztotal3059718395107119131143155167[[#Headers],[6]],tabela_registros[REGISTRO],DADOS!$N$6)</f>
        <v>0</v>
      </c>
      <c r="K26" s="119" t="n">
        <f aca="false">SUMIFS(tabela_registros[VALOR],tabela_registros[MÊS],$AE$1,tabela_registros[DIA],deztotal3059718395107119131143155167[[#Headers],[7]],tabela_registros[REGISTRO],DADOS!$N$6)</f>
        <v>0</v>
      </c>
      <c r="L26" s="119" t="n">
        <f aca="false">SUMIFS(tabela_registros[VALOR],tabela_registros[MÊS],$AE$1,tabela_registros[DIA],deztotal3059718395107119131143155167[[#Headers],[8]],tabela_registros[REGISTRO],DADOS!$N$6)</f>
        <v>0</v>
      </c>
      <c r="M26" s="119" t="n">
        <f aca="false">SUMIFS(tabela_registros[VALOR],tabela_registros[MÊS],$AE$1,tabela_registros[DIA],deztotal3059718395107119131143155167[[#Headers],[9]],tabela_registros[REGISTRO],DADOS!$N$6)</f>
        <v>0</v>
      </c>
      <c r="N26" s="119" t="n">
        <f aca="false">SUMIFS(tabela_registros[VALOR],tabela_registros[MÊS],$AE$1,tabela_registros[DIA],deztotal3059718395107119131143155167[[#Headers],[10]],tabela_registros[REGISTRO],DADOS!$N$6)</f>
        <v>0</v>
      </c>
      <c r="O26" s="119" t="n">
        <f aca="false">SUMIFS(tabela_registros[VALOR],tabela_registros[MÊS],$AE$1,tabela_registros[DIA],deztotal3059718395107119131143155167[[#Headers],[11]],tabela_registros[REGISTRO],DADOS!$N$6)</f>
        <v>0</v>
      </c>
      <c r="P26" s="119" t="n">
        <f aca="false">SUMIFS(tabela_registros[VALOR],tabela_registros[MÊS],$AE$1,tabela_registros[DIA],deztotal3059718395107119131143155167[[#Headers],[12]],tabela_registros[REGISTRO],DADOS!$N$6)</f>
        <v>0</v>
      </c>
      <c r="Q26" s="119" t="n">
        <f aca="false">SUMIFS(tabela_registros[VALOR],tabela_registros[MÊS],$AE$1,tabela_registros[DIA],deztotal3059718395107119131143155167[[#Headers],[13]],tabela_registros[REGISTRO],DADOS!$N$6)</f>
        <v>0</v>
      </c>
      <c r="R26" s="119" t="n">
        <f aca="false">SUMIFS(tabela_registros[VALOR],tabela_registros[MÊS],$AE$1,tabela_registros[DIA],deztotal3059718395107119131143155167[[#Headers],[14]],tabela_registros[REGISTRO],DADOS!$N$6)</f>
        <v>0</v>
      </c>
      <c r="S26" s="119" t="n">
        <f aca="false">SUMIFS(tabela_registros[VALOR],tabela_registros[MÊS],$AE$1,tabela_registros[DIA],deztotal3059718395107119131143155167[[#Headers],[15]],tabela_registros[REGISTRO],DADOS!$N$6)</f>
        <v>0</v>
      </c>
      <c r="T26" s="119" t="n">
        <f aca="false">SUMIFS(tabela_registros[VALOR],tabela_registros[MÊS],$AE$1,tabela_registros[DIA],deztotal3059718395107119131143155167[[#Headers],[16]],tabela_registros[REGISTRO],DADOS!$N$6)</f>
        <v>0</v>
      </c>
      <c r="U26" s="119" t="n">
        <f aca="false">SUMIFS(tabela_registros[VALOR],tabela_registros[MÊS],$AE$1,tabela_registros[DIA],deztotal3059718395107119131143155167[[#Headers],[17]],tabela_registros[REGISTRO],DADOS!$N$6)</f>
        <v>0</v>
      </c>
      <c r="V26" s="119" t="n">
        <f aca="false">SUMIFS(tabela_registros[VALOR],tabela_registros[MÊS],$AE$1,tabela_registros[DIA],deztotal3059718395107119131143155167[[#Headers],[18]],tabela_registros[REGISTRO],DADOS!$N$6)</f>
        <v>0</v>
      </c>
      <c r="W26" s="119" t="n">
        <f aca="false">SUMIFS(tabela_registros[VALOR],tabela_registros[MÊS],$AE$1,tabela_registros[DIA],deztotal3059718395107119131143155167[[#Headers],[19]],tabela_registros[REGISTRO],DADOS!$N$6)</f>
        <v>0</v>
      </c>
      <c r="X26" s="119" t="n">
        <f aca="false">SUMIFS(tabela_registros[VALOR],tabela_registros[MÊS],$AE$1,tabela_registros[DIA],deztotal3059718395107119131143155167[[#Headers],[20]],tabela_registros[REGISTRO],DADOS!$N$6)</f>
        <v>0</v>
      </c>
      <c r="Y26" s="119" t="n">
        <f aca="false">SUMIFS(tabela_registros[VALOR],tabela_registros[MÊS],$AE$1,tabela_registros[DIA],deztotal3059718395107119131143155167[[#Headers],[21]],tabela_registros[REGISTRO],DADOS!$N$6)</f>
        <v>0</v>
      </c>
      <c r="Z26" s="119" t="n">
        <f aca="false">SUMIFS(tabela_registros[VALOR],tabela_registros[MÊS],$AE$1,tabela_registros[DIA],deztotal3059718395107119131143155167[[#Headers],[22]],tabela_registros[REGISTRO],DADOS!$N$6)</f>
        <v>0</v>
      </c>
      <c r="AA26" s="119" t="n">
        <f aca="false">SUMIFS(tabela_registros[VALOR],tabela_registros[MÊS],$AE$1,tabela_registros[DIA],deztotal3059718395107119131143155167[[#Headers],[23]],tabela_registros[REGISTRO],DADOS!$N$6)</f>
        <v>0</v>
      </c>
      <c r="AB26" s="119" t="n">
        <f aca="false">SUMIFS(tabela_registros[VALOR],tabela_registros[MÊS],$AE$1,tabela_registros[DIA],deztotal3059718395107119131143155167[[#Headers],[24]],tabela_registros[REGISTRO],DADOS!$N$6)</f>
        <v>0</v>
      </c>
      <c r="AC26" s="119" t="n">
        <f aca="false">SUMIFS(tabela_registros[VALOR],tabela_registros[MÊS],$AE$1,tabela_registros[DIA],deztotal3059718395107119131143155167[[#Headers],[25]],tabela_registros[REGISTRO],DADOS!$N$6)</f>
        <v>0</v>
      </c>
      <c r="AD26" s="119" t="n">
        <f aca="false">SUMIFS(tabela_registros[VALOR],tabela_registros[MÊS],$AE$1,tabela_registros[DIA],deztotal3059718395107119131143155167[[#Headers],[26]],tabela_registros[REGISTRO],DADOS!$N$6)</f>
        <v>0</v>
      </c>
      <c r="AE26" s="119" t="n">
        <f aca="false">SUMIFS(tabela_registros[VALOR],tabela_registros[MÊS],$AE$1,tabela_registros[DIA],deztotal3059718395107119131143155167[[#Headers],[27]],tabela_registros[REGISTRO],DADOS!$N$6)</f>
        <v>0</v>
      </c>
      <c r="AF26" s="119" t="n">
        <f aca="false">SUMIFS(tabela_registros[VALOR],tabela_registros[MÊS],$AE$1,tabela_registros[DIA],deztotal3059718395107119131143155167[[#Headers],[28]],tabela_registros[REGISTRO],DADOS!$N$6)</f>
        <v>0</v>
      </c>
      <c r="AG26" s="119" t="n">
        <f aca="false">SUMIFS(tabela_registros[VALOR],tabela_registros[MÊS],$AE$1,tabela_registros[DIA],deztotal3059718395107119131143155167[[#Headers],[29]],tabela_registros[REGISTRO],DADOS!$N$6)</f>
        <v>0</v>
      </c>
      <c r="AH26" s="119" t="n">
        <f aca="false">SUMIFS(tabela_registros[VALOR],tabela_registros[MÊS],$AE$1,tabela_registros[DIA],deztotal3059718395107119131143155167[[#Headers],[30]],tabela_registros[REGISTRO],DADOS!$N$6)</f>
        <v>0</v>
      </c>
      <c r="AI26" s="120" t="n">
        <f aca="false">SUMIFS(tabela_registros[VALOR],tabela_registros[MÊS],$AE$1,tabela_registros[DIA],deztotal3059718395107119131143155167[[#Headers],[31]],tabela_registros[REGISTRO],DADOS!$N$6)</f>
        <v>0</v>
      </c>
      <c r="AJ26" s="121" t="n">
        <f aca="false">SUM(E26:AI26)</f>
        <v>0</v>
      </c>
      <c r="AK26" s="107"/>
    </row>
    <row r="27" s="122" customFormat="true" ht="21" hidden="false" customHeight="true" outlineLevel="0" collapsed="false">
      <c r="B27" s="123"/>
      <c r="C27" s="124" t="s">
        <v>2</v>
      </c>
      <c r="D27" s="137"/>
      <c r="E27" s="126" t="n">
        <f aca="false">SUM(E25:E26)</f>
        <v>0</v>
      </c>
      <c r="F27" s="127" t="n">
        <f aca="false">SUM(F25:F26)+dezinvestir2158708294106118130142154166[[#This Row],[1]]</f>
        <v>0</v>
      </c>
      <c r="G27" s="127" t="n">
        <f aca="false">SUM(G25:G26)+dezinvestir2158708294106118130142154166[[#This Row],[2]]</f>
        <v>0</v>
      </c>
      <c r="H27" s="127" t="n">
        <f aca="false">SUM(H25:H26)+dezinvestir2158708294106118130142154166[[#This Row],[3]]</f>
        <v>0</v>
      </c>
      <c r="I27" s="127" t="n">
        <f aca="false">SUM(I25:I26)+dezinvestir2158708294106118130142154166[[#This Row],[4]]</f>
        <v>0</v>
      </c>
      <c r="J27" s="127" t="n">
        <f aca="false">SUM(J25:J26)+dezinvestir2158708294106118130142154166[[#This Row],[5]]</f>
        <v>0</v>
      </c>
      <c r="K27" s="127" t="n">
        <f aca="false">SUM(K25:K26)+dezinvestir2158708294106118130142154166[[#This Row],[6]]</f>
        <v>0</v>
      </c>
      <c r="L27" s="127" t="n">
        <f aca="false">SUM(L25:L26)+dezinvestir2158708294106118130142154166[[#This Row],[7]]</f>
        <v>0</v>
      </c>
      <c r="M27" s="127" t="n">
        <f aca="false">SUM(M25:M26)+dezinvestir2158708294106118130142154166[[#This Row],[8]]</f>
        <v>0</v>
      </c>
      <c r="N27" s="127" t="n">
        <f aca="false">SUM(N25:N26)+dezinvestir2158708294106118130142154166[[#This Row],[9]]</f>
        <v>0</v>
      </c>
      <c r="O27" s="127" t="n">
        <f aca="false">SUM(O25:O26)+dezinvestir2158708294106118130142154166[[#This Row],[10]]</f>
        <v>0</v>
      </c>
      <c r="P27" s="127" t="n">
        <f aca="false">SUM(P25:P26)+dezinvestir2158708294106118130142154166[[#This Row],[11]]</f>
        <v>0</v>
      </c>
      <c r="Q27" s="127" t="n">
        <f aca="false">SUM(Q25:Q26)+dezinvestir2158708294106118130142154166[[#This Row],[12]]</f>
        <v>0</v>
      </c>
      <c r="R27" s="127" t="n">
        <f aca="false">SUM(R25:R26)+dezinvestir2158708294106118130142154166[[#This Row],[13]]</f>
        <v>0</v>
      </c>
      <c r="S27" s="127" t="n">
        <f aca="false">SUM(S25:S26)+dezinvestir2158708294106118130142154166[[#This Row],[14]]</f>
        <v>0</v>
      </c>
      <c r="T27" s="127" t="n">
        <f aca="false">SUM(T25:T26)+dezinvestir2158708294106118130142154166[[#This Row],[15]]</f>
        <v>0</v>
      </c>
      <c r="U27" s="127" t="n">
        <f aca="false">SUM(U25:U26)+dezinvestir2158708294106118130142154166[[#This Row],[16]]</f>
        <v>0</v>
      </c>
      <c r="V27" s="127" t="n">
        <f aca="false">SUM(V25:V26)+dezinvestir2158708294106118130142154166[[#This Row],[17]]</f>
        <v>0</v>
      </c>
      <c r="W27" s="127" t="n">
        <f aca="false">SUM(W25:W26)+dezinvestir2158708294106118130142154166[[#This Row],[18]]</f>
        <v>0</v>
      </c>
      <c r="X27" s="127" t="n">
        <f aca="false">SUM(X25:X26)+dezinvestir2158708294106118130142154166[[#This Row],[19]]</f>
        <v>0</v>
      </c>
      <c r="Y27" s="127" t="n">
        <f aca="false">SUM(Y25:Y26)+dezinvestir2158708294106118130142154166[[#This Row],[20]]</f>
        <v>0</v>
      </c>
      <c r="Z27" s="127" t="n">
        <f aca="false">SUM(Z25:Z26)+dezinvestir2158708294106118130142154166[[#This Row],[21]]</f>
        <v>0</v>
      </c>
      <c r="AA27" s="127" t="n">
        <f aca="false">SUM(AA25:AA26)+dezinvestir2158708294106118130142154166[[#This Row],[22]]</f>
        <v>0</v>
      </c>
      <c r="AB27" s="127" t="n">
        <f aca="false">SUM(AB25:AB26)+dezinvestir2158708294106118130142154166[[#This Row],[23]]</f>
        <v>0</v>
      </c>
      <c r="AC27" s="127" t="n">
        <f aca="false">SUM(AC25:AC26)+dezinvestir2158708294106118130142154166[[#This Row],[24]]</f>
        <v>0</v>
      </c>
      <c r="AD27" s="127" t="n">
        <f aca="false">SUM(AD25:AD26)+dezinvestir2158708294106118130142154166[[#This Row],[25]]</f>
        <v>0</v>
      </c>
      <c r="AE27" s="127" t="n">
        <f aca="false">SUM(AE25:AE26)+dezinvestir2158708294106118130142154166[[#This Row],[26]]</f>
        <v>0</v>
      </c>
      <c r="AF27" s="127" t="n">
        <f aca="false">SUM(AF25:AF26)+dezinvestir2158708294106118130142154166[[#This Row],[27]]</f>
        <v>0</v>
      </c>
      <c r="AG27" s="127" t="n">
        <f aca="false">SUM(AG25:AG26)+dezinvestir2158708294106118130142154166[[#This Row],[28]]</f>
        <v>0</v>
      </c>
      <c r="AH27" s="127" t="n">
        <f aca="false">SUM(AH25:AH26)+dezinvestir2158708294106118130142154166[[#This Row],[29]]</f>
        <v>0</v>
      </c>
      <c r="AI27" s="127" t="n">
        <f aca="false">SUM(AI25:AI26)+dezinvestir2158708294106118130142154166[[#This Row],[30]]</f>
        <v>0</v>
      </c>
      <c r="AJ27" s="129" t="n">
        <f aca="false">dezinvestir2158708294106118130142154166[[#This Row],[31]]</f>
        <v>0</v>
      </c>
      <c r="AK27" s="123"/>
    </row>
    <row r="28" customFormat="false" ht="6.75" hidden="true" customHeight="true" outlineLevel="0" collapsed="false">
      <c r="B28" s="107"/>
      <c r="C28" s="78" t="s">
        <v>73</v>
      </c>
      <c r="E28" s="138" t="n">
        <f aca="false">SUBTOTAL(109,dezinvestir2158708294106118130142154166[1])</f>
        <v>0</v>
      </c>
      <c r="F28" s="138" t="n">
        <f aca="false">SUBTOTAL(109,dezinvestir2158708294106118130142154166[2])</f>
        <v>0</v>
      </c>
      <c r="G28" s="138" t="n">
        <f aca="false">SUBTOTAL(109,dezinvestir2158708294106118130142154166[3])</f>
        <v>0</v>
      </c>
      <c r="H28" s="138" t="n">
        <f aca="false">SUBTOTAL(109,dezinvestir2158708294106118130142154166[4])</f>
        <v>0</v>
      </c>
      <c r="I28" s="138" t="n">
        <f aca="false">SUBTOTAL(109,dezinvestir2158708294106118130142154166[5])</f>
        <v>0</v>
      </c>
      <c r="J28" s="138" t="n">
        <f aca="false">SUBTOTAL(109,dezinvestir2158708294106118130142154166[6])</f>
        <v>0</v>
      </c>
      <c r="K28" s="138" t="n">
        <f aca="false">SUBTOTAL(109,dezinvestir2158708294106118130142154166[7])</f>
        <v>0</v>
      </c>
      <c r="L28" s="138" t="n">
        <f aca="false">SUBTOTAL(109,dezinvestir2158708294106118130142154166[8])</f>
        <v>0</v>
      </c>
      <c r="M28" s="138" t="n">
        <f aca="false">SUBTOTAL(109,dezinvestir2158708294106118130142154166[9])</f>
        <v>0</v>
      </c>
      <c r="N28" s="138" t="n">
        <f aca="false">SUBTOTAL(109,dezinvestir2158708294106118130142154166[10])</f>
        <v>0</v>
      </c>
      <c r="O28" s="138" t="n">
        <f aca="false">SUBTOTAL(109,dezinvestir2158708294106118130142154166[11])</f>
        <v>0</v>
      </c>
      <c r="P28" s="138" t="n">
        <f aca="false">SUBTOTAL(109,dezinvestir2158708294106118130142154166[12])</f>
        <v>0</v>
      </c>
      <c r="Q28" s="138" t="n">
        <f aca="false">SUBTOTAL(109,dezinvestir2158708294106118130142154166[13])</f>
        <v>0</v>
      </c>
      <c r="R28" s="138" t="n">
        <f aca="false">SUBTOTAL(109,dezinvestir2158708294106118130142154166[14])</f>
        <v>0</v>
      </c>
      <c r="S28" s="138" t="n">
        <f aca="false">SUBTOTAL(109,dezinvestir2158708294106118130142154166[15])</f>
        <v>0</v>
      </c>
      <c r="T28" s="138" t="n">
        <f aca="false">SUBTOTAL(109,dezinvestir2158708294106118130142154166[16])</f>
        <v>0</v>
      </c>
      <c r="U28" s="138" t="n">
        <f aca="false">SUBTOTAL(109,dezinvestir2158708294106118130142154166[17])</f>
        <v>0</v>
      </c>
      <c r="V28" s="138" t="n">
        <f aca="false">SUBTOTAL(109,dezinvestir2158708294106118130142154166[18])</f>
        <v>0</v>
      </c>
      <c r="W28" s="138" t="n">
        <f aca="false">SUBTOTAL(109,dezinvestir2158708294106118130142154166[19])</f>
        <v>0</v>
      </c>
      <c r="X28" s="138" t="n">
        <f aca="false">SUBTOTAL(109,dezinvestir2158708294106118130142154166[20])</f>
        <v>0</v>
      </c>
      <c r="Y28" s="138" t="n">
        <f aca="false">SUBTOTAL(109,dezinvestir2158708294106118130142154166[21])</f>
        <v>0</v>
      </c>
      <c r="Z28" s="138" t="n">
        <f aca="false">SUBTOTAL(109,dezinvestir2158708294106118130142154166[22])</f>
        <v>0</v>
      </c>
      <c r="AA28" s="138" t="n">
        <f aca="false">SUBTOTAL(109,dezinvestir2158708294106118130142154166[23])</f>
        <v>0</v>
      </c>
      <c r="AB28" s="138" t="n">
        <f aca="false">SUBTOTAL(109,dezinvestir2158708294106118130142154166[24])</f>
        <v>0</v>
      </c>
      <c r="AC28" s="138" t="n">
        <f aca="false">SUBTOTAL(109,dezinvestir2158708294106118130142154166[25])</f>
        <v>0</v>
      </c>
      <c r="AD28" s="138" t="n">
        <f aca="false">SUBTOTAL(109,dezinvestir2158708294106118130142154166[26])</f>
        <v>0</v>
      </c>
      <c r="AE28" s="138" t="n">
        <f aca="false">SUBTOTAL(109,dezinvestir2158708294106118130142154166[27])</f>
        <v>0</v>
      </c>
      <c r="AF28" s="138" t="n">
        <f aca="false">SUBTOTAL(109,dezinvestir2158708294106118130142154166[28])</f>
        <v>0</v>
      </c>
      <c r="AG28" s="138" t="n">
        <f aca="false">SUBTOTAL(109,dezinvestir2158708294106118130142154166[29])</f>
        <v>0</v>
      </c>
      <c r="AH28" s="138" t="n">
        <f aca="false">SUBTOTAL(109,dezinvestir2158708294106118130142154166[30])</f>
        <v>0</v>
      </c>
      <c r="AI28" s="138" t="n">
        <f aca="false">SUBTOTAL(109,dezinvestir2158708294106118130142154166[31])</f>
        <v>0</v>
      </c>
      <c r="AJ28" s="138" t="n">
        <f aca="false">SUBTOTAL(109,dezinvestir2158708294106118130142154166[TOTAL (R$)])</f>
        <v>0</v>
      </c>
      <c r="AK28" s="107"/>
    </row>
    <row r="29" customFormat="false" ht="6.75" hidden="false" customHeight="true" outlineLevel="0" collapsed="false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94"/>
      <c r="AJ29" s="107"/>
      <c r="AK29" s="107"/>
    </row>
    <row r="30" customFormat="false" ht="12.75" hidden="false" customHeight="false" outlineLevel="0" collapsed="false">
      <c r="C30" s="133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</row>
    <row r="31" customFormat="false" ht="12" hidden="false" customHeight="false" outlineLevel="0" collapsed="false">
      <c r="C31" s="133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</row>
    <row r="32" customFormat="false" ht="12" hidden="false" customHeight="false" outlineLevel="0" collapsed="false">
      <c r="C32" s="133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</row>
    <row r="33" customFormat="false" ht="39.75" hidden="false" customHeight="true" outlineLevel="0" collapsed="false">
      <c r="C33" s="133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3" t="s">
        <v>2</v>
      </c>
    </row>
    <row r="34" s="78" customFormat="true" ht="11.25" hidden="false" customHeight="true" outlineLevel="0" collapsed="false">
      <c r="C34" s="101"/>
      <c r="AJ34" s="106" t="s">
        <v>64</v>
      </c>
    </row>
    <row r="35" customFormat="false" ht="6.75" hidden="false" customHeight="true" outlineLevel="0" collapsed="false">
      <c r="B35" s="139"/>
      <c r="C35" s="140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212"/>
      <c r="AK35" s="139"/>
    </row>
    <row r="36" customFormat="false" ht="12.75" hidden="true" customHeight="false" outlineLevel="0" collapsed="false">
      <c r="B36" s="86"/>
      <c r="C36" s="109" t="s">
        <v>74</v>
      </c>
      <c r="D36" s="110" t="s">
        <v>69</v>
      </c>
      <c r="E36" s="110" t="s">
        <v>30</v>
      </c>
      <c r="F36" s="110" t="s">
        <v>31</v>
      </c>
      <c r="G36" s="110" t="s">
        <v>32</v>
      </c>
      <c r="H36" s="110" t="s">
        <v>33</v>
      </c>
      <c r="I36" s="110" t="s">
        <v>34</v>
      </c>
      <c r="J36" s="110" t="s">
        <v>35</v>
      </c>
      <c r="K36" s="110" t="s">
        <v>36</v>
      </c>
      <c r="L36" s="110" t="s">
        <v>37</v>
      </c>
      <c r="M36" s="110" t="s">
        <v>38</v>
      </c>
      <c r="N36" s="110" t="s">
        <v>39</v>
      </c>
      <c r="O36" s="110" t="s">
        <v>40</v>
      </c>
      <c r="P36" s="110" t="s">
        <v>41</v>
      </c>
      <c r="Q36" s="110" t="s">
        <v>81</v>
      </c>
      <c r="R36" s="110" t="s">
        <v>82</v>
      </c>
      <c r="S36" s="110" t="s">
        <v>83</v>
      </c>
      <c r="T36" s="110" t="s">
        <v>84</v>
      </c>
      <c r="U36" s="110" t="s">
        <v>85</v>
      </c>
      <c r="V36" s="110" t="s">
        <v>86</v>
      </c>
      <c r="W36" s="110" t="s">
        <v>87</v>
      </c>
      <c r="X36" s="110" t="s">
        <v>88</v>
      </c>
      <c r="Y36" s="110" t="s">
        <v>89</v>
      </c>
      <c r="Z36" s="110" t="s">
        <v>90</v>
      </c>
      <c r="AA36" s="110" t="s">
        <v>91</v>
      </c>
      <c r="AB36" s="110" t="s">
        <v>92</v>
      </c>
      <c r="AC36" s="110" t="s">
        <v>93</v>
      </c>
      <c r="AD36" s="110" t="s">
        <v>94</v>
      </c>
      <c r="AE36" s="110" t="s">
        <v>95</v>
      </c>
      <c r="AF36" s="110" t="s">
        <v>96</v>
      </c>
      <c r="AG36" s="110" t="s">
        <v>97</v>
      </c>
      <c r="AH36" s="110" t="s">
        <v>98</v>
      </c>
      <c r="AI36" s="110" t="s">
        <v>99</v>
      </c>
      <c r="AJ36" s="142" t="s">
        <v>2</v>
      </c>
      <c r="AK36" s="86" t="s">
        <v>75</v>
      </c>
    </row>
    <row r="37" customFormat="false" ht="19.5" hidden="false" customHeight="true" outlineLevel="0" collapsed="false">
      <c r="B37" s="143"/>
      <c r="C37" s="144" t="str">
        <f aca="false">DADOS!$R$3</f>
        <v>💧 ÁGUA</v>
      </c>
      <c r="D37" s="145" t="str">
        <f aca="false">IF(despesafixaconsolidadodez[[#This Row],[TOTAL]]=0,"",IF(OR(despesafixaconsolidadodez[[#This Row],[TOTAL]]=LARGE($AJ$37:$AJ$50,1),despesafixaconsolidadodez[[#This Row],[TOTAL]]=LARGE($AJ$37:$AJ$50,2),despesafixaconsolidadodez[[#This Row],[TOTAL]]=LARGE($AJ$37:$AJ$50,3),despesafixaconsolidadodez[[#This Row],[TOTAL]]=LARGE($AJ$37:$AJ$50,4),despesafixaconsolidadodez[[#This Row],[TOTAL]]=LARGE($AJ$37:$AJ$50,5)),DADOS!$I$8,""))</f>
        <v/>
      </c>
      <c r="E37" s="146" t="n">
        <f aca="false">SUMIFS(tabela_registros[VALOR],tabela_registros[MÊS],$AE$1,tabela_registros[DIA],deztotal3059718395107119131143155167[[#Headers],[1]],tabela_registros[REGISTRO],DADOS!$N$4,tabela_registros[TIPO],DADOS!$P$3,tabela_registros[CATEGORIA],despesafixaconsolidadodez[[#This Row],[DESPESA FIXA]])</f>
        <v>0</v>
      </c>
      <c r="F37" s="114" t="n">
        <f aca="false">SUMIFS(tabela_registros[VALOR],tabela_registros[MÊS],$AE$1,tabela_registros[DIA],deztotal3059718395107119131143155167[[#Headers],[2]],tabela_registros[REGISTRO],DADOS!$N$4,tabela_registros[TIPO],DADOS!$P$3,tabela_registros[CATEGORIA],despesafixaconsolidadodez[[#This Row],[DESPESA FIXA]])</f>
        <v>0</v>
      </c>
      <c r="G37" s="114" t="n">
        <f aca="false">SUMIFS(tabela_registros[VALOR],tabela_registros[MÊS],$AE$1,tabela_registros[DIA],deztotal3059718395107119131143155167[[#Headers],[3]],tabela_registros[REGISTRO],DADOS!$N$4,tabela_registros[TIPO],DADOS!$P$3,tabela_registros[CATEGORIA],despesafixaconsolidadodez[[#This Row],[DESPESA FIXA]])</f>
        <v>0</v>
      </c>
      <c r="H37" s="114" t="n">
        <f aca="false">SUMIFS(tabela_registros[VALOR],tabela_registros[MÊS],$AE$1,tabela_registros[DIA],deztotal3059718395107119131143155167[[#Headers],[4]],tabela_registros[REGISTRO],DADOS!$N$4,tabela_registros[TIPO],DADOS!$P$3,tabela_registros[CATEGORIA],despesafixaconsolidadodez[[#This Row],[DESPESA FIXA]])</f>
        <v>0</v>
      </c>
      <c r="I37" s="114" t="n">
        <f aca="false">SUMIFS(tabela_registros[VALOR],tabela_registros[MÊS],$AE$1,tabela_registros[DIA],deztotal3059718395107119131143155167[[#Headers],[5]],tabela_registros[REGISTRO],DADOS!$N$4,tabela_registros[TIPO],DADOS!$P$3,tabela_registros[CATEGORIA],despesafixaconsolidadodez[[#This Row],[DESPESA FIXA]])</f>
        <v>0</v>
      </c>
      <c r="J37" s="114" t="n">
        <f aca="false">SUMIFS(tabela_registros[VALOR],tabela_registros[MÊS],$AE$1,tabela_registros[DIA],deztotal3059718395107119131143155167[[#Headers],[6]],tabela_registros[REGISTRO],DADOS!$N$4,tabela_registros[TIPO],DADOS!$P$3,tabela_registros[CATEGORIA],despesafixaconsolidadodez[[#This Row],[DESPESA FIXA]])</f>
        <v>0</v>
      </c>
      <c r="K37" s="114" t="n">
        <f aca="false">SUMIFS(tabela_registros[VALOR],tabela_registros[MÊS],$AE$1,tabela_registros[DIA],deztotal3059718395107119131143155167[[#Headers],[7]],tabela_registros[REGISTRO],DADOS!$N$4,tabela_registros[TIPO],DADOS!$P$3,tabela_registros[CATEGORIA],despesafixaconsolidadodez[[#This Row],[DESPESA FIXA]])</f>
        <v>0</v>
      </c>
      <c r="L37" s="114" t="n">
        <f aca="false">SUMIFS(tabela_registros[VALOR],tabela_registros[MÊS],$AE$1,tabela_registros[DIA],deztotal3059718395107119131143155167[[#Headers],[8]],tabela_registros[REGISTRO],DADOS!$N$4,tabela_registros[TIPO],DADOS!$P$3,tabela_registros[CATEGORIA],despesafixaconsolidadodez[[#This Row],[DESPESA FIXA]])</f>
        <v>0</v>
      </c>
      <c r="M37" s="114" t="n">
        <f aca="false">SUMIFS(tabela_registros[VALOR],tabela_registros[MÊS],$AE$1,tabela_registros[DIA],deztotal3059718395107119131143155167[[#Headers],[9]],tabela_registros[REGISTRO],DADOS!$N$4,tabela_registros[TIPO],DADOS!$P$3,tabela_registros[CATEGORIA],despesafixaconsolidadodez[[#This Row],[DESPESA FIXA]])</f>
        <v>0</v>
      </c>
      <c r="N37" s="114" t="n">
        <f aca="false">SUMIFS(tabela_registros[VALOR],tabela_registros[MÊS],$AE$1,tabela_registros[DIA],deztotal3059718395107119131143155167[[#Headers],[10]],tabela_registros[REGISTRO],DADOS!$N$4,tabela_registros[TIPO],DADOS!$P$3,tabela_registros[CATEGORIA],despesafixaconsolidadodez[[#This Row],[DESPESA FIXA]])</f>
        <v>0</v>
      </c>
      <c r="O37" s="114" t="n">
        <f aca="false">SUMIFS(tabela_registros[VALOR],tabela_registros[MÊS],$AE$1,tabela_registros[DIA],deztotal3059718395107119131143155167[[#Headers],[11]],tabela_registros[REGISTRO],DADOS!$N$4,tabela_registros[TIPO],DADOS!$P$3,tabela_registros[CATEGORIA],despesafixaconsolidadodez[[#This Row],[DESPESA FIXA]])</f>
        <v>0</v>
      </c>
      <c r="P37" s="114" t="n">
        <f aca="false">SUMIFS(tabela_registros[VALOR],tabela_registros[MÊS],$AE$1,tabela_registros[DIA],deztotal3059718395107119131143155167[[#Headers],[12]],tabela_registros[REGISTRO],DADOS!$N$4,tabela_registros[TIPO],DADOS!$P$3,tabela_registros[CATEGORIA],despesafixaconsolidadodez[[#This Row],[DESPESA FIXA]])</f>
        <v>0</v>
      </c>
      <c r="Q37" s="114" t="n">
        <f aca="false">SUMIFS(tabela_registros[VALOR],tabela_registros[MÊS],$AE$1,tabela_registros[DIA],deztotal3059718395107119131143155167[[#Headers],[13]],tabela_registros[REGISTRO],DADOS!$N$4,tabela_registros[TIPO],DADOS!$P$3,tabela_registros[CATEGORIA],despesafixaconsolidadodez[[#This Row],[DESPESA FIXA]])</f>
        <v>0</v>
      </c>
      <c r="R37" s="114" t="n">
        <f aca="false">SUMIFS(tabela_registros[VALOR],tabela_registros[MÊS],$AE$1,tabela_registros[DIA],deztotal3059718395107119131143155167[[#Headers],[14]],tabela_registros[REGISTRO],DADOS!$N$4,tabela_registros[TIPO],DADOS!$P$3,tabela_registros[CATEGORIA],despesafixaconsolidadodez[[#This Row],[DESPESA FIXA]])</f>
        <v>0</v>
      </c>
      <c r="S37" s="114" t="n">
        <f aca="false">SUMIFS(tabela_registros[VALOR],tabela_registros[MÊS],$AE$1,tabela_registros[DIA],deztotal3059718395107119131143155167[[#Headers],[15]],tabela_registros[REGISTRO],DADOS!$N$4,tabela_registros[TIPO],DADOS!$P$3,tabela_registros[CATEGORIA],despesafixaconsolidadodez[[#This Row],[DESPESA FIXA]])</f>
        <v>0</v>
      </c>
      <c r="T37" s="114" t="n">
        <f aca="false">SUMIFS(tabela_registros[VALOR],tabela_registros[MÊS],$AE$1,tabela_registros[DIA],deztotal3059718395107119131143155167[[#Headers],[16]],tabela_registros[REGISTRO],DADOS!$N$4,tabela_registros[TIPO],DADOS!$P$3,tabela_registros[CATEGORIA],despesafixaconsolidadodez[[#This Row],[DESPESA FIXA]])</f>
        <v>0</v>
      </c>
      <c r="U37" s="114" t="n">
        <f aca="false">SUMIFS(tabela_registros[VALOR],tabela_registros[MÊS],$AE$1,tabela_registros[DIA],deztotal3059718395107119131143155167[[#Headers],[17]],tabela_registros[REGISTRO],DADOS!$N$4,tabela_registros[TIPO],DADOS!$P$3,tabela_registros[CATEGORIA],despesafixaconsolidadodez[[#This Row],[DESPESA FIXA]])</f>
        <v>0</v>
      </c>
      <c r="V37" s="114" t="n">
        <f aca="false">SUMIFS(tabela_registros[VALOR],tabela_registros[MÊS],$AE$1,tabela_registros[DIA],deztotal3059718395107119131143155167[[#Headers],[18]],tabela_registros[REGISTRO],DADOS!$N$4,tabela_registros[TIPO],DADOS!$P$3,tabela_registros[CATEGORIA],despesafixaconsolidadodez[[#This Row],[DESPESA FIXA]])</f>
        <v>0</v>
      </c>
      <c r="W37" s="114" t="n">
        <f aca="false">SUMIFS(tabela_registros[VALOR],tabela_registros[MÊS],$AE$1,tabela_registros[DIA],deztotal3059718395107119131143155167[[#Headers],[19]],tabela_registros[REGISTRO],DADOS!$N$4,tabela_registros[TIPO],DADOS!$P$3,tabela_registros[CATEGORIA],despesafixaconsolidadodez[[#This Row],[DESPESA FIXA]])</f>
        <v>0</v>
      </c>
      <c r="X37" s="114" t="n">
        <f aca="false">SUMIFS(tabela_registros[VALOR],tabela_registros[MÊS],$AE$1,tabela_registros[DIA],deztotal3059718395107119131143155167[[#Headers],[20]],tabela_registros[REGISTRO],DADOS!$N$4,tabela_registros[TIPO],DADOS!$P$3,tabela_registros[CATEGORIA],despesafixaconsolidadodez[[#This Row],[DESPESA FIXA]])</f>
        <v>0</v>
      </c>
      <c r="Y37" s="114" t="n">
        <f aca="false">SUMIFS(tabela_registros[VALOR],tabela_registros[MÊS],$AE$1,tabela_registros[DIA],deztotal3059718395107119131143155167[[#Headers],[21]],tabela_registros[REGISTRO],DADOS!$N$4,tabela_registros[TIPO],DADOS!$P$3,tabela_registros[CATEGORIA],despesafixaconsolidadodez[[#This Row],[DESPESA FIXA]])</f>
        <v>0</v>
      </c>
      <c r="Z37" s="114" t="n">
        <f aca="false">SUMIFS(tabela_registros[VALOR],tabela_registros[MÊS],$AE$1,tabela_registros[DIA],deztotal3059718395107119131143155167[[#Headers],[22]],tabela_registros[REGISTRO],DADOS!$N$4,tabela_registros[TIPO],DADOS!$P$3,tabela_registros[CATEGORIA],despesafixaconsolidadodez[[#This Row],[DESPESA FIXA]])</f>
        <v>0</v>
      </c>
      <c r="AA37" s="114" t="n">
        <f aca="false">SUMIFS(tabela_registros[VALOR],tabela_registros[MÊS],$AE$1,tabela_registros[DIA],deztotal3059718395107119131143155167[[#Headers],[23]],tabela_registros[REGISTRO],DADOS!$N$4,tabela_registros[TIPO],DADOS!$P$3,tabela_registros[CATEGORIA],despesafixaconsolidadodez[[#This Row],[DESPESA FIXA]])</f>
        <v>0</v>
      </c>
      <c r="AB37" s="114" t="n">
        <f aca="false">SUMIFS(tabela_registros[VALOR],tabela_registros[MÊS],$AE$1,tabela_registros[DIA],deztotal3059718395107119131143155167[[#Headers],[24]],tabela_registros[REGISTRO],DADOS!$N$4,tabela_registros[TIPO],DADOS!$P$3,tabela_registros[CATEGORIA],despesafixaconsolidadodez[[#This Row],[DESPESA FIXA]])</f>
        <v>0</v>
      </c>
      <c r="AC37" s="114" t="n">
        <f aca="false">SUMIFS(tabela_registros[VALOR],tabela_registros[MÊS],$AE$1,tabela_registros[DIA],deztotal3059718395107119131143155167[[#Headers],[25]],tabela_registros[REGISTRO],DADOS!$N$4,tabela_registros[TIPO],DADOS!$P$3,tabela_registros[CATEGORIA],despesafixaconsolidadodez[[#This Row],[DESPESA FIXA]])</f>
        <v>0</v>
      </c>
      <c r="AD37" s="114" t="n">
        <f aca="false">SUMIFS(tabela_registros[VALOR],tabela_registros[MÊS],$AE$1,tabela_registros[DIA],deztotal3059718395107119131143155167[[#Headers],[26]],tabela_registros[REGISTRO],DADOS!$N$4,tabela_registros[TIPO],DADOS!$P$3,tabela_registros[CATEGORIA],despesafixaconsolidadodez[[#This Row],[DESPESA FIXA]])</f>
        <v>0</v>
      </c>
      <c r="AE37" s="114" t="n">
        <f aca="false">SUMIFS(tabela_registros[VALOR],tabela_registros[MÊS],$AE$1,tabela_registros[DIA],deztotal3059718395107119131143155167[[#Headers],[27]],tabela_registros[REGISTRO],DADOS!$N$4,tabela_registros[TIPO],DADOS!$P$3,tabela_registros[CATEGORIA],despesafixaconsolidadodez[[#This Row],[DESPESA FIXA]])</f>
        <v>0</v>
      </c>
      <c r="AF37" s="114" t="n">
        <f aca="false">SUMIFS(tabela_registros[VALOR],tabela_registros[MÊS],$AE$1,tabela_registros[DIA],deztotal3059718395107119131143155167[[#Headers],[28]],tabela_registros[REGISTRO],DADOS!$N$4,tabela_registros[TIPO],DADOS!$P$3,tabela_registros[CATEGORIA],despesafixaconsolidadodez[[#This Row],[DESPESA FIXA]])</f>
        <v>0</v>
      </c>
      <c r="AG37" s="114" t="n">
        <f aca="false">SUMIFS(tabela_registros[VALOR],tabela_registros[MÊS],$AE$1,tabela_registros[DIA],deztotal3059718395107119131143155167[[#Headers],[29]],tabela_registros[REGISTRO],DADOS!$N$4,tabela_registros[TIPO],DADOS!$P$3,tabela_registros[CATEGORIA],despesafixaconsolidadodez[[#This Row],[DESPESA FIXA]])</f>
        <v>0</v>
      </c>
      <c r="AH37" s="114" t="n">
        <f aca="false">SUMIFS(tabela_registros[VALOR],tabela_registros[MÊS],$AE$1,tabela_registros[DIA],deztotal3059718395107119131143155167[[#Headers],[30]],tabela_registros[REGISTRO],DADOS!$N$4,tabela_registros[TIPO],DADOS!$P$3,tabela_registros[CATEGORIA],despesafixaconsolidadodez[[#This Row],[DESPESA FIXA]])</f>
        <v>0</v>
      </c>
      <c r="AI37" s="216" t="n">
        <f aca="false">SUMIFS(tabela_registros[VALOR],tabela_registros[MÊS],$AE$1,tabela_registros[DIA],deztotal3059718395107119131143155167[[#Headers],[31]],tabela_registros[REGISTRO],DADOS!$N$4,tabela_registros[TIPO],DADOS!$P$3,tabela_registros[CATEGORIA],despesafixaconsolidadodez[[#This Row],[DESPESA FIXA]])</f>
        <v>0</v>
      </c>
      <c r="AJ37" s="147" t="n">
        <f aca="false">SUM(despesafixaconsolidadodez[[#This Row],[1]:[31]])</f>
        <v>0</v>
      </c>
      <c r="AK37" s="143"/>
    </row>
    <row r="38" customFormat="false" ht="18" hidden="false" customHeight="true" outlineLevel="0" collapsed="false">
      <c r="B38" s="143"/>
      <c r="C38" s="144" t="str">
        <f aca="false">DADOS!$R$4</f>
        <v>🐶 ANIMAIS DE ESTIMAÇÃO</v>
      </c>
      <c r="D38" s="145" t="str">
        <f aca="false">IF(despesafixaconsolidadodez[[#This Row],[TOTAL]]=0,"",IF(OR(despesafixaconsolidadodez[[#This Row],[TOTAL]]=LARGE($AJ$37:$AJ$50,1),despesafixaconsolidadodez[[#This Row],[TOTAL]]=LARGE($AJ$37:$AJ$50,2),despesafixaconsolidadodez[[#This Row],[TOTAL]]=LARGE($AJ$37:$AJ$50,3),despesafixaconsolidadodez[[#This Row],[TOTAL]]=LARGE($AJ$37:$AJ$50,4),despesafixaconsolidadodez[[#This Row],[TOTAL]]=LARGE($AJ$37:$AJ$50,5)),DADOS!$I$8,""))</f>
        <v/>
      </c>
      <c r="E38" s="148" t="n">
        <f aca="false">SUMIFS(tabela_registros[VALOR],tabela_registros[MÊS],$AE$1,tabela_registros[DIA],deztotal3059718395107119131143155167[[#Headers],[1]],tabela_registros[REGISTRO],DADOS!$N$4,tabela_registros[TIPO],DADOS!$P$3,tabela_registros[CATEGORIA],despesafixaconsolidadodez[[#This Row],[DESPESA FIXA]])</f>
        <v>0</v>
      </c>
      <c r="F38" s="119" t="n">
        <f aca="false">SUMIFS(tabela_registros[VALOR],tabela_registros[MÊS],$AE$1,tabela_registros[DIA],deztotal3059718395107119131143155167[[#Headers],[2]],tabela_registros[REGISTRO],DADOS!$N$4,tabela_registros[TIPO],DADOS!$P$3,tabela_registros[CATEGORIA],despesafixaconsolidadodez[[#This Row],[DESPESA FIXA]])</f>
        <v>0</v>
      </c>
      <c r="G38" s="119" t="n">
        <f aca="false">SUMIFS(tabela_registros[VALOR],tabela_registros[MÊS],$AE$1,tabela_registros[DIA],deztotal3059718395107119131143155167[[#Headers],[3]],tabela_registros[REGISTRO],DADOS!$N$4,tabela_registros[TIPO],DADOS!$P$3,tabela_registros[CATEGORIA],despesafixaconsolidadodez[[#This Row],[DESPESA FIXA]])</f>
        <v>0</v>
      </c>
      <c r="H38" s="119" t="n">
        <f aca="false">SUMIFS(tabela_registros[VALOR],tabela_registros[MÊS],$AE$1,tabela_registros[DIA],deztotal3059718395107119131143155167[[#Headers],[4]],tabela_registros[REGISTRO],DADOS!$N$4,tabela_registros[TIPO],DADOS!$P$3,tabela_registros[CATEGORIA],despesafixaconsolidadodez[[#This Row],[DESPESA FIXA]])</f>
        <v>0</v>
      </c>
      <c r="I38" s="119" t="n">
        <f aca="false">SUMIFS(tabela_registros[VALOR],tabela_registros[MÊS],$AE$1,tabela_registros[DIA],deztotal3059718395107119131143155167[[#Headers],[5]],tabela_registros[REGISTRO],DADOS!$N$4,tabela_registros[TIPO],DADOS!$P$3,tabela_registros[CATEGORIA],despesafixaconsolidadodez[[#This Row],[DESPESA FIXA]])</f>
        <v>0</v>
      </c>
      <c r="J38" s="119" t="n">
        <f aca="false">SUMIFS(tabela_registros[VALOR],tabela_registros[MÊS],$AE$1,tabela_registros[DIA],deztotal3059718395107119131143155167[[#Headers],[6]],tabela_registros[REGISTRO],DADOS!$N$4,tabela_registros[TIPO],DADOS!$P$3,tabela_registros[CATEGORIA],despesafixaconsolidadodez[[#This Row],[DESPESA FIXA]])</f>
        <v>0</v>
      </c>
      <c r="K38" s="119" t="n">
        <f aca="false">SUMIFS(tabela_registros[VALOR],tabela_registros[MÊS],$AE$1,tabela_registros[DIA],deztotal3059718395107119131143155167[[#Headers],[7]],tabela_registros[REGISTRO],DADOS!$N$4,tabela_registros[TIPO],DADOS!$P$3,tabela_registros[CATEGORIA],despesafixaconsolidadodez[[#This Row],[DESPESA FIXA]])</f>
        <v>0</v>
      </c>
      <c r="L38" s="119" t="n">
        <f aca="false">SUMIFS(tabela_registros[VALOR],tabela_registros[MÊS],$AE$1,tabela_registros[DIA],deztotal3059718395107119131143155167[[#Headers],[8]],tabela_registros[REGISTRO],DADOS!$N$4,tabela_registros[TIPO],DADOS!$P$3,tabela_registros[CATEGORIA],despesafixaconsolidadodez[[#This Row],[DESPESA FIXA]])</f>
        <v>0</v>
      </c>
      <c r="M38" s="119" t="n">
        <f aca="false">SUMIFS(tabela_registros[VALOR],tabela_registros[MÊS],$AE$1,tabela_registros[DIA],deztotal3059718395107119131143155167[[#Headers],[9]],tabela_registros[REGISTRO],DADOS!$N$4,tabela_registros[TIPO],DADOS!$P$3,tabela_registros[CATEGORIA],despesafixaconsolidadodez[[#This Row],[DESPESA FIXA]])</f>
        <v>0</v>
      </c>
      <c r="N38" s="119" t="n">
        <f aca="false">SUMIFS(tabela_registros[VALOR],tabela_registros[MÊS],$AE$1,tabela_registros[DIA],deztotal3059718395107119131143155167[[#Headers],[10]],tabela_registros[REGISTRO],DADOS!$N$4,tabela_registros[TIPO],DADOS!$P$3,tabela_registros[CATEGORIA],despesafixaconsolidadodez[[#This Row],[DESPESA FIXA]])</f>
        <v>0</v>
      </c>
      <c r="O38" s="119" t="n">
        <f aca="false">SUMIFS(tabela_registros[VALOR],tabela_registros[MÊS],$AE$1,tabela_registros[DIA],deztotal3059718395107119131143155167[[#Headers],[11]],tabela_registros[REGISTRO],DADOS!$N$4,tabela_registros[TIPO],DADOS!$P$3,tabela_registros[CATEGORIA],despesafixaconsolidadodez[[#This Row],[DESPESA FIXA]])</f>
        <v>0</v>
      </c>
      <c r="P38" s="119" t="n">
        <f aca="false">SUMIFS(tabela_registros[VALOR],tabela_registros[MÊS],$AE$1,tabela_registros[DIA],deztotal3059718395107119131143155167[[#Headers],[12]],tabela_registros[REGISTRO],DADOS!$N$4,tabela_registros[TIPO],DADOS!$P$3,tabela_registros[CATEGORIA],despesafixaconsolidadodez[[#This Row],[DESPESA FIXA]])</f>
        <v>0</v>
      </c>
      <c r="Q38" s="119" t="n">
        <f aca="false">SUMIFS(tabela_registros[VALOR],tabela_registros[MÊS],$AE$1,tabela_registros[DIA],deztotal3059718395107119131143155167[[#Headers],[13]],tabela_registros[REGISTRO],DADOS!$N$4,tabela_registros[TIPO],DADOS!$P$3,tabela_registros[CATEGORIA],despesafixaconsolidadodez[[#This Row],[DESPESA FIXA]])</f>
        <v>0</v>
      </c>
      <c r="R38" s="119" t="n">
        <f aca="false">SUMIFS(tabela_registros[VALOR],tabela_registros[MÊS],$AE$1,tabela_registros[DIA],deztotal3059718395107119131143155167[[#Headers],[14]],tabela_registros[REGISTRO],DADOS!$N$4,tabela_registros[TIPO],DADOS!$P$3,tabela_registros[CATEGORIA],despesafixaconsolidadodez[[#This Row],[DESPESA FIXA]])</f>
        <v>0</v>
      </c>
      <c r="S38" s="119" t="n">
        <f aca="false">SUMIFS(tabela_registros[VALOR],tabela_registros[MÊS],$AE$1,tabela_registros[DIA],deztotal3059718395107119131143155167[[#Headers],[15]],tabela_registros[REGISTRO],DADOS!$N$4,tabela_registros[TIPO],DADOS!$P$3,tabela_registros[CATEGORIA],despesafixaconsolidadodez[[#This Row],[DESPESA FIXA]])</f>
        <v>0</v>
      </c>
      <c r="T38" s="119" t="n">
        <f aca="false">SUMIFS(tabela_registros[VALOR],tabela_registros[MÊS],$AE$1,tabela_registros[DIA],deztotal3059718395107119131143155167[[#Headers],[16]],tabela_registros[REGISTRO],DADOS!$N$4,tabela_registros[TIPO],DADOS!$P$3,tabela_registros[CATEGORIA],despesafixaconsolidadodez[[#This Row],[DESPESA FIXA]])</f>
        <v>0</v>
      </c>
      <c r="U38" s="119" t="n">
        <f aca="false">SUMIFS(tabela_registros[VALOR],tabela_registros[MÊS],$AE$1,tabela_registros[DIA],deztotal3059718395107119131143155167[[#Headers],[17]],tabela_registros[REGISTRO],DADOS!$N$4,tabela_registros[TIPO],DADOS!$P$3,tabela_registros[CATEGORIA],despesafixaconsolidadodez[[#This Row],[DESPESA FIXA]])</f>
        <v>0</v>
      </c>
      <c r="V38" s="119" t="n">
        <f aca="false">SUMIFS(tabela_registros[VALOR],tabela_registros[MÊS],$AE$1,tabela_registros[DIA],deztotal3059718395107119131143155167[[#Headers],[18]],tabela_registros[REGISTRO],DADOS!$N$4,tabela_registros[TIPO],DADOS!$P$3,tabela_registros[CATEGORIA],despesafixaconsolidadodez[[#This Row],[DESPESA FIXA]])</f>
        <v>0</v>
      </c>
      <c r="W38" s="119" t="n">
        <f aca="false">SUMIFS(tabela_registros[VALOR],tabela_registros[MÊS],$AE$1,tabela_registros[DIA],deztotal3059718395107119131143155167[[#Headers],[19]],tabela_registros[REGISTRO],DADOS!$N$4,tabela_registros[TIPO],DADOS!$P$3,tabela_registros[CATEGORIA],despesafixaconsolidadodez[[#This Row],[DESPESA FIXA]])</f>
        <v>0</v>
      </c>
      <c r="X38" s="119" t="n">
        <f aca="false">SUMIFS(tabela_registros[VALOR],tabela_registros[MÊS],$AE$1,tabela_registros[DIA],deztotal3059718395107119131143155167[[#Headers],[20]],tabela_registros[REGISTRO],DADOS!$N$4,tabela_registros[TIPO],DADOS!$P$3,tabela_registros[CATEGORIA],despesafixaconsolidadodez[[#This Row],[DESPESA FIXA]])</f>
        <v>0</v>
      </c>
      <c r="Y38" s="119" t="n">
        <f aca="false">SUMIFS(tabela_registros[VALOR],tabela_registros[MÊS],$AE$1,tabela_registros[DIA],deztotal3059718395107119131143155167[[#Headers],[21]],tabela_registros[REGISTRO],DADOS!$N$4,tabela_registros[TIPO],DADOS!$P$3,tabela_registros[CATEGORIA],despesafixaconsolidadodez[[#This Row],[DESPESA FIXA]])</f>
        <v>0</v>
      </c>
      <c r="Z38" s="119" t="n">
        <f aca="false">SUMIFS(tabela_registros[VALOR],tabela_registros[MÊS],$AE$1,tabela_registros[DIA],deztotal3059718395107119131143155167[[#Headers],[22]],tabela_registros[REGISTRO],DADOS!$N$4,tabela_registros[TIPO],DADOS!$P$3,tabela_registros[CATEGORIA],despesafixaconsolidadodez[[#This Row],[DESPESA FIXA]])</f>
        <v>0</v>
      </c>
      <c r="AA38" s="119" t="n">
        <f aca="false">SUMIFS(tabela_registros[VALOR],tabela_registros[MÊS],$AE$1,tabela_registros[DIA],deztotal3059718395107119131143155167[[#Headers],[23]],tabela_registros[REGISTRO],DADOS!$N$4,tabela_registros[TIPO],DADOS!$P$3,tabela_registros[CATEGORIA],despesafixaconsolidadodez[[#This Row],[DESPESA FIXA]])</f>
        <v>0</v>
      </c>
      <c r="AB38" s="119" t="n">
        <f aca="false">SUMIFS(tabela_registros[VALOR],tabela_registros[MÊS],$AE$1,tabela_registros[DIA],deztotal3059718395107119131143155167[[#Headers],[24]],tabela_registros[REGISTRO],DADOS!$N$4,tabela_registros[TIPO],DADOS!$P$3,tabela_registros[CATEGORIA],despesafixaconsolidadodez[[#This Row],[DESPESA FIXA]])</f>
        <v>0</v>
      </c>
      <c r="AC38" s="119" t="n">
        <f aca="false">SUMIFS(tabela_registros[VALOR],tabela_registros[MÊS],$AE$1,tabela_registros[DIA],deztotal3059718395107119131143155167[[#Headers],[25]],tabela_registros[REGISTRO],DADOS!$N$4,tabela_registros[TIPO],DADOS!$P$3,tabela_registros[CATEGORIA],despesafixaconsolidadodez[[#This Row],[DESPESA FIXA]])</f>
        <v>0</v>
      </c>
      <c r="AD38" s="119" t="n">
        <f aca="false">SUMIFS(tabela_registros[VALOR],tabela_registros[MÊS],$AE$1,tabela_registros[DIA],deztotal3059718395107119131143155167[[#Headers],[26]],tabela_registros[REGISTRO],DADOS!$N$4,tabela_registros[TIPO],DADOS!$P$3,tabela_registros[CATEGORIA],despesafixaconsolidadodez[[#This Row],[DESPESA FIXA]])</f>
        <v>0</v>
      </c>
      <c r="AE38" s="119" t="n">
        <f aca="false">SUMIFS(tabela_registros[VALOR],tabela_registros[MÊS],$AE$1,tabela_registros[DIA],deztotal3059718395107119131143155167[[#Headers],[27]],tabela_registros[REGISTRO],DADOS!$N$4,tabela_registros[TIPO],DADOS!$P$3,tabela_registros[CATEGORIA],despesafixaconsolidadodez[[#This Row],[DESPESA FIXA]])</f>
        <v>0</v>
      </c>
      <c r="AF38" s="119" t="n">
        <f aca="false">SUMIFS(tabela_registros[VALOR],tabela_registros[MÊS],$AE$1,tabela_registros[DIA],deztotal3059718395107119131143155167[[#Headers],[28]],tabela_registros[REGISTRO],DADOS!$N$4,tabela_registros[TIPO],DADOS!$P$3,tabela_registros[CATEGORIA],despesafixaconsolidadodez[[#This Row],[DESPESA FIXA]])</f>
        <v>0</v>
      </c>
      <c r="AG38" s="119" t="n">
        <f aca="false">SUMIFS(tabela_registros[VALOR],tabela_registros[MÊS],$AE$1,tabela_registros[DIA],deztotal3059718395107119131143155167[[#Headers],[29]],tabela_registros[REGISTRO],DADOS!$N$4,tabela_registros[TIPO],DADOS!$P$3,tabela_registros[CATEGORIA],despesafixaconsolidadodez[[#This Row],[DESPESA FIXA]])</f>
        <v>0</v>
      </c>
      <c r="AH38" s="119" t="n">
        <f aca="false">SUMIFS(tabela_registros[VALOR],tabela_registros[MÊS],$AE$1,tabela_registros[DIA],deztotal3059718395107119131143155167[[#Headers],[30]],tabela_registros[REGISTRO],DADOS!$N$4,tabela_registros[TIPO],DADOS!$P$3,tabela_registros[CATEGORIA],despesafixaconsolidadodez[[#This Row],[DESPESA FIXA]])</f>
        <v>0</v>
      </c>
      <c r="AI38" s="217" t="n">
        <f aca="false">SUMIFS(tabela_registros[VALOR],tabela_registros[MÊS],$AE$1,tabela_registros[DIA],deztotal3059718395107119131143155167[[#Headers],[31]],tabela_registros[REGISTRO],DADOS!$N$4,tabela_registros[TIPO],DADOS!$P$3,tabela_registros[CATEGORIA],despesafixaconsolidadodez[[#This Row],[DESPESA FIXA]])</f>
        <v>0</v>
      </c>
      <c r="AJ38" s="149" t="n">
        <f aca="false">SUM(despesafixaconsolidadodez[[#This Row],[1]:[31]])</f>
        <v>0</v>
      </c>
      <c r="AK38" s="143"/>
    </row>
    <row r="39" customFormat="false" ht="18" hidden="false" customHeight="true" outlineLevel="0" collapsed="false">
      <c r="B39" s="143"/>
      <c r="C39" s="144" t="str">
        <f aca="false">DADOS!$R$5</f>
        <v>🔖 ASSINATURAS E SERVIÇOS</v>
      </c>
      <c r="D39" s="145" t="str">
        <f aca="false">IF(despesafixaconsolidadodez[[#This Row],[TOTAL]]=0,"",IF(OR(despesafixaconsolidadodez[[#This Row],[TOTAL]]=LARGE($AJ$37:$AJ$50,1),despesafixaconsolidadodez[[#This Row],[TOTAL]]=LARGE($AJ$37:$AJ$50,2),despesafixaconsolidadodez[[#This Row],[TOTAL]]=LARGE($AJ$37:$AJ$50,3),despesafixaconsolidadodez[[#This Row],[TOTAL]]=LARGE($AJ$37:$AJ$50,4),despesafixaconsolidadodez[[#This Row],[TOTAL]]=LARGE($AJ$37:$AJ$50,5)),DADOS!$I$8,""))</f>
        <v/>
      </c>
      <c r="E39" s="148" t="n">
        <f aca="false">SUMIFS(tabela_registros[VALOR],tabela_registros[MÊS],$AE$1,tabela_registros[DIA],deztotal3059718395107119131143155167[[#Headers],[1]],tabela_registros[REGISTRO],DADOS!$N$4,tabela_registros[TIPO],DADOS!$P$3,tabela_registros[CATEGORIA],despesafixaconsolidadodez[[#This Row],[DESPESA FIXA]])</f>
        <v>0</v>
      </c>
      <c r="F39" s="119" t="n">
        <f aca="false">SUMIFS(tabela_registros[VALOR],tabela_registros[MÊS],$AE$1,tabela_registros[DIA],deztotal3059718395107119131143155167[[#Headers],[2]],tabela_registros[REGISTRO],DADOS!$N$4,tabela_registros[TIPO],DADOS!$P$3,tabela_registros[CATEGORIA],despesafixaconsolidadodez[[#This Row],[DESPESA FIXA]])</f>
        <v>0</v>
      </c>
      <c r="G39" s="119" t="n">
        <f aca="false">SUMIFS(tabela_registros[VALOR],tabela_registros[MÊS],$AE$1,tabela_registros[DIA],deztotal3059718395107119131143155167[[#Headers],[3]],tabela_registros[REGISTRO],DADOS!$N$4,tabela_registros[TIPO],DADOS!$P$3,tabela_registros[CATEGORIA],despesafixaconsolidadodez[[#This Row],[DESPESA FIXA]])</f>
        <v>0</v>
      </c>
      <c r="H39" s="119" t="n">
        <f aca="false">SUMIFS(tabela_registros[VALOR],tabela_registros[MÊS],$AE$1,tabela_registros[DIA],deztotal3059718395107119131143155167[[#Headers],[4]],tabela_registros[REGISTRO],DADOS!$N$4,tabela_registros[TIPO],DADOS!$P$3,tabela_registros[CATEGORIA],despesafixaconsolidadodez[[#This Row],[DESPESA FIXA]])</f>
        <v>0</v>
      </c>
      <c r="I39" s="119" t="n">
        <f aca="false">SUMIFS(tabela_registros[VALOR],tabela_registros[MÊS],$AE$1,tabela_registros[DIA],deztotal3059718395107119131143155167[[#Headers],[5]],tabela_registros[REGISTRO],DADOS!$N$4,tabela_registros[TIPO],DADOS!$P$3,tabela_registros[CATEGORIA],despesafixaconsolidadodez[[#This Row],[DESPESA FIXA]])</f>
        <v>0</v>
      </c>
      <c r="J39" s="119" t="n">
        <f aca="false">SUMIFS(tabela_registros[VALOR],tabela_registros[MÊS],$AE$1,tabela_registros[DIA],deztotal3059718395107119131143155167[[#Headers],[6]],tabela_registros[REGISTRO],DADOS!$N$4,tabela_registros[TIPO],DADOS!$P$3,tabela_registros[CATEGORIA],despesafixaconsolidadodez[[#This Row],[DESPESA FIXA]])</f>
        <v>0</v>
      </c>
      <c r="K39" s="119" t="n">
        <f aca="false">SUMIFS(tabela_registros[VALOR],tabela_registros[MÊS],$AE$1,tabela_registros[DIA],deztotal3059718395107119131143155167[[#Headers],[7]],tabela_registros[REGISTRO],DADOS!$N$4,tabela_registros[TIPO],DADOS!$P$3,tabela_registros[CATEGORIA],despesafixaconsolidadodez[[#This Row],[DESPESA FIXA]])</f>
        <v>0</v>
      </c>
      <c r="L39" s="119" t="n">
        <f aca="false">SUMIFS(tabela_registros[VALOR],tabela_registros[MÊS],$AE$1,tabela_registros[DIA],deztotal3059718395107119131143155167[[#Headers],[8]],tabela_registros[REGISTRO],DADOS!$N$4,tabela_registros[TIPO],DADOS!$P$3,tabela_registros[CATEGORIA],despesafixaconsolidadodez[[#This Row],[DESPESA FIXA]])</f>
        <v>0</v>
      </c>
      <c r="M39" s="119" t="n">
        <f aca="false">SUMIFS(tabela_registros[VALOR],tabela_registros[MÊS],$AE$1,tabela_registros[DIA],deztotal3059718395107119131143155167[[#Headers],[9]],tabela_registros[REGISTRO],DADOS!$N$4,tabela_registros[TIPO],DADOS!$P$3,tabela_registros[CATEGORIA],despesafixaconsolidadodez[[#This Row],[DESPESA FIXA]])</f>
        <v>0</v>
      </c>
      <c r="N39" s="119" t="n">
        <f aca="false">SUMIFS(tabela_registros[VALOR],tabela_registros[MÊS],$AE$1,tabela_registros[DIA],deztotal3059718395107119131143155167[[#Headers],[10]],tabela_registros[REGISTRO],DADOS!$N$4,tabela_registros[TIPO],DADOS!$P$3,tabela_registros[CATEGORIA],despesafixaconsolidadodez[[#This Row],[DESPESA FIXA]])</f>
        <v>0</v>
      </c>
      <c r="O39" s="119" t="n">
        <f aca="false">SUMIFS(tabela_registros[VALOR],tabela_registros[MÊS],$AE$1,tabela_registros[DIA],deztotal3059718395107119131143155167[[#Headers],[11]],tabela_registros[REGISTRO],DADOS!$N$4,tabela_registros[TIPO],DADOS!$P$3,tabela_registros[CATEGORIA],despesafixaconsolidadodez[[#This Row],[DESPESA FIXA]])</f>
        <v>0</v>
      </c>
      <c r="P39" s="119" t="n">
        <f aca="false">SUMIFS(tabela_registros[VALOR],tabela_registros[MÊS],$AE$1,tabela_registros[DIA],deztotal3059718395107119131143155167[[#Headers],[12]],tabela_registros[REGISTRO],DADOS!$N$4,tabela_registros[TIPO],DADOS!$P$3,tabela_registros[CATEGORIA],despesafixaconsolidadodez[[#This Row],[DESPESA FIXA]])</f>
        <v>0</v>
      </c>
      <c r="Q39" s="119" t="n">
        <f aca="false">SUMIFS(tabela_registros[VALOR],tabela_registros[MÊS],$AE$1,tabela_registros[DIA],deztotal3059718395107119131143155167[[#Headers],[13]],tabela_registros[REGISTRO],DADOS!$N$4,tabela_registros[TIPO],DADOS!$P$3,tabela_registros[CATEGORIA],despesafixaconsolidadodez[[#This Row],[DESPESA FIXA]])</f>
        <v>0</v>
      </c>
      <c r="R39" s="119" t="n">
        <f aca="false">SUMIFS(tabela_registros[VALOR],tabela_registros[MÊS],$AE$1,tabela_registros[DIA],deztotal3059718395107119131143155167[[#Headers],[14]],tabela_registros[REGISTRO],DADOS!$N$4,tabela_registros[TIPO],DADOS!$P$3,tabela_registros[CATEGORIA],despesafixaconsolidadodez[[#This Row],[DESPESA FIXA]])</f>
        <v>0</v>
      </c>
      <c r="S39" s="119" t="n">
        <f aca="false">SUMIFS(tabela_registros[VALOR],tabela_registros[MÊS],$AE$1,tabela_registros[DIA],deztotal3059718395107119131143155167[[#Headers],[15]],tabela_registros[REGISTRO],DADOS!$N$4,tabela_registros[TIPO],DADOS!$P$3,tabela_registros[CATEGORIA],despesafixaconsolidadodez[[#This Row],[DESPESA FIXA]])</f>
        <v>0</v>
      </c>
      <c r="T39" s="119" t="n">
        <f aca="false">SUMIFS(tabela_registros[VALOR],tabela_registros[MÊS],$AE$1,tabela_registros[DIA],deztotal3059718395107119131143155167[[#Headers],[16]],tabela_registros[REGISTRO],DADOS!$N$4,tabela_registros[TIPO],DADOS!$P$3,tabela_registros[CATEGORIA],despesafixaconsolidadodez[[#This Row],[DESPESA FIXA]])</f>
        <v>0</v>
      </c>
      <c r="U39" s="119" t="n">
        <f aca="false">SUMIFS(tabela_registros[VALOR],tabela_registros[MÊS],$AE$1,tabela_registros[DIA],deztotal3059718395107119131143155167[[#Headers],[17]],tabela_registros[REGISTRO],DADOS!$N$4,tabela_registros[TIPO],DADOS!$P$3,tabela_registros[CATEGORIA],despesafixaconsolidadodez[[#This Row],[DESPESA FIXA]])</f>
        <v>0</v>
      </c>
      <c r="V39" s="119" t="n">
        <f aca="false">SUMIFS(tabela_registros[VALOR],tabela_registros[MÊS],$AE$1,tabela_registros[DIA],deztotal3059718395107119131143155167[[#Headers],[18]],tabela_registros[REGISTRO],DADOS!$N$4,tabela_registros[TIPO],DADOS!$P$3,tabela_registros[CATEGORIA],despesafixaconsolidadodez[[#This Row],[DESPESA FIXA]])</f>
        <v>0</v>
      </c>
      <c r="W39" s="119" t="n">
        <f aca="false">SUMIFS(tabela_registros[VALOR],tabela_registros[MÊS],$AE$1,tabela_registros[DIA],deztotal3059718395107119131143155167[[#Headers],[19]],tabela_registros[REGISTRO],DADOS!$N$4,tabela_registros[TIPO],DADOS!$P$3,tabela_registros[CATEGORIA],despesafixaconsolidadodez[[#This Row],[DESPESA FIXA]])</f>
        <v>0</v>
      </c>
      <c r="X39" s="119" t="n">
        <f aca="false">SUMIFS(tabela_registros[VALOR],tabela_registros[MÊS],$AE$1,tabela_registros[DIA],deztotal3059718395107119131143155167[[#Headers],[20]],tabela_registros[REGISTRO],DADOS!$N$4,tabela_registros[TIPO],DADOS!$P$3,tabela_registros[CATEGORIA],despesafixaconsolidadodez[[#This Row],[DESPESA FIXA]])</f>
        <v>0</v>
      </c>
      <c r="Y39" s="119" t="n">
        <f aca="false">SUMIFS(tabela_registros[VALOR],tabela_registros[MÊS],$AE$1,tabela_registros[DIA],deztotal3059718395107119131143155167[[#Headers],[21]],tabela_registros[REGISTRO],DADOS!$N$4,tabela_registros[TIPO],DADOS!$P$3,tabela_registros[CATEGORIA],despesafixaconsolidadodez[[#This Row],[DESPESA FIXA]])</f>
        <v>0</v>
      </c>
      <c r="Z39" s="119" t="n">
        <f aca="false">SUMIFS(tabela_registros[VALOR],tabela_registros[MÊS],$AE$1,tabela_registros[DIA],deztotal3059718395107119131143155167[[#Headers],[22]],tabela_registros[REGISTRO],DADOS!$N$4,tabela_registros[TIPO],DADOS!$P$3,tabela_registros[CATEGORIA],despesafixaconsolidadodez[[#This Row],[DESPESA FIXA]])</f>
        <v>0</v>
      </c>
      <c r="AA39" s="119" t="n">
        <f aca="false">SUMIFS(tabela_registros[VALOR],tabela_registros[MÊS],$AE$1,tabela_registros[DIA],deztotal3059718395107119131143155167[[#Headers],[23]],tabela_registros[REGISTRO],DADOS!$N$4,tabela_registros[TIPO],DADOS!$P$3,tabela_registros[CATEGORIA],despesafixaconsolidadodez[[#This Row],[DESPESA FIXA]])</f>
        <v>0</v>
      </c>
      <c r="AB39" s="119" t="n">
        <f aca="false">SUMIFS(tabela_registros[VALOR],tabela_registros[MÊS],$AE$1,tabela_registros[DIA],deztotal3059718395107119131143155167[[#Headers],[24]],tabela_registros[REGISTRO],DADOS!$N$4,tabela_registros[TIPO],DADOS!$P$3,tabela_registros[CATEGORIA],despesafixaconsolidadodez[[#This Row],[DESPESA FIXA]])</f>
        <v>0</v>
      </c>
      <c r="AC39" s="119" t="n">
        <f aca="false">SUMIFS(tabela_registros[VALOR],tabela_registros[MÊS],$AE$1,tabela_registros[DIA],deztotal3059718395107119131143155167[[#Headers],[25]],tabela_registros[REGISTRO],DADOS!$N$4,tabela_registros[TIPO],DADOS!$P$3,tabela_registros[CATEGORIA],despesafixaconsolidadodez[[#This Row],[DESPESA FIXA]])</f>
        <v>0</v>
      </c>
      <c r="AD39" s="119" t="n">
        <f aca="false">SUMIFS(tabela_registros[VALOR],tabela_registros[MÊS],$AE$1,tabela_registros[DIA],deztotal3059718395107119131143155167[[#Headers],[26]],tabela_registros[REGISTRO],DADOS!$N$4,tabela_registros[TIPO],DADOS!$P$3,tabela_registros[CATEGORIA],despesafixaconsolidadodez[[#This Row],[DESPESA FIXA]])</f>
        <v>0</v>
      </c>
      <c r="AE39" s="119" t="n">
        <f aca="false">SUMIFS(tabela_registros[VALOR],tabela_registros[MÊS],$AE$1,tabela_registros[DIA],deztotal3059718395107119131143155167[[#Headers],[27]],tabela_registros[REGISTRO],DADOS!$N$4,tabela_registros[TIPO],DADOS!$P$3,tabela_registros[CATEGORIA],despesafixaconsolidadodez[[#This Row],[DESPESA FIXA]])</f>
        <v>0</v>
      </c>
      <c r="AF39" s="119" t="n">
        <f aca="false">SUMIFS(tabela_registros[VALOR],tabela_registros[MÊS],$AE$1,tabela_registros[DIA],deztotal3059718395107119131143155167[[#Headers],[28]],tabela_registros[REGISTRO],DADOS!$N$4,tabela_registros[TIPO],DADOS!$P$3,tabela_registros[CATEGORIA],despesafixaconsolidadodez[[#This Row],[DESPESA FIXA]])</f>
        <v>0</v>
      </c>
      <c r="AG39" s="119" t="n">
        <f aca="false">SUMIFS(tabela_registros[VALOR],tabela_registros[MÊS],$AE$1,tabela_registros[DIA],deztotal3059718395107119131143155167[[#Headers],[29]],tabela_registros[REGISTRO],DADOS!$N$4,tabela_registros[TIPO],DADOS!$P$3,tabela_registros[CATEGORIA],despesafixaconsolidadodez[[#This Row],[DESPESA FIXA]])</f>
        <v>0</v>
      </c>
      <c r="AH39" s="119" t="n">
        <f aca="false">SUMIFS(tabela_registros[VALOR],tabela_registros[MÊS],$AE$1,tabela_registros[DIA],deztotal3059718395107119131143155167[[#Headers],[30]],tabela_registros[REGISTRO],DADOS!$N$4,tabela_registros[TIPO],DADOS!$P$3,tabela_registros[CATEGORIA],despesafixaconsolidadodez[[#This Row],[DESPESA FIXA]])</f>
        <v>0</v>
      </c>
      <c r="AI39" s="217" t="n">
        <f aca="false">SUMIFS(tabela_registros[VALOR],tabela_registros[MÊS],$AE$1,tabela_registros[DIA],deztotal3059718395107119131143155167[[#Headers],[31]],tabela_registros[REGISTRO],DADOS!$N$4,tabela_registros[TIPO],DADOS!$P$3,tabela_registros[CATEGORIA],despesafixaconsolidadodez[[#This Row],[DESPESA FIXA]])</f>
        <v>0</v>
      </c>
      <c r="AJ39" s="149" t="n">
        <f aca="false">SUM(despesafixaconsolidadodez[[#This Row],[1]:[31]])</f>
        <v>0</v>
      </c>
      <c r="AK39" s="143"/>
    </row>
    <row r="40" customFormat="false" ht="18" hidden="false" customHeight="true" outlineLevel="0" collapsed="false">
      <c r="B40" s="143"/>
      <c r="C40" s="144" t="str">
        <f aca="false">DADOS!$R$6</f>
        <v>📱 CELULAR</v>
      </c>
      <c r="D40" s="145" t="str">
        <f aca="false">IF(despesafixaconsolidadodez[[#This Row],[TOTAL]]=0,"",IF(OR(despesafixaconsolidadodez[[#This Row],[TOTAL]]=LARGE($AJ$37:$AJ$50,1),despesafixaconsolidadodez[[#This Row],[TOTAL]]=LARGE($AJ$37:$AJ$50,2),despesafixaconsolidadodez[[#This Row],[TOTAL]]=LARGE($AJ$37:$AJ$50,3),despesafixaconsolidadodez[[#This Row],[TOTAL]]=LARGE($AJ$37:$AJ$50,4),despesafixaconsolidadodez[[#This Row],[TOTAL]]=LARGE($AJ$37:$AJ$50,5)),DADOS!$I$8,""))</f>
        <v/>
      </c>
      <c r="E40" s="148" t="n">
        <f aca="false">SUMIFS(tabela_registros[VALOR],tabela_registros[MÊS],$AE$1,tabela_registros[DIA],deztotal3059718395107119131143155167[[#Headers],[1]],tabela_registros[REGISTRO],DADOS!$N$4,tabela_registros[TIPO],DADOS!$P$3,tabela_registros[CATEGORIA],despesafixaconsolidadodez[[#This Row],[DESPESA FIXA]])</f>
        <v>0</v>
      </c>
      <c r="F40" s="119" t="n">
        <f aca="false">SUMIFS(tabela_registros[VALOR],tabela_registros[MÊS],$AE$1,tabela_registros[DIA],deztotal3059718395107119131143155167[[#Headers],[2]],tabela_registros[REGISTRO],DADOS!$N$4,tabela_registros[TIPO],DADOS!$P$3,tabela_registros[CATEGORIA],despesafixaconsolidadodez[[#This Row],[DESPESA FIXA]])</f>
        <v>0</v>
      </c>
      <c r="G40" s="119" t="n">
        <f aca="false">SUMIFS(tabela_registros[VALOR],tabela_registros[MÊS],$AE$1,tabela_registros[DIA],deztotal3059718395107119131143155167[[#Headers],[3]],tabela_registros[REGISTRO],DADOS!$N$4,tabela_registros[TIPO],DADOS!$P$3,tabela_registros[CATEGORIA],despesafixaconsolidadodez[[#This Row],[DESPESA FIXA]])</f>
        <v>0</v>
      </c>
      <c r="H40" s="119" t="n">
        <f aca="false">SUMIFS(tabela_registros[VALOR],tabela_registros[MÊS],$AE$1,tabela_registros[DIA],deztotal3059718395107119131143155167[[#Headers],[4]],tabela_registros[REGISTRO],DADOS!$N$4,tabela_registros[TIPO],DADOS!$P$3,tabela_registros[CATEGORIA],despesafixaconsolidadodez[[#This Row],[DESPESA FIXA]])</f>
        <v>0</v>
      </c>
      <c r="I40" s="119" t="n">
        <f aca="false">SUMIFS(tabela_registros[VALOR],tabela_registros[MÊS],$AE$1,tabela_registros[DIA],deztotal3059718395107119131143155167[[#Headers],[5]],tabela_registros[REGISTRO],DADOS!$N$4,tabela_registros[TIPO],DADOS!$P$3,tabela_registros[CATEGORIA],despesafixaconsolidadodez[[#This Row],[DESPESA FIXA]])</f>
        <v>0</v>
      </c>
      <c r="J40" s="119" t="n">
        <f aca="false">SUMIFS(tabela_registros[VALOR],tabela_registros[MÊS],$AE$1,tabela_registros[DIA],deztotal3059718395107119131143155167[[#Headers],[6]],tabela_registros[REGISTRO],DADOS!$N$4,tabela_registros[TIPO],DADOS!$P$3,tabela_registros[CATEGORIA],despesafixaconsolidadodez[[#This Row],[DESPESA FIXA]])</f>
        <v>0</v>
      </c>
      <c r="K40" s="119" t="n">
        <f aca="false">SUMIFS(tabela_registros[VALOR],tabela_registros[MÊS],$AE$1,tabela_registros[DIA],deztotal3059718395107119131143155167[[#Headers],[7]],tabela_registros[REGISTRO],DADOS!$N$4,tabela_registros[TIPO],DADOS!$P$3,tabela_registros[CATEGORIA],despesafixaconsolidadodez[[#This Row],[DESPESA FIXA]])</f>
        <v>0</v>
      </c>
      <c r="L40" s="119" t="n">
        <f aca="false">SUMIFS(tabela_registros[VALOR],tabela_registros[MÊS],$AE$1,tabela_registros[DIA],deztotal3059718395107119131143155167[[#Headers],[8]],tabela_registros[REGISTRO],DADOS!$N$4,tabela_registros[TIPO],DADOS!$P$3,tabela_registros[CATEGORIA],despesafixaconsolidadodez[[#This Row],[DESPESA FIXA]])</f>
        <v>0</v>
      </c>
      <c r="M40" s="119" t="n">
        <f aca="false">SUMIFS(tabela_registros[VALOR],tabela_registros[MÊS],$AE$1,tabela_registros[DIA],deztotal3059718395107119131143155167[[#Headers],[9]],tabela_registros[REGISTRO],DADOS!$N$4,tabela_registros[TIPO],DADOS!$P$3,tabela_registros[CATEGORIA],despesafixaconsolidadodez[[#This Row],[DESPESA FIXA]])</f>
        <v>0</v>
      </c>
      <c r="N40" s="119" t="n">
        <f aca="false">SUMIFS(tabela_registros[VALOR],tabela_registros[MÊS],$AE$1,tabela_registros[DIA],deztotal3059718395107119131143155167[[#Headers],[10]],tabela_registros[REGISTRO],DADOS!$N$4,tabela_registros[TIPO],DADOS!$P$3,tabela_registros[CATEGORIA],despesafixaconsolidadodez[[#This Row],[DESPESA FIXA]])</f>
        <v>0</v>
      </c>
      <c r="O40" s="119" t="n">
        <f aca="false">SUMIFS(tabela_registros[VALOR],tabela_registros[MÊS],$AE$1,tabela_registros[DIA],deztotal3059718395107119131143155167[[#Headers],[11]],tabela_registros[REGISTRO],DADOS!$N$4,tabela_registros[TIPO],DADOS!$P$3,tabela_registros[CATEGORIA],despesafixaconsolidadodez[[#This Row],[DESPESA FIXA]])</f>
        <v>0</v>
      </c>
      <c r="P40" s="119" t="n">
        <f aca="false">SUMIFS(tabela_registros[VALOR],tabela_registros[MÊS],$AE$1,tabela_registros[DIA],deztotal3059718395107119131143155167[[#Headers],[12]],tabela_registros[REGISTRO],DADOS!$N$4,tabela_registros[TIPO],DADOS!$P$3,tabela_registros[CATEGORIA],despesafixaconsolidadodez[[#This Row],[DESPESA FIXA]])</f>
        <v>0</v>
      </c>
      <c r="Q40" s="119" t="n">
        <f aca="false">SUMIFS(tabela_registros[VALOR],tabela_registros[MÊS],$AE$1,tabela_registros[DIA],deztotal3059718395107119131143155167[[#Headers],[13]],tabela_registros[REGISTRO],DADOS!$N$4,tabela_registros[TIPO],DADOS!$P$3,tabela_registros[CATEGORIA],despesafixaconsolidadodez[[#This Row],[DESPESA FIXA]])</f>
        <v>0</v>
      </c>
      <c r="R40" s="119" t="n">
        <f aca="false">SUMIFS(tabela_registros[VALOR],tabela_registros[MÊS],$AE$1,tabela_registros[DIA],deztotal3059718395107119131143155167[[#Headers],[14]],tabela_registros[REGISTRO],DADOS!$N$4,tabela_registros[TIPO],DADOS!$P$3,tabela_registros[CATEGORIA],despesafixaconsolidadodez[[#This Row],[DESPESA FIXA]])</f>
        <v>0</v>
      </c>
      <c r="S40" s="119" t="n">
        <f aca="false">SUMIFS(tabela_registros[VALOR],tabela_registros[MÊS],$AE$1,tabela_registros[DIA],deztotal3059718395107119131143155167[[#Headers],[15]],tabela_registros[REGISTRO],DADOS!$N$4,tabela_registros[TIPO],DADOS!$P$3,tabela_registros[CATEGORIA],despesafixaconsolidadodez[[#This Row],[DESPESA FIXA]])</f>
        <v>0</v>
      </c>
      <c r="T40" s="119" t="n">
        <f aca="false">SUMIFS(tabela_registros[VALOR],tabela_registros[MÊS],$AE$1,tabela_registros[DIA],deztotal3059718395107119131143155167[[#Headers],[16]],tabela_registros[REGISTRO],DADOS!$N$4,tabela_registros[TIPO],DADOS!$P$3,tabela_registros[CATEGORIA],despesafixaconsolidadodez[[#This Row],[DESPESA FIXA]])</f>
        <v>0</v>
      </c>
      <c r="U40" s="119" t="n">
        <f aca="false">SUMIFS(tabela_registros[VALOR],tabela_registros[MÊS],$AE$1,tabela_registros[DIA],deztotal3059718395107119131143155167[[#Headers],[17]],tabela_registros[REGISTRO],DADOS!$N$4,tabela_registros[TIPO],DADOS!$P$3,tabela_registros[CATEGORIA],despesafixaconsolidadodez[[#This Row],[DESPESA FIXA]])</f>
        <v>0</v>
      </c>
      <c r="V40" s="119" t="n">
        <f aca="false">SUMIFS(tabela_registros[VALOR],tabela_registros[MÊS],$AE$1,tabela_registros[DIA],deztotal3059718395107119131143155167[[#Headers],[18]],tabela_registros[REGISTRO],DADOS!$N$4,tabela_registros[TIPO],DADOS!$P$3,tabela_registros[CATEGORIA],despesafixaconsolidadodez[[#This Row],[DESPESA FIXA]])</f>
        <v>0</v>
      </c>
      <c r="W40" s="119" t="n">
        <f aca="false">SUMIFS(tabela_registros[VALOR],tabela_registros[MÊS],$AE$1,tabela_registros[DIA],deztotal3059718395107119131143155167[[#Headers],[19]],tabela_registros[REGISTRO],DADOS!$N$4,tabela_registros[TIPO],DADOS!$P$3,tabela_registros[CATEGORIA],despesafixaconsolidadodez[[#This Row],[DESPESA FIXA]])</f>
        <v>0</v>
      </c>
      <c r="X40" s="119" t="n">
        <f aca="false">SUMIFS(tabela_registros[VALOR],tabela_registros[MÊS],$AE$1,tabela_registros[DIA],deztotal3059718395107119131143155167[[#Headers],[20]],tabela_registros[REGISTRO],DADOS!$N$4,tabela_registros[TIPO],DADOS!$P$3,tabela_registros[CATEGORIA],despesafixaconsolidadodez[[#This Row],[DESPESA FIXA]])</f>
        <v>0</v>
      </c>
      <c r="Y40" s="119" t="n">
        <f aca="false">SUMIFS(tabela_registros[VALOR],tabela_registros[MÊS],$AE$1,tabela_registros[DIA],deztotal3059718395107119131143155167[[#Headers],[21]],tabela_registros[REGISTRO],DADOS!$N$4,tabela_registros[TIPO],DADOS!$P$3,tabela_registros[CATEGORIA],despesafixaconsolidadodez[[#This Row],[DESPESA FIXA]])</f>
        <v>0</v>
      </c>
      <c r="Z40" s="119" t="n">
        <f aca="false">SUMIFS(tabela_registros[VALOR],tabela_registros[MÊS],$AE$1,tabela_registros[DIA],deztotal3059718395107119131143155167[[#Headers],[22]],tabela_registros[REGISTRO],DADOS!$N$4,tabela_registros[TIPO],DADOS!$P$3,tabela_registros[CATEGORIA],despesafixaconsolidadodez[[#This Row],[DESPESA FIXA]])</f>
        <v>0</v>
      </c>
      <c r="AA40" s="119" t="n">
        <f aca="false">SUMIFS(tabela_registros[VALOR],tabela_registros[MÊS],$AE$1,tabela_registros[DIA],deztotal3059718395107119131143155167[[#Headers],[23]],tabela_registros[REGISTRO],DADOS!$N$4,tabela_registros[TIPO],DADOS!$P$3,tabela_registros[CATEGORIA],despesafixaconsolidadodez[[#This Row],[DESPESA FIXA]])</f>
        <v>0</v>
      </c>
      <c r="AB40" s="119" t="n">
        <f aca="false">SUMIFS(tabela_registros[VALOR],tabela_registros[MÊS],$AE$1,tabela_registros[DIA],deztotal3059718395107119131143155167[[#Headers],[24]],tabela_registros[REGISTRO],DADOS!$N$4,tabela_registros[TIPO],DADOS!$P$3,tabela_registros[CATEGORIA],despesafixaconsolidadodez[[#This Row],[DESPESA FIXA]])</f>
        <v>0</v>
      </c>
      <c r="AC40" s="119" t="n">
        <f aca="false">SUMIFS(tabela_registros[VALOR],tabela_registros[MÊS],$AE$1,tabela_registros[DIA],deztotal3059718395107119131143155167[[#Headers],[25]],tabela_registros[REGISTRO],DADOS!$N$4,tabela_registros[TIPO],DADOS!$P$3,tabela_registros[CATEGORIA],despesafixaconsolidadodez[[#This Row],[DESPESA FIXA]])</f>
        <v>0</v>
      </c>
      <c r="AD40" s="119" t="n">
        <f aca="false">SUMIFS(tabela_registros[VALOR],tabela_registros[MÊS],$AE$1,tabela_registros[DIA],deztotal3059718395107119131143155167[[#Headers],[26]],tabela_registros[REGISTRO],DADOS!$N$4,tabela_registros[TIPO],DADOS!$P$3,tabela_registros[CATEGORIA],despesafixaconsolidadodez[[#This Row],[DESPESA FIXA]])</f>
        <v>0</v>
      </c>
      <c r="AE40" s="119" t="n">
        <f aca="false">SUMIFS(tabela_registros[VALOR],tabela_registros[MÊS],$AE$1,tabela_registros[DIA],deztotal3059718395107119131143155167[[#Headers],[27]],tabela_registros[REGISTRO],DADOS!$N$4,tabela_registros[TIPO],DADOS!$P$3,tabela_registros[CATEGORIA],despesafixaconsolidadodez[[#This Row],[DESPESA FIXA]])</f>
        <v>0</v>
      </c>
      <c r="AF40" s="119" t="n">
        <f aca="false">SUMIFS(tabela_registros[VALOR],tabela_registros[MÊS],$AE$1,tabela_registros[DIA],deztotal3059718395107119131143155167[[#Headers],[28]],tabela_registros[REGISTRO],DADOS!$N$4,tabela_registros[TIPO],DADOS!$P$3,tabela_registros[CATEGORIA],despesafixaconsolidadodez[[#This Row],[DESPESA FIXA]])</f>
        <v>0</v>
      </c>
      <c r="AG40" s="119" t="n">
        <f aca="false">SUMIFS(tabela_registros[VALOR],tabela_registros[MÊS],$AE$1,tabela_registros[DIA],deztotal3059718395107119131143155167[[#Headers],[29]],tabela_registros[REGISTRO],DADOS!$N$4,tabela_registros[TIPO],DADOS!$P$3,tabela_registros[CATEGORIA],despesafixaconsolidadodez[[#This Row],[DESPESA FIXA]])</f>
        <v>0</v>
      </c>
      <c r="AH40" s="119" t="n">
        <f aca="false">SUMIFS(tabela_registros[VALOR],tabela_registros[MÊS],$AE$1,tabela_registros[DIA],deztotal3059718395107119131143155167[[#Headers],[30]],tabela_registros[REGISTRO],DADOS!$N$4,tabela_registros[TIPO],DADOS!$P$3,tabela_registros[CATEGORIA],despesafixaconsolidadodez[[#This Row],[DESPESA FIXA]])</f>
        <v>0</v>
      </c>
      <c r="AI40" s="217" t="n">
        <f aca="false">SUMIFS(tabela_registros[VALOR],tabela_registros[MÊS],$AE$1,tabela_registros[DIA],deztotal3059718395107119131143155167[[#Headers],[31]],tabela_registros[REGISTRO],DADOS!$N$4,tabela_registros[TIPO],DADOS!$P$3,tabela_registros[CATEGORIA],despesafixaconsolidadodez[[#This Row],[DESPESA FIXA]])</f>
        <v>0</v>
      </c>
      <c r="AJ40" s="149" t="n">
        <f aca="false">SUM(despesafixaconsolidadodez[[#This Row],[1]:[31]])</f>
        <v>0</v>
      </c>
      <c r="AK40" s="143"/>
    </row>
    <row r="41" customFormat="false" ht="18" hidden="false" customHeight="true" outlineLevel="0" collapsed="false">
      <c r="B41" s="143"/>
      <c r="C41" s="144" t="str">
        <f aca="false">DADOS!$R$7</f>
        <v>📖 EDUCAÇÃO</v>
      </c>
      <c r="D41" s="145" t="str">
        <f aca="false">IF(despesafixaconsolidadodez[[#This Row],[TOTAL]]=0,"",IF(OR(despesafixaconsolidadodez[[#This Row],[TOTAL]]=LARGE($AJ$37:$AJ$50,1),despesafixaconsolidadodez[[#This Row],[TOTAL]]=LARGE($AJ$37:$AJ$50,2),despesafixaconsolidadodez[[#This Row],[TOTAL]]=LARGE($AJ$37:$AJ$50,3),despesafixaconsolidadodez[[#This Row],[TOTAL]]=LARGE($AJ$37:$AJ$50,4),despesafixaconsolidadodez[[#This Row],[TOTAL]]=LARGE($AJ$37:$AJ$50,5)),DADOS!$I$8,""))</f>
        <v/>
      </c>
      <c r="E41" s="148" t="n">
        <f aca="false">SUMIFS(tabela_registros[VALOR],tabela_registros[MÊS],$AE$1,tabela_registros[DIA],deztotal3059718395107119131143155167[[#Headers],[1]],tabela_registros[REGISTRO],DADOS!$N$4,tabela_registros[TIPO],DADOS!$P$3,tabela_registros[CATEGORIA],despesafixaconsolidadodez[[#This Row],[DESPESA FIXA]])</f>
        <v>0</v>
      </c>
      <c r="F41" s="119" t="n">
        <f aca="false">SUMIFS(tabela_registros[VALOR],tabela_registros[MÊS],$AE$1,tabela_registros[DIA],deztotal3059718395107119131143155167[[#Headers],[2]],tabela_registros[REGISTRO],DADOS!$N$4,tabela_registros[TIPO],DADOS!$P$3,tabela_registros[CATEGORIA],despesafixaconsolidadodez[[#This Row],[DESPESA FIXA]])</f>
        <v>0</v>
      </c>
      <c r="G41" s="119" t="n">
        <f aca="false">SUMIFS(tabela_registros[VALOR],tabela_registros[MÊS],$AE$1,tabela_registros[DIA],deztotal3059718395107119131143155167[[#Headers],[3]],tabela_registros[REGISTRO],DADOS!$N$4,tabela_registros[TIPO],DADOS!$P$3,tabela_registros[CATEGORIA],despesafixaconsolidadodez[[#This Row],[DESPESA FIXA]])</f>
        <v>0</v>
      </c>
      <c r="H41" s="119" t="n">
        <f aca="false">SUMIFS(tabela_registros[VALOR],tabela_registros[MÊS],$AE$1,tabela_registros[DIA],deztotal3059718395107119131143155167[[#Headers],[4]],tabela_registros[REGISTRO],DADOS!$N$4,tabela_registros[TIPO],DADOS!$P$3,tabela_registros[CATEGORIA],despesafixaconsolidadodez[[#This Row],[DESPESA FIXA]])</f>
        <v>0</v>
      </c>
      <c r="I41" s="119" t="n">
        <f aca="false">SUMIFS(tabela_registros[VALOR],tabela_registros[MÊS],$AE$1,tabela_registros[DIA],deztotal3059718395107119131143155167[[#Headers],[5]],tabela_registros[REGISTRO],DADOS!$N$4,tabela_registros[TIPO],DADOS!$P$3,tabela_registros[CATEGORIA],despesafixaconsolidadodez[[#This Row],[DESPESA FIXA]])</f>
        <v>0</v>
      </c>
      <c r="J41" s="119" t="n">
        <f aca="false">SUMIFS(tabela_registros[VALOR],tabela_registros[MÊS],$AE$1,tabela_registros[DIA],deztotal3059718395107119131143155167[[#Headers],[6]],tabela_registros[REGISTRO],DADOS!$N$4,tabela_registros[TIPO],DADOS!$P$3,tabela_registros[CATEGORIA],despesafixaconsolidadodez[[#This Row],[DESPESA FIXA]])</f>
        <v>0</v>
      </c>
      <c r="K41" s="119" t="n">
        <f aca="false">SUMIFS(tabela_registros[VALOR],tabela_registros[MÊS],$AE$1,tabela_registros[DIA],deztotal3059718395107119131143155167[[#Headers],[7]],tabela_registros[REGISTRO],DADOS!$N$4,tabela_registros[TIPO],DADOS!$P$3,tabela_registros[CATEGORIA],despesafixaconsolidadodez[[#This Row],[DESPESA FIXA]])</f>
        <v>0</v>
      </c>
      <c r="L41" s="119" t="n">
        <f aca="false">SUMIFS(tabela_registros[VALOR],tabela_registros[MÊS],$AE$1,tabela_registros[DIA],deztotal3059718395107119131143155167[[#Headers],[8]],tabela_registros[REGISTRO],DADOS!$N$4,tabela_registros[TIPO],DADOS!$P$3,tabela_registros[CATEGORIA],despesafixaconsolidadodez[[#This Row],[DESPESA FIXA]])</f>
        <v>0</v>
      </c>
      <c r="M41" s="119" t="n">
        <f aca="false">SUMIFS(tabela_registros[VALOR],tabela_registros[MÊS],$AE$1,tabela_registros[DIA],deztotal3059718395107119131143155167[[#Headers],[9]],tabela_registros[REGISTRO],DADOS!$N$4,tabela_registros[TIPO],DADOS!$P$3,tabela_registros[CATEGORIA],despesafixaconsolidadodez[[#This Row],[DESPESA FIXA]])</f>
        <v>0</v>
      </c>
      <c r="N41" s="119" t="n">
        <f aca="false">SUMIFS(tabela_registros[VALOR],tabela_registros[MÊS],$AE$1,tabela_registros[DIA],deztotal3059718395107119131143155167[[#Headers],[10]],tabela_registros[REGISTRO],DADOS!$N$4,tabela_registros[TIPO],DADOS!$P$3,tabela_registros[CATEGORIA],despesafixaconsolidadodez[[#This Row],[DESPESA FIXA]])</f>
        <v>0</v>
      </c>
      <c r="O41" s="119" t="n">
        <f aca="false">SUMIFS(tabela_registros[VALOR],tabela_registros[MÊS],$AE$1,tabela_registros[DIA],deztotal3059718395107119131143155167[[#Headers],[11]],tabela_registros[REGISTRO],DADOS!$N$4,tabela_registros[TIPO],DADOS!$P$3,tabela_registros[CATEGORIA],despesafixaconsolidadodez[[#This Row],[DESPESA FIXA]])</f>
        <v>0</v>
      </c>
      <c r="P41" s="119" t="n">
        <f aca="false">SUMIFS(tabela_registros[VALOR],tabela_registros[MÊS],$AE$1,tabela_registros[DIA],deztotal3059718395107119131143155167[[#Headers],[12]],tabela_registros[REGISTRO],DADOS!$N$4,tabela_registros[TIPO],DADOS!$P$3,tabela_registros[CATEGORIA],despesafixaconsolidadodez[[#This Row],[DESPESA FIXA]])</f>
        <v>0</v>
      </c>
      <c r="Q41" s="119" t="n">
        <f aca="false">SUMIFS(tabela_registros[VALOR],tabela_registros[MÊS],$AE$1,tabela_registros[DIA],deztotal3059718395107119131143155167[[#Headers],[13]],tabela_registros[REGISTRO],DADOS!$N$4,tabela_registros[TIPO],DADOS!$P$3,tabela_registros[CATEGORIA],despesafixaconsolidadodez[[#This Row],[DESPESA FIXA]])</f>
        <v>0</v>
      </c>
      <c r="R41" s="119" t="n">
        <f aca="false">SUMIFS(tabela_registros[VALOR],tabela_registros[MÊS],$AE$1,tabela_registros[DIA],deztotal3059718395107119131143155167[[#Headers],[14]],tabela_registros[REGISTRO],DADOS!$N$4,tabela_registros[TIPO],DADOS!$P$3,tabela_registros[CATEGORIA],despesafixaconsolidadodez[[#This Row],[DESPESA FIXA]])</f>
        <v>0</v>
      </c>
      <c r="S41" s="119" t="n">
        <f aca="false">SUMIFS(tabela_registros[VALOR],tabela_registros[MÊS],$AE$1,tabela_registros[DIA],deztotal3059718395107119131143155167[[#Headers],[15]],tabela_registros[REGISTRO],DADOS!$N$4,tabela_registros[TIPO],DADOS!$P$3,tabela_registros[CATEGORIA],despesafixaconsolidadodez[[#This Row],[DESPESA FIXA]])</f>
        <v>0</v>
      </c>
      <c r="T41" s="119" t="n">
        <f aca="false">SUMIFS(tabela_registros[VALOR],tabela_registros[MÊS],$AE$1,tabela_registros[DIA],deztotal3059718395107119131143155167[[#Headers],[16]],tabela_registros[REGISTRO],DADOS!$N$4,tabela_registros[TIPO],DADOS!$P$3,tabela_registros[CATEGORIA],despesafixaconsolidadodez[[#This Row],[DESPESA FIXA]])</f>
        <v>0</v>
      </c>
      <c r="U41" s="119" t="n">
        <f aca="false">SUMIFS(tabela_registros[VALOR],tabela_registros[MÊS],$AE$1,tabela_registros[DIA],deztotal3059718395107119131143155167[[#Headers],[17]],tabela_registros[REGISTRO],DADOS!$N$4,tabela_registros[TIPO],DADOS!$P$3,tabela_registros[CATEGORIA],despesafixaconsolidadodez[[#This Row],[DESPESA FIXA]])</f>
        <v>0</v>
      </c>
      <c r="V41" s="119" t="n">
        <f aca="false">SUMIFS(tabela_registros[VALOR],tabela_registros[MÊS],$AE$1,tabela_registros[DIA],deztotal3059718395107119131143155167[[#Headers],[18]],tabela_registros[REGISTRO],DADOS!$N$4,tabela_registros[TIPO],DADOS!$P$3,tabela_registros[CATEGORIA],despesafixaconsolidadodez[[#This Row],[DESPESA FIXA]])</f>
        <v>0</v>
      </c>
      <c r="W41" s="119" t="n">
        <f aca="false">SUMIFS(tabela_registros[VALOR],tabela_registros[MÊS],$AE$1,tabela_registros[DIA],deztotal3059718395107119131143155167[[#Headers],[19]],tabela_registros[REGISTRO],DADOS!$N$4,tabela_registros[TIPO],DADOS!$P$3,tabela_registros[CATEGORIA],despesafixaconsolidadodez[[#This Row],[DESPESA FIXA]])</f>
        <v>0</v>
      </c>
      <c r="X41" s="119" t="n">
        <f aca="false">SUMIFS(tabela_registros[VALOR],tabela_registros[MÊS],$AE$1,tabela_registros[DIA],deztotal3059718395107119131143155167[[#Headers],[20]],tabela_registros[REGISTRO],DADOS!$N$4,tabela_registros[TIPO],DADOS!$P$3,tabela_registros[CATEGORIA],despesafixaconsolidadodez[[#This Row],[DESPESA FIXA]])</f>
        <v>0</v>
      </c>
      <c r="Y41" s="119" t="n">
        <f aca="false">SUMIFS(tabela_registros[VALOR],tabela_registros[MÊS],$AE$1,tabela_registros[DIA],deztotal3059718395107119131143155167[[#Headers],[21]],tabela_registros[REGISTRO],DADOS!$N$4,tabela_registros[TIPO],DADOS!$P$3,tabela_registros[CATEGORIA],despesafixaconsolidadodez[[#This Row],[DESPESA FIXA]])</f>
        <v>0</v>
      </c>
      <c r="Z41" s="119" t="n">
        <f aca="false">SUMIFS(tabela_registros[VALOR],tabela_registros[MÊS],$AE$1,tabela_registros[DIA],deztotal3059718395107119131143155167[[#Headers],[22]],tabela_registros[REGISTRO],DADOS!$N$4,tabela_registros[TIPO],DADOS!$P$3,tabela_registros[CATEGORIA],despesafixaconsolidadodez[[#This Row],[DESPESA FIXA]])</f>
        <v>0</v>
      </c>
      <c r="AA41" s="119" t="n">
        <f aca="false">SUMIFS(tabela_registros[VALOR],tabela_registros[MÊS],$AE$1,tabela_registros[DIA],deztotal3059718395107119131143155167[[#Headers],[23]],tabela_registros[REGISTRO],DADOS!$N$4,tabela_registros[TIPO],DADOS!$P$3,tabela_registros[CATEGORIA],despesafixaconsolidadodez[[#This Row],[DESPESA FIXA]])</f>
        <v>0</v>
      </c>
      <c r="AB41" s="119" t="n">
        <f aca="false">SUMIFS(tabela_registros[VALOR],tabela_registros[MÊS],$AE$1,tabela_registros[DIA],deztotal3059718395107119131143155167[[#Headers],[24]],tabela_registros[REGISTRO],DADOS!$N$4,tabela_registros[TIPO],DADOS!$P$3,tabela_registros[CATEGORIA],despesafixaconsolidadodez[[#This Row],[DESPESA FIXA]])</f>
        <v>0</v>
      </c>
      <c r="AC41" s="119" t="n">
        <f aca="false">SUMIFS(tabela_registros[VALOR],tabela_registros[MÊS],$AE$1,tabela_registros[DIA],deztotal3059718395107119131143155167[[#Headers],[25]],tabela_registros[REGISTRO],DADOS!$N$4,tabela_registros[TIPO],DADOS!$P$3,tabela_registros[CATEGORIA],despesafixaconsolidadodez[[#This Row],[DESPESA FIXA]])</f>
        <v>0</v>
      </c>
      <c r="AD41" s="119" t="n">
        <f aca="false">SUMIFS(tabela_registros[VALOR],tabela_registros[MÊS],$AE$1,tabela_registros[DIA],deztotal3059718395107119131143155167[[#Headers],[26]],tabela_registros[REGISTRO],DADOS!$N$4,tabela_registros[TIPO],DADOS!$P$3,tabela_registros[CATEGORIA],despesafixaconsolidadodez[[#This Row],[DESPESA FIXA]])</f>
        <v>0</v>
      </c>
      <c r="AE41" s="119" t="n">
        <f aca="false">SUMIFS(tabela_registros[VALOR],tabela_registros[MÊS],$AE$1,tabela_registros[DIA],deztotal3059718395107119131143155167[[#Headers],[27]],tabela_registros[REGISTRO],DADOS!$N$4,tabela_registros[TIPO],DADOS!$P$3,tabela_registros[CATEGORIA],despesafixaconsolidadodez[[#This Row],[DESPESA FIXA]])</f>
        <v>0</v>
      </c>
      <c r="AF41" s="119" t="n">
        <f aca="false">SUMIFS(tabela_registros[VALOR],tabela_registros[MÊS],$AE$1,tabela_registros[DIA],deztotal3059718395107119131143155167[[#Headers],[28]],tabela_registros[REGISTRO],DADOS!$N$4,tabela_registros[TIPO],DADOS!$P$3,tabela_registros[CATEGORIA],despesafixaconsolidadodez[[#This Row],[DESPESA FIXA]])</f>
        <v>0</v>
      </c>
      <c r="AG41" s="119" t="n">
        <f aca="false">SUMIFS(tabela_registros[VALOR],tabela_registros[MÊS],$AE$1,tabela_registros[DIA],deztotal3059718395107119131143155167[[#Headers],[29]],tabela_registros[REGISTRO],DADOS!$N$4,tabela_registros[TIPO],DADOS!$P$3,tabela_registros[CATEGORIA],despesafixaconsolidadodez[[#This Row],[DESPESA FIXA]])</f>
        <v>0</v>
      </c>
      <c r="AH41" s="119" t="n">
        <f aca="false">SUMIFS(tabela_registros[VALOR],tabela_registros[MÊS],$AE$1,tabela_registros[DIA],deztotal3059718395107119131143155167[[#Headers],[30]],tabela_registros[REGISTRO],DADOS!$N$4,tabela_registros[TIPO],DADOS!$P$3,tabela_registros[CATEGORIA],despesafixaconsolidadodez[[#This Row],[DESPESA FIXA]])</f>
        <v>0</v>
      </c>
      <c r="AI41" s="217" t="n">
        <f aca="false">SUMIFS(tabela_registros[VALOR],tabela_registros[MÊS],$AE$1,tabela_registros[DIA],deztotal3059718395107119131143155167[[#Headers],[31]],tabela_registros[REGISTRO],DADOS!$N$4,tabela_registros[TIPO],DADOS!$P$3,tabela_registros[CATEGORIA],despesafixaconsolidadodez[[#This Row],[DESPESA FIXA]])</f>
        <v>0</v>
      </c>
      <c r="AJ41" s="149" t="n">
        <f aca="false">SUM(despesafixaconsolidadodez[[#This Row],[1]:[31]])</f>
        <v>0</v>
      </c>
      <c r="AK41" s="143"/>
    </row>
    <row r="42" customFormat="false" ht="18" hidden="false" customHeight="true" outlineLevel="0" collapsed="false">
      <c r="B42" s="143"/>
      <c r="C42" s="144" t="str">
        <f aca="false">DADOS!$R$8</f>
        <v>🏦 EMPRÉSTIMO</v>
      </c>
      <c r="D42" s="145" t="str">
        <f aca="false">IF(despesafixaconsolidadodez[[#This Row],[TOTAL]]=0,"",IF(OR(despesafixaconsolidadodez[[#This Row],[TOTAL]]=LARGE($AJ$37:$AJ$50,1),despesafixaconsolidadodez[[#This Row],[TOTAL]]=LARGE($AJ$37:$AJ$50,2),despesafixaconsolidadodez[[#This Row],[TOTAL]]=LARGE($AJ$37:$AJ$50,3),despesafixaconsolidadodez[[#This Row],[TOTAL]]=LARGE($AJ$37:$AJ$50,4),despesafixaconsolidadodez[[#This Row],[TOTAL]]=LARGE($AJ$37:$AJ$50,5)),DADOS!$I$8,""))</f>
        <v/>
      </c>
      <c r="E42" s="148" t="n">
        <f aca="false">SUMIFS(tabela_registros[VALOR],tabela_registros[MÊS],$AE$1,tabela_registros[DIA],deztotal3059718395107119131143155167[[#Headers],[1]],tabela_registros[REGISTRO],DADOS!$N$4,tabela_registros[TIPO],DADOS!$P$3,tabela_registros[CATEGORIA],despesafixaconsolidadodez[[#This Row],[DESPESA FIXA]])</f>
        <v>0</v>
      </c>
      <c r="F42" s="119" t="n">
        <f aca="false">SUMIFS(tabela_registros[VALOR],tabela_registros[MÊS],$AE$1,tabela_registros[DIA],deztotal3059718395107119131143155167[[#Headers],[2]],tabela_registros[REGISTRO],DADOS!$N$4,tabela_registros[TIPO],DADOS!$P$3,tabela_registros[CATEGORIA],despesafixaconsolidadodez[[#This Row],[DESPESA FIXA]])</f>
        <v>0</v>
      </c>
      <c r="G42" s="119" t="n">
        <f aca="false">SUMIFS(tabela_registros[VALOR],tabela_registros[MÊS],$AE$1,tabela_registros[DIA],deztotal3059718395107119131143155167[[#Headers],[3]],tabela_registros[REGISTRO],DADOS!$N$4,tabela_registros[TIPO],DADOS!$P$3,tabela_registros[CATEGORIA],despesafixaconsolidadodez[[#This Row],[DESPESA FIXA]])</f>
        <v>0</v>
      </c>
      <c r="H42" s="119" t="n">
        <f aca="false">SUMIFS(tabela_registros[VALOR],tabela_registros[MÊS],$AE$1,tabela_registros[DIA],deztotal3059718395107119131143155167[[#Headers],[4]],tabela_registros[REGISTRO],DADOS!$N$4,tabela_registros[TIPO],DADOS!$P$3,tabela_registros[CATEGORIA],despesafixaconsolidadodez[[#This Row],[DESPESA FIXA]])</f>
        <v>0</v>
      </c>
      <c r="I42" s="119" t="n">
        <f aca="false">SUMIFS(tabela_registros[VALOR],tabela_registros[MÊS],$AE$1,tabela_registros[DIA],deztotal3059718395107119131143155167[[#Headers],[5]],tabela_registros[REGISTRO],DADOS!$N$4,tabela_registros[TIPO],DADOS!$P$3,tabela_registros[CATEGORIA],despesafixaconsolidadodez[[#This Row],[DESPESA FIXA]])</f>
        <v>0</v>
      </c>
      <c r="J42" s="119" t="n">
        <f aca="false">SUMIFS(tabela_registros[VALOR],tabela_registros[MÊS],$AE$1,tabela_registros[DIA],deztotal3059718395107119131143155167[[#Headers],[6]],tabela_registros[REGISTRO],DADOS!$N$4,tabela_registros[TIPO],DADOS!$P$3,tabela_registros[CATEGORIA],despesafixaconsolidadodez[[#This Row],[DESPESA FIXA]])</f>
        <v>0</v>
      </c>
      <c r="K42" s="119" t="n">
        <f aca="false">SUMIFS(tabela_registros[VALOR],tabela_registros[MÊS],$AE$1,tabela_registros[DIA],deztotal3059718395107119131143155167[[#Headers],[7]],tabela_registros[REGISTRO],DADOS!$N$4,tabela_registros[TIPO],DADOS!$P$3,tabela_registros[CATEGORIA],despesafixaconsolidadodez[[#This Row],[DESPESA FIXA]])</f>
        <v>0</v>
      </c>
      <c r="L42" s="119" t="n">
        <f aca="false">SUMIFS(tabela_registros[VALOR],tabela_registros[MÊS],$AE$1,tabela_registros[DIA],deztotal3059718395107119131143155167[[#Headers],[8]],tabela_registros[REGISTRO],DADOS!$N$4,tabela_registros[TIPO],DADOS!$P$3,tabela_registros[CATEGORIA],despesafixaconsolidadodez[[#This Row],[DESPESA FIXA]])</f>
        <v>0</v>
      </c>
      <c r="M42" s="119" t="n">
        <f aca="false">SUMIFS(tabela_registros[VALOR],tabela_registros[MÊS],$AE$1,tabela_registros[DIA],deztotal3059718395107119131143155167[[#Headers],[9]],tabela_registros[REGISTRO],DADOS!$N$4,tabela_registros[TIPO],DADOS!$P$3,tabela_registros[CATEGORIA],despesafixaconsolidadodez[[#This Row],[DESPESA FIXA]])</f>
        <v>0</v>
      </c>
      <c r="N42" s="119" t="n">
        <f aca="false">SUMIFS(tabela_registros[VALOR],tabela_registros[MÊS],$AE$1,tabela_registros[DIA],deztotal3059718395107119131143155167[[#Headers],[10]],tabela_registros[REGISTRO],DADOS!$N$4,tabela_registros[TIPO],DADOS!$P$3,tabela_registros[CATEGORIA],despesafixaconsolidadodez[[#This Row],[DESPESA FIXA]])</f>
        <v>0</v>
      </c>
      <c r="O42" s="119" t="n">
        <f aca="false">SUMIFS(tabela_registros[VALOR],tabela_registros[MÊS],$AE$1,tabela_registros[DIA],deztotal3059718395107119131143155167[[#Headers],[11]],tabela_registros[REGISTRO],DADOS!$N$4,tabela_registros[TIPO],DADOS!$P$3,tabela_registros[CATEGORIA],despesafixaconsolidadodez[[#This Row],[DESPESA FIXA]])</f>
        <v>0</v>
      </c>
      <c r="P42" s="119" t="n">
        <f aca="false">SUMIFS(tabela_registros[VALOR],tabela_registros[MÊS],$AE$1,tabela_registros[DIA],deztotal3059718395107119131143155167[[#Headers],[12]],tabela_registros[REGISTRO],DADOS!$N$4,tabela_registros[TIPO],DADOS!$P$3,tabela_registros[CATEGORIA],despesafixaconsolidadodez[[#This Row],[DESPESA FIXA]])</f>
        <v>0</v>
      </c>
      <c r="Q42" s="119" t="n">
        <f aca="false">SUMIFS(tabela_registros[VALOR],tabela_registros[MÊS],$AE$1,tabela_registros[DIA],deztotal3059718395107119131143155167[[#Headers],[13]],tabela_registros[REGISTRO],DADOS!$N$4,tabela_registros[TIPO],DADOS!$P$3,tabela_registros[CATEGORIA],despesafixaconsolidadodez[[#This Row],[DESPESA FIXA]])</f>
        <v>0</v>
      </c>
      <c r="R42" s="119" t="n">
        <f aca="false">SUMIFS(tabela_registros[VALOR],tabela_registros[MÊS],$AE$1,tabela_registros[DIA],deztotal3059718395107119131143155167[[#Headers],[14]],tabela_registros[REGISTRO],DADOS!$N$4,tabela_registros[TIPO],DADOS!$P$3,tabela_registros[CATEGORIA],despesafixaconsolidadodez[[#This Row],[DESPESA FIXA]])</f>
        <v>0</v>
      </c>
      <c r="S42" s="119" t="n">
        <f aca="false">SUMIFS(tabela_registros[VALOR],tabela_registros[MÊS],$AE$1,tabela_registros[DIA],deztotal3059718395107119131143155167[[#Headers],[15]],tabela_registros[REGISTRO],DADOS!$N$4,tabela_registros[TIPO],DADOS!$P$3,tabela_registros[CATEGORIA],despesafixaconsolidadodez[[#This Row],[DESPESA FIXA]])</f>
        <v>0</v>
      </c>
      <c r="T42" s="119" t="n">
        <f aca="false">SUMIFS(tabela_registros[VALOR],tabela_registros[MÊS],$AE$1,tabela_registros[DIA],deztotal3059718395107119131143155167[[#Headers],[16]],tabela_registros[REGISTRO],DADOS!$N$4,tabela_registros[TIPO],DADOS!$P$3,tabela_registros[CATEGORIA],despesafixaconsolidadodez[[#This Row],[DESPESA FIXA]])</f>
        <v>0</v>
      </c>
      <c r="U42" s="119" t="n">
        <f aca="false">SUMIFS(tabela_registros[VALOR],tabela_registros[MÊS],$AE$1,tabela_registros[DIA],deztotal3059718395107119131143155167[[#Headers],[17]],tabela_registros[REGISTRO],DADOS!$N$4,tabela_registros[TIPO],DADOS!$P$3,tabela_registros[CATEGORIA],despesafixaconsolidadodez[[#This Row],[DESPESA FIXA]])</f>
        <v>0</v>
      </c>
      <c r="V42" s="119" t="n">
        <f aca="false">SUMIFS(tabela_registros[VALOR],tabela_registros[MÊS],$AE$1,tabela_registros[DIA],deztotal3059718395107119131143155167[[#Headers],[18]],tabela_registros[REGISTRO],DADOS!$N$4,tabela_registros[TIPO],DADOS!$P$3,tabela_registros[CATEGORIA],despesafixaconsolidadodez[[#This Row],[DESPESA FIXA]])</f>
        <v>0</v>
      </c>
      <c r="W42" s="119" t="n">
        <f aca="false">SUMIFS(tabela_registros[VALOR],tabela_registros[MÊS],$AE$1,tabela_registros[DIA],deztotal3059718395107119131143155167[[#Headers],[19]],tabela_registros[REGISTRO],DADOS!$N$4,tabela_registros[TIPO],DADOS!$P$3,tabela_registros[CATEGORIA],despesafixaconsolidadodez[[#This Row],[DESPESA FIXA]])</f>
        <v>0</v>
      </c>
      <c r="X42" s="119" t="n">
        <f aca="false">SUMIFS(tabela_registros[VALOR],tabela_registros[MÊS],$AE$1,tabela_registros[DIA],deztotal3059718395107119131143155167[[#Headers],[20]],tabela_registros[REGISTRO],DADOS!$N$4,tabela_registros[TIPO],DADOS!$P$3,tabela_registros[CATEGORIA],despesafixaconsolidadodez[[#This Row],[DESPESA FIXA]])</f>
        <v>0</v>
      </c>
      <c r="Y42" s="119" t="n">
        <f aca="false">SUMIFS(tabela_registros[VALOR],tabela_registros[MÊS],$AE$1,tabela_registros[DIA],deztotal3059718395107119131143155167[[#Headers],[21]],tabela_registros[REGISTRO],DADOS!$N$4,tabela_registros[TIPO],DADOS!$P$3,tabela_registros[CATEGORIA],despesafixaconsolidadodez[[#This Row],[DESPESA FIXA]])</f>
        <v>0</v>
      </c>
      <c r="Z42" s="119" t="n">
        <f aca="false">SUMIFS(tabela_registros[VALOR],tabela_registros[MÊS],$AE$1,tabela_registros[DIA],deztotal3059718395107119131143155167[[#Headers],[22]],tabela_registros[REGISTRO],DADOS!$N$4,tabela_registros[TIPO],DADOS!$P$3,tabela_registros[CATEGORIA],despesafixaconsolidadodez[[#This Row],[DESPESA FIXA]])</f>
        <v>0</v>
      </c>
      <c r="AA42" s="119" t="n">
        <f aca="false">SUMIFS(tabela_registros[VALOR],tabela_registros[MÊS],$AE$1,tabela_registros[DIA],deztotal3059718395107119131143155167[[#Headers],[23]],tabela_registros[REGISTRO],DADOS!$N$4,tabela_registros[TIPO],DADOS!$P$3,tabela_registros[CATEGORIA],despesafixaconsolidadodez[[#This Row],[DESPESA FIXA]])</f>
        <v>0</v>
      </c>
      <c r="AB42" s="119" t="n">
        <f aca="false">SUMIFS(tabela_registros[VALOR],tabela_registros[MÊS],$AE$1,tabela_registros[DIA],deztotal3059718395107119131143155167[[#Headers],[24]],tabela_registros[REGISTRO],DADOS!$N$4,tabela_registros[TIPO],DADOS!$P$3,tabela_registros[CATEGORIA],despesafixaconsolidadodez[[#This Row],[DESPESA FIXA]])</f>
        <v>0</v>
      </c>
      <c r="AC42" s="119" t="n">
        <f aca="false">SUMIFS(tabela_registros[VALOR],tabela_registros[MÊS],$AE$1,tabela_registros[DIA],deztotal3059718395107119131143155167[[#Headers],[25]],tabela_registros[REGISTRO],DADOS!$N$4,tabela_registros[TIPO],DADOS!$P$3,tabela_registros[CATEGORIA],despesafixaconsolidadodez[[#This Row],[DESPESA FIXA]])</f>
        <v>0</v>
      </c>
      <c r="AD42" s="119" t="n">
        <f aca="false">SUMIFS(tabela_registros[VALOR],tabela_registros[MÊS],$AE$1,tabela_registros[DIA],deztotal3059718395107119131143155167[[#Headers],[26]],tabela_registros[REGISTRO],DADOS!$N$4,tabela_registros[TIPO],DADOS!$P$3,tabela_registros[CATEGORIA],despesafixaconsolidadodez[[#This Row],[DESPESA FIXA]])</f>
        <v>0</v>
      </c>
      <c r="AE42" s="119" t="n">
        <f aca="false">SUMIFS(tabela_registros[VALOR],tabela_registros[MÊS],$AE$1,tabela_registros[DIA],deztotal3059718395107119131143155167[[#Headers],[27]],tabela_registros[REGISTRO],DADOS!$N$4,tabela_registros[TIPO],DADOS!$P$3,tabela_registros[CATEGORIA],despesafixaconsolidadodez[[#This Row],[DESPESA FIXA]])</f>
        <v>0</v>
      </c>
      <c r="AF42" s="119" t="n">
        <f aca="false">SUMIFS(tabela_registros[VALOR],tabela_registros[MÊS],$AE$1,tabela_registros[DIA],deztotal3059718395107119131143155167[[#Headers],[28]],tabela_registros[REGISTRO],DADOS!$N$4,tabela_registros[TIPO],DADOS!$P$3,tabela_registros[CATEGORIA],despesafixaconsolidadodez[[#This Row],[DESPESA FIXA]])</f>
        <v>0</v>
      </c>
      <c r="AG42" s="119" t="n">
        <f aca="false">SUMIFS(tabela_registros[VALOR],tabela_registros[MÊS],$AE$1,tabela_registros[DIA],deztotal3059718395107119131143155167[[#Headers],[29]],tabela_registros[REGISTRO],DADOS!$N$4,tabela_registros[TIPO],DADOS!$P$3,tabela_registros[CATEGORIA],despesafixaconsolidadodez[[#This Row],[DESPESA FIXA]])</f>
        <v>0</v>
      </c>
      <c r="AH42" s="119" t="n">
        <f aca="false">SUMIFS(tabela_registros[VALOR],tabela_registros[MÊS],$AE$1,tabela_registros[DIA],deztotal3059718395107119131143155167[[#Headers],[30]],tabela_registros[REGISTRO],DADOS!$N$4,tabela_registros[TIPO],DADOS!$P$3,tabela_registros[CATEGORIA],despesafixaconsolidadodez[[#This Row],[DESPESA FIXA]])</f>
        <v>0</v>
      </c>
      <c r="AI42" s="217" t="n">
        <f aca="false">SUMIFS(tabela_registros[VALOR],tabela_registros[MÊS],$AE$1,tabela_registros[DIA],deztotal3059718395107119131143155167[[#Headers],[31]],tabela_registros[REGISTRO],DADOS!$N$4,tabela_registros[TIPO],DADOS!$P$3,tabela_registros[CATEGORIA],despesafixaconsolidadodez[[#This Row],[DESPESA FIXA]])</f>
        <v>0</v>
      </c>
      <c r="AJ42" s="149" t="n">
        <f aca="false">SUM(despesafixaconsolidadodez[[#This Row],[1]:[31]])</f>
        <v>0</v>
      </c>
      <c r="AK42" s="143"/>
    </row>
    <row r="43" customFormat="false" ht="18" hidden="false" customHeight="true" outlineLevel="0" collapsed="false">
      <c r="B43" s="143"/>
      <c r="C43" s="144" t="str">
        <f aca="false">DADOS!$R$9</f>
        <v>💡 ENERGIA</v>
      </c>
      <c r="D43" s="145" t="str">
        <f aca="false">IF(despesafixaconsolidadodez[[#This Row],[TOTAL]]=0,"",IF(OR(despesafixaconsolidadodez[[#This Row],[TOTAL]]=LARGE($AJ$37:$AJ$50,1),despesafixaconsolidadodez[[#This Row],[TOTAL]]=LARGE($AJ$37:$AJ$50,2),despesafixaconsolidadodez[[#This Row],[TOTAL]]=LARGE($AJ$37:$AJ$50,3),despesafixaconsolidadodez[[#This Row],[TOTAL]]=LARGE($AJ$37:$AJ$50,4),despesafixaconsolidadodez[[#This Row],[TOTAL]]=LARGE($AJ$37:$AJ$50,5)),DADOS!$I$8,""))</f>
        <v/>
      </c>
      <c r="E43" s="148" t="n">
        <f aca="false">SUMIFS(tabela_registros[VALOR],tabela_registros[MÊS],$AE$1,tabela_registros[DIA],deztotal3059718395107119131143155167[[#Headers],[1]],tabela_registros[REGISTRO],DADOS!$N$4,tabela_registros[TIPO],DADOS!$P$3,tabela_registros[CATEGORIA],despesafixaconsolidadodez[[#This Row],[DESPESA FIXA]])</f>
        <v>0</v>
      </c>
      <c r="F43" s="119" t="n">
        <f aca="false">SUMIFS(tabela_registros[VALOR],tabela_registros[MÊS],$AE$1,tabela_registros[DIA],deztotal3059718395107119131143155167[[#Headers],[2]],tabela_registros[REGISTRO],DADOS!$N$4,tabela_registros[TIPO],DADOS!$P$3,tabela_registros[CATEGORIA],despesafixaconsolidadodez[[#This Row],[DESPESA FIXA]])</f>
        <v>0</v>
      </c>
      <c r="G43" s="119" t="n">
        <f aca="false">SUMIFS(tabela_registros[VALOR],tabela_registros[MÊS],$AE$1,tabela_registros[DIA],deztotal3059718395107119131143155167[[#Headers],[3]],tabela_registros[REGISTRO],DADOS!$N$4,tabela_registros[TIPO],DADOS!$P$3,tabela_registros[CATEGORIA],despesafixaconsolidadodez[[#This Row],[DESPESA FIXA]])</f>
        <v>0</v>
      </c>
      <c r="H43" s="119" t="n">
        <f aca="false">SUMIFS(tabela_registros[VALOR],tabela_registros[MÊS],$AE$1,tabela_registros[DIA],deztotal3059718395107119131143155167[[#Headers],[4]],tabela_registros[REGISTRO],DADOS!$N$4,tabela_registros[TIPO],DADOS!$P$3,tabela_registros[CATEGORIA],despesafixaconsolidadodez[[#This Row],[DESPESA FIXA]])</f>
        <v>0</v>
      </c>
      <c r="I43" s="119" t="n">
        <f aca="false">SUMIFS(tabela_registros[VALOR],tabela_registros[MÊS],$AE$1,tabela_registros[DIA],deztotal3059718395107119131143155167[[#Headers],[5]],tabela_registros[REGISTRO],DADOS!$N$4,tabela_registros[TIPO],DADOS!$P$3,tabela_registros[CATEGORIA],despesafixaconsolidadodez[[#This Row],[DESPESA FIXA]])</f>
        <v>0</v>
      </c>
      <c r="J43" s="119" t="n">
        <f aca="false">SUMIFS(tabela_registros[VALOR],tabela_registros[MÊS],$AE$1,tabela_registros[DIA],deztotal3059718395107119131143155167[[#Headers],[6]],tabela_registros[REGISTRO],DADOS!$N$4,tabela_registros[TIPO],DADOS!$P$3,tabela_registros[CATEGORIA],despesafixaconsolidadodez[[#This Row],[DESPESA FIXA]])</f>
        <v>0</v>
      </c>
      <c r="K43" s="119" t="n">
        <f aca="false">SUMIFS(tabela_registros[VALOR],tabela_registros[MÊS],$AE$1,tabela_registros[DIA],deztotal3059718395107119131143155167[[#Headers],[7]],tabela_registros[REGISTRO],DADOS!$N$4,tabela_registros[TIPO],DADOS!$P$3,tabela_registros[CATEGORIA],despesafixaconsolidadodez[[#This Row],[DESPESA FIXA]])</f>
        <v>0</v>
      </c>
      <c r="L43" s="119" t="n">
        <f aca="false">SUMIFS(tabela_registros[VALOR],tabela_registros[MÊS],$AE$1,tabela_registros[DIA],deztotal3059718395107119131143155167[[#Headers],[8]],tabela_registros[REGISTRO],DADOS!$N$4,tabela_registros[TIPO],DADOS!$P$3,tabela_registros[CATEGORIA],despesafixaconsolidadodez[[#This Row],[DESPESA FIXA]])</f>
        <v>0</v>
      </c>
      <c r="M43" s="119" t="n">
        <f aca="false">SUMIFS(tabela_registros[VALOR],tabela_registros[MÊS],$AE$1,tabela_registros[DIA],deztotal3059718395107119131143155167[[#Headers],[9]],tabela_registros[REGISTRO],DADOS!$N$4,tabela_registros[TIPO],DADOS!$P$3,tabela_registros[CATEGORIA],despesafixaconsolidadodez[[#This Row],[DESPESA FIXA]])</f>
        <v>0</v>
      </c>
      <c r="N43" s="119" t="n">
        <f aca="false">SUMIFS(tabela_registros[VALOR],tabela_registros[MÊS],$AE$1,tabela_registros[DIA],deztotal3059718395107119131143155167[[#Headers],[10]],tabela_registros[REGISTRO],DADOS!$N$4,tabela_registros[TIPO],DADOS!$P$3,tabela_registros[CATEGORIA],despesafixaconsolidadodez[[#This Row],[DESPESA FIXA]])</f>
        <v>0</v>
      </c>
      <c r="O43" s="119" t="n">
        <f aca="false">SUMIFS(tabela_registros[VALOR],tabela_registros[MÊS],$AE$1,tabela_registros[DIA],deztotal3059718395107119131143155167[[#Headers],[11]],tabela_registros[REGISTRO],DADOS!$N$4,tabela_registros[TIPO],DADOS!$P$3,tabela_registros[CATEGORIA],despesafixaconsolidadodez[[#This Row],[DESPESA FIXA]])</f>
        <v>0</v>
      </c>
      <c r="P43" s="119" t="n">
        <f aca="false">SUMIFS(tabela_registros[VALOR],tabela_registros[MÊS],$AE$1,tabela_registros[DIA],deztotal3059718395107119131143155167[[#Headers],[12]],tabela_registros[REGISTRO],DADOS!$N$4,tabela_registros[TIPO],DADOS!$P$3,tabela_registros[CATEGORIA],despesafixaconsolidadodez[[#This Row],[DESPESA FIXA]])</f>
        <v>0</v>
      </c>
      <c r="Q43" s="119" t="n">
        <f aca="false">SUMIFS(tabela_registros[VALOR],tabela_registros[MÊS],$AE$1,tabela_registros[DIA],deztotal3059718395107119131143155167[[#Headers],[13]],tabela_registros[REGISTRO],DADOS!$N$4,tabela_registros[TIPO],DADOS!$P$3,tabela_registros[CATEGORIA],despesafixaconsolidadodez[[#This Row],[DESPESA FIXA]])</f>
        <v>0</v>
      </c>
      <c r="R43" s="119" t="n">
        <f aca="false">SUMIFS(tabela_registros[VALOR],tabela_registros[MÊS],$AE$1,tabela_registros[DIA],deztotal3059718395107119131143155167[[#Headers],[14]],tabela_registros[REGISTRO],DADOS!$N$4,tabela_registros[TIPO],DADOS!$P$3,tabela_registros[CATEGORIA],despesafixaconsolidadodez[[#This Row],[DESPESA FIXA]])</f>
        <v>0</v>
      </c>
      <c r="S43" s="119" t="n">
        <f aca="false">SUMIFS(tabela_registros[VALOR],tabela_registros[MÊS],$AE$1,tabela_registros[DIA],deztotal3059718395107119131143155167[[#Headers],[15]],tabela_registros[REGISTRO],DADOS!$N$4,tabela_registros[TIPO],DADOS!$P$3,tabela_registros[CATEGORIA],despesafixaconsolidadodez[[#This Row],[DESPESA FIXA]])</f>
        <v>0</v>
      </c>
      <c r="T43" s="119" t="n">
        <f aca="false">SUMIFS(tabela_registros[VALOR],tabela_registros[MÊS],$AE$1,tabela_registros[DIA],deztotal3059718395107119131143155167[[#Headers],[16]],tabela_registros[REGISTRO],DADOS!$N$4,tabela_registros[TIPO],DADOS!$P$3,tabela_registros[CATEGORIA],despesafixaconsolidadodez[[#This Row],[DESPESA FIXA]])</f>
        <v>0</v>
      </c>
      <c r="U43" s="119" t="n">
        <f aca="false">SUMIFS(tabela_registros[VALOR],tabela_registros[MÊS],$AE$1,tabela_registros[DIA],deztotal3059718395107119131143155167[[#Headers],[17]],tabela_registros[REGISTRO],DADOS!$N$4,tabela_registros[TIPO],DADOS!$P$3,tabela_registros[CATEGORIA],despesafixaconsolidadodez[[#This Row],[DESPESA FIXA]])</f>
        <v>0</v>
      </c>
      <c r="V43" s="119" t="n">
        <f aca="false">SUMIFS(tabela_registros[VALOR],tabela_registros[MÊS],$AE$1,tabela_registros[DIA],deztotal3059718395107119131143155167[[#Headers],[18]],tabela_registros[REGISTRO],DADOS!$N$4,tabela_registros[TIPO],DADOS!$P$3,tabela_registros[CATEGORIA],despesafixaconsolidadodez[[#This Row],[DESPESA FIXA]])</f>
        <v>0</v>
      </c>
      <c r="W43" s="119" t="n">
        <f aca="false">SUMIFS(tabela_registros[VALOR],tabela_registros[MÊS],$AE$1,tabela_registros[DIA],deztotal3059718395107119131143155167[[#Headers],[19]],tabela_registros[REGISTRO],DADOS!$N$4,tabela_registros[TIPO],DADOS!$P$3,tabela_registros[CATEGORIA],despesafixaconsolidadodez[[#This Row],[DESPESA FIXA]])</f>
        <v>0</v>
      </c>
      <c r="X43" s="119" t="n">
        <f aca="false">SUMIFS(tabela_registros[VALOR],tabela_registros[MÊS],$AE$1,tabela_registros[DIA],deztotal3059718395107119131143155167[[#Headers],[20]],tabela_registros[REGISTRO],DADOS!$N$4,tabela_registros[TIPO],DADOS!$P$3,tabela_registros[CATEGORIA],despesafixaconsolidadodez[[#This Row],[DESPESA FIXA]])</f>
        <v>0</v>
      </c>
      <c r="Y43" s="119" t="n">
        <f aca="false">SUMIFS(tabela_registros[VALOR],tabela_registros[MÊS],$AE$1,tabela_registros[DIA],deztotal3059718395107119131143155167[[#Headers],[21]],tabela_registros[REGISTRO],DADOS!$N$4,tabela_registros[TIPO],DADOS!$P$3,tabela_registros[CATEGORIA],despesafixaconsolidadodez[[#This Row],[DESPESA FIXA]])</f>
        <v>0</v>
      </c>
      <c r="Z43" s="119" t="n">
        <f aca="false">SUMIFS(tabela_registros[VALOR],tabela_registros[MÊS],$AE$1,tabela_registros[DIA],deztotal3059718395107119131143155167[[#Headers],[22]],tabela_registros[REGISTRO],DADOS!$N$4,tabela_registros[TIPO],DADOS!$P$3,tabela_registros[CATEGORIA],despesafixaconsolidadodez[[#This Row],[DESPESA FIXA]])</f>
        <v>0</v>
      </c>
      <c r="AA43" s="119" t="n">
        <f aca="false">SUMIFS(tabela_registros[VALOR],tabela_registros[MÊS],$AE$1,tabela_registros[DIA],deztotal3059718395107119131143155167[[#Headers],[23]],tabela_registros[REGISTRO],DADOS!$N$4,tabela_registros[TIPO],DADOS!$P$3,tabela_registros[CATEGORIA],despesafixaconsolidadodez[[#This Row],[DESPESA FIXA]])</f>
        <v>0</v>
      </c>
      <c r="AB43" s="119" t="n">
        <f aca="false">SUMIFS(tabela_registros[VALOR],tabela_registros[MÊS],$AE$1,tabela_registros[DIA],deztotal3059718395107119131143155167[[#Headers],[24]],tabela_registros[REGISTRO],DADOS!$N$4,tabela_registros[TIPO],DADOS!$P$3,tabela_registros[CATEGORIA],despesafixaconsolidadodez[[#This Row],[DESPESA FIXA]])</f>
        <v>0</v>
      </c>
      <c r="AC43" s="119" t="n">
        <f aca="false">SUMIFS(tabela_registros[VALOR],tabela_registros[MÊS],$AE$1,tabela_registros[DIA],deztotal3059718395107119131143155167[[#Headers],[25]],tabela_registros[REGISTRO],DADOS!$N$4,tabela_registros[TIPO],DADOS!$P$3,tabela_registros[CATEGORIA],despesafixaconsolidadodez[[#This Row],[DESPESA FIXA]])</f>
        <v>0</v>
      </c>
      <c r="AD43" s="119" t="n">
        <f aca="false">SUMIFS(tabela_registros[VALOR],tabela_registros[MÊS],$AE$1,tabela_registros[DIA],deztotal3059718395107119131143155167[[#Headers],[26]],tabela_registros[REGISTRO],DADOS!$N$4,tabela_registros[TIPO],DADOS!$P$3,tabela_registros[CATEGORIA],despesafixaconsolidadodez[[#This Row],[DESPESA FIXA]])</f>
        <v>0</v>
      </c>
      <c r="AE43" s="119" t="n">
        <f aca="false">SUMIFS(tabela_registros[VALOR],tabela_registros[MÊS],$AE$1,tabela_registros[DIA],deztotal3059718395107119131143155167[[#Headers],[27]],tabela_registros[REGISTRO],DADOS!$N$4,tabela_registros[TIPO],DADOS!$P$3,tabela_registros[CATEGORIA],despesafixaconsolidadodez[[#This Row],[DESPESA FIXA]])</f>
        <v>0</v>
      </c>
      <c r="AF43" s="119" t="n">
        <f aca="false">SUMIFS(tabela_registros[VALOR],tabela_registros[MÊS],$AE$1,tabela_registros[DIA],deztotal3059718395107119131143155167[[#Headers],[28]],tabela_registros[REGISTRO],DADOS!$N$4,tabela_registros[TIPO],DADOS!$P$3,tabela_registros[CATEGORIA],despesafixaconsolidadodez[[#This Row],[DESPESA FIXA]])</f>
        <v>0</v>
      </c>
      <c r="AG43" s="119" t="n">
        <f aca="false">SUMIFS(tabela_registros[VALOR],tabela_registros[MÊS],$AE$1,tabela_registros[DIA],deztotal3059718395107119131143155167[[#Headers],[29]],tabela_registros[REGISTRO],DADOS!$N$4,tabela_registros[TIPO],DADOS!$P$3,tabela_registros[CATEGORIA],despesafixaconsolidadodez[[#This Row],[DESPESA FIXA]])</f>
        <v>0</v>
      </c>
      <c r="AH43" s="119" t="n">
        <f aca="false">SUMIFS(tabela_registros[VALOR],tabela_registros[MÊS],$AE$1,tabela_registros[DIA],deztotal3059718395107119131143155167[[#Headers],[30]],tabela_registros[REGISTRO],DADOS!$N$4,tabela_registros[TIPO],DADOS!$P$3,tabela_registros[CATEGORIA],despesafixaconsolidadodez[[#This Row],[DESPESA FIXA]])</f>
        <v>0</v>
      </c>
      <c r="AI43" s="217" t="n">
        <f aca="false">SUMIFS(tabela_registros[VALOR],tabela_registros[MÊS],$AE$1,tabela_registros[DIA],deztotal3059718395107119131143155167[[#Headers],[31]],tabela_registros[REGISTRO],DADOS!$N$4,tabela_registros[TIPO],DADOS!$P$3,tabela_registros[CATEGORIA],despesafixaconsolidadodez[[#This Row],[DESPESA FIXA]])</f>
        <v>0</v>
      </c>
      <c r="AJ43" s="149" t="n">
        <f aca="false">SUM(despesafixaconsolidadodez[[#This Row],[1]:[31]])</f>
        <v>0</v>
      </c>
      <c r="AK43" s="143"/>
    </row>
    <row r="44" customFormat="false" ht="18" hidden="false" customHeight="true" outlineLevel="0" collapsed="false">
      <c r="B44" s="143"/>
      <c r="C44" s="144" t="str">
        <f aca="false">DADOS!$R$10</f>
        <v>👨‍👩‍👧 FAMÍLIA</v>
      </c>
      <c r="D44" s="145" t="str">
        <f aca="false">IF(despesafixaconsolidadodez[[#This Row],[TOTAL]]=0,"",IF(OR(despesafixaconsolidadodez[[#This Row],[TOTAL]]=LARGE($AJ$37:$AJ$50,1),despesafixaconsolidadodez[[#This Row],[TOTAL]]=LARGE($AJ$37:$AJ$50,2),despesafixaconsolidadodez[[#This Row],[TOTAL]]=LARGE($AJ$37:$AJ$50,3),despesafixaconsolidadodez[[#This Row],[TOTAL]]=LARGE($AJ$37:$AJ$50,4),despesafixaconsolidadodez[[#This Row],[TOTAL]]=LARGE($AJ$37:$AJ$50,5)),DADOS!$I$8,""))</f>
        <v/>
      </c>
      <c r="E44" s="148" t="n">
        <f aca="false">SUMIFS(tabela_registros[VALOR],tabela_registros[MÊS],$AE$1,tabela_registros[DIA],deztotal3059718395107119131143155167[[#Headers],[1]],tabela_registros[REGISTRO],DADOS!$N$4,tabela_registros[TIPO],DADOS!$P$3,tabela_registros[CATEGORIA],despesafixaconsolidadodez[[#This Row],[DESPESA FIXA]])</f>
        <v>0</v>
      </c>
      <c r="F44" s="119" t="n">
        <f aca="false">SUMIFS(tabela_registros[VALOR],tabela_registros[MÊS],$AE$1,tabela_registros[DIA],deztotal3059718395107119131143155167[[#Headers],[2]],tabela_registros[REGISTRO],DADOS!$N$4,tabela_registros[TIPO],DADOS!$P$3,tabela_registros[CATEGORIA],despesafixaconsolidadodez[[#This Row],[DESPESA FIXA]])</f>
        <v>0</v>
      </c>
      <c r="G44" s="119" t="n">
        <f aca="false">SUMIFS(tabela_registros[VALOR],tabela_registros[MÊS],$AE$1,tabela_registros[DIA],deztotal3059718395107119131143155167[[#Headers],[3]],tabela_registros[REGISTRO],DADOS!$N$4,tabela_registros[TIPO],DADOS!$P$3,tabela_registros[CATEGORIA],despesafixaconsolidadodez[[#This Row],[DESPESA FIXA]])</f>
        <v>0</v>
      </c>
      <c r="H44" s="119" t="n">
        <f aca="false">SUMIFS(tabela_registros[VALOR],tabela_registros[MÊS],$AE$1,tabela_registros[DIA],deztotal3059718395107119131143155167[[#Headers],[4]],tabela_registros[REGISTRO],DADOS!$N$4,tabela_registros[TIPO],DADOS!$P$3,tabela_registros[CATEGORIA],despesafixaconsolidadodez[[#This Row],[DESPESA FIXA]])</f>
        <v>0</v>
      </c>
      <c r="I44" s="119" t="n">
        <f aca="false">SUMIFS(tabela_registros[VALOR],tabela_registros[MÊS],$AE$1,tabela_registros[DIA],deztotal3059718395107119131143155167[[#Headers],[5]],tabela_registros[REGISTRO],DADOS!$N$4,tabela_registros[TIPO],DADOS!$P$3,tabela_registros[CATEGORIA],despesafixaconsolidadodez[[#This Row],[DESPESA FIXA]])</f>
        <v>0</v>
      </c>
      <c r="J44" s="119" t="n">
        <f aca="false">SUMIFS(tabela_registros[VALOR],tabela_registros[MÊS],$AE$1,tabela_registros[DIA],deztotal3059718395107119131143155167[[#Headers],[6]],tabela_registros[REGISTRO],DADOS!$N$4,tabela_registros[TIPO],DADOS!$P$3,tabela_registros[CATEGORIA],despesafixaconsolidadodez[[#This Row],[DESPESA FIXA]])</f>
        <v>0</v>
      </c>
      <c r="K44" s="119" t="n">
        <f aca="false">SUMIFS(tabela_registros[VALOR],tabela_registros[MÊS],$AE$1,tabela_registros[DIA],deztotal3059718395107119131143155167[[#Headers],[7]],tabela_registros[REGISTRO],DADOS!$N$4,tabela_registros[TIPO],DADOS!$P$3,tabela_registros[CATEGORIA],despesafixaconsolidadodez[[#This Row],[DESPESA FIXA]])</f>
        <v>0</v>
      </c>
      <c r="L44" s="119" t="n">
        <f aca="false">SUMIFS(tabela_registros[VALOR],tabela_registros[MÊS],$AE$1,tabela_registros[DIA],deztotal3059718395107119131143155167[[#Headers],[8]],tabela_registros[REGISTRO],DADOS!$N$4,tabela_registros[TIPO],DADOS!$P$3,tabela_registros[CATEGORIA],despesafixaconsolidadodez[[#This Row],[DESPESA FIXA]])</f>
        <v>0</v>
      </c>
      <c r="M44" s="119" t="n">
        <f aca="false">SUMIFS(tabela_registros[VALOR],tabela_registros[MÊS],$AE$1,tabela_registros[DIA],deztotal3059718395107119131143155167[[#Headers],[9]],tabela_registros[REGISTRO],DADOS!$N$4,tabela_registros[TIPO],DADOS!$P$3,tabela_registros[CATEGORIA],despesafixaconsolidadodez[[#This Row],[DESPESA FIXA]])</f>
        <v>0</v>
      </c>
      <c r="N44" s="119" t="n">
        <f aca="false">SUMIFS(tabela_registros[VALOR],tabela_registros[MÊS],$AE$1,tabela_registros[DIA],deztotal3059718395107119131143155167[[#Headers],[10]],tabela_registros[REGISTRO],DADOS!$N$4,tabela_registros[TIPO],DADOS!$P$3,tabela_registros[CATEGORIA],despesafixaconsolidadodez[[#This Row],[DESPESA FIXA]])</f>
        <v>0</v>
      </c>
      <c r="O44" s="119" t="n">
        <f aca="false">SUMIFS(tabela_registros[VALOR],tabela_registros[MÊS],$AE$1,tabela_registros[DIA],deztotal3059718395107119131143155167[[#Headers],[11]],tabela_registros[REGISTRO],DADOS!$N$4,tabela_registros[TIPO],DADOS!$P$3,tabela_registros[CATEGORIA],despesafixaconsolidadodez[[#This Row],[DESPESA FIXA]])</f>
        <v>0</v>
      </c>
      <c r="P44" s="119" t="n">
        <f aca="false">SUMIFS(tabela_registros[VALOR],tabela_registros[MÊS],$AE$1,tabela_registros[DIA],deztotal3059718395107119131143155167[[#Headers],[12]],tabela_registros[REGISTRO],DADOS!$N$4,tabela_registros[TIPO],DADOS!$P$3,tabela_registros[CATEGORIA],despesafixaconsolidadodez[[#This Row],[DESPESA FIXA]])</f>
        <v>0</v>
      </c>
      <c r="Q44" s="119" t="n">
        <f aca="false">SUMIFS(tabela_registros[VALOR],tabela_registros[MÊS],$AE$1,tabela_registros[DIA],deztotal3059718395107119131143155167[[#Headers],[13]],tabela_registros[REGISTRO],DADOS!$N$4,tabela_registros[TIPO],DADOS!$P$3,tabela_registros[CATEGORIA],despesafixaconsolidadodez[[#This Row],[DESPESA FIXA]])</f>
        <v>0</v>
      </c>
      <c r="R44" s="119" t="n">
        <f aca="false">SUMIFS(tabela_registros[VALOR],tabela_registros[MÊS],$AE$1,tabela_registros[DIA],deztotal3059718395107119131143155167[[#Headers],[14]],tabela_registros[REGISTRO],DADOS!$N$4,tabela_registros[TIPO],DADOS!$P$3,tabela_registros[CATEGORIA],despesafixaconsolidadodez[[#This Row],[DESPESA FIXA]])</f>
        <v>0</v>
      </c>
      <c r="S44" s="119" t="n">
        <f aca="false">SUMIFS(tabela_registros[VALOR],tabela_registros[MÊS],$AE$1,tabela_registros[DIA],deztotal3059718395107119131143155167[[#Headers],[15]],tabela_registros[REGISTRO],DADOS!$N$4,tabela_registros[TIPO],DADOS!$P$3,tabela_registros[CATEGORIA],despesafixaconsolidadodez[[#This Row],[DESPESA FIXA]])</f>
        <v>0</v>
      </c>
      <c r="T44" s="119" t="n">
        <f aca="false">SUMIFS(tabela_registros[VALOR],tabela_registros[MÊS],$AE$1,tabela_registros[DIA],deztotal3059718395107119131143155167[[#Headers],[16]],tabela_registros[REGISTRO],DADOS!$N$4,tabela_registros[TIPO],DADOS!$P$3,tabela_registros[CATEGORIA],despesafixaconsolidadodez[[#This Row],[DESPESA FIXA]])</f>
        <v>0</v>
      </c>
      <c r="U44" s="119" t="n">
        <f aca="false">SUMIFS(tabela_registros[VALOR],tabela_registros[MÊS],$AE$1,tabela_registros[DIA],deztotal3059718395107119131143155167[[#Headers],[17]],tabela_registros[REGISTRO],DADOS!$N$4,tabela_registros[TIPO],DADOS!$P$3,tabela_registros[CATEGORIA],despesafixaconsolidadodez[[#This Row],[DESPESA FIXA]])</f>
        <v>0</v>
      </c>
      <c r="V44" s="119" t="n">
        <f aca="false">SUMIFS(tabela_registros[VALOR],tabela_registros[MÊS],$AE$1,tabela_registros[DIA],deztotal3059718395107119131143155167[[#Headers],[18]],tabela_registros[REGISTRO],DADOS!$N$4,tabela_registros[TIPO],DADOS!$P$3,tabela_registros[CATEGORIA],despesafixaconsolidadodez[[#This Row],[DESPESA FIXA]])</f>
        <v>0</v>
      </c>
      <c r="W44" s="119" t="n">
        <f aca="false">SUMIFS(tabela_registros[VALOR],tabela_registros[MÊS],$AE$1,tabela_registros[DIA],deztotal3059718395107119131143155167[[#Headers],[19]],tabela_registros[REGISTRO],DADOS!$N$4,tabela_registros[TIPO],DADOS!$P$3,tabela_registros[CATEGORIA],despesafixaconsolidadodez[[#This Row],[DESPESA FIXA]])</f>
        <v>0</v>
      </c>
      <c r="X44" s="119" t="n">
        <f aca="false">SUMIFS(tabela_registros[VALOR],tabela_registros[MÊS],$AE$1,tabela_registros[DIA],deztotal3059718395107119131143155167[[#Headers],[20]],tabela_registros[REGISTRO],DADOS!$N$4,tabela_registros[TIPO],DADOS!$P$3,tabela_registros[CATEGORIA],despesafixaconsolidadodez[[#This Row],[DESPESA FIXA]])</f>
        <v>0</v>
      </c>
      <c r="Y44" s="119" t="n">
        <f aca="false">SUMIFS(tabela_registros[VALOR],tabela_registros[MÊS],$AE$1,tabela_registros[DIA],deztotal3059718395107119131143155167[[#Headers],[21]],tabela_registros[REGISTRO],DADOS!$N$4,tabela_registros[TIPO],DADOS!$P$3,tabela_registros[CATEGORIA],despesafixaconsolidadodez[[#This Row],[DESPESA FIXA]])</f>
        <v>0</v>
      </c>
      <c r="Z44" s="119" t="n">
        <f aca="false">SUMIFS(tabela_registros[VALOR],tabela_registros[MÊS],$AE$1,tabela_registros[DIA],deztotal3059718395107119131143155167[[#Headers],[22]],tabela_registros[REGISTRO],DADOS!$N$4,tabela_registros[TIPO],DADOS!$P$3,tabela_registros[CATEGORIA],despesafixaconsolidadodez[[#This Row],[DESPESA FIXA]])</f>
        <v>0</v>
      </c>
      <c r="AA44" s="119" t="n">
        <f aca="false">SUMIFS(tabela_registros[VALOR],tabela_registros[MÊS],$AE$1,tabela_registros[DIA],deztotal3059718395107119131143155167[[#Headers],[23]],tabela_registros[REGISTRO],DADOS!$N$4,tabela_registros[TIPO],DADOS!$P$3,tabela_registros[CATEGORIA],despesafixaconsolidadodez[[#This Row],[DESPESA FIXA]])</f>
        <v>0</v>
      </c>
      <c r="AB44" s="119" t="n">
        <f aca="false">SUMIFS(tabela_registros[VALOR],tabela_registros[MÊS],$AE$1,tabela_registros[DIA],deztotal3059718395107119131143155167[[#Headers],[24]],tabela_registros[REGISTRO],DADOS!$N$4,tabela_registros[TIPO],DADOS!$P$3,tabela_registros[CATEGORIA],despesafixaconsolidadodez[[#This Row],[DESPESA FIXA]])</f>
        <v>0</v>
      </c>
      <c r="AC44" s="119" t="n">
        <f aca="false">SUMIFS(tabela_registros[VALOR],tabela_registros[MÊS],$AE$1,tabela_registros[DIA],deztotal3059718395107119131143155167[[#Headers],[25]],tabela_registros[REGISTRO],DADOS!$N$4,tabela_registros[TIPO],DADOS!$P$3,tabela_registros[CATEGORIA],despesafixaconsolidadodez[[#This Row],[DESPESA FIXA]])</f>
        <v>0</v>
      </c>
      <c r="AD44" s="119" t="n">
        <f aca="false">SUMIFS(tabela_registros[VALOR],tabela_registros[MÊS],$AE$1,tabela_registros[DIA],deztotal3059718395107119131143155167[[#Headers],[26]],tabela_registros[REGISTRO],DADOS!$N$4,tabela_registros[TIPO],DADOS!$P$3,tabela_registros[CATEGORIA],despesafixaconsolidadodez[[#This Row],[DESPESA FIXA]])</f>
        <v>0</v>
      </c>
      <c r="AE44" s="119" t="n">
        <f aca="false">SUMIFS(tabela_registros[VALOR],tabela_registros[MÊS],$AE$1,tabela_registros[DIA],deztotal3059718395107119131143155167[[#Headers],[27]],tabela_registros[REGISTRO],DADOS!$N$4,tabela_registros[TIPO],DADOS!$P$3,tabela_registros[CATEGORIA],despesafixaconsolidadodez[[#This Row],[DESPESA FIXA]])</f>
        <v>0</v>
      </c>
      <c r="AF44" s="119" t="n">
        <f aca="false">SUMIFS(tabela_registros[VALOR],tabela_registros[MÊS],$AE$1,tabela_registros[DIA],deztotal3059718395107119131143155167[[#Headers],[28]],tabela_registros[REGISTRO],DADOS!$N$4,tabela_registros[TIPO],DADOS!$P$3,tabela_registros[CATEGORIA],despesafixaconsolidadodez[[#This Row],[DESPESA FIXA]])</f>
        <v>0</v>
      </c>
      <c r="AG44" s="119" t="n">
        <f aca="false">SUMIFS(tabela_registros[VALOR],tabela_registros[MÊS],$AE$1,tabela_registros[DIA],deztotal3059718395107119131143155167[[#Headers],[29]],tabela_registros[REGISTRO],DADOS!$N$4,tabela_registros[TIPO],DADOS!$P$3,tabela_registros[CATEGORIA],despesafixaconsolidadodez[[#This Row],[DESPESA FIXA]])</f>
        <v>0</v>
      </c>
      <c r="AH44" s="119" t="n">
        <f aca="false">SUMIFS(tabela_registros[VALOR],tabela_registros[MÊS],$AE$1,tabela_registros[DIA],deztotal3059718395107119131143155167[[#Headers],[30]],tabela_registros[REGISTRO],DADOS!$N$4,tabela_registros[TIPO],DADOS!$P$3,tabela_registros[CATEGORIA],despesafixaconsolidadodez[[#This Row],[DESPESA FIXA]])</f>
        <v>0</v>
      </c>
      <c r="AI44" s="217" t="n">
        <f aca="false">SUMIFS(tabela_registros[VALOR],tabela_registros[MÊS],$AE$1,tabela_registros[DIA],deztotal3059718395107119131143155167[[#Headers],[31]],tabela_registros[REGISTRO],DADOS!$N$4,tabela_registros[TIPO],DADOS!$P$3,tabela_registros[CATEGORIA],despesafixaconsolidadodez[[#This Row],[DESPESA FIXA]])</f>
        <v>0</v>
      </c>
      <c r="AJ44" s="149" t="n">
        <f aca="false">SUM(despesafixaconsolidadodez[[#This Row],[1]:[31]])</f>
        <v>0</v>
      </c>
      <c r="AK44" s="143"/>
    </row>
    <row r="45" customFormat="false" ht="18" hidden="false" customHeight="true" outlineLevel="0" collapsed="false">
      <c r="B45" s="143"/>
      <c r="C45" s="144" t="str">
        <f aca="false">DADOS!$R$11</f>
        <v>🔢 IMPOSTOS</v>
      </c>
      <c r="D45" s="145" t="str">
        <f aca="false">IF(despesafixaconsolidadodez[[#This Row],[TOTAL]]=0,"",IF(OR(despesafixaconsolidadodez[[#This Row],[TOTAL]]=LARGE($AJ$37:$AJ$50,1),despesafixaconsolidadodez[[#This Row],[TOTAL]]=LARGE($AJ$37:$AJ$50,2),despesafixaconsolidadodez[[#This Row],[TOTAL]]=LARGE($AJ$37:$AJ$50,3),despesafixaconsolidadodez[[#This Row],[TOTAL]]=LARGE($AJ$37:$AJ$50,4),despesafixaconsolidadodez[[#This Row],[TOTAL]]=LARGE($AJ$37:$AJ$50,5)),DADOS!$I$8,""))</f>
        <v/>
      </c>
      <c r="E45" s="148" t="n">
        <f aca="false">SUMIFS(tabela_registros[VALOR],tabela_registros[MÊS],$AE$1,tabela_registros[DIA],deztotal3059718395107119131143155167[[#Headers],[1]],tabela_registros[REGISTRO],DADOS!$N$4,tabela_registros[TIPO],DADOS!$P$3,tabela_registros[CATEGORIA],despesafixaconsolidadodez[[#This Row],[DESPESA FIXA]])</f>
        <v>0</v>
      </c>
      <c r="F45" s="119" t="n">
        <f aca="false">SUMIFS(tabela_registros[VALOR],tabela_registros[MÊS],$AE$1,tabela_registros[DIA],deztotal3059718395107119131143155167[[#Headers],[2]],tabela_registros[REGISTRO],DADOS!$N$4,tabela_registros[TIPO],DADOS!$P$3,tabela_registros[CATEGORIA],despesafixaconsolidadodez[[#This Row],[DESPESA FIXA]])</f>
        <v>0</v>
      </c>
      <c r="G45" s="119" t="n">
        <f aca="false">SUMIFS(tabela_registros[VALOR],tabela_registros[MÊS],$AE$1,tabela_registros[DIA],deztotal3059718395107119131143155167[[#Headers],[3]],tabela_registros[REGISTRO],DADOS!$N$4,tabela_registros[TIPO],DADOS!$P$3,tabela_registros[CATEGORIA],despesafixaconsolidadodez[[#This Row],[DESPESA FIXA]])</f>
        <v>0</v>
      </c>
      <c r="H45" s="119" t="n">
        <f aca="false">SUMIFS(tabela_registros[VALOR],tabela_registros[MÊS],$AE$1,tabela_registros[DIA],deztotal3059718395107119131143155167[[#Headers],[4]],tabela_registros[REGISTRO],DADOS!$N$4,tabela_registros[TIPO],DADOS!$P$3,tabela_registros[CATEGORIA],despesafixaconsolidadodez[[#This Row],[DESPESA FIXA]])</f>
        <v>0</v>
      </c>
      <c r="I45" s="119" t="n">
        <f aca="false">SUMIFS(tabela_registros[VALOR],tabela_registros[MÊS],$AE$1,tabela_registros[DIA],deztotal3059718395107119131143155167[[#Headers],[5]],tabela_registros[REGISTRO],DADOS!$N$4,tabela_registros[TIPO],DADOS!$P$3,tabela_registros[CATEGORIA],despesafixaconsolidadodez[[#This Row],[DESPESA FIXA]])</f>
        <v>0</v>
      </c>
      <c r="J45" s="119" t="n">
        <f aca="false">SUMIFS(tabela_registros[VALOR],tabela_registros[MÊS],$AE$1,tabela_registros[DIA],deztotal3059718395107119131143155167[[#Headers],[6]],tabela_registros[REGISTRO],DADOS!$N$4,tabela_registros[TIPO],DADOS!$P$3,tabela_registros[CATEGORIA],despesafixaconsolidadodez[[#This Row],[DESPESA FIXA]])</f>
        <v>0</v>
      </c>
      <c r="K45" s="119" t="n">
        <f aca="false">SUMIFS(tabela_registros[VALOR],tabela_registros[MÊS],$AE$1,tabela_registros[DIA],deztotal3059718395107119131143155167[[#Headers],[7]],tabela_registros[REGISTRO],DADOS!$N$4,tabela_registros[TIPO],DADOS!$P$3,tabela_registros[CATEGORIA],despesafixaconsolidadodez[[#This Row],[DESPESA FIXA]])</f>
        <v>0</v>
      </c>
      <c r="L45" s="119" t="n">
        <f aca="false">SUMIFS(tabela_registros[VALOR],tabela_registros[MÊS],$AE$1,tabela_registros[DIA],deztotal3059718395107119131143155167[[#Headers],[8]],tabela_registros[REGISTRO],DADOS!$N$4,tabela_registros[TIPO],DADOS!$P$3,tabela_registros[CATEGORIA],despesafixaconsolidadodez[[#This Row],[DESPESA FIXA]])</f>
        <v>0</v>
      </c>
      <c r="M45" s="119" t="n">
        <f aca="false">SUMIFS(tabela_registros[VALOR],tabela_registros[MÊS],$AE$1,tabela_registros[DIA],deztotal3059718395107119131143155167[[#Headers],[9]],tabela_registros[REGISTRO],DADOS!$N$4,tabela_registros[TIPO],DADOS!$P$3,tabela_registros[CATEGORIA],despesafixaconsolidadodez[[#This Row],[DESPESA FIXA]])</f>
        <v>0</v>
      </c>
      <c r="N45" s="119" t="n">
        <f aca="false">SUMIFS(tabela_registros[VALOR],tabela_registros[MÊS],$AE$1,tabela_registros[DIA],deztotal3059718395107119131143155167[[#Headers],[10]],tabela_registros[REGISTRO],DADOS!$N$4,tabela_registros[TIPO],DADOS!$P$3,tabela_registros[CATEGORIA],despesafixaconsolidadodez[[#This Row],[DESPESA FIXA]])</f>
        <v>0</v>
      </c>
      <c r="O45" s="119" t="n">
        <f aca="false">SUMIFS(tabela_registros[VALOR],tabela_registros[MÊS],$AE$1,tabela_registros[DIA],deztotal3059718395107119131143155167[[#Headers],[11]],tabela_registros[REGISTRO],DADOS!$N$4,tabela_registros[TIPO],DADOS!$P$3,tabela_registros[CATEGORIA],despesafixaconsolidadodez[[#This Row],[DESPESA FIXA]])</f>
        <v>0</v>
      </c>
      <c r="P45" s="119" t="n">
        <f aca="false">SUMIFS(tabela_registros[VALOR],tabela_registros[MÊS],$AE$1,tabela_registros[DIA],deztotal3059718395107119131143155167[[#Headers],[12]],tabela_registros[REGISTRO],DADOS!$N$4,tabela_registros[TIPO],DADOS!$P$3,tabela_registros[CATEGORIA],despesafixaconsolidadodez[[#This Row],[DESPESA FIXA]])</f>
        <v>0</v>
      </c>
      <c r="Q45" s="119" t="n">
        <f aca="false">SUMIFS(tabela_registros[VALOR],tabela_registros[MÊS],$AE$1,tabela_registros[DIA],deztotal3059718395107119131143155167[[#Headers],[13]],tabela_registros[REGISTRO],DADOS!$N$4,tabela_registros[TIPO],DADOS!$P$3,tabela_registros[CATEGORIA],despesafixaconsolidadodez[[#This Row],[DESPESA FIXA]])</f>
        <v>0</v>
      </c>
      <c r="R45" s="119" t="n">
        <f aca="false">SUMIFS(tabela_registros[VALOR],tabela_registros[MÊS],$AE$1,tabela_registros[DIA],deztotal3059718395107119131143155167[[#Headers],[14]],tabela_registros[REGISTRO],DADOS!$N$4,tabela_registros[TIPO],DADOS!$P$3,tabela_registros[CATEGORIA],despesafixaconsolidadodez[[#This Row],[DESPESA FIXA]])</f>
        <v>0</v>
      </c>
      <c r="S45" s="119" t="n">
        <f aca="false">SUMIFS(tabela_registros[VALOR],tabela_registros[MÊS],$AE$1,tabela_registros[DIA],deztotal3059718395107119131143155167[[#Headers],[15]],tabela_registros[REGISTRO],DADOS!$N$4,tabela_registros[TIPO],DADOS!$P$3,tabela_registros[CATEGORIA],despesafixaconsolidadodez[[#This Row],[DESPESA FIXA]])</f>
        <v>0</v>
      </c>
      <c r="T45" s="119" t="n">
        <f aca="false">SUMIFS(tabela_registros[VALOR],tabela_registros[MÊS],$AE$1,tabela_registros[DIA],deztotal3059718395107119131143155167[[#Headers],[16]],tabela_registros[REGISTRO],DADOS!$N$4,tabela_registros[TIPO],DADOS!$P$3,tabela_registros[CATEGORIA],despesafixaconsolidadodez[[#This Row],[DESPESA FIXA]])</f>
        <v>0</v>
      </c>
      <c r="U45" s="119" t="n">
        <f aca="false">SUMIFS(tabela_registros[VALOR],tabela_registros[MÊS],$AE$1,tabela_registros[DIA],deztotal3059718395107119131143155167[[#Headers],[17]],tabela_registros[REGISTRO],DADOS!$N$4,tabela_registros[TIPO],DADOS!$P$3,tabela_registros[CATEGORIA],despesafixaconsolidadodez[[#This Row],[DESPESA FIXA]])</f>
        <v>0</v>
      </c>
      <c r="V45" s="119" t="n">
        <f aca="false">SUMIFS(tabela_registros[VALOR],tabela_registros[MÊS],$AE$1,tabela_registros[DIA],deztotal3059718395107119131143155167[[#Headers],[18]],tabela_registros[REGISTRO],DADOS!$N$4,tabela_registros[TIPO],DADOS!$P$3,tabela_registros[CATEGORIA],despesafixaconsolidadodez[[#This Row],[DESPESA FIXA]])</f>
        <v>0</v>
      </c>
      <c r="W45" s="119" t="n">
        <f aca="false">SUMIFS(tabela_registros[VALOR],tabela_registros[MÊS],$AE$1,tabela_registros[DIA],deztotal3059718395107119131143155167[[#Headers],[19]],tabela_registros[REGISTRO],DADOS!$N$4,tabela_registros[TIPO],DADOS!$P$3,tabela_registros[CATEGORIA],despesafixaconsolidadodez[[#This Row],[DESPESA FIXA]])</f>
        <v>0</v>
      </c>
      <c r="X45" s="119" t="n">
        <f aca="false">SUMIFS(tabela_registros[VALOR],tabela_registros[MÊS],$AE$1,tabela_registros[DIA],deztotal3059718395107119131143155167[[#Headers],[20]],tabela_registros[REGISTRO],DADOS!$N$4,tabela_registros[TIPO],DADOS!$P$3,tabela_registros[CATEGORIA],despesafixaconsolidadodez[[#This Row],[DESPESA FIXA]])</f>
        <v>0</v>
      </c>
      <c r="Y45" s="119" t="n">
        <f aca="false">SUMIFS(tabela_registros[VALOR],tabela_registros[MÊS],$AE$1,tabela_registros[DIA],deztotal3059718395107119131143155167[[#Headers],[21]],tabela_registros[REGISTRO],DADOS!$N$4,tabela_registros[TIPO],DADOS!$P$3,tabela_registros[CATEGORIA],despesafixaconsolidadodez[[#This Row],[DESPESA FIXA]])</f>
        <v>0</v>
      </c>
      <c r="Z45" s="119" t="n">
        <f aca="false">SUMIFS(tabela_registros[VALOR],tabela_registros[MÊS],$AE$1,tabela_registros[DIA],deztotal3059718395107119131143155167[[#Headers],[22]],tabela_registros[REGISTRO],DADOS!$N$4,tabela_registros[TIPO],DADOS!$P$3,tabela_registros[CATEGORIA],despesafixaconsolidadodez[[#This Row],[DESPESA FIXA]])</f>
        <v>0</v>
      </c>
      <c r="AA45" s="119" t="n">
        <f aca="false">SUMIFS(tabela_registros[VALOR],tabela_registros[MÊS],$AE$1,tabela_registros[DIA],deztotal3059718395107119131143155167[[#Headers],[23]],tabela_registros[REGISTRO],DADOS!$N$4,tabela_registros[TIPO],DADOS!$P$3,tabela_registros[CATEGORIA],despesafixaconsolidadodez[[#This Row],[DESPESA FIXA]])</f>
        <v>0</v>
      </c>
      <c r="AB45" s="119" t="n">
        <f aca="false">SUMIFS(tabela_registros[VALOR],tabela_registros[MÊS],$AE$1,tabela_registros[DIA],deztotal3059718395107119131143155167[[#Headers],[24]],tabela_registros[REGISTRO],DADOS!$N$4,tabela_registros[TIPO],DADOS!$P$3,tabela_registros[CATEGORIA],despesafixaconsolidadodez[[#This Row],[DESPESA FIXA]])</f>
        <v>0</v>
      </c>
      <c r="AC45" s="119" t="n">
        <f aca="false">SUMIFS(tabela_registros[VALOR],tabela_registros[MÊS],$AE$1,tabela_registros[DIA],deztotal3059718395107119131143155167[[#Headers],[25]],tabela_registros[REGISTRO],DADOS!$N$4,tabela_registros[TIPO],DADOS!$P$3,tabela_registros[CATEGORIA],despesafixaconsolidadodez[[#This Row],[DESPESA FIXA]])</f>
        <v>0</v>
      </c>
      <c r="AD45" s="119" t="n">
        <f aca="false">SUMIFS(tabela_registros[VALOR],tabela_registros[MÊS],$AE$1,tabela_registros[DIA],deztotal3059718395107119131143155167[[#Headers],[26]],tabela_registros[REGISTRO],DADOS!$N$4,tabela_registros[TIPO],DADOS!$P$3,tabela_registros[CATEGORIA],despesafixaconsolidadodez[[#This Row],[DESPESA FIXA]])</f>
        <v>0</v>
      </c>
      <c r="AE45" s="119" t="n">
        <f aca="false">SUMIFS(tabela_registros[VALOR],tabela_registros[MÊS],$AE$1,tabela_registros[DIA],deztotal3059718395107119131143155167[[#Headers],[27]],tabela_registros[REGISTRO],DADOS!$N$4,tabela_registros[TIPO],DADOS!$P$3,tabela_registros[CATEGORIA],despesafixaconsolidadodez[[#This Row],[DESPESA FIXA]])</f>
        <v>0</v>
      </c>
      <c r="AF45" s="119" t="n">
        <f aca="false">SUMIFS(tabela_registros[VALOR],tabela_registros[MÊS],$AE$1,tabela_registros[DIA],deztotal3059718395107119131143155167[[#Headers],[28]],tabela_registros[REGISTRO],DADOS!$N$4,tabela_registros[TIPO],DADOS!$P$3,tabela_registros[CATEGORIA],despesafixaconsolidadodez[[#This Row],[DESPESA FIXA]])</f>
        <v>0</v>
      </c>
      <c r="AG45" s="119" t="n">
        <f aca="false">SUMIFS(tabela_registros[VALOR],tabela_registros[MÊS],$AE$1,tabela_registros[DIA],deztotal3059718395107119131143155167[[#Headers],[29]],tabela_registros[REGISTRO],DADOS!$N$4,tabela_registros[TIPO],DADOS!$P$3,tabela_registros[CATEGORIA],despesafixaconsolidadodez[[#This Row],[DESPESA FIXA]])</f>
        <v>0</v>
      </c>
      <c r="AH45" s="119" t="n">
        <f aca="false">SUMIFS(tabela_registros[VALOR],tabela_registros[MÊS],$AE$1,tabela_registros[DIA],deztotal3059718395107119131143155167[[#Headers],[30]],tabela_registros[REGISTRO],DADOS!$N$4,tabela_registros[TIPO],DADOS!$P$3,tabela_registros[CATEGORIA],despesafixaconsolidadodez[[#This Row],[DESPESA FIXA]])</f>
        <v>0</v>
      </c>
      <c r="AI45" s="217" t="n">
        <f aca="false">SUMIFS(tabela_registros[VALOR],tabela_registros[MÊS],$AE$1,tabela_registros[DIA],deztotal3059718395107119131143155167[[#Headers],[31]],tabela_registros[REGISTRO],DADOS!$N$4,tabela_registros[TIPO],DADOS!$P$3,tabela_registros[CATEGORIA],despesafixaconsolidadodez[[#This Row],[DESPESA FIXA]])</f>
        <v>0</v>
      </c>
      <c r="AJ45" s="149" t="n">
        <f aca="false">SUM(despesafixaconsolidadodez[[#This Row],[1]:[31]])</f>
        <v>0</v>
      </c>
      <c r="AK45" s="143"/>
    </row>
    <row r="46" customFormat="false" ht="18" hidden="false" customHeight="true" outlineLevel="0" collapsed="false">
      <c r="B46" s="143"/>
      <c r="C46" s="144" t="str">
        <f aca="false">DADOS!$R$12</f>
        <v>🖱️ INTERNET</v>
      </c>
      <c r="D46" s="145" t="str">
        <f aca="false">IF(despesafixaconsolidadodez[[#This Row],[TOTAL]]=0,"",IF(OR(despesafixaconsolidadodez[[#This Row],[TOTAL]]=LARGE($AJ$37:$AJ$50,1),despesafixaconsolidadodez[[#This Row],[TOTAL]]=LARGE($AJ$37:$AJ$50,2),despesafixaconsolidadodez[[#This Row],[TOTAL]]=LARGE($AJ$37:$AJ$50,3),despesafixaconsolidadodez[[#This Row],[TOTAL]]=LARGE($AJ$37:$AJ$50,4),despesafixaconsolidadodez[[#This Row],[TOTAL]]=LARGE($AJ$37:$AJ$50,5)),DADOS!$I$8,""))</f>
        <v/>
      </c>
      <c r="E46" s="148" t="n">
        <f aca="false">SUMIFS(tabela_registros[VALOR],tabela_registros[MÊS],$AE$1,tabela_registros[DIA],deztotal3059718395107119131143155167[[#Headers],[1]],tabela_registros[REGISTRO],DADOS!$N$4,tabela_registros[TIPO],DADOS!$P$3,tabela_registros[CATEGORIA],despesafixaconsolidadodez[[#This Row],[DESPESA FIXA]])</f>
        <v>0</v>
      </c>
      <c r="F46" s="119" t="n">
        <f aca="false">SUMIFS(tabela_registros[VALOR],tabela_registros[MÊS],$AE$1,tabela_registros[DIA],deztotal3059718395107119131143155167[[#Headers],[2]],tabela_registros[REGISTRO],DADOS!$N$4,tabela_registros[TIPO],DADOS!$P$3,tabela_registros[CATEGORIA],despesafixaconsolidadodez[[#This Row],[DESPESA FIXA]])</f>
        <v>0</v>
      </c>
      <c r="G46" s="119" t="n">
        <f aca="false">SUMIFS(tabela_registros[VALOR],tabela_registros[MÊS],$AE$1,tabela_registros[DIA],deztotal3059718395107119131143155167[[#Headers],[3]],tabela_registros[REGISTRO],DADOS!$N$4,tabela_registros[TIPO],DADOS!$P$3,tabela_registros[CATEGORIA],despesafixaconsolidadodez[[#This Row],[DESPESA FIXA]])</f>
        <v>0</v>
      </c>
      <c r="H46" s="119" t="n">
        <f aca="false">SUMIFS(tabela_registros[VALOR],tabela_registros[MÊS],$AE$1,tabela_registros[DIA],deztotal3059718395107119131143155167[[#Headers],[4]],tabela_registros[REGISTRO],DADOS!$N$4,tabela_registros[TIPO],DADOS!$P$3,tabela_registros[CATEGORIA],despesafixaconsolidadodez[[#This Row],[DESPESA FIXA]])</f>
        <v>0</v>
      </c>
      <c r="I46" s="119" t="n">
        <f aca="false">SUMIFS(tabela_registros[VALOR],tabela_registros[MÊS],$AE$1,tabela_registros[DIA],deztotal3059718395107119131143155167[[#Headers],[5]],tabela_registros[REGISTRO],DADOS!$N$4,tabela_registros[TIPO],DADOS!$P$3,tabela_registros[CATEGORIA],despesafixaconsolidadodez[[#This Row],[DESPESA FIXA]])</f>
        <v>0</v>
      </c>
      <c r="J46" s="119" t="n">
        <f aca="false">SUMIFS(tabela_registros[VALOR],tabela_registros[MÊS],$AE$1,tabela_registros[DIA],deztotal3059718395107119131143155167[[#Headers],[6]],tabela_registros[REGISTRO],DADOS!$N$4,tabela_registros[TIPO],DADOS!$P$3,tabela_registros[CATEGORIA],despesafixaconsolidadodez[[#This Row],[DESPESA FIXA]])</f>
        <v>0</v>
      </c>
      <c r="K46" s="119" t="n">
        <f aca="false">SUMIFS(tabela_registros[VALOR],tabela_registros[MÊS],$AE$1,tabela_registros[DIA],deztotal3059718395107119131143155167[[#Headers],[7]],tabela_registros[REGISTRO],DADOS!$N$4,tabela_registros[TIPO],DADOS!$P$3,tabela_registros[CATEGORIA],despesafixaconsolidadodez[[#This Row],[DESPESA FIXA]])</f>
        <v>0</v>
      </c>
      <c r="L46" s="119" t="n">
        <f aca="false">SUMIFS(tabela_registros[VALOR],tabela_registros[MÊS],$AE$1,tabela_registros[DIA],deztotal3059718395107119131143155167[[#Headers],[8]],tabela_registros[REGISTRO],DADOS!$N$4,tabela_registros[TIPO],DADOS!$P$3,tabela_registros[CATEGORIA],despesafixaconsolidadodez[[#This Row],[DESPESA FIXA]])</f>
        <v>0</v>
      </c>
      <c r="M46" s="119" t="n">
        <f aca="false">SUMIFS(tabela_registros[VALOR],tabela_registros[MÊS],$AE$1,tabela_registros[DIA],deztotal3059718395107119131143155167[[#Headers],[9]],tabela_registros[REGISTRO],DADOS!$N$4,tabela_registros[TIPO],DADOS!$P$3,tabela_registros[CATEGORIA],despesafixaconsolidadodez[[#This Row],[DESPESA FIXA]])</f>
        <v>0</v>
      </c>
      <c r="N46" s="119" t="n">
        <f aca="false">SUMIFS(tabela_registros[VALOR],tabela_registros[MÊS],$AE$1,tabela_registros[DIA],deztotal3059718395107119131143155167[[#Headers],[10]],tabela_registros[REGISTRO],DADOS!$N$4,tabela_registros[TIPO],DADOS!$P$3,tabela_registros[CATEGORIA],despesafixaconsolidadodez[[#This Row],[DESPESA FIXA]])</f>
        <v>0</v>
      </c>
      <c r="O46" s="119" t="n">
        <f aca="false">SUMIFS(tabela_registros[VALOR],tabela_registros[MÊS],$AE$1,tabela_registros[DIA],deztotal3059718395107119131143155167[[#Headers],[11]],tabela_registros[REGISTRO],DADOS!$N$4,tabela_registros[TIPO],DADOS!$P$3,tabela_registros[CATEGORIA],despesafixaconsolidadodez[[#This Row],[DESPESA FIXA]])</f>
        <v>0</v>
      </c>
      <c r="P46" s="119" t="n">
        <f aca="false">SUMIFS(tabela_registros[VALOR],tabela_registros[MÊS],$AE$1,tabela_registros[DIA],deztotal3059718395107119131143155167[[#Headers],[12]],tabela_registros[REGISTRO],DADOS!$N$4,tabela_registros[TIPO],DADOS!$P$3,tabela_registros[CATEGORIA],despesafixaconsolidadodez[[#This Row],[DESPESA FIXA]])</f>
        <v>0</v>
      </c>
      <c r="Q46" s="119" t="n">
        <f aca="false">SUMIFS(tabela_registros[VALOR],tabela_registros[MÊS],$AE$1,tabela_registros[DIA],deztotal3059718395107119131143155167[[#Headers],[13]],tabela_registros[REGISTRO],DADOS!$N$4,tabela_registros[TIPO],DADOS!$P$3,tabela_registros[CATEGORIA],despesafixaconsolidadodez[[#This Row],[DESPESA FIXA]])</f>
        <v>0</v>
      </c>
      <c r="R46" s="119" t="n">
        <f aca="false">SUMIFS(tabela_registros[VALOR],tabela_registros[MÊS],$AE$1,tabela_registros[DIA],deztotal3059718395107119131143155167[[#Headers],[14]],tabela_registros[REGISTRO],DADOS!$N$4,tabela_registros[TIPO],DADOS!$P$3,tabela_registros[CATEGORIA],despesafixaconsolidadodez[[#This Row],[DESPESA FIXA]])</f>
        <v>0</v>
      </c>
      <c r="S46" s="119" t="n">
        <f aca="false">SUMIFS(tabela_registros[VALOR],tabela_registros[MÊS],$AE$1,tabela_registros[DIA],deztotal3059718395107119131143155167[[#Headers],[15]],tabela_registros[REGISTRO],DADOS!$N$4,tabela_registros[TIPO],DADOS!$P$3,tabela_registros[CATEGORIA],despesafixaconsolidadodez[[#This Row],[DESPESA FIXA]])</f>
        <v>0</v>
      </c>
      <c r="T46" s="119" t="n">
        <f aca="false">SUMIFS(tabela_registros[VALOR],tabela_registros[MÊS],$AE$1,tabela_registros[DIA],deztotal3059718395107119131143155167[[#Headers],[16]],tabela_registros[REGISTRO],DADOS!$N$4,tabela_registros[TIPO],DADOS!$P$3,tabela_registros[CATEGORIA],despesafixaconsolidadodez[[#This Row],[DESPESA FIXA]])</f>
        <v>0</v>
      </c>
      <c r="U46" s="119" t="n">
        <f aca="false">SUMIFS(tabela_registros[VALOR],tabela_registros[MÊS],$AE$1,tabela_registros[DIA],deztotal3059718395107119131143155167[[#Headers],[17]],tabela_registros[REGISTRO],DADOS!$N$4,tabela_registros[TIPO],DADOS!$P$3,tabela_registros[CATEGORIA],despesafixaconsolidadodez[[#This Row],[DESPESA FIXA]])</f>
        <v>0</v>
      </c>
      <c r="V46" s="119" t="n">
        <f aca="false">SUMIFS(tabela_registros[VALOR],tabela_registros[MÊS],$AE$1,tabela_registros[DIA],deztotal3059718395107119131143155167[[#Headers],[18]],tabela_registros[REGISTRO],DADOS!$N$4,tabela_registros[TIPO],DADOS!$P$3,tabela_registros[CATEGORIA],despesafixaconsolidadodez[[#This Row],[DESPESA FIXA]])</f>
        <v>0</v>
      </c>
      <c r="W46" s="119" t="n">
        <f aca="false">SUMIFS(tabela_registros[VALOR],tabela_registros[MÊS],$AE$1,tabela_registros[DIA],deztotal3059718395107119131143155167[[#Headers],[19]],tabela_registros[REGISTRO],DADOS!$N$4,tabela_registros[TIPO],DADOS!$P$3,tabela_registros[CATEGORIA],despesafixaconsolidadodez[[#This Row],[DESPESA FIXA]])</f>
        <v>0</v>
      </c>
      <c r="X46" s="119" t="n">
        <f aca="false">SUMIFS(tabela_registros[VALOR],tabela_registros[MÊS],$AE$1,tabela_registros[DIA],deztotal3059718395107119131143155167[[#Headers],[20]],tabela_registros[REGISTRO],DADOS!$N$4,tabela_registros[TIPO],DADOS!$P$3,tabela_registros[CATEGORIA],despesafixaconsolidadodez[[#This Row],[DESPESA FIXA]])</f>
        <v>0</v>
      </c>
      <c r="Y46" s="119" t="n">
        <f aca="false">SUMIFS(tabela_registros[VALOR],tabela_registros[MÊS],$AE$1,tabela_registros[DIA],deztotal3059718395107119131143155167[[#Headers],[21]],tabela_registros[REGISTRO],DADOS!$N$4,tabela_registros[TIPO],DADOS!$P$3,tabela_registros[CATEGORIA],despesafixaconsolidadodez[[#This Row],[DESPESA FIXA]])</f>
        <v>0</v>
      </c>
      <c r="Z46" s="119" t="n">
        <f aca="false">SUMIFS(tabela_registros[VALOR],tabela_registros[MÊS],$AE$1,tabela_registros[DIA],deztotal3059718395107119131143155167[[#Headers],[22]],tabela_registros[REGISTRO],DADOS!$N$4,tabela_registros[TIPO],DADOS!$P$3,tabela_registros[CATEGORIA],despesafixaconsolidadodez[[#This Row],[DESPESA FIXA]])</f>
        <v>0</v>
      </c>
      <c r="AA46" s="119" t="n">
        <f aca="false">SUMIFS(tabela_registros[VALOR],tabela_registros[MÊS],$AE$1,tabela_registros[DIA],deztotal3059718395107119131143155167[[#Headers],[23]],tabela_registros[REGISTRO],DADOS!$N$4,tabela_registros[TIPO],DADOS!$P$3,tabela_registros[CATEGORIA],despesafixaconsolidadodez[[#This Row],[DESPESA FIXA]])</f>
        <v>0</v>
      </c>
      <c r="AB46" s="119" t="n">
        <f aca="false">SUMIFS(tabela_registros[VALOR],tabela_registros[MÊS],$AE$1,tabela_registros[DIA],deztotal3059718395107119131143155167[[#Headers],[24]],tabela_registros[REGISTRO],DADOS!$N$4,tabela_registros[TIPO],DADOS!$P$3,tabela_registros[CATEGORIA],despesafixaconsolidadodez[[#This Row],[DESPESA FIXA]])</f>
        <v>0</v>
      </c>
      <c r="AC46" s="119" t="n">
        <f aca="false">SUMIFS(tabela_registros[VALOR],tabela_registros[MÊS],$AE$1,tabela_registros[DIA],deztotal3059718395107119131143155167[[#Headers],[25]],tabela_registros[REGISTRO],DADOS!$N$4,tabela_registros[TIPO],DADOS!$P$3,tabela_registros[CATEGORIA],despesafixaconsolidadodez[[#This Row],[DESPESA FIXA]])</f>
        <v>0</v>
      </c>
      <c r="AD46" s="119" t="n">
        <f aca="false">SUMIFS(tabela_registros[VALOR],tabela_registros[MÊS],$AE$1,tabela_registros[DIA],deztotal3059718395107119131143155167[[#Headers],[26]],tabela_registros[REGISTRO],DADOS!$N$4,tabela_registros[TIPO],DADOS!$P$3,tabela_registros[CATEGORIA],despesafixaconsolidadodez[[#This Row],[DESPESA FIXA]])</f>
        <v>0</v>
      </c>
      <c r="AE46" s="119" t="n">
        <f aca="false">SUMIFS(tabela_registros[VALOR],tabela_registros[MÊS],$AE$1,tabela_registros[DIA],deztotal3059718395107119131143155167[[#Headers],[27]],tabela_registros[REGISTRO],DADOS!$N$4,tabela_registros[TIPO],DADOS!$P$3,tabela_registros[CATEGORIA],despesafixaconsolidadodez[[#This Row],[DESPESA FIXA]])</f>
        <v>0</v>
      </c>
      <c r="AF46" s="119" t="n">
        <f aca="false">SUMIFS(tabela_registros[VALOR],tabela_registros[MÊS],$AE$1,tabela_registros[DIA],deztotal3059718395107119131143155167[[#Headers],[28]],tabela_registros[REGISTRO],DADOS!$N$4,tabela_registros[TIPO],DADOS!$P$3,tabela_registros[CATEGORIA],despesafixaconsolidadodez[[#This Row],[DESPESA FIXA]])</f>
        <v>0</v>
      </c>
      <c r="AG46" s="119" t="n">
        <f aca="false">SUMIFS(tabela_registros[VALOR],tabela_registros[MÊS],$AE$1,tabela_registros[DIA],deztotal3059718395107119131143155167[[#Headers],[29]],tabela_registros[REGISTRO],DADOS!$N$4,tabela_registros[TIPO],DADOS!$P$3,tabela_registros[CATEGORIA],despesafixaconsolidadodez[[#This Row],[DESPESA FIXA]])</f>
        <v>0</v>
      </c>
      <c r="AH46" s="119" t="n">
        <f aca="false">SUMIFS(tabela_registros[VALOR],tabela_registros[MÊS],$AE$1,tabela_registros[DIA],deztotal3059718395107119131143155167[[#Headers],[30]],tabela_registros[REGISTRO],DADOS!$N$4,tabela_registros[TIPO],DADOS!$P$3,tabela_registros[CATEGORIA],despesafixaconsolidadodez[[#This Row],[DESPESA FIXA]])</f>
        <v>0</v>
      </c>
      <c r="AI46" s="217" t="n">
        <f aca="false">SUMIFS(tabela_registros[VALOR],tabela_registros[MÊS],$AE$1,tabela_registros[DIA],deztotal3059718395107119131143155167[[#Headers],[31]],tabela_registros[REGISTRO],DADOS!$N$4,tabela_registros[TIPO],DADOS!$P$3,tabela_registros[CATEGORIA],despesafixaconsolidadodez[[#This Row],[DESPESA FIXA]])</f>
        <v>0</v>
      </c>
      <c r="AJ46" s="149" t="n">
        <f aca="false">SUM(despesafixaconsolidadodez[[#This Row],[1]:[31]])</f>
        <v>0</v>
      </c>
      <c r="AK46" s="143"/>
    </row>
    <row r="47" customFormat="false" ht="18" hidden="false" customHeight="true" outlineLevel="0" collapsed="false">
      <c r="B47" s="143"/>
      <c r="C47" s="144" t="str">
        <f aca="false">DADOS!$R$13</f>
        <v>🏠 MORADIA</v>
      </c>
      <c r="D47" s="145" t="str">
        <f aca="false">IF(despesafixaconsolidadodez[[#This Row],[TOTAL]]=0,"",IF(OR(despesafixaconsolidadodez[[#This Row],[TOTAL]]=LARGE($AJ$37:$AJ$50,1),despesafixaconsolidadodez[[#This Row],[TOTAL]]=LARGE($AJ$37:$AJ$50,2),despesafixaconsolidadodez[[#This Row],[TOTAL]]=LARGE($AJ$37:$AJ$50,3),despesafixaconsolidadodez[[#This Row],[TOTAL]]=LARGE($AJ$37:$AJ$50,4),despesafixaconsolidadodez[[#This Row],[TOTAL]]=LARGE($AJ$37:$AJ$50,5)),DADOS!$I$8,""))</f>
        <v/>
      </c>
      <c r="E47" s="148" t="n">
        <f aca="false">SUMIFS(tabela_registros[VALOR],tabela_registros[MÊS],$AE$1,tabela_registros[DIA],deztotal3059718395107119131143155167[[#Headers],[1]],tabela_registros[REGISTRO],DADOS!$N$4,tabela_registros[TIPO],DADOS!$P$3,tabela_registros[CATEGORIA],despesafixaconsolidadodez[[#This Row],[DESPESA FIXA]])</f>
        <v>0</v>
      </c>
      <c r="F47" s="119" t="n">
        <f aca="false">SUMIFS(tabela_registros[VALOR],tabela_registros[MÊS],$AE$1,tabela_registros[DIA],deztotal3059718395107119131143155167[[#Headers],[2]],tabela_registros[REGISTRO],DADOS!$N$4,tabela_registros[TIPO],DADOS!$P$3,tabela_registros[CATEGORIA],despesafixaconsolidadodez[[#This Row],[DESPESA FIXA]])</f>
        <v>0</v>
      </c>
      <c r="G47" s="119" t="n">
        <f aca="false">SUMIFS(tabela_registros[VALOR],tabela_registros[MÊS],$AE$1,tabela_registros[DIA],deztotal3059718395107119131143155167[[#Headers],[3]],tabela_registros[REGISTRO],DADOS!$N$4,tabela_registros[TIPO],DADOS!$P$3,tabela_registros[CATEGORIA],despesafixaconsolidadodez[[#This Row],[DESPESA FIXA]])</f>
        <v>0</v>
      </c>
      <c r="H47" s="119" t="n">
        <f aca="false">SUMIFS(tabela_registros[VALOR],tabela_registros[MÊS],$AE$1,tabela_registros[DIA],deztotal3059718395107119131143155167[[#Headers],[4]],tabela_registros[REGISTRO],DADOS!$N$4,tabela_registros[TIPO],DADOS!$P$3,tabela_registros[CATEGORIA],despesafixaconsolidadodez[[#This Row],[DESPESA FIXA]])</f>
        <v>0</v>
      </c>
      <c r="I47" s="119" t="n">
        <f aca="false">SUMIFS(tabela_registros[VALOR],tabela_registros[MÊS],$AE$1,tabela_registros[DIA],deztotal3059718395107119131143155167[[#Headers],[5]],tabela_registros[REGISTRO],DADOS!$N$4,tabela_registros[TIPO],DADOS!$P$3,tabela_registros[CATEGORIA],despesafixaconsolidadodez[[#This Row],[DESPESA FIXA]])</f>
        <v>0</v>
      </c>
      <c r="J47" s="119" t="n">
        <f aca="false">SUMIFS(tabela_registros[VALOR],tabela_registros[MÊS],$AE$1,tabela_registros[DIA],deztotal3059718395107119131143155167[[#Headers],[6]],tabela_registros[REGISTRO],DADOS!$N$4,tabela_registros[TIPO],DADOS!$P$3,tabela_registros[CATEGORIA],despesafixaconsolidadodez[[#This Row],[DESPESA FIXA]])</f>
        <v>0</v>
      </c>
      <c r="K47" s="119" t="n">
        <f aca="false">SUMIFS(tabela_registros[VALOR],tabela_registros[MÊS],$AE$1,tabela_registros[DIA],deztotal3059718395107119131143155167[[#Headers],[7]],tabela_registros[REGISTRO],DADOS!$N$4,tabela_registros[TIPO],DADOS!$P$3,tabela_registros[CATEGORIA],despesafixaconsolidadodez[[#This Row],[DESPESA FIXA]])</f>
        <v>0</v>
      </c>
      <c r="L47" s="119" t="n">
        <f aca="false">SUMIFS(tabela_registros[VALOR],tabela_registros[MÊS],$AE$1,tabela_registros[DIA],deztotal3059718395107119131143155167[[#Headers],[8]],tabela_registros[REGISTRO],DADOS!$N$4,tabela_registros[TIPO],DADOS!$P$3,tabela_registros[CATEGORIA],despesafixaconsolidadodez[[#This Row],[DESPESA FIXA]])</f>
        <v>0</v>
      </c>
      <c r="M47" s="119" t="n">
        <f aca="false">SUMIFS(tabela_registros[VALOR],tabela_registros[MÊS],$AE$1,tabela_registros[DIA],deztotal3059718395107119131143155167[[#Headers],[9]],tabela_registros[REGISTRO],DADOS!$N$4,tabela_registros[TIPO],DADOS!$P$3,tabela_registros[CATEGORIA],despesafixaconsolidadodez[[#This Row],[DESPESA FIXA]])</f>
        <v>0</v>
      </c>
      <c r="N47" s="119" t="n">
        <f aca="false">SUMIFS(tabela_registros[VALOR],tabela_registros[MÊS],$AE$1,tabela_registros[DIA],deztotal3059718395107119131143155167[[#Headers],[10]],tabela_registros[REGISTRO],DADOS!$N$4,tabela_registros[TIPO],DADOS!$P$3,tabela_registros[CATEGORIA],despesafixaconsolidadodez[[#This Row],[DESPESA FIXA]])</f>
        <v>0</v>
      </c>
      <c r="O47" s="119" t="n">
        <f aca="false">SUMIFS(tabela_registros[VALOR],tabela_registros[MÊS],$AE$1,tabela_registros[DIA],deztotal3059718395107119131143155167[[#Headers],[11]],tabela_registros[REGISTRO],DADOS!$N$4,tabela_registros[TIPO],DADOS!$P$3,tabela_registros[CATEGORIA],despesafixaconsolidadodez[[#This Row],[DESPESA FIXA]])</f>
        <v>0</v>
      </c>
      <c r="P47" s="119" t="n">
        <f aca="false">SUMIFS(tabela_registros[VALOR],tabela_registros[MÊS],$AE$1,tabela_registros[DIA],deztotal3059718395107119131143155167[[#Headers],[12]],tabela_registros[REGISTRO],DADOS!$N$4,tabela_registros[TIPO],DADOS!$P$3,tabela_registros[CATEGORIA],despesafixaconsolidadodez[[#This Row],[DESPESA FIXA]])</f>
        <v>0</v>
      </c>
      <c r="Q47" s="119" t="n">
        <f aca="false">SUMIFS(tabela_registros[VALOR],tabela_registros[MÊS],$AE$1,tabela_registros[DIA],deztotal3059718395107119131143155167[[#Headers],[13]],tabela_registros[REGISTRO],DADOS!$N$4,tabela_registros[TIPO],DADOS!$P$3,tabela_registros[CATEGORIA],despesafixaconsolidadodez[[#This Row],[DESPESA FIXA]])</f>
        <v>0</v>
      </c>
      <c r="R47" s="119" t="n">
        <f aca="false">SUMIFS(tabela_registros[VALOR],tabela_registros[MÊS],$AE$1,tabela_registros[DIA],deztotal3059718395107119131143155167[[#Headers],[14]],tabela_registros[REGISTRO],DADOS!$N$4,tabela_registros[TIPO],DADOS!$P$3,tabela_registros[CATEGORIA],despesafixaconsolidadodez[[#This Row],[DESPESA FIXA]])</f>
        <v>0</v>
      </c>
      <c r="S47" s="119" t="n">
        <f aca="false">SUMIFS(tabela_registros[VALOR],tabela_registros[MÊS],$AE$1,tabela_registros[DIA],deztotal3059718395107119131143155167[[#Headers],[15]],tabela_registros[REGISTRO],DADOS!$N$4,tabela_registros[TIPO],DADOS!$P$3,tabela_registros[CATEGORIA],despesafixaconsolidadodez[[#This Row],[DESPESA FIXA]])</f>
        <v>0</v>
      </c>
      <c r="T47" s="119" t="n">
        <f aca="false">SUMIFS(tabela_registros[VALOR],tabela_registros[MÊS],$AE$1,tabela_registros[DIA],deztotal3059718395107119131143155167[[#Headers],[16]],tabela_registros[REGISTRO],DADOS!$N$4,tabela_registros[TIPO],DADOS!$P$3,tabela_registros[CATEGORIA],despesafixaconsolidadodez[[#This Row],[DESPESA FIXA]])</f>
        <v>0</v>
      </c>
      <c r="U47" s="119" t="n">
        <f aca="false">SUMIFS(tabela_registros[VALOR],tabela_registros[MÊS],$AE$1,tabela_registros[DIA],deztotal3059718395107119131143155167[[#Headers],[17]],tabela_registros[REGISTRO],DADOS!$N$4,tabela_registros[TIPO],DADOS!$P$3,tabela_registros[CATEGORIA],despesafixaconsolidadodez[[#This Row],[DESPESA FIXA]])</f>
        <v>0</v>
      </c>
      <c r="V47" s="119" t="n">
        <f aca="false">SUMIFS(tabela_registros[VALOR],tabela_registros[MÊS],$AE$1,tabela_registros[DIA],deztotal3059718395107119131143155167[[#Headers],[18]],tabela_registros[REGISTRO],DADOS!$N$4,tabela_registros[TIPO],DADOS!$P$3,tabela_registros[CATEGORIA],despesafixaconsolidadodez[[#This Row],[DESPESA FIXA]])</f>
        <v>0</v>
      </c>
      <c r="W47" s="119" t="n">
        <f aca="false">SUMIFS(tabela_registros[VALOR],tabela_registros[MÊS],$AE$1,tabela_registros[DIA],deztotal3059718395107119131143155167[[#Headers],[19]],tabela_registros[REGISTRO],DADOS!$N$4,tabela_registros[TIPO],DADOS!$P$3,tabela_registros[CATEGORIA],despesafixaconsolidadodez[[#This Row],[DESPESA FIXA]])</f>
        <v>0</v>
      </c>
      <c r="X47" s="119" t="n">
        <f aca="false">SUMIFS(tabela_registros[VALOR],tabela_registros[MÊS],$AE$1,tabela_registros[DIA],deztotal3059718395107119131143155167[[#Headers],[20]],tabela_registros[REGISTRO],DADOS!$N$4,tabela_registros[TIPO],DADOS!$P$3,tabela_registros[CATEGORIA],despesafixaconsolidadodez[[#This Row],[DESPESA FIXA]])</f>
        <v>0</v>
      </c>
      <c r="Y47" s="119" t="n">
        <f aca="false">SUMIFS(tabela_registros[VALOR],tabela_registros[MÊS],$AE$1,tabela_registros[DIA],deztotal3059718395107119131143155167[[#Headers],[21]],tabela_registros[REGISTRO],DADOS!$N$4,tabela_registros[TIPO],DADOS!$P$3,tabela_registros[CATEGORIA],despesafixaconsolidadodez[[#This Row],[DESPESA FIXA]])</f>
        <v>0</v>
      </c>
      <c r="Z47" s="119" t="n">
        <f aca="false">SUMIFS(tabela_registros[VALOR],tabela_registros[MÊS],$AE$1,tabela_registros[DIA],deztotal3059718395107119131143155167[[#Headers],[22]],tabela_registros[REGISTRO],DADOS!$N$4,tabela_registros[TIPO],DADOS!$P$3,tabela_registros[CATEGORIA],despesafixaconsolidadodez[[#This Row],[DESPESA FIXA]])</f>
        <v>0</v>
      </c>
      <c r="AA47" s="119" t="n">
        <f aca="false">SUMIFS(tabela_registros[VALOR],tabela_registros[MÊS],$AE$1,tabela_registros[DIA],deztotal3059718395107119131143155167[[#Headers],[23]],tabela_registros[REGISTRO],DADOS!$N$4,tabela_registros[TIPO],DADOS!$P$3,tabela_registros[CATEGORIA],despesafixaconsolidadodez[[#This Row],[DESPESA FIXA]])</f>
        <v>0</v>
      </c>
      <c r="AB47" s="119" t="n">
        <f aca="false">SUMIFS(tabela_registros[VALOR],tabela_registros[MÊS],$AE$1,tabela_registros[DIA],deztotal3059718395107119131143155167[[#Headers],[24]],tabela_registros[REGISTRO],DADOS!$N$4,tabela_registros[TIPO],DADOS!$P$3,tabela_registros[CATEGORIA],despesafixaconsolidadodez[[#This Row],[DESPESA FIXA]])</f>
        <v>0</v>
      </c>
      <c r="AC47" s="119" t="n">
        <f aca="false">SUMIFS(tabela_registros[VALOR],tabela_registros[MÊS],$AE$1,tabela_registros[DIA],deztotal3059718395107119131143155167[[#Headers],[25]],tabela_registros[REGISTRO],DADOS!$N$4,tabela_registros[TIPO],DADOS!$P$3,tabela_registros[CATEGORIA],despesafixaconsolidadodez[[#This Row],[DESPESA FIXA]])</f>
        <v>0</v>
      </c>
      <c r="AD47" s="119" t="n">
        <f aca="false">SUMIFS(tabela_registros[VALOR],tabela_registros[MÊS],$AE$1,tabela_registros[DIA],deztotal3059718395107119131143155167[[#Headers],[26]],tabela_registros[REGISTRO],DADOS!$N$4,tabela_registros[TIPO],DADOS!$P$3,tabela_registros[CATEGORIA],despesafixaconsolidadodez[[#This Row],[DESPESA FIXA]])</f>
        <v>0</v>
      </c>
      <c r="AE47" s="119" t="n">
        <f aca="false">SUMIFS(tabela_registros[VALOR],tabela_registros[MÊS],$AE$1,tabela_registros[DIA],deztotal3059718395107119131143155167[[#Headers],[27]],tabela_registros[REGISTRO],DADOS!$N$4,tabela_registros[TIPO],DADOS!$P$3,tabela_registros[CATEGORIA],despesafixaconsolidadodez[[#This Row],[DESPESA FIXA]])</f>
        <v>0</v>
      </c>
      <c r="AF47" s="119" t="n">
        <f aca="false">SUMIFS(tabela_registros[VALOR],tabela_registros[MÊS],$AE$1,tabela_registros[DIA],deztotal3059718395107119131143155167[[#Headers],[28]],tabela_registros[REGISTRO],DADOS!$N$4,tabela_registros[TIPO],DADOS!$P$3,tabela_registros[CATEGORIA],despesafixaconsolidadodez[[#This Row],[DESPESA FIXA]])</f>
        <v>0</v>
      </c>
      <c r="AG47" s="119" t="n">
        <f aca="false">SUMIFS(tabela_registros[VALOR],tabela_registros[MÊS],$AE$1,tabela_registros[DIA],deztotal3059718395107119131143155167[[#Headers],[29]],tabela_registros[REGISTRO],DADOS!$N$4,tabela_registros[TIPO],DADOS!$P$3,tabela_registros[CATEGORIA],despesafixaconsolidadodez[[#This Row],[DESPESA FIXA]])</f>
        <v>0</v>
      </c>
      <c r="AH47" s="119" t="n">
        <f aca="false">SUMIFS(tabela_registros[VALOR],tabela_registros[MÊS],$AE$1,tabela_registros[DIA],deztotal3059718395107119131143155167[[#Headers],[30]],tabela_registros[REGISTRO],DADOS!$N$4,tabela_registros[TIPO],DADOS!$P$3,tabela_registros[CATEGORIA],despesafixaconsolidadodez[[#This Row],[DESPESA FIXA]])</f>
        <v>0</v>
      </c>
      <c r="AI47" s="217" t="n">
        <f aca="false">SUMIFS(tabela_registros[VALOR],tabela_registros[MÊS],$AE$1,tabela_registros[DIA],deztotal3059718395107119131143155167[[#Headers],[31]],tabela_registros[REGISTRO],DADOS!$N$4,tabela_registros[TIPO],DADOS!$P$3,tabela_registros[CATEGORIA],despesafixaconsolidadodez[[#This Row],[DESPESA FIXA]])</f>
        <v>0</v>
      </c>
      <c r="AJ47" s="149" t="n">
        <f aca="false">SUM(despesafixaconsolidadodez[[#This Row],[1]:[31]])</f>
        <v>0</v>
      </c>
      <c r="AK47" s="143"/>
    </row>
    <row r="48" customFormat="false" ht="18" hidden="false" customHeight="true" outlineLevel="0" collapsed="false">
      <c r="B48" s="143"/>
      <c r="C48" s="144" t="str">
        <f aca="false">DADOS!$R$14</f>
        <v>💊 SAÚDE</v>
      </c>
      <c r="D48" s="145" t="str">
        <f aca="false">IF(despesafixaconsolidadodez[[#This Row],[TOTAL]]=0,"",IF(OR(despesafixaconsolidadodez[[#This Row],[TOTAL]]=LARGE($AJ$37:$AJ$50,1),despesafixaconsolidadodez[[#This Row],[TOTAL]]=LARGE($AJ$37:$AJ$50,2),despesafixaconsolidadodez[[#This Row],[TOTAL]]=LARGE($AJ$37:$AJ$50,3),despesafixaconsolidadodez[[#This Row],[TOTAL]]=LARGE($AJ$37:$AJ$50,4),despesafixaconsolidadodez[[#This Row],[TOTAL]]=LARGE($AJ$37:$AJ$50,5)),DADOS!$I$8,""))</f>
        <v/>
      </c>
      <c r="E48" s="148" t="n">
        <f aca="false">SUMIFS(tabela_registros[VALOR],tabela_registros[MÊS],$AE$1,tabela_registros[DIA],deztotal3059718395107119131143155167[[#Headers],[1]],tabela_registros[REGISTRO],DADOS!$N$4,tabela_registros[TIPO],DADOS!$P$3,tabela_registros[CATEGORIA],despesafixaconsolidadodez[[#This Row],[DESPESA FIXA]])</f>
        <v>0</v>
      </c>
      <c r="F48" s="119" t="n">
        <f aca="false">SUMIFS(tabela_registros[VALOR],tabela_registros[MÊS],$AE$1,tabela_registros[DIA],deztotal3059718395107119131143155167[[#Headers],[2]],tabela_registros[REGISTRO],DADOS!$N$4,tabela_registros[TIPO],DADOS!$P$3,tabela_registros[CATEGORIA],despesafixaconsolidadodez[[#This Row],[DESPESA FIXA]])</f>
        <v>0</v>
      </c>
      <c r="G48" s="119" t="n">
        <f aca="false">SUMIFS(tabela_registros[VALOR],tabela_registros[MÊS],$AE$1,tabela_registros[DIA],deztotal3059718395107119131143155167[[#Headers],[3]],tabela_registros[REGISTRO],DADOS!$N$4,tabela_registros[TIPO],DADOS!$P$3,tabela_registros[CATEGORIA],despesafixaconsolidadodez[[#This Row],[DESPESA FIXA]])</f>
        <v>0</v>
      </c>
      <c r="H48" s="119" t="n">
        <f aca="false">SUMIFS(tabela_registros[VALOR],tabela_registros[MÊS],$AE$1,tabela_registros[DIA],deztotal3059718395107119131143155167[[#Headers],[4]],tabela_registros[REGISTRO],DADOS!$N$4,tabela_registros[TIPO],DADOS!$P$3,tabela_registros[CATEGORIA],despesafixaconsolidadodez[[#This Row],[DESPESA FIXA]])</f>
        <v>0</v>
      </c>
      <c r="I48" s="119" t="n">
        <f aca="false">SUMIFS(tabela_registros[VALOR],tabela_registros[MÊS],$AE$1,tabela_registros[DIA],deztotal3059718395107119131143155167[[#Headers],[5]],tabela_registros[REGISTRO],DADOS!$N$4,tabela_registros[TIPO],DADOS!$P$3,tabela_registros[CATEGORIA],despesafixaconsolidadodez[[#This Row],[DESPESA FIXA]])</f>
        <v>0</v>
      </c>
      <c r="J48" s="119" t="n">
        <f aca="false">SUMIFS(tabela_registros[VALOR],tabela_registros[MÊS],$AE$1,tabela_registros[DIA],deztotal3059718395107119131143155167[[#Headers],[6]],tabela_registros[REGISTRO],DADOS!$N$4,tabela_registros[TIPO],DADOS!$P$3,tabela_registros[CATEGORIA],despesafixaconsolidadodez[[#This Row],[DESPESA FIXA]])</f>
        <v>0</v>
      </c>
      <c r="K48" s="119" t="n">
        <f aca="false">SUMIFS(tabela_registros[VALOR],tabela_registros[MÊS],$AE$1,tabela_registros[DIA],deztotal3059718395107119131143155167[[#Headers],[7]],tabela_registros[REGISTRO],DADOS!$N$4,tabela_registros[TIPO],DADOS!$P$3,tabela_registros[CATEGORIA],despesafixaconsolidadodez[[#This Row],[DESPESA FIXA]])</f>
        <v>0</v>
      </c>
      <c r="L48" s="119" t="n">
        <f aca="false">SUMIFS(tabela_registros[VALOR],tabela_registros[MÊS],$AE$1,tabela_registros[DIA],deztotal3059718395107119131143155167[[#Headers],[8]],tabela_registros[REGISTRO],DADOS!$N$4,tabela_registros[TIPO],DADOS!$P$3,tabela_registros[CATEGORIA],despesafixaconsolidadodez[[#This Row],[DESPESA FIXA]])</f>
        <v>0</v>
      </c>
      <c r="M48" s="119" t="n">
        <f aca="false">SUMIFS(tabela_registros[VALOR],tabela_registros[MÊS],$AE$1,tabela_registros[DIA],deztotal3059718395107119131143155167[[#Headers],[9]],tabela_registros[REGISTRO],DADOS!$N$4,tabela_registros[TIPO],DADOS!$P$3,tabela_registros[CATEGORIA],despesafixaconsolidadodez[[#This Row],[DESPESA FIXA]])</f>
        <v>0</v>
      </c>
      <c r="N48" s="119" t="n">
        <f aca="false">SUMIFS(tabela_registros[VALOR],tabela_registros[MÊS],$AE$1,tabela_registros[DIA],deztotal3059718395107119131143155167[[#Headers],[10]],tabela_registros[REGISTRO],DADOS!$N$4,tabela_registros[TIPO],DADOS!$P$3,tabela_registros[CATEGORIA],despesafixaconsolidadodez[[#This Row],[DESPESA FIXA]])</f>
        <v>0</v>
      </c>
      <c r="O48" s="119" t="n">
        <f aca="false">SUMIFS(tabela_registros[VALOR],tabela_registros[MÊS],$AE$1,tabela_registros[DIA],deztotal3059718395107119131143155167[[#Headers],[11]],tabela_registros[REGISTRO],DADOS!$N$4,tabela_registros[TIPO],DADOS!$P$3,tabela_registros[CATEGORIA],despesafixaconsolidadodez[[#This Row],[DESPESA FIXA]])</f>
        <v>0</v>
      </c>
      <c r="P48" s="119" t="n">
        <f aca="false">SUMIFS(tabela_registros[VALOR],tabela_registros[MÊS],$AE$1,tabela_registros[DIA],deztotal3059718395107119131143155167[[#Headers],[12]],tabela_registros[REGISTRO],DADOS!$N$4,tabela_registros[TIPO],DADOS!$P$3,tabela_registros[CATEGORIA],despesafixaconsolidadodez[[#This Row],[DESPESA FIXA]])</f>
        <v>0</v>
      </c>
      <c r="Q48" s="119" t="n">
        <f aca="false">SUMIFS(tabela_registros[VALOR],tabela_registros[MÊS],$AE$1,tabela_registros[DIA],deztotal3059718395107119131143155167[[#Headers],[13]],tabela_registros[REGISTRO],DADOS!$N$4,tabela_registros[TIPO],DADOS!$P$3,tabela_registros[CATEGORIA],despesafixaconsolidadodez[[#This Row],[DESPESA FIXA]])</f>
        <v>0</v>
      </c>
      <c r="R48" s="119" t="n">
        <f aca="false">SUMIFS(tabela_registros[VALOR],tabela_registros[MÊS],$AE$1,tabela_registros[DIA],deztotal3059718395107119131143155167[[#Headers],[14]],tabela_registros[REGISTRO],DADOS!$N$4,tabela_registros[TIPO],DADOS!$P$3,tabela_registros[CATEGORIA],despesafixaconsolidadodez[[#This Row],[DESPESA FIXA]])</f>
        <v>0</v>
      </c>
      <c r="S48" s="119" t="n">
        <f aca="false">SUMIFS(tabela_registros[VALOR],tabela_registros[MÊS],$AE$1,tabela_registros[DIA],deztotal3059718395107119131143155167[[#Headers],[15]],tabela_registros[REGISTRO],DADOS!$N$4,tabela_registros[TIPO],DADOS!$P$3,tabela_registros[CATEGORIA],despesafixaconsolidadodez[[#This Row],[DESPESA FIXA]])</f>
        <v>0</v>
      </c>
      <c r="T48" s="119" t="n">
        <f aca="false">SUMIFS(tabela_registros[VALOR],tabela_registros[MÊS],$AE$1,tabela_registros[DIA],deztotal3059718395107119131143155167[[#Headers],[16]],tabela_registros[REGISTRO],DADOS!$N$4,tabela_registros[TIPO],DADOS!$P$3,tabela_registros[CATEGORIA],despesafixaconsolidadodez[[#This Row],[DESPESA FIXA]])</f>
        <v>0</v>
      </c>
      <c r="U48" s="119" t="n">
        <f aca="false">SUMIFS(tabela_registros[VALOR],tabela_registros[MÊS],$AE$1,tabela_registros[DIA],deztotal3059718395107119131143155167[[#Headers],[17]],tabela_registros[REGISTRO],DADOS!$N$4,tabela_registros[TIPO],DADOS!$P$3,tabela_registros[CATEGORIA],despesafixaconsolidadodez[[#This Row],[DESPESA FIXA]])</f>
        <v>0</v>
      </c>
      <c r="V48" s="119" t="n">
        <f aca="false">SUMIFS(tabela_registros[VALOR],tabela_registros[MÊS],$AE$1,tabela_registros[DIA],deztotal3059718395107119131143155167[[#Headers],[18]],tabela_registros[REGISTRO],DADOS!$N$4,tabela_registros[TIPO],DADOS!$P$3,tabela_registros[CATEGORIA],despesafixaconsolidadodez[[#This Row],[DESPESA FIXA]])</f>
        <v>0</v>
      </c>
      <c r="W48" s="119" t="n">
        <f aca="false">SUMIFS(tabela_registros[VALOR],tabela_registros[MÊS],$AE$1,tabela_registros[DIA],deztotal3059718395107119131143155167[[#Headers],[19]],tabela_registros[REGISTRO],DADOS!$N$4,tabela_registros[TIPO],DADOS!$P$3,tabela_registros[CATEGORIA],despesafixaconsolidadodez[[#This Row],[DESPESA FIXA]])</f>
        <v>0</v>
      </c>
      <c r="X48" s="119" t="n">
        <f aca="false">SUMIFS(tabela_registros[VALOR],tabela_registros[MÊS],$AE$1,tabela_registros[DIA],deztotal3059718395107119131143155167[[#Headers],[20]],tabela_registros[REGISTRO],DADOS!$N$4,tabela_registros[TIPO],DADOS!$P$3,tabela_registros[CATEGORIA],despesafixaconsolidadodez[[#This Row],[DESPESA FIXA]])</f>
        <v>0</v>
      </c>
      <c r="Y48" s="119" t="n">
        <f aca="false">SUMIFS(tabela_registros[VALOR],tabela_registros[MÊS],$AE$1,tabela_registros[DIA],deztotal3059718395107119131143155167[[#Headers],[21]],tabela_registros[REGISTRO],DADOS!$N$4,tabela_registros[TIPO],DADOS!$P$3,tabela_registros[CATEGORIA],despesafixaconsolidadodez[[#This Row],[DESPESA FIXA]])</f>
        <v>0</v>
      </c>
      <c r="Z48" s="119" t="n">
        <f aca="false">SUMIFS(tabela_registros[VALOR],tabela_registros[MÊS],$AE$1,tabela_registros[DIA],deztotal3059718395107119131143155167[[#Headers],[22]],tabela_registros[REGISTRO],DADOS!$N$4,tabela_registros[TIPO],DADOS!$P$3,tabela_registros[CATEGORIA],despesafixaconsolidadodez[[#This Row],[DESPESA FIXA]])</f>
        <v>0</v>
      </c>
      <c r="AA48" s="119" t="n">
        <f aca="false">SUMIFS(tabela_registros[VALOR],tabela_registros[MÊS],$AE$1,tabela_registros[DIA],deztotal3059718395107119131143155167[[#Headers],[23]],tabela_registros[REGISTRO],DADOS!$N$4,tabela_registros[TIPO],DADOS!$P$3,tabela_registros[CATEGORIA],despesafixaconsolidadodez[[#This Row],[DESPESA FIXA]])</f>
        <v>0</v>
      </c>
      <c r="AB48" s="119" t="n">
        <f aca="false">SUMIFS(tabela_registros[VALOR],tabela_registros[MÊS],$AE$1,tabela_registros[DIA],deztotal3059718395107119131143155167[[#Headers],[24]],tabela_registros[REGISTRO],DADOS!$N$4,tabela_registros[TIPO],DADOS!$P$3,tabela_registros[CATEGORIA],despesafixaconsolidadodez[[#This Row],[DESPESA FIXA]])</f>
        <v>0</v>
      </c>
      <c r="AC48" s="119" t="n">
        <f aca="false">SUMIFS(tabela_registros[VALOR],tabela_registros[MÊS],$AE$1,tabela_registros[DIA],deztotal3059718395107119131143155167[[#Headers],[25]],tabela_registros[REGISTRO],DADOS!$N$4,tabela_registros[TIPO],DADOS!$P$3,tabela_registros[CATEGORIA],despesafixaconsolidadodez[[#This Row],[DESPESA FIXA]])</f>
        <v>0</v>
      </c>
      <c r="AD48" s="119" t="n">
        <f aca="false">SUMIFS(tabela_registros[VALOR],tabela_registros[MÊS],$AE$1,tabela_registros[DIA],deztotal3059718395107119131143155167[[#Headers],[26]],tabela_registros[REGISTRO],DADOS!$N$4,tabela_registros[TIPO],DADOS!$P$3,tabela_registros[CATEGORIA],despesafixaconsolidadodez[[#This Row],[DESPESA FIXA]])</f>
        <v>0</v>
      </c>
      <c r="AE48" s="119" t="n">
        <f aca="false">SUMIFS(tabela_registros[VALOR],tabela_registros[MÊS],$AE$1,tabela_registros[DIA],deztotal3059718395107119131143155167[[#Headers],[27]],tabela_registros[REGISTRO],DADOS!$N$4,tabela_registros[TIPO],DADOS!$P$3,tabela_registros[CATEGORIA],despesafixaconsolidadodez[[#This Row],[DESPESA FIXA]])</f>
        <v>0</v>
      </c>
      <c r="AF48" s="119" t="n">
        <f aca="false">SUMIFS(tabela_registros[VALOR],tabela_registros[MÊS],$AE$1,tabela_registros[DIA],deztotal3059718395107119131143155167[[#Headers],[28]],tabela_registros[REGISTRO],DADOS!$N$4,tabela_registros[TIPO],DADOS!$P$3,tabela_registros[CATEGORIA],despesafixaconsolidadodez[[#This Row],[DESPESA FIXA]])</f>
        <v>0</v>
      </c>
      <c r="AG48" s="119" t="n">
        <f aca="false">SUMIFS(tabela_registros[VALOR],tabela_registros[MÊS],$AE$1,tabela_registros[DIA],deztotal3059718395107119131143155167[[#Headers],[29]],tabela_registros[REGISTRO],DADOS!$N$4,tabela_registros[TIPO],DADOS!$P$3,tabela_registros[CATEGORIA],despesafixaconsolidadodez[[#This Row],[DESPESA FIXA]])</f>
        <v>0</v>
      </c>
      <c r="AH48" s="119" t="n">
        <f aca="false">SUMIFS(tabela_registros[VALOR],tabela_registros[MÊS],$AE$1,tabela_registros[DIA],deztotal3059718395107119131143155167[[#Headers],[30]],tabela_registros[REGISTRO],DADOS!$N$4,tabela_registros[TIPO],DADOS!$P$3,tabela_registros[CATEGORIA],despesafixaconsolidadodez[[#This Row],[DESPESA FIXA]])</f>
        <v>0</v>
      </c>
      <c r="AI48" s="217" t="n">
        <f aca="false">SUMIFS(tabela_registros[VALOR],tabela_registros[MÊS],$AE$1,tabela_registros[DIA],deztotal3059718395107119131143155167[[#Headers],[31]],tabela_registros[REGISTRO],DADOS!$N$4,tabela_registros[TIPO],DADOS!$P$3,tabela_registros[CATEGORIA],despesafixaconsolidadodez[[#This Row],[DESPESA FIXA]])</f>
        <v>0</v>
      </c>
      <c r="AJ48" s="149" t="n">
        <f aca="false">SUM(despesafixaconsolidadodez[[#This Row],[1]:[31]])</f>
        <v>0</v>
      </c>
      <c r="AK48" s="143"/>
    </row>
    <row r="49" customFormat="false" ht="18" hidden="false" customHeight="true" outlineLevel="0" collapsed="false">
      <c r="B49" s="143"/>
      <c r="C49" s="144" t="str">
        <f aca="false">DADOS!$R$15</f>
        <v>📞 TELEFONE</v>
      </c>
      <c r="D49" s="145" t="str">
        <f aca="false">IF(despesafixaconsolidadodez[[#This Row],[TOTAL]]=0,"",IF(OR(despesafixaconsolidadodez[[#This Row],[TOTAL]]=LARGE($AJ$37:$AJ$50,1),despesafixaconsolidadodez[[#This Row],[TOTAL]]=LARGE($AJ$37:$AJ$50,2),despesafixaconsolidadodez[[#This Row],[TOTAL]]=LARGE($AJ$37:$AJ$50,3),despesafixaconsolidadodez[[#This Row],[TOTAL]]=LARGE($AJ$37:$AJ$50,4),despesafixaconsolidadodez[[#This Row],[TOTAL]]=LARGE($AJ$37:$AJ$50,5)),DADOS!$I$8,""))</f>
        <v/>
      </c>
      <c r="E49" s="148" t="n">
        <f aca="false">SUMIFS(tabela_registros[VALOR],tabela_registros[MÊS],$AE$1,tabela_registros[DIA],deztotal3059718395107119131143155167[[#Headers],[1]],tabela_registros[REGISTRO],DADOS!$N$4,tabela_registros[TIPO],DADOS!$P$3,tabela_registros[CATEGORIA],despesafixaconsolidadodez[[#This Row],[DESPESA FIXA]])</f>
        <v>0</v>
      </c>
      <c r="F49" s="119" t="n">
        <f aca="false">SUMIFS(tabela_registros[VALOR],tabela_registros[MÊS],$AE$1,tabela_registros[DIA],deztotal3059718395107119131143155167[[#Headers],[2]],tabela_registros[REGISTRO],DADOS!$N$4,tabela_registros[TIPO],DADOS!$P$3,tabela_registros[CATEGORIA],despesafixaconsolidadodez[[#This Row],[DESPESA FIXA]])</f>
        <v>0</v>
      </c>
      <c r="G49" s="119" t="n">
        <f aca="false">SUMIFS(tabela_registros[VALOR],tabela_registros[MÊS],$AE$1,tabela_registros[DIA],deztotal3059718395107119131143155167[[#Headers],[3]],tabela_registros[REGISTRO],DADOS!$N$4,tabela_registros[TIPO],DADOS!$P$3,tabela_registros[CATEGORIA],despesafixaconsolidadodez[[#This Row],[DESPESA FIXA]])</f>
        <v>0</v>
      </c>
      <c r="H49" s="119" t="n">
        <f aca="false">SUMIFS(tabela_registros[VALOR],tabela_registros[MÊS],$AE$1,tabela_registros[DIA],deztotal3059718395107119131143155167[[#Headers],[4]],tabela_registros[REGISTRO],DADOS!$N$4,tabela_registros[TIPO],DADOS!$P$3,tabela_registros[CATEGORIA],despesafixaconsolidadodez[[#This Row],[DESPESA FIXA]])</f>
        <v>0</v>
      </c>
      <c r="I49" s="119" t="n">
        <f aca="false">SUMIFS(tabela_registros[VALOR],tabela_registros[MÊS],$AE$1,tabela_registros[DIA],deztotal3059718395107119131143155167[[#Headers],[5]],tabela_registros[REGISTRO],DADOS!$N$4,tabela_registros[TIPO],DADOS!$P$3,tabela_registros[CATEGORIA],despesafixaconsolidadodez[[#This Row],[DESPESA FIXA]])</f>
        <v>0</v>
      </c>
      <c r="J49" s="119" t="n">
        <f aca="false">SUMIFS(tabela_registros[VALOR],tabela_registros[MÊS],$AE$1,tabela_registros[DIA],deztotal3059718395107119131143155167[[#Headers],[6]],tabela_registros[REGISTRO],DADOS!$N$4,tabela_registros[TIPO],DADOS!$P$3,tabela_registros[CATEGORIA],despesafixaconsolidadodez[[#This Row],[DESPESA FIXA]])</f>
        <v>0</v>
      </c>
      <c r="K49" s="119" t="n">
        <f aca="false">SUMIFS(tabela_registros[VALOR],tabela_registros[MÊS],$AE$1,tabela_registros[DIA],deztotal3059718395107119131143155167[[#Headers],[7]],tabela_registros[REGISTRO],DADOS!$N$4,tabela_registros[TIPO],DADOS!$P$3,tabela_registros[CATEGORIA],despesafixaconsolidadodez[[#This Row],[DESPESA FIXA]])</f>
        <v>0</v>
      </c>
      <c r="L49" s="119" t="n">
        <f aca="false">SUMIFS(tabela_registros[VALOR],tabela_registros[MÊS],$AE$1,tabela_registros[DIA],deztotal3059718395107119131143155167[[#Headers],[8]],tabela_registros[REGISTRO],DADOS!$N$4,tabela_registros[TIPO],DADOS!$P$3,tabela_registros[CATEGORIA],despesafixaconsolidadodez[[#This Row],[DESPESA FIXA]])</f>
        <v>0</v>
      </c>
      <c r="M49" s="119" t="n">
        <f aca="false">SUMIFS(tabela_registros[VALOR],tabela_registros[MÊS],$AE$1,tabela_registros[DIA],deztotal3059718395107119131143155167[[#Headers],[9]],tabela_registros[REGISTRO],DADOS!$N$4,tabela_registros[TIPO],DADOS!$P$3,tabela_registros[CATEGORIA],despesafixaconsolidadodez[[#This Row],[DESPESA FIXA]])</f>
        <v>0</v>
      </c>
      <c r="N49" s="119" t="n">
        <f aca="false">SUMIFS(tabela_registros[VALOR],tabela_registros[MÊS],$AE$1,tabela_registros[DIA],deztotal3059718395107119131143155167[[#Headers],[10]],tabela_registros[REGISTRO],DADOS!$N$4,tabela_registros[TIPO],DADOS!$P$3,tabela_registros[CATEGORIA],despesafixaconsolidadodez[[#This Row],[DESPESA FIXA]])</f>
        <v>0</v>
      </c>
      <c r="O49" s="119" t="n">
        <f aca="false">SUMIFS(tabela_registros[VALOR],tabela_registros[MÊS],$AE$1,tabela_registros[DIA],deztotal3059718395107119131143155167[[#Headers],[11]],tabela_registros[REGISTRO],DADOS!$N$4,tabela_registros[TIPO],DADOS!$P$3,tabela_registros[CATEGORIA],despesafixaconsolidadodez[[#This Row],[DESPESA FIXA]])</f>
        <v>0</v>
      </c>
      <c r="P49" s="119" t="n">
        <f aca="false">SUMIFS(tabela_registros[VALOR],tabela_registros[MÊS],$AE$1,tabela_registros[DIA],deztotal3059718395107119131143155167[[#Headers],[12]],tabela_registros[REGISTRO],DADOS!$N$4,tabela_registros[TIPO],DADOS!$P$3,tabela_registros[CATEGORIA],despesafixaconsolidadodez[[#This Row],[DESPESA FIXA]])</f>
        <v>0</v>
      </c>
      <c r="Q49" s="119" t="n">
        <f aca="false">SUMIFS(tabela_registros[VALOR],tabela_registros[MÊS],$AE$1,tabela_registros[DIA],deztotal3059718395107119131143155167[[#Headers],[13]],tabela_registros[REGISTRO],DADOS!$N$4,tabela_registros[TIPO],DADOS!$P$3,tabela_registros[CATEGORIA],despesafixaconsolidadodez[[#This Row],[DESPESA FIXA]])</f>
        <v>0</v>
      </c>
      <c r="R49" s="119" t="n">
        <f aca="false">SUMIFS(tabela_registros[VALOR],tabela_registros[MÊS],$AE$1,tabela_registros[DIA],deztotal3059718395107119131143155167[[#Headers],[14]],tabela_registros[REGISTRO],DADOS!$N$4,tabela_registros[TIPO],DADOS!$P$3,tabela_registros[CATEGORIA],despesafixaconsolidadodez[[#This Row],[DESPESA FIXA]])</f>
        <v>0</v>
      </c>
      <c r="S49" s="119" t="n">
        <f aca="false">SUMIFS(tabela_registros[VALOR],tabela_registros[MÊS],$AE$1,tabela_registros[DIA],deztotal3059718395107119131143155167[[#Headers],[15]],tabela_registros[REGISTRO],DADOS!$N$4,tabela_registros[TIPO],DADOS!$P$3,tabela_registros[CATEGORIA],despesafixaconsolidadodez[[#This Row],[DESPESA FIXA]])</f>
        <v>0</v>
      </c>
      <c r="T49" s="119" t="n">
        <f aca="false">SUMIFS(tabela_registros[VALOR],tabela_registros[MÊS],$AE$1,tabela_registros[DIA],deztotal3059718395107119131143155167[[#Headers],[16]],tabela_registros[REGISTRO],DADOS!$N$4,tabela_registros[TIPO],DADOS!$P$3,tabela_registros[CATEGORIA],despesafixaconsolidadodez[[#This Row],[DESPESA FIXA]])</f>
        <v>0</v>
      </c>
      <c r="U49" s="119" t="n">
        <f aca="false">SUMIFS(tabela_registros[VALOR],tabela_registros[MÊS],$AE$1,tabela_registros[DIA],deztotal3059718395107119131143155167[[#Headers],[17]],tabela_registros[REGISTRO],DADOS!$N$4,tabela_registros[TIPO],DADOS!$P$3,tabela_registros[CATEGORIA],despesafixaconsolidadodez[[#This Row],[DESPESA FIXA]])</f>
        <v>0</v>
      </c>
      <c r="V49" s="119" t="n">
        <f aca="false">SUMIFS(tabela_registros[VALOR],tabela_registros[MÊS],$AE$1,tabela_registros[DIA],deztotal3059718395107119131143155167[[#Headers],[18]],tabela_registros[REGISTRO],DADOS!$N$4,tabela_registros[TIPO],DADOS!$P$3,tabela_registros[CATEGORIA],despesafixaconsolidadodez[[#This Row],[DESPESA FIXA]])</f>
        <v>0</v>
      </c>
      <c r="W49" s="119" t="n">
        <f aca="false">SUMIFS(tabela_registros[VALOR],tabela_registros[MÊS],$AE$1,tabela_registros[DIA],deztotal3059718395107119131143155167[[#Headers],[19]],tabela_registros[REGISTRO],DADOS!$N$4,tabela_registros[TIPO],DADOS!$P$3,tabela_registros[CATEGORIA],despesafixaconsolidadodez[[#This Row],[DESPESA FIXA]])</f>
        <v>0</v>
      </c>
      <c r="X49" s="119" t="n">
        <f aca="false">SUMIFS(tabela_registros[VALOR],tabela_registros[MÊS],$AE$1,tabela_registros[DIA],deztotal3059718395107119131143155167[[#Headers],[20]],tabela_registros[REGISTRO],DADOS!$N$4,tabela_registros[TIPO],DADOS!$P$3,tabela_registros[CATEGORIA],despesafixaconsolidadodez[[#This Row],[DESPESA FIXA]])</f>
        <v>0</v>
      </c>
      <c r="Y49" s="119" t="n">
        <f aca="false">SUMIFS(tabela_registros[VALOR],tabela_registros[MÊS],$AE$1,tabela_registros[DIA],deztotal3059718395107119131143155167[[#Headers],[21]],tabela_registros[REGISTRO],DADOS!$N$4,tabela_registros[TIPO],DADOS!$P$3,tabela_registros[CATEGORIA],despesafixaconsolidadodez[[#This Row],[DESPESA FIXA]])</f>
        <v>0</v>
      </c>
      <c r="Z49" s="119" t="n">
        <f aca="false">SUMIFS(tabela_registros[VALOR],tabela_registros[MÊS],$AE$1,tabela_registros[DIA],deztotal3059718395107119131143155167[[#Headers],[22]],tabela_registros[REGISTRO],DADOS!$N$4,tabela_registros[TIPO],DADOS!$P$3,tabela_registros[CATEGORIA],despesafixaconsolidadodez[[#This Row],[DESPESA FIXA]])</f>
        <v>0</v>
      </c>
      <c r="AA49" s="119" t="n">
        <f aca="false">SUMIFS(tabela_registros[VALOR],tabela_registros[MÊS],$AE$1,tabela_registros[DIA],deztotal3059718395107119131143155167[[#Headers],[23]],tabela_registros[REGISTRO],DADOS!$N$4,tabela_registros[TIPO],DADOS!$P$3,tabela_registros[CATEGORIA],despesafixaconsolidadodez[[#This Row],[DESPESA FIXA]])</f>
        <v>0</v>
      </c>
      <c r="AB49" s="119" t="n">
        <f aca="false">SUMIFS(tabela_registros[VALOR],tabela_registros[MÊS],$AE$1,tabela_registros[DIA],deztotal3059718395107119131143155167[[#Headers],[24]],tabela_registros[REGISTRO],DADOS!$N$4,tabela_registros[TIPO],DADOS!$P$3,tabela_registros[CATEGORIA],despesafixaconsolidadodez[[#This Row],[DESPESA FIXA]])</f>
        <v>0</v>
      </c>
      <c r="AC49" s="119" t="n">
        <f aca="false">SUMIFS(tabela_registros[VALOR],tabela_registros[MÊS],$AE$1,tabela_registros[DIA],deztotal3059718395107119131143155167[[#Headers],[25]],tabela_registros[REGISTRO],DADOS!$N$4,tabela_registros[TIPO],DADOS!$P$3,tabela_registros[CATEGORIA],despesafixaconsolidadodez[[#This Row],[DESPESA FIXA]])</f>
        <v>0</v>
      </c>
      <c r="AD49" s="119" t="n">
        <f aca="false">SUMIFS(tabela_registros[VALOR],tabela_registros[MÊS],$AE$1,tabela_registros[DIA],deztotal3059718395107119131143155167[[#Headers],[26]],tabela_registros[REGISTRO],DADOS!$N$4,tabela_registros[TIPO],DADOS!$P$3,tabela_registros[CATEGORIA],despesafixaconsolidadodez[[#This Row],[DESPESA FIXA]])</f>
        <v>0</v>
      </c>
      <c r="AE49" s="119" t="n">
        <f aca="false">SUMIFS(tabela_registros[VALOR],tabela_registros[MÊS],$AE$1,tabela_registros[DIA],deztotal3059718395107119131143155167[[#Headers],[27]],tabela_registros[REGISTRO],DADOS!$N$4,tabela_registros[TIPO],DADOS!$P$3,tabela_registros[CATEGORIA],despesafixaconsolidadodez[[#This Row],[DESPESA FIXA]])</f>
        <v>0</v>
      </c>
      <c r="AF49" s="119" t="n">
        <f aca="false">SUMIFS(tabela_registros[VALOR],tabela_registros[MÊS],$AE$1,tabela_registros[DIA],deztotal3059718395107119131143155167[[#Headers],[28]],tabela_registros[REGISTRO],DADOS!$N$4,tabela_registros[TIPO],DADOS!$P$3,tabela_registros[CATEGORIA],despesafixaconsolidadodez[[#This Row],[DESPESA FIXA]])</f>
        <v>0</v>
      </c>
      <c r="AG49" s="119" t="n">
        <f aca="false">SUMIFS(tabela_registros[VALOR],tabela_registros[MÊS],$AE$1,tabela_registros[DIA],deztotal3059718395107119131143155167[[#Headers],[29]],tabela_registros[REGISTRO],DADOS!$N$4,tabela_registros[TIPO],DADOS!$P$3,tabela_registros[CATEGORIA],despesafixaconsolidadodez[[#This Row],[DESPESA FIXA]])</f>
        <v>0</v>
      </c>
      <c r="AH49" s="119" t="n">
        <f aca="false">SUMIFS(tabela_registros[VALOR],tabela_registros[MÊS],$AE$1,tabela_registros[DIA],deztotal3059718395107119131143155167[[#Headers],[30]],tabela_registros[REGISTRO],DADOS!$N$4,tabela_registros[TIPO],DADOS!$P$3,tabela_registros[CATEGORIA],despesafixaconsolidadodez[[#This Row],[DESPESA FIXA]])</f>
        <v>0</v>
      </c>
      <c r="AI49" s="217" t="n">
        <f aca="false">SUMIFS(tabela_registros[VALOR],tabela_registros[MÊS],$AE$1,tabela_registros[DIA],deztotal3059718395107119131143155167[[#Headers],[31]],tabela_registros[REGISTRO],DADOS!$N$4,tabela_registros[TIPO],DADOS!$P$3,tabela_registros[CATEGORIA],despesafixaconsolidadodez[[#This Row],[DESPESA FIXA]])</f>
        <v>0</v>
      </c>
      <c r="AJ49" s="149" t="n">
        <f aca="false">SUM(despesafixaconsolidadodez[[#This Row],[1]:[31]])</f>
        <v>0</v>
      </c>
      <c r="AK49" s="143"/>
    </row>
    <row r="50" customFormat="false" ht="18" hidden="false" customHeight="true" outlineLevel="0" collapsed="false">
      <c r="B50" s="143"/>
      <c r="C50" s="144" t="str">
        <f aca="false">DADOS!$R$16</f>
        <v>📎 OUTROS</v>
      </c>
      <c r="D50" s="145" t="str">
        <f aca="false">IF(despesafixaconsolidadodez[[#This Row],[TOTAL]]=0,"",IF(OR(despesafixaconsolidadodez[[#This Row],[TOTAL]]=LARGE($AJ$37:$AJ$50,1),despesafixaconsolidadodez[[#This Row],[TOTAL]]=LARGE($AJ$37:$AJ$50,2),despesafixaconsolidadodez[[#This Row],[TOTAL]]=LARGE($AJ$37:$AJ$50,3),despesafixaconsolidadodez[[#This Row],[TOTAL]]=LARGE($AJ$37:$AJ$50,4),despesafixaconsolidadodez[[#This Row],[TOTAL]]=LARGE($AJ$37:$AJ$50,5)),DADOS!$I$8,""))</f>
        <v/>
      </c>
      <c r="E50" s="150" t="n">
        <f aca="false">SUMIFS(tabela_registros[VALOR],tabela_registros[MÊS],$AE$1,tabela_registros[DIA],deztotal3059718395107119131143155167[[#Headers],[1]],tabela_registros[REGISTRO],DADOS!$N$4,tabela_registros[TIPO],DADOS!$P$3,tabela_registros[CATEGORIA],despesafixaconsolidadodez[[#This Row],[DESPESA FIXA]])</f>
        <v>0</v>
      </c>
      <c r="F50" s="151" t="n">
        <f aca="false">SUMIFS(tabela_registros[VALOR],tabela_registros[MÊS],$AE$1,tabela_registros[DIA],deztotal3059718395107119131143155167[[#Headers],[2]],tabela_registros[REGISTRO],DADOS!$N$4,tabela_registros[TIPO],DADOS!$P$3,tabela_registros[CATEGORIA],despesafixaconsolidadodez[[#This Row],[DESPESA FIXA]])</f>
        <v>0</v>
      </c>
      <c r="G50" s="151" t="n">
        <f aca="false">SUMIFS(tabela_registros[VALOR],tabela_registros[MÊS],$AE$1,tabela_registros[DIA],deztotal3059718395107119131143155167[[#Headers],[3]],tabela_registros[REGISTRO],DADOS!$N$4,tabela_registros[TIPO],DADOS!$P$3,tabela_registros[CATEGORIA],despesafixaconsolidadodez[[#This Row],[DESPESA FIXA]])</f>
        <v>0</v>
      </c>
      <c r="H50" s="151" t="n">
        <f aca="false">SUMIFS(tabela_registros[VALOR],tabela_registros[MÊS],$AE$1,tabela_registros[DIA],deztotal3059718395107119131143155167[[#Headers],[4]],tabela_registros[REGISTRO],DADOS!$N$4,tabela_registros[TIPO],DADOS!$P$3,tabela_registros[CATEGORIA],despesafixaconsolidadodez[[#This Row],[DESPESA FIXA]])</f>
        <v>0</v>
      </c>
      <c r="I50" s="151" t="n">
        <f aca="false">SUMIFS(tabela_registros[VALOR],tabela_registros[MÊS],$AE$1,tabela_registros[DIA],deztotal3059718395107119131143155167[[#Headers],[5]],tabela_registros[REGISTRO],DADOS!$N$4,tabela_registros[TIPO],DADOS!$P$3,tabela_registros[CATEGORIA],despesafixaconsolidadodez[[#This Row],[DESPESA FIXA]])</f>
        <v>0</v>
      </c>
      <c r="J50" s="151" t="n">
        <f aca="false">SUMIFS(tabela_registros[VALOR],tabela_registros[MÊS],$AE$1,tabela_registros[DIA],deztotal3059718395107119131143155167[[#Headers],[6]],tabela_registros[REGISTRO],DADOS!$N$4,tabela_registros[TIPO],DADOS!$P$3,tabela_registros[CATEGORIA],despesafixaconsolidadodez[[#This Row],[DESPESA FIXA]])</f>
        <v>0</v>
      </c>
      <c r="K50" s="151" t="n">
        <f aca="false">SUMIFS(tabela_registros[VALOR],tabela_registros[MÊS],$AE$1,tabela_registros[DIA],deztotal3059718395107119131143155167[[#Headers],[7]],tabela_registros[REGISTRO],DADOS!$N$4,tabela_registros[TIPO],DADOS!$P$3,tabela_registros[CATEGORIA],despesafixaconsolidadodez[[#This Row],[DESPESA FIXA]])</f>
        <v>0</v>
      </c>
      <c r="L50" s="151" t="n">
        <f aca="false">SUMIFS(tabela_registros[VALOR],tabela_registros[MÊS],$AE$1,tabela_registros[DIA],deztotal3059718395107119131143155167[[#Headers],[8]],tabela_registros[REGISTRO],DADOS!$N$4,tabela_registros[TIPO],DADOS!$P$3,tabela_registros[CATEGORIA],despesafixaconsolidadodez[[#This Row],[DESPESA FIXA]])</f>
        <v>0</v>
      </c>
      <c r="M50" s="151" t="n">
        <f aca="false">SUMIFS(tabela_registros[VALOR],tabela_registros[MÊS],$AE$1,tabela_registros[DIA],deztotal3059718395107119131143155167[[#Headers],[9]],tabela_registros[REGISTRO],DADOS!$N$4,tabela_registros[TIPO],DADOS!$P$3,tabela_registros[CATEGORIA],despesafixaconsolidadodez[[#This Row],[DESPESA FIXA]])</f>
        <v>0</v>
      </c>
      <c r="N50" s="151" t="n">
        <f aca="false">SUMIFS(tabela_registros[VALOR],tabela_registros[MÊS],$AE$1,tabela_registros[DIA],deztotal3059718395107119131143155167[[#Headers],[10]],tabela_registros[REGISTRO],DADOS!$N$4,tabela_registros[TIPO],DADOS!$P$3,tabela_registros[CATEGORIA],despesafixaconsolidadodez[[#This Row],[DESPESA FIXA]])</f>
        <v>0</v>
      </c>
      <c r="O50" s="151" t="n">
        <f aca="false">SUMIFS(tabela_registros[VALOR],tabela_registros[MÊS],$AE$1,tabela_registros[DIA],deztotal3059718395107119131143155167[[#Headers],[11]],tabela_registros[REGISTRO],DADOS!$N$4,tabela_registros[TIPO],DADOS!$P$3,tabela_registros[CATEGORIA],despesafixaconsolidadodez[[#This Row],[DESPESA FIXA]])</f>
        <v>0</v>
      </c>
      <c r="P50" s="151" t="n">
        <f aca="false">SUMIFS(tabela_registros[VALOR],tabela_registros[MÊS],$AE$1,tabela_registros[DIA],deztotal3059718395107119131143155167[[#Headers],[12]],tabela_registros[REGISTRO],DADOS!$N$4,tabela_registros[TIPO],DADOS!$P$3,tabela_registros[CATEGORIA],despesafixaconsolidadodez[[#This Row],[DESPESA FIXA]])</f>
        <v>0</v>
      </c>
      <c r="Q50" s="151" t="n">
        <f aca="false">SUMIFS(tabela_registros[VALOR],tabela_registros[MÊS],$AE$1,tabela_registros[DIA],deztotal3059718395107119131143155167[[#Headers],[13]],tabela_registros[REGISTRO],DADOS!$N$4,tabela_registros[TIPO],DADOS!$P$3,tabela_registros[CATEGORIA],despesafixaconsolidadodez[[#This Row],[DESPESA FIXA]])</f>
        <v>0</v>
      </c>
      <c r="R50" s="151" t="n">
        <f aca="false">SUMIFS(tabela_registros[VALOR],tabela_registros[MÊS],$AE$1,tabela_registros[DIA],deztotal3059718395107119131143155167[[#Headers],[14]],tabela_registros[REGISTRO],DADOS!$N$4,tabela_registros[TIPO],DADOS!$P$3,tabela_registros[CATEGORIA],despesafixaconsolidadodez[[#This Row],[DESPESA FIXA]])</f>
        <v>0</v>
      </c>
      <c r="S50" s="151" t="n">
        <f aca="false">SUMIFS(tabela_registros[VALOR],tabela_registros[MÊS],$AE$1,tabela_registros[DIA],deztotal3059718395107119131143155167[[#Headers],[15]],tabela_registros[REGISTRO],DADOS!$N$4,tabela_registros[TIPO],DADOS!$P$3,tabela_registros[CATEGORIA],despesafixaconsolidadodez[[#This Row],[DESPESA FIXA]])</f>
        <v>0</v>
      </c>
      <c r="T50" s="151" t="n">
        <f aca="false">SUMIFS(tabela_registros[VALOR],tabela_registros[MÊS],$AE$1,tabela_registros[DIA],deztotal3059718395107119131143155167[[#Headers],[16]],tabela_registros[REGISTRO],DADOS!$N$4,tabela_registros[TIPO],DADOS!$P$3,tabela_registros[CATEGORIA],despesafixaconsolidadodez[[#This Row],[DESPESA FIXA]])</f>
        <v>0</v>
      </c>
      <c r="U50" s="151" t="n">
        <f aca="false">SUMIFS(tabela_registros[VALOR],tabela_registros[MÊS],$AE$1,tabela_registros[DIA],deztotal3059718395107119131143155167[[#Headers],[17]],tabela_registros[REGISTRO],DADOS!$N$4,tabela_registros[TIPO],DADOS!$P$3,tabela_registros[CATEGORIA],despesafixaconsolidadodez[[#This Row],[DESPESA FIXA]])</f>
        <v>0</v>
      </c>
      <c r="V50" s="151" t="n">
        <f aca="false">SUMIFS(tabela_registros[VALOR],tabela_registros[MÊS],$AE$1,tabela_registros[DIA],deztotal3059718395107119131143155167[[#Headers],[18]],tabela_registros[REGISTRO],DADOS!$N$4,tabela_registros[TIPO],DADOS!$P$3,tabela_registros[CATEGORIA],despesafixaconsolidadodez[[#This Row],[DESPESA FIXA]])</f>
        <v>0</v>
      </c>
      <c r="W50" s="151" t="n">
        <f aca="false">SUMIFS(tabela_registros[VALOR],tabela_registros[MÊS],$AE$1,tabela_registros[DIA],deztotal3059718395107119131143155167[[#Headers],[19]],tabela_registros[REGISTRO],DADOS!$N$4,tabela_registros[TIPO],DADOS!$P$3,tabela_registros[CATEGORIA],despesafixaconsolidadodez[[#This Row],[DESPESA FIXA]])</f>
        <v>0</v>
      </c>
      <c r="X50" s="151" t="n">
        <f aca="false">SUMIFS(tabela_registros[VALOR],tabela_registros[MÊS],$AE$1,tabela_registros[DIA],deztotal3059718395107119131143155167[[#Headers],[20]],tabela_registros[REGISTRO],DADOS!$N$4,tabela_registros[TIPO],DADOS!$P$3,tabela_registros[CATEGORIA],despesafixaconsolidadodez[[#This Row],[DESPESA FIXA]])</f>
        <v>0</v>
      </c>
      <c r="Y50" s="151" t="n">
        <f aca="false">SUMIFS(tabela_registros[VALOR],tabela_registros[MÊS],$AE$1,tabela_registros[DIA],deztotal3059718395107119131143155167[[#Headers],[21]],tabela_registros[REGISTRO],DADOS!$N$4,tabela_registros[TIPO],DADOS!$P$3,tabela_registros[CATEGORIA],despesafixaconsolidadodez[[#This Row],[DESPESA FIXA]])</f>
        <v>0</v>
      </c>
      <c r="Z50" s="151" t="n">
        <f aca="false">SUMIFS(tabela_registros[VALOR],tabela_registros[MÊS],$AE$1,tabela_registros[DIA],deztotal3059718395107119131143155167[[#Headers],[22]],tabela_registros[REGISTRO],DADOS!$N$4,tabela_registros[TIPO],DADOS!$P$3,tabela_registros[CATEGORIA],despesafixaconsolidadodez[[#This Row],[DESPESA FIXA]])</f>
        <v>0</v>
      </c>
      <c r="AA50" s="151" t="n">
        <f aca="false">SUMIFS(tabela_registros[VALOR],tabela_registros[MÊS],$AE$1,tabela_registros[DIA],deztotal3059718395107119131143155167[[#Headers],[23]],tabela_registros[REGISTRO],DADOS!$N$4,tabela_registros[TIPO],DADOS!$P$3,tabela_registros[CATEGORIA],despesafixaconsolidadodez[[#This Row],[DESPESA FIXA]])</f>
        <v>0</v>
      </c>
      <c r="AB50" s="151" t="n">
        <f aca="false">SUMIFS(tabela_registros[VALOR],tabela_registros[MÊS],$AE$1,tabela_registros[DIA],deztotal3059718395107119131143155167[[#Headers],[24]],tabela_registros[REGISTRO],DADOS!$N$4,tabela_registros[TIPO],DADOS!$P$3,tabela_registros[CATEGORIA],despesafixaconsolidadodez[[#This Row],[DESPESA FIXA]])</f>
        <v>0</v>
      </c>
      <c r="AC50" s="151" t="n">
        <f aca="false">SUMIFS(tabela_registros[VALOR],tabela_registros[MÊS],$AE$1,tabela_registros[DIA],deztotal3059718395107119131143155167[[#Headers],[25]],tabela_registros[REGISTRO],DADOS!$N$4,tabela_registros[TIPO],DADOS!$P$3,tabela_registros[CATEGORIA],despesafixaconsolidadodez[[#This Row],[DESPESA FIXA]])</f>
        <v>0</v>
      </c>
      <c r="AD50" s="151" t="n">
        <f aca="false">SUMIFS(tabela_registros[VALOR],tabela_registros[MÊS],$AE$1,tabela_registros[DIA],deztotal3059718395107119131143155167[[#Headers],[26]],tabela_registros[REGISTRO],DADOS!$N$4,tabela_registros[TIPO],DADOS!$P$3,tabela_registros[CATEGORIA],despesafixaconsolidadodez[[#This Row],[DESPESA FIXA]])</f>
        <v>0</v>
      </c>
      <c r="AE50" s="151" t="n">
        <f aca="false">SUMIFS(tabela_registros[VALOR],tabela_registros[MÊS],$AE$1,tabela_registros[DIA],deztotal3059718395107119131143155167[[#Headers],[27]],tabela_registros[REGISTRO],DADOS!$N$4,tabela_registros[TIPO],DADOS!$P$3,tabela_registros[CATEGORIA],despesafixaconsolidadodez[[#This Row],[DESPESA FIXA]])</f>
        <v>0</v>
      </c>
      <c r="AF50" s="151" t="n">
        <f aca="false">SUMIFS(tabela_registros[VALOR],tabela_registros[MÊS],$AE$1,tabela_registros[DIA],deztotal3059718395107119131143155167[[#Headers],[28]],tabela_registros[REGISTRO],DADOS!$N$4,tabela_registros[TIPO],DADOS!$P$3,tabela_registros[CATEGORIA],despesafixaconsolidadodez[[#This Row],[DESPESA FIXA]])</f>
        <v>0</v>
      </c>
      <c r="AG50" s="151" t="n">
        <f aca="false">SUMIFS(tabela_registros[VALOR],tabela_registros[MÊS],$AE$1,tabela_registros[DIA],deztotal3059718395107119131143155167[[#Headers],[29]],tabela_registros[REGISTRO],DADOS!$N$4,tabela_registros[TIPO],DADOS!$P$3,tabela_registros[CATEGORIA],despesafixaconsolidadodez[[#This Row],[DESPESA FIXA]])</f>
        <v>0</v>
      </c>
      <c r="AH50" s="151" t="n">
        <f aca="false">SUMIFS(tabela_registros[VALOR],tabela_registros[MÊS],$AE$1,tabela_registros[DIA],deztotal3059718395107119131143155167[[#Headers],[30]],tabela_registros[REGISTRO],DADOS!$N$4,tabela_registros[TIPO],DADOS!$P$3,tabela_registros[CATEGORIA],despesafixaconsolidadodez[[#This Row],[DESPESA FIXA]])</f>
        <v>0</v>
      </c>
      <c r="AI50" s="218" t="n">
        <f aca="false">SUMIFS(tabela_registros[VALOR],tabela_registros[MÊS],$AE$1,tabela_registros[DIA],deztotal3059718395107119131143155167[[#Headers],[31]],tabela_registros[REGISTRO],DADOS!$N$4,tabela_registros[TIPO],DADOS!$P$3,tabela_registros[CATEGORIA],despesafixaconsolidadodez[[#This Row],[DESPESA FIXA]])</f>
        <v>0</v>
      </c>
      <c r="AJ50" s="219" t="n">
        <f aca="false">SUM(despesafixaconsolidadodez[[#This Row],[1]:[31]])</f>
        <v>0</v>
      </c>
      <c r="AK50" s="143"/>
    </row>
    <row r="51" s="122" customFormat="true" ht="21" hidden="false" customHeight="true" outlineLevel="0" collapsed="false">
      <c r="B51" s="152"/>
      <c r="C51" s="153" t="s">
        <v>2</v>
      </c>
      <c r="D51" s="154" t="str">
        <f aca="false">IF(despesafixaconsolidadodez[[#This Row],[TOTAL]]=0,"",IF(OR(despesafixaconsolidadodez[[#This Row],[TOTAL]]=SMALL($AJ$37:$AJ$50,1),despesafixaconsolidadodez[[#This Row],[TOTAL]]=SMALL($AJ$37:$AJ$50,2),despesafixaconsolidadodez[[#This Row],[TOTAL]]=SMALL($AJ$37:$AJ$50,3),despesafixaconsolidadodez[[#This Row],[TOTAL]]=SMALL($AJ$37:$AJ$50,4),despesafixaconsolidadodez[[#This Row],[TOTAL]]=SMALL($AJ$37:$AJ$50,5)),DADOS!$I$8,""))</f>
        <v/>
      </c>
      <c r="E51" s="155" t="n">
        <f aca="false">SUM(E37:E50)</f>
        <v>0</v>
      </c>
      <c r="F51" s="156" t="n">
        <f aca="false">SUM(F37:F50)+despesafixaconsolidadodez[[#This Row],[1]]</f>
        <v>0</v>
      </c>
      <c r="G51" s="156" t="n">
        <f aca="false">SUM(G37:G50)+despesafixaconsolidadodez[[#This Row],[2]]</f>
        <v>0</v>
      </c>
      <c r="H51" s="156" t="n">
        <f aca="false">SUM(H37:H50)+despesafixaconsolidadodez[[#This Row],[3]]</f>
        <v>0</v>
      </c>
      <c r="I51" s="156" t="n">
        <f aca="false">SUM(I37:I50)+despesafixaconsolidadodez[[#This Row],[4]]</f>
        <v>0</v>
      </c>
      <c r="J51" s="156" t="n">
        <f aca="false">SUM(J37:J50)+despesafixaconsolidadodez[[#This Row],[5]]</f>
        <v>0</v>
      </c>
      <c r="K51" s="156" t="n">
        <f aca="false">SUM(K37:K50)+despesafixaconsolidadodez[[#This Row],[6]]</f>
        <v>0</v>
      </c>
      <c r="L51" s="156" t="n">
        <f aca="false">SUM(L37:L50)+despesafixaconsolidadodez[[#This Row],[7]]</f>
        <v>0</v>
      </c>
      <c r="M51" s="156" t="n">
        <f aca="false">SUM(M37:M50)+despesafixaconsolidadodez[[#This Row],[8]]</f>
        <v>0</v>
      </c>
      <c r="N51" s="156" t="n">
        <f aca="false">SUM(N37:N50)+despesafixaconsolidadodez[[#This Row],[9]]</f>
        <v>0</v>
      </c>
      <c r="O51" s="156" t="n">
        <f aca="false">SUM(O37:O50)+despesafixaconsolidadodez[[#This Row],[10]]</f>
        <v>0</v>
      </c>
      <c r="P51" s="156" t="n">
        <f aca="false">SUM(P37:P50)+despesafixaconsolidadodez[[#This Row],[11]]</f>
        <v>0</v>
      </c>
      <c r="Q51" s="156" t="n">
        <f aca="false">SUM(Q37:Q50)+despesafixaconsolidadodez[[#This Row],[12]]</f>
        <v>0</v>
      </c>
      <c r="R51" s="156" t="n">
        <f aca="false">SUM(R37:R50)+despesafixaconsolidadodez[[#This Row],[13]]</f>
        <v>0</v>
      </c>
      <c r="S51" s="156" t="n">
        <f aca="false">SUM(S37:S50)+despesafixaconsolidadodez[[#This Row],[14]]</f>
        <v>0</v>
      </c>
      <c r="T51" s="156" t="n">
        <f aca="false">SUM(T37:T50)+despesafixaconsolidadodez[[#This Row],[15]]</f>
        <v>0</v>
      </c>
      <c r="U51" s="156" t="n">
        <f aca="false">SUM(U37:U50)+despesafixaconsolidadodez[[#This Row],[16]]</f>
        <v>0</v>
      </c>
      <c r="V51" s="156" t="n">
        <f aca="false">SUM(V37:V50)+despesafixaconsolidadodez[[#This Row],[17]]</f>
        <v>0</v>
      </c>
      <c r="W51" s="156" t="n">
        <f aca="false">SUM(W37:W50)+despesafixaconsolidadodez[[#This Row],[18]]</f>
        <v>0</v>
      </c>
      <c r="X51" s="156" t="n">
        <f aca="false">SUM(X37:X50)+despesafixaconsolidadodez[[#This Row],[19]]</f>
        <v>0</v>
      </c>
      <c r="Y51" s="156" t="n">
        <f aca="false">SUM(Y37:Y50)+despesafixaconsolidadodez[[#This Row],[20]]</f>
        <v>0</v>
      </c>
      <c r="Z51" s="156" t="n">
        <f aca="false">SUM(Z37:Z50)+despesafixaconsolidadodez[[#This Row],[21]]</f>
        <v>0</v>
      </c>
      <c r="AA51" s="156" t="n">
        <f aca="false">SUM(AA37:AA50)+despesafixaconsolidadodez[[#This Row],[22]]</f>
        <v>0</v>
      </c>
      <c r="AB51" s="156" t="n">
        <f aca="false">SUM(AB37:AB50)+despesafixaconsolidadodez[[#This Row],[23]]</f>
        <v>0</v>
      </c>
      <c r="AC51" s="156" t="n">
        <f aca="false">SUM(AC37:AC50)+despesafixaconsolidadodez[[#This Row],[24]]</f>
        <v>0</v>
      </c>
      <c r="AD51" s="156" t="n">
        <f aca="false">SUM(AD37:AD50)+despesafixaconsolidadodez[[#This Row],[25]]</f>
        <v>0</v>
      </c>
      <c r="AE51" s="156" t="n">
        <f aca="false">SUM(AE37:AE50)+despesafixaconsolidadodez[[#This Row],[26]]</f>
        <v>0</v>
      </c>
      <c r="AF51" s="156" t="n">
        <f aca="false">SUM(AF37:AF50)+despesafixaconsolidadodez[[#This Row],[27]]</f>
        <v>0</v>
      </c>
      <c r="AG51" s="156" t="n">
        <f aca="false">SUM(AG37:AG50)+despesafixaconsolidadodez[[#This Row],[28]]</f>
        <v>0</v>
      </c>
      <c r="AH51" s="156" t="n">
        <f aca="false">SUM(AH37:AH50)+despesafixaconsolidadodez[[#This Row],[29]]</f>
        <v>0</v>
      </c>
      <c r="AI51" s="223" t="n">
        <f aca="false">SUM(AI37:AI50)+despesafixaconsolidadodez[[#This Row],[30]]</f>
        <v>0</v>
      </c>
      <c r="AJ51" s="157" t="n">
        <f aca="false">despesafixaconsolidadodez[[#This Row],[31]]</f>
        <v>0</v>
      </c>
      <c r="AK51" s="158"/>
    </row>
    <row r="52" customFormat="false" ht="6.75" hidden="false" customHeight="true" outlineLevel="0" collapsed="false">
      <c r="B52" s="97"/>
      <c r="C52" s="159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227"/>
      <c r="AJ52" s="97"/>
      <c r="AK52" s="244"/>
    </row>
    <row r="53" customFormat="false" ht="12.75" hidden="false" customHeight="false" outlineLevel="0" collapsed="false">
      <c r="C53" s="133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K53" s="100"/>
    </row>
    <row r="54" customFormat="false" ht="12" hidden="false" customHeight="false" outlineLevel="0" collapsed="false">
      <c r="C54" s="133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</row>
    <row r="55" customFormat="false" ht="12" hidden="false" customHeight="false" outlineLevel="0" collapsed="false">
      <c r="C55" s="133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</row>
    <row r="56" customFormat="false" ht="39.75" hidden="false" customHeight="true" outlineLevel="0" collapsed="false">
      <c r="C56" s="133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3" t="s">
        <v>2</v>
      </c>
    </row>
    <row r="57" s="78" customFormat="true" ht="11.25" hidden="false" customHeight="true" outlineLevel="0" collapsed="false">
      <c r="C57" s="101"/>
      <c r="AJ57" s="106" t="s">
        <v>64</v>
      </c>
    </row>
    <row r="58" customFormat="false" ht="6.75" hidden="false" customHeight="true" outlineLevel="0" collapsed="false">
      <c r="B58" s="139"/>
      <c r="C58" s="140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212"/>
      <c r="AK58" s="139"/>
    </row>
    <row r="59" customFormat="false" ht="12.75" hidden="true" customHeight="false" outlineLevel="0" collapsed="false">
      <c r="B59" s="86"/>
      <c r="C59" s="109" t="s">
        <v>79</v>
      </c>
      <c r="D59" s="110" t="s">
        <v>69</v>
      </c>
      <c r="E59" s="110" t="s">
        <v>30</v>
      </c>
      <c r="F59" s="110" t="s">
        <v>31</v>
      </c>
      <c r="G59" s="110" t="s">
        <v>32</v>
      </c>
      <c r="H59" s="110" t="s">
        <v>33</v>
      </c>
      <c r="I59" s="110" t="s">
        <v>34</v>
      </c>
      <c r="J59" s="110" t="s">
        <v>35</v>
      </c>
      <c r="K59" s="110" t="s">
        <v>36</v>
      </c>
      <c r="L59" s="110" t="s">
        <v>37</v>
      </c>
      <c r="M59" s="110" t="s">
        <v>38</v>
      </c>
      <c r="N59" s="110" t="s">
        <v>39</v>
      </c>
      <c r="O59" s="110" t="s">
        <v>40</v>
      </c>
      <c r="P59" s="110" t="s">
        <v>41</v>
      </c>
      <c r="Q59" s="110" t="s">
        <v>81</v>
      </c>
      <c r="R59" s="110" t="s">
        <v>82</v>
      </c>
      <c r="S59" s="110" t="s">
        <v>83</v>
      </c>
      <c r="T59" s="110" t="s">
        <v>84</v>
      </c>
      <c r="U59" s="110" t="s">
        <v>85</v>
      </c>
      <c r="V59" s="110" t="s">
        <v>86</v>
      </c>
      <c r="W59" s="110" t="s">
        <v>87</v>
      </c>
      <c r="X59" s="110" t="s">
        <v>88</v>
      </c>
      <c r="Y59" s="110" t="s">
        <v>89</v>
      </c>
      <c r="Z59" s="110" t="s">
        <v>90</v>
      </c>
      <c r="AA59" s="110" t="s">
        <v>91</v>
      </c>
      <c r="AB59" s="110" t="s">
        <v>92</v>
      </c>
      <c r="AC59" s="110" t="s">
        <v>93</v>
      </c>
      <c r="AD59" s="110" t="s">
        <v>94</v>
      </c>
      <c r="AE59" s="110" t="s">
        <v>95</v>
      </c>
      <c r="AF59" s="110" t="s">
        <v>96</v>
      </c>
      <c r="AG59" s="110" t="s">
        <v>97</v>
      </c>
      <c r="AH59" s="110" t="s">
        <v>98</v>
      </c>
      <c r="AI59" s="110" t="s">
        <v>99</v>
      </c>
      <c r="AJ59" s="142" t="s">
        <v>2</v>
      </c>
      <c r="AK59" s="86" t="s">
        <v>75</v>
      </c>
    </row>
    <row r="60" customFormat="false" ht="19.5" hidden="false" customHeight="true" outlineLevel="0" collapsed="false">
      <c r="B60" s="143"/>
      <c r="C60" s="144" t="str">
        <f aca="false">DADOS!$T$3</f>
        <v>🍕 ALIMENTAÇÃO</v>
      </c>
      <c r="D60" s="145" t="str">
        <f aca="false">IF(despesavariávelconsolidadodez[[#This Row],[TOTAL]]=0,"",IF(OR(despesavariávelconsolidadodez[[#This Row],[TOTAL]]=LARGE($AJ$60:$AJ$72,1),despesavariávelconsolidadodez[[#This Row],[TOTAL]]=LARGE($AJ$60:$AJ$72,2),despesavariávelconsolidadodez[[#This Row],[TOTAL]]=LARGE($AJ$60:$AJ$72,3),despesavariávelconsolidadodez[[#This Row],[TOTAL]]=LARGE($AJ$60:$AJ$72,4),despesavariávelconsolidadodez[[#This Row],[TOTAL]]=LARGE($AJ$60:$AJ$72,5)),DADOS!$I$8,""))</f>
        <v/>
      </c>
      <c r="E60" s="146" t="n">
        <f aca="false">SUMIFS(tabela_registros[VALOR],tabela_registros[MÊS],$AE$1,tabela_registros[DIA],deztotal3059718395107119131143155167[[#Headers],[1]],tabela_registros[REGISTRO],DADOS!$N$4,tabela_registros[TIPO],DADOS!$P$4,tabela_registros[CATEGORIA],despesavariávelconsolidadodez[[#This Row],[DESPESA VARIÁVEL]])</f>
        <v>0</v>
      </c>
      <c r="F60" s="114" t="n">
        <f aca="false">SUMIFS(tabela_registros[VALOR],tabela_registros[MÊS],$AE$1,tabela_registros[DIA],deztotal3059718395107119131143155167[[#Headers],[2]],tabela_registros[REGISTRO],DADOS!$N$4,tabela_registros[TIPO],DADOS!$P$4,tabela_registros[CATEGORIA],despesavariávelconsolidadodez[[#This Row],[DESPESA VARIÁVEL]])</f>
        <v>0</v>
      </c>
      <c r="G60" s="114" t="n">
        <f aca="false">SUMIFS(tabela_registros[VALOR],tabela_registros[MÊS],$AE$1,tabela_registros[DIA],deztotal3059718395107119131143155167[[#Headers],[3]],tabela_registros[REGISTRO],DADOS!$N$4,tabela_registros[TIPO],DADOS!$P$4,tabela_registros[CATEGORIA],despesavariávelconsolidadodez[[#This Row],[DESPESA VARIÁVEL]])</f>
        <v>0</v>
      </c>
      <c r="H60" s="114" t="n">
        <f aca="false">SUMIFS(tabela_registros[VALOR],tabela_registros[MÊS],$AE$1,tabela_registros[DIA],deztotal3059718395107119131143155167[[#Headers],[4]],tabela_registros[REGISTRO],DADOS!$N$4,tabela_registros[TIPO],DADOS!$P$4,tabela_registros[CATEGORIA],despesavariávelconsolidadodez[[#This Row],[DESPESA VARIÁVEL]])</f>
        <v>0</v>
      </c>
      <c r="I60" s="114" t="n">
        <f aca="false">SUMIFS(tabela_registros[VALOR],tabela_registros[MÊS],$AE$1,tabela_registros[DIA],deztotal3059718395107119131143155167[[#Headers],[5]],tabela_registros[REGISTRO],DADOS!$N$4,tabela_registros[TIPO],DADOS!$P$4,tabela_registros[CATEGORIA],despesavariávelconsolidadodez[[#This Row],[DESPESA VARIÁVEL]])</f>
        <v>0</v>
      </c>
      <c r="J60" s="114" t="n">
        <f aca="false">SUMIFS(tabela_registros[VALOR],tabela_registros[MÊS],$AE$1,tabela_registros[DIA],deztotal3059718395107119131143155167[[#Headers],[6]],tabela_registros[REGISTRO],DADOS!$N$4,tabela_registros[TIPO],DADOS!$P$4,tabela_registros[CATEGORIA],despesavariávelconsolidadodez[[#This Row],[DESPESA VARIÁVEL]])</f>
        <v>0</v>
      </c>
      <c r="K60" s="114" t="n">
        <f aca="false">SUMIFS(tabela_registros[VALOR],tabela_registros[MÊS],$AE$1,tabela_registros[DIA],deztotal3059718395107119131143155167[[#Headers],[7]],tabela_registros[REGISTRO],DADOS!$N$4,tabela_registros[TIPO],DADOS!$P$4,tabela_registros[CATEGORIA],despesavariávelconsolidadodez[[#This Row],[DESPESA VARIÁVEL]])</f>
        <v>0</v>
      </c>
      <c r="L60" s="114" t="n">
        <f aca="false">SUMIFS(tabela_registros[VALOR],tabela_registros[MÊS],$AE$1,tabela_registros[DIA],deztotal3059718395107119131143155167[[#Headers],[8]],tabela_registros[REGISTRO],DADOS!$N$4,tabela_registros[TIPO],DADOS!$P$4,tabela_registros[CATEGORIA],despesavariávelconsolidadodez[[#This Row],[DESPESA VARIÁVEL]])</f>
        <v>0</v>
      </c>
      <c r="M60" s="114" t="n">
        <f aca="false">SUMIFS(tabela_registros[VALOR],tabela_registros[MÊS],$AE$1,tabela_registros[DIA],deztotal3059718395107119131143155167[[#Headers],[9]],tabela_registros[REGISTRO],DADOS!$N$4,tabela_registros[TIPO],DADOS!$P$4,tabela_registros[CATEGORIA],despesavariávelconsolidadodez[[#This Row],[DESPESA VARIÁVEL]])</f>
        <v>0</v>
      </c>
      <c r="N60" s="114" t="n">
        <f aca="false">SUMIFS(tabela_registros[VALOR],tabela_registros[MÊS],$AE$1,tabela_registros[DIA],deztotal3059718395107119131143155167[[#Headers],[10]],tabela_registros[REGISTRO],DADOS!$N$4,tabela_registros[TIPO],DADOS!$P$4,tabela_registros[CATEGORIA],despesavariávelconsolidadodez[[#This Row],[DESPESA VARIÁVEL]])</f>
        <v>0</v>
      </c>
      <c r="O60" s="114" t="n">
        <f aca="false">SUMIFS(tabela_registros[VALOR],tabela_registros[MÊS],$AE$1,tabela_registros[DIA],deztotal3059718395107119131143155167[[#Headers],[11]],tabela_registros[REGISTRO],DADOS!$N$4,tabela_registros[TIPO],DADOS!$P$4,tabela_registros[CATEGORIA],despesavariávelconsolidadodez[[#This Row],[DESPESA VARIÁVEL]])</f>
        <v>0</v>
      </c>
      <c r="P60" s="114" t="n">
        <f aca="false">SUMIFS(tabela_registros[VALOR],tabela_registros[MÊS],$AE$1,tabela_registros[DIA],deztotal3059718395107119131143155167[[#Headers],[12]],tabela_registros[REGISTRO],DADOS!$N$4,tabela_registros[TIPO],DADOS!$P$4,tabela_registros[CATEGORIA],despesavariávelconsolidadodez[[#This Row],[DESPESA VARIÁVEL]])</f>
        <v>0</v>
      </c>
      <c r="Q60" s="114" t="n">
        <f aca="false">SUMIFS(tabela_registros[VALOR],tabela_registros[MÊS],$AE$1,tabela_registros[DIA],deztotal3059718395107119131143155167[[#Headers],[13]],tabela_registros[REGISTRO],DADOS!$N$4,tabela_registros[TIPO],DADOS!$P$4,tabela_registros[CATEGORIA],despesavariávelconsolidadodez[[#This Row],[DESPESA VARIÁVEL]])</f>
        <v>0</v>
      </c>
      <c r="R60" s="114" t="n">
        <f aca="false">SUMIFS(tabela_registros[VALOR],tabela_registros[MÊS],$AE$1,tabela_registros[DIA],deztotal3059718395107119131143155167[[#Headers],[14]],tabela_registros[REGISTRO],DADOS!$N$4,tabela_registros[TIPO],DADOS!$P$4,tabela_registros[CATEGORIA],despesavariávelconsolidadodez[[#This Row],[DESPESA VARIÁVEL]])</f>
        <v>0</v>
      </c>
      <c r="S60" s="114" t="n">
        <f aca="false">SUMIFS(tabela_registros[VALOR],tabela_registros[MÊS],$AE$1,tabela_registros[DIA],deztotal3059718395107119131143155167[[#Headers],[15]],tabela_registros[REGISTRO],DADOS!$N$4,tabela_registros[TIPO],DADOS!$P$4,tabela_registros[CATEGORIA],despesavariávelconsolidadodez[[#This Row],[DESPESA VARIÁVEL]])</f>
        <v>0</v>
      </c>
      <c r="T60" s="114" t="n">
        <f aca="false">SUMIFS(tabela_registros[VALOR],tabela_registros[MÊS],$AE$1,tabela_registros[DIA],deztotal3059718395107119131143155167[[#Headers],[16]],tabela_registros[REGISTRO],DADOS!$N$4,tabela_registros[TIPO],DADOS!$P$4,tabela_registros[CATEGORIA],despesavariávelconsolidadodez[[#This Row],[DESPESA VARIÁVEL]])</f>
        <v>0</v>
      </c>
      <c r="U60" s="114" t="n">
        <f aca="false">SUMIFS(tabela_registros[VALOR],tabela_registros[MÊS],$AE$1,tabela_registros[DIA],deztotal3059718395107119131143155167[[#Headers],[17]],tabela_registros[REGISTRO],DADOS!$N$4,tabela_registros[TIPO],DADOS!$P$4,tabela_registros[CATEGORIA],despesavariávelconsolidadodez[[#This Row],[DESPESA VARIÁVEL]])</f>
        <v>0</v>
      </c>
      <c r="V60" s="114" t="n">
        <f aca="false">SUMIFS(tabela_registros[VALOR],tabela_registros[MÊS],$AE$1,tabela_registros[DIA],deztotal3059718395107119131143155167[[#Headers],[18]],tabela_registros[REGISTRO],DADOS!$N$4,tabela_registros[TIPO],DADOS!$P$4,tabela_registros[CATEGORIA],despesavariávelconsolidadodez[[#This Row],[DESPESA VARIÁVEL]])</f>
        <v>0</v>
      </c>
      <c r="W60" s="114" t="n">
        <f aca="false">SUMIFS(tabela_registros[VALOR],tabela_registros[MÊS],$AE$1,tabela_registros[DIA],deztotal3059718395107119131143155167[[#Headers],[19]],tabela_registros[REGISTRO],DADOS!$N$4,tabela_registros[TIPO],DADOS!$P$4,tabela_registros[CATEGORIA],despesavariávelconsolidadodez[[#This Row],[DESPESA VARIÁVEL]])</f>
        <v>0</v>
      </c>
      <c r="X60" s="114" t="n">
        <f aca="false">SUMIFS(tabela_registros[VALOR],tabela_registros[MÊS],$AE$1,tabela_registros[DIA],deztotal3059718395107119131143155167[[#Headers],[20]],tabela_registros[REGISTRO],DADOS!$N$4,tabela_registros[TIPO],DADOS!$P$4,tabela_registros[CATEGORIA],despesavariávelconsolidadodez[[#This Row],[DESPESA VARIÁVEL]])</f>
        <v>0</v>
      </c>
      <c r="Y60" s="114" t="n">
        <f aca="false">SUMIFS(tabela_registros[VALOR],tabela_registros[MÊS],$AE$1,tabela_registros[DIA],deztotal3059718395107119131143155167[[#Headers],[21]],tabela_registros[REGISTRO],DADOS!$N$4,tabela_registros[TIPO],DADOS!$P$4,tabela_registros[CATEGORIA],despesavariávelconsolidadodez[[#This Row],[DESPESA VARIÁVEL]])</f>
        <v>0</v>
      </c>
      <c r="Z60" s="114" t="n">
        <f aca="false">SUMIFS(tabela_registros[VALOR],tabela_registros[MÊS],$AE$1,tabela_registros[DIA],deztotal3059718395107119131143155167[[#Headers],[22]],tabela_registros[REGISTRO],DADOS!$N$4,tabela_registros[TIPO],DADOS!$P$4,tabela_registros[CATEGORIA],despesavariávelconsolidadodez[[#This Row],[DESPESA VARIÁVEL]])</f>
        <v>0</v>
      </c>
      <c r="AA60" s="114" t="n">
        <f aca="false">SUMIFS(tabela_registros[VALOR],tabela_registros[MÊS],$AE$1,tabela_registros[DIA],deztotal3059718395107119131143155167[[#Headers],[23]],tabela_registros[REGISTRO],DADOS!$N$4,tabela_registros[TIPO],DADOS!$P$4,tabela_registros[CATEGORIA],despesavariávelconsolidadodez[[#This Row],[DESPESA VARIÁVEL]])</f>
        <v>0</v>
      </c>
      <c r="AB60" s="114" t="n">
        <f aca="false">SUMIFS(tabela_registros[VALOR],tabela_registros[MÊS],$AE$1,tabela_registros[DIA],deztotal3059718395107119131143155167[[#Headers],[24]],tabela_registros[REGISTRO],DADOS!$N$4,tabela_registros[TIPO],DADOS!$P$4,tabela_registros[CATEGORIA],despesavariávelconsolidadodez[[#This Row],[DESPESA VARIÁVEL]])</f>
        <v>0</v>
      </c>
      <c r="AC60" s="114" t="n">
        <f aca="false">SUMIFS(tabela_registros[VALOR],tabela_registros[MÊS],$AE$1,tabela_registros[DIA],deztotal3059718395107119131143155167[[#Headers],[25]],tabela_registros[REGISTRO],DADOS!$N$4,tabela_registros[TIPO],DADOS!$P$4,tabela_registros[CATEGORIA],despesavariávelconsolidadodez[[#This Row],[DESPESA VARIÁVEL]])</f>
        <v>0</v>
      </c>
      <c r="AD60" s="114" t="n">
        <f aca="false">SUMIFS(tabela_registros[VALOR],tabela_registros[MÊS],$AE$1,tabela_registros[DIA],deztotal3059718395107119131143155167[[#Headers],[26]],tabela_registros[REGISTRO],DADOS!$N$4,tabela_registros[TIPO],DADOS!$P$4,tabela_registros[CATEGORIA],despesavariávelconsolidadodez[[#This Row],[DESPESA VARIÁVEL]])</f>
        <v>0</v>
      </c>
      <c r="AE60" s="114" t="n">
        <f aca="false">SUMIFS(tabela_registros[VALOR],tabela_registros[MÊS],$AE$1,tabela_registros[DIA],deztotal3059718395107119131143155167[[#Headers],[27]],tabela_registros[REGISTRO],DADOS!$N$4,tabela_registros[TIPO],DADOS!$P$4,tabela_registros[CATEGORIA],despesavariávelconsolidadodez[[#This Row],[DESPESA VARIÁVEL]])</f>
        <v>0</v>
      </c>
      <c r="AF60" s="114" t="n">
        <f aca="false">SUMIFS(tabela_registros[VALOR],tabela_registros[MÊS],$AE$1,tabela_registros[DIA],deztotal3059718395107119131143155167[[#Headers],[28]],tabela_registros[REGISTRO],DADOS!$N$4,tabela_registros[TIPO],DADOS!$P$4,tabela_registros[CATEGORIA],despesavariávelconsolidadodez[[#This Row],[DESPESA VARIÁVEL]])</f>
        <v>0</v>
      </c>
      <c r="AG60" s="114" t="n">
        <f aca="false">SUMIFS(tabela_registros[VALOR],tabela_registros[MÊS],$AE$1,tabela_registros[DIA],deztotal3059718395107119131143155167[[#Headers],[29]],tabela_registros[REGISTRO],DADOS!$N$4,tabela_registros[TIPO],DADOS!$P$4,tabela_registros[CATEGORIA],despesavariávelconsolidadodez[[#This Row],[DESPESA VARIÁVEL]])</f>
        <v>0</v>
      </c>
      <c r="AH60" s="114" t="n">
        <f aca="false">SUMIFS(tabela_registros[VALOR],tabela_registros[MÊS],$AE$1,tabela_registros[DIA],deztotal3059718395107119131143155167[[#Headers],[30]],tabela_registros[REGISTRO],DADOS!$N$4,tabela_registros[TIPO],DADOS!$P$4,tabela_registros[CATEGORIA],despesavariávelconsolidadodez[[#This Row],[DESPESA VARIÁVEL]])</f>
        <v>0</v>
      </c>
      <c r="AI60" s="216" t="n">
        <f aca="false">SUMIFS(tabela_registros[VALOR],tabela_registros[MÊS],$AE$1,tabela_registros[DIA],deztotal3059718395107119131143155167[[#Headers],[31]],tabela_registros[REGISTRO],DADOS!$N$4,tabela_registros[TIPO],DADOS!$P$4,tabela_registros[CATEGORIA],despesavariávelconsolidadodez[[#This Row],[DESPESA VARIÁVEL]])</f>
        <v>0</v>
      </c>
      <c r="AJ60" s="147" t="n">
        <f aca="false">SUM(despesavariávelconsolidadodez[[#This Row],[1]:[31]])</f>
        <v>0</v>
      </c>
      <c r="AK60" s="143"/>
    </row>
    <row r="61" customFormat="false" ht="18" hidden="false" customHeight="true" outlineLevel="0" collapsed="false">
      <c r="B61" s="143"/>
      <c r="C61" s="144" t="str">
        <f aca="false">DADOS!$T$4</f>
        <v>💳 CARTÃO DE CRÉDITO</v>
      </c>
      <c r="D61" s="145" t="str">
        <f aca="false">IF(despesavariávelconsolidadodez[[#This Row],[TOTAL]]=0,"",IF(OR(despesavariávelconsolidadodez[[#This Row],[TOTAL]]=LARGE($AJ$60:$AJ$72,1),despesavariávelconsolidadodez[[#This Row],[TOTAL]]=LARGE($AJ$60:$AJ$72,2),despesavariávelconsolidadodez[[#This Row],[TOTAL]]=LARGE($AJ$60:$AJ$72,3),despesavariávelconsolidadodez[[#This Row],[TOTAL]]=LARGE($AJ$60:$AJ$72,4),despesavariávelconsolidadodez[[#This Row],[TOTAL]]=LARGE($AJ$60:$AJ$72,5)),DADOS!$I$8,""))</f>
        <v/>
      </c>
      <c r="E61" s="148" t="n">
        <f aca="false">SUMIFS(tabela_registros[VALOR],tabela_registros[MÊS],$AE$1,tabela_registros[DIA],deztotal3059718395107119131143155167[[#Headers],[1]],tabela_registros[REGISTRO],DADOS!$N$4,tabela_registros[TIPO],DADOS!$P$4,tabela_registros[CATEGORIA],despesavariávelconsolidadodez[[#This Row],[DESPESA VARIÁVEL]])</f>
        <v>0</v>
      </c>
      <c r="F61" s="119" t="n">
        <f aca="false">SUMIFS(tabela_registros[VALOR],tabela_registros[MÊS],$AE$1,tabela_registros[DIA],deztotal3059718395107119131143155167[[#Headers],[2]],tabela_registros[REGISTRO],DADOS!$N$4,tabela_registros[TIPO],DADOS!$P$4,tabela_registros[CATEGORIA],despesavariávelconsolidadodez[[#This Row],[DESPESA VARIÁVEL]])</f>
        <v>0</v>
      </c>
      <c r="G61" s="119" t="n">
        <f aca="false">SUMIFS(tabela_registros[VALOR],tabela_registros[MÊS],$AE$1,tabela_registros[DIA],deztotal3059718395107119131143155167[[#Headers],[3]],tabela_registros[REGISTRO],DADOS!$N$4,tabela_registros[TIPO],DADOS!$P$4,tabela_registros[CATEGORIA],despesavariávelconsolidadodez[[#This Row],[DESPESA VARIÁVEL]])</f>
        <v>0</v>
      </c>
      <c r="H61" s="119" t="n">
        <f aca="false">SUMIFS(tabela_registros[VALOR],tabela_registros[MÊS],$AE$1,tabela_registros[DIA],deztotal3059718395107119131143155167[[#Headers],[4]],tabela_registros[REGISTRO],DADOS!$N$4,tabela_registros[TIPO],DADOS!$P$4,tabela_registros[CATEGORIA],despesavariávelconsolidadodez[[#This Row],[DESPESA VARIÁVEL]])</f>
        <v>0</v>
      </c>
      <c r="I61" s="119" t="n">
        <f aca="false">SUMIFS(tabela_registros[VALOR],tabela_registros[MÊS],$AE$1,tabela_registros[DIA],deztotal3059718395107119131143155167[[#Headers],[5]],tabela_registros[REGISTRO],DADOS!$N$4,tabela_registros[TIPO],DADOS!$P$4,tabela_registros[CATEGORIA],despesavariávelconsolidadodez[[#This Row],[DESPESA VARIÁVEL]])</f>
        <v>0</v>
      </c>
      <c r="J61" s="119" t="n">
        <f aca="false">SUMIFS(tabela_registros[VALOR],tabela_registros[MÊS],$AE$1,tabela_registros[DIA],deztotal3059718395107119131143155167[[#Headers],[6]],tabela_registros[REGISTRO],DADOS!$N$4,tabela_registros[TIPO],DADOS!$P$4,tabela_registros[CATEGORIA],despesavariávelconsolidadodez[[#This Row],[DESPESA VARIÁVEL]])</f>
        <v>0</v>
      </c>
      <c r="K61" s="119" t="n">
        <f aca="false">SUMIFS(tabela_registros[VALOR],tabela_registros[MÊS],$AE$1,tabela_registros[DIA],deztotal3059718395107119131143155167[[#Headers],[7]],tabela_registros[REGISTRO],DADOS!$N$4,tabela_registros[TIPO],DADOS!$P$4,tabela_registros[CATEGORIA],despesavariávelconsolidadodez[[#This Row],[DESPESA VARIÁVEL]])</f>
        <v>0</v>
      </c>
      <c r="L61" s="119" t="n">
        <f aca="false">SUMIFS(tabela_registros[VALOR],tabela_registros[MÊS],$AE$1,tabela_registros[DIA],deztotal3059718395107119131143155167[[#Headers],[8]],tabela_registros[REGISTRO],DADOS!$N$4,tabela_registros[TIPO],DADOS!$P$4,tabela_registros[CATEGORIA],despesavariávelconsolidadodez[[#This Row],[DESPESA VARIÁVEL]])</f>
        <v>0</v>
      </c>
      <c r="M61" s="119" t="n">
        <f aca="false">SUMIFS(tabela_registros[VALOR],tabela_registros[MÊS],$AE$1,tabela_registros[DIA],deztotal3059718395107119131143155167[[#Headers],[9]],tabela_registros[REGISTRO],DADOS!$N$4,tabela_registros[TIPO],DADOS!$P$4,tabela_registros[CATEGORIA],despesavariávelconsolidadodez[[#This Row],[DESPESA VARIÁVEL]])</f>
        <v>0</v>
      </c>
      <c r="N61" s="119" t="n">
        <f aca="false">SUMIFS(tabela_registros[VALOR],tabela_registros[MÊS],$AE$1,tabela_registros[DIA],deztotal3059718395107119131143155167[[#Headers],[10]],tabela_registros[REGISTRO],DADOS!$N$4,tabela_registros[TIPO],DADOS!$P$4,tabela_registros[CATEGORIA],despesavariávelconsolidadodez[[#This Row],[DESPESA VARIÁVEL]])</f>
        <v>0</v>
      </c>
      <c r="O61" s="119" t="n">
        <f aca="false">SUMIFS(tabela_registros[VALOR],tabela_registros[MÊS],$AE$1,tabela_registros[DIA],deztotal3059718395107119131143155167[[#Headers],[11]],tabela_registros[REGISTRO],DADOS!$N$4,tabela_registros[TIPO],DADOS!$P$4,tabela_registros[CATEGORIA],despesavariávelconsolidadodez[[#This Row],[DESPESA VARIÁVEL]])</f>
        <v>0</v>
      </c>
      <c r="P61" s="119" t="n">
        <f aca="false">SUMIFS(tabela_registros[VALOR],tabela_registros[MÊS],$AE$1,tabela_registros[DIA],deztotal3059718395107119131143155167[[#Headers],[12]],tabela_registros[REGISTRO],DADOS!$N$4,tabela_registros[TIPO],DADOS!$P$4,tabela_registros[CATEGORIA],despesavariávelconsolidadodez[[#This Row],[DESPESA VARIÁVEL]])</f>
        <v>0</v>
      </c>
      <c r="Q61" s="119" t="n">
        <f aca="false">SUMIFS(tabela_registros[VALOR],tabela_registros[MÊS],$AE$1,tabela_registros[DIA],deztotal3059718395107119131143155167[[#Headers],[13]],tabela_registros[REGISTRO],DADOS!$N$4,tabela_registros[TIPO],DADOS!$P$4,tabela_registros[CATEGORIA],despesavariávelconsolidadodez[[#This Row],[DESPESA VARIÁVEL]])</f>
        <v>0</v>
      </c>
      <c r="R61" s="119" t="n">
        <f aca="false">SUMIFS(tabela_registros[VALOR],tabela_registros[MÊS],$AE$1,tabela_registros[DIA],deztotal3059718395107119131143155167[[#Headers],[14]],tabela_registros[REGISTRO],DADOS!$N$4,tabela_registros[TIPO],DADOS!$P$4,tabela_registros[CATEGORIA],despesavariávelconsolidadodez[[#This Row],[DESPESA VARIÁVEL]])</f>
        <v>0</v>
      </c>
      <c r="S61" s="119" t="n">
        <f aca="false">SUMIFS(tabela_registros[VALOR],tabela_registros[MÊS],$AE$1,tabela_registros[DIA],deztotal3059718395107119131143155167[[#Headers],[15]],tabela_registros[REGISTRO],DADOS!$N$4,tabela_registros[TIPO],DADOS!$P$4,tabela_registros[CATEGORIA],despesavariávelconsolidadodez[[#This Row],[DESPESA VARIÁVEL]])</f>
        <v>0</v>
      </c>
      <c r="T61" s="119" t="n">
        <f aca="false">SUMIFS(tabela_registros[VALOR],tabela_registros[MÊS],$AE$1,tabela_registros[DIA],deztotal3059718395107119131143155167[[#Headers],[16]],tabela_registros[REGISTRO],DADOS!$N$4,tabela_registros[TIPO],DADOS!$P$4,tabela_registros[CATEGORIA],despesavariávelconsolidadodez[[#This Row],[DESPESA VARIÁVEL]])</f>
        <v>0</v>
      </c>
      <c r="U61" s="119" t="n">
        <f aca="false">SUMIFS(tabela_registros[VALOR],tabela_registros[MÊS],$AE$1,tabela_registros[DIA],deztotal3059718395107119131143155167[[#Headers],[17]],tabela_registros[REGISTRO],DADOS!$N$4,tabela_registros[TIPO],DADOS!$P$4,tabela_registros[CATEGORIA],despesavariávelconsolidadodez[[#This Row],[DESPESA VARIÁVEL]])</f>
        <v>0</v>
      </c>
      <c r="V61" s="119" t="n">
        <f aca="false">SUMIFS(tabela_registros[VALOR],tabela_registros[MÊS],$AE$1,tabela_registros[DIA],deztotal3059718395107119131143155167[[#Headers],[18]],tabela_registros[REGISTRO],DADOS!$N$4,tabela_registros[TIPO],DADOS!$P$4,tabela_registros[CATEGORIA],despesavariávelconsolidadodez[[#This Row],[DESPESA VARIÁVEL]])</f>
        <v>0</v>
      </c>
      <c r="W61" s="119" t="n">
        <f aca="false">SUMIFS(tabela_registros[VALOR],tabela_registros[MÊS],$AE$1,tabela_registros[DIA],deztotal3059718395107119131143155167[[#Headers],[19]],tabela_registros[REGISTRO],DADOS!$N$4,tabela_registros[TIPO],DADOS!$P$4,tabela_registros[CATEGORIA],despesavariávelconsolidadodez[[#This Row],[DESPESA VARIÁVEL]])</f>
        <v>0</v>
      </c>
      <c r="X61" s="119" t="n">
        <f aca="false">SUMIFS(tabela_registros[VALOR],tabela_registros[MÊS],$AE$1,tabela_registros[DIA],deztotal3059718395107119131143155167[[#Headers],[20]],tabela_registros[REGISTRO],DADOS!$N$4,tabela_registros[TIPO],DADOS!$P$4,tabela_registros[CATEGORIA],despesavariávelconsolidadodez[[#This Row],[DESPESA VARIÁVEL]])</f>
        <v>0</v>
      </c>
      <c r="Y61" s="119" t="n">
        <f aca="false">SUMIFS(tabela_registros[VALOR],tabela_registros[MÊS],$AE$1,tabela_registros[DIA],deztotal3059718395107119131143155167[[#Headers],[21]],tabela_registros[REGISTRO],DADOS!$N$4,tabela_registros[TIPO],DADOS!$P$4,tabela_registros[CATEGORIA],despesavariávelconsolidadodez[[#This Row],[DESPESA VARIÁVEL]])</f>
        <v>0</v>
      </c>
      <c r="Z61" s="119" t="n">
        <f aca="false">SUMIFS(tabela_registros[VALOR],tabela_registros[MÊS],$AE$1,tabela_registros[DIA],deztotal3059718395107119131143155167[[#Headers],[22]],tabela_registros[REGISTRO],DADOS!$N$4,tabela_registros[TIPO],DADOS!$P$4,tabela_registros[CATEGORIA],despesavariávelconsolidadodez[[#This Row],[DESPESA VARIÁVEL]])</f>
        <v>0</v>
      </c>
      <c r="AA61" s="119" t="n">
        <f aca="false">SUMIFS(tabela_registros[VALOR],tabela_registros[MÊS],$AE$1,tabela_registros[DIA],deztotal3059718395107119131143155167[[#Headers],[23]],tabela_registros[REGISTRO],DADOS!$N$4,tabela_registros[TIPO],DADOS!$P$4,tabela_registros[CATEGORIA],despesavariávelconsolidadodez[[#This Row],[DESPESA VARIÁVEL]])</f>
        <v>0</v>
      </c>
      <c r="AB61" s="119" t="n">
        <f aca="false">SUMIFS(tabela_registros[VALOR],tabela_registros[MÊS],$AE$1,tabela_registros[DIA],deztotal3059718395107119131143155167[[#Headers],[24]],tabela_registros[REGISTRO],DADOS!$N$4,tabela_registros[TIPO],DADOS!$P$4,tabela_registros[CATEGORIA],despesavariávelconsolidadodez[[#This Row],[DESPESA VARIÁVEL]])</f>
        <v>0</v>
      </c>
      <c r="AC61" s="119" t="n">
        <f aca="false">SUMIFS(tabela_registros[VALOR],tabela_registros[MÊS],$AE$1,tabela_registros[DIA],deztotal3059718395107119131143155167[[#Headers],[25]],tabela_registros[REGISTRO],DADOS!$N$4,tabela_registros[TIPO],DADOS!$P$4,tabela_registros[CATEGORIA],despesavariávelconsolidadodez[[#This Row],[DESPESA VARIÁVEL]])</f>
        <v>0</v>
      </c>
      <c r="AD61" s="119" t="n">
        <f aca="false">SUMIFS(tabela_registros[VALOR],tabela_registros[MÊS],$AE$1,tabela_registros[DIA],deztotal3059718395107119131143155167[[#Headers],[26]],tabela_registros[REGISTRO],DADOS!$N$4,tabela_registros[TIPO],DADOS!$P$4,tabela_registros[CATEGORIA],despesavariávelconsolidadodez[[#This Row],[DESPESA VARIÁVEL]])</f>
        <v>0</v>
      </c>
      <c r="AE61" s="119" t="n">
        <f aca="false">SUMIFS(tabela_registros[VALOR],tabela_registros[MÊS],$AE$1,tabela_registros[DIA],deztotal3059718395107119131143155167[[#Headers],[27]],tabela_registros[REGISTRO],DADOS!$N$4,tabela_registros[TIPO],DADOS!$P$4,tabela_registros[CATEGORIA],despesavariávelconsolidadodez[[#This Row],[DESPESA VARIÁVEL]])</f>
        <v>0</v>
      </c>
      <c r="AF61" s="119" t="n">
        <f aca="false">SUMIFS(tabela_registros[VALOR],tabela_registros[MÊS],$AE$1,tabela_registros[DIA],deztotal3059718395107119131143155167[[#Headers],[28]],tabela_registros[REGISTRO],DADOS!$N$4,tabela_registros[TIPO],DADOS!$P$4,tabela_registros[CATEGORIA],despesavariávelconsolidadodez[[#This Row],[DESPESA VARIÁVEL]])</f>
        <v>0</v>
      </c>
      <c r="AG61" s="119" t="n">
        <f aca="false">SUMIFS(tabela_registros[VALOR],tabela_registros[MÊS],$AE$1,tabela_registros[DIA],deztotal3059718395107119131143155167[[#Headers],[29]],tabela_registros[REGISTRO],DADOS!$N$4,tabela_registros[TIPO],DADOS!$P$4,tabela_registros[CATEGORIA],despesavariávelconsolidadodez[[#This Row],[DESPESA VARIÁVEL]])</f>
        <v>0</v>
      </c>
      <c r="AH61" s="119" t="n">
        <f aca="false">SUMIFS(tabela_registros[VALOR],tabela_registros[MÊS],$AE$1,tabela_registros[DIA],deztotal3059718395107119131143155167[[#Headers],[30]],tabela_registros[REGISTRO],DADOS!$N$4,tabela_registros[TIPO],DADOS!$P$4,tabela_registros[CATEGORIA],despesavariávelconsolidadodez[[#This Row],[DESPESA VARIÁVEL]])</f>
        <v>0</v>
      </c>
      <c r="AI61" s="217" t="n">
        <f aca="false">SUMIFS(tabela_registros[VALOR],tabela_registros[MÊS],$AE$1,tabela_registros[DIA],deztotal3059718395107119131143155167[[#Headers],[31]],tabela_registros[REGISTRO],DADOS!$N$4,tabela_registros[TIPO],DADOS!$P$4,tabela_registros[CATEGORIA],despesavariávelconsolidadodez[[#This Row],[DESPESA VARIÁVEL]])</f>
        <v>0</v>
      </c>
      <c r="AJ61" s="149" t="n">
        <f aca="false">SUM(despesavariávelconsolidadodez[[#This Row],[1]:[31]])</f>
        <v>0</v>
      </c>
      <c r="AK61" s="143"/>
    </row>
    <row r="62" customFormat="false" ht="18" hidden="false" customHeight="true" outlineLevel="0" collapsed="false">
      <c r="B62" s="143"/>
      <c r="C62" s="144" t="str">
        <f aca="false">DADOS!$T$5</f>
        <v>✍️ CHEQUE ESPECIAL</v>
      </c>
      <c r="D62" s="145" t="str">
        <f aca="false">IF(despesavariávelconsolidadodez[[#This Row],[TOTAL]]=0,"",IF(OR(despesavariávelconsolidadodez[[#This Row],[TOTAL]]=LARGE($AJ$60:$AJ$72,1),despesavariávelconsolidadodez[[#This Row],[TOTAL]]=LARGE($AJ$60:$AJ$72,2),despesavariávelconsolidadodez[[#This Row],[TOTAL]]=LARGE($AJ$60:$AJ$72,3),despesavariávelconsolidadodez[[#This Row],[TOTAL]]=LARGE($AJ$60:$AJ$72,4),despesavariávelconsolidadodez[[#This Row],[TOTAL]]=LARGE($AJ$60:$AJ$72,5)),DADOS!$I$8,""))</f>
        <v/>
      </c>
      <c r="E62" s="148" t="n">
        <f aca="false">SUMIFS(tabela_registros[VALOR],tabela_registros[MÊS],$AE$1,tabela_registros[DIA],deztotal3059718395107119131143155167[[#Headers],[1]],tabela_registros[REGISTRO],DADOS!$N$4,tabela_registros[TIPO],DADOS!$P$4,tabela_registros[CATEGORIA],despesavariávelconsolidadodez[[#This Row],[DESPESA VARIÁVEL]])</f>
        <v>0</v>
      </c>
      <c r="F62" s="119" t="n">
        <f aca="false">SUMIFS(tabela_registros[VALOR],tabela_registros[MÊS],$AE$1,tabela_registros[DIA],deztotal3059718395107119131143155167[[#Headers],[2]],tabela_registros[REGISTRO],DADOS!$N$4,tabela_registros[TIPO],DADOS!$P$4,tabela_registros[CATEGORIA],despesavariávelconsolidadodez[[#This Row],[DESPESA VARIÁVEL]])</f>
        <v>0</v>
      </c>
      <c r="G62" s="119" t="n">
        <f aca="false">SUMIFS(tabela_registros[VALOR],tabela_registros[MÊS],$AE$1,tabela_registros[DIA],deztotal3059718395107119131143155167[[#Headers],[3]],tabela_registros[REGISTRO],DADOS!$N$4,tabela_registros[TIPO],DADOS!$P$4,tabela_registros[CATEGORIA],despesavariávelconsolidadodez[[#This Row],[DESPESA VARIÁVEL]])</f>
        <v>0</v>
      </c>
      <c r="H62" s="119" t="n">
        <f aca="false">SUMIFS(tabela_registros[VALOR],tabela_registros[MÊS],$AE$1,tabela_registros[DIA],deztotal3059718395107119131143155167[[#Headers],[4]],tabela_registros[REGISTRO],DADOS!$N$4,tabela_registros[TIPO],DADOS!$P$4,tabela_registros[CATEGORIA],despesavariávelconsolidadodez[[#This Row],[DESPESA VARIÁVEL]])</f>
        <v>0</v>
      </c>
      <c r="I62" s="119" t="n">
        <f aca="false">SUMIFS(tabela_registros[VALOR],tabela_registros[MÊS],$AE$1,tabela_registros[DIA],deztotal3059718395107119131143155167[[#Headers],[5]],tabela_registros[REGISTRO],DADOS!$N$4,tabela_registros[TIPO],DADOS!$P$4,tabela_registros[CATEGORIA],despesavariávelconsolidadodez[[#This Row],[DESPESA VARIÁVEL]])</f>
        <v>0</v>
      </c>
      <c r="J62" s="119" t="n">
        <f aca="false">SUMIFS(tabela_registros[VALOR],tabela_registros[MÊS],$AE$1,tabela_registros[DIA],deztotal3059718395107119131143155167[[#Headers],[6]],tabela_registros[REGISTRO],DADOS!$N$4,tabela_registros[TIPO],DADOS!$P$4,tabela_registros[CATEGORIA],despesavariávelconsolidadodez[[#This Row],[DESPESA VARIÁVEL]])</f>
        <v>0</v>
      </c>
      <c r="K62" s="119" t="n">
        <f aca="false">SUMIFS(tabela_registros[VALOR],tabela_registros[MÊS],$AE$1,tabela_registros[DIA],deztotal3059718395107119131143155167[[#Headers],[7]],tabela_registros[REGISTRO],DADOS!$N$4,tabela_registros[TIPO],DADOS!$P$4,tabela_registros[CATEGORIA],despesavariávelconsolidadodez[[#This Row],[DESPESA VARIÁVEL]])</f>
        <v>0</v>
      </c>
      <c r="L62" s="119" t="n">
        <f aca="false">SUMIFS(tabela_registros[VALOR],tabela_registros[MÊS],$AE$1,tabela_registros[DIA],deztotal3059718395107119131143155167[[#Headers],[8]],tabela_registros[REGISTRO],DADOS!$N$4,tabela_registros[TIPO],DADOS!$P$4,tabela_registros[CATEGORIA],despesavariávelconsolidadodez[[#This Row],[DESPESA VARIÁVEL]])</f>
        <v>0</v>
      </c>
      <c r="M62" s="119" t="n">
        <f aca="false">SUMIFS(tabela_registros[VALOR],tabela_registros[MÊS],$AE$1,tabela_registros[DIA],deztotal3059718395107119131143155167[[#Headers],[9]],tabela_registros[REGISTRO],DADOS!$N$4,tabela_registros[TIPO],DADOS!$P$4,tabela_registros[CATEGORIA],despesavariávelconsolidadodez[[#This Row],[DESPESA VARIÁVEL]])</f>
        <v>0</v>
      </c>
      <c r="N62" s="119" t="n">
        <f aca="false">SUMIFS(tabela_registros[VALOR],tabela_registros[MÊS],$AE$1,tabela_registros[DIA],deztotal3059718395107119131143155167[[#Headers],[10]],tabela_registros[REGISTRO],DADOS!$N$4,tabela_registros[TIPO],DADOS!$P$4,tabela_registros[CATEGORIA],despesavariávelconsolidadodez[[#This Row],[DESPESA VARIÁVEL]])</f>
        <v>0</v>
      </c>
      <c r="O62" s="119" t="n">
        <f aca="false">SUMIFS(tabela_registros[VALOR],tabela_registros[MÊS],$AE$1,tabela_registros[DIA],deztotal3059718395107119131143155167[[#Headers],[11]],tabela_registros[REGISTRO],DADOS!$N$4,tabela_registros[TIPO],DADOS!$P$4,tabela_registros[CATEGORIA],despesavariávelconsolidadodez[[#This Row],[DESPESA VARIÁVEL]])</f>
        <v>0</v>
      </c>
      <c r="P62" s="119" t="n">
        <f aca="false">SUMIFS(tabela_registros[VALOR],tabela_registros[MÊS],$AE$1,tabela_registros[DIA],deztotal3059718395107119131143155167[[#Headers],[12]],tabela_registros[REGISTRO],DADOS!$N$4,tabela_registros[TIPO],DADOS!$P$4,tabela_registros[CATEGORIA],despesavariávelconsolidadodez[[#This Row],[DESPESA VARIÁVEL]])</f>
        <v>0</v>
      </c>
      <c r="Q62" s="119" t="n">
        <f aca="false">SUMIFS(tabela_registros[VALOR],tabela_registros[MÊS],$AE$1,tabela_registros[DIA],deztotal3059718395107119131143155167[[#Headers],[13]],tabela_registros[REGISTRO],DADOS!$N$4,tabela_registros[TIPO],DADOS!$P$4,tabela_registros[CATEGORIA],despesavariávelconsolidadodez[[#This Row],[DESPESA VARIÁVEL]])</f>
        <v>0</v>
      </c>
      <c r="R62" s="119" t="n">
        <f aca="false">SUMIFS(tabela_registros[VALOR],tabela_registros[MÊS],$AE$1,tabela_registros[DIA],deztotal3059718395107119131143155167[[#Headers],[14]],tabela_registros[REGISTRO],DADOS!$N$4,tabela_registros[TIPO],DADOS!$P$4,tabela_registros[CATEGORIA],despesavariávelconsolidadodez[[#This Row],[DESPESA VARIÁVEL]])</f>
        <v>0</v>
      </c>
      <c r="S62" s="119" t="n">
        <f aca="false">SUMIFS(tabela_registros[VALOR],tabela_registros[MÊS],$AE$1,tabela_registros[DIA],deztotal3059718395107119131143155167[[#Headers],[15]],tabela_registros[REGISTRO],DADOS!$N$4,tabela_registros[TIPO],DADOS!$P$4,tabela_registros[CATEGORIA],despesavariávelconsolidadodez[[#This Row],[DESPESA VARIÁVEL]])</f>
        <v>0</v>
      </c>
      <c r="T62" s="119" t="n">
        <f aca="false">SUMIFS(tabela_registros[VALOR],tabela_registros[MÊS],$AE$1,tabela_registros[DIA],deztotal3059718395107119131143155167[[#Headers],[16]],tabela_registros[REGISTRO],DADOS!$N$4,tabela_registros[TIPO],DADOS!$P$4,tabela_registros[CATEGORIA],despesavariávelconsolidadodez[[#This Row],[DESPESA VARIÁVEL]])</f>
        <v>0</v>
      </c>
      <c r="U62" s="119" t="n">
        <f aca="false">SUMIFS(tabela_registros[VALOR],tabela_registros[MÊS],$AE$1,tabela_registros[DIA],deztotal3059718395107119131143155167[[#Headers],[17]],tabela_registros[REGISTRO],DADOS!$N$4,tabela_registros[TIPO],DADOS!$P$4,tabela_registros[CATEGORIA],despesavariávelconsolidadodez[[#This Row],[DESPESA VARIÁVEL]])</f>
        <v>0</v>
      </c>
      <c r="V62" s="119" t="n">
        <f aca="false">SUMIFS(tabela_registros[VALOR],tabela_registros[MÊS],$AE$1,tabela_registros[DIA],deztotal3059718395107119131143155167[[#Headers],[18]],tabela_registros[REGISTRO],DADOS!$N$4,tabela_registros[TIPO],DADOS!$P$4,tabela_registros[CATEGORIA],despesavariávelconsolidadodez[[#This Row],[DESPESA VARIÁVEL]])</f>
        <v>0</v>
      </c>
      <c r="W62" s="119" t="n">
        <f aca="false">SUMIFS(tabela_registros[VALOR],tabela_registros[MÊS],$AE$1,tabela_registros[DIA],deztotal3059718395107119131143155167[[#Headers],[19]],tabela_registros[REGISTRO],DADOS!$N$4,tabela_registros[TIPO],DADOS!$P$4,tabela_registros[CATEGORIA],despesavariávelconsolidadodez[[#This Row],[DESPESA VARIÁVEL]])</f>
        <v>0</v>
      </c>
      <c r="X62" s="119" t="n">
        <f aca="false">SUMIFS(tabela_registros[VALOR],tabela_registros[MÊS],$AE$1,tabela_registros[DIA],deztotal3059718395107119131143155167[[#Headers],[20]],tabela_registros[REGISTRO],DADOS!$N$4,tabela_registros[TIPO],DADOS!$P$4,tabela_registros[CATEGORIA],despesavariávelconsolidadodez[[#This Row],[DESPESA VARIÁVEL]])</f>
        <v>0</v>
      </c>
      <c r="Y62" s="119" t="n">
        <f aca="false">SUMIFS(tabela_registros[VALOR],tabela_registros[MÊS],$AE$1,tabela_registros[DIA],deztotal3059718395107119131143155167[[#Headers],[21]],tabela_registros[REGISTRO],DADOS!$N$4,tabela_registros[TIPO],DADOS!$P$4,tabela_registros[CATEGORIA],despesavariávelconsolidadodez[[#This Row],[DESPESA VARIÁVEL]])</f>
        <v>0</v>
      </c>
      <c r="Z62" s="119" t="n">
        <f aca="false">SUMIFS(tabela_registros[VALOR],tabela_registros[MÊS],$AE$1,tabela_registros[DIA],deztotal3059718395107119131143155167[[#Headers],[22]],tabela_registros[REGISTRO],DADOS!$N$4,tabela_registros[TIPO],DADOS!$P$4,tabela_registros[CATEGORIA],despesavariávelconsolidadodez[[#This Row],[DESPESA VARIÁVEL]])</f>
        <v>0</v>
      </c>
      <c r="AA62" s="119" t="n">
        <f aca="false">SUMIFS(tabela_registros[VALOR],tabela_registros[MÊS],$AE$1,tabela_registros[DIA],deztotal3059718395107119131143155167[[#Headers],[23]],tabela_registros[REGISTRO],DADOS!$N$4,tabela_registros[TIPO],DADOS!$P$4,tabela_registros[CATEGORIA],despesavariávelconsolidadodez[[#This Row],[DESPESA VARIÁVEL]])</f>
        <v>0</v>
      </c>
      <c r="AB62" s="119" t="n">
        <f aca="false">SUMIFS(tabela_registros[VALOR],tabela_registros[MÊS],$AE$1,tabela_registros[DIA],deztotal3059718395107119131143155167[[#Headers],[24]],tabela_registros[REGISTRO],DADOS!$N$4,tabela_registros[TIPO],DADOS!$P$4,tabela_registros[CATEGORIA],despesavariávelconsolidadodez[[#This Row],[DESPESA VARIÁVEL]])</f>
        <v>0</v>
      </c>
      <c r="AC62" s="119" t="n">
        <f aca="false">SUMIFS(tabela_registros[VALOR],tabela_registros[MÊS],$AE$1,tabela_registros[DIA],deztotal3059718395107119131143155167[[#Headers],[25]],tabela_registros[REGISTRO],DADOS!$N$4,tabela_registros[TIPO],DADOS!$P$4,tabela_registros[CATEGORIA],despesavariávelconsolidadodez[[#This Row],[DESPESA VARIÁVEL]])</f>
        <v>0</v>
      </c>
      <c r="AD62" s="119" t="n">
        <f aca="false">SUMIFS(tabela_registros[VALOR],tabela_registros[MÊS],$AE$1,tabela_registros[DIA],deztotal3059718395107119131143155167[[#Headers],[26]],tabela_registros[REGISTRO],DADOS!$N$4,tabela_registros[TIPO],DADOS!$P$4,tabela_registros[CATEGORIA],despesavariávelconsolidadodez[[#This Row],[DESPESA VARIÁVEL]])</f>
        <v>0</v>
      </c>
      <c r="AE62" s="119" t="n">
        <f aca="false">SUMIFS(tabela_registros[VALOR],tabela_registros[MÊS],$AE$1,tabela_registros[DIA],deztotal3059718395107119131143155167[[#Headers],[27]],tabela_registros[REGISTRO],DADOS!$N$4,tabela_registros[TIPO],DADOS!$P$4,tabela_registros[CATEGORIA],despesavariávelconsolidadodez[[#This Row],[DESPESA VARIÁVEL]])</f>
        <v>0</v>
      </c>
      <c r="AF62" s="119" t="n">
        <f aca="false">SUMIFS(tabela_registros[VALOR],tabela_registros[MÊS],$AE$1,tabela_registros[DIA],deztotal3059718395107119131143155167[[#Headers],[28]],tabela_registros[REGISTRO],DADOS!$N$4,tabela_registros[TIPO],DADOS!$P$4,tabela_registros[CATEGORIA],despesavariávelconsolidadodez[[#This Row],[DESPESA VARIÁVEL]])</f>
        <v>0</v>
      </c>
      <c r="AG62" s="119" t="n">
        <f aca="false">SUMIFS(tabela_registros[VALOR],tabela_registros[MÊS],$AE$1,tabela_registros[DIA],deztotal3059718395107119131143155167[[#Headers],[29]],tabela_registros[REGISTRO],DADOS!$N$4,tabela_registros[TIPO],DADOS!$P$4,tabela_registros[CATEGORIA],despesavariávelconsolidadodez[[#This Row],[DESPESA VARIÁVEL]])</f>
        <v>0</v>
      </c>
      <c r="AH62" s="119" t="n">
        <f aca="false">SUMIFS(tabela_registros[VALOR],tabela_registros[MÊS],$AE$1,tabela_registros[DIA],deztotal3059718395107119131143155167[[#Headers],[30]],tabela_registros[REGISTRO],DADOS!$N$4,tabela_registros[TIPO],DADOS!$P$4,tabela_registros[CATEGORIA],despesavariávelconsolidadodez[[#This Row],[DESPESA VARIÁVEL]])</f>
        <v>0</v>
      </c>
      <c r="AI62" s="217" t="n">
        <f aca="false">SUMIFS(tabela_registros[VALOR],tabela_registros[MÊS],$AE$1,tabela_registros[DIA],deztotal3059718395107119131143155167[[#Headers],[31]],tabela_registros[REGISTRO],DADOS!$N$4,tabela_registros[TIPO],DADOS!$P$4,tabela_registros[CATEGORIA],despesavariávelconsolidadodez[[#This Row],[DESPESA VARIÁVEL]])</f>
        <v>0</v>
      </c>
      <c r="AJ62" s="149" t="n">
        <f aca="false">SUM(despesavariávelconsolidadodez[[#This Row],[1]:[31]])</f>
        <v>0</v>
      </c>
      <c r="AK62" s="143"/>
    </row>
    <row r="63" customFormat="false" ht="18" hidden="false" customHeight="true" outlineLevel="0" collapsed="false">
      <c r="B63" s="143"/>
      <c r="C63" s="144" t="str">
        <f aca="false">DADOS!$T$6</f>
        <v>💄 CUIDADOS PESSOAIS</v>
      </c>
      <c r="D63" s="145" t="str">
        <f aca="false">IF(despesavariávelconsolidadodez[[#This Row],[TOTAL]]=0,"",IF(OR(despesavariávelconsolidadodez[[#This Row],[TOTAL]]=LARGE($AJ$60:$AJ$72,1),despesavariávelconsolidadodez[[#This Row],[TOTAL]]=LARGE($AJ$60:$AJ$72,2),despesavariávelconsolidadodez[[#This Row],[TOTAL]]=LARGE($AJ$60:$AJ$72,3),despesavariávelconsolidadodez[[#This Row],[TOTAL]]=LARGE($AJ$60:$AJ$72,4),despesavariávelconsolidadodez[[#This Row],[TOTAL]]=LARGE($AJ$60:$AJ$72,5)),DADOS!$I$8,""))</f>
        <v/>
      </c>
      <c r="E63" s="148" t="n">
        <f aca="false">SUMIFS(tabela_registros[VALOR],tabela_registros[MÊS],$AE$1,tabela_registros[DIA],deztotal3059718395107119131143155167[[#Headers],[1]],tabela_registros[REGISTRO],DADOS!$N$4,tabela_registros[TIPO],DADOS!$P$4,tabela_registros[CATEGORIA],despesavariávelconsolidadodez[[#This Row],[DESPESA VARIÁVEL]])</f>
        <v>0</v>
      </c>
      <c r="F63" s="119" t="n">
        <f aca="false">SUMIFS(tabela_registros[VALOR],tabela_registros[MÊS],$AE$1,tabela_registros[DIA],deztotal3059718395107119131143155167[[#Headers],[2]],tabela_registros[REGISTRO],DADOS!$N$4,tabela_registros[TIPO],DADOS!$P$4,tabela_registros[CATEGORIA],despesavariávelconsolidadodez[[#This Row],[DESPESA VARIÁVEL]])</f>
        <v>0</v>
      </c>
      <c r="G63" s="119" t="n">
        <f aca="false">SUMIFS(tabela_registros[VALOR],tabela_registros[MÊS],$AE$1,tabela_registros[DIA],deztotal3059718395107119131143155167[[#Headers],[3]],tabela_registros[REGISTRO],DADOS!$N$4,tabela_registros[TIPO],DADOS!$P$4,tabela_registros[CATEGORIA],despesavariávelconsolidadodez[[#This Row],[DESPESA VARIÁVEL]])</f>
        <v>0</v>
      </c>
      <c r="H63" s="119" t="n">
        <f aca="false">SUMIFS(tabela_registros[VALOR],tabela_registros[MÊS],$AE$1,tabela_registros[DIA],deztotal3059718395107119131143155167[[#Headers],[4]],tabela_registros[REGISTRO],DADOS!$N$4,tabela_registros[TIPO],DADOS!$P$4,tabela_registros[CATEGORIA],despesavariávelconsolidadodez[[#This Row],[DESPESA VARIÁVEL]])</f>
        <v>0</v>
      </c>
      <c r="I63" s="119" t="n">
        <f aca="false">SUMIFS(tabela_registros[VALOR],tabela_registros[MÊS],$AE$1,tabela_registros[DIA],deztotal3059718395107119131143155167[[#Headers],[5]],tabela_registros[REGISTRO],DADOS!$N$4,tabela_registros[TIPO],DADOS!$P$4,tabela_registros[CATEGORIA],despesavariávelconsolidadodez[[#This Row],[DESPESA VARIÁVEL]])</f>
        <v>0</v>
      </c>
      <c r="J63" s="119" t="n">
        <f aca="false">SUMIFS(tabela_registros[VALOR],tabela_registros[MÊS],$AE$1,tabela_registros[DIA],deztotal3059718395107119131143155167[[#Headers],[6]],tabela_registros[REGISTRO],DADOS!$N$4,tabela_registros[TIPO],DADOS!$P$4,tabela_registros[CATEGORIA],despesavariávelconsolidadodez[[#This Row],[DESPESA VARIÁVEL]])</f>
        <v>0</v>
      </c>
      <c r="K63" s="119" t="n">
        <f aca="false">SUMIFS(tabela_registros[VALOR],tabela_registros[MÊS],$AE$1,tabela_registros[DIA],deztotal3059718395107119131143155167[[#Headers],[7]],tabela_registros[REGISTRO],DADOS!$N$4,tabela_registros[TIPO],DADOS!$P$4,tabela_registros[CATEGORIA],despesavariávelconsolidadodez[[#This Row],[DESPESA VARIÁVEL]])</f>
        <v>0</v>
      </c>
      <c r="L63" s="119" t="n">
        <f aca="false">SUMIFS(tabela_registros[VALOR],tabela_registros[MÊS],$AE$1,tabela_registros[DIA],deztotal3059718395107119131143155167[[#Headers],[8]],tabela_registros[REGISTRO],DADOS!$N$4,tabela_registros[TIPO],DADOS!$P$4,tabela_registros[CATEGORIA],despesavariávelconsolidadodez[[#This Row],[DESPESA VARIÁVEL]])</f>
        <v>0</v>
      </c>
      <c r="M63" s="119" t="n">
        <f aca="false">SUMIFS(tabela_registros[VALOR],tabela_registros[MÊS],$AE$1,tabela_registros[DIA],deztotal3059718395107119131143155167[[#Headers],[9]],tabela_registros[REGISTRO],DADOS!$N$4,tabela_registros[TIPO],DADOS!$P$4,tabela_registros[CATEGORIA],despesavariávelconsolidadodez[[#This Row],[DESPESA VARIÁVEL]])</f>
        <v>0</v>
      </c>
      <c r="N63" s="119" t="n">
        <f aca="false">SUMIFS(tabela_registros[VALOR],tabela_registros[MÊS],$AE$1,tabela_registros[DIA],deztotal3059718395107119131143155167[[#Headers],[10]],tabela_registros[REGISTRO],DADOS!$N$4,tabela_registros[TIPO],DADOS!$P$4,tabela_registros[CATEGORIA],despesavariávelconsolidadodez[[#This Row],[DESPESA VARIÁVEL]])</f>
        <v>0</v>
      </c>
      <c r="O63" s="119" t="n">
        <f aca="false">SUMIFS(tabela_registros[VALOR],tabela_registros[MÊS],$AE$1,tabela_registros[DIA],deztotal3059718395107119131143155167[[#Headers],[11]],tabela_registros[REGISTRO],DADOS!$N$4,tabela_registros[TIPO],DADOS!$P$4,tabela_registros[CATEGORIA],despesavariávelconsolidadodez[[#This Row],[DESPESA VARIÁVEL]])</f>
        <v>0</v>
      </c>
      <c r="P63" s="119" t="n">
        <f aca="false">SUMIFS(tabela_registros[VALOR],tabela_registros[MÊS],$AE$1,tabela_registros[DIA],deztotal3059718395107119131143155167[[#Headers],[12]],tabela_registros[REGISTRO],DADOS!$N$4,tabela_registros[TIPO],DADOS!$P$4,tabela_registros[CATEGORIA],despesavariávelconsolidadodez[[#This Row],[DESPESA VARIÁVEL]])</f>
        <v>0</v>
      </c>
      <c r="Q63" s="119" t="n">
        <f aca="false">SUMIFS(tabela_registros[VALOR],tabela_registros[MÊS],$AE$1,tabela_registros[DIA],deztotal3059718395107119131143155167[[#Headers],[13]],tabela_registros[REGISTRO],DADOS!$N$4,tabela_registros[TIPO],DADOS!$P$4,tabela_registros[CATEGORIA],despesavariávelconsolidadodez[[#This Row],[DESPESA VARIÁVEL]])</f>
        <v>0</v>
      </c>
      <c r="R63" s="119" t="n">
        <f aca="false">SUMIFS(tabela_registros[VALOR],tabela_registros[MÊS],$AE$1,tabela_registros[DIA],deztotal3059718395107119131143155167[[#Headers],[14]],tabela_registros[REGISTRO],DADOS!$N$4,tabela_registros[TIPO],DADOS!$P$4,tabela_registros[CATEGORIA],despesavariávelconsolidadodez[[#This Row],[DESPESA VARIÁVEL]])</f>
        <v>0</v>
      </c>
      <c r="S63" s="119" t="n">
        <f aca="false">SUMIFS(tabela_registros[VALOR],tabela_registros[MÊS],$AE$1,tabela_registros[DIA],deztotal3059718395107119131143155167[[#Headers],[15]],tabela_registros[REGISTRO],DADOS!$N$4,tabela_registros[TIPO],DADOS!$P$4,tabela_registros[CATEGORIA],despesavariávelconsolidadodez[[#This Row],[DESPESA VARIÁVEL]])</f>
        <v>0</v>
      </c>
      <c r="T63" s="119" t="n">
        <f aca="false">SUMIFS(tabela_registros[VALOR],tabela_registros[MÊS],$AE$1,tabela_registros[DIA],deztotal3059718395107119131143155167[[#Headers],[16]],tabela_registros[REGISTRO],DADOS!$N$4,tabela_registros[TIPO],DADOS!$P$4,tabela_registros[CATEGORIA],despesavariávelconsolidadodez[[#This Row],[DESPESA VARIÁVEL]])</f>
        <v>0</v>
      </c>
      <c r="U63" s="119" t="n">
        <f aca="false">SUMIFS(tabela_registros[VALOR],tabela_registros[MÊS],$AE$1,tabela_registros[DIA],deztotal3059718395107119131143155167[[#Headers],[17]],tabela_registros[REGISTRO],DADOS!$N$4,tabela_registros[TIPO],DADOS!$P$4,tabela_registros[CATEGORIA],despesavariávelconsolidadodez[[#This Row],[DESPESA VARIÁVEL]])</f>
        <v>0</v>
      </c>
      <c r="V63" s="119" t="n">
        <f aca="false">SUMIFS(tabela_registros[VALOR],tabela_registros[MÊS],$AE$1,tabela_registros[DIA],deztotal3059718395107119131143155167[[#Headers],[18]],tabela_registros[REGISTRO],DADOS!$N$4,tabela_registros[TIPO],DADOS!$P$4,tabela_registros[CATEGORIA],despesavariávelconsolidadodez[[#This Row],[DESPESA VARIÁVEL]])</f>
        <v>0</v>
      </c>
      <c r="W63" s="119" t="n">
        <f aca="false">SUMIFS(tabela_registros[VALOR],tabela_registros[MÊS],$AE$1,tabela_registros[DIA],deztotal3059718395107119131143155167[[#Headers],[19]],tabela_registros[REGISTRO],DADOS!$N$4,tabela_registros[TIPO],DADOS!$P$4,tabela_registros[CATEGORIA],despesavariávelconsolidadodez[[#This Row],[DESPESA VARIÁVEL]])</f>
        <v>0</v>
      </c>
      <c r="X63" s="119" t="n">
        <f aca="false">SUMIFS(tabela_registros[VALOR],tabela_registros[MÊS],$AE$1,tabela_registros[DIA],deztotal3059718395107119131143155167[[#Headers],[20]],tabela_registros[REGISTRO],DADOS!$N$4,tabela_registros[TIPO],DADOS!$P$4,tabela_registros[CATEGORIA],despesavariávelconsolidadodez[[#This Row],[DESPESA VARIÁVEL]])</f>
        <v>0</v>
      </c>
      <c r="Y63" s="119" t="n">
        <f aca="false">SUMIFS(tabela_registros[VALOR],tabela_registros[MÊS],$AE$1,tabela_registros[DIA],deztotal3059718395107119131143155167[[#Headers],[21]],tabela_registros[REGISTRO],DADOS!$N$4,tabela_registros[TIPO],DADOS!$P$4,tabela_registros[CATEGORIA],despesavariávelconsolidadodez[[#This Row],[DESPESA VARIÁVEL]])</f>
        <v>0</v>
      </c>
      <c r="Z63" s="119" t="n">
        <f aca="false">SUMIFS(tabela_registros[VALOR],tabela_registros[MÊS],$AE$1,tabela_registros[DIA],deztotal3059718395107119131143155167[[#Headers],[22]],tabela_registros[REGISTRO],DADOS!$N$4,tabela_registros[TIPO],DADOS!$P$4,tabela_registros[CATEGORIA],despesavariávelconsolidadodez[[#This Row],[DESPESA VARIÁVEL]])</f>
        <v>0</v>
      </c>
      <c r="AA63" s="119" t="n">
        <f aca="false">SUMIFS(tabela_registros[VALOR],tabela_registros[MÊS],$AE$1,tabela_registros[DIA],deztotal3059718395107119131143155167[[#Headers],[23]],tabela_registros[REGISTRO],DADOS!$N$4,tabela_registros[TIPO],DADOS!$P$4,tabela_registros[CATEGORIA],despesavariávelconsolidadodez[[#This Row],[DESPESA VARIÁVEL]])</f>
        <v>0</v>
      </c>
      <c r="AB63" s="119" t="n">
        <f aca="false">SUMIFS(tabela_registros[VALOR],tabela_registros[MÊS],$AE$1,tabela_registros[DIA],deztotal3059718395107119131143155167[[#Headers],[24]],tabela_registros[REGISTRO],DADOS!$N$4,tabela_registros[TIPO],DADOS!$P$4,tabela_registros[CATEGORIA],despesavariávelconsolidadodez[[#This Row],[DESPESA VARIÁVEL]])</f>
        <v>0</v>
      </c>
      <c r="AC63" s="119" t="n">
        <f aca="false">SUMIFS(tabela_registros[VALOR],tabela_registros[MÊS],$AE$1,tabela_registros[DIA],deztotal3059718395107119131143155167[[#Headers],[25]],tabela_registros[REGISTRO],DADOS!$N$4,tabela_registros[TIPO],DADOS!$P$4,tabela_registros[CATEGORIA],despesavariávelconsolidadodez[[#This Row],[DESPESA VARIÁVEL]])</f>
        <v>0</v>
      </c>
      <c r="AD63" s="119" t="n">
        <f aca="false">SUMIFS(tabela_registros[VALOR],tabela_registros[MÊS],$AE$1,tabela_registros[DIA],deztotal3059718395107119131143155167[[#Headers],[26]],tabela_registros[REGISTRO],DADOS!$N$4,tabela_registros[TIPO],DADOS!$P$4,tabela_registros[CATEGORIA],despesavariávelconsolidadodez[[#This Row],[DESPESA VARIÁVEL]])</f>
        <v>0</v>
      </c>
      <c r="AE63" s="119" t="n">
        <f aca="false">SUMIFS(tabela_registros[VALOR],tabela_registros[MÊS],$AE$1,tabela_registros[DIA],deztotal3059718395107119131143155167[[#Headers],[27]],tabela_registros[REGISTRO],DADOS!$N$4,tabela_registros[TIPO],DADOS!$P$4,tabela_registros[CATEGORIA],despesavariávelconsolidadodez[[#This Row],[DESPESA VARIÁVEL]])</f>
        <v>0</v>
      </c>
      <c r="AF63" s="119" t="n">
        <f aca="false">SUMIFS(tabela_registros[VALOR],tabela_registros[MÊS],$AE$1,tabela_registros[DIA],deztotal3059718395107119131143155167[[#Headers],[28]],tabela_registros[REGISTRO],DADOS!$N$4,tabela_registros[TIPO],DADOS!$P$4,tabela_registros[CATEGORIA],despesavariávelconsolidadodez[[#This Row],[DESPESA VARIÁVEL]])</f>
        <v>0</v>
      </c>
      <c r="AG63" s="119" t="n">
        <f aca="false">SUMIFS(tabela_registros[VALOR],tabela_registros[MÊS],$AE$1,tabela_registros[DIA],deztotal3059718395107119131143155167[[#Headers],[29]],tabela_registros[REGISTRO],DADOS!$N$4,tabela_registros[TIPO],DADOS!$P$4,tabela_registros[CATEGORIA],despesavariávelconsolidadodez[[#This Row],[DESPESA VARIÁVEL]])</f>
        <v>0</v>
      </c>
      <c r="AH63" s="119" t="n">
        <f aca="false">SUMIFS(tabela_registros[VALOR],tabela_registros[MÊS],$AE$1,tabela_registros[DIA],deztotal3059718395107119131143155167[[#Headers],[30]],tabela_registros[REGISTRO],DADOS!$N$4,tabela_registros[TIPO],DADOS!$P$4,tabela_registros[CATEGORIA],despesavariávelconsolidadodez[[#This Row],[DESPESA VARIÁVEL]])</f>
        <v>0</v>
      </c>
      <c r="AI63" s="217" t="n">
        <f aca="false">SUMIFS(tabela_registros[VALOR],tabela_registros[MÊS],$AE$1,tabela_registros[DIA],deztotal3059718395107119131143155167[[#Headers],[31]],tabela_registros[REGISTRO],DADOS!$N$4,tabela_registros[TIPO],DADOS!$P$4,tabela_registros[CATEGORIA],despesavariávelconsolidadodez[[#This Row],[DESPESA VARIÁVEL]])</f>
        <v>0</v>
      </c>
      <c r="AJ63" s="149" t="n">
        <f aca="false">SUM(despesavariávelconsolidadodez[[#This Row],[1]:[31]])</f>
        <v>0</v>
      </c>
      <c r="AK63" s="143"/>
    </row>
    <row r="64" customFormat="false" ht="18" hidden="false" customHeight="true" outlineLevel="0" collapsed="false">
      <c r="B64" s="143"/>
      <c r="C64" s="144" t="str">
        <f aca="false">DADOS!$T$7</f>
        <v>🤝 DOAÇÃO</v>
      </c>
      <c r="D64" s="145" t="str">
        <f aca="false">IF(despesavariávelconsolidadodez[[#This Row],[TOTAL]]=0,"",IF(OR(despesavariávelconsolidadodez[[#This Row],[TOTAL]]=LARGE($AJ$60:$AJ$72,1),despesavariávelconsolidadodez[[#This Row],[TOTAL]]=LARGE($AJ$60:$AJ$72,2),despesavariávelconsolidadodez[[#This Row],[TOTAL]]=LARGE($AJ$60:$AJ$72,3),despesavariávelconsolidadodez[[#This Row],[TOTAL]]=LARGE($AJ$60:$AJ$72,4),despesavariávelconsolidadodez[[#This Row],[TOTAL]]=LARGE($AJ$60:$AJ$72,5)),DADOS!$I$8,""))</f>
        <v/>
      </c>
      <c r="E64" s="148" t="n">
        <f aca="false">SUMIFS(tabela_registros[VALOR],tabela_registros[MÊS],$AE$1,tabela_registros[DIA],deztotal3059718395107119131143155167[[#Headers],[1]],tabela_registros[REGISTRO],DADOS!$N$4,tabela_registros[TIPO],DADOS!$P$4,tabela_registros[CATEGORIA],despesavariávelconsolidadodez[[#This Row],[DESPESA VARIÁVEL]])</f>
        <v>0</v>
      </c>
      <c r="F64" s="119" t="n">
        <f aca="false">SUMIFS(tabela_registros[VALOR],tabela_registros[MÊS],$AE$1,tabela_registros[DIA],deztotal3059718395107119131143155167[[#Headers],[2]],tabela_registros[REGISTRO],DADOS!$N$4,tabela_registros[TIPO],DADOS!$P$4,tabela_registros[CATEGORIA],despesavariávelconsolidadodez[[#This Row],[DESPESA VARIÁVEL]])</f>
        <v>0</v>
      </c>
      <c r="G64" s="119" t="n">
        <f aca="false">SUMIFS(tabela_registros[VALOR],tabela_registros[MÊS],$AE$1,tabela_registros[DIA],deztotal3059718395107119131143155167[[#Headers],[3]],tabela_registros[REGISTRO],DADOS!$N$4,tabela_registros[TIPO],DADOS!$P$4,tabela_registros[CATEGORIA],despesavariávelconsolidadodez[[#This Row],[DESPESA VARIÁVEL]])</f>
        <v>0</v>
      </c>
      <c r="H64" s="119" t="n">
        <f aca="false">SUMIFS(tabela_registros[VALOR],tabela_registros[MÊS],$AE$1,tabela_registros[DIA],deztotal3059718395107119131143155167[[#Headers],[4]],tabela_registros[REGISTRO],DADOS!$N$4,tabela_registros[TIPO],DADOS!$P$4,tabela_registros[CATEGORIA],despesavariávelconsolidadodez[[#This Row],[DESPESA VARIÁVEL]])</f>
        <v>0</v>
      </c>
      <c r="I64" s="119" t="n">
        <f aca="false">SUMIFS(tabela_registros[VALOR],tabela_registros[MÊS],$AE$1,tabela_registros[DIA],deztotal3059718395107119131143155167[[#Headers],[5]],tabela_registros[REGISTRO],DADOS!$N$4,tabela_registros[TIPO],DADOS!$P$4,tabela_registros[CATEGORIA],despesavariávelconsolidadodez[[#This Row],[DESPESA VARIÁVEL]])</f>
        <v>0</v>
      </c>
      <c r="J64" s="119" t="n">
        <f aca="false">SUMIFS(tabela_registros[VALOR],tabela_registros[MÊS],$AE$1,tabela_registros[DIA],deztotal3059718395107119131143155167[[#Headers],[6]],tabela_registros[REGISTRO],DADOS!$N$4,tabela_registros[TIPO],DADOS!$P$4,tabela_registros[CATEGORIA],despesavariávelconsolidadodez[[#This Row],[DESPESA VARIÁVEL]])</f>
        <v>0</v>
      </c>
      <c r="K64" s="119" t="n">
        <f aca="false">SUMIFS(tabela_registros[VALOR],tabela_registros[MÊS],$AE$1,tabela_registros[DIA],deztotal3059718395107119131143155167[[#Headers],[7]],tabela_registros[REGISTRO],DADOS!$N$4,tabela_registros[TIPO],DADOS!$P$4,tabela_registros[CATEGORIA],despesavariávelconsolidadodez[[#This Row],[DESPESA VARIÁVEL]])</f>
        <v>0</v>
      </c>
      <c r="L64" s="119" t="n">
        <f aca="false">SUMIFS(tabela_registros[VALOR],tabela_registros[MÊS],$AE$1,tabela_registros[DIA],deztotal3059718395107119131143155167[[#Headers],[8]],tabela_registros[REGISTRO],DADOS!$N$4,tabela_registros[TIPO],DADOS!$P$4,tabela_registros[CATEGORIA],despesavariávelconsolidadodez[[#This Row],[DESPESA VARIÁVEL]])</f>
        <v>0</v>
      </c>
      <c r="M64" s="119" t="n">
        <f aca="false">SUMIFS(tabela_registros[VALOR],tabela_registros[MÊS],$AE$1,tabela_registros[DIA],deztotal3059718395107119131143155167[[#Headers],[9]],tabela_registros[REGISTRO],DADOS!$N$4,tabela_registros[TIPO],DADOS!$P$4,tabela_registros[CATEGORIA],despesavariávelconsolidadodez[[#This Row],[DESPESA VARIÁVEL]])</f>
        <v>0</v>
      </c>
      <c r="N64" s="119" t="n">
        <f aca="false">SUMIFS(tabela_registros[VALOR],tabela_registros[MÊS],$AE$1,tabela_registros[DIA],deztotal3059718395107119131143155167[[#Headers],[10]],tabela_registros[REGISTRO],DADOS!$N$4,tabela_registros[TIPO],DADOS!$P$4,tabela_registros[CATEGORIA],despesavariávelconsolidadodez[[#This Row],[DESPESA VARIÁVEL]])</f>
        <v>0</v>
      </c>
      <c r="O64" s="119" t="n">
        <f aca="false">SUMIFS(tabela_registros[VALOR],tabela_registros[MÊS],$AE$1,tabela_registros[DIA],deztotal3059718395107119131143155167[[#Headers],[11]],tabela_registros[REGISTRO],DADOS!$N$4,tabela_registros[TIPO],DADOS!$P$4,tabela_registros[CATEGORIA],despesavariávelconsolidadodez[[#This Row],[DESPESA VARIÁVEL]])</f>
        <v>0</v>
      </c>
      <c r="P64" s="119" t="n">
        <f aca="false">SUMIFS(tabela_registros[VALOR],tabela_registros[MÊS],$AE$1,tabela_registros[DIA],deztotal3059718395107119131143155167[[#Headers],[12]],tabela_registros[REGISTRO],DADOS!$N$4,tabela_registros[TIPO],DADOS!$P$4,tabela_registros[CATEGORIA],despesavariávelconsolidadodez[[#This Row],[DESPESA VARIÁVEL]])</f>
        <v>0</v>
      </c>
      <c r="Q64" s="119" t="n">
        <f aca="false">SUMIFS(tabela_registros[VALOR],tabela_registros[MÊS],$AE$1,tabela_registros[DIA],deztotal3059718395107119131143155167[[#Headers],[13]],tabela_registros[REGISTRO],DADOS!$N$4,tabela_registros[TIPO],DADOS!$P$4,tabela_registros[CATEGORIA],despesavariávelconsolidadodez[[#This Row],[DESPESA VARIÁVEL]])</f>
        <v>0</v>
      </c>
      <c r="R64" s="119" t="n">
        <f aca="false">SUMIFS(tabela_registros[VALOR],tabela_registros[MÊS],$AE$1,tabela_registros[DIA],deztotal3059718395107119131143155167[[#Headers],[14]],tabela_registros[REGISTRO],DADOS!$N$4,tabela_registros[TIPO],DADOS!$P$4,tabela_registros[CATEGORIA],despesavariávelconsolidadodez[[#This Row],[DESPESA VARIÁVEL]])</f>
        <v>0</v>
      </c>
      <c r="S64" s="119" t="n">
        <f aca="false">SUMIFS(tabela_registros[VALOR],tabela_registros[MÊS],$AE$1,tabela_registros[DIA],deztotal3059718395107119131143155167[[#Headers],[15]],tabela_registros[REGISTRO],DADOS!$N$4,tabela_registros[TIPO],DADOS!$P$4,tabela_registros[CATEGORIA],despesavariávelconsolidadodez[[#This Row],[DESPESA VARIÁVEL]])</f>
        <v>0</v>
      </c>
      <c r="T64" s="119" t="n">
        <f aca="false">SUMIFS(tabela_registros[VALOR],tabela_registros[MÊS],$AE$1,tabela_registros[DIA],deztotal3059718395107119131143155167[[#Headers],[16]],tabela_registros[REGISTRO],DADOS!$N$4,tabela_registros[TIPO],DADOS!$P$4,tabela_registros[CATEGORIA],despesavariávelconsolidadodez[[#This Row],[DESPESA VARIÁVEL]])</f>
        <v>0</v>
      </c>
      <c r="U64" s="119" t="n">
        <f aca="false">SUMIFS(tabela_registros[VALOR],tabela_registros[MÊS],$AE$1,tabela_registros[DIA],deztotal3059718395107119131143155167[[#Headers],[17]],tabela_registros[REGISTRO],DADOS!$N$4,tabela_registros[TIPO],DADOS!$P$4,tabela_registros[CATEGORIA],despesavariávelconsolidadodez[[#This Row],[DESPESA VARIÁVEL]])</f>
        <v>0</v>
      </c>
      <c r="V64" s="119" t="n">
        <f aca="false">SUMIFS(tabela_registros[VALOR],tabela_registros[MÊS],$AE$1,tabela_registros[DIA],deztotal3059718395107119131143155167[[#Headers],[18]],tabela_registros[REGISTRO],DADOS!$N$4,tabela_registros[TIPO],DADOS!$P$4,tabela_registros[CATEGORIA],despesavariávelconsolidadodez[[#This Row],[DESPESA VARIÁVEL]])</f>
        <v>0</v>
      </c>
      <c r="W64" s="119" t="n">
        <f aca="false">SUMIFS(tabela_registros[VALOR],tabela_registros[MÊS],$AE$1,tabela_registros[DIA],deztotal3059718395107119131143155167[[#Headers],[19]],tabela_registros[REGISTRO],DADOS!$N$4,tabela_registros[TIPO],DADOS!$P$4,tabela_registros[CATEGORIA],despesavariávelconsolidadodez[[#This Row],[DESPESA VARIÁVEL]])</f>
        <v>0</v>
      </c>
      <c r="X64" s="119" t="n">
        <f aca="false">SUMIFS(tabela_registros[VALOR],tabela_registros[MÊS],$AE$1,tabela_registros[DIA],deztotal3059718395107119131143155167[[#Headers],[20]],tabela_registros[REGISTRO],DADOS!$N$4,tabela_registros[TIPO],DADOS!$P$4,tabela_registros[CATEGORIA],despesavariávelconsolidadodez[[#This Row],[DESPESA VARIÁVEL]])</f>
        <v>0</v>
      </c>
      <c r="Y64" s="119" t="n">
        <f aca="false">SUMIFS(tabela_registros[VALOR],tabela_registros[MÊS],$AE$1,tabela_registros[DIA],deztotal3059718395107119131143155167[[#Headers],[21]],tabela_registros[REGISTRO],DADOS!$N$4,tabela_registros[TIPO],DADOS!$P$4,tabela_registros[CATEGORIA],despesavariávelconsolidadodez[[#This Row],[DESPESA VARIÁVEL]])</f>
        <v>0</v>
      </c>
      <c r="Z64" s="119" t="n">
        <f aca="false">SUMIFS(tabela_registros[VALOR],tabela_registros[MÊS],$AE$1,tabela_registros[DIA],deztotal3059718395107119131143155167[[#Headers],[22]],tabela_registros[REGISTRO],DADOS!$N$4,tabela_registros[TIPO],DADOS!$P$4,tabela_registros[CATEGORIA],despesavariávelconsolidadodez[[#This Row],[DESPESA VARIÁVEL]])</f>
        <v>0</v>
      </c>
      <c r="AA64" s="119" t="n">
        <f aca="false">SUMIFS(tabela_registros[VALOR],tabela_registros[MÊS],$AE$1,tabela_registros[DIA],deztotal3059718395107119131143155167[[#Headers],[23]],tabela_registros[REGISTRO],DADOS!$N$4,tabela_registros[TIPO],DADOS!$P$4,tabela_registros[CATEGORIA],despesavariávelconsolidadodez[[#This Row],[DESPESA VARIÁVEL]])</f>
        <v>0</v>
      </c>
      <c r="AB64" s="119" t="n">
        <f aca="false">SUMIFS(tabela_registros[VALOR],tabela_registros[MÊS],$AE$1,tabela_registros[DIA],deztotal3059718395107119131143155167[[#Headers],[24]],tabela_registros[REGISTRO],DADOS!$N$4,tabela_registros[TIPO],DADOS!$P$4,tabela_registros[CATEGORIA],despesavariávelconsolidadodez[[#This Row],[DESPESA VARIÁVEL]])</f>
        <v>0</v>
      </c>
      <c r="AC64" s="119" t="n">
        <f aca="false">SUMIFS(tabela_registros[VALOR],tabela_registros[MÊS],$AE$1,tabela_registros[DIA],deztotal3059718395107119131143155167[[#Headers],[25]],tabela_registros[REGISTRO],DADOS!$N$4,tabela_registros[TIPO],DADOS!$P$4,tabela_registros[CATEGORIA],despesavariávelconsolidadodez[[#This Row],[DESPESA VARIÁVEL]])</f>
        <v>0</v>
      </c>
      <c r="AD64" s="119" t="n">
        <f aca="false">SUMIFS(tabela_registros[VALOR],tabela_registros[MÊS],$AE$1,tabela_registros[DIA],deztotal3059718395107119131143155167[[#Headers],[26]],tabela_registros[REGISTRO],DADOS!$N$4,tabela_registros[TIPO],DADOS!$P$4,tabela_registros[CATEGORIA],despesavariávelconsolidadodez[[#This Row],[DESPESA VARIÁVEL]])</f>
        <v>0</v>
      </c>
      <c r="AE64" s="119" t="n">
        <f aca="false">SUMIFS(tabela_registros[VALOR],tabela_registros[MÊS],$AE$1,tabela_registros[DIA],deztotal3059718395107119131143155167[[#Headers],[27]],tabela_registros[REGISTRO],DADOS!$N$4,tabela_registros[TIPO],DADOS!$P$4,tabela_registros[CATEGORIA],despesavariávelconsolidadodez[[#This Row],[DESPESA VARIÁVEL]])</f>
        <v>0</v>
      </c>
      <c r="AF64" s="119" t="n">
        <f aca="false">SUMIFS(tabela_registros[VALOR],tabela_registros[MÊS],$AE$1,tabela_registros[DIA],deztotal3059718395107119131143155167[[#Headers],[28]],tabela_registros[REGISTRO],DADOS!$N$4,tabela_registros[TIPO],DADOS!$P$4,tabela_registros[CATEGORIA],despesavariávelconsolidadodez[[#This Row],[DESPESA VARIÁVEL]])</f>
        <v>0</v>
      </c>
      <c r="AG64" s="119" t="n">
        <f aca="false">SUMIFS(tabela_registros[VALOR],tabela_registros[MÊS],$AE$1,tabela_registros[DIA],deztotal3059718395107119131143155167[[#Headers],[29]],tabela_registros[REGISTRO],DADOS!$N$4,tabela_registros[TIPO],DADOS!$P$4,tabela_registros[CATEGORIA],despesavariávelconsolidadodez[[#This Row],[DESPESA VARIÁVEL]])</f>
        <v>0</v>
      </c>
      <c r="AH64" s="119" t="n">
        <f aca="false">SUMIFS(tabela_registros[VALOR],tabela_registros[MÊS],$AE$1,tabela_registros[DIA],deztotal3059718395107119131143155167[[#Headers],[30]],tabela_registros[REGISTRO],DADOS!$N$4,tabela_registros[TIPO],DADOS!$P$4,tabela_registros[CATEGORIA],despesavariávelconsolidadodez[[#This Row],[DESPESA VARIÁVEL]])</f>
        <v>0</v>
      </c>
      <c r="AI64" s="217" t="n">
        <f aca="false">SUMIFS(tabela_registros[VALOR],tabela_registros[MÊS],$AE$1,tabela_registros[DIA],deztotal3059718395107119131143155167[[#Headers],[31]],tabela_registros[REGISTRO],DADOS!$N$4,tabela_registros[TIPO],DADOS!$P$4,tabela_registros[CATEGORIA],despesavariávelconsolidadodez[[#This Row],[DESPESA VARIÁVEL]])</f>
        <v>0</v>
      </c>
      <c r="AJ64" s="149" t="n">
        <f aca="false">SUM(despesavariávelconsolidadodez[[#This Row],[1]:[31]])</f>
        <v>0</v>
      </c>
      <c r="AK64" s="143"/>
    </row>
    <row r="65" customFormat="false" ht="18" hidden="false" customHeight="true" outlineLevel="0" collapsed="false">
      <c r="B65" s="143"/>
      <c r="C65" s="144" t="str">
        <f aca="false">DADOS!$T$8</f>
        <v>📖 EDUCAÇÃO</v>
      </c>
      <c r="D65" s="145" t="str">
        <f aca="false">IF(despesavariávelconsolidadodez[[#This Row],[TOTAL]]=0,"",IF(OR(despesavariávelconsolidadodez[[#This Row],[TOTAL]]=LARGE($AJ$60:$AJ$72,1),despesavariávelconsolidadodez[[#This Row],[TOTAL]]=LARGE($AJ$60:$AJ$72,2),despesavariávelconsolidadodez[[#This Row],[TOTAL]]=LARGE($AJ$60:$AJ$72,3),despesavariávelconsolidadodez[[#This Row],[TOTAL]]=LARGE($AJ$60:$AJ$72,4),despesavariávelconsolidadodez[[#This Row],[TOTAL]]=LARGE($AJ$60:$AJ$72,5)),DADOS!$I$8,""))</f>
        <v/>
      </c>
      <c r="E65" s="148" t="n">
        <f aca="false">SUMIFS(tabela_registros[VALOR],tabela_registros[MÊS],$AE$1,tabela_registros[DIA],deztotal3059718395107119131143155167[[#Headers],[1]],tabela_registros[REGISTRO],DADOS!$N$4,tabela_registros[TIPO],DADOS!$P$4,tabela_registros[CATEGORIA],despesavariávelconsolidadodez[[#This Row],[DESPESA VARIÁVEL]])</f>
        <v>0</v>
      </c>
      <c r="F65" s="119" t="n">
        <f aca="false">SUMIFS(tabela_registros[VALOR],tabela_registros[MÊS],$AE$1,tabela_registros[DIA],deztotal3059718395107119131143155167[[#Headers],[2]],tabela_registros[REGISTRO],DADOS!$N$4,tabela_registros[TIPO],DADOS!$P$4,tabela_registros[CATEGORIA],despesavariávelconsolidadodez[[#This Row],[DESPESA VARIÁVEL]])</f>
        <v>0</v>
      </c>
      <c r="G65" s="119" t="n">
        <f aca="false">SUMIFS(tabela_registros[VALOR],tabela_registros[MÊS],$AE$1,tabela_registros[DIA],deztotal3059718395107119131143155167[[#Headers],[3]],tabela_registros[REGISTRO],DADOS!$N$4,tabela_registros[TIPO],DADOS!$P$4,tabela_registros[CATEGORIA],despesavariávelconsolidadodez[[#This Row],[DESPESA VARIÁVEL]])</f>
        <v>0</v>
      </c>
      <c r="H65" s="119" t="n">
        <f aca="false">SUMIFS(tabela_registros[VALOR],tabela_registros[MÊS],$AE$1,tabela_registros[DIA],deztotal3059718395107119131143155167[[#Headers],[4]],tabela_registros[REGISTRO],DADOS!$N$4,tabela_registros[TIPO],DADOS!$P$4,tabela_registros[CATEGORIA],despesavariávelconsolidadodez[[#This Row],[DESPESA VARIÁVEL]])</f>
        <v>0</v>
      </c>
      <c r="I65" s="119" t="n">
        <f aca="false">SUMIFS(tabela_registros[VALOR],tabela_registros[MÊS],$AE$1,tabela_registros[DIA],deztotal3059718395107119131143155167[[#Headers],[5]],tabela_registros[REGISTRO],DADOS!$N$4,tabela_registros[TIPO],DADOS!$P$4,tabela_registros[CATEGORIA],despesavariávelconsolidadodez[[#This Row],[DESPESA VARIÁVEL]])</f>
        <v>0</v>
      </c>
      <c r="J65" s="119" t="n">
        <f aca="false">SUMIFS(tabela_registros[VALOR],tabela_registros[MÊS],$AE$1,tabela_registros[DIA],deztotal3059718395107119131143155167[[#Headers],[6]],tabela_registros[REGISTRO],DADOS!$N$4,tabela_registros[TIPO],DADOS!$P$4,tabela_registros[CATEGORIA],despesavariávelconsolidadodez[[#This Row],[DESPESA VARIÁVEL]])</f>
        <v>0</v>
      </c>
      <c r="K65" s="119" t="n">
        <f aca="false">SUMIFS(tabela_registros[VALOR],tabela_registros[MÊS],$AE$1,tabela_registros[DIA],deztotal3059718395107119131143155167[[#Headers],[7]],tabela_registros[REGISTRO],DADOS!$N$4,tabela_registros[TIPO],DADOS!$P$4,tabela_registros[CATEGORIA],despesavariávelconsolidadodez[[#This Row],[DESPESA VARIÁVEL]])</f>
        <v>0</v>
      </c>
      <c r="L65" s="119" t="n">
        <f aca="false">SUMIFS(tabela_registros[VALOR],tabela_registros[MÊS],$AE$1,tabela_registros[DIA],deztotal3059718395107119131143155167[[#Headers],[8]],tabela_registros[REGISTRO],DADOS!$N$4,tabela_registros[TIPO],DADOS!$P$4,tabela_registros[CATEGORIA],despesavariávelconsolidadodez[[#This Row],[DESPESA VARIÁVEL]])</f>
        <v>0</v>
      </c>
      <c r="M65" s="119" t="n">
        <f aca="false">SUMIFS(tabela_registros[VALOR],tabela_registros[MÊS],$AE$1,tabela_registros[DIA],deztotal3059718395107119131143155167[[#Headers],[9]],tabela_registros[REGISTRO],DADOS!$N$4,tabela_registros[TIPO],DADOS!$P$4,tabela_registros[CATEGORIA],despesavariávelconsolidadodez[[#This Row],[DESPESA VARIÁVEL]])</f>
        <v>0</v>
      </c>
      <c r="N65" s="119" t="n">
        <f aca="false">SUMIFS(tabela_registros[VALOR],tabela_registros[MÊS],$AE$1,tabela_registros[DIA],deztotal3059718395107119131143155167[[#Headers],[10]],tabela_registros[REGISTRO],DADOS!$N$4,tabela_registros[TIPO],DADOS!$P$4,tabela_registros[CATEGORIA],despesavariávelconsolidadodez[[#This Row],[DESPESA VARIÁVEL]])</f>
        <v>0</v>
      </c>
      <c r="O65" s="119" t="n">
        <f aca="false">SUMIFS(tabela_registros[VALOR],tabela_registros[MÊS],$AE$1,tabela_registros[DIA],deztotal3059718395107119131143155167[[#Headers],[11]],tabela_registros[REGISTRO],DADOS!$N$4,tabela_registros[TIPO],DADOS!$P$4,tabela_registros[CATEGORIA],despesavariávelconsolidadodez[[#This Row],[DESPESA VARIÁVEL]])</f>
        <v>0</v>
      </c>
      <c r="P65" s="119" t="n">
        <f aca="false">SUMIFS(tabela_registros[VALOR],tabela_registros[MÊS],$AE$1,tabela_registros[DIA],deztotal3059718395107119131143155167[[#Headers],[12]],tabela_registros[REGISTRO],DADOS!$N$4,tabela_registros[TIPO],DADOS!$P$4,tabela_registros[CATEGORIA],despesavariávelconsolidadodez[[#This Row],[DESPESA VARIÁVEL]])</f>
        <v>0</v>
      </c>
      <c r="Q65" s="119" t="n">
        <f aca="false">SUMIFS(tabela_registros[VALOR],tabela_registros[MÊS],$AE$1,tabela_registros[DIA],deztotal3059718395107119131143155167[[#Headers],[13]],tabela_registros[REGISTRO],DADOS!$N$4,tabela_registros[TIPO],DADOS!$P$4,tabela_registros[CATEGORIA],despesavariávelconsolidadodez[[#This Row],[DESPESA VARIÁVEL]])</f>
        <v>0</v>
      </c>
      <c r="R65" s="119" t="n">
        <f aca="false">SUMIFS(tabela_registros[VALOR],tabela_registros[MÊS],$AE$1,tabela_registros[DIA],deztotal3059718395107119131143155167[[#Headers],[14]],tabela_registros[REGISTRO],DADOS!$N$4,tabela_registros[TIPO],DADOS!$P$4,tabela_registros[CATEGORIA],despesavariávelconsolidadodez[[#This Row],[DESPESA VARIÁVEL]])</f>
        <v>0</v>
      </c>
      <c r="S65" s="119" t="n">
        <f aca="false">SUMIFS(tabela_registros[VALOR],tabela_registros[MÊS],$AE$1,tabela_registros[DIA],deztotal3059718395107119131143155167[[#Headers],[15]],tabela_registros[REGISTRO],DADOS!$N$4,tabela_registros[TIPO],DADOS!$P$4,tabela_registros[CATEGORIA],despesavariávelconsolidadodez[[#This Row],[DESPESA VARIÁVEL]])</f>
        <v>0</v>
      </c>
      <c r="T65" s="119" t="n">
        <f aca="false">SUMIFS(tabela_registros[VALOR],tabela_registros[MÊS],$AE$1,tabela_registros[DIA],deztotal3059718395107119131143155167[[#Headers],[16]],tabela_registros[REGISTRO],DADOS!$N$4,tabela_registros[TIPO],DADOS!$P$4,tabela_registros[CATEGORIA],despesavariávelconsolidadodez[[#This Row],[DESPESA VARIÁVEL]])</f>
        <v>0</v>
      </c>
      <c r="U65" s="119" t="n">
        <f aca="false">SUMIFS(tabela_registros[VALOR],tabela_registros[MÊS],$AE$1,tabela_registros[DIA],deztotal3059718395107119131143155167[[#Headers],[17]],tabela_registros[REGISTRO],DADOS!$N$4,tabela_registros[TIPO],DADOS!$P$4,tabela_registros[CATEGORIA],despesavariávelconsolidadodez[[#This Row],[DESPESA VARIÁVEL]])</f>
        <v>0</v>
      </c>
      <c r="V65" s="119" t="n">
        <f aca="false">SUMIFS(tabela_registros[VALOR],tabela_registros[MÊS],$AE$1,tabela_registros[DIA],deztotal3059718395107119131143155167[[#Headers],[18]],tabela_registros[REGISTRO],DADOS!$N$4,tabela_registros[TIPO],DADOS!$P$4,tabela_registros[CATEGORIA],despesavariávelconsolidadodez[[#This Row],[DESPESA VARIÁVEL]])</f>
        <v>0</v>
      </c>
      <c r="W65" s="119" t="n">
        <f aca="false">SUMIFS(tabela_registros[VALOR],tabela_registros[MÊS],$AE$1,tabela_registros[DIA],deztotal3059718395107119131143155167[[#Headers],[19]],tabela_registros[REGISTRO],DADOS!$N$4,tabela_registros[TIPO],DADOS!$P$4,tabela_registros[CATEGORIA],despesavariávelconsolidadodez[[#This Row],[DESPESA VARIÁVEL]])</f>
        <v>0</v>
      </c>
      <c r="X65" s="119" t="n">
        <f aca="false">SUMIFS(tabela_registros[VALOR],tabela_registros[MÊS],$AE$1,tabela_registros[DIA],deztotal3059718395107119131143155167[[#Headers],[20]],tabela_registros[REGISTRO],DADOS!$N$4,tabela_registros[TIPO],DADOS!$P$4,tabela_registros[CATEGORIA],despesavariávelconsolidadodez[[#This Row],[DESPESA VARIÁVEL]])</f>
        <v>0</v>
      </c>
      <c r="Y65" s="119" t="n">
        <f aca="false">SUMIFS(tabela_registros[VALOR],tabela_registros[MÊS],$AE$1,tabela_registros[DIA],deztotal3059718395107119131143155167[[#Headers],[21]],tabela_registros[REGISTRO],DADOS!$N$4,tabela_registros[TIPO],DADOS!$P$4,tabela_registros[CATEGORIA],despesavariávelconsolidadodez[[#This Row],[DESPESA VARIÁVEL]])</f>
        <v>0</v>
      </c>
      <c r="Z65" s="119" t="n">
        <f aca="false">SUMIFS(tabela_registros[VALOR],tabela_registros[MÊS],$AE$1,tabela_registros[DIA],deztotal3059718395107119131143155167[[#Headers],[22]],tabela_registros[REGISTRO],DADOS!$N$4,tabela_registros[TIPO],DADOS!$P$4,tabela_registros[CATEGORIA],despesavariávelconsolidadodez[[#This Row],[DESPESA VARIÁVEL]])</f>
        <v>0</v>
      </c>
      <c r="AA65" s="119" t="n">
        <f aca="false">SUMIFS(tabela_registros[VALOR],tabela_registros[MÊS],$AE$1,tabela_registros[DIA],deztotal3059718395107119131143155167[[#Headers],[23]],tabela_registros[REGISTRO],DADOS!$N$4,tabela_registros[TIPO],DADOS!$P$4,tabela_registros[CATEGORIA],despesavariávelconsolidadodez[[#This Row],[DESPESA VARIÁVEL]])</f>
        <v>0</v>
      </c>
      <c r="AB65" s="119" t="n">
        <f aca="false">SUMIFS(tabela_registros[VALOR],tabela_registros[MÊS],$AE$1,tabela_registros[DIA],deztotal3059718395107119131143155167[[#Headers],[24]],tabela_registros[REGISTRO],DADOS!$N$4,tabela_registros[TIPO],DADOS!$P$4,tabela_registros[CATEGORIA],despesavariávelconsolidadodez[[#This Row],[DESPESA VARIÁVEL]])</f>
        <v>0</v>
      </c>
      <c r="AC65" s="119" t="n">
        <f aca="false">SUMIFS(tabela_registros[VALOR],tabela_registros[MÊS],$AE$1,tabela_registros[DIA],deztotal3059718395107119131143155167[[#Headers],[25]],tabela_registros[REGISTRO],DADOS!$N$4,tabela_registros[TIPO],DADOS!$P$4,tabela_registros[CATEGORIA],despesavariávelconsolidadodez[[#This Row],[DESPESA VARIÁVEL]])</f>
        <v>0</v>
      </c>
      <c r="AD65" s="119" t="n">
        <f aca="false">SUMIFS(tabela_registros[VALOR],tabela_registros[MÊS],$AE$1,tabela_registros[DIA],deztotal3059718395107119131143155167[[#Headers],[26]],tabela_registros[REGISTRO],DADOS!$N$4,tabela_registros[TIPO],DADOS!$P$4,tabela_registros[CATEGORIA],despesavariávelconsolidadodez[[#This Row],[DESPESA VARIÁVEL]])</f>
        <v>0</v>
      </c>
      <c r="AE65" s="119" t="n">
        <f aca="false">SUMIFS(tabela_registros[VALOR],tabela_registros[MÊS],$AE$1,tabela_registros[DIA],deztotal3059718395107119131143155167[[#Headers],[27]],tabela_registros[REGISTRO],DADOS!$N$4,tabela_registros[TIPO],DADOS!$P$4,tabela_registros[CATEGORIA],despesavariávelconsolidadodez[[#This Row],[DESPESA VARIÁVEL]])</f>
        <v>0</v>
      </c>
      <c r="AF65" s="119" t="n">
        <f aca="false">SUMIFS(tabela_registros[VALOR],tabela_registros[MÊS],$AE$1,tabela_registros[DIA],deztotal3059718395107119131143155167[[#Headers],[28]],tabela_registros[REGISTRO],DADOS!$N$4,tabela_registros[TIPO],DADOS!$P$4,tabela_registros[CATEGORIA],despesavariávelconsolidadodez[[#This Row],[DESPESA VARIÁVEL]])</f>
        <v>0</v>
      </c>
      <c r="AG65" s="119" t="n">
        <f aca="false">SUMIFS(tabela_registros[VALOR],tabela_registros[MÊS],$AE$1,tabela_registros[DIA],deztotal3059718395107119131143155167[[#Headers],[29]],tabela_registros[REGISTRO],DADOS!$N$4,tabela_registros[TIPO],DADOS!$P$4,tabela_registros[CATEGORIA],despesavariávelconsolidadodez[[#This Row],[DESPESA VARIÁVEL]])</f>
        <v>0</v>
      </c>
      <c r="AH65" s="119" t="n">
        <f aca="false">SUMIFS(tabela_registros[VALOR],tabela_registros[MÊS],$AE$1,tabela_registros[DIA],deztotal3059718395107119131143155167[[#Headers],[30]],tabela_registros[REGISTRO],DADOS!$N$4,tabela_registros[TIPO],DADOS!$P$4,tabela_registros[CATEGORIA],despesavariávelconsolidadodez[[#This Row],[DESPESA VARIÁVEL]])</f>
        <v>0</v>
      </c>
      <c r="AI65" s="217" t="n">
        <f aca="false">SUMIFS(tabela_registros[VALOR],tabela_registros[MÊS],$AE$1,tabela_registros[DIA],deztotal3059718395107119131143155167[[#Headers],[31]],tabela_registros[REGISTRO],DADOS!$N$4,tabela_registros[TIPO],DADOS!$P$4,tabela_registros[CATEGORIA],despesavariávelconsolidadodez[[#This Row],[DESPESA VARIÁVEL]])</f>
        <v>0</v>
      </c>
      <c r="AJ65" s="149" t="n">
        <f aca="false">SUM(despesavariávelconsolidadodez[[#This Row],[1]:[31]])</f>
        <v>0</v>
      </c>
      <c r="AK65" s="143"/>
    </row>
    <row r="66" customFormat="false" ht="18" hidden="false" customHeight="true" outlineLevel="0" collapsed="false">
      <c r="B66" s="143"/>
      <c r="C66" s="144" t="str">
        <f aca="false">DADOS!$T$9</f>
        <v>🎭 LAZER</v>
      </c>
      <c r="D66" s="145" t="str">
        <f aca="false">IF(despesavariávelconsolidadodez[[#This Row],[TOTAL]]=0,"",IF(OR(despesavariávelconsolidadodez[[#This Row],[TOTAL]]=LARGE($AJ$60:$AJ$72,1),despesavariávelconsolidadodez[[#This Row],[TOTAL]]=LARGE($AJ$60:$AJ$72,2),despesavariávelconsolidadodez[[#This Row],[TOTAL]]=LARGE($AJ$60:$AJ$72,3),despesavariávelconsolidadodez[[#This Row],[TOTAL]]=LARGE($AJ$60:$AJ$72,4),despesavariávelconsolidadodez[[#This Row],[TOTAL]]=LARGE($AJ$60:$AJ$72,5)),DADOS!$I$8,""))</f>
        <v/>
      </c>
      <c r="E66" s="148" t="n">
        <f aca="false">SUMIFS(tabela_registros[VALOR],tabela_registros[MÊS],$AE$1,tabela_registros[DIA],deztotal3059718395107119131143155167[[#Headers],[1]],tabela_registros[REGISTRO],DADOS!$N$4,tabela_registros[TIPO],DADOS!$P$4,tabela_registros[CATEGORIA],despesavariávelconsolidadodez[[#This Row],[DESPESA VARIÁVEL]])</f>
        <v>0</v>
      </c>
      <c r="F66" s="119" t="n">
        <f aca="false">SUMIFS(tabela_registros[VALOR],tabela_registros[MÊS],$AE$1,tabela_registros[DIA],deztotal3059718395107119131143155167[[#Headers],[2]],tabela_registros[REGISTRO],DADOS!$N$4,tabela_registros[TIPO],DADOS!$P$4,tabela_registros[CATEGORIA],despesavariávelconsolidadodez[[#This Row],[DESPESA VARIÁVEL]])</f>
        <v>0</v>
      </c>
      <c r="G66" s="119" t="n">
        <f aca="false">SUMIFS(tabela_registros[VALOR],tabela_registros[MÊS],$AE$1,tabela_registros[DIA],deztotal3059718395107119131143155167[[#Headers],[3]],tabela_registros[REGISTRO],DADOS!$N$4,tabela_registros[TIPO],DADOS!$P$4,tabela_registros[CATEGORIA],despesavariávelconsolidadodez[[#This Row],[DESPESA VARIÁVEL]])</f>
        <v>0</v>
      </c>
      <c r="H66" s="119" t="n">
        <f aca="false">SUMIFS(tabela_registros[VALOR],tabela_registros[MÊS],$AE$1,tabela_registros[DIA],deztotal3059718395107119131143155167[[#Headers],[4]],tabela_registros[REGISTRO],DADOS!$N$4,tabela_registros[TIPO],DADOS!$P$4,tabela_registros[CATEGORIA],despesavariávelconsolidadodez[[#This Row],[DESPESA VARIÁVEL]])</f>
        <v>0</v>
      </c>
      <c r="I66" s="119" t="n">
        <f aca="false">SUMIFS(tabela_registros[VALOR],tabela_registros[MÊS],$AE$1,tabela_registros[DIA],deztotal3059718395107119131143155167[[#Headers],[5]],tabela_registros[REGISTRO],DADOS!$N$4,tabela_registros[TIPO],DADOS!$P$4,tabela_registros[CATEGORIA],despesavariávelconsolidadodez[[#This Row],[DESPESA VARIÁVEL]])</f>
        <v>0</v>
      </c>
      <c r="J66" s="119" t="n">
        <f aca="false">SUMIFS(tabela_registros[VALOR],tabela_registros[MÊS],$AE$1,tabela_registros[DIA],deztotal3059718395107119131143155167[[#Headers],[6]],tabela_registros[REGISTRO],DADOS!$N$4,tabela_registros[TIPO],DADOS!$P$4,tabela_registros[CATEGORIA],despesavariávelconsolidadodez[[#This Row],[DESPESA VARIÁVEL]])</f>
        <v>0</v>
      </c>
      <c r="K66" s="119" t="n">
        <f aca="false">SUMIFS(tabela_registros[VALOR],tabela_registros[MÊS],$AE$1,tabela_registros[DIA],deztotal3059718395107119131143155167[[#Headers],[7]],tabela_registros[REGISTRO],DADOS!$N$4,tabela_registros[TIPO],DADOS!$P$4,tabela_registros[CATEGORIA],despesavariávelconsolidadodez[[#This Row],[DESPESA VARIÁVEL]])</f>
        <v>0</v>
      </c>
      <c r="L66" s="119" t="n">
        <f aca="false">SUMIFS(tabela_registros[VALOR],tabela_registros[MÊS],$AE$1,tabela_registros[DIA],deztotal3059718395107119131143155167[[#Headers],[8]],tabela_registros[REGISTRO],DADOS!$N$4,tabela_registros[TIPO],DADOS!$P$4,tabela_registros[CATEGORIA],despesavariávelconsolidadodez[[#This Row],[DESPESA VARIÁVEL]])</f>
        <v>0</v>
      </c>
      <c r="M66" s="119" t="n">
        <f aca="false">SUMIFS(tabela_registros[VALOR],tabela_registros[MÊS],$AE$1,tabela_registros[DIA],deztotal3059718395107119131143155167[[#Headers],[9]],tabela_registros[REGISTRO],DADOS!$N$4,tabela_registros[TIPO],DADOS!$P$4,tabela_registros[CATEGORIA],despesavariávelconsolidadodez[[#This Row],[DESPESA VARIÁVEL]])</f>
        <v>0</v>
      </c>
      <c r="N66" s="119" t="n">
        <f aca="false">SUMIFS(tabela_registros[VALOR],tabela_registros[MÊS],$AE$1,tabela_registros[DIA],deztotal3059718395107119131143155167[[#Headers],[10]],tabela_registros[REGISTRO],DADOS!$N$4,tabela_registros[TIPO],DADOS!$P$4,tabela_registros[CATEGORIA],despesavariávelconsolidadodez[[#This Row],[DESPESA VARIÁVEL]])</f>
        <v>0</v>
      </c>
      <c r="O66" s="119" t="n">
        <f aca="false">SUMIFS(tabela_registros[VALOR],tabela_registros[MÊS],$AE$1,tabela_registros[DIA],deztotal3059718395107119131143155167[[#Headers],[11]],tabela_registros[REGISTRO],DADOS!$N$4,tabela_registros[TIPO],DADOS!$P$4,tabela_registros[CATEGORIA],despesavariávelconsolidadodez[[#This Row],[DESPESA VARIÁVEL]])</f>
        <v>0</v>
      </c>
      <c r="P66" s="119" t="n">
        <f aca="false">SUMIFS(tabela_registros[VALOR],tabela_registros[MÊS],$AE$1,tabela_registros[DIA],deztotal3059718395107119131143155167[[#Headers],[12]],tabela_registros[REGISTRO],DADOS!$N$4,tabela_registros[TIPO],DADOS!$P$4,tabela_registros[CATEGORIA],despesavariávelconsolidadodez[[#This Row],[DESPESA VARIÁVEL]])</f>
        <v>0</v>
      </c>
      <c r="Q66" s="119" t="n">
        <f aca="false">SUMIFS(tabela_registros[VALOR],tabela_registros[MÊS],$AE$1,tabela_registros[DIA],deztotal3059718395107119131143155167[[#Headers],[13]],tabela_registros[REGISTRO],DADOS!$N$4,tabela_registros[TIPO],DADOS!$P$4,tabela_registros[CATEGORIA],despesavariávelconsolidadodez[[#This Row],[DESPESA VARIÁVEL]])</f>
        <v>0</v>
      </c>
      <c r="R66" s="119" t="n">
        <f aca="false">SUMIFS(tabela_registros[VALOR],tabela_registros[MÊS],$AE$1,tabela_registros[DIA],deztotal3059718395107119131143155167[[#Headers],[14]],tabela_registros[REGISTRO],DADOS!$N$4,tabela_registros[TIPO],DADOS!$P$4,tabela_registros[CATEGORIA],despesavariávelconsolidadodez[[#This Row],[DESPESA VARIÁVEL]])</f>
        <v>0</v>
      </c>
      <c r="S66" s="119" t="n">
        <f aca="false">SUMIFS(tabela_registros[VALOR],tabela_registros[MÊS],$AE$1,tabela_registros[DIA],deztotal3059718395107119131143155167[[#Headers],[15]],tabela_registros[REGISTRO],DADOS!$N$4,tabela_registros[TIPO],DADOS!$P$4,tabela_registros[CATEGORIA],despesavariávelconsolidadodez[[#This Row],[DESPESA VARIÁVEL]])</f>
        <v>0</v>
      </c>
      <c r="T66" s="119" t="n">
        <f aca="false">SUMIFS(tabela_registros[VALOR],tabela_registros[MÊS],$AE$1,tabela_registros[DIA],deztotal3059718395107119131143155167[[#Headers],[16]],tabela_registros[REGISTRO],DADOS!$N$4,tabela_registros[TIPO],DADOS!$P$4,tabela_registros[CATEGORIA],despesavariávelconsolidadodez[[#This Row],[DESPESA VARIÁVEL]])</f>
        <v>0</v>
      </c>
      <c r="U66" s="119" t="n">
        <f aca="false">SUMIFS(tabela_registros[VALOR],tabela_registros[MÊS],$AE$1,tabela_registros[DIA],deztotal3059718395107119131143155167[[#Headers],[17]],tabela_registros[REGISTRO],DADOS!$N$4,tabela_registros[TIPO],DADOS!$P$4,tabela_registros[CATEGORIA],despesavariávelconsolidadodez[[#This Row],[DESPESA VARIÁVEL]])</f>
        <v>0</v>
      </c>
      <c r="V66" s="119" t="n">
        <f aca="false">SUMIFS(tabela_registros[VALOR],tabela_registros[MÊS],$AE$1,tabela_registros[DIA],deztotal3059718395107119131143155167[[#Headers],[18]],tabela_registros[REGISTRO],DADOS!$N$4,tabela_registros[TIPO],DADOS!$P$4,tabela_registros[CATEGORIA],despesavariávelconsolidadodez[[#This Row],[DESPESA VARIÁVEL]])</f>
        <v>0</v>
      </c>
      <c r="W66" s="119" t="n">
        <f aca="false">SUMIFS(tabela_registros[VALOR],tabela_registros[MÊS],$AE$1,tabela_registros[DIA],deztotal3059718395107119131143155167[[#Headers],[19]],tabela_registros[REGISTRO],DADOS!$N$4,tabela_registros[TIPO],DADOS!$P$4,tabela_registros[CATEGORIA],despesavariávelconsolidadodez[[#This Row],[DESPESA VARIÁVEL]])</f>
        <v>0</v>
      </c>
      <c r="X66" s="119" t="n">
        <f aca="false">SUMIFS(tabela_registros[VALOR],tabela_registros[MÊS],$AE$1,tabela_registros[DIA],deztotal3059718395107119131143155167[[#Headers],[20]],tabela_registros[REGISTRO],DADOS!$N$4,tabela_registros[TIPO],DADOS!$P$4,tabela_registros[CATEGORIA],despesavariávelconsolidadodez[[#This Row],[DESPESA VARIÁVEL]])</f>
        <v>0</v>
      </c>
      <c r="Y66" s="119" t="n">
        <f aca="false">SUMIFS(tabela_registros[VALOR],tabela_registros[MÊS],$AE$1,tabela_registros[DIA],deztotal3059718395107119131143155167[[#Headers],[21]],tabela_registros[REGISTRO],DADOS!$N$4,tabela_registros[TIPO],DADOS!$P$4,tabela_registros[CATEGORIA],despesavariávelconsolidadodez[[#This Row],[DESPESA VARIÁVEL]])</f>
        <v>0</v>
      </c>
      <c r="Z66" s="119" t="n">
        <f aca="false">SUMIFS(tabela_registros[VALOR],tabela_registros[MÊS],$AE$1,tabela_registros[DIA],deztotal3059718395107119131143155167[[#Headers],[22]],tabela_registros[REGISTRO],DADOS!$N$4,tabela_registros[TIPO],DADOS!$P$4,tabela_registros[CATEGORIA],despesavariávelconsolidadodez[[#This Row],[DESPESA VARIÁVEL]])</f>
        <v>0</v>
      </c>
      <c r="AA66" s="119" t="n">
        <f aca="false">SUMIFS(tabela_registros[VALOR],tabela_registros[MÊS],$AE$1,tabela_registros[DIA],deztotal3059718395107119131143155167[[#Headers],[23]],tabela_registros[REGISTRO],DADOS!$N$4,tabela_registros[TIPO],DADOS!$P$4,tabela_registros[CATEGORIA],despesavariávelconsolidadodez[[#This Row],[DESPESA VARIÁVEL]])</f>
        <v>0</v>
      </c>
      <c r="AB66" s="119" t="n">
        <f aca="false">SUMIFS(tabela_registros[VALOR],tabela_registros[MÊS],$AE$1,tabela_registros[DIA],deztotal3059718395107119131143155167[[#Headers],[24]],tabela_registros[REGISTRO],DADOS!$N$4,tabela_registros[TIPO],DADOS!$P$4,tabela_registros[CATEGORIA],despesavariávelconsolidadodez[[#This Row],[DESPESA VARIÁVEL]])</f>
        <v>0</v>
      </c>
      <c r="AC66" s="119" t="n">
        <f aca="false">SUMIFS(tabela_registros[VALOR],tabela_registros[MÊS],$AE$1,tabela_registros[DIA],deztotal3059718395107119131143155167[[#Headers],[25]],tabela_registros[REGISTRO],DADOS!$N$4,tabela_registros[TIPO],DADOS!$P$4,tabela_registros[CATEGORIA],despesavariávelconsolidadodez[[#This Row],[DESPESA VARIÁVEL]])</f>
        <v>0</v>
      </c>
      <c r="AD66" s="119" t="n">
        <f aca="false">SUMIFS(tabela_registros[VALOR],tabela_registros[MÊS],$AE$1,tabela_registros[DIA],deztotal3059718395107119131143155167[[#Headers],[26]],tabela_registros[REGISTRO],DADOS!$N$4,tabela_registros[TIPO],DADOS!$P$4,tabela_registros[CATEGORIA],despesavariávelconsolidadodez[[#This Row],[DESPESA VARIÁVEL]])</f>
        <v>0</v>
      </c>
      <c r="AE66" s="119" t="n">
        <f aca="false">SUMIFS(tabela_registros[VALOR],tabela_registros[MÊS],$AE$1,tabela_registros[DIA],deztotal3059718395107119131143155167[[#Headers],[27]],tabela_registros[REGISTRO],DADOS!$N$4,tabela_registros[TIPO],DADOS!$P$4,tabela_registros[CATEGORIA],despesavariávelconsolidadodez[[#This Row],[DESPESA VARIÁVEL]])</f>
        <v>0</v>
      </c>
      <c r="AF66" s="119" t="n">
        <f aca="false">SUMIFS(tabela_registros[VALOR],tabela_registros[MÊS],$AE$1,tabela_registros[DIA],deztotal3059718395107119131143155167[[#Headers],[28]],tabela_registros[REGISTRO],DADOS!$N$4,tabela_registros[TIPO],DADOS!$P$4,tabela_registros[CATEGORIA],despesavariávelconsolidadodez[[#This Row],[DESPESA VARIÁVEL]])</f>
        <v>0</v>
      </c>
      <c r="AG66" s="119" t="n">
        <f aca="false">SUMIFS(tabela_registros[VALOR],tabela_registros[MÊS],$AE$1,tabela_registros[DIA],deztotal3059718395107119131143155167[[#Headers],[29]],tabela_registros[REGISTRO],DADOS!$N$4,tabela_registros[TIPO],DADOS!$P$4,tabela_registros[CATEGORIA],despesavariávelconsolidadodez[[#This Row],[DESPESA VARIÁVEL]])</f>
        <v>0</v>
      </c>
      <c r="AH66" s="119" t="n">
        <f aca="false">SUMIFS(tabela_registros[VALOR],tabela_registros[MÊS],$AE$1,tabela_registros[DIA],deztotal3059718395107119131143155167[[#Headers],[30]],tabela_registros[REGISTRO],DADOS!$N$4,tabela_registros[TIPO],DADOS!$P$4,tabela_registros[CATEGORIA],despesavariávelconsolidadodez[[#This Row],[DESPESA VARIÁVEL]])</f>
        <v>0</v>
      </c>
      <c r="AI66" s="217" t="n">
        <f aca="false">SUMIFS(tabela_registros[VALOR],tabela_registros[MÊS],$AE$1,tabela_registros[DIA],deztotal3059718395107119131143155167[[#Headers],[31]],tabela_registros[REGISTRO],DADOS!$N$4,tabela_registros[TIPO],DADOS!$P$4,tabela_registros[CATEGORIA],despesavariávelconsolidadodez[[#This Row],[DESPESA VARIÁVEL]])</f>
        <v>0</v>
      </c>
      <c r="AJ66" s="149" t="n">
        <f aca="false">SUM(despesavariávelconsolidadodez[[#This Row],[1]:[31]])</f>
        <v>0</v>
      </c>
      <c r="AK66" s="143"/>
    </row>
    <row r="67" customFormat="false" ht="18" hidden="false" customHeight="true" outlineLevel="0" collapsed="false">
      <c r="B67" s="143"/>
      <c r="C67" s="144" t="str">
        <f aca="false">DADOS!$T$10</f>
        <v>🛒 MERCADO</v>
      </c>
      <c r="D67" s="145" t="str">
        <f aca="false">IF(despesavariávelconsolidadodez[[#This Row],[TOTAL]]=0,"",IF(OR(despesavariávelconsolidadodez[[#This Row],[TOTAL]]=LARGE($AJ$60:$AJ$72,1),despesavariávelconsolidadodez[[#This Row],[TOTAL]]=LARGE($AJ$60:$AJ$72,2),despesavariávelconsolidadodez[[#This Row],[TOTAL]]=LARGE($AJ$60:$AJ$72,3),despesavariávelconsolidadodez[[#This Row],[TOTAL]]=LARGE($AJ$60:$AJ$72,4),despesavariávelconsolidadodez[[#This Row],[TOTAL]]=LARGE($AJ$60:$AJ$72,5)),DADOS!$I$8,""))</f>
        <v/>
      </c>
      <c r="E67" s="148" t="n">
        <f aca="false">SUMIFS(tabela_registros[VALOR],tabela_registros[MÊS],$AE$1,tabela_registros[DIA],deztotal3059718395107119131143155167[[#Headers],[1]],tabela_registros[REGISTRO],DADOS!$N$4,tabela_registros[TIPO],DADOS!$P$4,tabela_registros[CATEGORIA],despesavariávelconsolidadodez[[#This Row],[DESPESA VARIÁVEL]])</f>
        <v>0</v>
      </c>
      <c r="F67" s="119" t="n">
        <f aca="false">SUMIFS(tabela_registros[VALOR],tabela_registros[MÊS],$AE$1,tabela_registros[DIA],deztotal3059718395107119131143155167[[#Headers],[2]],tabela_registros[REGISTRO],DADOS!$N$4,tabela_registros[TIPO],DADOS!$P$4,tabela_registros[CATEGORIA],despesavariávelconsolidadodez[[#This Row],[DESPESA VARIÁVEL]])</f>
        <v>0</v>
      </c>
      <c r="G67" s="119" t="n">
        <f aca="false">SUMIFS(tabela_registros[VALOR],tabela_registros[MÊS],$AE$1,tabela_registros[DIA],deztotal3059718395107119131143155167[[#Headers],[3]],tabela_registros[REGISTRO],DADOS!$N$4,tabela_registros[TIPO],DADOS!$P$4,tabela_registros[CATEGORIA],despesavariávelconsolidadodez[[#This Row],[DESPESA VARIÁVEL]])</f>
        <v>0</v>
      </c>
      <c r="H67" s="119" t="n">
        <f aca="false">SUMIFS(tabela_registros[VALOR],tabela_registros[MÊS],$AE$1,tabela_registros[DIA],deztotal3059718395107119131143155167[[#Headers],[4]],tabela_registros[REGISTRO],DADOS!$N$4,tabela_registros[TIPO],DADOS!$P$4,tabela_registros[CATEGORIA],despesavariávelconsolidadodez[[#This Row],[DESPESA VARIÁVEL]])</f>
        <v>0</v>
      </c>
      <c r="I67" s="119" t="n">
        <f aca="false">SUMIFS(tabela_registros[VALOR],tabela_registros[MÊS],$AE$1,tabela_registros[DIA],deztotal3059718395107119131143155167[[#Headers],[5]],tabela_registros[REGISTRO],DADOS!$N$4,tabela_registros[TIPO],DADOS!$P$4,tabela_registros[CATEGORIA],despesavariávelconsolidadodez[[#This Row],[DESPESA VARIÁVEL]])</f>
        <v>0</v>
      </c>
      <c r="J67" s="119" t="n">
        <f aca="false">SUMIFS(tabela_registros[VALOR],tabela_registros[MÊS],$AE$1,tabela_registros[DIA],deztotal3059718395107119131143155167[[#Headers],[6]],tabela_registros[REGISTRO],DADOS!$N$4,tabela_registros[TIPO],DADOS!$P$4,tabela_registros[CATEGORIA],despesavariávelconsolidadodez[[#This Row],[DESPESA VARIÁVEL]])</f>
        <v>0</v>
      </c>
      <c r="K67" s="119" t="n">
        <f aca="false">SUMIFS(tabela_registros[VALOR],tabela_registros[MÊS],$AE$1,tabela_registros[DIA],deztotal3059718395107119131143155167[[#Headers],[7]],tabela_registros[REGISTRO],DADOS!$N$4,tabela_registros[TIPO],DADOS!$P$4,tabela_registros[CATEGORIA],despesavariávelconsolidadodez[[#This Row],[DESPESA VARIÁVEL]])</f>
        <v>0</v>
      </c>
      <c r="L67" s="119" t="n">
        <f aca="false">SUMIFS(tabela_registros[VALOR],tabela_registros[MÊS],$AE$1,tabela_registros[DIA],deztotal3059718395107119131143155167[[#Headers],[8]],tabela_registros[REGISTRO],DADOS!$N$4,tabela_registros[TIPO],DADOS!$P$4,tabela_registros[CATEGORIA],despesavariávelconsolidadodez[[#This Row],[DESPESA VARIÁVEL]])</f>
        <v>0</v>
      </c>
      <c r="M67" s="119" t="n">
        <f aca="false">SUMIFS(tabela_registros[VALOR],tabela_registros[MÊS],$AE$1,tabela_registros[DIA],deztotal3059718395107119131143155167[[#Headers],[9]],tabela_registros[REGISTRO],DADOS!$N$4,tabela_registros[TIPO],DADOS!$P$4,tabela_registros[CATEGORIA],despesavariávelconsolidadodez[[#This Row],[DESPESA VARIÁVEL]])</f>
        <v>0</v>
      </c>
      <c r="N67" s="119" t="n">
        <f aca="false">SUMIFS(tabela_registros[VALOR],tabela_registros[MÊS],$AE$1,tabela_registros[DIA],deztotal3059718395107119131143155167[[#Headers],[10]],tabela_registros[REGISTRO],DADOS!$N$4,tabela_registros[TIPO],DADOS!$P$4,tabela_registros[CATEGORIA],despesavariávelconsolidadodez[[#This Row],[DESPESA VARIÁVEL]])</f>
        <v>0</v>
      </c>
      <c r="O67" s="119" t="n">
        <f aca="false">SUMIFS(tabela_registros[VALOR],tabela_registros[MÊS],$AE$1,tabela_registros[DIA],deztotal3059718395107119131143155167[[#Headers],[11]],tabela_registros[REGISTRO],DADOS!$N$4,tabela_registros[TIPO],DADOS!$P$4,tabela_registros[CATEGORIA],despesavariávelconsolidadodez[[#This Row],[DESPESA VARIÁVEL]])</f>
        <v>0</v>
      </c>
      <c r="P67" s="119" t="n">
        <f aca="false">SUMIFS(tabela_registros[VALOR],tabela_registros[MÊS],$AE$1,tabela_registros[DIA],deztotal3059718395107119131143155167[[#Headers],[12]],tabela_registros[REGISTRO],DADOS!$N$4,tabela_registros[TIPO],DADOS!$P$4,tabela_registros[CATEGORIA],despesavariávelconsolidadodez[[#This Row],[DESPESA VARIÁVEL]])</f>
        <v>0</v>
      </c>
      <c r="Q67" s="119" t="n">
        <f aca="false">SUMIFS(tabela_registros[VALOR],tabela_registros[MÊS],$AE$1,tabela_registros[DIA],deztotal3059718395107119131143155167[[#Headers],[13]],tabela_registros[REGISTRO],DADOS!$N$4,tabela_registros[TIPO],DADOS!$P$4,tabela_registros[CATEGORIA],despesavariávelconsolidadodez[[#This Row],[DESPESA VARIÁVEL]])</f>
        <v>0</v>
      </c>
      <c r="R67" s="119" t="n">
        <f aca="false">SUMIFS(tabela_registros[VALOR],tabela_registros[MÊS],$AE$1,tabela_registros[DIA],deztotal3059718395107119131143155167[[#Headers],[14]],tabela_registros[REGISTRO],DADOS!$N$4,tabela_registros[TIPO],DADOS!$P$4,tabela_registros[CATEGORIA],despesavariávelconsolidadodez[[#This Row],[DESPESA VARIÁVEL]])</f>
        <v>0</v>
      </c>
      <c r="S67" s="119" t="n">
        <f aca="false">SUMIFS(tabela_registros[VALOR],tabela_registros[MÊS],$AE$1,tabela_registros[DIA],deztotal3059718395107119131143155167[[#Headers],[15]],tabela_registros[REGISTRO],DADOS!$N$4,tabela_registros[TIPO],DADOS!$P$4,tabela_registros[CATEGORIA],despesavariávelconsolidadodez[[#This Row],[DESPESA VARIÁVEL]])</f>
        <v>0</v>
      </c>
      <c r="T67" s="119" t="n">
        <f aca="false">SUMIFS(tabela_registros[VALOR],tabela_registros[MÊS],$AE$1,tabela_registros[DIA],deztotal3059718395107119131143155167[[#Headers],[16]],tabela_registros[REGISTRO],DADOS!$N$4,tabela_registros[TIPO],DADOS!$P$4,tabela_registros[CATEGORIA],despesavariávelconsolidadodez[[#This Row],[DESPESA VARIÁVEL]])</f>
        <v>0</v>
      </c>
      <c r="U67" s="119" t="n">
        <f aca="false">SUMIFS(tabela_registros[VALOR],tabela_registros[MÊS],$AE$1,tabela_registros[DIA],deztotal3059718395107119131143155167[[#Headers],[17]],tabela_registros[REGISTRO],DADOS!$N$4,tabela_registros[TIPO],DADOS!$P$4,tabela_registros[CATEGORIA],despesavariávelconsolidadodez[[#This Row],[DESPESA VARIÁVEL]])</f>
        <v>0</v>
      </c>
      <c r="V67" s="119" t="n">
        <f aca="false">SUMIFS(tabela_registros[VALOR],tabela_registros[MÊS],$AE$1,tabela_registros[DIA],deztotal3059718395107119131143155167[[#Headers],[18]],tabela_registros[REGISTRO],DADOS!$N$4,tabela_registros[TIPO],DADOS!$P$4,tabela_registros[CATEGORIA],despesavariávelconsolidadodez[[#This Row],[DESPESA VARIÁVEL]])</f>
        <v>0</v>
      </c>
      <c r="W67" s="119" t="n">
        <f aca="false">SUMIFS(tabela_registros[VALOR],tabela_registros[MÊS],$AE$1,tabela_registros[DIA],deztotal3059718395107119131143155167[[#Headers],[19]],tabela_registros[REGISTRO],DADOS!$N$4,tabela_registros[TIPO],DADOS!$P$4,tabela_registros[CATEGORIA],despesavariávelconsolidadodez[[#This Row],[DESPESA VARIÁVEL]])</f>
        <v>0</v>
      </c>
      <c r="X67" s="119" t="n">
        <f aca="false">SUMIFS(tabela_registros[VALOR],tabela_registros[MÊS],$AE$1,tabela_registros[DIA],deztotal3059718395107119131143155167[[#Headers],[20]],tabela_registros[REGISTRO],DADOS!$N$4,tabela_registros[TIPO],DADOS!$P$4,tabela_registros[CATEGORIA],despesavariávelconsolidadodez[[#This Row],[DESPESA VARIÁVEL]])</f>
        <v>0</v>
      </c>
      <c r="Y67" s="119" t="n">
        <f aca="false">SUMIFS(tabela_registros[VALOR],tabela_registros[MÊS],$AE$1,tabela_registros[DIA],deztotal3059718395107119131143155167[[#Headers],[21]],tabela_registros[REGISTRO],DADOS!$N$4,tabela_registros[TIPO],DADOS!$P$4,tabela_registros[CATEGORIA],despesavariávelconsolidadodez[[#This Row],[DESPESA VARIÁVEL]])</f>
        <v>0</v>
      </c>
      <c r="Z67" s="119" t="n">
        <f aca="false">SUMIFS(tabela_registros[VALOR],tabela_registros[MÊS],$AE$1,tabela_registros[DIA],deztotal3059718395107119131143155167[[#Headers],[22]],tabela_registros[REGISTRO],DADOS!$N$4,tabela_registros[TIPO],DADOS!$P$4,tabela_registros[CATEGORIA],despesavariávelconsolidadodez[[#This Row],[DESPESA VARIÁVEL]])</f>
        <v>0</v>
      </c>
      <c r="AA67" s="119" t="n">
        <f aca="false">SUMIFS(tabela_registros[VALOR],tabela_registros[MÊS],$AE$1,tabela_registros[DIA],deztotal3059718395107119131143155167[[#Headers],[23]],tabela_registros[REGISTRO],DADOS!$N$4,tabela_registros[TIPO],DADOS!$P$4,tabela_registros[CATEGORIA],despesavariávelconsolidadodez[[#This Row],[DESPESA VARIÁVEL]])</f>
        <v>0</v>
      </c>
      <c r="AB67" s="119" t="n">
        <f aca="false">SUMIFS(tabela_registros[VALOR],tabela_registros[MÊS],$AE$1,tabela_registros[DIA],deztotal3059718395107119131143155167[[#Headers],[24]],tabela_registros[REGISTRO],DADOS!$N$4,tabela_registros[TIPO],DADOS!$P$4,tabela_registros[CATEGORIA],despesavariávelconsolidadodez[[#This Row],[DESPESA VARIÁVEL]])</f>
        <v>0</v>
      </c>
      <c r="AC67" s="119" t="n">
        <f aca="false">SUMIFS(tabela_registros[VALOR],tabela_registros[MÊS],$AE$1,tabela_registros[DIA],deztotal3059718395107119131143155167[[#Headers],[25]],tabela_registros[REGISTRO],DADOS!$N$4,tabela_registros[TIPO],DADOS!$P$4,tabela_registros[CATEGORIA],despesavariávelconsolidadodez[[#This Row],[DESPESA VARIÁVEL]])</f>
        <v>0</v>
      </c>
      <c r="AD67" s="119" t="n">
        <f aca="false">SUMIFS(tabela_registros[VALOR],tabela_registros[MÊS],$AE$1,tabela_registros[DIA],deztotal3059718395107119131143155167[[#Headers],[26]],tabela_registros[REGISTRO],DADOS!$N$4,tabela_registros[TIPO],DADOS!$P$4,tabela_registros[CATEGORIA],despesavariávelconsolidadodez[[#This Row],[DESPESA VARIÁVEL]])</f>
        <v>0</v>
      </c>
      <c r="AE67" s="119" t="n">
        <f aca="false">SUMIFS(tabela_registros[VALOR],tabela_registros[MÊS],$AE$1,tabela_registros[DIA],deztotal3059718395107119131143155167[[#Headers],[27]],tabela_registros[REGISTRO],DADOS!$N$4,tabela_registros[TIPO],DADOS!$P$4,tabela_registros[CATEGORIA],despesavariávelconsolidadodez[[#This Row],[DESPESA VARIÁVEL]])</f>
        <v>0</v>
      </c>
      <c r="AF67" s="119" t="n">
        <f aca="false">SUMIFS(tabela_registros[VALOR],tabela_registros[MÊS],$AE$1,tabela_registros[DIA],deztotal3059718395107119131143155167[[#Headers],[28]],tabela_registros[REGISTRO],DADOS!$N$4,tabela_registros[TIPO],DADOS!$P$4,tabela_registros[CATEGORIA],despesavariávelconsolidadodez[[#This Row],[DESPESA VARIÁVEL]])</f>
        <v>0</v>
      </c>
      <c r="AG67" s="119" t="n">
        <f aca="false">SUMIFS(tabela_registros[VALOR],tabela_registros[MÊS],$AE$1,tabela_registros[DIA],deztotal3059718395107119131143155167[[#Headers],[29]],tabela_registros[REGISTRO],DADOS!$N$4,tabela_registros[TIPO],DADOS!$P$4,tabela_registros[CATEGORIA],despesavariávelconsolidadodez[[#This Row],[DESPESA VARIÁVEL]])</f>
        <v>0</v>
      </c>
      <c r="AH67" s="119" t="n">
        <f aca="false">SUMIFS(tabela_registros[VALOR],tabela_registros[MÊS],$AE$1,tabela_registros[DIA],deztotal3059718395107119131143155167[[#Headers],[30]],tabela_registros[REGISTRO],DADOS!$N$4,tabela_registros[TIPO],DADOS!$P$4,tabela_registros[CATEGORIA],despesavariávelconsolidadodez[[#This Row],[DESPESA VARIÁVEL]])</f>
        <v>0</v>
      </c>
      <c r="AI67" s="217" t="n">
        <f aca="false">SUMIFS(tabela_registros[VALOR],tabela_registros[MÊS],$AE$1,tabela_registros[DIA],deztotal3059718395107119131143155167[[#Headers],[31]],tabela_registros[REGISTRO],DADOS!$N$4,tabela_registros[TIPO],DADOS!$P$4,tabela_registros[CATEGORIA],despesavariávelconsolidadodez[[#This Row],[DESPESA VARIÁVEL]])</f>
        <v>0</v>
      </c>
      <c r="AJ67" s="149" t="n">
        <f aca="false">SUM(despesavariávelconsolidadodez[[#This Row],[1]:[31]])</f>
        <v>0</v>
      </c>
      <c r="AK67" s="143"/>
    </row>
    <row r="68" customFormat="false" ht="18" hidden="false" customHeight="true" outlineLevel="0" collapsed="false">
      <c r="B68" s="143"/>
      <c r="C68" s="144" t="str">
        <f aca="false">DADOS!$T$11</f>
        <v>🎁 PRESENTES</v>
      </c>
      <c r="D68" s="145" t="str">
        <f aca="false">IF(despesavariávelconsolidadodez[[#This Row],[TOTAL]]=0,"",IF(OR(despesavariávelconsolidadodez[[#This Row],[TOTAL]]=LARGE($AJ$60:$AJ$72,1),despesavariávelconsolidadodez[[#This Row],[TOTAL]]=LARGE($AJ$60:$AJ$72,2),despesavariávelconsolidadodez[[#This Row],[TOTAL]]=LARGE($AJ$60:$AJ$72,3),despesavariávelconsolidadodez[[#This Row],[TOTAL]]=LARGE($AJ$60:$AJ$72,4),despesavariávelconsolidadodez[[#This Row],[TOTAL]]=LARGE($AJ$60:$AJ$72,5)),DADOS!$I$8,""))</f>
        <v/>
      </c>
      <c r="E68" s="148" t="n">
        <f aca="false">SUMIFS(tabela_registros[VALOR],tabela_registros[MÊS],$AE$1,tabela_registros[DIA],deztotal3059718395107119131143155167[[#Headers],[1]],tabela_registros[REGISTRO],DADOS!$N$4,tabela_registros[TIPO],DADOS!$P$4,tabela_registros[CATEGORIA],despesavariávelconsolidadodez[[#This Row],[DESPESA VARIÁVEL]])</f>
        <v>0</v>
      </c>
      <c r="F68" s="119" t="n">
        <f aca="false">SUMIFS(tabela_registros[VALOR],tabela_registros[MÊS],$AE$1,tabela_registros[DIA],deztotal3059718395107119131143155167[[#Headers],[2]],tabela_registros[REGISTRO],DADOS!$N$4,tabela_registros[TIPO],DADOS!$P$4,tabela_registros[CATEGORIA],despesavariávelconsolidadodez[[#This Row],[DESPESA VARIÁVEL]])</f>
        <v>0</v>
      </c>
      <c r="G68" s="119" t="n">
        <f aca="false">SUMIFS(tabela_registros[VALOR],tabela_registros[MÊS],$AE$1,tabela_registros[DIA],deztotal3059718395107119131143155167[[#Headers],[3]],tabela_registros[REGISTRO],DADOS!$N$4,tabela_registros[TIPO],DADOS!$P$4,tabela_registros[CATEGORIA],despesavariávelconsolidadodez[[#This Row],[DESPESA VARIÁVEL]])</f>
        <v>0</v>
      </c>
      <c r="H68" s="119" t="n">
        <f aca="false">SUMIFS(tabela_registros[VALOR],tabela_registros[MÊS],$AE$1,tabela_registros[DIA],deztotal3059718395107119131143155167[[#Headers],[4]],tabela_registros[REGISTRO],DADOS!$N$4,tabela_registros[TIPO],DADOS!$P$4,tabela_registros[CATEGORIA],despesavariávelconsolidadodez[[#This Row],[DESPESA VARIÁVEL]])</f>
        <v>0</v>
      </c>
      <c r="I68" s="119" t="n">
        <f aca="false">SUMIFS(tabela_registros[VALOR],tabela_registros[MÊS],$AE$1,tabela_registros[DIA],deztotal3059718395107119131143155167[[#Headers],[5]],tabela_registros[REGISTRO],DADOS!$N$4,tabela_registros[TIPO],DADOS!$P$4,tabela_registros[CATEGORIA],despesavariávelconsolidadodez[[#This Row],[DESPESA VARIÁVEL]])</f>
        <v>0</v>
      </c>
      <c r="J68" s="119" t="n">
        <f aca="false">SUMIFS(tabela_registros[VALOR],tabela_registros[MÊS],$AE$1,tabela_registros[DIA],deztotal3059718395107119131143155167[[#Headers],[6]],tabela_registros[REGISTRO],DADOS!$N$4,tabela_registros[TIPO],DADOS!$P$4,tabela_registros[CATEGORIA],despesavariávelconsolidadodez[[#This Row],[DESPESA VARIÁVEL]])</f>
        <v>0</v>
      </c>
      <c r="K68" s="119" t="n">
        <f aca="false">SUMIFS(tabela_registros[VALOR],tabela_registros[MÊS],$AE$1,tabela_registros[DIA],deztotal3059718395107119131143155167[[#Headers],[7]],tabela_registros[REGISTRO],DADOS!$N$4,tabela_registros[TIPO],DADOS!$P$4,tabela_registros[CATEGORIA],despesavariávelconsolidadodez[[#This Row],[DESPESA VARIÁVEL]])</f>
        <v>0</v>
      </c>
      <c r="L68" s="119" t="n">
        <f aca="false">SUMIFS(tabela_registros[VALOR],tabela_registros[MÊS],$AE$1,tabela_registros[DIA],deztotal3059718395107119131143155167[[#Headers],[8]],tabela_registros[REGISTRO],DADOS!$N$4,tabela_registros[TIPO],DADOS!$P$4,tabela_registros[CATEGORIA],despesavariávelconsolidadodez[[#This Row],[DESPESA VARIÁVEL]])</f>
        <v>0</v>
      </c>
      <c r="M68" s="119" t="n">
        <f aca="false">SUMIFS(tabela_registros[VALOR],tabela_registros[MÊS],$AE$1,tabela_registros[DIA],deztotal3059718395107119131143155167[[#Headers],[9]],tabela_registros[REGISTRO],DADOS!$N$4,tabela_registros[TIPO],DADOS!$P$4,tabela_registros[CATEGORIA],despesavariávelconsolidadodez[[#This Row],[DESPESA VARIÁVEL]])</f>
        <v>0</v>
      </c>
      <c r="N68" s="119" t="n">
        <f aca="false">SUMIFS(tabela_registros[VALOR],tabela_registros[MÊS],$AE$1,tabela_registros[DIA],deztotal3059718395107119131143155167[[#Headers],[10]],tabela_registros[REGISTRO],DADOS!$N$4,tabela_registros[TIPO],DADOS!$P$4,tabela_registros[CATEGORIA],despesavariávelconsolidadodez[[#This Row],[DESPESA VARIÁVEL]])</f>
        <v>0</v>
      </c>
      <c r="O68" s="119" t="n">
        <f aca="false">SUMIFS(tabela_registros[VALOR],tabela_registros[MÊS],$AE$1,tabela_registros[DIA],deztotal3059718395107119131143155167[[#Headers],[11]],tabela_registros[REGISTRO],DADOS!$N$4,tabela_registros[TIPO],DADOS!$P$4,tabela_registros[CATEGORIA],despesavariávelconsolidadodez[[#This Row],[DESPESA VARIÁVEL]])</f>
        <v>0</v>
      </c>
      <c r="P68" s="119" t="n">
        <f aca="false">SUMIFS(tabela_registros[VALOR],tabela_registros[MÊS],$AE$1,tabela_registros[DIA],deztotal3059718395107119131143155167[[#Headers],[12]],tabela_registros[REGISTRO],DADOS!$N$4,tabela_registros[TIPO],DADOS!$P$4,tabela_registros[CATEGORIA],despesavariávelconsolidadodez[[#This Row],[DESPESA VARIÁVEL]])</f>
        <v>0</v>
      </c>
      <c r="Q68" s="119" t="n">
        <f aca="false">SUMIFS(tabela_registros[VALOR],tabela_registros[MÊS],$AE$1,tabela_registros[DIA],deztotal3059718395107119131143155167[[#Headers],[13]],tabela_registros[REGISTRO],DADOS!$N$4,tabela_registros[TIPO],DADOS!$P$4,tabela_registros[CATEGORIA],despesavariávelconsolidadodez[[#This Row],[DESPESA VARIÁVEL]])</f>
        <v>0</v>
      </c>
      <c r="R68" s="119" t="n">
        <f aca="false">SUMIFS(tabela_registros[VALOR],tabela_registros[MÊS],$AE$1,tabela_registros[DIA],deztotal3059718395107119131143155167[[#Headers],[14]],tabela_registros[REGISTRO],DADOS!$N$4,tabela_registros[TIPO],DADOS!$P$4,tabela_registros[CATEGORIA],despesavariávelconsolidadodez[[#This Row],[DESPESA VARIÁVEL]])</f>
        <v>0</v>
      </c>
      <c r="S68" s="119" t="n">
        <f aca="false">SUMIFS(tabela_registros[VALOR],tabela_registros[MÊS],$AE$1,tabela_registros[DIA],deztotal3059718395107119131143155167[[#Headers],[15]],tabela_registros[REGISTRO],DADOS!$N$4,tabela_registros[TIPO],DADOS!$P$4,tabela_registros[CATEGORIA],despesavariávelconsolidadodez[[#This Row],[DESPESA VARIÁVEL]])</f>
        <v>0</v>
      </c>
      <c r="T68" s="119" t="n">
        <f aca="false">SUMIFS(tabela_registros[VALOR],tabela_registros[MÊS],$AE$1,tabela_registros[DIA],deztotal3059718395107119131143155167[[#Headers],[16]],tabela_registros[REGISTRO],DADOS!$N$4,tabela_registros[TIPO],DADOS!$P$4,tabela_registros[CATEGORIA],despesavariávelconsolidadodez[[#This Row],[DESPESA VARIÁVEL]])</f>
        <v>0</v>
      </c>
      <c r="U68" s="119" t="n">
        <f aca="false">SUMIFS(tabela_registros[VALOR],tabela_registros[MÊS],$AE$1,tabela_registros[DIA],deztotal3059718395107119131143155167[[#Headers],[17]],tabela_registros[REGISTRO],DADOS!$N$4,tabela_registros[TIPO],DADOS!$P$4,tabela_registros[CATEGORIA],despesavariávelconsolidadodez[[#This Row],[DESPESA VARIÁVEL]])</f>
        <v>0</v>
      </c>
      <c r="V68" s="119" t="n">
        <f aca="false">SUMIFS(tabela_registros[VALOR],tabela_registros[MÊS],$AE$1,tabela_registros[DIA],deztotal3059718395107119131143155167[[#Headers],[18]],tabela_registros[REGISTRO],DADOS!$N$4,tabela_registros[TIPO],DADOS!$P$4,tabela_registros[CATEGORIA],despesavariávelconsolidadodez[[#This Row],[DESPESA VARIÁVEL]])</f>
        <v>0</v>
      </c>
      <c r="W68" s="119" t="n">
        <f aca="false">SUMIFS(tabela_registros[VALOR],tabela_registros[MÊS],$AE$1,tabela_registros[DIA],deztotal3059718395107119131143155167[[#Headers],[19]],tabela_registros[REGISTRO],DADOS!$N$4,tabela_registros[TIPO],DADOS!$P$4,tabela_registros[CATEGORIA],despesavariávelconsolidadodez[[#This Row],[DESPESA VARIÁVEL]])</f>
        <v>0</v>
      </c>
      <c r="X68" s="119" t="n">
        <f aca="false">SUMIFS(tabela_registros[VALOR],tabela_registros[MÊS],$AE$1,tabela_registros[DIA],deztotal3059718395107119131143155167[[#Headers],[20]],tabela_registros[REGISTRO],DADOS!$N$4,tabela_registros[TIPO],DADOS!$P$4,tabela_registros[CATEGORIA],despesavariávelconsolidadodez[[#This Row],[DESPESA VARIÁVEL]])</f>
        <v>0</v>
      </c>
      <c r="Y68" s="119" t="n">
        <f aca="false">SUMIFS(tabela_registros[VALOR],tabela_registros[MÊS],$AE$1,tabela_registros[DIA],deztotal3059718395107119131143155167[[#Headers],[21]],tabela_registros[REGISTRO],DADOS!$N$4,tabela_registros[TIPO],DADOS!$P$4,tabela_registros[CATEGORIA],despesavariávelconsolidadodez[[#This Row],[DESPESA VARIÁVEL]])</f>
        <v>0</v>
      </c>
      <c r="Z68" s="119" t="n">
        <f aca="false">SUMIFS(tabela_registros[VALOR],tabela_registros[MÊS],$AE$1,tabela_registros[DIA],deztotal3059718395107119131143155167[[#Headers],[22]],tabela_registros[REGISTRO],DADOS!$N$4,tabela_registros[TIPO],DADOS!$P$4,tabela_registros[CATEGORIA],despesavariávelconsolidadodez[[#This Row],[DESPESA VARIÁVEL]])</f>
        <v>0</v>
      </c>
      <c r="AA68" s="119" t="n">
        <f aca="false">SUMIFS(tabela_registros[VALOR],tabela_registros[MÊS],$AE$1,tabela_registros[DIA],deztotal3059718395107119131143155167[[#Headers],[23]],tabela_registros[REGISTRO],DADOS!$N$4,tabela_registros[TIPO],DADOS!$P$4,tabela_registros[CATEGORIA],despesavariávelconsolidadodez[[#This Row],[DESPESA VARIÁVEL]])</f>
        <v>0</v>
      </c>
      <c r="AB68" s="119" t="n">
        <f aca="false">SUMIFS(tabela_registros[VALOR],tabela_registros[MÊS],$AE$1,tabela_registros[DIA],deztotal3059718395107119131143155167[[#Headers],[24]],tabela_registros[REGISTRO],DADOS!$N$4,tabela_registros[TIPO],DADOS!$P$4,tabela_registros[CATEGORIA],despesavariávelconsolidadodez[[#This Row],[DESPESA VARIÁVEL]])</f>
        <v>0</v>
      </c>
      <c r="AC68" s="119" t="n">
        <f aca="false">SUMIFS(tabela_registros[VALOR],tabela_registros[MÊS],$AE$1,tabela_registros[DIA],deztotal3059718395107119131143155167[[#Headers],[25]],tabela_registros[REGISTRO],DADOS!$N$4,tabela_registros[TIPO],DADOS!$P$4,tabela_registros[CATEGORIA],despesavariávelconsolidadodez[[#This Row],[DESPESA VARIÁVEL]])</f>
        <v>0</v>
      </c>
      <c r="AD68" s="119" t="n">
        <f aca="false">SUMIFS(tabela_registros[VALOR],tabela_registros[MÊS],$AE$1,tabela_registros[DIA],deztotal3059718395107119131143155167[[#Headers],[26]],tabela_registros[REGISTRO],DADOS!$N$4,tabela_registros[TIPO],DADOS!$P$4,tabela_registros[CATEGORIA],despesavariávelconsolidadodez[[#This Row],[DESPESA VARIÁVEL]])</f>
        <v>0</v>
      </c>
      <c r="AE68" s="119" t="n">
        <f aca="false">SUMIFS(tabela_registros[VALOR],tabela_registros[MÊS],$AE$1,tabela_registros[DIA],deztotal3059718395107119131143155167[[#Headers],[27]],tabela_registros[REGISTRO],DADOS!$N$4,tabela_registros[TIPO],DADOS!$P$4,tabela_registros[CATEGORIA],despesavariávelconsolidadodez[[#This Row],[DESPESA VARIÁVEL]])</f>
        <v>0</v>
      </c>
      <c r="AF68" s="119" t="n">
        <f aca="false">SUMIFS(tabela_registros[VALOR],tabela_registros[MÊS],$AE$1,tabela_registros[DIA],deztotal3059718395107119131143155167[[#Headers],[28]],tabela_registros[REGISTRO],DADOS!$N$4,tabela_registros[TIPO],DADOS!$P$4,tabela_registros[CATEGORIA],despesavariávelconsolidadodez[[#This Row],[DESPESA VARIÁVEL]])</f>
        <v>0</v>
      </c>
      <c r="AG68" s="119" t="n">
        <f aca="false">SUMIFS(tabela_registros[VALOR],tabela_registros[MÊS],$AE$1,tabela_registros[DIA],deztotal3059718395107119131143155167[[#Headers],[29]],tabela_registros[REGISTRO],DADOS!$N$4,tabela_registros[TIPO],DADOS!$P$4,tabela_registros[CATEGORIA],despesavariávelconsolidadodez[[#This Row],[DESPESA VARIÁVEL]])</f>
        <v>0</v>
      </c>
      <c r="AH68" s="119" t="n">
        <f aca="false">SUMIFS(tabela_registros[VALOR],tabela_registros[MÊS],$AE$1,tabela_registros[DIA],deztotal3059718395107119131143155167[[#Headers],[30]],tabela_registros[REGISTRO],DADOS!$N$4,tabela_registros[TIPO],DADOS!$P$4,tabela_registros[CATEGORIA],despesavariávelconsolidadodez[[#This Row],[DESPESA VARIÁVEL]])</f>
        <v>0</v>
      </c>
      <c r="AI68" s="217" t="n">
        <f aca="false">SUMIFS(tabela_registros[VALOR],tabela_registros[MÊS],$AE$1,tabela_registros[DIA],deztotal3059718395107119131143155167[[#Headers],[31]],tabela_registros[REGISTRO],DADOS!$N$4,tabela_registros[TIPO],DADOS!$P$4,tabela_registros[CATEGORIA],despesavariávelconsolidadodez[[#This Row],[DESPESA VARIÁVEL]])</f>
        <v>0</v>
      </c>
      <c r="AJ68" s="149" t="n">
        <f aca="false">SUM(despesavariávelconsolidadodez[[#This Row],[1]:[31]])</f>
        <v>0</v>
      </c>
      <c r="AK68" s="143"/>
    </row>
    <row r="69" customFormat="false" ht="18" hidden="false" customHeight="true" outlineLevel="0" collapsed="false">
      <c r="B69" s="143"/>
      <c r="C69" s="144" t="str">
        <f aca="false">DADOS!$T$12</f>
        <v>💊 SAÚDE</v>
      </c>
      <c r="D69" s="145" t="str">
        <f aca="false">IF(despesavariávelconsolidadodez[[#This Row],[TOTAL]]=0,"",IF(OR(despesavariávelconsolidadodez[[#This Row],[TOTAL]]=LARGE($AJ$60:$AJ$72,1),despesavariávelconsolidadodez[[#This Row],[TOTAL]]=LARGE($AJ$60:$AJ$72,2),despesavariávelconsolidadodez[[#This Row],[TOTAL]]=LARGE($AJ$60:$AJ$72,3),despesavariávelconsolidadodez[[#This Row],[TOTAL]]=LARGE($AJ$60:$AJ$72,4),despesavariávelconsolidadodez[[#This Row],[TOTAL]]=LARGE($AJ$60:$AJ$72,5)),DADOS!$I$8,""))</f>
        <v/>
      </c>
      <c r="E69" s="148" t="n">
        <f aca="false">SUMIFS(tabela_registros[VALOR],tabela_registros[MÊS],$AE$1,tabela_registros[DIA],deztotal3059718395107119131143155167[[#Headers],[1]],tabela_registros[REGISTRO],DADOS!$N$4,tabela_registros[TIPO],DADOS!$P$4,tabela_registros[CATEGORIA],despesavariávelconsolidadodez[[#This Row],[DESPESA VARIÁVEL]])</f>
        <v>0</v>
      </c>
      <c r="F69" s="119" t="n">
        <f aca="false">SUMIFS(tabela_registros[VALOR],tabela_registros[MÊS],$AE$1,tabela_registros[DIA],deztotal3059718395107119131143155167[[#Headers],[2]],tabela_registros[REGISTRO],DADOS!$N$4,tabela_registros[TIPO],DADOS!$P$4,tabela_registros[CATEGORIA],despesavariávelconsolidadodez[[#This Row],[DESPESA VARIÁVEL]])</f>
        <v>0</v>
      </c>
      <c r="G69" s="119" t="n">
        <f aca="false">SUMIFS(tabela_registros[VALOR],tabela_registros[MÊS],$AE$1,tabela_registros[DIA],deztotal3059718395107119131143155167[[#Headers],[3]],tabela_registros[REGISTRO],DADOS!$N$4,tabela_registros[TIPO],DADOS!$P$4,tabela_registros[CATEGORIA],despesavariávelconsolidadodez[[#This Row],[DESPESA VARIÁVEL]])</f>
        <v>0</v>
      </c>
      <c r="H69" s="119" t="n">
        <f aca="false">SUMIFS(tabela_registros[VALOR],tabela_registros[MÊS],$AE$1,tabela_registros[DIA],deztotal3059718395107119131143155167[[#Headers],[4]],tabela_registros[REGISTRO],DADOS!$N$4,tabela_registros[TIPO],DADOS!$P$4,tabela_registros[CATEGORIA],despesavariávelconsolidadodez[[#This Row],[DESPESA VARIÁVEL]])</f>
        <v>0</v>
      </c>
      <c r="I69" s="119" t="n">
        <f aca="false">SUMIFS(tabela_registros[VALOR],tabela_registros[MÊS],$AE$1,tabela_registros[DIA],deztotal3059718395107119131143155167[[#Headers],[5]],tabela_registros[REGISTRO],DADOS!$N$4,tabela_registros[TIPO],DADOS!$P$4,tabela_registros[CATEGORIA],despesavariávelconsolidadodez[[#This Row],[DESPESA VARIÁVEL]])</f>
        <v>0</v>
      </c>
      <c r="J69" s="119" t="n">
        <f aca="false">SUMIFS(tabela_registros[VALOR],tabela_registros[MÊS],$AE$1,tabela_registros[DIA],deztotal3059718395107119131143155167[[#Headers],[6]],tabela_registros[REGISTRO],DADOS!$N$4,tabela_registros[TIPO],DADOS!$P$4,tabela_registros[CATEGORIA],despesavariávelconsolidadodez[[#This Row],[DESPESA VARIÁVEL]])</f>
        <v>0</v>
      </c>
      <c r="K69" s="119" t="n">
        <f aca="false">SUMIFS(tabela_registros[VALOR],tabela_registros[MÊS],$AE$1,tabela_registros[DIA],deztotal3059718395107119131143155167[[#Headers],[7]],tabela_registros[REGISTRO],DADOS!$N$4,tabela_registros[TIPO],DADOS!$P$4,tabela_registros[CATEGORIA],despesavariávelconsolidadodez[[#This Row],[DESPESA VARIÁVEL]])</f>
        <v>0</v>
      </c>
      <c r="L69" s="119" t="n">
        <f aca="false">SUMIFS(tabela_registros[VALOR],tabela_registros[MÊS],$AE$1,tabela_registros[DIA],deztotal3059718395107119131143155167[[#Headers],[8]],tabela_registros[REGISTRO],DADOS!$N$4,tabela_registros[TIPO],DADOS!$P$4,tabela_registros[CATEGORIA],despesavariávelconsolidadodez[[#This Row],[DESPESA VARIÁVEL]])</f>
        <v>0</v>
      </c>
      <c r="M69" s="119" t="n">
        <f aca="false">SUMIFS(tabela_registros[VALOR],tabela_registros[MÊS],$AE$1,tabela_registros[DIA],deztotal3059718395107119131143155167[[#Headers],[9]],tabela_registros[REGISTRO],DADOS!$N$4,tabela_registros[TIPO],DADOS!$P$4,tabela_registros[CATEGORIA],despesavariávelconsolidadodez[[#This Row],[DESPESA VARIÁVEL]])</f>
        <v>0</v>
      </c>
      <c r="N69" s="119" t="n">
        <f aca="false">SUMIFS(tabela_registros[VALOR],tabela_registros[MÊS],$AE$1,tabela_registros[DIA],deztotal3059718395107119131143155167[[#Headers],[10]],tabela_registros[REGISTRO],DADOS!$N$4,tabela_registros[TIPO],DADOS!$P$4,tabela_registros[CATEGORIA],despesavariávelconsolidadodez[[#This Row],[DESPESA VARIÁVEL]])</f>
        <v>0</v>
      </c>
      <c r="O69" s="119" t="n">
        <f aca="false">SUMIFS(tabela_registros[VALOR],tabela_registros[MÊS],$AE$1,tabela_registros[DIA],deztotal3059718395107119131143155167[[#Headers],[11]],tabela_registros[REGISTRO],DADOS!$N$4,tabela_registros[TIPO],DADOS!$P$4,tabela_registros[CATEGORIA],despesavariávelconsolidadodez[[#This Row],[DESPESA VARIÁVEL]])</f>
        <v>0</v>
      </c>
      <c r="P69" s="119" t="n">
        <f aca="false">SUMIFS(tabela_registros[VALOR],tabela_registros[MÊS],$AE$1,tabela_registros[DIA],deztotal3059718395107119131143155167[[#Headers],[12]],tabela_registros[REGISTRO],DADOS!$N$4,tabela_registros[TIPO],DADOS!$P$4,tabela_registros[CATEGORIA],despesavariávelconsolidadodez[[#This Row],[DESPESA VARIÁVEL]])</f>
        <v>0</v>
      </c>
      <c r="Q69" s="119" t="n">
        <f aca="false">SUMIFS(tabela_registros[VALOR],tabela_registros[MÊS],$AE$1,tabela_registros[DIA],deztotal3059718395107119131143155167[[#Headers],[13]],tabela_registros[REGISTRO],DADOS!$N$4,tabela_registros[TIPO],DADOS!$P$4,tabela_registros[CATEGORIA],despesavariávelconsolidadodez[[#This Row],[DESPESA VARIÁVEL]])</f>
        <v>0</v>
      </c>
      <c r="R69" s="119" t="n">
        <f aca="false">SUMIFS(tabela_registros[VALOR],tabela_registros[MÊS],$AE$1,tabela_registros[DIA],deztotal3059718395107119131143155167[[#Headers],[14]],tabela_registros[REGISTRO],DADOS!$N$4,tabela_registros[TIPO],DADOS!$P$4,tabela_registros[CATEGORIA],despesavariávelconsolidadodez[[#This Row],[DESPESA VARIÁVEL]])</f>
        <v>0</v>
      </c>
      <c r="S69" s="119" t="n">
        <f aca="false">SUMIFS(tabela_registros[VALOR],tabela_registros[MÊS],$AE$1,tabela_registros[DIA],deztotal3059718395107119131143155167[[#Headers],[15]],tabela_registros[REGISTRO],DADOS!$N$4,tabela_registros[TIPO],DADOS!$P$4,tabela_registros[CATEGORIA],despesavariávelconsolidadodez[[#This Row],[DESPESA VARIÁVEL]])</f>
        <v>0</v>
      </c>
      <c r="T69" s="119" t="n">
        <f aca="false">SUMIFS(tabela_registros[VALOR],tabela_registros[MÊS],$AE$1,tabela_registros[DIA],deztotal3059718395107119131143155167[[#Headers],[16]],tabela_registros[REGISTRO],DADOS!$N$4,tabela_registros[TIPO],DADOS!$P$4,tabela_registros[CATEGORIA],despesavariávelconsolidadodez[[#This Row],[DESPESA VARIÁVEL]])</f>
        <v>0</v>
      </c>
      <c r="U69" s="119" t="n">
        <f aca="false">SUMIFS(tabela_registros[VALOR],tabela_registros[MÊS],$AE$1,tabela_registros[DIA],deztotal3059718395107119131143155167[[#Headers],[17]],tabela_registros[REGISTRO],DADOS!$N$4,tabela_registros[TIPO],DADOS!$P$4,tabela_registros[CATEGORIA],despesavariávelconsolidadodez[[#This Row],[DESPESA VARIÁVEL]])</f>
        <v>0</v>
      </c>
      <c r="V69" s="119" t="n">
        <f aca="false">SUMIFS(tabela_registros[VALOR],tabela_registros[MÊS],$AE$1,tabela_registros[DIA],deztotal3059718395107119131143155167[[#Headers],[18]],tabela_registros[REGISTRO],DADOS!$N$4,tabela_registros[TIPO],DADOS!$P$4,tabela_registros[CATEGORIA],despesavariávelconsolidadodez[[#This Row],[DESPESA VARIÁVEL]])</f>
        <v>0</v>
      </c>
      <c r="W69" s="119" t="n">
        <f aca="false">SUMIFS(tabela_registros[VALOR],tabela_registros[MÊS],$AE$1,tabela_registros[DIA],deztotal3059718395107119131143155167[[#Headers],[19]],tabela_registros[REGISTRO],DADOS!$N$4,tabela_registros[TIPO],DADOS!$P$4,tabela_registros[CATEGORIA],despesavariávelconsolidadodez[[#This Row],[DESPESA VARIÁVEL]])</f>
        <v>0</v>
      </c>
      <c r="X69" s="119" t="n">
        <f aca="false">SUMIFS(tabela_registros[VALOR],tabela_registros[MÊS],$AE$1,tabela_registros[DIA],deztotal3059718395107119131143155167[[#Headers],[20]],tabela_registros[REGISTRO],DADOS!$N$4,tabela_registros[TIPO],DADOS!$P$4,tabela_registros[CATEGORIA],despesavariávelconsolidadodez[[#This Row],[DESPESA VARIÁVEL]])</f>
        <v>0</v>
      </c>
      <c r="Y69" s="119" t="n">
        <f aca="false">SUMIFS(tabela_registros[VALOR],tabela_registros[MÊS],$AE$1,tabela_registros[DIA],deztotal3059718395107119131143155167[[#Headers],[21]],tabela_registros[REGISTRO],DADOS!$N$4,tabela_registros[TIPO],DADOS!$P$4,tabela_registros[CATEGORIA],despesavariávelconsolidadodez[[#This Row],[DESPESA VARIÁVEL]])</f>
        <v>0</v>
      </c>
      <c r="Z69" s="119" t="n">
        <f aca="false">SUMIFS(tabela_registros[VALOR],tabela_registros[MÊS],$AE$1,tabela_registros[DIA],deztotal3059718395107119131143155167[[#Headers],[22]],tabela_registros[REGISTRO],DADOS!$N$4,tabela_registros[TIPO],DADOS!$P$4,tabela_registros[CATEGORIA],despesavariávelconsolidadodez[[#This Row],[DESPESA VARIÁVEL]])</f>
        <v>0</v>
      </c>
      <c r="AA69" s="119" t="n">
        <f aca="false">SUMIFS(tabela_registros[VALOR],tabela_registros[MÊS],$AE$1,tabela_registros[DIA],deztotal3059718395107119131143155167[[#Headers],[23]],tabela_registros[REGISTRO],DADOS!$N$4,tabela_registros[TIPO],DADOS!$P$4,tabela_registros[CATEGORIA],despesavariávelconsolidadodez[[#This Row],[DESPESA VARIÁVEL]])</f>
        <v>0</v>
      </c>
      <c r="AB69" s="119" t="n">
        <f aca="false">SUMIFS(tabela_registros[VALOR],tabela_registros[MÊS],$AE$1,tabela_registros[DIA],deztotal3059718395107119131143155167[[#Headers],[24]],tabela_registros[REGISTRO],DADOS!$N$4,tabela_registros[TIPO],DADOS!$P$4,tabela_registros[CATEGORIA],despesavariávelconsolidadodez[[#This Row],[DESPESA VARIÁVEL]])</f>
        <v>0</v>
      </c>
      <c r="AC69" s="119" t="n">
        <f aca="false">SUMIFS(tabela_registros[VALOR],tabela_registros[MÊS],$AE$1,tabela_registros[DIA],deztotal3059718395107119131143155167[[#Headers],[25]],tabela_registros[REGISTRO],DADOS!$N$4,tabela_registros[TIPO],DADOS!$P$4,tabela_registros[CATEGORIA],despesavariávelconsolidadodez[[#This Row],[DESPESA VARIÁVEL]])</f>
        <v>0</v>
      </c>
      <c r="AD69" s="119" t="n">
        <f aca="false">SUMIFS(tabela_registros[VALOR],tabela_registros[MÊS],$AE$1,tabela_registros[DIA],deztotal3059718395107119131143155167[[#Headers],[26]],tabela_registros[REGISTRO],DADOS!$N$4,tabela_registros[TIPO],DADOS!$P$4,tabela_registros[CATEGORIA],despesavariávelconsolidadodez[[#This Row],[DESPESA VARIÁVEL]])</f>
        <v>0</v>
      </c>
      <c r="AE69" s="119" t="n">
        <f aca="false">SUMIFS(tabela_registros[VALOR],tabela_registros[MÊS],$AE$1,tabela_registros[DIA],deztotal3059718395107119131143155167[[#Headers],[27]],tabela_registros[REGISTRO],DADOS!$N$4,tabela_registros[TIPO],DADOS!$P$4,tabela_registros[CATEGORIA],despesavariávelconsolidadodez[[#This Row],[DESPESA VARIÁVEL]])</f>
        <v>0</v>
      </c>
      <c r="AF69" s="119" t="n">
        <f aca="false">SUMIFS(tabela_registros[VALOR],tabela_registros[MÊS],$AE$1,tabela_registros[DIA],deztotal3059718395107119131143155167[[#Headers],[28]],tabela_registros[REGISTRO],DADOS!$N$4,tabela_registros[TIPO],DADOS!$P$4,tabela_registros[CATEGORIA],despesavariávelconsolidadodez[[#This Row],[DESPESA VARIÁVEL]])</f>
        <v>0</v>
      </c>
      <c r="AG69" s="119" t="n">
        <f aca="false">SUMIFS(tabela_registros[VALOR],tabela_registros[MÊS],$AE$1,tabela_registros[DIA],deztotal3059718395107119131143155167[[#Headers],[29]],tabela_registros[REGISTRO],DADOS!$N$4,tabela_registros[TIPO],DADOS!$P$4,tabela_registros[CATEGORIA],despesavariávelconsolidadodez[[#This Row],[DESPESA VARIÁVEL]])</f>
        <v>0</v>
      </c>
      <c r="AH69" s="119" t="n">
        <f aca="false">SUMIFS(tabela_registros[VALOR],tabela_registros[MÊS],$AE$1,tabela_registros[DIA],deztotal3059718395107119131143155167[[#Headers],[30]],tabela_registros[REGISTRO],DADOS!$N$4,tabela_registros[TIPO],DADOS!$P$4,tabela_registros[CATEGORIA],despesavariávelconsolidadodez[[#This Row],[DESPESA VARIÁVEL]])</f>
        <v>0</v>
      </c>
      <c r="AI69" s="217" t="n">
        <f aca="false">SUMIFS(tabela_registros[VALOR],tabela_registros[MÊS],$AE$1,tabela_registros[DIA],deztotal3059718395107119131143155167[[#Headers],[31]],tabela_registros[REGISTRO],DADOS!$N$4,tabela_registros[TIPO],DADOS!$P$4,tabela_registros[CATEGORIA],despesavariávelconsolidadodez[[#This Row],[DESPESA VARIÁVEL]])</f>
        <v>0</v>
      </c>
      <c r="AJ69" s="149" t="n">
        <f aca="false">SUM(despesavariávelconsolidadodez[[#This Row],[1]:[31]])</f>
        <v>0</v>
      </c>
      <c r="AK69" s="143"/>
    </row>
    <row r="70" customFormat="false" ht="18" hidden="false" customHeight="true" outlineLevel="0" collapsed="false">
      <c r="B70" s="143"/>
      <c r="C70" s="144" t="str">
        <f aca="false">DADOS!$T$13</f>
        <v>🚍 TRANSPORTE</v>
      </c>
      <c r="D70" s="145" t="str">
        <f aca="false">IF(despesavariávelconsolidadodez[[#This Row],[TOTAL]]=0,"",IF(OR(despesavariávelconsolidadodez[[#This Row],[TOTAL]]=LARGE($AJ$60:$AJ$72,1),despesavariávelconsolidadodez[[#This Row],[TOTAL]]=LARGE($AJ$60:$AJ$72,2),despesavariávelconsolidadodez[[#This Row],[TOTAL]]=LARGE($AJ$60:$AJ$72,3),despesavariávelconsolidadodez[[#This Row],[TOTAL]]=LARGE($AJ$60:$AJ$72,4),despesavariávelconsolidadodez[[#This Row],[TOTAL]]=LARGE($AJ$60:$AJ$72,5)),DADOS!$I$8,""))</f>
        <v/>
      </c>
      <c r="E70" s="148" t="n">
        <f aca="false">SUMIFS(tabela_registros[VALOR],tabela_registros[MÊS],$AE$1,tabela_registros[DIA],deztotal3059718395107119131143155167[[#Headers],[1]],tabela_registros[REGISTRO],DADOS!$N$4,tabela_registros[TIPO],DADOS!$P$4,tabela_registros[CATEGORIA],despesavariávelconsolidadodez[[#This Row],[DESPESA VARIÁVEL]])</f>
        <v>0</v>
      </c>
      <c r="F70" s="119" t="n">
        <f aca="false">SUMIFS(tabela_registros[VALOR],tabela_registros[MÊS],$AE$1,tabela_registros[DIA],deztotal3059718395107119131143155167[[#Headers],[2]],tabela_registros[REGISTRO],DADOS!$N$4,tabela_registros[TIPO],DADOS!$P$4,tabela_registros[CATEGORIA],despesavariávelconsolidadodez[[#This Row],[DESPESA VARIÁVEL]])</f>
        <v>0</v>
      </c>
      <c r="G70" s="119" t="n">
        <f aca="false">SUMIFS(tabela_registros[VALOR],tabela_registros[MÊS],$AE$1,tabela_registros[DIA],deztotal3059718395107119131143155167[[#Headers],[3]],tabela_registros[REGISTRO],DADOS!$N$4,tabela_registros[TIPO],DADOS!$P$4,tabela_registros[CATEGORIA],despesavariávelconsolidadodez[[#This Row],[DESPESA VARIÁVEL]])</f>
        <v>0</v>
      </c>
      <c r="H70" s="119" t="n">
        <f aca="false">SUMIFS(tabela_registros[VALOR],tabela_registros[MÊS],$AE$1,tabela_registros[DIA],deztotal3059718395107119131143155167[[#Headers],[4]],tabela_registros[REGISTRO],DADOS!$N$4,tabela_registros[TIPO],DADOS!$P$4,tabela_registros[CATEGORIA],despesavariávelconsolidadodez[[#This Row],[DESPESA VARIÁVEL]])</f>
        <v>0</v>
      </c>
      <c r="I70" s="119" t="n">
        <f aca="false">SUMIFS(tabela_registros[VALOR],tabela_registros[MÊS],$AE$1,tabela_registros[DIA],deztotal3059718395107119131143155167[[#Headers],[5]],tabela_registros[REGISTRO],DADOS!$N$4,tabela_registros[TIPO],DADOS!$P$4,tabela_registros[CATEGORIA],despesavariávelconsolidadodez[[#This Row],[DESPESA VARIÁVEL]])</f>
        <v>0</v>
      </c>
      <c r="J70" s="119" t="n">
        <f aca="false">SUMIFS(tabela_registros[VALOR],tabela_registros[MÊS],$AE$1,tabela_registros[DIA],deztotal3059718395107119131143155167[[#Headers],[6]],tabela_registros[REGISTRO],DADOS!$N$4,tabela_registros[TIPO],DADOS!$P$4,tabela_registros[CATEGORIA],despesavariávelconsolidadodez[[#This Row],[DESPESA VARIÁVEL]])</f>
        <v>0</v>
      </c>
      <c r="K70" s="119" t="n">
        <f aca="false">SUMIFS(tabela_registros[VALOR],tabela_registros[MÊS],$AE$1,tabela_registros[DIA],deztotal3059718395107119131143155167[[#Headers],[7]],tabela_registros[REGISTRO],DADOS!$N$4,tabela_registros[TIPO],DADOS!$P$4,tabela_registros[CATEGORIA],despesavariávelconsolidadodez[[#This Row],[DESPESA VARIÁVEL]])</f>
        <v>0</v>
      </c>
      <c r="L70" s="119" t="n">
        <f aca="false">SUMIFS(tabela_registros[VALOR],tabela_registros[MÊS],$AE$1,tabela_registros[DIA],deztotal3059718395107119131143155167[[#Headers],[8]],tabela_registros[REGISTRO],DADOS!$N$4,tabela_registros[TIPO],DADOS!$P$4,tabela_registros[CATEGORIA],despesavariávelconsolidadodez[[#This Row],[DESPESA VARIÁVEL]])</f>
        <v>0</v>
      </c>
      <c r="M70" s="119" t="n">
        <f aca="false">SUMIFS(tabela_registros[VALOR],tabela_registros[MÊS],$AE$1,tabela_registros[DIA],deztotal3059718395107119131143155167[[#Headers],[9]],tabela_registros[REGISTRO],DADOS!$N$4,tabela_registros[TIPO],DADOS!$P$4,tabela_registros[CATEGORIA],despesavariávelconsolidadodez[[#This Row],[DESPESA VARIÁVEL]])</f>
        <v>0</v>
      </c>
      <c r="N70" s="119" t="n">
        <f aca="false">SUMIFS(tabela_registros[VALOR],tabela_registros[MÊS],$AE$1,tabela_registros[DIA],deztotal3059718395107119131143155167[[#Headers],[10]],tabela_registros[REGISTRO],DADOS!$N$4,tabela_registros[TIPO],DADOS!$P$4,tabela_registros[CATEGORIA],despesavariávelconsolidadodez[[#This Row],[DESPESA VARIÁVEL]])</f>
        <v>0</v>
      </c>
      <c r="O70" s="119" t="n">
        <f aca="false">SUMIFS(tabela_registros[VALOR],tabela_registros[MÊS],$AE$1,tabela_registros[DIA],deztotal3059718395107119131143155167[[#Headers],[11]],tabela_registros[REGISTRO],DADOS!$N$4,tabela_registros[TIPO],DADOS!$P$4,tabela_registros[CATEGORIA],despesavariávelconsolidadodez[[#This Row],[DESPESA VARIÁVEL]])</f>
        <v>0</v>
      </c>
      <c r="P70" s="119" t="n">
        <f aca="false">SUMIFS(tabela_registros[VALOR],tabela_registros[MÊS],$AE$1,tabela_registros[DIA],deztotal3059718395107119131143155167[[#Headers],[12]],tabela_registros[REGISTRO],DADOS!$N$4,tabela_registros[TIPO],DADOS!$P$4,tabela_registros[CATEGORIA],despesavariávelconsolidadodez[[#This Row],[DESPESA VARIÁVEL]])</f>
        <v>0</v>
      </c>
      <c r="Q70" s="119" t="n">
        <f aca="false">SUMIFS(tabela_registros[VALOR],tabela_registros[MÊS],$AE$1,tabela_registros[DIA],deztotal3059718395107119131143155167[[#Headers],[13]],tabela_registros[REGISTRO],DADOS!$N$4,tabela_registros[TIPO],DADOS!$P$4,tabela_registros[CATEGORIA],despesavariávelconsolidadodez[[#This Row],[DESPESA VARIÁVEL]])</f>
        <v>0</v>
      </c>
      <c r="R70" s="119" t="n">
        <f aca="false">SUMIFS(tabela_registros[VALOR],tabela_registros[MÊS],$AE$1,tabela_registros[DIA],deztotal3059718395107119131143155167[[#Headers],[14]],tabela_registros[REGISTRO],DADOS!$N$4,tabela_registros[TIPO],DADOS!$P$4,tabela_registros[CATEGORIA],despesavariávelconsolidadodez[[#This Row],[DESPESA VARIÁVEL]])</f>
        <v>0</v>
      </c>
      <c r="S70" s="119" t="n">
        <f aca="false">SUMIFS(tabela_registros[VALOR],tabela_registros[MÊS],$AE$1,tabela_registros[DIA],deztotal3059718395107119131143155167[[#Headers],[15]],tabela_registros[REGISTRO],DADOS!$N$4,tabela_registros[TIPO],DADOS!$P$4,tabela_registros[CATEGORIA],despesavariávelconsolidadodez[[#This Row],[DESPESA VARIÁVEL]])</f>
        <v>0</v>
      </c>
      <c r="T70" s="119" t="n">
        <f aca="false">SUMIFS(tabela_registros[VALOR],tabela_registros[MÊS],$AE$1,tabela_registros[DIA],deztotal3059718395107119131143155167[[#Headers],[16]],tabela_registros[REGISTRO],DADOS!$N$4,tabela_registros[TIPO],DADOS!$P$4,tabela_registros[CATEGORIA],despesavariávelconsolidadodez[[#This Row],[DESPESA VARIÁVEL]])</f>
        <v>0</v>
      </c>
      <c r="U70" s="119" t="n">
        <f aca="false">SUMIFS(tabela_registros[VALOR],tabela_registros[MÊS],$AE$1,tabela_registros[DIA],deztotal3059718395107119131143155167[[#Headers],[17]],tabela_registros[REGISTRO],DADOS!$N$4,tabela_registros[TIPO],DADOS!$P$4,tabela_registros[CATEGORIA],despesavariávelconsolidadodez[[#This Row],[DESPESA VARIÁVEL]])</f>
        <v>0</v>
      </c>
      <c r="V70" s="119" t="n">
        <f aca="false">SUMIFS(tabela_registros[VALOR],tabela_registros[MÊS],$AE$1,tabela_registros[DIA],deztotal3059718395107119131143155167[[#Headers],[18]],tabela_registros[REGISTRO],DADOS!$N$4,tabela_registros[TIPO],DADOS!$P$4,tabela_registros[CATEGORIA],despesavariávelconsolidadodez[[#This Row],[DESPESA VARIÁVEL]])</f>
        <v>0</v>
      </c>
      <c r="W70" s="119" t="n">
        <f aca="false">SUMIFS(tabela_registros[VALOR],tabela_registros[MÊS],$AE$1,tabela_registros[DIA],deztotal3059718395107119131143155167[[#Headers],[19]],tabela_registros[REGISTRO],DADOS!$N$4,tabela_registros[TIPO],DADOS!$P$4,tabela_registros[CATEGORIA],despesavariávelconsolidadodez[[#This Row],[DESPESA VARIÁVEL]])</f>
        <v>0</v>
      </c>
      <c r="X70" s="119" t="n">
        <f aca="false">SUMIFS(tabela_registros[VALOR],tabela_registros[MÊS],$AE$1,tabela_registros[DIA],deztotal3059718395107119131143155167[[#Headers],[20]],tabela_registros[REGISTRO],DADOS!$N$4,tabela_registros[TIPO],DADOS!$P$4,tabela_registros[CATEGORIA],despesavariávelconsolidadodez[[#This Row],[DESPESA VARIÁVEL]])</f>
        <v>0</v>
      </c>
      <c r="Y70" s="119" t="n">
        <f aca="false">SUMIFS(tabela_registros[VALOR],tabela_registros[MÊS],$AE$1,tabela_registros[DIA],deztotal3059718395107119131143155167[[#Headers],[21]],tabela_registros[REGISTRO],DADOS!$N$4,tabela_registros[TIPO],DADOS!$P$4,tabela_registros[CATEGORIA],despesavariávelconsolidadodez[[#This Row],[DESPESA VARIÁVEL]])</f>
        <v>0</v>
      </c>
      <c r="Z70" s="119" t="n">
        <f aca="false">SUMIFS(tabela_registros[VALOR],tabela_registros[MÊS],$AE$1,tabela_registros[DIA],deztotal3059718395107119131143155167[[#Headers],[22]],tabela_registros[REGISTRO],DADOS!$N$4,tabela_registros[TIPO],DADOS!$P$4,tabela_registros[CATEGORIA],despesavariávelconsolidadodez[[#This Row],[DESPESA VARIÁVEL]])</f>
        <v>0</v>
      </c>
      <c r="AA70" s="119" t="n">
        <f aca="false">SUMIFS(tabela_registros[VALOR],tabela_registros[MÊS],$AE$1,tabela_registros[DIA],deztotal3059718395107119131143155167[[#Headers],[23]],tabela_registros[REGISTRO],DADOS!$N$4,tabela_registros[TIPO],DADOS!$P$4,tabela_registros[CATEGORIA],despesavariávelconsolidadodez[[#This Row],[DESPESA VARIÁVEL]])</f>
        <v>0</v>
      </c>
      <c r="AB70" s="119" t="n">
        <f aca="false">SUMIFS(tabela_registros[VALOR],tabela_registros[MÊS],$AE$1,tabela_registros[DIA],deztotal3059718395107119131143155167[[#Headers],[24]],tabela_registros[REGISTRO],DADOS!$N$4,tabela_registros[TIPO],DADOS!$P$4,tabela_registros[CATEGORIA],despesavariávelconsolidadodez[[#This Row],[DESPESA VARIÁVEL]])</f>
        <v>0</v>
      </c>
      <c r="AC70" s="119" t="n">
        <f aca="false">SUMIFS(tabela_registros[VALOR],tabela_registros[MÊS],$AE$1,tabela_registros[DIA],deztotal3059718395107119131143155167[[#Headers],[25]],tabela_registros[REGISTRO],DADOS!$N$4,tabela_registros[TIPO],DADOS!$P$4,tabela_registros[CATEGORIA],despesavariávelconsolidadodez[[#This Row],[DESPESA VARIÁVEL]])</f>
        <v>0</v>
      </c>
      <c r="AD70" s="119" t="n">
        <f aca="false">SUMIFS(tabela_registros[VALOR],tabela_registros[MÊS],$AE$1,tabela_registros[DIA],deztotal3059718395107119131143155167[[#Headers],[26]],tabela_registros[REGISTRO],DADOS!$N$4,tabela_registros[TIPO],DADOS!$P$4,tabela_registros[CATEGORIA],despesavariávelconsolidadodez[[#This Row],[DESPESA VARIÁVEL]])</f>
        <v>0</v>
      </c>
      <c r="AE70" s="119" t="n">
        <f aca="false">SUMIFS(tabela_registros[VALOR],tabela_registros[MÊS],$AE$1,tabela_registros[DIA],deztotal3059718395107119131143155167[[#Headers],[27]],tabela_registros[REGISTRO],DADOS!$N$4,tabela_registros[TIPO],DADOS!$P$4,tabela_registros[CATEGORIA],despesavariávelconsolidadodez[[#This Row],[DESPESA VARIÁVEL]])</f>
        <v>0</v>
      </c>
      <c r="AF70" s="119" t="n">
        <f aca="false">SUMIFS(tabela_registros[VALOR],tabela_registros[MÊS],$AE$1,tabela_registros[DIA],deztotal3059718395107119131143155167[[#Headers],[28]],tabela_registros[REGISTRO],DADOS!$N$4,tabela_registros[TIPO],DADOS!$P$4,tabela_registros[CATEGORIA],despesavariávelconsolidadodez[[#This Row],[DESPESA VARIÁVEL]])</f>
        <v>0</v>
      </c>
      <c r="AG70" s="119" t="n">
        <f aca="false">SUMIFS(tabela_registros[VALOR],tabela_registros[MÊS],$AE$1,tabela_registros[DIA],deztotal3059718395107119131143155167[[#Headers],[29]],tabela_registros[REGISTRO],DADOS!$N$4,tabela_registros[TIPO],DADOS!$P$4,tabela_registros[CATEGORIA],despesavariávelconsolidadodez[[#This Row],[DESPESA VARIÁVEL]])</f>
        <v>0</v>
      </c>
      <c r="AH70" s="119" t="n">
        <f aca="false">SUMIFS(tabela_registros[VALOR],tabela_registros[MÊS],$AE$1,tabela_registros[DIA],deztotal3059718395107119131143155167[[#Headers],[30]],tabela_registros[REGISTRO],DADOS!$N$4,tabela_registros[TIPO],DADOS!$P$4,tabela_registros[CATEGORIA],despesavariávelconsolidadodez[[#This Row],[DESPESA VARIÁVEL]])</f>
        <v>0</v>
      </c>
      <c r="AI70" s="217" t="n">
        <f aca="false">SUMIFS(tabela_registros[VALOR],tabela_registros[MÊS],$AE$1,tabela_registros[DIA],deztotal3059718395107119131143155167[[#Headers],[31]],tabela_registros[REGISTRO],DADOS!$N$4,tabela_registros[TIPO],DADOS!$P$4,tabela_registros[CATEGORIA],despesavariávelconsolidadodez[[#This Row],[DESPESA VARIÁVEL]])</f>
        <v>0</v>
      </c>
      <c r="AJ70" s="149" t="n">
        <f aca="false">SUM(despesavariávelconsolidadodez[[#This Row],[1]:[31]])</f>
        <v>0</v>
      </c>
      <c r="AK70" s="143"/>
    </row>
    <row r="71" customFormat="false" ht="18" hidden="false" customHeight="true" outlineLevel="0" collapsed="false">
      <c r="B71" s="143"/>
      <c r="C71" s="144" t="str">
        <f aca="false">DADOS!$T$14</f>
        <v>🛍️ VESTUÁRIO</v>
      </c>
      <c r="D71" s="145" t="str">
        <f aca="false">IF(despesavariávelconsolidadodez[[#This Row],[TOTAL]]=0,"",IF(OR(despesavariávelconsolidadodez[[#This Row],[TOTAL]]=LARGE($AJ$60:$AJ$72,1),despesavariávelconsolidadodez[[#This Row],[TOTAL]]=LARGE($AJ$60:$AJ$72,2),despesavariávelconsolidadodez[[#This Row],[TOTAL]]=LARGE($AJ$60:$AJ$72,3),despesavariávelconsolidadodez[[#This Row],[TOTAL]]=LARGE($AJ$60:$AJ$72,4),despesavariávelconsolidadodez[[#This Row],[TOTAL]]=LARGE($AJ$60:$AJ$72,5)),DADOS!$I$8,""))</f>
        <v/>
      </c>
      <c r="E71" s="148" t="n">
        <f aca="false">SUMIFS(tabela_registros[VALOR],tabela_registros[MÊS],$AE$1,tabela_registros[DIA],deztotal3059718395107119131143155167[[#Headers],[1]],tabela_registros[REGISTRO],DADOS!$N$4,tabela_registros[TIPO],DADOS!$P$4,tabela_registros[CATEGORIA],despesavariávelconsolidadodez[[#This Row],[DESPESA VARIÁVEL]])</f>
        <v>0</v>
      </c>
      <c r="F71" s="119" t="n">
        <f aca="false">SUMIFS(tabela_registros[VALOR],tabela_registros[MÊS],$AE$1,tabela_registros[DIA],deztotal3059718395107119131143155167[[#Headers],[2]],tabela_registros[REGISTRO],DADOS!$N$4,tabela_registros[TIPO],DADOS!$P$4,tabela_registros[CATEGORIA],despesavariávelconsolidadodez[[#This Row],[DESPESA VARIÁVEL]])</f>
        <v>0</v>
      </c>
      <c r="G71" s="119" t="n">
        <f aca="false">SUMIFS(tabela_registros[VALOR],tabela_registros[MÊS],$AE$1,tabela_registros[DIA],deztotal3059718395107119131143155167[[#Headers],[3]],tabela_registros[REGISTRO],DADOS!$N$4,tabela_registros[TIPO],DADOS!$P$4,tabela_registros[CATEGORIA],despesavariávelconsolidadodez[[#This Row],[DESPESA VARIÁVEL]])</f>
        <v>0</v>
      </c>
      <c r="H71" s="119" t="n">
        <f aca="false">SUMIFS(tabela_registros[VALOR],tabela_registros[MÊS],$AE$1,tabela_registros[DIA],deztotal3059718395107119131143155167[[#Headers],[4]],tabela_registros[REGISTRO],DADOS!$N$4,tabela_registros[TIPO],DADOS!$P$4,tabela_registros[CATEGORIA],despesavariávelconsolidadodez[[#This Row],[DESPESA VARIÁVEL]])</f>
        <v>0</v>
      </c>
      <c r="I71" s="119" t="n">
        <f aca="false">SUMIFS(tabela_registros[VALOR],tabela_registros[MÊS],$AE$1,tabela_registros[DIA],deztotal3059718395107119131143155167[[#Headers],[5]],tabela_registros[REGISTRO],DADOS!$N$4,tabela_registros[TIPO],DADOS!$P$4,tabela_registros[CATEGORIA],despesavariávelconsolidadodez[[#This Row],[DESPESA VARIÁVEL]])</f>
        <v>0</v>
      </c>
      <c r="J71" s="119" t="n">
        <f aca="false">SUMIFS(tabela_registros[VALOR],tabela_registros[MÊS],$AE$1,tabela_registros[DIA],deztotal3059718395107119131143155167[[#Headers],[6]],tabela_registros[REGISTRO],DADOS!$N$4,tabela_registros[TIPO],DADOS!$P$4,tabela_registros[CATEGORIA],despesavariávelconsolidadodez[[#This Row],[DESPESA VARIÁVEL]])</f>
        <v>0</v>
      </c>
      <c r="K71" s="119" t="n">
        <f aca="false">SUMIFS(tabela_registros[VALOR],tabela_registros[MÊS],$AE$1,tabela_registros[DIA],deztotal3059718395107119131143155167[[#Headers],[7]],tabela_registros[REGISTRO],DADOS!$N$4,tabela_registros[TIPO],DADOS!$P$4,tabela_registros[CATEGORIA],despesavariávelconsolidadodez[[#This Row],[DESPESA VARIÁVEL]])</f>
        <v>0</v>
      </c>
      <c r="L71" s="119" t="n">
        <f aca="false">SUMIFS(tabela_registros[VALOR],tabela_registros[MÊS],$AE$1,tabela_registros[DIA],deztotal3059718395107119131143155167[[#Headers],[8]],tabela_registros[REGISTRO],DADOS!$N$4,tabela_registros[TIPO],DADOS!$P$4,tabela_registros[CATEGORIA],despesavariávelconsolidadodez[[#This Row],[DESPESA VARIÁVEL]])</f>
        <v>0</v>
      </c>
      <c r="M71" s="119" t="n">
        <f aca="false">SUMIFS(tabela_registros[VALOR],tabela_registros[MÊS],$AE$1,tabela_registros[DIA],deztotal3059718395107119131143155167[[#Headers],[9]],tabela_registros[REGISTRO],DADOS!$N$4,tabela_registros[TIPO],DADOS!$P$4,tabela_registros[CATEGORIA],despesavariávelconsolidadodez[[#This Row],[DESPESA VARIÁVEL]])</f>
        <v>0</v>
      </c>
      <c r="N71" s="119" t="n">
        <f aca="false">SUMIFS(tabela_registros[VALOR],tabela_registros[MÊS],$AE$1,tabela_registros[DIA],deztotal3059718395107119131143155167[[#Headers],[10]],tabela_registros[REGISTRO],DADOS!$N$4,tabela_registros[TIPO],DADOS!$P$4,tabela_registros[CATEGORIA],despesavariávelconsolidadodez[[#This Row],[DESPESA VARIÁVEL]])</f>
        <v>0</v>
      </c>
      <c r="O71" s="119" t="n">
        <f aca="false">SUMIFS(tabela_registros[VALOR],tabela_registros[MÊS],$AE$1,tabela_registros[DIA],deztotal3059718395107119131143155167[[#Headers],[11]],tabela_registros[REGISTRO],DADOS!$N$4,tabela_registros[TIPO],DADOS!$P$4,tabela_registros[CATEGORIA],despesavariávelconsolidadodez[[#This Row],[DESPESA VARIÁVEL]])</f>
        <v>0</v>
      </c>
      <c r="P71" s="119" t="n">
        <f aca="false">SUMIFS(tabela_registros[VALOR],tabela_registros[MÊS],$AE$1,tabela_registros[DIA],deztotal3059718395107119131143155167[[#Headers],[12]],tabela_registros[REGISTRO],DADOS!$N$4,tabela_registros[TIPO],DADOS!$P$4,tabela_registros[CATEGORIA],despesavariávelconsolidadodez[[#This Row],[DESPESA VARIÁVEL]])</f>
        <v>0</v>
      </c>
      <c r="Q71" s="119" t="n">
        <f aca="false">SUMIFS(tabela_registros[VALOR],tabela_registros[MÊS],$AE$1,tabela_registros[DIA],deztotal3059718395107119131143155167[[#Headers],[13]],tabela_registros[REGISTRO],DADOS!$N$4,tabela_registros[TIPO],DADOS!$P$4,tabela_registros[CATEGORIA],despesavariávelconsolidadodez[[#This Row],[DESPESA VARIÁVEL]])</f>
        <v>0</v>
      </c>
      <c r="R71" s="119" t="n">
        <f aca="false">SUMIFS(tabela_registros[VALOR],tabela_registros[MÊS],$AE$1,tabela_registros[DIA],deztotal3059718395107119131143155167[[#Headers],[14]],tabela_registros[REGISTRO],DADOS!$N$4,tabela_registros[TIPO],DADOS!$P$4,tabela_registros[CATEGORIA],despesavariávelconsolidadodez[[#This Row],[DESPESA VARIÁVEL]])</f>
        <v>0</v>
      </c>
      <c r="S71" s="119" t="n">
        <f aca="false">SUMIFS(tabela_registros[VALOR],tabela_registros[MÊS],$AE$1,tabela_registros[DIA],deztotal3059718395107119131143155167[[#Headers],[15]],tabela_registros[REGISTRO],DADOS!$N$4,tabela_registros[TIPO],DADOS!$P$4,tabela_registros[CATEGORIA],despesavariávelconsolidadodez[[#This Row],[DESPESA VARIÁVEL]])</f>
        <v>0</v>
      </c>
      <c r="T71" s="119" t="n">
        <f aca="false">SUMIFS(tabela_registros[VALOR],tabela_registros[MÊS],$AE$1,tabela_registros[DIA],deztotal3059718395107119131143155167[[#Headers],[16]],tabela_registros[REGISTRO],DADOS!$N$4,tabela_registros[TIPO],DADOS!$P$4,tabela_registros[CATEGORIA],despesavariávelconsolidadodez[[#This Row],[DESPESA VARIÁVEL]])</f>
        <v>0</v>
      </c>
      <c r="U71" s="119" t="n">
        <f aca="false">SUMIFS(tabela_registros[VALOR],tabela_registros[MÊS],$AE$1,tabela_registros[DIA],deztotal3059718395107119131143155167[[#Headers],[17]],tabela_registros[REGISTRO],DADOS!$N$4,tabela_registros[TIPO],DADOS!$P$4,tabela_registros[CATEGORIA],despesavariávelconsolidadodez[[#This Row],[DESPESA VARIÁVEL]])</f>
        <v>0</v>
      </c>
      <c r="V71" s="119" t="n">
        <f aca="false">SUMIFS(tabela_registros[VALOR],tabela_registros[MÊS],$AE$1,tabela_registros[DIA],deztotal3059718395107119131143155167[[#Headers],[18]],tabela_registros[REGISTRO],DADOS!$N$4,tabela_registros[TIPO],DADOS!$P$4,tabela_registros[CATEGORIA],despesavariávelconsolidadodez[[#This Row],[DESPESA VARIÁVEL]])</f>
        <v>0</v>
      </c>
      <c r="W71" s="119" t="n">
        <f aca="false">SUMIFS(tabela_registros[VALOR],tabela_registros[MÊS],$AE$1,tabela_registros[DIA],deztotal3059718395107119131143155167[[#Headers],[19]],tabela_registros[REGISTRO],DADOS!$N$4,tabela_registros[TIPO],DADOS!$P$4,tabela_registros[CATEGORIA],despesavariávelconsolidadodez[[#This Row],[DESPESA VARIÁVEL]])</f>
        <v>0</v>
      </c>
      <c r="X71" s="119" t="n">
        <f aca="false">SUMIFS(tabela_registros[VALOR],tabela_registros[MÊS],$AE$1,tabela_registros[DIA],deztotal3059718395107119131143155167[[#Headers],[20]],tabela_registros[REGISTRO],DADOS!$N$4,tabela_registros[TIPO],DADOS!$P$4,tabela_registros[CATEGORIA],despesavariávelconsolidadodez[[#This Row],[DESPESA VARIÁVEL]])</f>
        <v>0</v>
      </c>
      <c r="Y71" s="119" t="n">
        <f aca="false">SUMIFS(tabela_registros[VALOR],tabela_registros[MÊS],$AE$1,tabela_registros[DIA],deztotal3059718395107119131143155167[[#Headers],[21]],tabela_registros[REGISTRO],DADOS!$N$4,tabela_registros[TIPO],DADOS!$P$4,tabela_registros[CATEGORIA],despesavariávelconsolidadodez[[#This Row],[DESPESA VARIÁVEL]])</f>
        <v>0</v>
      </c>
      <c r="Z71" s="119" t="n">
        <f aca="false">SUMIFS(tabela_registros[VALOR],tabela_registros[MÊS],$AE$1,tabela_registros[DIA],deztotal3059718395107119131143155167[[#Headers],[22]],tabela_registros[REGISTRO],DADOS!$N$4,tabela_registros[TIPO],DADOS!$P$4,tabela_registros[CATEGORIA],despesavariávelconsolidadodez[[#This Row],[DESPESA VARIÁVEL]])</f>
        <v>0</v>
      </c>
      <c r="AA71" s="119" t="n">
        <f aca="false">SUMIFS(tabela_registros[VALOR],tabela_registros[MÊS],$AE$1,tabela_registros[DIA],deztotal3059718395107119131143155167[[#Headers],[23]],tabela_registros[REGISTRO],DADOS!$N$4,tabela_registros[TIPO],DADOS!$P$4,tabela_registros[CATEGORIA],despesavariávelconsolidadodez[[#This Row],[DESPESA VARIÁVEL]])</f>
        <v>0</v>
      </c>
      <c r="AB71" s="119" t="n">
        <f aca="false">SUMIFS(tabela_registros[VALOR],tabela_registros[MÊS],$AE$1,tabela_registros[DIA],deztotal3059718395107119131143155167[[#Headers],[24]],tabela_registros[REGISTRO],DADOS!$N$4,tabela_registros[TIPO],DADOS!$P$4,tabela_registros[CATEGORIA],despesavariávelconsolidadodez[[#This Row],[DESPESA VARIÁVEL]])</f>
        <v>0</v>
      </c>
      <c r="AC71" s="119" t="n">
        <f aca="false">SUMIFS(tabela_registros[VALOR],tabela_registros[MÊS],$AE$1,tabela_registros[DIA],deztotal3059718395107119131143155167[[#Headers],[25]],tabela_registros[REGISTRO],DADOS!$N$4,tabela_registros[TIPO],DADOS!$P$4,tabela_registros[CATEGORIA],despesavariávelconsolidadodez[[#This Row],[DESPESA VARIÁVEL]])</f>
        <v>0</v>
      </c>
      <c r="AD71" s="119" t="n">
        <f aca="false">SUMIFS(tabela_registros[VALOR],tabela_registros[MÊS],$AE$1,tabela_registros[DIA],deztotal3059718395107119131143155167[[#Headers],[26]],tabela_registros[REGISTRO],DADOS!$N$4,tabela_registros[TIPO],DADOS!$P$4,tabela_registros[CATEGORIA],despesavariávelconsolidadodez[[#This Row],[DESPESA VARIÁVEL]])</f>
        <v>0</v>
      </c>
      <c r="AE71" s="119" t="n">
        <f aca="false">SUMIFS(tabela_registros[VALOR],tabela_registros[MÊS],$AE$1,tabela_registros[DIA],deztotal3059718395107119131143155167[[#Headers],[27]],tabela_registros[REGISTRO],DADOS!$N$4,tabela_registros[TIPO],DADOS!$P$4,tabela_registros[CATEGORIA],despesavariávelconsolidadodez[[#This Row],[DESPESA VARIÁVEL]])</f>
        <v>0</v>
      </c>
      <c r="AF71" s="119" t="n">
        <f aca="false">SUMIFS(tabela_registros[VALOR],tabela_registros[MÊS],$AE$1,tabela_registros[DIA],deztotal3059718395107119131143155167[[#Headers],[28]],tabela_registros[REGISTRO],DADOS!$N$4,tabela_registros[TIPO],DADOS!$P$4,tabela_registros[CATEGORIA],despesavariávelconsolidadodez[[#This Row],[DESPESA VARIÁVEL]])</f>
        <v>0</v>
      </c>
      <c r="AG71" s="119" t="n">
        <f aca="false">SUMIFS(tabela_registros[VALOR],tabela_registros[MÊS],$AE$1,tabela_registros[DIA],deztotal3059718395107119131143155167[[#Headers],[29]],tabela_registros[REGISTRO],DADOS!$N$4,tabela_registros[TIPO],DADOS!$P$4,tabela_registros[CATEGORIA],despesavariávelconsolidadodez[[#This Row],[DESPESA VARIÁVEL]])</f>
        <v>0</v>
      </c>
      <c r="AH71" s="119" t="n">
        <f aca="false">SUMIFS(tabela_registros[VALOR],tabela_registros[MÊS],$AE$1,tabela_registros[DIA],deztotal3059718395107119131143155167[[#Headers],[30]],tabela_registros[REGISTRO],DADOS!$N$4,tabela_registros[TIPO],DADOS!$P$4,tabela_registros[CATEGORIA],despesavariávelconsolidadodez[[#This Row],[DESPESA VARIÁVEL]])</f>
        <v>0</v>
      </c>
      <c r="AI71" s="217" t="n">
        <f aca="false">SUMIFS(tabela_registros[VALOR],tabela_registros[MÊS],$AE$1,tabela_registros[DIA],deztotal3059718395107119131143155167[[#Headers],[31]],tabela_registros[REGISTRO],DADOS!$N$4,tabela_registros[TIPO],DADOS!$P$4,tabela_registros[CATEGORIA],despesavariávelconsolidadodez[[#This Row],[DESPESA VARIÁVEL]])</f>
        <v>0</v>
      </c>
      <c r="AJ71" s="149" t="n">
        <f aca="false">SUM(despesavariávelconsolidadodez[[#This Row],[1]:[31]])</f>
        <v>0</v>
      </c>
      <c r="AK71" s="143"/>
    </row>
    <row r="72" customFormat="false" ht="18" hidden="false" customHeight="true" outlineLevel="0" collapsed="false">
      <c r="B72" s="143"/>
      <c r="C72" s="144" t="str">
        <f aca="false">DADOS!$T$15</f>
        <v>📎 OUTROS</v>
      </c>
      <c r="D72" s="145" t="str">
        <f aca="false">IF(despesavariávelconsolidadodez[[#This Row],[TOTAL]]=0,"",IF(OR(despesavariávelconsolidadodez[[#This Row],[TOTAL]]=LARGE($AJ$60:$AJ$72,1),despesavariávelconsolidadodez[[#This Row],[TOTAL]]=LARGE($AJ$60:$AJ$72,2),despesavariávelconsolidadodez[[#This Row],[TOTAL]]=LARGE($AJ$60:$AJ$72,3),despesavariávelconsolidadodez[[#This Row],[TOTAL]]=LARGE($AJ$60:$AJ$72,4),despesavariávelconsolidadodez[[#This Row],[TOTAL]]=LARGE($AJ$60:$AJ$72,5)),DADOS!$I$8,""))</f>
        <v/>
      </c>
      <c r="E72" s="148" t="n">
        <f aca="false">SUMIFS(tabela_registros[VALOR],tabela_registros[MÊS],$AE$1,tabela_registros[DIA],deztotal3059718395107119131143155167[[#Headers],[1]],tabela_registros[REGISTRO],DADOS!$N$4,tabela_registros[TIPO],DADOS!$P$4,tabela_registros[CATEGORIA],despesavariávelconsolidadodez[[#This Row],[DESPESA VARIÁVEL]])</f>
        <v>0</v>
      </c>
      <c r="F72" s="119" t="n">
        <f aca="false">SUMIFS(tabela_registros[VALOR],tabela_registros[MÊS],$AE$1,tabela_registros[DIA],deztotal3059718395107119131143155167[[#Headers],[2]],tabela_registros[REGISTRO],DADOS!$N$4,tabela_registros[TIPO],DADOS!$P$4,tabela_registros[CATEGORIA],despesavariávelconsolidadodez[[#This Row],[DESPESA VARIÁVEL]])</f>
        <v>0</v>
      </c>
      <c r="G72" s="119" t="n">
        <f aca="false">SUMIFS(tabela_registros[VALOR],tabela_registros[MÊS],$AE$1,tabela_registros[DIA],deztotal3059718395107119131143155167[[#Headers],[3]],tabela_registros[REGISTRO],DADOS!$N$4,tabela_registros[TIPO],DADOS!$P$4,tabela_registros[CATEGORIA],despesavariávelconsolidadodez[[#This Row],[DESPESA VARIÁVEL]])</f>
        <v>0</v>
      </c>
      <c r="H72" s="119" t="n">
        <f aca="false">SUMIFS(tabela_registros[VALOR],tabela_registros[MÊS],$AE$1,tabela_registros[DIA],deztotal3059718395107119131143155167[[#Headers],[4]],tabela_registros[REGISTRO],DADOS!$N$4,tabela_registros[TIPO],DADOS!$P$4,tabela_registros[CATEGORIA],despesavariávelconsolidadodez[[#This Row],[DESPESA VARIÁVEL]])</f>
        <v>0</v>
      </c>
      <c r="I72" s="119" t="n">
        <f aca="false">SUMIFS(tabela_registros[VALOR],tabela_registros[MÊS],$AE$1,tabela_registros[DIA],deztotal3059718395107119131143155167[[#Headers],[5]],tabela_registros[REGISTRO],DADOS!$N$4,tabela_registros[TIPO],DADOS!$P$4,tabela_registros[CATEGORIA],despesavariávelconsolidadodez[[#This Row],[DESPESA VARIÁVEL]])</f>
        <v>0</v>
      </c>
      <c r="J72" s="119" t="n">
        <f aca="false">SUMIFS(tabela_registros[VALOR],tabela_registros[MÊS],$AE$1,tabela_registros[DIA],deztotal3059718395107119131143155167[[#Headers],[6]],tabela_registros[REGISTRO],DADOS!$N$4,tabela_registros[TIPO],DADOS!$P$4,tabela_registros[CATEGORIA],despesavariávelconsolidadodez[[#This Row],[DESPESA VARIÁVEL]])</f>
        <v>0</v>
      </c>
      <c r="K72" s="119" t="n">
        <f aca="false">SUMIFS(tabela_registros[VALOR],tabela_registros[MÊS],$AE$1,tabela_registros[DIA],deztotal3059718395107119131143155167[[#Headers],[7]],tabela_registros[REGISTRO],DADOS!$N$4,tabela_registros[TIPO],DADOS!$P$4,tabela_registros[CATEGORIA],despesavariávelconsolidadodez[[#This Row],[DESPESA VARIÁVEL]])</f>
        <v>0</v>
      </c>
      <c r="L72" s="119" t="n">
        <f aca="false">SUMIFS(tabela_registros[VALOR],tabela_registros[MÊS],$AE$1,tabela_registros[DIA],deztotal3059718395107119131143155167[[#Headers],[8]],tabela_registros[REGISTRO],DADOS!$N$4,tabela_registros[TIPO],DADOS!$P$4,tabela_registros[CATEGORIA],despesavariávelconsolidadodez[[#This Row],[DESPESA VARIÁVEL]])</f>
        <v>0</v>
      </c>
      <c r="M72" s="119" t="n">
        <f aca="false">SUMIFS(tabela_registros[VALOR],tabela_registros[MÊS],$AE$1,tabela_registros[DIA],deztotal3059718395107119131143155167[[#Headers],[9]],tabela_registros[REGISTRO],DADOS!$N$4,tabela_registros[TIPO],DADOS!$P$4,tabela_registros[CATEGORIA],despesavariávelconsolidadodez[[#This Row],[DESPESA VARIÁVEL]])</f>
        <v>0</v>
      </c>
      <c r="N72" s="119" t="n">
        <f aca="false">SUMIFS(tabela_registros[VALOR],tabela_registros[MÊS],$AE$1,tabela_registros[DIA],deztotal3059718395107119131143155167[[#Headers],[10]],tabela_registros[REGISTRO],DADOS!$N$4,tabela_registros[TIPO],DADOS!$P$4,tabela_registros[CATEGORIA],despesavariávelconsolidadodez[[#This Row],[DESPESA VARIÁVEL]])</f>
        <v>0</v>
      </c>
      <c r="O72" s="119" t="n">
        <f aca="false">SUMIFS(tabela_registros[VALOR],tabela_registros[MÊS],$AE$1,tabela_registros[DIA],deztotal3059718395107119131143155167[[#Headers],[11]],tabela_registros[REGISTRO],DADOS!$N$4,tabela_registros[TIPO],DADOS!$P$4,tabela_registros[CATEGORIA],despesavariávelconsolidadodez[[#This Row],[DESPESA VARIÁVEL]])</f>
        <v>0</v>
      </c>
      <c r="P72" s="119" t="n">
        <f aca="false">SUMIFS(tabela_registros[VALOR],tabela_registros[MÊS],$AE$1,tabela_registros[DIA],deztotal3059718395107119131143155167[[#Headers],[12]],tabela_registros[REGISTRO],DADOS!$N$4,tabela_registros[TIPO],DADOS!$P$4,tabela_registros[CATEGORIA],despesavariávelconsolidadodez[[#This Row],[DESPESA VARIÁVEL]])</f>
        <v>0</v>
      </c>
      <c r="Q72" s="119" t="n">
        <f aca="false">SUMIFS(tabela_registros[VALOR],tabela_registros[MÊS],$AE$1,tabela_registros[DIA],deztotal3059718395107119131143155167[[#Headers],[13]],tabela_registros[REGISTRO],DADOS!$N$4,tabela_registros[TIPO],DADOS!$P$4,tabela_registros[CATEGORIA],despesavariávelconsolidadodez[[#This Row],[DESPESA VARIÁVEL]])</f>
        <v>0</v>
      </c>
      <c r="R72" s="119" t="n">
        <f aca="false">SUMIFS(tabela_registros[VALOR],tabela_registros[MÊS],$AE$1,tabela_registros[DIA],deztotal3059718395107119131143155167[[#Headers],[14]],tabela_registros[REGISTRO],DADOS!$N$4,tabela_registros[TIPO],DADOS!$P$4,tabela_registros[CATEGORIA],despesavariávelconsolidadodez[[#This Row],[DESPESA VARIÁVEL]])</f>
        <v>0</v>
      </c>
      <c r="S72" s="119" t="n">
        <f aca="false">SUMIFS(tabela_registros[VALOR],tabela_registros[MÊS],$AE$1,tabela_registros[DIA],deztotal3059718395107119131143155167[[#Headers],[15]],tabela_registros[REGISTRO],DADOS!$N$4,tabela_registros[TIPO],DADOS!$P$4,tabela_registros[CATEGORIA],despesavariávelconsolidadodez[[#This Row],[DESPESA VARIÁVEL]])</f>
        <v>0</v>
      </c>
      <c r="T72" s="119" t="n">
        <f aca="false">SUMIFS(tabela_registros[VALOR],tabela_registros[MÊS],$AE$1,tabela_registros[DIA],deztotal3059718395107119131143155167[[#Headers],[16]],tabela_registros[REGISTRO],DADOS!$N$4,tabela_registros[TIPO],DADOS!$P$4,tabela_registros[CATEGORIA],despesavariávelconsolidadodez[[#This Row],[DESPESA VARIÁVEL]])</f>
        <v>0</v>
      </c>
      <c r="U72" s="119" t="n">
        <f aca="false">SUMIFS(tabela_registros[VALOR],tabela_registros[MÊS],$AE$1,tabela_registros[DIA],deztotal3059718395107119131143155167[[#Headers],[17]],tabela_registros[REGISTRO],DADOS!$N$4,tabela_registros[TIPO],DADOS!$P$4,tabela_registros[CATEGORIA],despesavariávelconsolidadodez[[#This Row],[DESPESA VARIÁVEL]])</f>
        <v>0</v>
      </c>
      <c r="V72" s="119" t="n">
        <f aca="false">SUMIFS(tabela_registros[VALOR],tabela_registros[MÊS],$AE$1,tabela_registros[DIA],deztotal3059718395107119131143155167[[#Headers],[18]],tabela_registros[REGISTRO],DADOS!$N$4,tabela_registros[TIPO],DADOS!$P$4,tabela_registros[CATEGORIA],despesavariávelconsolidadodez[[#This Row],[DESPESA VARIÁVEL]])</f>
        <v>0</v>
      </c>
      <c r="W72" s="119" t="n">
        <f aca="false">SUMIFS(tabela_registros[VALOR],tabela_registros[MÊS],$AE$1,tabela_registros[DIA],deztotal3059718395107119131143155167[[#Headers],[19]],tabela_registros[REGISTRO],DADOS!$N$4,tabela_registros[TIPO],DADOS!$P$4,tabela_registros[CATEGORIA],despesavariávelconsolidadodez[[#This Row],[DESPESA VARIÁVEL]])</f>
        <v>0</v>
      </c>
      <c r="X72" s="119" t="n">
        <f aca="false">SUMIFS(tabela_registros[VALOR],tabela_registros[MÊS],$AE$1,tabela_registros[DIA],deztotal3059718395107119131143155167[[#Headers],[20]],tabela_registros[REGISTRO],DADOS!$N$4,tabela_registros[TIPO],DADOS!$P$4,tabela_registros[CATEGORIA],despesavariávelconsolidadodez[[#This Row],[DESPESA VARIÁVEL]])</f>
        <v>0</v>
      </c>
      <c r="Y72" s="119" t="n">
        <f aca="false">SUMIFS(tabela_registros[VALOR],tabela_registros[MÊS],$AE$1,tabela_registros[DIA],deztotal3059718395107119131143155167[[#Headers],[21]],tabela_registros[REGISTRO],DADOS!$N$4,tabela_registros[TIPO],DADOS!$P$4,tabela_registros[CATEGORIA],despesavariávelconsolidadodez[[#This Row],[DESPESA VARIÁVEL]])</f>
        <v>0</v>
      </c>
      <c r="Z72" s="119" t="n">
        <f aca="false">SUMIFS(tabela_registros[VALOR],tabela_registros[MÊS],$AE$1,tabela_registros[DIA],deztotal3059718395107119131143155167[[#Headers],[22]],tabela_registros[REGISTRO],DADOS!$N$4,tabela_registros[TIPO],DADOS!$P$4,tabela_registros[CATEGORIA],despesavariávelconsolidadodez[[#This Row],[DESPESA VARIÁVEL]])</f>
        <v>0</v>
      </c>
      <c r="AA72" s="119" t="n">
        <f aca="false">SUMIFS(tabela_registros[VALOR],tabela_registros[MÊS],$AE$1,tabela_registros[DIA],deztotal3059718395107119131143155167[[#Headers],[23]],tabela_registros[REGISTRO],DADOS!$N$4,tabela_registros[TIPO],DADOS!$P$4,tabela_registros[CATEGORIA],despesavariávelconsolidadodez[[#This Row],[DESPESA VARIÁVEL]])</f>
        <v>0</v>
      </c>
      <c r="AB72" s="119" t="n">
        <f aca="false">SUMIFS(tabela_registros[VALOR],tabela_registros[MÊS],$AE$1,tabela_registros[DIA],deztotal3059718395107119131143155167[[#Headers],[24]],tabela_registros[REGISTRO],DADOS!$N$4,tabela_registros[TIPO],DADOS!$P$4,tabela_registros[CATEGORIA],despesavariávelconsolidadodez[[#This Row],[DESPESA VARIÁVEL]])</f>
        <v>0</v>
      </c>
      <c r="AC72" s="119" t="n">
        <f aca="false">SUMIFS(tabela_registros[VALOR],tabela_registros[MÊS],$AE$1,tabela_registros[DIA],deztotal3059718395107119131143155167[[#Headers],[25]],tabela_registros[REGISTRO],DADOS!$N$4,tabela_registros[TIPO],DADOS!$P$4,tabela_registros[CATEGORIA],despesavariávelconsolidadodez[[#This Row],[DESPESA VARIÁVEL]])</f>
        <v>0</v>
      </c>
      <c r="AD72" s="119" t="n">
        <f aca="false">SUMIFS(tabela_registros[VALOR],tabela_registros[MÊS],$AE$1,tabela_registros[DIA],deztotal3059718395107119131143155167[[#Headers],[26]],tabela_registros[REGISTRO],DADOS!$N$4,tabela_registros[TIPO],DADOS!$P$4,tabela_registros[CATEGORIA],despesavariávelconsolidadodez[[#This Row],[DESPESA VARIÁVEL]])</f>
        <v>0</v>
      </c>
      <c r="AE72" s="119" t="n">
        <f aca="false">SUMIFS(tabela_registros[VALOR],tabela_registros[MÊS],$AE$1,tabela_registros[DIA],deztotal3059718395107119131143155167[[#Headers],[27]],tabela_registros[REGISTRO],DADOS!$N$4,tabela_registros[TIPO],DADOS!$P$4,tabela_registros[CATEGORIA],despesavariávelconsolidadodez[[#This Row],[DESPESA VARIÁVEL]])</f>
        <v>0</v>
      </c>
      <c r="AF72" s="119" t="n">
        <f aca="false">SUMIFS(tabela_registros[VALOR],tabela_registros[MÊS],$AE$1,tabela_registros[DIA],deztotal3059718395107119131143155167[[#Headers],[28]],tabela_registros[REGISTRO],DADOS!$N$4,tabela_registros[TIPO],DADOS!$P$4,tabela_registros[CATEGORIA],despesavariávelconsolidadodez[[#This Row],[DESPESA VARIÁVEL]])</f>
        <v>0</v>
      </c>
      <c r="AG72" s="119" t="n">
        <f aca="false">SUMIFS(tabela_registros[VALOR],tabela_registros[MÊS],$AE$1,tabela_registros[DIA],deztotal3059718395107119131143155167[[#Headers],[29]],tabela_registros[REGISTRO],DADOS!$N$4,tabela_registros[TIPO],DADOS!$P$4,tabela_registros[CATEGORIA],despesavariávelconsolidadodez[[#This Row],[DESPESA VARIÁVEL]])</f>
        <v>0</v>
      </c>
      <c r="AH72" s="119" t="n">
        <f aca="false">SUMIFS(tabela_registros[VALOR],tabela_registros[MÊS],$AE$1,tabela_registros[DIA],deztotal3059718395107119131143155167[[#Headers],[30]],tabela_registros[REGISTRO],DADOS!$N$4,tabela_registros[TIPO],DADOS!$P$4,tabela_registros[CATEGORIA],despesavariávelconsolidadodez[[#This Row],[DESPESA VARIÁVEL]])</f>
        <v>0</v>
      </c>
      <c r="AI72" s="218" t="n">
        <f aca="false">SUMIFS(tabela_registros[VALOR],tabela_registros[MÊS],$AE$1,tabela_registros[DIA],deztotal3059718395107119131143155167[[#Headers],[31]],tabela_registros[REGISTRO],DADOS!$N$4,tabela_registros[TIPO],DADOS!$P$4,tabela_registros[CATEGORIA],despesavariávelconsolidadodez[[#This Row],[DESPESA VARIÁVEL]])</f>
        <v>0</v>
      </c>
      <c r="AJ72" s="149" t="n">
        <f aca="false">SUM(despesavariávelconsolidadodez[[#This Row],[1]:[31]])</f>
        <v>0</v>
      </c>
      <c r="AK72" s="143"/>
    </row>
    <row r="73" s="122" customFormat="true" ht="21" hidden="false" customHeight="true" outlineLevel="0" collapsed="false">
      <c r="B73" s="152"/>
      <c r="C73" s="153" t="s">
        <v>2</v>
      </c>
      <c r="D73" s="154" t="str">
        <f aca="false">IF(despesavariávelconsolidadodez[[#This Row],[TOTAL]]=0,"",IF(OR(despesavariávelconsolidadodez[[#This Row],[TOTAL]]=SMALL(despesavariávelconsolidadodez[TOTAL],1),despesavariávelconsolidadodez[[#This Row],[TOTAL]]=SMALL(despesavariávelconsolidadodez[TOTAL],2),despesavariávelconsolidadodez[[#This Row],[TOTAL]]=SMALL(despesavariávelconsolidadodez[TOTAL],3),despesavariávelconsolidadodez[[#This Row],[TOTAL]]=SMALL(despesavariávelconsolidadodez[TOTAL],4),despesavariávelconsolidadodez[[#This Row],[TOTAL]]=SMALL(despesavariávelconsolidadodez[TOTAL],5)),DADOS!$I$8,""))</f>
        <v/>
      </c>
      <c r="E73" s="155" t="n">
        <f aca="false">SUM(E60:E72)</f>
        <v>0</v>
      </c>
      <c r="F73" s="156" t="n">
        <f aca="false">SUM(F60:F72)+despesavariávelconsolidadodez[[#This Row],[1]]</f>
        <v>0</v>
      </c>
      <c r="G73" s="156" t="n">
        <f aca="false">SUM(G60:G72)+despesavariávelconsolidadodez[[#This Row],[2]]</f>
        <v>0</v>
      </c>
      <c r="H73" s="156" t="n">
        <f aca="false">SUM(H60:H72)+despesavariávelconsolidadodez[[#This Row],[3]]</f>
        <v>0</v>
      </c>
      <c r="I73" s="156" t="n">
        <f aca="false">SUM(I60:I72)+despesavariávelconsolidadodez[[#This Row],[4]]</f>
        <v>0</v>
      </c>
      <c r="J73" s="156" t="n">
        <f aca="false">SUM(J60:J72)+despesavariávelconsolidadodez[[#This Row],[5]]</f>
        <v>0</v>
      </c>
      <c r="K73" s="156" t="n">
        <f aca="false">SUM(K60:K72)+despesavariávelconsolidadodez[[#This Row],[6]]</f>
        <v>0</v>
      </c>
      <c r="L73" s="156" t="n">
        <f aca="false">SUM(L60:L72)+despesavariávelconsolidadodez[[#This Row],[7]]</f>
        <v>0</v>
      </c>
      <c r="M73" s="156" t="n">
        <f aca="false">SUM(M60:M72)+despesavariávelconsolidadodez[[#This Row],[8]]</f>
        <v>0</v>
      </c>
      <c r="N73" s="156" t="n">
        <f aca="false">SUM(N60:N72)+despesavariávelconsolidadodez[[#This Row],[9]]</f>
        <v>0</v>
      </c>
      <c r="O73" s="156" t="n">
        <f aca="false">SUM(O60:O72)+despesavariávelconsolidadodez[[#This Row],[10]]</f>
        <v>0</v>
      </c>
      <c r="P73" s="156" t="n">
        <f aca="false">SUM(P60:P72)+despesavariávelconsolidadodez[[#This Row],[11]]</f>
        <v>0</v>
      </c>
      <c r="Q73" s="156" t="n">
        <f aca="false">SUM(Q60:Q72)+despesavariávelconsolidadodez[[#This Row],[12]]</f>
        <v>0</v>
      </c>
      <c r="R73" s="156" t="n">
        <f aca="false">SUM(R60:R72)+despesavariávelconsolidadodez[[#This Row],[13]]</f>
        <v>0</v>
      </c>
      <c r="S73" s="156" t="n">
        <f aca="false">SUM(S60:S72)+despesavariávelconsolidadodez[[#This Row],[14]]</f>
        <v>0</v>
      </c>
      <c r="T73" s="156" t="n">
        <f aca="false">SUM(T60:T72)+despesavariávelconsolidadodez[[#This Row],[15]]</f>
        <v>0</v>
      </c>
      <c r="U73" s="156" t="n">
        <f aca="false">SUM(U60:U72)+despesavariávelconsolidadodez[[#This Row],[16]]</f>
        <v>0</v>
      </c>
      <c r="V73" s="156" t="n">
        <f aca="false">SUM(V60:V72)+despesavariávelconsolidadodez[[#This Row],[17]]</f>
        <v>0</v>
      </c>
      <c r="W73" s="156" t="n">
        <f aca="false">SUM(W60:W72)+despesavariávelconsolidadodez[[#This Row],[18]]</f>
        <v>0</v>
      </c>
      <c r="X73" s="156" t="n">
        <f aca="false">SUM(X60:X72)+despesavariávelconsolidadodez[[#This Row],[19]]</f>
        <v>0</v>
      </c>
      <c r="Y73" s="156" t="n">
        <f aca="false">SUM(Y60:Y72)+despesavariávelconsolidadodez[[#This Row],[20]]</f>
        <v>0</v>
      </c>
      <c r="Z73" s="156" t="n">
        <f aca="false">SUM(Z60:Z72)+despesavariávelconsolidadodez[[#This Row],[21]]</f>
        <v>0</v>
      </c>
      <c r="AA73" s="156" t="n">
        <f aca="false">SUM(AA60:AA72)+despesavariávelconsolidadodez[[#This Row],[22]]</f>
        <v>0</v>
      </c>
      <c r="AB73" s="156" t="n">
        <f aca="false">SUM(AB60:AB72)+despesavariávelconsolidadodez[[#This Row],[23]]</f>
        <v>0</v>
      </c>
      <c r="AC73" s="156" t="n">
        <f aca="false">SUM(AC60:AC72)+despesavariávelconsolidadodez[[#This Row],[24]]</f>
        <v>0</v>
      </c>
      <c r="AD73" s="156" t="n">
        <f aca="false">SUM(AD60:AD72)+despesavariávelconsolidadodez[[#This Row],[25]]</f>
        <v>0</v>
      </c>
      <c r="AE73" s="156" t="n">
        <f aca="false">SUM(AE60:AE72)+despesavariávelconsolidadodez[[#This Row],[26]]</f>
        <v>0</v>
      </c>
      <c r="AF73" s="156" t="n">
        <f aca="false">SUM(AF60:AF72)+despesavariávelconsolidadodez[[#This Row],[27]]</f>
        <v>0</v>
      </c>
      <c r="AG73" s="156" t="n">
        <f aca="false">SUM(AG60:AG72)+despesavariávelconsolidadodez[[#This Row],[28]]</f>
        <v>0</v>
      </c>
      <c r="AH73" s="156" t="n">
        <f aca="false">SUM(AH60:AH72)+despesavariávelconsolidadodez[[#This Row],[29]]</f>
        <v>0</v>
      </c>
      <c r="AI73" s="223" t="n">
        <f aca="false">SUM(AI60:AI72)+despesavariávelconsolidadodez[[#This Row],[30]]</f>
        <v>0</v>
      </c>
      <c r="AJ73" s="157" t="n">
        <f aca="false">despesavariávelconsolidadodez[[#This Row],[31]]</f>
        <v>0</v>
      </c>
      <c r="AK73" s="158"/>
    </row>
    <row r="74" customFormat="false" ht="6.75" hidden="false" customHeight="true" outlineLevel="0" collapsed="false">
      <c r="B74" s="97"/>
      <c r="C74" s="159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229"/>
      <c r="AJ74" s="97"/>
      <c r="AK74" s="244"/>
    </row>
    <row r="75" s="78" customFormat="true" ht="12.75" hidden="false" customHeight="false" outlineLevel="0" collapsed="false">
      <c r="E75" s="100"/>
    </row>
    <row r="76" s="78" customFormat="true" ht="12" hidden="false" customHeight="false" outlineLevel="0" collapsed="false"/>
    <row r="77" s="78" customFormat="true" ht="12" hidden="false" customHeight="false" outlineLevel="0" collapsed="false"/>
    <row r="78" customFormat="false" ht="39.75" hidden="false" customHeight="true" outlineLevel="0" collapsed="false">
      <c r="C78" s="101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3" t="s">
        <v>2</v>
      </c>
    </row>
    <row r="79" s="78" customFormat="true" ht="12.75" hidden="false" customHeight="false" outlineLevel="0" collapsed="false">
      <c r="B79" s="161"/>
      <c r="AJ79" s="106" t="s">
        <v>64</v>
      </c>
    </row>
    <row r="80" customFormat="false" ht="6.75" hidden="false" customHeight="true" outlineLevel="0" collapsed="false">
      <c r="B80" s="86"/>
      <c r="C80" s="162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233"/>
      <c r="AK80" s="139"/>
    </row>
    <row r="81" customFormat="false" ht="13.5" hidden="true" customHeight="false" outlineLevel="0" collapsed="false">
      <c r="B81" s="86"/>
      <c r="C81" s="109" t="s">
        <v>68</v>
      </c>
      <c r="D81" s="110" t="s">
        <v>69</v>
      </c>
      <c r="E81" s="110" t="s">
        <v>30</v>
      </c>
      <c r="F81" s="110" t="s">
        <v>31</v>
      </c>
      <c r="G81" s="110" t="s">
        <v>32</v>
      </c>
      <c r="H81" s="110" t="s">
        <v>33</v>
      </c>
      <c r="I81" s="110" t="s">
        <v>34</v>
      </c>
      <c r="J81" s="110" t="s">
        <v>35</v>
      </c>
      <c r="K81" s="110" t="s">
        <v>36</v>
      </c>
      <c r="L81" s="110" t="s">
        <v>37</v>
      </c>
      <c r="M81" s="110" t="s">
        <v>38</v>
      </c>
      <c r="N81" s="110" t="s">
        <v>39</v>
      </c>
      <c r="O81" s="110" t="s">
        <v>40</v>
      </c>
      <c r="P81" s="110" t="s">
        <v>41</v>
      </c>
      <c r="Q81" s="110" t="s">
        <v>81</v>
      </c>
      <c r="R81" s="110" t="s">
        <v>82</v>
      </c>
      <c r="S81" s="110" t="s">
        <v>83</v>
      </c>
      <c r="T81" s="110" t="s">
        <v>84</v>
      </c>
      <c r="U81" s="110" t="s">
        <v>85</v>
      </c>
      <c r="V81" s="110" t="s">
        <v>86</v>
      </c>
      <c r="W81" s="110" t="s">
        <v>87</v>
      </c>
      <c r="X81" s="110" t="s">
        <v>88</v>
      </c>
      <c r="Y81" s="110" t="s">
        <v>89</v>
      </c>
      <c r="Z81" s="110" t="s">
        <v>90</v>
      </c>
      <c r="AA81" s="110" t="s">
        <v>91</v>
      </c>
      <c r="AB81" s="110" t="s">
        <v>92</v>
      </c>
      <c r="AC81" s="110" t="s">
        <v>93</v>
      </c>
      <c r="AD81" s="110" t="s">
        <v>94</v>
      </c>
      <c r="AE81" s="110" t="s">
        <v>95</v>
      </c>
      <c r="AF81" s="110" t="s">
        <v>96</v>
      </c>
      <c r="AG81" s="110" t="s">
        <v>97</v>
      </c>
      <c r="AH81" s="110" t="s">
        <v>98</v>
      </c>
      <c r="AI81" s="110" t="s">
        <v>99</v>
      </c>
      <c r="AJ81" s="111" t="s">
        <v>70</v>
      </c>
      <c r="AK81" s="86"/>
    </row>
    <row r="82" customFormat="false" ht="19.5" hidden="false" customHeight="true" outlineLevel="0" collapsed="false">
      <c r="B82" s="143"/>
      <c r="C82" s="144" t="str">
        <f aca="false">DADOS!$X$3</f>
        <v>💵 ALUGUEL</v>
      </c>
      <c r="D82" s="145" t="str">
        <f aca="false">IF(receitasfixasconsolidadodez[[#This Row],[TOTAL (R$)]]=0,"",IF(OR(receitasfixasconsolidadodez[[#This Row],[TOTAL (R$)]]=LARGE($AJ$82:$AJ$86,1),receitasfixasconsolidadodez[[#This Row],[TOTAL (R$)]]=LARGE($AJ$82:$AJ$86,2)),DADOS!$I$9,""))</f>
        <v/>
      </c>
      <c r="E82" s="146" t="n">
        <f aca="false">SUMIFS(tabela_registros[VALOR],tabela_registros[MÊS],$AE$1,tabela_registros[DIA],receitasfixasconsolidadodez[[#Headers],[1]],tabela_registros[REGISTRO],DADOS!$N$3,tabela_registros[TIPO],DADOS!$V$3,tabela_registros[CATEGORIA],receitasfixasconsolidadodez[[#This Row],[ATUAL]])</f>
        <v>0</v>
      </c>
      <c r="F82" s="114" t="n">
        <f aca="false">SUMIFS(tabela_registros[VALOR],tabela_registros[MÊS],$AE$1,tabela_registros[DIA],receitasfixasconsolidadodez[[#Headers],[2]],tabela_registros[REGISTRO],DADOS!$N$3,tabela_registros[TIPO],DADOS!$V$3,tabela_registros[CATEGORIA],receitasfixasconsolidadodez[[#This Row],[ATUAL]])</f>
        <v>0</v>
      </c>
      <c r="G82" s="114" t="n">
        <f aca="false">SUMIFS(tabela_registros[VALOR],tabela_registros[MÊS],$AE$1,tabela_registros[DIA],receitasfixasconsolidadodez[[#Headers],[3]],tabela_registros[REGISTRO],DADOS!$N$3,tabela_registros[TIPO],DADOS!$V$3,tabela_registros[CATEGORIA],receitasfixasconsolidadodez[[#This Row],[ATUAL]])</f>
        <v>0</v>
      </c>
      <c r="H82" s="114" t="n">
        <f aca="false">SUMIFS(tabela_registros[VALOR],tabela_registros[MÊS],$AE$1,tabela_registros[DIA],receitasfixasconsolidadodez[[#Headers],[4]],tabela_registros[REGISTRO],DADOS!$N$3,tabela_registros[TIPO],DADOS!$V$3,tabela_registros[CATEGORIA],receitasfixasconsolidadodez[[#This Row],[ATUAL]])</f>
        <v>0</v>
      </c>
      <c r="I82" s="114" t="n">
        <f aca="false">SUMIFS(tabela_registros[VALOR],tabela_registros[MÊS],$AE$1,tabela_registros[DIA],receitasfixasconsolidadodez[[#Headers],[5]],tabela_registros[REGISTRO],DADOS!$N$3,tabela_registros[TIPO],DADOS!$V$3,tabela_registros[CATEGORIA],receitasfixasconsolidadodez[[#This Row],[ATUAL]])</f>
        <v>0</v>
      </c>
      <c r="J82" s="114" t="n">
        <f aca="false">SUMIFS(tabela_registros[VALOR],tabela_registros[MÊS],$AE$1,tabela_registros[DIA],receitasfixasconsolidadodez[[#Headers],[6]],tabela_registros[REGISTRO],DADOS!$N$3,tabela_registros[TIPO],DADOS!$V$3,tabela_registros[CATEGORIA],receitasfixasconsolidadodez[[#This Row],[ATUAL]])</f>
        <v>0</v>
      </c>
      <c r="K82" s="114" t="n">
        <f aca="false">SUMIFS(tabela_registros[VALOR],tabela_registros[MÊS],$AE$1,tabela_registros[DIA],receitasfixasconsolidadodez[[#Headers],[7]],tabela_registros[REGISTRO],DADOS!$N$3,tabela_registros[TIPO],DADOS!$V$3,tabela_registros[CATEGORIA],receitasfixasconsolidadodez[[#This Row],[ATUAL]])</f>
        <v>0</v>
      </c>
      <c r="L82" s="114" t="n">
        <f aca="false">SUMIFS(tabela_registros[VALOR],tabela_registros[MÊS],$AE$1,tabela_registros[DIA],receitasfixasconsolidadodez[[#Headers],[8]],tabela_registros[REGISTRO],DADOS!$N$3,tabela_registros[TIPO],DADOS!$V$3,tabela_registros[CATEGORIA],receitasfixasconsolidadodez[[#This Row],[ATUAL]])</f>
        <v>0</v>
      </c>
      <c r="M82" s="114" t="n">
        <f aca="false">SUMIFS(tabela_registros[VALOR],tabela_registros[MÊS],$AE$1,tabela_registros[DIA],receitasfixasconsolidadodez[[#Headers],[9]],tabela_registros[REGISTRO],DADOS!$N$3,tabela_registros[TIPO],DADOS!$V$3,tabela_registros[CATEGORIA],receitasfixasconsolidadodez[[#This Row],[ATUAL]])</f>
        <v>0</v>
      </c>
      <c r="N82" s="114" t="n">
        <f aca="false">SUMIFS(tabela_registros[VALOR],tabela_registros[MÊS],$AE$1,tabela_registros[DIA],receitasfixasconsolidadodez[[#Headers],[10]],tabela_registros[REGISTRO],DADOS!$N$3,tabela_registros[TIPO],DADOS!$V$3,tabela_registros[CATEGORIA],receitasfixasconsolidadodez[[#This Row],[ATUAL]])</f>
        <v>0</v>
      </c>
      <c r="O82" s="114" t="n">
        <f aca="false">SUMIFS(tabela_registros[VALOR],tabela_registros[MÊS],$AE$1,tabela_registros[DIA],receitasfixasconsolidadodez[[#Headers],[11]],tabela_registros[REGISTRO],DADOS!$N$3,tabela_registros[TIPO],DADOS!$V$3,tabela_registros[CATEGORIA],receitasfixasconsolidadodez[[#This Row],[ATUAL]])</f>
        <v>0</v>
      </c>
      <c r="P82" s="114" t="n">
        <f aca="false">SUMIFS(tabela_registros[VALOR],tabela_registros[MÊS],$AE$1,tabela_registros[DIA],receitasfixasconsolidadodez[[#Headers],[12]],tabela_registros[REGISTRO],DADOS!$N$3,tabela_registros[TIPO],DADOS!$V$3,tabela_registros[CATEGORIA],receitasfixasconsolidadodez[[#This Row],[ATUAL]])</f>
        <v>0</v>
      </c>
      <c r="Q82" s="114" t="n">
        <f aca="false">SUMIFS(tabela_registros[VALOR],tabela_registros[MÊS],$AE$1,tabela_registros[DIA],receitasfixasconsolidadodez[[#Headers],[13]],tabela_registros[REGISTRO],DADOS!$N$3,tabela_registros[TIPO],DADOS!$V$3,tabela_registros[CATEGORIA],receitasfixasconsolidadodez[[#This Row],[ATUAL]])</f>
        <v>0</v>
      </c>
      <c r="R82" s="114" t="n">
        <f aca="false">SUMIFS(tabela_registros[VALOR],tabela_registros[MÊS],$AE$1,tabela_registros[DIA],receitasfixasconsolidadodez[[#Headers],[14]],tabela_registros[REGISTRO],DADOS!$N$3,tabela_registros[TIPO],DADOS!$V$3,tabela_registros[CATEGORIA],receitasfixasconsolidadodez[[#This Row],[ATUAL]])</f>
        <v>0</v>
      </c>
      <c r="S82" s="114" t="n">
        <f aca="false">SUMIFS(tabela_registros[VALOR],tabela_registros[MÊS],$AE$1,tabela_registros[DIA],receitasfixasconsolidadodez[[#Headers],[15]],tabela_registros[REGISTRO],DADOS!$N$3,tabela_registros[TIPO],DADOS!$V$3,tabela_registros[CATEGORIA],receitasfixasconsolidadodez[[#This Row],[ATUAL]])</f>
        <v>0</v>
      </c>
      <c r="T82" s="114" t="n">
        <f aca="false">SUMIFS(tabela_registros[VALOR],tabela_registros[MÊS],$AE$1,tabela_registros[DIA],receitasfixasconsolidadodez[[#Headers],[16]],tabela_registros[REGISTRO],DADOS!$N$3,tabela_registros[TIPO],DADOS!$V$3,tabela_registros[CATEGORIA],receitasfixasconsolidadodez[[#This Row],[ATUAL]])</f>
        <v>0</v>
      </c>
      <c r="U82" s="114" t="n">
        <f aca="false">SUMIFS(tabela_registros[VALOR],tabela_registros[MÊS],$AE$1,tabela_registros[DIA],receitasfixasconsolidadodez[[#Headers],[17]],tabela_registros[REGISTRO],DADOS!$N$3,tabela_registros[TIPO],DADOS!$V$3,tabela_registros[CATEGORIA],receitasfixasconsolidadodez[[#This Row],[ATUAL]])</f>
        <v>0</v>
      </c>
      <c r="V82" s="114" t="n">
        <f aca="false">SUMIFS(tabela_registros[VALOR],tabela_registros[MÊS],$AE$1,tabela_registros[DIA],receitasfixasconsolidadodez[[#Headers],[18]],tabela_registros[REGISTRO],DADOS!$N$3,tabela_registros[TIPO],DADOS!$V$3,tabela_registros[CATEGORIA],receitasfixasconsolidadodez[[#This Row],[ATUAL]])</f>
        <v>0</v>
      </c>
      <c r="W82" s="114" t="n">
        <f aca="false">SUMIFS(tabela_registros[VALOR],tabela_registros[MÊS],$AE$1,tabela_registros[DIA],receitasfixasconsolidadodez[[#Headers],[19]],tabela_registros[REGISTRO],DADOS!$N$3,tabela_registros[TIPO],DADOS!$V$3,tabela_registros[CATEGORIA],receitasfixasconsolidadodez[[#This Row],[ATUAL]])</f>
        <v>0</v>
      </c>
      <c r="X82" s="114" t="n">
        <f aca="false">SUMIFS(tabela_registros[VALOR],tabela_registros[MÊS],$AE$1,tabela_registros[DIA],receitasfixasconsolidadodez[[#Headers],[20]],tabela_registros[REGISTRO],DADOS!$N$3,tabela_registros[TIPO],DADOS!$V$3,tabela_registros[CATEGORIA],receitasfixasconsolidadodez[[#This Row],[ATUAL]])</f>
        <v>0</v>
      </c>
      <c r="Y82" s="114" t="n">
        <f aca="false">SUMIFS(tabela_registros[VALOR],tabela_registros[MÊS],$AE$1,tabela_registros[DIA],receitasfixasconsolidadodez[[#Headers],[21]],tabela_registros[REGISTRO],DADOS!$N$3,tabela_registros[TIPO],DADOS!$V$3,tabela_registros[CATEGORIA],receitasfixasconsolidadodez[[#This Row],[ATUAL]])</f>
        <v>0</v>
      </c>
      <c r="Z82" s="114" t="n">
        <f aca="false">SUMIFS(tabela_registros[VALOR],tabela_registros[MÊS],$AE$1,tabela_registros[DIA],receitasfixasconsolidadodez[[#Headers],[22]],tabela_registros[REGISTRO],DADOS!$N$3,tabela_registros[TIPO],DADOS!$V$3,tabela_registros[CATEGORIA],receitasfixasconsolidadodez[[#This Row],[ATUAL]])</f>
        <v>0</v>
      </c>
      <c r="AA82" s="114" t="n">
        <f aca="false">SUMIFS(tabela_registros[VALOR],tabela_registros[MÊS],$AE$1,tabela_registros[DIA],receitasfixasconsolidadodez[[#Headers],[23]],tabela_registros[REGISTRO],DADOS!$N$3,tabela_registros[TIPO],DADOS!$V$3,tabela_registros[CATEGORIA],receitasfixasconsolidadodez[[#This Row],[ATUAL]])</f>
        <v>0</v>
      </c>
      <c r="AB82" s="114" t="n">
        <f aca="false">SUMIFS(tabela_registros[VALOR],tabela_registros[MÊS],$AE$1,tabela_registros[DIA],receitasfixasconsolidadodez[[#Headers],[24]],tabela_registros[REGISTRO],DADOS!$N$3,tabela_registros[TIPO],DADOS!$V$3,tabela_registros[CATEGORIA],receitasfixasconsolidadodez[[#This Row],[ATUAL]])</f>
        <v>0</v>
      </c>
      <c r="AC82" s="114" t="n">
        <f aca="false">SUMIFS(tabela_registros[VALOR],tabela_registros[MÊS],$AE$1,tabela_registros[DIA],receitasfixasconsolidadodez[[#Headers],[25]],tabela_registros[REGISTRO],DADOS!$N$3,tabela_registros[TIPO],DADOS!$V$3,tabela_registros[CATEGORIA],receitasfixasconsolidadodez[[#This Row],[ATUAL]])</f>
        <v>0</v>
      </c>
      <c r="AD82" s="114" t="n">
        <f aca="false">SUMIFS(tabela_registros[VALOR],tabela_registros[MÊS],$AE$1,tabela_registros[DIA],receitasfixasconsolidadodez[[#Headers],[26]],tabela_registros[REGISTRO],DADOS!$N$3,tabela_registros[TIPO],DADOS!$V$3,tabela_registros[CATEGORIA],receitasfixasconsolidadodez[[#This Row],[ATUAL]])</f>
        <v>0</v>
      </c>
      <c r="AE82" s="114" t="n">
        <f aca="false">SUMIFS(tabela_registros[VALOR],tabela_registros[MÊS],$AE$1,tabela_registros[DIA],receitasfixasconsolidadodez[[#Headers],[27]],tabela_registros[REGISTRO],DADOS!$N$3,tabela_registros[TIPO],DADOS!$V$3,tabela_registros[CATEGORIA],receitasfixasconsolidadodez[[#This Row],[ATUAL]])</f>
        <v>0</v>
      </c>
      <c r="AF82" s="114" t="n">
        <f aca="false">SUMIFS(tabela_registros[VALOR],tabela_registros[MÊS],$AE$1,tabela_registros[DIA],receitasfixasconsolidadodez[[#Headers],[28]],tabela_registros[REGISTRO],DADOS!$N$3,tabela_registros[TIPO],DADOS!$V$3,tabela_registros[CATEGORIA],receitasfixasconsolidadodez[[#This Row],[ATUAL]])</f>
        <v>0</v>
      </c>
      <c r="AG82" s="114" t="n">
        <f aca="false">SUMIFS(tabela_registros[VALOR],tabela_registros[MÊS],$AE$1,tabela_registros[DIA],receitasfixasconsolidadodez[[#Headers],[29]],tabela_registros[REGISTRO],DADOS!$N$3,tabela_registros[TIPO],DADOS!$V$3,tabela_registros[CATEGORIA],receitasfixasconsolidadodez[[#This Row],[ATUAL]])</f>
        <v>0</v>
      </c>
      <c r="AH82" s="114" t="n">
        <f aca="false">SUMIFS(tabela_registros[VALOR],tabela_registros[MÊS],$AE$1,tabela_registros[DIA],receitasfixasconsolidadodez[[#Headers],[30]],tabela_registros[REGISTRO],DADOS!$N$3,tabela_registros[TIPO],DADOS!$V$3,tabela_registros[CATEGORIA],receitasfixasconsolidadodez[[#This Row],[ATUAL]])</f>
        <v>0</v>
      </c>
      <c r="AI82" s="216" t="n">
        <f aca="false">SUMIFS(tabela_registros[VALOR],tabela_registros[MÊS],$AE$1,tabela_registros[DIA],receitasfixasconsolidadodez[[#Headers],[31]],tabela_registros[REGISTRO],DADOS!$N$3,tabela_registros[TIPO],DADOS!$V$3,tabela_registros[CATEGORIA],receitasfixasconsolidadodez[[#This Row],[ATUAL]])</f>
        <v>0</v>
      </c>
      <c r="AJ82" s="149" t="n">
        <f aca="false">SUM(receitasfixasconsolidadodez[[#This Row],[1]:[31]])</f>
        <v>0</v>
      </c>
      <c r="AK82" s="165"/>
    </row>
    <row r="83" customFormat="false" ht="19.5" hidden="false" customHeight="true" outlineLevel="0" collapsed="false">
      <c r="B83" s="143"/>
      <c r="C83" s="144" t="str">
        <f aca="false">DADOS!$X$4</f>
        <v>💸APOSENTADORIA</v>
      </c>
      <c r="D83" s="145" t="str">
        <f aca="false">IF(receitasfixasconsolidadodez[[#This Row],[TOTAL (R$)]]=0,"",IF(OR(receitasfixasconsolidadodez[[#This Row],[TOTAL (R$)]]=LARGE($AJ$82:$AJ$86,1),receitasfixasconsolidadodez[[#This Row],[TOTAL (R$)]]=LARGE($AJ$82:$AJ$86,2)),DADOS!$I$9,""))</f>
        <v/>
      </c>
      <c r="E83" s="148" t="n">
        <f aca="false">SUMIFS(tabela_registros[VALOR],tabela_registros[MÊS],$AE$1,tabela_registros[DIA],receitasfixasconsolidadodez[[#Headers],[1]],tabela_registros[REGISTRO],DADOS!$N$3,tabela_registros[TIPO],DADOS!$V$3,tabela_registros[CATEGORIA],receitasfixasconsolidadodez[[#This Row],[ATUAL]])</f>
        <v>0</v>
      </c>
      <c r="F83" s="119" t="n">
        <f aca="false">SUMIFS(tabela_registros[VALOR],tabela_registros[MÊS],$AE$1,tabela_registros[DIA],receitasfixasconsolidadodez[[#Headers],[2]],tabela_registros[REGISTRO],DADOS!$N$3,tabela_registros[TIPO],DADOS!$V$3,tabela_registros[CATEGORIA],receitasfixasconsolidadodez[[#This Row],[ATUAL]])</f>
        <v>0</v>
      </c>
      <c r="G83" s="119" t="n">
        <f aca="false">SUMIFS(tabela_registros[VALOR],tabela_registros[MÊS],$AE$1,tabela_registros[DIA],receitasfixasconsolidadodez[[#Headers],[3]],tabela_registros[REGISTRO],DADOS!$N$3,tabela_registros[TIPO],DADOS!$V$3,tabela_registros[CATEGORIA],receitasfixasconsolidadodez[[#This Row],[ATUAL]])</f>
        <v>0</v>
      </c>
      <c r="H83" s="119" t="n">
        <f aca="false">SUMIFS(tabela_registros[VALOR],tabela_registros[MÊS],$AE$1,tabela_registros[DIA],receitasfixasconsolidadodez[[#Headers],[4]],tabela_registros[REGISTRO],DADOS!$N$3,tabela_registros[TIPO],DADOS!$V$3,tabela_registros[CATEGORIA],receitasfixasconsolidadodez[[#This Row],[ATUAL]])</f>
        <v>0</v>
      </c>
      <c r="I83" s="119" t="n">
        <f aca="false">SUMIFS(tabela_registros[VALOR],tabela_registros[MÊS],$AE$1,tabela_registros[DIA],receitasfixasconsolidadodez[[#Headers],[5]],tabela_registros[REGISTRO],DADOS!$N$3,tabela_registros[TIPO],DADOS!$V$3,tabela_registros[CATEGORIA],receitasfixasconsolidadodez[[#This Row],[ATUAL]])</f>
        <v>0</v>
      </c>
      <c r="J83" s="119" t="n">
        <f aca="false">SUMIFS(tabela_registros[VALOR],tabela_registros[MÊS],$AE$1,tabela_registros[DIA],receitasfixasconsolidadodez[[#Headers],[6]],tabela_registros[REGISTRO],DADOS!$N$3,tabela_registros[TIPO],DADOS!$V$3,tabela_registros[CATEGORIA],receitasfixasconsolidadodez[[#This Row],[ATUAL]])</f>
        <v>0</v>
      </c>
      <c r="K83" s="119" t="n">
        <f aca="false">SUMIFS(tabela_registros[VALOR],tabela_registros[MÊS],$AE$1,tabela_registros[DIA],receitasfixasconsolidadodez[[#Headers],[7]],tabela_registros[REGISTRO],DADOS!$N$3,tabela_registros[TIPO],DADOS!$V$3,tabela_registros[CATEGORIA],receitasfixasconsolidadodez[[#This Row],[ATUAL]])</f>
        <v>0</v>
      </c>
      <c r="L83" s="119" t="n">
        <f aca="false">SUMIFS(tabela_registros[VALOR],tabela_registros[MÊS],$AE$1,tabela_registros[DIA],receitasfixasconsolidadodez[[#Headers],[8]],tabela_registros[REGISTRO],DADOS!$N$3,tabela_registros[TIPO],DADOS!$V$3,tabela_registros[CATEGORIA],receitasfixasconsolidadodez[[#This Row],[ATUAL]])</f>
        <v>0</v>
      </c>
      <c r="M83" s="119" t="n">
        <f aca="false">SUMIFS(tabela_registros[VALOR],tabela_registros[MÊS],$AE$1,tabela_registros[DIA],receitasfixasconsolidadodez[[#Headers],[9]],tabela_registros[REGISTRO],DADOS!$N$3,tabela_registros[TIPO],DADOS!$V$3,tabela_registros[CATEGORIA],receitasfixasconsolidadodez[[#This Row],[ATUAL]])</f>
        <v>0</v>
      </c>
      <c r="N83" s="119" t="n">
        <f aca="false">SUMIFS(tabela_registros[VALOR],tabela_registros[MÊS],$AE$1,tabela_registros[DIA],receitasfixasconsolidadodez[[#Headers],[10]],tabela_registros[REGISTRO],DADOS!$N$3,tabela_registros[TIPO],DADOS!$V$3,tabela_registros[CATEGORIA],receitasfixasconsolidadodez[[#This Row],[ATUAL]])</f>
        <v>0</v>
      </c>
      <c r="O83" s="119" t="n">
        <f aca="false">SUMIFS(tabela_registros[VALOR],tabela_registros[MÊS],$AE$1,tabela_registros[DIA],receitasfixasconsolidadodez[[#Headers],[11]],tabela_registros[REGISTRO],DADOS!$N$3,tabela_registros[TIPO],DADOS!$V$3,tabela_registros[CATEGORIA],receitasfixasconsolidadodez[[#This Row],[ATUAL]])</f>
        <v>0</v>
      </c>
      <c r="P83" s="119" t="n">
        <f aca="false">SUMIFS(tabela_registros[VALOR],tabela_registros[MÊS],$AE$1,tabela_registros[DIA],receitasfixasconsolidadodez[[#Headers],[12]],tabela_registros[REGISTRO],DADOS!$N$3,tabela_registros[TIPO],DADOS!$V$3,tabela_registros[CATEGORIA],receitasfixasconsolidadodez[[#This Row],[ATUAL]])</f>
        <v>0</v>
      </c>
      <c r="Q83" s="119" t="n">
        <f aca="false">SUMIFS(tabela_registros[VALOR],tabela_registros[MÊS],$AE$1,tabela_registros[DIA],receitasfixasconsolidadodez[[#Headers],[13]],tabela_registros[REGISTRO],DADOS!$N$3,tabela_registros[TIPO],DADOS!$V$3,tabela_registros[CATEGORIA],receitasfixasconsolidadodez[[#This Row],[ATUAL]])</f>
        <v>0</v>
      </c>
      <c r="R83" s="119" t="n">
        <f aca="false">SUMIFS(tabela_registros[VALOR],tabela_registros[MÊS],$AE$1,tabela_registros[DIA],receitasfixasconsolidadodez[[#Headers],[14]],tabela_registros[REGISTRO],DADOS!$N$3,tabela_registros[TIPO],DADOS!$V$3,tabela_registros[CATEGORIA],receitasfixasconsolidadodez[[#This Row],[ATUAL]])</f>
        <v>0</v>
      </c>
      <c r="S83" s="119" t="n">
        <f aca="false">SUMIFS(tabela_registros[VALOR],tabela_registros[MÊS],$AE$1,tabela_registros[DIA],receitasfixasconsolidadodez[[#Headers],[15]],tabela_registros[REGISTRO],DADOS!$N$3,tabela_registros[TIPO],DADOS!$V$3,tabela_registros[CATEGORIA],receitasfixasconsolidadodez[[#This Row],[ATUAL]])</f>
        <v>0</v>
      </c>
      <c r="T83" s="119" t="n">
        <f aca="false">SUMIFS(tabela_registros[VALOR],tabela_registros[MÊS],$AE$1,tabela_registros[DIA],receitasfixasconsolidadodez[[#Headers],[16]],tabela_registros[REGISTRO],DADOS!$N$3,tabela_registros[TIPO],DADOS!$V$3,tabela_registros[CATEGORIA],receitasfixasconsolidadodez[[#This Row],[ATUAL]])</f>
        <v>0</v>
      </c>
      <c r="U83" s="119" t="n">
        <f aca="false">SUMIFS(tabela_registros[VALOR],tabela_registros[MÊS],$AE$1,tabela_registros[DIA],receitasfixasconsolidadodez[[#Headers],[17]],tabela_registros[REGISTRO],DADOS!$N$3,tabela_registros[TIPO],DADOS!$V$3,tabela_registros[CATEGORIA],receitasfixasconsolidadodez[[#This Row],[ATUAL]])</f>
        <v>0</v>
      </c>
      <c r="V83" s="119" t="n">
        <f aca="false">SUMIFS(tabela_registros[VALOR],tabela_registros[MÊS],$AE$1,tabela_registros[DIA],receitasfixasconsolidadodez[[#Headers],[18]],tabela_registros[REGISTRO],DADOS!$N$3,tabela_registros[TIPO],DADOS!$V$3,tabela_registros[CATEGORIA],receitasfixasconsolidadodez[[#This Row],[ATUAL]])</f>
        <v>0</v>
      </c>
      <c r="W83" s="119" t="n">
        <f aca="false">SUMIFS(tabela_registros[VALOR],tabela_registros[MÊS],$AE$1,tabela_registros[DIA],receitasfixasconsolidadodez[[#Headers],[19]],tabela_registros[REGISTRO],DADOS!$N$3,tabela_registros[TIPO],DADOS!$V$3,tabela_registros[CATEGORIA],receitasfixasconsolidadodez[[#This Row],[ATUAL]])</f>
        <v>0</v>
      </c>
      <c r="X83" s="119" t="n">
        <f aca="false">SUMIFS(tabela_registros[VALOR],tabela_registros[MÊS],$AE$1,tabela_registros[DIA],receitasfixasconsolidadodez[[#Headers],[20]],tabela_registros[REGISTRO],DADOS!$N$3,tabela_registros[TIPO],DADOS!$V$3,tabela_registros[CATEGORIA],receitasfixasconsolidadodez[[#This Row],[ATUAL]])</f>
        <v>0</v>
      </c>
      <c r="Y83" s="119" t="n">
        <f aca="false">SUMIFS(tabela_registros[VALOR],tabela_registros[MÊS],$AE$1,tabela_registros[DIA],receitasfixasconsolidadodez[[#Headers],[21]],tabela_registros[REGISTRO],DADOS!$N$3,tabela_registros[TIPO],DADOS!$V$3,tabela_registros[CATEGORIA],receitasfixasconsolidadodez[[#This Row],[ATUAL]])</f>
        <v>0</v>
      </c>
      <c r="Z83" s="119" t="n">
        <f aca="false">SUMIFS(tabela_registros[VALOR],tabela_registros[MÊS],$AE$1,tabela_registros[DIA],receitasfixasconsolidadodez[[#Headers],[22]],tabela_registros[REGISTRO],DADOS!$N$3,tabela_registros[TIPO],DADOS!$V$3,tabela_registros[CATEGORIA],receitasfixasconsolidadodez[[#This Row],[ATUAL]])</f>
        <v>0</v>
      </c>
      <c r="AA83" s="119" t="n">
        <f aca="false">SUMIFS(tabela_registros[VALOR],tabela_registros[MÊS],$AE$1,tabela_registros[DIA],receitasfixasconsolidadodez[[#Headers],[23]],tabela_registros[REGISTRO],DADOS!$N$3,tabela_registros[TIPO],DADOS!$V$3,tabela_registros[CATEGORIA],receitasfixasconsolidadodez[[#This Row],[ATUAL]])</f>
        <v>0</v>
      </c>
      <c r="AB83" s="119" t="n">
        <f aca="false">SUMIFS(tabela_registros[VALOR],tabela_registros[MÊS],$AE$1,tabela_registros[DIA],receitasfixasconsolidadodez[[#Headers],[24]],tabela_registros[REGISTRO],DADOS!$N$3,tabela_registros[TIPO],DADOS!$V$3,tabela_registros[CATEGORIA],receitasfixasconsolidadodez[[#This Row],[ATUAL]])</f>
        <v>0</v>
      </c>
      <c r="AC83" s="119" t="n">
        <f aca="false">SUMIFS(tabela_registros[VALOR],tabela_registros[MÊS],$AE$1,tabela_registros[DIA],receitasfixasconsolidadodez[[#Headers],[25]],tabela_registros[REGISTRO],DADOS!$N$3,tabela_registros[TIPO],DADOS!$V$3,tabela_registros[CATEGORIA],receitasfixasconsolidadodez[[#This Row],[ATUAL]])</f>
        <v>0</v>
      </c>
      <c r="AD83" s="119" t="n">
        <f aca="false">SUMIFS(tabela_registros[VALOR],tabela_registros[MÊS],$AE$1,tabela_registros[DIA],receitasfixasconsolidadodez[[#Headers],[26]],tabela_registros[REGISTRO],DADOS!$N$3,tabela_registros[TIPO],DADOS!$V$3,tabela_registros[CATEGORIA],receitasfixasconsolidadodez[[#This Row],[ATUAL]])</f>
        <v>0</v>
      </c>
      <c r="AE83" s="119" t="n">
        <f aca="false">SUMIFS(tabela_registros[VALOR],tabela_registros[MÊS],$AE$1,tabela_registros[DIA],receitasfixasconsolidadodez[[#Headers],[27]],tabela_registros[REGISTRO],DADOS!$N$3,tabela_registros[TIPO],DADOS!$V$3,tabela_registros[CATEGORIA],receitasfixasconsolidadodez[[#This Row],[ATUAL]])</f>
        <v>0</v>
      </c>
      <c r="AF83" s="119" t="n">
        <f aca="false">SUMIFS(tabela_registros[VALOR],tabela_registros[MÊS],$AE$1,tabela_registros[DIA],receitasfixasconsolidadodez[[#Headers],[28]],tabela_registros[REGISTRO],DADOS!$N$3,tabela_registros[TIPO],DADOS!$V$3,tabela_registros[CATEGORIA],receitasfixasconsolidadodez[[#This Row],[ATUAL]])</f>
        <v>0</v>
      </c>
      <c r="AG83" s="119" t="n">
        <f aca="false">SUMIFS(tabela_registros[VALOR],tabela_registros[MÊS],$AE$1,tabela_registros[DIA],receitasfixasconsolidadodez[[#Headers],[29]],tabela_registros[REGISTRO],DADOS!$N$3,tabela_registros[TIPO],DADOS!$V$3,tabela_registros[CATEGORIA],receitasfixasconsolidadodez[[#This Row],[ATUAL]])</f>
        <v>0</v>
      </c>
      <c r="AH83" s="119" t="n">
        <f aca="false">SUMIFS(tabela_registros[VALOR],tabela_registros[MÊS],$AE$1,tabela_registros[DIA],receitasfixasconsolidadodez[[#Headers],[30]],tabela_registros[REGISTRO],DADOS!$N$3,tabela_registros[TIPO],DADOS!$V$3,tabela_registros[CATEGORIA],receitasfixasconsolidadodez[[#This Row],[ATUAL]])</f>
        <v>0</v>
      </c>
      <c r="AI83" s="217" t="n">
        <f aca="false">SUMIFS(tabela_registros[VALOR],tabela_registros[MÊS],$AE$1,tabela_registros[DIA],receitasfixasconsolidadodez[[#Headers],[31]],tabela_registros[REGISTRO],DADOS!$N$3,tabela_registros[TIPO],DADOS!$V$3,tabela_registros[CATEGORIA],receitasfixasconsolidadodez[[#This Row],[ATUAL]])</f>
        <v>0</v>
      </c>
      <c r="AJ83" s="149" t="n">
        <f aca="false">SUM(receitasfixasconsolidadodez[[#This Row],[1]:[31]])</f>
        <v>0</v>
      </c>
      <c r="AK83" s="165"/>
    </row>
    <row r="84" customFormat="false" ht="19.5" hidden="false" customHeight="true" outlineLevel="0" collapsed="false">
      <c r="B84" s="143"/>
      <c r="C84" s="144" t="str">
        <f aca="false">DADOS!$X$5</f>
        <v>🎀 MESADA</v>
      </c>
      <c r="D84" s="145" t="str">
        <f aca="false">IF(receitasfixasconsolidadodez[[#This Row],[TOTAL (R$)]]=0,"",IF(OR(receitasfixasconsolidadodez[[#This Row],[TOTAL (R$)]]=LARGE($AJ$82:$AJ$86,1),receitasfixasconsolidadodez[[#This Row],[TOTAL (R$)]]=LARGE($AJ$82:$AJ$86,2)),DADOS!$I$9,""))</f>
        <v/>
      </c>
      <c r="E84" s="148" t="n">
        <f aca="false">SUMIFS(tabela_registros[VALOR],tabela_registros[MÊS],$AE$1,tabela_registros[DIA],receitasfixasconsolidadodez[[#Headers],[1]],tabela_registros[REGISTRO],DADOS!$N$3,tabela_registros[TIPO],DADOS!$V$3,tabela_registros[CATEGORIA],receitasfixasconsolidadodez[[#This Row],[ATUAL]])</f>
        <v>0</v>
      </c>
      <c r="F84" s="119" t="n">
        <f aca="false">SUMIFS(tabela_registros[VALOR],tabela_registros[MÊS],$AE$1,tabela_registros[DIA],receitasfixasconsolidadodez[[#Headers],[2]],tabela_registros[REGISTRO],DADOS!$N$3,tabela_registros[TIPO],DADOS!$V$3,tabela_registros[CATEGORIA],receitasfixasconsolidadodez[[#This Row],[ATUAL]])</f>
        <v>0</v>
      </c>
      <c r="G84" s="119" t="n">
        <f aca="false">SUMIFS(tabela_registros[VALOR],tabela_registros[MÊS],$AE$1,tabela_registros[DIA],receitasfixasconsolidadodez[[#Headers],[3]],tabela_registros[REGISTRO],DADOS!$N$3,tabela_registros[TIPO],DADOS!$V$3,tabela_registros[CATEGORIA],receitasfixasconsolidadodez[[#This Row],[ATUAL]])</f>
        <v>0</v>
      </c>
      <c r="H84" s="119" t="n">
        <f aca="false">SUMIFS(tabela_registros[VALOR],tabela_registros[MÊS],$AE$1,tabela_registros[DIA],receitasfixasconsolidadodez[[#Headers],[4]],tabela_registros[REGISTRO],DADOS!$N$3,tabela_registros[TIPO],DADOS!$V$3,tabela_registros[CATEGORIA],receitasfixasconsolidadodez[[#This Row],[ATUAL]])</f>
        <v>0</v>
      </c>
      <c r="I84" s="119" t="n">
        <f aca="false">SUMIFS(tabela_registros[VALOR],tabela_registros[MÊS],$AE$1,tabela_registros[DIA],receitasfixasconsolidadodez[[#Headers],[5]],tabela_registros[REGISTRO],DADOS!$N$3,tabela_registros[TIPO],DADOS!$V$3,tabela_registros[CATEGORIA],receitasfixasconsolidadodez[[#This Row],[ATUAL]])</f>
        <v>0</v>
      </c>
      <c r="J84" s="119" t="n">
        <f aca="false">SUMIFS(tabela_registros[VALOR],tabela_registros[MÊS],$AE$1,tabela_registros[DIA],receitasfixasconsolidadodez[[#Headers],[6]],tabela_registros[REGISTRO],DADOS!$N$3,tabela_registros[TIPO],DADOS!$V$3,tabela_registros[CATEGORIA],receitasfixasconsolidadodez[[#This Row],[ATUAL]])</f>
        <v>0</v>
      </c>
      <c r="K84" s="119" t="n">
        <f aca="false">SUMIFS(tabela_registros[VALOR],tabela_registros[MÊS],$AE$1,tabela_registros[DIA],receitasfixasconsolidadodez[[#Headers],[7]],tabela_registros[REGISTRO],DADOS!$N$3,tabela_registros[TIPO],DADOS!$V$3,tabela_registros[CATEGORIA],receitasfixasconsolidadodez[[#This Row],[ATUAL]])</f>
        <v>0</v>
      </c>
      <c r="L84" s="119" t="n">
        <f aca="false">SUMIFS(tabela_registros[VALOR],tabela_registros[MÊS],$AE$1,tabela_registros[DIA],receitasfixasconsolidadodez[[#Headers],[8]],tabela_registros[REGISTRO],DADOS!$N$3,tabela_registros[TIPO],DADOS!$V$3,tabela_registros[CATEGORIA],receitasfixasconsolidadodez[[#This Row],[ATUAL]])</f>
        <v>0</v>
      </c>
      <c r="M84" s="119" t="n">
        <f aca="false">SUMIFS(tabela_registros[VALOR],tabela_registros[MÊS],$AE$1,tabela_registros[DIA],receitasfixasconsolidadodez[[#Headers],[9]],tabela_registros[REGISTRO],DADOS!$N$3,tabela_registros[TIPO],DADOS!$V$3,tabela_registros[CATEGORIA],receitasfixasconsolidadodez[[#This Row],[ATUAL]])</f>
        <v>0</v>
      </c>
      <c r="N84" s="119" t="n">
        <f aca="false">SUMIFS(tabela_registros[VALOR],tabela_registros[MÊS],$AE$1,tabela_registros[DIA],receitasfixasconsolidadodez[[#Headers],[10]],tabela_registros[REGISTRO],DADOS!$N$3,tabela_registros[TIPO],DADOS!$V$3,tabela_registros[CATEGORIA],receitasfixasconsolidadodez[[#This Row],[ATUAL]])</f>
        <v>0</v>
      </c>
      <c r="O84" s="119" t="n">
        <f aca="false">SUMIFS(tabela_registros[VALOR],tabela_registros[MÊS],$AE$1,tabela_registros[DIA],receitasfixasconsolidadodez[[#Headers],[11]],tabela_registros[REGISTRO],DADOS!$N$3,tabela_registros[TIPO],DADOS!$V$3,tabela_registros[CATEGORIA],receitasfixasconsolidadodez[[#This Row],[ATUAL]])</f>
        <v>0</v>
      </c>
      <c r="P84" s="119" t="n">
        <f aca="false">SUMIFS(tabela_registros[VALOR],tabela_registros[MÊS],$AE$1,tabela_registros[DIA],receitasfixasconsolidadodez[[#Headers],[12]],tabela_registros[REGISTRO],DADOS!$N$3,tabela_registros[TIPO],DADOS!$V$3,tabela_registros[CATEGORIA],receitasfixasconsolidadodez[[#This Row],[ATUAL]])</f>
        <v>0</v>
      </c>
      <c r="Q84" s="119" t="n">
        <f aca="false">SUMIFS(tabela_registros[VALOR],tabela_registros[MÊS],$AE$1,tabela_registros[DIA],receitasfixasconsolidadodez[[#Headers],[13]],tabela_registros[REGISTRO],DADOS!$N$3,tabela_registros[TIPO],DADOS!$V$3,tabela_registros[CATEGORIA],receitasfixasconsolidadodez[[#This Row],[ATUAL]])</f>
        <v>0</v>
      </c>
      <c r="R84" s="119" t="n">
        <f aca="false">SUMIFS(tabela_registros[VALOR],tabela_registros[MÊS],$AE$1,tabela_registros[DIA],receitasfixasconsolidadodez[[#Headers],[14]],tabela_registros[REGISTRO],DADOS!$N$3,tabela_registros[TIPO],DADOS!$V$3,tabela_registros[CATEGORIA],receitasfixasconsolidadodez[[#This Row],[ATUAL]])</f>
        <v>0</v>
      </c>
      <c r="S84" s="119" t="n">
        <f aca="false">SUMIFS(tabela_registros[VALOR],tabela_registros[MÊS],$AE$1,tabela_registros[DIA],receitasfixasconsolidadodez[[#Headers],[15]],tabela_registros[REGISTRO],DADOS!$N$3,tabela_registros[TIPO],DADOS!$V$3,tabela_registros[CATEGORIA],receitasfixasconsolidadodez[[#This Row],[ATUAL]])</f>
        <v>0</v>
      </c>
      <c r="T84" s="119" t="n">
        <f aca="false">SUMIFS(tabela_registros[VALOR],tabela_registros[MÊS],$AE$1,tabela_registros[DIA],receitasfixasconsolidadodez[[#Headers],[16]],tabela_registros[REGISTRO],DADOS!$N$3,tabela_registros[TIPO],DADOS!$V$3,tabela_registros[CATEGORIA],receitasfixasconsolidadodez[[#This Row],[ATUAL]])</f>
        <v>0</v>
      </c>
      <c r="U84" s="119" t="n">
        <f aca="false">SUMIFS(tabela_registros[VALOR],tabela_registros[MÊS],$AE$1,tabela_registros[DIA],receitasfixasconsolidadodez[[#Headers],[17]],tabela_registros[REGISTRO],DADOS!$N$3,tabela_registros[TIPO],DADOS!$V$3,tabela_registros[CATEGORIA],receitasfixasconsolidadodez[[#This Row],[ATUAL]])</f>
        <v>0</v>
      </c>
      <c r="V84" s="119" t="n">
        <f aca="false">SUMIFS(tabela_registros[VALOR],tabela_registros[MÊS],$AE$1,tabela_registros[DIA],receitasfixasconsolidadodez[[#Headers],[18]],tabela_registros[REGISTRO],DADOS!$N$3,tabela_registros[TIPO],DADOS!$V$3,tabela_registros[CATEGORIA],receitasfixasconsolidadodez[[#This Row],[ATUAL]])</f>
        <v>0</v>
      </c>
      <c r="W84" s="119" t="n">
        <f aca="false">SUMIFS(tabela_registros[VALOR],tabela_registros[MÊS],$AE$1,tabela_registros[DIA],receitasfixasconsolidadodez[[#Headers],[19]],tabela_registros[REGISTRO],DADOS!$N$3,tabela_registros[TIPO],DADOS!$V$3,tabela_registros[CATEGORIA],receitasfixasconsolidadodez[[#This Row],[ATUAL]])</f>
        <v>0</v>
      </c>
      <c r="X84" s="119" t="n">
        <f aca="false">SUMIFS(tabela_registros[VALOR],tabela_registros[MÊS],$AE$1,tabela_registros[DIA],receitasfixasconsolidadodez[[#Headers],[20]],tabela_registros[REGISTRO],DADOS!$N$3,tabela_registros[TIPO],DADOS!$V$3,tabela_registros[CATEGORIA],receitasfixasconsolidadodez[[#This Row],[ATUAL]])</f>
        <v>0</v>
      </c>
      <c r="Y84" s="119" t="n">
        <f aca="false">SUMIFS(tabela_registros[VALOR],tabela_registros[MÊS],$AE$1,tabela_registros[DIA],receitasfixasconsolidadodez[[#Headers],[21]],tabela_registros[REGISTRO],DADOS!$N$3,tabela_registros[TIPO],DADOS!$V$3,tabela_registros[CATEGORIA],receitasfixasconsolidadodez[[#This Row],[ATUAL]])</f>
        <v>0</v>
      </c>
      <c r="Z84" s="119" t="n">
        <f aca="false">SUMIFS(tabela_registros[VALOR],tabela_registros[MÊS],$AE$1,tabela_registros[DIA],receitasfixasconsolidadodez[[#Headers],[22]],tabela_registros[REGISTRO],DADOS!$N$3,tabela_registros[TIPO],DADOS!$V$3,tabela_registros[CATEGORIA],receitasfixasconsolidadodez[[#This Row],[ATUAL]])</f>
        <v>0</v>
      </c>
      <c r="AA84" s="119" t="n">
        <f aca="false">SUMIFS(tabela_registros[VALOR],tabela_registros[MÊS],$AE$1,tabela_registros[DIA],receitasfixasconsolidadodez[[#Headers],[23]],tabela_registros[REGISTRO],DADOS!$N$3,tabela_registros[TIPO],DADOS!$V$3,tabela_registros[CATEGORIA],receitasfixasconsolidadodez[[#This Row],[ATUAL]])</f>
        <v>0</v>
      </c>
      <c r="AB84" s="119" t="n">
        <f aca="false">SUMIFS(tabela_registros[VALOR],tabela_registros[MÊS],$AE$1,tabela_registros[DIA],receitasfixasconsolidadodez[[#Headers],[24]],tabela_registros[REGISTRO],DADOS!$N$3,tabela_registros[TIPO],DADOS!$V$3,tabela_registros[CATEGORIA],receitasfixasconsolidadodez[[#This Row],[ATUAL]])</f>
        <v>0</v>
      </c>
      <c r="AC84" s="119" t="n">
        <f aca="false">SUMIFS(tabela_registros[VALOR],tabela_registros[MÊS],$AE$1,tabela_registros[DIA],receitasfixasconsolidadodez[[#Headers],[25]],tabela_registros[REGISTRO],DADOS!$N$3,tabela_registros[TIPO],DADOS!$V$3,tabela_registros[CATEGORIA],receitasfixasconsolidadodez[[#This Row],[ATUAL]])</f>
        <v>0</v>
      </c>
      <c r="AD84" s="119" t="n">
        <f aca="false">SUMIFS(tabela_registros[VALOR],tabela_registros[MÊS],$AE$1,tabela_registros[DIA],receitasfixasconsolidadodez[[#Headers],[26]],tabela_registros[REGISTRO],DADOS!$N$3,tabela_registros[TIPO],DADOS!$V$3,tabela_registros[CATEGORIA],receitasfixasconsolidadodez[[#This Row],[ATUAL]])</f>
        <v>0</v>
      </c>
      <c r="AE84" s="119" t="n">
        <f aca="false">SUMIFS(tabela_registros[VALOR],tabela_registros[MÊS],$AE$1,tabela_registros[DIA],receitasfixasconsolidadodez[[#Headers],[27]],tabela_registros[REGISTRO],DADOS!$N$3,tabela_registros[TIPO],DADOS!$V$3,tabela_registros[CATEGORIA],receitasfixasconsolidadodez[[#This Row],[ATUAL]])</f>
        <v>0</v>
      </c>
      <c r="AF84" s="119" t="n">
        <f aca="false">SUMIFS(tabela_registros[VALOR],tabela_registros[MÊS],$AE$1,tabela_registros[DIA],receitasfixasconsolidadodez[[#Headers],[28]],tabela_registros[REGISTRO],DADOS!$N$3,tabela_registros[TIPO],DADOS!$V$3,tabela_registros[CATEGORIA],receitasfixasconsolidadodez[[#This Row],[ATUAL]])</f>
        <v>0</v>
      </c>
      <c r="AG84" s="119" t="n">
        <f aca="false">SUMIFS(tabela_registros[VALOR],tabela_registros[MÊS],$AE$1,tabela_registros[DIA],receitasfixasconsolidadodez[[#Headers],[29]],tabela_registros[REGISTRO],DADOS!$N$3,tabela_registros[TIPO],DADOS!$V$3,tabela_registros[CATEGORIA],receitasfixasconsolidadodez[[#This Row],[ATUAL]])</f>
        <v>0</v>
      </c>
      <c r="AH84" s="119" t="n">
        <f aca="false">SUMIFS(tabela_registros[VALOR],tabela_registros[MÊS],$AE$1,tabela_registros[DIA],receitasfixasconsolidadodez[[#Headers],[30]],tabela_registros[REGISTRO],DADOS!$N$3,tabela_registros[TIPO],DADOS!$V$3,tabela_registros[CATEGORIA],receitasfixasconsolidadodez[[#This Row],[ATUAL]])</f>
        <v>0</v>
      </c>
      <c r="AI84" s="217" t="n">
        <f aca="false">SUMIFS(tabela_registros[VALOR],tabela_registros[MÊS],$AE$1,tabela_registros[DIA],receitasfixasconsolidadodez[[#Headers],[31]],tabela_registros[REGISTRO],DADOS!$N$3,tabela_registros[TIPO],DADOS!$V$3,tabela_registros[CATEGORIA],receitasfixasconsolidadodez[[#This Row],[ATUAL]])</f>
        <v>0</v>
      </c>
      <c r="AJ84" s="149" t="n">
        <f aca="false">SUM(receitasfixasconsolidadodez[[#This Row],[1]:[31]])</f>
        <v>0</v>
      </c>
      <c r="AK84" s="165"/>
    </row>
    <row r="85" customFormat="false" ht="19.5" hidden="false" customHeight="true" outlineLevel="0" collapsed="false">
      <c r="B85" s="143"/>
      <c r="C85" s="144" t="str">
        <f aca="false">DADOS!$X$6</f>
        <v>💰 SALÁRIO</v>
      </c>
      <c r="D85" s="145" t="str">
        <f aca="false">IF(receitasfixasconsolidadodez[[#This Row],[TOTAL (R$)]]=0,"",IF(OR(receitasfixasconsolidadodez[[#This Row],[TOTAL (R$)]]=LARGE($AJ$82:$AJ$86,1),receitasfixasconsolidadodez[[#This Row],[TOTAL (R$)]]=LARGE($AJ$82:$AJ$86,2)),DADOS!$I$9,""))</f>
        <v/>
      </c>
      <c r="E85" s="148" t="n">
        <f aca="false">SUMIFS(tabela_registros[VALOR],tabela_registros[MÊS],$AE$1,tabela_registros[DIA],receitasfixasconsolidadodez[[#Headers],[1]],tabela_registros[REGISTRO],DADOS!$N$3,tabela_registros[TIPO],DADOS!$V$3,tabela_registros[CATEGORIA],receitasfixasconsolidadodez[[#This Row],[ATUAL]])</f>
        <v>0</v>
      </c>
      <c r="F85" s="119" t="n">
        <f aca="false">SUMIFS(tabela_registros[VALOR],tabela_registros[MÊS],$AE$1,tabela_registros[DIA],receitasfixasconsolidadodez[[#Headers],[2]],tabela_registros[REGISTRO],DADOS!$N$3,tabela_registros[TIPO],DADOS!$V$3,tabela_registros[CATEGORIA],receitasfixasconsolidadodez[[#This Row],[ATUAL]])</f>
        <v>0</v>
      </c>
      <c r="G85" s="119" t="n">
        <f aca="false">SUMIFS(tabela_registros[VALOR],tabela_registros[MÊS],$AE$1,tabela_registros[DIA],receitasfixasconsolidadodez[[#Headers],[3]],tabela_registros[REGISTRO],DADOS!$N$3,tabela_registros[TIPO],DADOS!$V$3,tabela_registros[CATEGORIA],receitasfixasconsolidadodez[[#This Row],[ATUAL]])</f>
        <v>0</v>
      </c>
      <c r="H85" s="119" t="n">
        <f aca="false">SUMIFS(tabela_registros[VALOR],tabela_registros[MÊS],$AE$1,tabela_registros[DIA],receitasfixasconsolidadodez[[#Headers],[4]],tabela_registros[REGISTRO],DADOS!$N$3,tabela_registros[TIPO],DADOS!$V$3,tabela_registros[CATEGORIA],receitasfixasconsolidadodez[[#This Row],[ATUAL]])</f>
        <v>0</v>
      </c>
      <c r="I85" s="119" t="n">
        <f aca="false">SUMIFS(tabela_registros[VALOR],tabela_registros[MÊS],$AE$1,tabela_registros[DIA],receitasfixasconsolidadodez[[#Headers],[5]],tabela_registros[REGISTRO],DADOS!$N$3,tabela_registros[TIPO],DADOS!$V$3,tabela_registros[CATEGORIA],receitasfixasconsolidadodez[[#This Row],[ATUAL]])</f>
        <v>0</v>
      </c>
      <c r="J85" s="119" t="n">
        <f aca="false">SUMIFS(tabela_registros[VALOR],tabela_registros[MÊS],$AE$1,tabela_registros[DIA],receitasfixasconsolidadodez[[#Headers],[6]],tabela_registros[REGISTRO],DADOS!$N$3,tabela_registros[TIPO],DADOS!$V$3,tabela_registros[CATEGORIA],receitasfixasconsolidadodez[[#This Row],[ATUAL]])</f>
        <v>0</v>
      </c>
      <c r="K85" s="119" t="n">
        <f aca="false">SUMIFS(tabela_registros[VALOR],tabela_registros[MÊS],$AE$1,tabela_registros[DIA],receitasfixasconsolidadodez[[#Headers],[7]],tabela_registros[REGISTRO],DADOS!$N$3,tabela_registros[TIPO],DADOS!$V$3,tabela_registros[CATEGORIA],receitasfixasconsolidadodez[[#This Row],[ATUAL]])</f>
        <v>0</v>
      </c>
      <c r="L85" s="119" t="n">
        <f aca="false">SUMIFS(tabela_registros[VALOR],tabela_registros[MÊS],$AE$1,tabela_registros[DIA],receitasfixasconsolidadodez[[#Headers],[8]],tabela_registros[REGISTRO],DADOS!$N$3,tabela_registros[TIPO],DADOS!$V$3,tabela_registros[CATEGORIA],receitasfixasconsolidadodez[[#This Row],[ATUAL]])</f>
        <v>0</v>
      </c>
      <c r="M85" s="119" t="n">
        <f aca="false">SUMIFS(tabela_registros[VALOR],tabela_registros[MÊS],$AE$1,tabela_registros[DIA],receitasfixasconsolidadodez[[#Headers],[9]],tabela_registros[REGISTRO],DADOS!$N$3,tabela_registros[TIPO],DADOS!$V$3,tabela_registros[CATEGORIA],receitasfixasconsolidadodez[[#This Row],[ATUAL]])</f>
        <v>0</v>
      </c>
      <c r="N85" s="119" t="n">
        <f aca="false">SUMIFS(tabela_registros[VALOR],tabela_registros[MÊS],$AE$1,tabela_registros[DIA],receitasfixasconsolidadodez[[#Headers],[10]],tabela_registros[REGISTRO],DADOS!$N$3,tabela_registros[TIPO],DADOS!$V$3,tabela_registros[CATEGORIA],receitasfixasconsolidadodez[[#This Row],[ATUAL]])</f>
        <v>0</v>
      </c>
      <c r="O85" s="119" t="n">
        <f aca="false">SUMIFS(tabela_registros[VALOR],tabela_registros[MÊS],$AE$1,tabela_registros[DIA],receitasfixasconsolidadodez[[#Headers],[11]],tabela_registros[REGISTRO],DADOS!$N$3,tabela_registros[TIPO],DADOS!$V$3,tabela_registros[CATEGORIA],receitasfixasconsolidadodez[[#This Row],[ATUAL]])</f>
        <v>0</v>
      </c>
      <c r="P85" s="119" t="n">
        <f aca="false">SUMIFS(tabela_registros[VALOR],tabela_registros[MÊS],$AE$1,tabela_registros[DIA],receitasfixasconsolidadodez[[#Headers],[12]],tabela_registros[REGISTRO],DADOS!$N$3,tabela_registros[TIPO],DADOS!$V$3,tabela_registros[CATEGORIA],receitasfixasconsolidadodez[[#This Row],[ATUAL]])</f>
        <v>0</v>
      </c>
      <c r="Q85" s="119" t="n">
        <f aca="false">SUMIFS(tabela_registros[VALOR],tabela_registros[MÊS],$AE$1,tabela_registros[DIA],receitasfixasconsolidadodez[[#Headers],[13]],tabela_registros[REGISTRO],DADOS!$N$3,tabela_registros[TIPO],DADOS!$V$3,tabela_registros[CATEGORIA],receitasfixasconsolidadodez[[#This Row],[ATUAL]])</f>
        <v>0</v>
      </c>
      <c r="R85" s="119" t="n">
        <f aca="false">SUMIFS(tabela_registros[VALOR],tabela_registros[MÊS],$AE$1,tabela_registros[DIA],receitasfixasconsolidadodez[[#Headers],[14]],tabela_registros[REGISTRO],DADOS!$N$3,tabela_registros[TIPO],DADOS!$V$3,tabela_registros[CATEGORIA],receitasfixasconsolidadodez[[#This Row],[ATUAL]])</f>
        <v>0</v>
      </c>
      <c r="S85" s="119" t="n">
        <f aca="false">SUMIFS(tabela_registros[VALOR],tabela_registros[MÊS],$AE$1,tabela_registros[DIA],receitasfixasconsolidadodez[[#Headers],[15]],tabela_registros[REGISTRO],DADOS!$N$3,tabela_registros[TIPO],DADOS!$V$3,tabela_registros[CATEGORIA],receitasfixasconsolidadodez[[#This Row],[ATUAL]])</f>
        <v>0</v>
      </c>
      <c r="T85" s="119" t="n">
        <f aca="false">SUMIFS(tabela_registros[VALOR],tabela_registros[MÊS],$AE$1,tabela_registros[DIA],receitasfixasconsolidadodez[[#Headers],[16]],tabela_registros[REGISTRO],DADOS!$N$3,tabela_registros[TIPO],DADOS!$V$3,tabela_registros[CATEGORIA],receitasfixasconsolidadodez[[#This Row],[ATUAL]])</f>
        <v>0</v>
      </c>
      <c r="U85" s="119" t="n">
        <f aca="false">SUMIFS(tabela_registros[VALOR],tabela_registros[MÊS],$AE$1,tabela_registros[DIA],receitasfixasconsolidadodez[[#Headers],[17]],tabela_registros[REGISTRO],DADOS!$N$3,tabela_registros[TIPO],DADOS!$V$3,tabela_registros[CATEGORIA],receitasfixasconsolidadodez[[#This Row],[ATUAL]])</f>
        <v>0</v>
      </c>
      <c r="V85" s="119" t="n">
        <f aca="false">SUMIFS(tabela_registros[VALOR],tabela_registros[MÊS],$AE$1,tabela_registros[DIA],receitasfixasconsolidadodez[[#Headers],[18]],tabela_registros[REGISTRO],DADOS!$N$3,tabela_registros[TIPO],DADOS!$V$3,tabela_registros[CATEGORIA],receitasfixasconsolidadodez[[#This Row],[ATUAL]])</f>
        <v>0</v>
      </c>
      <c r="W85" s="119" t="n">
        <f aca="false">SUMIFS(tabela_registros[VALOR],tabela_registros[MÊS],$AE$1,tabela_registros[DIA],receitasfixasconsolidadodez[[#Headers],[19]],tabela_registros[REGISTRO],DADOS!$N$3,tabela_registros[TIPO],DADOS!$V$3,tabela_registros[CATEGORIA],receitasfixasconsolidadodez[[#This Row],[ATUAL]])</f>
        <v>0</v>
      </c>
      <c r="X85" s="119" t="n">
        <f aca="false">SUMIFS(tabela_registros[VALOR],tabela_registros[MÊS],$AE$1,tabela_registros[DIA],receitasfixasconsolidadodez[[#Headers],[20]],tabela_registros[REGISTRO],DADOS!$N$3,tabela_registros[TIPO],DADOS!$V$3,tabela_registros[CATEGORIA],receitasfixasconsolidadodez[[#This Row],[ATUAL]])</f>
        <v>0</v>
      </c>
      <c r="Y85" s="119" t="n">
        <f aca="false">SUMIFS(tabela_registros[VALOR],tabela_registros[MÊS],$AE$1,tabela_registros[DIA],receitasfixasconsolidadodez[[#Headers],[21]],tabela_registros[REGISTRO],DADOS!$N$3,tabela_registros[TIPO],DADOS!$V$3,tabela_registros[CATEGORIA],receitasfixasconsolidadodez[[#This Row],[ATUAL]])</f>
        <v>0</v>
      </c>
      <c r="Z85" s="119" t="n">
        <f aca="false">SUMIFS(tabela_registros[VALOR],tabela_registros[MÊS],$AE$1,tabela_registros[DIA],receitasfixasconsolidadodez[[#Headers],[22]],tabela_registros[REGISTRO],DADOS!$N$3,tabela_registros[TIPO],DADOS!$V$3,tabela_registros[CATEGORIA],receitasfixasconsolidadodez[[#This Row],[ATUAL]])</f>
        <v>0</v>
      </c>
      <c r="AA85" s="119" t="n">
        <f aca="false">SUMIFS(tabela_registros[VALOR],tabela_registros[MÊS],$AE$1,tabela_registros[DIA],receitasfixasconsolidadodez[[#Headers],[23]],tabela_registros[REGISTRO],DADOS!$N$3,tabela_registros[TIPO],DADOS!$V$3,tabela_registros[CATEGORIA],receitasfixasconsolidadodez[[#This Row],[ATUAL]])</f>
        <v>0</v>
      </c>
      <c r="AB85" s="119" t="n">
        <f aca="false">SUMIFS(tabela_registros[VALOR],tabela_registros[MÊS],$AE$1,tabela_registros[DIA],receitasfixasconsolidadodez[[#Headers],[24]],tabela_registros[REGISTRO],DADOS!$N$3,tabela_registros[TIPO],DADOS!$V$3,tabela_registros[CATEGORIA],receitasfixasconsolidadodez[[#This Row],[ATUAL]])</f>
        <v>0</v>
      </c>
      <c r="AC85" s="119" t="n">
        <f aca="false">SUMIFS(tabela_registros[VALOR],tabela_registros[MÊS],$AE$1,tabela_registros[DIA],receitasfixasconsolidadodez[[#Headers],[25]],tabela_registros[REGISTRO],DADOS!$N$3,tabela_registros[TIPO],DADOS!$V$3,tabela_registros[CATEGORIA],receitasfixasconsolidadodez[[#This Row],[ATUAL]])</f>
        <v>0</v>
      </c>
      <c r="AD85" s="119" t="n">
        <f aca="false">SUMIFS(tabela_registros[VALOR],tabela_registros[MÊS],$AE$1,tabela_registros[DIA],receitasfixasconsolidadodez[[#Headers],[26]],tabela_registros[REGISTRO],DADOS!$N$3,tabela_registros[TIPO],DADOS!$V$3,tabela_registros[CATEGORIA],receitasfixasconsolidadodez[[#This Row],[ATUAL]])</f>
        <v>0</v>
      </c>
      <c r="AE85" s="119" t="n">
        <f aca="false">SUMIFS(tabela_registros[VALOR],tabela_registros[MÊS],$AE$1,tabela_registros[DIA],receitasfixasconsolidadodez[[#Headers],[27]],tabela_registros[REGISTRO],DADOS!$N$3,tabela_registros[TIPO],DADOS!$V$3,tabela_registros[CATEGORIA],receitasfixasconsolidadodez[[#This Row],[ATUAL]])</f>
        <v>0</v>
      </c>
      <c r="AF85" s="119" t="n">
        <f aca="false">SUMIFS(tabela_registros[VALOR],tabela_registros[MÊS],$AE$1,tabela_registros[DIA],receitasfixasconsolidadodez[[#Headers],[28]],tabela_registros[REGISTRO],DADOS!$N$3,tabela_registros[TIPO],DADOS!$V$3,tabela_registros[CATEGORIA],receitasfixasconsolidadodez[[#This Row],[ATUAL]])</f>
        <v>0</v>
      </c>
      <c r="AG85" s="119" t="n">
        <f aca="false">SUMIFS(tabela_registros[VALOR],tabela_registros[MÊS],$AE$1,tabela_registros[DIA],receitasfixasconsolidadodez[[#Headers],[29]],tabela_registros[REGISTRO],DADOS!$N$3,tabela_registros[TIPO],DADOS!$V$3,tabela_registros[CATEGORIA],receitasfixasconsolidadodez[[#This Row],[ATUAL]])</f>
        <v>0</v>
      </c>
      <c r="AH85" s="119" t="n">
        <f aca="false">SUMIFS(tabela_registros[VALOR],tabela_registros[MÊS],$AE$1,tabela_registros[DIA],receitasfixasconsolidadodez[[#Headers],[30]],tabela_registros[REGISTRO],DADOS!$N$3,tabela_registros[TIPO],DADOS!$V$3,tabela_registros[CATEGORIA],receitasfixasconsolidadodez[[#This Row],[ATUAL]])</f>
        <v>0</v>
      </c>
      <c r="AI85" s="217" t="n">
        <f aca="false">SUMIFS(tabela_registros[VALOR],tabela_registros[MÊS],$AE$1,tabela_registros[DIA],receitasfixasconsolidadodez[[#Headers],[31]],tabela_registros[REGISTRO],DADOS!$N$3,tabela_registros[TIPO],DADOS!$V$3,tabela_registros[CATEGORIA],receitasfixasconsolidadodez[[#This Row],[ATUAL]])</f>
        <v>0</v>
      </c>
      <c r="AJ85" s="149" t="n">
        <f aca="false">SUM(receitasfixasconsolidadodez[[#This Row],[1]:[31]])</f>
        <v>0</v>
      </c>
      <c r="AK85" s="165"/>
    </row>
    <row r="86" customFormat="false" ht="18" hidden="false" customHeight="true" outlineLevel="0" collapsed="false">
      <c r="B86" s="143"/>
      <c r="C86" s="144" t="str">
        <f aca="false">DADOS!$X$7</f>
        <v>📎 OUTROS</v>
      </c>
      <c r="D86" s="145" t="str">
        <f aca="false">IF(receitasfixasconsolidadodez[[#This Row],[TOTAL (R$)]]=0,"",IF(OR(receitasfixasconsolidadodez[[#This Row],[TOTAL (R$)]]=LARGE($AJ$82:$AJ$86,1),receitasfixasconsolidadodez[[#This Row],[TOTAL (R$)]]=LARGE($AJ$82:$AJ$86,2)),DADOS!$I$9,""))</f>
        <v/>
      </c>
      <c r="E86" s="148" t="n">
        <f aca="false">SUMIFS(tabela_registros[VALOR],tabela_registros[MÊS],$AE$1,tabela_registros[DIA],receitasfixasconsolidadodez[[#Headers],[1]],tabela_registros[REGISTRO],DADOS!$N$3,tabela_registros[TIPO],DADOS!$V$3,tabela_registros[CATEGORIA],receitasfixasconsolidadodez[[#This Row],[ATUAL]])</f>
        <v>0</v>
      </c>
      <c r="F86" s="119" t="n">
        <f aca="false">SUMIFS(tabela_registros[VALOR],tabela_registros[MÊS],$AE$1,tabela_registros[DIA],receitasfixasconsolidadodez[[#Headers],[2]],tabela_registros[REGISTRO],DADOS!$N$3,tabela_registros[TIPO],DADOS!$V$3,tabela_registros[CATEGORIA],receitasfixasconsolidadodez[[#This Row],[ATUAL]])</f>
        <v>0</v>
      </c>
      <c r="G86" s="119" t="n">
        <f aca="false">SUMIFS(tabela_registros[VALOR],tabela_registros[MÊS],$AE$1,tabela_registros[DIA],receitasfixasconsolidadodez[[#Headers],[3]],tabela_registros[REGISTRO],DADOS!$N$3,tabela_registros[TIPO],DADOS!$V$3,tabela_registros[CATEGORIA],receitasfixasconsolidadodez[[#This Row],[ATUAL]])</f>
        <v>0</v>
      </c>
      <c r="H86" s="119" t="n">
        <f aca="false">SUMIFS(tabela_registros[VALOR],tabela_registros[MÊS],$AE$1,tabela_registros[DIA],receitasfixasconsolidadodez[[#Headers],[4]],tabela_registros[REGISTRO],DADOS!$N$3,tabela_registros[TIPO],DADOS!$V$3,tabela_registros[CATEGORIA],receitasfixasconsolidadodez[[#This Row],[ATUAL]])</f>
        <v>0</v>
      </c>
      <c r="I86" s="119" t="n">
        <f aca="false">SUMIFS(tabela_registros[VALOR],tabela_registros[MÊS],$AE$1,tabela_registros[DIA],receitasfixasconsolidadodez[[#Headers],[5]],tabela_registros[REGISTRO],DADOS!$N$3,tabela_registros[TIPO],DADOS!$V$3,tabela_registros[CATEGORIA],receitasfixasconsolidadodez[[#This Row],[ATUAL]])</f>
        <v>0</v>
      </c>
      <c r="J86" s="119" t="n">
        <f aca="false">SUMIFS(tabela_registros[VALOR],tabela_registros[MÊS],$AE$1,tabela_registros[DIA],receitasfixasconsolidadodez[[#Headers],[6]],tabela_registros[REGISTRO],DADOS!$N$3,tabela_registros[TIPO],DADOS!$V$3,tabela_registros[CATEGORIA],receitasfixasconsolidadodez[[#This Row],[ATUAL]])</f>
        <v>0</v>
      </c>
      <c r="K86" s="119" t="n">
        <f aca="false">SUMIFS(tabela_registros[VALOR],tabela_registros[MÊS],$AE$1,tabela_registros[DIA],receitasfixasconsolidadodez[[#Headers],[7]],tabela_registros[REGISTRO],DADOS!$N$3,tabela_registros[TIPO],DADOS!$V$3,tabela_registros[CATEGORIA],receitasfixasconsolidadodez[[#This Row],[ATUAL]])</f>
        <v>0</v>
      </c>
      <c r="L86" s="119" t="n">
        <f aca="false">SUMIFS(tabela_registros[VALOR],tabela_registros[MÊS],$AE$1,tabela_registros[DIA],receitasfixasconsolidadodez[[#Headers],[8]],tabela_registros[REGISTRO],DADOS!$N$3,tabela_registros[TIPO],DADOS!$V$3,tabela_registros[CATEGORIA],receitasfixasconsolidadodez[[#This Row],[ATUAL]])</f>
        <v>0</v>
      </c>
      <c r="M86" s="119" t="n">
        <f aca="false">SUMIFS(tabela_registros[VALOR],tabela_registros[MÊS],$AE$1,tabela_registros[DIA],receitasfixasconsolidadodez[[#Headers],[9]],tabela_registros[REGISTRO],DADOS!$N$3,tabela_registros[TIPO],DADOS!$V$3,tabela_registros[CATEGORIA],receitasfixasconsolidadodez[[#This Row],[ATUAL]])</f>
        <v>0</v>
      </c>
      <c r="N86" s="119" t="n">
        <f aca="false">SUMIFS(tabela_registros[VALOR],tabela_registros[MÊS],$AE$1,tabela_registros[DIA],receitasfixasconsolidadodez[[#Headers],[10]],tabela_registros[REGISTRO],DADOS!$N$3,tabela_registros[TIPO],DADOS!$V$3,tabela_registros[CATEGORIA],receitasfixasconsolidadodez[[#This Row],[ATUAL]])</f>
        <v>0</v>
      </c>
      <c r="O86" s="119" t="n">
        <f aca="false">SUMIFS(tabela_registros[VALOR],tabela_registros[MÊS],$AE$1,tabela_registros[DIA],receitasfixasconsolidadodez[[#Headers],[11]],tabela_registros[REGISTRO],DADOS!$N$3,tabela_registros[TIPO],DADOS!$V$3,tabela_registros[CATEGORIA],receitasfixasconsolidadodez[[#This Row],[ATUAL]])</f>
        <v>0</v>
      </c>
      <c r="P86" s="119" t="n">
        <f aca="false">SUMIFS(tabela_registros[VALOR],tabela_registros[MÊS],$AE$1,tabela_registros[DIA],receitasfixasconsolidadodez[[#Headers],[12]],tabela_registros[REGISTRO],DADOS!$N$3,tabela_registros[TIPO],DADOS!$V$3,tabela_registros[CATEGORIA],receitasfixasconsolidadodez[[#This Row],[ATUAL]])</f>
        <v>0</v>
      </c>
      <c r="Q86" s="119" t="n">
        <f aca="false">SUMIFS(tabela_registros[VALOR],tabela_registros[MÊS],$AE$1,tabela_registros[DIA],receitasfixasconsolidadodez[[#Headers],[13]],tabela_registros[REGISTRO],DADOS!$N$3,tabela_registros[TIPO],DADOS!$V$3,tabela_registros[CATEGORIA],receitasfixasconsolidadodez[[#This Row],[ATUAL]])</f>
        <v>0</v>
      </c>
      <c r="R86" s="119" t="n">
        <f aca="false">SUMIFS(tabela_registros[VALOR],tabela_registros[MÊS],$AE$1,tabela_registros[DIA],receitasfixasconsolidadodez[[#Headers],[14]],tabela_registros[REGISTRO],DADOS!$N$3,tabela_registros[TIPO],DADOS!$V$3,tabela_registros[CATEGORIA],receitasfixasconsolidadodez[[#This Row],[ATUAL]])</f>
        <v>0</v>
      </c>
      <c r="S86" s="119" t="n">
        <f aca="false">SUMIFS(tabela_registros[VALOR],tabela_registros[MÊS],$AE$1,tabela_registros[DIA],receitasfixasconsolidadodez[[#Headers],[15]],tabela_registros[REGISTRO],DADOS!$N$3,tabela_registros[TIPO],DADOS!$V$3,tabela_registros[CATEGORIA],receitasfixasconsolidadodez[[#This Row],[ATUAL]])</f>
        <v>0</v>
      </c>
      <c r="T86" s="119" t="n">
        <f aca="false">SUMIFS(tabela_registros[VALOR],tabela_registros[MÊS],$AE$1,tabela_registros[DIA],receitasfixasconsolidadodez[[#Headers],[16]],tabela_registros[REGISTRO],DADOS!$N$3,tabela_registros[TIPO],DADOS!$V$3,tabela_registros[CATEGORIA],receitasfixasconsolidadodez[[#This Row],[ATUAL]])</f>
        <v>0</v>
      </c>
      <c r="U86" s="119" t="n">
        <f aca="false">SUMIFS(tabela_registros[VALOR],tabela_registros[MÊS],$AE$1,tabela_registros[DIA],receitasfixasconsolidadodez[[#Headers],[17]],tabela_registros[REGISTRO],DADOS!$N$3,tabela_registros[TIPO],DADOS!$V$3,tabela_registros[CATEGORIA],receitasfixasconsolidadodez[[#This Row],[ATUAL]])</f>
        <v>0</v>
      </c>
      <c r="V86" s="119" t="n">
        <f aca="false">SUMIFS(tabela_registros[VALOR],tabela_registros[MÊS],$AE$1,tabela_registros[DIA],receitasfixasconsolidadodez[[#Headers],[18]],tabela_registros[REGISTRO],DADOS!$N$3,tabela_registros[TIPO],DADOS!$V$3,tabela_registros[CATEGORIA],receitasfixasconsolidadodez[[#This Row],[ATUAL]])</f>
        <v>0</v>
      </c>
      <c r="W86" s="119" t="n">
        <f aca="false">SUMIFS(tabela_registros[VALOR],tabela_registros[MÊS],$AE$1,tabela_registros[DIA],receitasfixasconsolidadodez[[#Headers],[19]],tabela_registros[REGISTRO],DADOS!$N$3,tabela_registros[TIPO],DADOS!$V$3,tabela_registros[CATEGORIA],receitasfixasconsolidadodez[[#This Row],[ATUAL]])</f>
        <v>0</v>
      </c>
      <c r="X86" s="119" t="n">
        <f aca="false">SUMIFS(tabela_registros[VALOR],tabela_registros[MÊS],$AE$1,tabela_registros[DIA],receitasfixasconsolidadodez[[#Headers],[20]],tabela_registros[REGISTRO],DADOS!$N$3,tabela_registros[TIPO],DADOS!$V$3,tabela_registros[CATEGORIA],receitasfixasconsolidadodez[[#This Row],[ATUAL]])</f>
        <v>0</v>
      </c>
      <c r="Y86" s="119" t="n">
        <f aca="false">SUMIFS(tabela_registros[VALOR],tabela_registros[MÊS],$AE$1,tabela_registros[DIA],receitasfixasconsolidadodez[[#Headers],[21]],tabela_registros[REGISTRO],DADOS!$N$3,tabela_registros[TIPO],DADOS!$V$3,tabela_registros[CATEGORIA],receitasfixasconsolidadodez[[#This Row],[ATUAL]])</f>
        <v>0</v>
      </c>
      <c r="Z86" s="119" t="n">
        <f aca="false">SUMIFS(tabela_registros[VALOR],tabela_registros[MÊS],$AE$1,tabela_registros[DIA],receitasfixasconsolidadodez[[#Headers],[22]],tabela_registros[REGISTRO],DADOS!$N$3,tabela_registros[TIPO],DADOS!$V$3,tabela_registros[CATEGORIA],receitasfixasconsolidadodez[[#This Row],[ATUAL]])</f>
        <v>0</v>
      </c>
      <c r="AA86" s="119" t="n">
        <f aca="false">SUMIFS(tabela_registros[VALOR],tabela_registros[MÊS],$AE$1,tabela_registros[DIA],receitasfixasconsolidadodez[[#Headers],[23]],tabela_registros[REGISTRO],DADOS!$N$3,tabela_registros[TIPO],DADOS!$V$3,tabela_registros[CATEGORIA],receitasfixasconsolidadodez[[#This Row],[ATUAL]])</f>
        <v>0</v>
      </c>
      <c r="AB86" s="119" t="n">
        <f aca="false">SUMIFS(tabela_registros[VALOR],tabela_registros[MÊS],$AE$1,tabela_registros[DIA],receitasfixasconsolidadodez[[#Headers],[24]],tabela_registros[REGISTRO],DADOS!$N$3,tabela_registros[TIPO],DADOS!$V$3,tabela_registros[CATEGORIA],receitasfixasconsolidadodez[[#This Row],[ATUAL]])</f>
        <v>0</v>
      </c>
      <c r="AC86" s="119" t="n">
        <f aca="false">SUMIFS(tabela_registros[VALOR],tabela_registros[MÊS],$AE$1,tabela_registros[DIA],receitasfixasconsolidadodez[[#Headers],[25]],tabela_registros[REGISTRO],DADOS!$N$3,tabela_registros[TIPO],DADOS!$V$3,tabela_registros[CATEGORIA],receitasfixasconsolidadodez[[#This Row],[ATUAL]])</f>
        <v>0</v>
      </c>
      <c r="AD86" s="119" t="n">
        <f aca="false">SUMIFS(tabela_registros[VALOR],tabela_registros[MÊS],$AE$1,tabela_registros[DIA],receitasfixasconsolidadodez[[#Headers],[26]],tabela_registros[REGISTRO],DADOS!$N$3,tabela_registros[TIPO],DADOS!$V$3,tabela_registros[CATEGORIA],receitasfixasconsolidadodez[[#This Row],[ATUAL]])</f>
        <v>0</v>
      </c>
      <c r="AE86" s="119" t="n">
        <f aca="false">SUMIFS(tabela_registros[VALOR],tabela_registros[MÊS],$AE$1,tabela_registros[DIA],receitasfixasconsolidadodez[[#Headers],[27]],tabela_registros[REGISTRO],DADOS!$N$3,tabela_registros[TIPO],DADOS!$V$3,tabela_registros[CATEGORIA],receitasfixasconsolidadodez[[#This Row],[ATUAL]])</f>
        <v>0</v>
      </c>
      <c r="AF86" s="119" t="n">
        <f aca="false">SUMIFS(tabela_registros[VALOR],tabela_registros[MÊS],$AE$1,tabela_registros[DIA],receitasfixasconsolidadodez[[#Headers],[28]],tabela_registros[REGISTRO],DADOS!$N$3,tabela_registros[TIPO],DADOS!$V$3,tabela_registros[CATEGORIA],receitasfixasconsolidadodez[[#This Row],[ATUAL]])</f>
        <v>0</v>
      </c>
      <c r="AG86" s="119" t="n">
        <f aca="false">SUMIFS(tabela_registros[VALOR],tabela_registros[MÊS],$AE$1,tabela_registros[DIA],receitasfixasconsolidadodez[[#Headers],[29]],tabela_registros[REGISTRO],DADOS!$N$3,tabela_registros[TIPO],DADOS!$V$3,tabela_registros[CATEGORIA],receitasfixasconsolidadodez[[#This Row],[ATUAL]])</f>
        <v>0</v>
      </c>
      <c r="AH86" s="119" t="n">
        <f aca="false">SUMIFS(tabela_registros[VALOR],tabela_registros[MÊS],$AE$1,tabela_registros[DIA],receitasfixasconsolidadodez[[#Headers],[30]],tabela_registros[REGISTRO],DADOS!$N$3,tabela_registros[TIPO],DADOS!$V$3,tabela_registros[CATEGORIA],receitasfixasconsolidadodez[[#This Row],[ATUAL]])</f>
        <v>0</v>
      </c>
      <c r="AI86" s="218" t="n">
        <f aca="false">SUMIFS(tabela_registros[VALOR],tabela_registros[MÊS],$AE$1,tabela_registros[DIA],receitasfixasconsolidadodez[[#Headers],[31]],tabela_registros[REGISTRO],DADOS!$N$3,tabela_registros[TIPO],DADOS!$V$3,tabela_registros[CATEGORIA],receitasfixasconsolidadodez[[#This Row],[ATUAL]])</f>
        <v>0</v>
      </c>
      <c r="AJ86" s="149" t="n">
        <f aca="false">SUM(receitasfixasconsolidadodez[[#This Row],[1]:[31]])</f>
        <v>0</v>
      </c>
      <c r="AK86" s="165"/>
    </row>
    <row r="87" s="122" customFormat="true" ht="21" hidden="false" customHeight="true" outlineLevel="0" collapsed="false">
      <c r="B87" s="152"/>
      <c r="C87" s="153" t="s">
        <v>2</v>
      </c>
      <c r="D87" s="166"/>
      <c r="E87" s="155" t="n">
        <f aca="false">SUM(E82:E86)</f>
        <v>0</v>
      </c>
      <c r="F87" s="156" t="n">
        <f aca="false">SUM(F82:F86)+receitasfixasconsolidadodez[[#This Row],[1]]</f>
        <v>0</v>
      </c>
      <c r="G87" s="156" t="n">
        <f aca="false">SUM(G82:G86)+receitasfixasconsolidadodez[[#This Row],[2]]</f>
        <v>0</v>
      </c>
      <c r="H87" s="156" t="n">
        <f aca="false">SUM(H82:H86)+receitasfixasconsolidadodez[[#This Row],[3]]</f>
        <v>0</v>
      </c>
      <c r="I87" s="156" t="n">
        <f aca="false">SUM(I82:I86)+receitasfixasconsolidadodez[[#This Row],[4]]</f>
        <v>0</v>
      </c>
      <c r="J87" s="156" t="n">
        <f aca="false">SUM(J82:J86)+receitasfixasconsolidadodez[[#This Row],[5]]</f>
        <v>0</v>
      </c>
      <c r="K87" s="156" t="n">
        <f aca="false">SUM(K82:K86)+receitasfixasconsolidadodez[[#This Row],[6]]</f>
        <v>0</v>
      </c>
      <c r="L87" s="156" t="n">
        <f aca="false">SUM(L82:L86)+receitasfixasconsolidadodez[[#This Row],[7]]</f>
        <v>0</v>
      </c>
      <c r="M87" s="156" t="n">
        <f aca="false">SUM(M82:M86)+receitasfixasconsolidadodez[[#This Row],[8]]</f>
        <v>0</v>
      </c>
      <c r="N87" s="156" t="n">
        <f aca="false">SUM(N82:N86)+receitasfixasconsolidadodez[[#This Row],[9]]</f>
        <v>0</v>
      </c>
      <c r="O87" s="156" t="n">
        <f aca="false">SUM(O82:O86)+receitasfixasconsolidadodez[[#This Row],[10]]</f>
        <v>0</v>
      </c>
      <c r="P87" s="156" t="n">
        <f aca="false">SUM(P82:P86)+receitasfixasconsolidadodez[[#This Row],[11]]</f>
        <v>0</v>
      </c>
      <c r="Q87" s="156" t="n">
        <f aca="false">SUM(Q82:Q86)+receitasfixasconsolidadodez[[#This Row],[12]]</f>
        <v>0</v>
      </c>
      <c r="R87" s="156" t="n">
        <f aca="false">SUM(R82:R86)+receitasfixasconsolidadodez[[#This Row],[13]]</f>
        <v>0</v>
      </c>
      <c r="S87" s="156" t="n">
        <f aca="false">SUM(S82:S86)+receitasfixasconsolidadodez[[#This Row],[14]]</f>
        <v>0</v>
      </c>
      <c r="T87" s="156" t="n">
        <f aca="false">SUM(T82:T86)+receitasfixasconsolidadodez[[#This Row],[15]]</f>
        <v>0</v>
      </c>
      <c r="U87" s="156" t="n">
        <f aca="false">SUM(U82:U86)+receitasfixasconsolidadodez[[#This Row],[16]]</f>
        <v>0</v>
      </c>
      <c r="V87" s="156" t="n">
        <f aca="false">SUM(V82:V86)+receitasfixasconsolidadodez[[#This Row],[17]]</f>
        <v>0</v>
      </c>
      <c r="W87" s="156" t="n">
        <f aca="false">SUM(W82:W86)+receitasfixasconsolidadodez[[#This Row],[18]]</f>
        <v>0</v>
      </c>
      <c r="X87" s="156" t="n">
        <f aca="false">SUM(X82:X86)+receitasfixasconsolidadodez[[#This Row],[19]]</f>
        <v>0</v>
      </c>
      <c r="Y87" s="156" t="n">
        <f aca="false">SUM(Y82:Y86)+receitasfixasconsolidadodez[[#This Row],[20]]</f>
        <v>0</v>
      </c>
      <c r="Z87" s="156" t="n">
        <f aca="false">SUM(Z82:Z86)+receitasfixasconsolidadodez[[#This Row],[21]]</f>
        <v>0</v>
      </c>
      <c r="AA87" s="156" t="n">
        <f aca="false">SUM(AA82:AA86)+receitasfixasconsolidadodez[[#This Row],[22]]</f>
        <v>0</v>
      </c>
      <c r="AB87" s="156" t="n">
        <f aca="false">SUM(AB82:AB86)+receitasfixasconsolidadodez[[#This Row],[23]]</f>
        <v>0</v>
      </c>
      <c r="AC87" s="156" t="n">
        <f aca="false">SUM(AC82:AC86)+receitasfixasconsolidadodez[[#This Row],[24]]</f>
        <v>0</v>
      </c>
      <c r="AD87" s="156" t="n">
        <f aca="false">SUM(AD82:AD86)+receitasfixasconsolidadodez[[#This Row],[25]]</f>
        <v>0</v>
      </c>
      <c r="AE87" s="156" t="n">
        <f aca="false">SUM(AE82:AE86)+receitasfixasconsolidadodez[[#This Row],[26]]</f>
        <v>0</v>
      </c>
      <c r="AF87" s="156" t="n">
        <f aca="false">SUM(AF82:AF86)+receitasfixasconsolidadodez[[#This Row],[27]]</f>
        <v>0</v>
      </c>
      <c r="AG87" s="156" t="n">
        <f aca="false">SUM(AG82:AG86)+receitasfixasconsolidadodez[[#This Row],[28]]</f>
        <v>0</v>
      </c>
      <c r="AH87" s="156" t="n">
        <f aca="false">SUM(AH82:AH86)+receitasfixasconsolidadodez[[#This Row],[29]]</f>
        <v>0</v>
      </c>
      <c r="AI87" s="223" t="n">
        <f aca="false">SUM(AI82:AI86)+receitasfixasconsolidadodez[[#This Row],[30]]</f>
        <v>0</v>
      </c>
      <c r="AJ87" s="157" t="n">
        <f aca="false">receitasfixasconsolidadodez[[#This Row],[31]]</f>
        <v>0</v>
      </c>
      <c r="AK87" s="158"/>
    </row>
    <row r="88" customFormat="false" ht="6.75" hidden="false" customHeight="true" outlineLevel="0" collapsed="false">
      <c r="B88" s="97"/>
      <c r="C88" s="162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233"/>
      <c r="AJ88" s="164"/>
      <c r="AK88" s="244"/>
    </row>
    <row r="89" s="78" customFormat="true" ht="12.75" hidden="false" customHeight="false" outlineLevel="0" collapsed="false">
      <c r="E89" s="100"/>
    </row>
    <row r="90" s="78" customFormat="true" ht="12" hidden="false" customHeight="false" outlineLevel="0" collapsed="false"/>
    <row r="91" s="78" customFormat="true" ht="12" hidden="false" customHeight="false" outlineLevel="0" collapsed="false"/>
    <row r="92" customFormat="false" ht="39.75" hidden="false" customHeight="true" outlineLevel="0" collapsed="false">
      <c r="C92" s="101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3" t="s">
        <v>2</v>
      </c>
    </row>
    <row r="93" s="78" customFormat="true" ht="12.75" hidden="false" customHeight="false" outlineLevel="0" collapsed="false">
      <c r="B93" s="161"/>
      <c r="AJ93" s="106" t="s">
        <v>64</v>
      </c>
    </row>
    <row r="94" customFormat="false" ht="6.75" hidden="false" customHeight="true" outlineLevel="0" collapsed="false">
      <c r="B94" s="86"/>
      <c r="C94" s="162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233"/>
      <c r="AK94" s="139"/>
    </row>
    <row r="95" customFormat="false" ht="13.5" hidden="true" customHeight="false" outlineLevel="0" collapsed="false">
      <c r="B95" s="86"/>
      <c r="C95" s="109" t="s">
        <v>68</v>
      </c>
      <c r="D95" s="110" t="s">
        <v>69</v>
      </c>
      <c r="E95" s="110" t="s">
        <v>30</v>
      </c>
      <c r="F95" s="110" t="s">
        <v>31</v>
      </c>
      <c r="G95" s="110" t="s">
        <v>32</v>
      </c>
      <c r="H95" s="110" t="s">
        <v>33</v>
      </c>
      <c r="I95" s="110" t="s">
        <v>34</v>
      </c>
      <c r="J95" s="110" t="s">
        <v>35</v>
      </c>
      <c r="K95" s="110" t="s">
        <v>36</v>
      </c>
      <c r="L95" s="110" t="s">
        <v>37</v>
      </c>
      <c r="M95" s="110" t="s">
        <v>38</v>
      </c>
      <c r="N95" s="110" t="s">
        <v>39</v>
      </c>
      <c r="O95" s="110" t="s">
        <v>40</v>
      </c>
      <c r="P95" s="110" t="s">
        <v>41</v>
      </c>
      <c r="Q95" s="110" t="s">
        <v>81</v>
      </c>
      <c r="R95" s="110" t="s">
        <v>82</v>
      </c>
      <c r="S95" s="110" t="s">
        <v>83</v>
      </c>
      <c r="T95" s="110" t="s">
        <v>84</v>
      </c>
      <c r="U95" s="110" t="s">
        <v>85</v>
      </c>
      <c r="V95" s="110" t="s">
        <v>86</v>
      </c>
      <c r="W95" s="110" t="s">
        <v>87</v>
      </c>
      <c r="X95" s="110" t="s">
        <v>88</v>
      </c>
      <c r="Y95" s="110" t="s">
        <v>89</v>
      </c>
      <c r="Z95" s="110" t="s">
        <v>90</v>
      </c>
      <c r="AA95" s="110" t="s">
        <v>91</v>
      </c>
      <c r="AB95" s="110" t="s">
        <v>92</v>
      </c>
      <c r="AC95" s="110" t="s">
        <v>93</v>
      </c>
      <c r="AD95" s="110" t="s">
        <v>94</v>
      </c>
      <c r="AE95" s="110" t="s">
        <v>95</v>
      </c>
      <c r="AF95" s="110" t="s">
        <v>96</v>
      </c>
      <c r="AG95" s="110" t="s">
        <v>97</v>
      </c>
      <c r="AH95" s="110" t="s">
        <v>98</v>
      </c>
      <c r="AI95" s="110" t="s">
        <v>99</v>
      </c>
      <c r="AJ95" s="111" t="s">
        <v>70</v>
      </c>
      <c r="AK95" s="86"/>
    </row>
    <row r="96" customFormat="false" ht="19.5" hidden="false" customHeight="true" outlineLevel="0" collapsed="false">
      <c r="B96" s="143"/>
      <c r="C96" s="144" t="str">
        <f aca="false">DADOS!$Z$3</f>
        <v>🏅 BÔNUS</v>
      </c>
      <c r="D96" s="145" t="str">
        <f aca="false">IF(receitasvariáveisconsolidadodez[[#This Row],[TOTAL (R$)]]=0,"",IF(OR(receitasvariáveisconsolidadodez[[#This Row],[TOTAL (R$)]]=LARGE($AJ$96:$AJ$103,1),receitasvariáveisconsolidadodez[[#This Row],[TOTAL (R$)]]=LARGE($AJ$96:$AJ$103,2)),DADOS!$I$9,""))</f>
        <v/>
      </c>
      <c r="E96" s="148" t="n">
        <f aca="false">SUMIFS(tabela_registros[VALOR],tabela_registros[MÊS],$AE$1,tabela_registros[DIA],receitasvariáveisconsolidadodez[[#Headers],[1]],tabela_registros[REGISTRO],DADOS!$N$3,tabela_registros[TIPO],DADOS!$V$4,tabela_registros[CATEGORIA],receitasvariáveisconsolidadodez[[#This Row],[ATUAL]])</f>
        <v>0</v>
      </c>
      <c r="F96" s="119" t="n">
        <f aca="false">SUMIFS(tabela_registros[VALOR],tabela_registros[MÊS],$AE$1,tabela_registros[DIA],receitasvariáveisconsolidadodez[[#Headers],[2]],tabela_registros[REGISTRO],DADOS!$N$3,tabela_registros[TIPO],DADOS!$V$4,tabela_registros[CATEGORIA],receitasvariáveisconsolidadodez[[#This Row],[ATUAL]])</f>
        <v>0</v>
      </c>
      <c r="G96" s="119" t="n">
        <f aca="false">SUMIFS(tabela_registros[VALOR],tabela_registros[MÊS],$AE$1,tabela_registros[DIA],receitasvariáveisconsolidadodez[[#Headers],[3]],tabela_registros[REGISTRO],DADOS!$N$3,tabela_registros[TIPO],DADOS!$V$4,tabela_registros[CATEGORIA],receitasvariáveisconsolidadodez[[#This Row],[ATUAL]])</f>
        <v>0</v>
      </c>
      <c r="H96" s="119" t="n">
        <f aca="false">SUMIFS(tabela_registros[VALOR],tabela_registros[MÊS],$AE$1,tabela_registros[DIA],receitasvariáveisconsolidadodez[[#Headers],[4]],tabela_registros[REGISTRO],DADOS!$N$3,tabela_registros[TIPO],DADOS!$V$4,tabela_registros[CATEGORIA],receitasvariáveisconsolidadodez[[#This Row],[ATUAL]])</f>
        <v>0</v>
      </c>
      <c r="I96" s="119" t="n">
        <f aca="false">SUMIFS(tabela_registros[VALOR],tabela_registros[MÊS],$AE$1,tabela_registros[DIA],receitasvariáveisconsolidadodez[[#Headers],[5]],tabela_registros[REGISTRO],DADOS!$N$3,tabela_registros[TIPO],DADOS!$V$4,tabela_registros[CATEGORIA],receitasvariáveisconsolidadodez[[#This Row],[ATUAL]])</f>
        <v>0</v>
      </c>
      <c r="J96" s="119" t="n">
        <f aca="false">SUMIFS(tabela_registros[VALOR],tabela_registros[MÊS],$AE$1,tabela_registros[DIA],receitasvariáveisconsolidadodez[[#Headers],[6]],tabela_registros[REGISTRO],DADOS!$N$3,tabela_registros[TIPO],DADOS!$V$4,tabela_registros[CATEGORIA],receitasvariáveisconsolidadodez[[#This Row],[ATUAL]])</f>
        <v>0</v>
      </c>
      <c r="K96" s="119" t="n">
        <f aca="false">SUMIFS(tabela_registros[VALOR],tabela_registros[MÊS],$AE$1,tabela_registros[DIA],receitasvariáveisconsolidadodez[[#Headers],[7]],tabela_registros[REGISTRO],DADOS!$N$3,tabela_registros[TIPO],DADOS!$V$4,tabela_registros[CATEGORIA],receitasvariáveisconsolidadodez[[#This Row],[ATUAL]])</f>
        <v>0</v>
      </c>
      <c r="L96" s="119" t="n">
        <f aca="false">SUMIFS(tabela_registros[VALOR],tabela_registros[MÊS],$AE$1,tabela_registros[DIA],receitasvariáveisconsolidadodez[[#Headers],[8]],tabela_registros[REGISTRO],DADOS!$N$3,tabela_registros[TIPO],DADOS!$V$4,tabela_registros[CATEGORIA],receitasvariáveisconsolidadodez[[#This Row],[ATUAL]])</f>
        <v>0</v>
      </c>
      <c r="M96" s="119" t="n">
        <f aca="false">SUMIFS(tabela_registros[VALOR],tabela_registros[MÊS],$AE$1,tabela_registros[DIA],receitasvariáveisconsolidadodez[[#Headers],[9]],tabela_registros[REGISTRO],DADOS!$N$3,tabela_registros[TIPO],DADOS!$V$4,tabela_registros[CATEGORIA],receitasvariáveisconsolidadodez[[#This Row],[ATUAL]])</f>
        <v>0</v>
      </c>
      <c r="N96" s="119" t="n">
        <f aca="false">SUMIFS(tabela_registros[VALOR],tabela_registros[MÊS],$AE$1,tabela_registros[DIA],receitasvariáveisconsolidadodez[[#Headers],[10]],tabela_registros[REGISTRO],DADOS!$N$3,tabela_registros[TIPO],DADOS!$V$4,tabela_registros[CATEGORIA],receitasvariáveisconsolidadodez[[#This Row],[ATUAL]])</f>
        <v>0</v>
      </c>
      <c r="O96" s="119" t="n">
        <f aca="false">SUMIFS(tabela_registros[VALOR],tabela_registros[MÊS],$AE$1,tabela_registros[DIA],receitasvariáveisconsolidadodez[[#Headers],[11]],tabela_registros[REGISTRO],DADOS!$N$3,tabela_registros[TIPO],DADOS!$V$4,tabela_registros[CATEGORIA],receitasvariáveisconsolidadodez[[#This Row],[ATUAL]])</f>
        <v>0</v>
      </c>
      <c r="P96" s="119" t="n">
        <f aca="false">SUMIFS(tabela_registros[VALOR],tabela_registros[MÊS],$AE$1,tabela_registros[DIA],receitasvariáveisconsolidadodez[[#Headers],[12]],tabela_registros[REGISTRO],DADOS!$N$3,tabela_registros[TIPO],DADOS!$V$4,tabela_registros[CATEGORIA],receitasvariáveisconsolidadodez[[#This Row],[ATUAL]])</f>
        <v>0</v>
      </c>
      <c r="Q96" s="119" t="n">
        <f aca="false">SUMIFS(tabela_registros[VALOR],tabela_registros[MÊS],$AE$1,tabela_registros[DIA],receitasvariáveisconsolidadodez[[#Headers],[13]],tabela_registros[REGISTRO],DADOS!$N$3,tabela_registros[TIPO],DADOS!$V$4,tabela_registros[CATEGORIA],receitasvariáveisconsolidadodez[[#This Row],[ATUAL]])</f>
        <v>0</v>
      </c>
      <c r="R96" s="119" t="n">
        <f aca="false">SUMIFS(tabela_registros[VALOR],tabela_registros[MÊS],$AE$1,tabela_registros[DIA],receitasvariáveisconsolidadodez[[#Headers],[14]],tabela_registros[REGISTRO],DADOS!$N$3,tabela_registros[TIPO],DADOS!$V$4,tabela_registros[CATEGORIA],receitasvariáveisconsolidadodez[[#This Row],[ATUAL]])</f>
        <v>0</v>
      </c>
      <c r="S96" s="119" t="n">
        <f aca="false">SUMIFS(tabela_registros[VALOR],tabela_registros[MÊS],$AE$1,tabela_registros[DIA],receitasvariáveisconsolidadodez[[#Headers],[15]],tabela_registros[REGISTRO],DADOS!$N$3,tabela_registros[TIPO],DADOS!$V$4,tabela_registros[CATEGORIA],receitasvariáveisconsolidadodez[[#This Row],[ATUAL]])</f>
        <v>0</v>
      </c>
      <c r="T96" s="119" t="n">
        <f aca="false">SUMIFS(tabela_registros[VALOR],tabela_registros[MÊS],$AE$1,tabela_registros[DIA],receitasvariáveisconsolidadodez[[#Headers],[16]],tabela_registros[REGISTRO],DADOS!$N$3,tabela_registros[TIPO],DADOS!$V$4,tabela_registros[CATEGORIA],receitasvariáveisconsolidadodez[[#This Row],[ATUAL]])</f>
        <v>0</v>
      </c>
      <c r="U96" s="119" t="n">
        <f aca="false">SUMIFS(tabela_registros[VALOR],tabela_registros[MÊS],$AE$1,tabela_registros[DIA],receitasvariáveisconsolidadodez[[#Headers],[17]],tabela_registros[REGISTRO],DADOS!$N$3,tabela_registros[TIPO],DADOS!$V$4,tabela_registros[CATEGORIA],receitasvariáveisconsolidadodez[[#This Row],[ATUAL]])</f>
        <v>0</v>
      </c>
      <c r="V96" s="119" t="n">
        <f aca="false">SUMIFS(tabela_registros[VALOR],tabela_registros[MÊS],$AE$1,tabela_registros[DIA],receitasvariáveisconsolidadodez[[#Headers],[18]],tabela_registros[REGISTRO],DADOS!$N$3,tabela_registros[TIPO],DADOS!$V$4,tabela_registros[CATEGORIA],receitasvariáveisconsolidadodez[[#This Row],[ATUAL]])</f>
        <v>0</v>
      </c>
      <c r="W96" s="119" t="n">
        <f aca="false">SUMIFS(tabela_registros[VALOR],tabela_registros[MÊS],$AE$1,tabela_registros[DIA],receitasvariáveisconsolidadodez[[#Headers],[19]],tabela_registros[REGISTRO],DADOS!$N$3,tabela_registros[TIPO],DADOS!$V$4,tabela_registros[CATEGORIA],receitasvariáveisconsolidadodez[[#This Row],[ATUAL]])</f>
        <v>0</v>
      </c>
      <c r="X96" s="119" t="n">
        <f aca="false">SUMIFS(tabela_registros[VALOR],tabela_registros[MÊS],$AE$1,tabela_registros[DIA],receitasvariáveisconsolidadodez[[#Headers],[20]],tabela_registros[REGISTRO],DADOS!$N$3,tabela_registros[TIPO],DADOS!$V$4,tabela_registros[CATEGORIA],receitasvariáveisconsolidadodez[[#This Row],[ATUAL]])</f>
        <v>0</v>
      </c>
      <c r="Y96" s="119" t="n">
        <f aca="false">SUMIFS(tabela_registros[VALOR],tabela_registros[MÊS],$AE$1,tabela_registros[DIA],receitasvariáveisconsolidadodez[[#Headers],[21]],tabela_registros[REGISTRO],DADOS!$N$3,tabela_registros[TIPO],DADOS!$V$4,tabela_registros[CATEGORIA],receitasvariáveisconsolidadodez[[#This Row],[ATUAL]])</f>
        <v>0</v>
      </c>
      <c r="Z96" s="119" t="n">
        <f aca="false">SUMIFS(tabela_registros[VALOR],tabela_registros[MÊS],$AE$1,tabela_registros[DIA],receitasvariáveisconsolidadodez[[#Headers],[22]],tabela_registros[REGISTRO],DADOS!$N$3,tabela_registros[TIPO],DADOS!$V$4,tabela_registros[CATEGORIA],receitasvariáveisconsolidadodez[[#This Row],[ATUAL]])</f>
        <v>0</v>
      </c>
      <c r="AA96" s="119" t="n">
        <f aca="false">SUMIFS(tabela_registros[VALOR],tabela_registros[MÊS],$AE$1,tabela_registros[DIA],receitasvariáveisconsolidadodez[[#Headers],[23]],tabela_registros[REGISTRO],DADOS!$N$3,tabela_registros[TIPO],DADOS!$V$4,tabela_registros[CATEGORIA],receitasvariáveisconsolidadodez[[#This Row],[ATUAL]])</f>
        <v>0</v>
      </c>
      <c r="AB96" s="119" t="n">
        <f aca="false">SUMIFS(tabela_registros[VALOR],tabela_registros[MÊS],$AE$1,tabela_registros[DIA],receitasvariáveisconsolidadodez[[#Headers],[24]],tabela_registros[REGISTRO],DADOS!$N$3,tabela_registros[TIPO],DADOS!$V$4,tabela_registros[CATEGORIA],receitasvariáveisconsolidadodez[[#This Row],[ATUAL]])</f>
        <v>0</v>
      </c>
      <c r="AC96" s="119" t="n">
        <f aca="false">SUMIFS(tabela_registros[VALOR],tabela_registros[MÊS],$AE$1,tabela_registros[DIA],receitasvariáveisconsolidadodez[[#Headers],[25]],tabela_registros[REGISTRO],DADOS!$N$3,tabela_registros[TIPO],DADOS!$V$4,tabela_registros[CATEGORIA],receitasvariáveisconsolidadodez[[#This Row],[ATUAL]])</f>
        <v>0</v>
      </c>
      <c r="AD96" s="119" t="n">
        <f aca="false">SUMIFS(tabela_registros[VALOR],tabela_registros[MÊS],$AE$1,tabela_registros[DIA],receitasvariáveisconsolidadodez[[#Headers],[26]],tabela_registros[REGISTRO],DADOS!$N$3,tabela_registros[TIPO],DADOS!$V$4,tabela_registros[CATEGORIA],receitasvariáveisconsolidadodez[[#This Row],[ATUAL]])</f>
        <v>0</v>
      </c>
      <c r="AE96" s="119" t="n">
        <f aca="false">SUMIFS(tabela_registros[VALOR],tabela_registros[MÊS],$AE$1,tabela_registros[DIA],receitasvariáveisconsolidadodez[[#Headers],[27]],tabela_registros[REGISTRO],DADOS!$N$3,tabela_registros[TIPO],DADOS!$V$4,tabela_registros[CATEGORIA],receitasvariáveisconsolidadodez[[#This Row],[ATUAL]])</f>
        <v>0</v>
      </c>
      <c r="AF96" s="119" t="n">
        <f aca="false">SUMIFS(tabela_registros[VALOR],tabela_registros[MÊS],$AE$1,tabela_registros[DIA],receitasvariáveisconsolidadodez[[#Headers],[28]],tabela_registros[REGISTRO],DADOS!$N$3,tabela_registros[TIPO],DADOS!$V$4,tabela_registros[CATEGORIA],receitasvariáveisconsolidadodez[[#This Row],[ATUAL]])</f>
        <v>0</v>
      </c>
      <c r="AG96" s="119" t="n">
        <f aca="false">SUMIFS(tabela_registros[VALOR],tabela_registros[MÊS],$AE$1,tabela_registros[DIA],receitasvariáveisconsolidadodez[[#Headers],[29]],tabela_registros[REGISTRO],DADOS!$N$3,tabela_registros[TIPO],DADOS!$V$4,tabela_registros[CATEGORIA],receitasvariáveisconsolidadodez[[#This Row],[ATUAL]])</f>
        <v>0</v>
      </c>
      <c r="AH96" s="119" t="n">
        <f aca="false">SUMIFS(tabela_registros[VALOR],tabela_registros[MÊS],$AE$1,tabela_registros[DIA],receitasvariáveisconsolidadodez[[#Headers],[30]],tabela_registros[REGISTRO],DADOS!$N$3,tabela_registros[TIPO],DADOS!$V$4,tabela_registros[CATEGORIA],receitasvariáveisconsolidadodez[[#This Row],[ATUAL]])</f>
        <v>0</v>
      </c>
      <c r="AI96" s="217" t="n">
        <f aca="false">SUMIFS(tabela_registros[VALOR],tabela_registros[MÊS],$AE$1,tabela_registros[DIA],receitasvariáveisconsolidadodez[[#Headers],[31]],tabela_registros[REGISTRO],DADOS!$N$3,tabela_registros[TIPO],DADOS!$V$4,tabela_registros[CATEGORIA],receitasvariáveisconsolidadodez[[#This Row],[ATUAL]])</f>
        <v>0</v>
      </c>
      <c r="AJ96" s="149" t="n">
        <f aca="false">SUM(receitasvariáveisconsolidadodez[[#This Row],[1]:[31]])</f>
        <v>0</v>
      </c>
      <c r="AK96" s="165"/>
    </row>
    <row r="97" customFormat="false" ht="19.5" hidden="false" customHeight="true" outlineLevel="0" collapsed="false">
      <c r="B97" s="143"/>
      <c r="C97" s="144" t="str">
        <f aca="false">DADOS!$Z$4</f>
        <v>🤑 COMISSÃO</v>
      </c>
      <c r="D97" s="145" t="str">
        <f aca="false">IF(receitasvariáveisconsolidadodez[[#This Row],[TOTAL (R$)]]=0,"",IF(OR(receitasvariáveisconsolidadodez[[#This Row],[TOTAL (R$)]]=LARGE($AJ$96:$AJ$103,1),receitasvariáveisconsolidadodez[[#This Row],[TOTAL (R$)]]=LARGE($AJ$96:$AJ$103,2)),DADOS!$I$9,""))</f>
        <v/>
      </c>
      <c r="E97" s="148" t="n">
        <f aca="false">SUMIFS(tabela_registros[VALOR],tabela_registros[MÊS],$AE$1,tabela_registros[DIA],receitasvariáveisconsolidadodez[[#Headers],[1]],tabela_registros[REGISTRO],DADOS!$N$3,tabela_registros[TIPO],DADOS!$V$4,tabela_registros[CATEGORIA],receitasvariáveisconsolidadodez[[#This Row],[ATUAL]])</f>
        <v>0</v>
      </c>
      <c r="F97" s="119" t="n">
        <f aca="false">SUMIFS(tabela_registros[VALOR],tabela_registros[MÊS],$AE$1,tabela_registros[DIA],receitasvariáveisconsolidadodez[[#Headers],[2]],tabela_registros[REGISTRO],DADOS!$N$3,tabela_registros[TIPO],DADOS!$V$4,tabela_registros[CATEGORIA],receitasvariáveisconsolidadodez[[#This Row],[ATUAL]])</f>
        <v>0</v>
      </c>
      <c r="G97" s="119" t="n">
        <f aca="false">SUMIFS(tabela_registros[VALOR],tabela_registros[MÊS],$AE$1,tabela_registros[DIA],receitasvariáveisconsolidadodez[[#Headers],[3]],tabela_registros[REGISTRO],DADOS!$N$3,tabela_registros[TIPO],DADOS!$V$4,tabela_registros[CATEGORIA],receitasvariáveisconsolidadodez[[#This Row],[ATUAL]])</f>
        <v>0</v>
      </c>
      <c r="H97" s="119" t="n">
        <f aca="false">SUMIFS(tabela_registros[VALOR],tabela_registros[MÊS],$AE$1,tabela_registros[DIA],receitasvariáveisconsolidadodez[[#Headers],[4]],tabela_registros[REGISTRO],DADOS!$N$3,tabela_registros[TIPO],DADOS!$V$4,tabela_registros[CATEGORIA],receitasvariáveisconsolidadodez[[#This Row],[ATUAL]])</f>
        <v>0</v>
      </c>
      <c r="I97" s="119" t="n">
        <f aca="false">SUMIFS(tabela_registros[VALOR],tabela_registros[MÊS],$AE$1,tabela_registros[DIA],receitasvariáveisconsolidadodez[[#Headers],[5]],tabela_registros[REGISTRO],DADOS!$N$3,tabela_registros[TIPO],DADOS!$V$4,tabela_registros[CATEGORIA],receitasvariáveisconsolidadodez[[#This Row],[ATUAL]])</f>
        <v>0</v>
      </c>
      <c r="J97" s="119" t="n">
        <f aca="false">SUMIFS(tabela_registros[VALOR],tabela_registros[MÊS],$AE$1,tabela_registros[DIA],receitasvariáveisconsolidadodez[[#Headers],[6]],tabela_registros[REGISTRO],DADOS!$N$3,tabela_registros[TIPO],DADOS!$V$4,tabela_registros[CATEGORIA],receitasvariáveisconsolidadodez[[#This Row],[ATUAL]])</f>
        <v>0</v>
      </c>
      <c r="K97" s="119" t="n">
        <f aca="false">SUMIFS(tabela_registros[VALOR],tabela_registros[MÊS],$AE$1,tabela_registros[DIA],receitasvariáveisconsolidadodez[[#Headers],[7]],tabela_registros[REGISTRO],DADOS!$N$3,tabela_registros[TIPO],DADOS!$V$4,tabela_registros[CATEGORIA],receitasvariáveisconsolidadodez[[#This Row],[ATUAL]])</f>
        <v>0</v>
      </c>
      <c r="L97" s="119" t="n">
        <f aca="false">SUMIFS(tabela_registros[VALOR],tabela_registros[MÊS],$AE$1,tabela_registros[DIA],receitasvariáveisconsolidadodez[[#Headers],[8]],tabela_registros[REGISTRO],DADOS!$N$3,tabela_registros[TIPO],DADOS!$V$4,tabela_registros[CATEGORIA],receitasvariáveisconsolidadodez[[#This Row],[ATUAL]])</f>
        <v>0</v>
      </c>
      <c r="M97" s="119" t="n">
        <f aca="false">SUMIFS(tabela_registros[VALOR],tabela_registros[MÊS],$AE$1,tabela_registros[DIA],receitasvariáveisconsolidadodez[[#Headers],[9]],tabela_registros[REGISTRO],DADOS!$N$3,tabela_registros[TIPO],DADOS!$V$4,tabela_registros[CATEGORIA],receitasvariáveisconsolidadodez[[#This Row],[ATUAL]])</f>
        <v>0</v>
      </c>
      <c r="N97" s="119" t="n">
        <f aca="false">SUMIFS(tabela_registros[VALOR],tabela_registros[MÊS],$AE$1,tabela_registros[DIA],receitasvariáveisconsolidadodez[[#Headers],[10]],tabela_registros[REGISTRO],DADOS!$N$3,tabela_registros[TIPO],DADOS!$V$4,tabela_registros[CATEGORIA],receitasvariáveisconsolidadodez[[#This Row],[ATUAL]])</f>
        <v>0</v>
      </c>
      <c r="O97" s="119" t="n">
        <f aca="false">SUMIFS(tabela_registros[VALOR],tabela_registros[MÊS],$AE$1,tabela_registros[DIA],receitasvariáveisconsolidadodez[[#Headers],[11]],tabela_registros[REGISTRO],DADOS!$N$3,tabela_registros[TIPO],DADOS!$V$4,tabela_registros[CATEGORIA],receitasvariáveisconsolidadodez[[#This Row],[ATUAL]])</f>
        <v>0</v>
      </c>
      <c r="P97" s="119" t="n">
        <f aca="false">SUMIFS(tabela_registros[VALOR],tabela_registros[MÊS],$AE$1,tabela_registros[DIA],receitasvariáveisconsolidadodez[[#Headers],[12]],tabela_registros[REGISTRO],DADOS!$N$3,tabela_registros[TIPO],DADOS!$V$4,tabela_registros[CATEGORIA],receitasvariáveisconsolidadodez[[#This Row],[ATUAL]])</f>
        <v>0</v>
      </c>
      <c r="Q97" s="119" t="n">
        <f aca="false">SUMIFS(tabela_registros[VALOR],tabela_registros[MÊS],$AE$1,tabela_registros[DIA],receitasvariáveisconsolidadodez[[#Headers],[13]],tabela_registros[REGISTRO],DADOS!$N$3,tabela_registros[TIPO],DADOS!$V$4,tabela_registros[CATEGORIA],receitasvariáveisconsolidadodez[[#This Row],[ATUAL]])</f>
        <v>0</v>
      </c>
      <c r="R97" s="119" t="n">
        <f aca="false">SUMIFS(tabela_registros[VALOR],tabela_registros[MÊS],$AE$1,tabela_registros[DIA],receitasvariáveisconsolidadodez[[#Headers],[14]],tabela_registros[REGISTRO],DADOS!$N$3,tabela_registros[TIPO],DADOS!$V$4,tabela_registros[CATEGORIA],receitasvariáveisconsolidadodez[[#This Row],[ATUAL]])</f>
        <v>0</v>
      </c>
      <c r="S97" s="119" t="n">
        <f aca="false">SUMIFS(tabela_registros[VALOR],tabela_registros[MÊS],$AE$1,tabela_registros[DIA],receitasvariáveisconsolidadodez[[#Headers],[15]],tabela_registros[REGISTRO],DADOS!$N$3,tabela_registros[TIPO],DADOS!$V$4,tabela_registros[CATEGORIA],receitasvariáveisconsolidadodez[[#This Row],[ATUAL]])</f>
        <v>0</v>
      </c>
      <c r="T97" s="119" t="n">
        <f aca="false">SUMIFS(tabela_registros[VALOR],tabela_registros[MÊS],$AE$1,tabela_registros[DIA],receitasvariáveisconsolidadodez[[#Headers],[16]],tabela_registros[REGISTRO],DADOS!$N$3,tabela_registros[TIPO],DADOS!$V$4,tabela_registros[CATEGORIA],receitasvariáveisconsolidadodez[[#This Row],[ATUAL]])</f>
        <v>0</v>
      </c>
      <c r="U97" s="119" t="n">
        <f aca="false">SUMIFS(tabela_registros[VALOR],tabela_registros[MÊS],$AE$1,tabela_registros[DIA],receitasvariáveisconsolidadodez[[#Headers],[17]],tabela_registros[REGISTRO],DADOS!$N$3,tabela_registros[TIPO],DADOS!$V$4,tabela_registros[CATEGORIA],receitasvariáveisconsolidadodez[[#This Row],[ATUAL]])</f>
        <v>0</v>
      </c>
      <c r="V97" s="119" t="n">
        <f aca="false">SUMIFS(tabela_registros[VALOR],tabela_registros[MÊS],$AE$1,tabela_registros[DIA],receitasvariáveisconsolidadodez[[#Headers],[18]],tabela_registros[REGISTRO],DADOS!$N$3,tabela_registros[TIPO],DADOS!$V$4,tabela_registros[CATEGORIA],receitasvariáveisconsolidadodez[[#This Row],[ATUAL]])</f>
        <v>0</v>
      </c>
      <c r="W97" s="119" t="n">
        <f aca="false">SUMIFS(tabela_registros[VALOR],tabela_registros[MÊS],$AE$1,tabela_registros[DIA],receitasvariáveisconsolidadodez[[#Headers],[19]],tabela_registros[REGISTRO],DADOS!$N$3,tabela_registros[TIPO],DADOS!$V$4,tabela_registros[CATEGORIA],receitasvariáveisconsolidadodez[[#This Row],[ATUAL]])</f>
        <v>0</v>
      </c>
      <c r="X97" s="119" t="n">
        <f aca="false">SUMIFS(tabela_registros[VALOR],tabela_registros[MÊS],$AE$1,tabela_registros[DIA],receitasvariáveisconsolidadodez[[#Headers],[20]],tabela_registros[REGISTRO],DADOS!$N$3,tabela_registros[TIPO],DADOS!$V$4,tabela_registros[CATEGORIA],receitasvariáveisconsolidadodez[[#This Row],[ATUAL]])</f>
        <v>0</v>
      </c>
      <c r="Y97" s="119" t="n">
        <f aca="false">SUMIFS(tabela_registros[VALOR],tabela_registros[MÊS],$AE$1,tabela_registros[DIA],receitasvariáveisconsolidadodez[[#Headers],[21]],tabela_registros[REGISTRO],DADOS!$N$3,tabela_registros[TIPO],DADOS!$V$4,tabela_registros[CATEGORIA],receitasvariáveisconsolidadodez[[#This Row],[ATUAL]])</f>
        <v>0</v>
      </c>
      <c r="Z97" s="119" t="n">
        <f aca="false">SUMIFS(tabela_registros[VALOR],tabela_registros[MÊS],$AE$1,tabela_registros[DIA],receitasvariáveisconsolidadodez[[#Headers],[22]],tabela_registros[REGISTRO],DADOS!$N$3,tabela_registros[TIPO],DADOS!$V$4,tabela_registros[CATEGORIA],receitasvariáveisconsolidadodez[[#This Row],[ATUAL]])</f>
        <v>0</v>
      </c>
      <c r="AA97" s="119" t="n">
        <f aca="false">SUMIFS(tabela_registros[VALOR],tabela_registros[MÊS],$AE$1,tabela_registros[DIA],receitasvariáveisconsolidadodez[[#Headers],[23]],tabela_registros[REGISTRO],DADOS!$N$3,tabela_registros[TIPO],DADOS!$V$4,tabela_registros[CATEGORIA],receitasvariáveisconsolidadodez[[#This Row],[ATUAL]])</f>
        <v>0</v>
      </c>
      <c r="AB97" s="119" t="n">
        <f aca="false">SUMIFS(tabela_registros[VALOR],tabela_registros[MÊS],$AE$1,tabela_registros[DIA],receitasvariáveisconsolidadodez[[#Headers],[24]],tabela_registros[REGISTRO],DADOS!$N$3,tabela_registros[TIPO],DADOS!$V$4,tabela_registros[CATEGORIA],receitasvariáveisconsolidadodez[[#This Row],[ATUAL]])</f>
        <v>0</v>
      </c>
      <c r="AC97" s="119" t="n">
        <f aca="false">SUMIFS(tabela_registros[VALOR],tabela_registros[MÊS],$AE$1,tabela_registros[DIA],receitasvariáveisconsolidadodez[[#Headers],[25]],tabela_registros[REGISTRO],DADOS!$N$3,tabela_registros[TIPO],DADOS!$V$4,tabela_registros[CATEGORIA],receitasvariáveisconsolidadodez[[#This Row],[ATUAL]])</f>
        <v>0</v>
      </c>
      <c r="AD97" s="119" t="n">
        <f aca="false">SUMIFS(tabela_registros[VALOR],tabela_registros[MÊS],$AE$1,tabela_registros[DIA],receitasvariáveisconsolidadodez[[#Headers],[26]],tabela_registros[REGISTRO],DADOS!$N$3,tabela_registros[TIPO],DADOS!$V$4,tabela_registros[CATEGORIA],receitasvariáveisconsolidadodez[[#This Row],[ATUAL]])</f>
        <v>0</v>
      </c>
      <c r="AE97" s="119" t="n">
        <f aca="false">SUMIFS(tabela_registros[VALOR],tabela_registros[MÊS],$AE$1,tabela_registros[DIA],receitasvariáveisconsolidadodez[[#Headers],[27]],tabela_registros[REGISTRO],DADOS!$N$3,tabela_registros[TIPO],DADOS!$V$4,tabela_registros[CATEGORIA],receitasvariáveisconsolidadodez[[#This Row],[ATUAL]])</f>
        <v>0</v>
      </c>
      <c r="AF97" s="119" t="n">
        <f aca="false">SUMIFS(tabela_registros[VALOR],tabela_registros[MÊS],$AE$1,tabela_registros[DIA],receitasvariáveisconsolidadodez[[#Headers],[28]],tabela_registros[REGISTRO],DADOS!$N$3,tabela_registros[TIPO],DADOS!$V$4,tabela_registros[CATEGORIA],receitasvariáveisconsolidadodez[[#This Row],[ATUAL]])</f>
        <v>0</v>
      </c>
      <c r="AG97" s="119" t="n">
        <f aca="false">SUMIFS(tabela_registros[VALOR],tabela_registros[MÊS],$AE$1,tabela_registros[DIA],receitasvariáveisconsolidadodez[[#Headers],[29]],tabela_registros[REGISTRO],DADOS!$N$3,tabela_registros[TIPO],DADOS!$V$4,tabela_registros[CATEGORIA],receitasvariáveisconsolidadodez[[#This Row],[ATUAL]])</f>
        <v>0</v>
      </c>
      <c r="AH97" s="119" t="n">
        <f aca="false">SUMIFS(tabela_registros[VALOR],tabela_registros[MÊS],$AE$1,tabela_registros[DIA],receitasvariáveisconsolidadodez[[#Headers],[30]],tabela_registros[REGISTRO],DADOS!$N$3,tabela_registros[TIPO],DADOS!$V$4,tabela_registros[CATEGORIA],receitasvariáveisconsolidadodez[[#This Row],[ATUAL]])</f>
        <v>0</v>
      </c>
      <c r="AI97" s="217" t="n">
        <f aca="false">SUMIFS(tabela_registros[VALOR],tabela_registros[MÊS],$AE$1,tabela_registros[DIA],receitasvariáveisconsolidadodez[[#Headers],[31]],tabela_registros[REGISTRO],DADOS!$N$3,tabela_registros[TIPO],DADOS!$V$4,tabela_registros[CATEGORIA],receitasvariáveisconsolidadodez[[#This Row],[ATUAL]])</f>
        <v>0</v>
      </c>
      <c r="AJ97" s="149" t="n">
        <f aca="false">SUM(receitasvariáveisconsolidadodez[[#This Row],[1]:[31]])</f>
        <v>0</v>
      </c>
      <c r="AK97" s="165"/>
    </row>
    <row r="98" customFormat="false" ht="19.5" hidden="false" customHeight="true" outlineLevel="0" collapsed="false">
      <c r="B98" s="143"/>
      <c r="C98" s="144" t="str">
        <f aca="false">DADOS!$Z$5</f>
        <v>🎗️ HERANÇA</v>
      </c>
      <c r="D98" s="145" t="str">
        <f aca="false">IF(receitasvariáveisconsolidadodez[[#This Row],[TOTAL (R$)]]=0,"",IF(OR(receitasvariáveisconsolidadodez[[#This Row],[TOTAL (R$)]]=LARGE($AJ$96:$AJ$103,1),receitasvariáveisconsolidadodez[[#This Row],[TOTAL (R$)]]=LARGE($AJ$96:$AJ$103,2)),DADOS!$I$9,""))</f>
        <v/>
      </c>
      <c r="E98" s="148" t="n">
        <f aca="false">SUMIFS(tabela_registros[VALOR],tabela_registros[MÊS],$AE$1,tabela_registros[DIA],receitasvariáveisconsolidadodez[[#Headers],[1]],tabela_registros[REGISTRO],DADOS!$N$3,tabela_registros[TIPO],DADOS!$V$4,tabela_registros[CATEGORIA],receitasvariáveisconsolidadodez[[#This Row],[ATUAL]])</f>
        <v>0</v>
      </c>
      <c r="F98" s="119" t="n">
        <f aca="false">SUMIFS(tabela_registros[VALOR],tabela_registros[MÊS],$AE$1,tabela_registros[DIA],receitasvariáveisconsolidadodez[[#Headers],[2]],tabela_registros[REGISTRO],DADOS!$N$3,tabela_registros[TIPO],DADOS!$V$4,tabela_registros[CATEGORIA],receitasvariáveisconsolidadodez[[#This Row],[ATUAL]])</f>
        <v>0</v>
      </c>
      <c r="G98" s="119" t="n">
        <f aca="false">SUMIFS(tabela_registros[VALOR],tabela_registros[MÊS],$AE$1,tabela_registros[DIA],receitasvariáveisconsolidadodez[[#Headers],[3]],tabela_registros[REGISTRO],DADOS!$N$3,tabela_registros[TIPO],DADOS!$V$4,tabela_registros[CATEGORIA],receitasvariáveisconsolidadodez[[#This Row],[ATUAL]])</f>
        <v>0</v>
      </c>
      <c r="H98" s="119" t="n">
        <f aca="false">SUMIFS(tabela_registros[VALOR],tabela_registros[MÊS],$AE$1,tabela_registros[DIA],receitasvariáveisconsolidadodez[[#Headers],[4]],tabela_registros[REGISTRO],DADOS!$N$3,tabela_registros[TIPO],DADOS!$V$4,tabela_registros[CATEGORIA],receitasvariáveisconsolidadodez[[#This Row],[ATUAL]])</f>
        <v>0</v>
      </c>
      <c r="I98" s="119" t="n">
        <f aca="false">SUMIFS(tabela_registros[VALOR],tabela_registros[MÊS],$AE$1,tabela_registros[DIA],receitasvariáveisconsolidadodez[[#Headers],[5]],tabela_registros[REGISTRO],DADOS!$N$3,tabela_registros[TIPO],DADOS!$V$4,tabela_registros[CATEGORIA],receitasvariáveisconsolidadodez[[#This Row],[ATUAL]])</f>
        <v>0</v>
      </c>
      <c r="J98" s="119" t="n">
        <f aca="false">SUMIFS(tabela_registros[VALOR],tabela_registros[MÊS],$AE$1,tabela_registros[DIA],receitasvariáveisconsolidadodez[[#Headers],[6]],tabela_registros[REGISTRO],DADOS!$N$3,tabela_registros[TIPO],DADOS!$V$4,tabela_registros[CATEGORIA],receitasvariáveisconsolidadodez[[#This Row],[ATUAL]])</f>
        <v>0</v>
      </c>
      <c r="K98" s="119" t="n">
        <f aca="false">SUMIFS(tabela_registros[VALOR],tabela_registros[MÊS],$AE$1,tabela_registros[DIA],receitasvariáveisconsolidadodez[[#Headers],[7]],tabela_registros[REGISTRO],DADOS!$N$3,tabela_registros[TIPO],DADOS!$V$4,tabela_registros[CATEGORIA],receitasvariáveisconsolidadodez[[#This Row],[ATUAL]])</f>
        <v>0</v>
      </c>
      <c r="L98" s="119" t="n">
        <f aca="false">SUMIFS(tabela_registros[VALOR],tabela_registros[MÊS],$AE$1,tabela_registros[DIA],receitasvariáveisconsolidadodez[[#Headers],[8]],tabela_registros[REGISTRO],DADOS!$N$3,tabela_registros[TIPO],DADOS!$V$4,tabela_registros[CATEGORIA],receitasvariáveisconsolidadodez[[#This Row],[ATUAL]])</f>
        <v>0</v>
      </c>
      <c r="M98" s="119" t="n">
        <f aca="false">SUMIFS(tabela_registros[VALOR],tabela_registros[MÊS],$AE$1,tabela_registros[DIA],receitasvariáveisconsolidadodez[[#Headers],[9]],tabela_registros[REGISTRO],DADOS!$N$3,tabela_registros[TIPO],DADOS!$V$4,tabela_registros[CATEGORIA],receitasvariáveisconsolidadodez[[#This Row],[ATUAL]])</f>
        <v>0</v>
      </c>
      <c r="N98" s="119" t="n">
        <f aca="false">SUMIFS(tabela_registros[VALOR],tabela_registros[MÊS],$AE$1,tabela_registros[DIA],receitasvariáveisconsolidadodez[[#Headers],[10]],tabela_registros[REGISTRO],DADOS!$N$3,tabela_registros[TIPO],DADOS!$V$4,tabela_registros[CATEGORIA],receitasvariáveisconsolidadodez[[#This Row],[ATUAL]])</f>
        <v>0</v>
      </c>
      <c r="O98" s="119" t="n">
        <f aca="false">SUMIFS(tabela_registros[VALOR],tabela_registros[MÊS],$AE$1,tabela_registros[DIA],receitasvariáveisconsolidadodez[[#Headers],[11]],tabela_registros[REGISTRO],DADOS!$N$3,tabela_registros[TIPO],DADOS!$V$4,tabela_registros[CATEGORIA],receitasvariáveisconsolidadodez[[#This Row],[ATUAL]])</f>
        <v>0</v>
      </c>
      <c r="P98" s="119" t="n">
        <f aca="false">SUMIFS(tabela_registros[VALOR],tabela_registros[MÊS],$AE$1,tabela_registros[DIA],receitasvariáveisconsolidadodez[[#Headers],[12]],tabela_registros[REGISTRO],DADOS!$N$3,tabela_registros[TIPO],DADOS!$V$4,tabela_registros[CATEGORIA],receitasvariáveisconsolidadodez[[#This Row],[ATUAL]])</f>
        <v>0</v>
      </c>
      <c r="Q98" s="119" t="n">
        <f aca="false">SUMIFS(tabela_registros[VALOR],tabela_registros[MÊS],$AE$1,tabela_registros[DIA],receitasvariáveisconsolidadodez[[#Headers],[13]],tabela_registros[REGISTRO],DADOS!$N$3,tabela_registros[TIPO],DADOS!$V$4,tabela_registros[CATEGORIA],receitasvariáveisconsolidadodez[[#This Row],[ATUAL]])</f>
        <v>0</v>
      </c>
      <c r="R98" s="119" t="n">
        <f aca="false">SUMIFS(tabela_registros[VALOR],tabela_registros[MÊS],$AE$1,tabela_registros[DIA],receitasvariáveisconsolidadodez[[#Headers],[14]],tabela_registros[REGISTRO],DADOS!$N$3,tabela_registros[TIPO],DADOS!$V$4,tabela_registros[CATEGORIA],receitasvariáveisconsolidadodez[[#This Row],[ATUAL]])</f>
        <v>0</v>
      </c>
      <c r="S98" s="119" t="n">
        <f aca="false">SUMIFS(tabela_registros[VALOR],tabela_registros[MÊS],$AE$1,tabela_registros[DIA],receitasvariáveisconsolidadodez[[#Headers],[15]],tabela_registros[REGISTRO],DADOS!$N$3,tabela_registros[TIPO],DADOS!$V$4,tabela_registros[CATEGORIA],receitasvariáveisconsolidadodez[[#This Row],[ATUAL]])</f>
        <v>0</v>
      </c>
      <c r="T98" s="119" t="n">
        <f aca="false">SUMIFS(tabela_registros[VALOR],tabela_registros[MÊS],$AE$1,tabela_registros[DIA],receitasvariáveisconsolidadodez[[#Headers],[16]],tabela_registros[REGISTRO],DADOS!$N$3,tabela_registros[TIPO],DADOS!$V$4,tabela_registros[CATEGORIA],receitasvariáveisconsolidadodez[[#This Row],[ATUAL]])</f>
        <v>0</v>
      </c>
      <c r="U98" s="119" t="n">
        <f aca="false">SUMIFS(tabela_registros[VALOR],tabela_registros[MÊS],$AE$1,tabela_registros[DIA],receitasvariáveisconsolidadodez[[#Headers],[17]],tabela_registros[REGISTRO],DADOS!$N$3,tabela_registros[TIPO],DADOS!$V$4,tabela_registros[CATEGORIA],receitasvariáveisconsolidadodez[[#This Row],[ATUAL]])</f>
        <v>0</v>
      </c>
      <c r="V98" s="119" t="n">
        <f aca="false">SUMIFS(tabela_registros[VALOR],tabela_registros[MÊS],$AE$1,tabela_registros[DIA],receitasvariáveisconsolidadodez[[#Headers],[18]],tabela_registros[REGISTRO],DADOS!$N$3,tabela_registros[TIPO],DADOS!$V$4,tabela_registros[CATEGORIA],receitasvariáveisconsolidadodez[[#This Row],[ATUAL]])</f>
        <v>0</v>
      </c>
      <c r="W98" s="119" t="n">
        <f aca="false">SUMIFS(tabela_registros[VALOR],tabela_registros[MÊS],$AE$1,tabela_registros[DIA],receitasvariáveisconsolidadodez[[#Headers],[19]],tabela_registros[REGISTRO],DADOS!$N$3,tabela_registros[TIPO],DADOS!$V$4,tabela_registros[CATEGORIA],receitasvariáveisconsolidadodez[[#This Row],[ATUAL]])</f>
        <v>0</v>
      </c>
      <c r="X98" s="119" t="n">
        <f aca="false">SUMIFS(tabela_registros[VALOR],tabela_registros[MÊS],$AE$1,tabela_registros[DIA],receitasvariáveisconsolidadodez[[#Headers],[20]],tabela_registros[REGISTRO],DADOS!$N$3,tabela_registros[TIPO],DADOS!$V$4,tabela_registros[CATEGORIA],receitasvariáveisconsolidadodez[[#This Row],[ATUAL]])</f>
        <v>0</v>
      </c>
      <c r="Y98" s="119" t="n">
        <f aca="false">SUMIFS(tabela_registros[VALOR],tabela_registros[MÊS],$AE$1,tabela_registros[DIA],receitasvariáveisconsolidadodez[[#Headers],[21]],tabela_registros[REGISTRO],DADOS!$N$3,tabela_registros[TIPO],DADOS!$V$4,tabela_registros[CATEGORIA],receitasvariáveisconsolidadodez[[#This Row],[ATUAL]])</f>
        <v>0</v>
      </c>
      <c r="Z98" s="119" t="n">
        <f aca="false">SUMIFS(tabela_registros[VALOR],tabela_registros[MÊS],$AE$1,tabela_registros[DIA],receitasvariáveisconsolidadodez[[#Headers],[22]],tabela_registros[REGISTRO],DADOS!$N$3,tabela_registros[TIPO],DADOS!$V$4,tabela_registros[CATEGORIA],receitasvariáveisconsolidadodez[[#This Row],[ATUAL]])</f>
        <v>0</v>
      </c>
      <c r="AA98" s="119" t="n">
        <f aca="false">SUMIFS(tabela_registros[VALOR],tabela_registros[MÊS],$AE$1,tabela_registros[DIA],receitasvariáveisconsolidadodez[[#Headers],[23]],tabela_registros[REGISTRO],DADOS!$N$3,tabela_registros[TIPO],DADOS!$V$4,tabela_registros[CATEGORIA],receitasvariáveisconsolidadodez[[#This Row],[ATUAL]])</f>
        <v>0</v>
      </c>
      <c r="AB98" s="119" t="n">
        <f aca="false">SUMIFS(tabela_registros[VALOR],tabela_registros[MÊS],$AE$1,tabela_registros[DIA],receitasvariáveisconsolidadodez[[#Headers],[24]],tabela_registros[REGISTRO],DADOS!$N$3,tabela_registros[TIPO],DADOS!$V$4,tabela_registros[CATEGORIA],receitasvariáveisconsolidadodez[[#This Row],[ATUAL]])</f>
        <v>0</v>
      </c>
      <c r="AC98" s="119" t="n">
        <f aca="false">SUMIFS(tabela_registros[VALOR],tabela_registros[MÊS],$AE$1,tabela_registros[DIA],receitasvariáveisconsolidadodez[[#Headers],[25]],tabela_registros[REGISTRO],DADOS!$N$3,tabela_registros[TIPO],DADOS!$V$4,tabela_registros[CATEGORIA],receitasvariáveisconsolidadodez[[#This Row],[ATUAL]])</f>
        <v>0</v>
      </c>
      <c r="AD98" s="119" t="n">
        <f aca="false">SUMIFS(tabela_registros[VALOR],tabela_registros[MÊS],$AE$1,tabela_registros[DIA],receitasvariáveisconsolidadodez[[#Headers],[26]],tabela_registros[REGISTRO],DADOS!$N$3,tabela_registros[TIPO],DADOS!$V$4,tabela_registros[CATEGORIA],receitasvariáveisconsolidadodez[[#This Row],[ATUAL]])</f>
        <v>0</v>
      </c>
      <c r="AE98" s="119" t="n">
        <f aca="false">SUMIFS(tabela_registros[VALOR],tabela_registros[MÊS],$AE$1,tabela_registros[DIA],receitasvariáveisconsolidadodez[[#Headers],[27]],tabela_registros[REGISTRO],DADOS!$N$3,tabela_registros[TIPO],DADOS!$V$4,tabela_registros[CATEGORIA],receitasvariáveisconsolidadodez[[#This Row],[ATUAL]])</f>
        <v>0</v>
      </c>
      <c r="AF98" s="119" t="n">
        <f aca="false">SUMIFS(tabela_registros[VALOR],tabela_registros[MÊS],$AE$1,tabela_registros[DIA],receitasvariáveisconsolidadodez[[#Headers],[28]],tabela_registros[REGISTRO],DADOS!$N$3,tabela_registros[TIPO],DADOS!$V$4,tabela_registros[CATEGORIA],receitasvariáveisconsolidadodez[[#This Row],[ATUAL]])</f>
        <v>0</v>
      </c>
      <c r="AG98" s="119" t="n">
        <f aca="false">SUMIFS(tabela_registros[VALOR],tabela_registros[MÊS],$AE$1,tabela_registros[DIA],receitasvariáveisconsolidadodez[[#Headers],[29]],tabela_registros[REGISTRO],DADOS!$N$3,tabela_registros[TIPO],DADOS!$V$4,tabela_registros[CATEGORIA],receitasvariáveisconsolidadodez[[#This Row],[ATUAL]])</f>
        <v>0</v>
      </c>
      <c r="AH98" s="119" t="n">
        <f aca="false">SUMIFS(tabela_registros[VALOR],tabela_registros[MÊS],$AE$1,tabela_registros[DIA],receitasvariáveisconsolidadodez[[#Headers],[30]],tabela_registros[REGISTRO],DADOS!$N$3,tabela_registros[TIPO],DADOS!$V$4,tabela_registros[CATEGORIA],receitasvariáveisconsolidadodez[[#This Row],[ATUAL]])</f>
        <v>0</v>
      </c>
      <c r="AI98" s="217" t="n">
        <f aca="false">SUMIFS(tabela_registros[VALOR],tabela_registros[MÊS],$AE$1,tabela_registros[DIA],receitasvariáveisconsolidadodez[[#Headers],[31]],tabela_registros[REGISTRO],DADOS!$N$3,tabela_registros[TIPO],DADOS!$V$4,tabela_registros[CATEGORIA],receitasvariáveisconsolidadodez[[#This Row],[ATUAL]])</f>
        <v>0</v>
      </c>
      <c r="AJ98" s="149" t="n">
        <f aca="false">SUM(receitasvariáveisconsolidadodez[[#This Row],[1]:[31]])</f>
        <v>0</v>
      </c>
      <c r="AK98" s="165"/>
    </row>
    <row r="99" customFormat="false" ht="19.5" hidden="false" customHeight="true" outlineLevel="0" collapsed="false">
      <c r="B99" s="143"/>
      <c r="C99" s="144" t="str">
        <f aca="false">DADOS!$Z$6</f>
        <v>💲 INVESTIMENTOS</v>
      </c>
      <c r="D99" s="145" t="str">
        <f aca="false">IF(receitasvariáveisconsolidadodez[[#This Row],[TOTAL (R$)]]=0,"",IF(OR(receitasvariáveisconsolidadodez[[#This Row],[TOTAL (R$)]]=LARGE($AJ$96:$AJ$103,1),receitasvariáveisconsolidadodez[[#This Row],[TOTAL (R$)]]=LARGE($AJ$96:$AJ$103,2)),DADOS!$I$9,""))</f>
        <v/>
      </c>
      <c r="E99" s="148" t="n">
        <f aca="false">SUMIFS(tabela_registros[VALOR],tabela_registros[MÊS],$AE$1,tabela_registros[DIA],receitasvariáveisconsolidadodez[[#Headers],[1]],tabela_registros[REGISTRO],DADOS!$N$3,tabela_registros[TIPO],DADOS!$V$4,tabela_registros[CATEGORIA],receitasvariáveisconsolidadodez[[#This Row],[ATUAL]])</f>
        <v>0</v>
      </c>
      <c r="F99" s="119" t="n">
        <f aca="false">SUMIFS(tabela_registros[VALOR],tabela_registros[MÊS],$AE$1,tabela_registros[DIA],receitasvariáveisconsolidadodez[[#Headers],[2]],tabela_registros[REGISTRO],DADOS!$N$3,tabela_registros[TIPO],DADOS!$V$4,tabela_registros[CATEGORIA],receitasvariáveisconsolidadodez[[#This Row],[ATUAL]])</f>
        <v>0</v>
      </c>
      <c r="G99" s="119" t="n">
        <f aca="false">SUMIFS(tabela_registros[VALOR],tabela_registros[MÊS],$AE$1,tabela_registros[DIA],receitasvariáveisconsolidadodez[[#Headers],[3]],tabela_registros[REGISTRO],DADOS!$N$3,tabela_registros[TIPO],DADOS!$V$4,tabela_registros[CATEGORIA],receitasvariáveisconsolidadodez[[#This Row],[ATUAL]])</f>
        <v>0</v>
      </c>
      <c r="H99" s="119" t="n">
        <f aca="false">SUMIFS(tabela_registros[VALOR],tabela_registros[MÊS],$AE$1,tabela_registros[DIA],receitasvariáveisconsolidadodez[[#Headers],[4]],tabela_registros[REGISTRO],DADOS!$N$3,tabela_registros[TIPO],DADOS!$V$4,tabela_registros[CATEGORIA],receitasvariáveisconsolidadodez[[#This Row],[ATUAL]])</f>
        <v>0</v>
      </c>
      <c r="I99" s="119" t="n">
        <f aca="false">SUMIFS(tabela_registros[VALOR],tabela_registros[MÊS],$AE$1,tabela_registros[DIA],receitasvariáveisconsolidadodez[[#Headers],[5]],tabela_registros[REGISTRO],DADOS!$N$3,tabela_registros[TIPO],DADOS!$V$4,tabela_registros[CATEGORIA],receitasvariáveisconsolidadodez[[#This Row],[ATUAL]])</f>
        <v>0</v>
      </c>
      <c r="J99" s="119" t="n">
        <f aca="false">SUMIFS(tabela_registros[VALOR],tabela_registros[MÊS],$AE$1,tabela_registros[DIA],receitasvariáveisconsolidadodez[[#Headers],[6]],tabela_registros[REGISTRO],DADOS!$N$3,tabela_registros[TIPO],DADOS!$V$4,tabela_registros[CATEGORIA],receitasvariáveisconsolidadodez[[#This Row],[ATUAL]])</f>
        <v>0</v>
      </c>
      <c r="K99" s="119" t="n">
        <f aca="false">SUMIFS(tabela_registros[VALOR],tabela_registros[MÊS],$AE$1,tabela_registros[DIA],receitasvariáveisconsolidadodez[[#Headers],[7]],tabela_registros[REGISTRO],DADOS!$N$3,tabela_registros[TIPO],DADOS!$V$4,tabela_registros[CATEGORIA],receitasvariáveisconsolidadodez[[#This Row],[ATUAL]])</f>
        <v>0</v>
      </c>
      <c r="L99" s="119" t="n">
        <f aca="false">SUMIFS(tabela_registros[VALOR],tabela_registros[MÊS],$AE$1,tabela_registros[DIA],receitasvariáveisconsolidadodez[[#Headers],[8]],tabela_registros[REGISTRO],DADOS!$N$3,tabela_registros[TIPO],DADOS!$V$4,tabela_registros[CATEGORIA],receitasvariáveisconsolidadodez[[#This Row],[ATUAL]])</f>
        <v>0</v>
      </c>
      <c r="M99" s="119" t="n">
        <f aca="false">SUMIFS(tabela_registros[VALOR],tabela_registros[MÊS],$AE$1,tabela_registros[DIA],receitasvariáveisconsolidadodez[[#Headers],[9]],tabela_registros[REGISTRO],DADOS!$N$3,tabela_registros[TIPO],DADOS!$V$4,tabela_registros[CATEGORIA],receitasvariáveisconsolidadodez[[#This Row],[ATUAL]])</f>
        <v>0</v>
      </c>
      <c r="N99" s="119" t="n">
        <f aca="false">SUMIFS(tabela_registros[VALOR],tabela_registros[MÊS],$AE$1,tabela_registros[DIA],receitasvariáveisconsolidadodez[[#Headers],[10]],tabela_registros[REGISTRO],DADOS!$N$3,tabela_registros[TIPO],DADOS!$V$4,tabela_registros[CATEGORIA],receitasvariáveisconsolidadodez[[#This Row],[ATUAL]])</f>
        <v>0</v>
      </c>
      <c r="O99" s="119" t="n">
        <f aca="false">SUMIFS(tabela_registros[VALOR],tabela_registros[MÊS],$AE$1,tabela_registros[DIA],receitasvariáveisconsolidadodez[[#Headers],[11]],tabela_registros[REGISTRO],DADOS!$N$3,tabela_registros[TIPO],DADOS!$V$4,tabela_registros[CATEGORIA],receitasvariáveisconsolidadodez[[#This Row],[ATUAL]])</f>
        <v>0</v>
      </c>
      <c r="P99" s="119" t="n">
        <f aca="false">SUMIFS(tabela_registros[VALOR],tabela_registros[MÊS],$AE$1,tabela_registros[DIA],receitasvariáveisconsolidadodez[[#Headers],[12]],tabela_registros[REGISTRO],DADOS!$N$3,tabela_registros[TIPO],DADOS!$V$4,tabela_registros[CATEGORIA],receitasvariáveisconsolidadodez[[#This Row],[ATUAL]])</f>
        <v>0</v>
      </c>
      <c r="Q99" s="119" t="n">
        <f aca="false">SUMIFS(tabela_registros[VALOR],tabela_registros[MÊS],$AE$1,tabela_registros[DIA],receitasvariáveisconsolidadodez[[#Headers],[13]],tabela_registros[REGISTRO],DADOS!$N$3,tabela_registros[TIPO],DADOS!$V$4,tabela_registros[CATEGORIA],receitasvariáveisconsolidadodez[[#This Row],[ATUAL]])</f>
        <v>0</v>
      </c>
      <c r="R99" s="119" t="n">
        <f aca="false">SUMIFS(tabela_registros[VALOR],tabela_registros[MÊS],$AE$1,tabela_registros[DIA],receitasvariáveisconsolidadodez[[#Headers],[14]],tabela_registros[REGISTRO],DADOS!$N$3,tabela_registros[TIPO],DADOS!$V$4,tabela_registros[CATEGORIA],receitasvariáveisconsolidadodez[[#This Row],[ATUAL]])</f>
        <v>0</v>
      </c>
      <c r="S99" s="119" t="n">
        <f aca="false">SUMIFS(tabela_registros[VALOR],tabela_registros[MÊS],$AE$1,tabela_registros[DIA],receitasvariáveisconsolidadodez[[#Headers],[15]],tabela_registros[REGISTRO],DADOS!$N$3,tabela_registros[TIPO],DADOS!$V$4,tabela_registros[CATEGORIA],receitasvariáveisconsolidadodez[[#This Row],[ATUAL]])</f>
        <v>0</v>
      </c>
      <c r="T99" s="119" t="n">
        <f aca="false">SUMIFS(tabela_registros[VALOR],tabela_registros[MÊS],$AE$1,tabela_registros[DIA],receitasvariáveisconsolidadodez[[#Headers],[16]],tabela_registros[REGISTRO],DADOS!$N$3,tabela_registros[TIPO],DADOS!$V$4,tabela_registros[CATEGORIA],receitasvariáveisconsolidadodez[[#This Row],[ATUAL]])</f>
        <v>0</v>
      </c>
      <c r="U99" s="119" t="n">
        <f aca="false">SUMIFS(tabela_registros[VALOR],tabela_registros[MÊS],$AE$1,tabela_registros[DIA],receitasvariáveisconsolidadodez[[#Headers],[17]],tabela_registros[REGISTRO],DADOS!$N$3,tabela_registros[TIPO],DADOS!$V$4,tabela_registros[CATEGORIA],receitasvariáveisconsolidadodez[[#This Row],[ATUAL]])</f>
        <v>0</v>
      </c>
      <c r="V99" s="119" t="n">
        <f aca="false">SUMIFS(tabela_registros[VALOR],tabela_registros[MÊS],$AE$1,tabela_registros[DIA],receitasvariáveisconsolidadodez[[#Headers],[18]],tabela_registros[REGISTRO],DADOS!$N$3,tabela_registros[TIPO],DADOS!$V$4,tabela_registros[CATEGORIA],receitasvariáveisconsolidadodez[[#This Row],[ATUAL]])</f>
        <v>0</v>
      </c>
      <c r="W99" s="119" t="n">
        <f aca="false">SUMIFS(tabela_registros[VALOR],tabela_registros[MÊS],$AE$1,tabela_registros[DIA],receitasvariáveisconsolidadodez[[#Headers],[19]],tabela_registros[REGISTRO],DADOS!$N$3,tabela_registros[TIPO],DADOS!$V$4,tabela_registros[CATEGORIA],receitasvariáveisconsolidadodez[[#This Row],[ATUAL]])</f>
        <v>0</v>
      </c>
      <c r="X99" s="119" t="n">
        <f aca="false">SUMIFS(tabela_registros[VALOR],tabela_registros[MÊS],$AE$1,tabela_registros[DIA],receitasvariáveisconsolidadodez[[#Headers],[20]],tabela_registros[REGISTRO],DADOS!$N$3,tabela_registros[TIPO],DADOS!$V$4,tabela_registros[CATEGORIA],receitasvariáveisconsolidadodez[[#This Row],[ATUAL]])</f>
        <v>0</v>
      </c>
      <c r="Y99" s="119" t="n">
        <f aca="false">SUMIFS(tabela_registros[VALOR],tabela_registros[MÊS],$AE$1,tabela_registros[DIA],receitasvariáveisconsolidadodez[[#Headers],[21]],tabela_registros[REGISTRO],DADOS!$N$3,tabela_registros[TIPO],DADOS!$V$4,tabela_registros[CATEGORIA],receitasvariáveisconsolidadodez[[#This Row],[ATUAL]])</f>
        <v>0</v>
      </c>
      <c r="Z99" s="119" t="n">
        <f aca="false">SUMIFS(tabela_registros[VALOR],tabela_registros[MÊS],$AE$1,tabela_registros[DIA],receitasvariáveisconsolidadodez[[#Headers],[22]],tabela_registros[REGISTRO],DADOS!$N$3,tabela_registros[TIPO],DADOS!$V$4,tabela_registros[CATEGORIA],receitasvariáveisconsolidadodez[[#This Row],[ATUAL]])</f>
        <v>0</v>
      </c>
      <c r="AA99" s="119" t="n">
        <f aca="false">SUMIFS(tabela_registros[VALOR],tabela_registros[MÊS],$AE$1,tabela_registros[DIA],receitasvariáveisconsolidadodez[[#Headers],[23]],tabela_registros[REGISTRO],DADOS!$N$3,tabela_registros[TIPO],DADOS!$V$4,tabela_registros[CATEGORIA],receitasvariáveisconsolidadodez[[#This Row],[ATUAL]])</f>
        <v>0</v>
      </c>
      <c r="AB99" s="119" t="n">
        <f aca="false">SUMIFS(tabela_registros[VALOR],tabela_registros[MÊS],$AE$1,tabela_registros[DIA],receitasvariáveisconsolidadodez[[#Headers],[24]],tabela_registros[REGISTRO],DADOS!$N$3,tabela_registros[TIPO],DADOS!$V$4,tabela_registros[CATEGORIA],receitasvariáveisconsolidadodez[[#This Row],[ATUAL]])</f>
        <v>0</v>
      </c>
      <c r="AC99" s="119" t="n">
        <f aca="false">SUMIFS(tabela_registros[VALOR],tabela_registros[MÊS],$AE$1,tabela_registros[DIA],receitasvariáveisconsolidadodez[[#Headers],[25]],tabela_registros[REGISTRO],DADOS!$N$3,tabela_registros[TIPO],DADOS!$V$4,tabela_registros[CATEGORIA],receitasvariáveisconsolidadodez[[#This Row],[ATUAL]])</f>
        <v>0</v>
      </c>
      <c r="AD99" s="119" t="n">
        <f aca="false">SUMIFS(tabela_registros[VALOR],tabela_registros[MÊS],$AE$1,tabela_registros[DIA],receitasvariáveisconsolidadodez[[#Headers],[26]],tabela_registros[REGISTRO],DADOS!$N$3,tabela_registros[TIPO],DADOS!$V$4,tabela_registros[CATEGORIA],receitasvariáveisconsolidadodez[[#This Row],[ATUAL]])</f>
        <v>0</v>
      </c>
      <c r="AE99" s="119" t="n">
        <f aca="false">SUMIFS(tabela_registros[VALOR],tabela_registros[MÊS],$AE$1,tabela_registros[DIA],receitasvariáveisconsolidadodez[[#Headers],[27]],tabela_registros[REGISTRO],DADOS!$N$3,tabela_registros[TIPO],DADOS!$V$4,tabela_registros[CATEGORIA],receitasvariáveisconsolidadodez[[#This Row],[ATUAL]])</f>
        <v>0</v>
      </c>
      <c r="AF99" s="119" t="n">
        <f aca="false">SUMIFS(tabela_registros[VALOR],tabela_registros[MÊS],$AE$1,tabela_registros[DIA],receitasvariáveisconsolidadodez[[#Headers],[28]],tabela_registros[REGISTRO],DADOS!$N$3,tabela_registros[TIPO],DADOS!$V$4,tabela_registros[CATEGORIA],receitasvariáveisconsolidadodez[[#This Row],[ATUAL]])</f>
        <v>0</v>
      </c>
      <c r="AG99" s="119" t="n">
        <f aca="false">SUMIFS(tabela_registros[VALOR],tabela_registros[MÊS],$AE$1,tabela_registros[DIA],receitasvariáveisconsolidadodez[[#Headers],[29]],tabela_registros[REGISTRO],DADOS!$N$3,tabela_registros[TIPO],DADOS!$V$4,tabela_registros[CATEGORIA],receitasvariáveisconsolidadodez[[#This Row],[ATUAL]])</f>
        <v>0</v>
      </c>
      <c r="AH99" s="119" t="n">
        <f aca="false">SUMIFS(tabela_registros[VALOR],tabela_registros[MÊS],$AE$1,tabela_registros[DIA],receitasvariáveisconsolidadodez[[#Headers],[30]],tabela_registros[REGISTRO],DADOS!$N$3,tabela_registros[TIPO],DADOS!$V$4,tabela_registros[CATEGORIA],receitasvariáveisconsolidadodez[[#This Row],[ATUAL]])</f>
        <v>0</v>
      </c>
      <c r="AI99" s="217" t="n">
        <f aca="false">SUMIFS(tabela_registros[VALOR],tabela_registros[MÊS],$AE$1,tabela_registros[DIA],receitasvariáveisconsolidadodez[[#Headers],[31]],tabela_registros[REGISTRO],DADOS!$N$3,tabela_registros[TIPO],DADOS!$V$4,tabela_registros[CATEGORIA],receitasvariáveisconsolidadodez[[#This Row],[ATUAL]])</f>
        <v>0</v>
      </c>
      <c r="AJ99" s="149" t="n">
        <f aca="false">SUM(receitasvariáveisconsolidadodez[[#This Row],[1]:[31]])</f>
        <v>0</v>
      </c>
      <c r="AK99" s="165"/>
    </row>
    <row r="100" customFormat="false" ht="19.5" hidden="false" customHeight="true" outlineLevel="0" collapsed="false">
      <c r="B100" s="143"/>
      <c r="C100" s="144" t="str">
        <f aca="false">DADOS!$Z$7</f>
        <v>🧾 NOTA DE SERVIÇO</v>
      </c>
      <c r="D100" s="145" t="str">
        <f aca="false">IF(receitasvariáveisconsolidadodez[[#This Row],[TOTAL (R$)]]=0,"",IF(OR(receitasvariáveisconsolidadodez[[#This Row],[TOTAL (R$)]]=LARGE($AJ$96:$AJ$103,1),receitasvariáveisconsolidadodez[[#This Row],[TOTAL (R$)]]=LARGE($AJ$96:$AJ$103,2)),DADOS!$I$9,""))</f>
        <v/>
      </c>
      <c r="E100" s="148" t="n">
        <f aca="false">SUMIFS(tabela_registros[VALOR],tabela_registros[MÊS],$AE$1,tabela_registros[DIA],receitasvariáveisconsolidadodez[[#Headers],[1]],tabela_registros[REGISTRO],DADOS!$N$3,tabela_registros[TIPO],DADOS!$V$4,tabela_registros[CATEGORIA],receitasvariáveisconsolidadodez[[#This Row],[ATUAL]])</f>
        <v>0</v>
      </c>
      <c r="F100" s="119" t="n">
        <f aca="false">SUMIFS(tabela_registros[VALOR],tabela_registros[MÊS],$AE$1,tabela_registros[DIA],receitasvariáveisconsolidadodez[[#Headers],[2]],tabela_registros[REGISTRO],DADOS!$N$3,tabela_registros[TIPO],DADOS!$V$4,tabela_registros[CATEGORIA],receitasvariáveisconsolidadodez[[#This Row],[ATUAL]])</f>
        <v>0</v>
      </c>
      <c r="G100" s="119" t="n">
        <f aca="false">SUMIFS(tabela_registros[VALOR],tabela_registros[MÊS],$AE$1,tabela_registros[DIA],receitasvariáveisconsolidadodez[[#Headers],[3]],tabela_registros[REGISTRO],DADOS!$N$3,tabela_registros[TIPO],DADOS!$V$4,tabela_registros[CATEGORIA],receitasvariáveisconsolidadodez[[#This Row],[ATUAL]])</f>
        <v>0</v>
      </c>
      <c r="H100" s="119" t="n">
        <f aca="false">SUMIFS(tabela_registros[VALOR],tabela_registros[MÊS],$AE$1,tabela_registros[DIA],receitasvariáveisconsolidadodez[[#Headers],[4]],tabela_registros[REGISTRO],DADOS!$N$3,tabela_registros[TIPO],DADOS!$V$4,tabela_registros[CATEGORIA],receitasvariáveisconsolidadodez[[#This Row],[ATUAL]])</f>
        <v>0</v>
      </c>
      <c r="I100" s="119" t="n">
        <f aca="false">SUMIFS(tabela_registros[VALOR],tabela_registros[MÊS],$AE$1,tabela_registros[DIA],receitasvariáveisconsolidadodez[[#Headers],[5]],tabela_registros[REGISTRO],DADOS!$N$3,tabela_registros[TIPO],DADOS!$V$4,tabela_registros[CATEGORIA],receitasvariáveisconsolidadodez[[#This Row],[ATUAL]])</f>
        <v>0</v>
      </c>
      <c r="J100" s="119" t="n">
        <f aca="false">SUMIFS(tabela_registros[VALOR],tabela_registros[MÊS],$AE$1,tabela_registros[DIA],receitasvariáveisconsolidadodez[[#Headers],[6]],tabela_registros[REGISTRO],DADOS!$N$3,tabela_registros[TIPO],DADOS!$V$4,tabela_registros[CATEGORIA],receitasvariáveisconsolidadodez[[#This Row],[ATUAL]])</f>
        <v>0</v>
      </c>
      <c r="K100" s="119" t="n">
        <f aca="false">SUMIFS(tabela_registros[VALOR],tabela_registros[MÊS],$AE$1,tabela_registros[DIA],receitasvariáveisconsolidadodez[[#Headers],[7]],tabela_registros[REGISTRO],DADOS!$N$3,tabela_registros[TIPO],DADOS!$V$4,tabela_registros[CATEGORIA],receitasvariáveisconsolidadodez[[#This Row],[ATUAL]])</f>
        <v>0</v>
      </c>
      <c r="L100" s="119" t="n">
        <f aca="false">SUMIFS(tabela_registros[VALOR],tabela_registros[MÊS],$AE$1,tabela_registros[DIA],receitasvariáveisconsolidadodez[[#Headers],[8]],tabela_registros[REGISTRO],DADOS!$N$3,tabela_registros[TIPO],DADOS!$V$4,tabela_registros[CATEGORIA],receitasvariáveisconsolidadodez[[#This Row],[ATUAL]])</f>
        <v>0</v>
      </c>
      <c r="M100" s="119" t="n">
        <f aca="false">SUMIFS(tabela_registros[VALOR],tabela_registros[MÊS],$AE$1,tabela_registros[DIA],receitasvariáveisconsolidadodez[[#Headers],[9]],tabela_registros[REGISTRO],DADOS!$N$3,tabela_registros[TIPO],DADOS!$V$4,tabela_registros[CATEGORIA],receitasvariáveisconsolidadodez[[#This Row],[ATUAL]])</f>
        <v>0</v>
      </c>
      <c r="N100" s="119" t="n">
        <f aca="false">SUMIFS(tabela_registros[VALOR],tabela_registros[MÊS],$AE$1,tabela_registros[DIA],receitasvariáveisconsolidadodez[[#Headers],[10]],tabela_registros[REGISTRO],DADOS!$N$3,tabela_registros[TIPO],DADOS!$V$4,tabela_registros[CATEGORIA],receitasvariáveisconsolidadodez[[#This Row],[ATUAL]])</f>
        <v>0</v>
      </c>
      <c r="O100" s="119" t="n">
        <f aca="false">SUMIFS(tabela_registros[VALOR],tabela_registros[MÊS],$AE$1,tabela_registros[DIA],receitasvariáveisconsolidadodez[[#Headers],[11]],tabela_registros[REGISTRO],DADOS!$N$3,tabela_registros[TIPO],DADOS!$V$4,tabela_registros[CATEGORIA],receitasvariáveisconsolidadodez[[#This Row],[ATUAL]])</f>
        <v>0</v>
      </c>
      <c r="P100" s="119" t="n">
        <f aca="false">SUMIFS(tabela_registros[VALOR],tabela_registros[MÊS],$AE$1,tabela_registros[DIA],receitasvariáveisconsolidadodez[[#Headers],[12]],tabela_registros[REGISTRO],DADOS!$N$3,tabela_registros[TIPO],DADOS!$V$4,tabela_registros[CATEGORIA],receitasvariáveisconsolidadodez[[#This Row],[ATUAL]])</f>
        <v>0</v>
      </c>
      <c r="Q100" s="119" t="n">
        <f aca="false">SUMIFS(tabela_registros[VALOR],tabela_registros[MÊS],$AE$1,tabela_registros[DIA],receitasvariáveisconsolidadodez[[#Headers],[13]],tabela_registros[REGISTRO],DADOS!$N$3,tabela_registros[TIPO],DADOS!$V$4,tabela_registros[CATEGORIA],receitasvariáveisconsolidadodez[[#This Row],[ATUAL]])</f>
        <v>0</v>
      </c>
      <c r="R100" s="119" t="n">
        <f aca="false">SUMIFS(tabela_registros[VALOR],tabela_registros[MÊS],$AE$1,tabela_registros[DIA],receitasvariáveisconsolidadodez[[#Headers],[14]],tabela_registros[REGISTRO],DADOS!$N$3,tabela_registros[TIPO],DADOS!$V$4,tabela_registros[CATEGORIA],receitasvariáveisconsolidadodez[[#This Row],[ATUAL]])</f>
        <v>0</v>
      </c>
      <c r="S100" s="119" t="n">
        <f aca="false">SUMIFS(tabela_registros[VALOR],tabela_registros[MÊS],$AE$1,tabela_registros[DIA],receitasvariáveisconsolidadodez[[#Headers],[15]],tabela_registros[REGISTRO],DADOS!$N$3,tabela_registros[TIPO],DADOS!$V$4,tabela_registros[CATEGORIA],receitasvariáveisconsolidadodez[[#This Row],[ATUAL]])</f>
        <v>0</v>
      </c>
      <c r="T100" s="119" t="n">
        <f aca="false">SUMIFS(tabela_registros[VALOR],tabela_registros[MÊS],$AE$1,tabela_registros[DIA],receitasvariáveisconsolidadodez[[#Headers],[16]],tabela_registros[REGISTRO],DADOS!$N$3,tabela_registros[TIPO],DADOS!$V$4,tabela_registros[CATEGORIA],receitasvariáveisconsolidadodez[[#This Row],[ATUAL]])</f>
        <v>0</v>
      </c>
      <c r="U100" s="119" t="n">
        <f aca="false">SUMIFS(tabela_registros[VALOR],tabela_registros[MÊS],$AE$1,tabela_registros[DIA],receitasvariáveisconsolidadodez[[#Headers],[17]],tabela_registros[REGISTRO],DADOS!$N$3,tabela_registros[TIPO],DADOS!$V$4,tabela_registros[CATEGORIA],receitasvariáveisconsolidadodez[[#This Row],[ATUAL]])</f>
        <v>0</v>
      </c>
      <c r="V100" s="119" t="n">
        <f aca="false">SUMIFS(tabela_registros[VALOR],tabela_registros[MÊS],$AE$1,tabela_registros[DIA],receitasvariáveisconsolidadodez[[#Headers],[18]],tabela_registros[REGISTRO],DADOS!$N$3,tabela_registros[TIPO],DADOS!$V$4,tabela_registros[CATEGORIA],receitasvariáveisconsolidadodez[[#This Row],[ATUAL]])</f>
        <v>0</v>
      </c>
      <c r="W100" s="119" t="n">
        <f aca="false">SUMIFS(tabela_registros[VALOR],tabela_registros[MÊS],$AE$1,tabela_registros[DIA],receitasvariáveisconsolidadodez[[#Headers],[19]],tabela_registros[REGISTRO],DADOS!$N$3,tabela_registros[TIPO],DADOS!$V$4,tabela_registros[CATEGORIA],receitasvariáveisconsolidadodez[[#This Row],[ATUAL]])</f>
        <v>0</v>
      </c>
      <c r="X100" s="119" t="n">
        <f aca="false">SUMIFS(tabela_registros[VALOR],tabela_registros[MÊS],$AE$1,tabela_registros[DIA],receitasvariáveisconsolidadodez[[#Headers],[20]],tabela_registros[REGISTRO],DADOS!$N$3,tabela_registros[TIPO],DADOS!$V$4,tabela_registros[CATEGORIA],receitasvariáveisconsolidadodez[[#This Row],[ATUAL]])</f>
        <v>0</v>
      </c>
      <c r="Y100" s="119" t="n">
        <f aca="false">SUMIFS(tabela_registros[VALOR],tabela_registros[MÊS],$AE$1,tabela_registros[DIA],receitasvariáveisconsolidadodez[[#Headers],[21]],tabela_registros[REGISTRO],DADOS!$N$3,tabela_registros[TIPO],DADOS!$V$4,tabela_registros[CATEGORIA],receitasvariáveisconsolidadodez[[#This Row],[ATUAL]])</f>
        <v>0</v>
      </c>
      <c r="Z100" s="119" t="n">
        <f aca="false">SUMIFS(tabela_registros[VALOR],tabela_registros[MÊS],$AE$1,tabela_registros[DIA],receitasvariáveisconsolidadodez[[#Headers],[22]],tabela_registros[REGISTRO],DADOS!$N$3,tabela_registros[TIPO],DADOS!$V$4,tabela_registros[CATEGORIA],receitasvariáveisconsolidadodez[[#This Row],[ATUAL]])</f>
        <v>0</v>
      </c>
      <c r="AA100" s="119" t="n">
        <f aca="false">SUMIFS(tabela_registros[VALOR],tabela_registros[MÊS],$AE$1,tabela_registros[DIA],receitasvariáveisconsolidadodez[[#Headers],[23]],tabela_registros[REGISTRO],DADOS!$N$3,tabela_registros[TIPO],DADOS!$V$4,tabela_registros[CATEGORIA],receitasvariáveisconsolidadodez[[#This Row],[ATUAL]])</f>
        <v>0</v>
      </c>
      <c r="AB100" s="119" t="n">
        <f aca="false">SUMIFS(tabela_registros[VALOR],tabela_registros[MÊS],$AE$1,tabela_registros[DIA],receitasvariáveisconsolidadodez[[#Headers],[24]],tabela_registros[REGISTRO],DADOS!$N$3,tabela_registros[TIPO],DADOS!$V$4,tabela_registros[CATEGORIA],receitasvariáveisconsolidadodez[[#This Row],[ATUAL]])</f>
        <v>0</v>
      </c>
      <c r="AC100" s="119" t="n">
        <f aca="false">SUMIFS(tabela_registros[VALOR],tabela_registros[MÊS],$AE$1,tabela_registros[DIA],receitasvariáveisconsolidadodez[[#Headers],[25]],tabela_registros[REGISTRO],DADOS!$N$3,tabela_registros[TIPO],DADOS!$V$4,tabela_registros[CATEGORIA],receitasvariáveisconsolidadodez[[#This Row],[ATUAL]])</f>
        <v>0</v>
      </c>
      <c r="AD100" s="119" t="n">
        <f aca="false">SUMIFS(tabela_registros[VALOR],tabela_registros[MÊS],$AE$1,tabela_registros[DIA],receitasvariáveisconsolidadodez[[#Headers],[26]],tabela_registros[REGISTRO],DADOS!$N$3,tabela_registros[TIPO],DADOS!$V$4,tabela_registros[CATEGORIA],receitasvariáveisconsolidadodez[[#This Row],[ATUAL]])</f>
        <v>0</v>
      </c>
      <c r="AE100" s="119" t="n">
        <f aca="false">SUMIFS(tabela_registros[VALOR],tabela_registros[MÊS],$AE$1,tabela_registros[DIA],receitasvariáveisconsolidadodez[[#Headers],[27]],tabela_registros[REGISTRO],DADOS!$N$3,tabela_registros[TIPO],DADOS!$V$4,tabela_registros[CATEGORIA],receitasvariáveisconsolidadodez[[#This Row],[ATUAL]])</f>
        <v>0</v>
      </c>
      <c r="AF100" s="119" t="n">
        <f aca="false">SUMIFS(tabela_registros[VALOR],tabela_registros[MÊS],$AE$1,tabela_registros[DIA],receitasvariáveisconsolidadodez[[#Headers],[28]],tabela_registros[REGISTRO],DADOS!$N$3,tabela_registros[TIPO],DADOS!$V$4,tabela_registros[CATEGORIA],receitasvariáveisconsolidadodez[[#This Row],[ATUAL]])</f>
        <v>0</v>
      </c>
      <c r="AG100" s="119" t="n">
        <f aca="false">SUMIFS(tabela_registros[VALOR],tabela_registros[MÊS],$AE$1,tabela_registros[DIA],receitasvariáveisconsolidadodez[[#Headers],[29]],tabela_registros[REGISTRO],DADOS!$N$3,tabela_registros[TIPO],DADOS!$V$4,tabela_registros[CATEGORIA],receitasvariáveisconsolidadodez[[#This Row],[ATUAL]])</f>
        <v>0</v>
      </c>
      <c r="AH100" s="119" t="n">
        <f aca="false">SUMIFS(tabela_registros[VALOR],tabela_registros[MÊS],$AE$1,tabela_registros[DIA],receitasvariáveisconsolidadodez[[#Headers],[30]],tabela_registros[REGISTRO],DADOS!$N$3,tabela_registros[TIPO],DADOS!$V$4,tabela_registros[CATEGORIA],receitasvariáveisconsolidadodez[[#This Row],[ATUAL]])</f>
        <v>0</v>
      </c>
      <c r="AI100" s="217" t="n">
        <f aca="false">SUMIFS(tabela_registros[VALOR],tabela_registros[MÊS],$AE$1,tabela_registros[DIA],receitasvariáveisconsolidadodez[[#Headers],[31]],tabela_registros[REGISTRO],DADOS!$N$3,tabela_registros[TIPO],DADOS!$V$4,tabela_registros[CATEGORIA],receitasvariáveisconsolidadodez[[#This Row],[ATUAL]])</f>
        <v>0</v>
      </c>
      <c r="AJ100" s="237" t="n">
        <f aca="false">SUM(receitasvariáveisconsolidadodez[[#This Row],[1]:[31]])</f>
        <v>0</v>
      </c>
      <c r="AK100" s="165"/>
    </row>
    <row r="101" customFormat="false" ht="19.5" hidden="false" customHeight="true" outlineLevel="0" collapsed="false">
      <c r="B101" s="143"/>
      <c r="C101" s="144" t="str">
        <f aca="false">DADOS!$Z$8</f>
        <v>🎁 PRESENTE</v>
      </c>
      <c r="D101" s="145" t="str">
        <f aca="false">IF(receitasvariáveisconsolidadodez[[#This Row],[TOTAL (R$)]]=0,"",IF(OR(receitasvariáveisconsolidadodez[[#This Row],[TOTAL (R$)]]=LARGE($AJ$96:$AJ$103,1),receitasvariáveisconsolidadodez[[#This Row],[TOTAL (R$)]]=LARGE($AJ$96:$AJ$103,2)),DADOS!$I$9,""))</f>
        <v/>
      </c>
      <c r="E101" s="148" t="n">
        <f aca="false">SUMIFS(tabela_registros[VALOR],tabela_registros[MÊS],$AE$1,tabela_registros[DIA],receitasvariáveisconsolidadodez[[#Headers],[1]],tabela_registros[REGISTRO],DADOS!$N$3,tabela_registros[TIPO],DADOS!$V$4,tabela_registros[CATEGORIA],receitasvariáveisconsolidadodez[[#This Row],[ATUAL]])</f>
        <v>0</v>
      </c>
      <c r="F101" s="119" t="n">
        <f aca="false">SUMIFS(tabela_registros[VALOR],tabela_registros[MÊS],$AE$1,tabela_registros[DIA],receitasvariáveisconsolidadodez[[#Headers],[2]],tabela_registros[REGISTRO],DADOS!$N$3,tabela_registros[TIPO],DADOS!$V$4,tabela_registros[CATEGORIA],receitasvariáveisconsolidadodez[[#This Row],[ATUAL]])</f>
        <v>0</v>
      </c>
      <c r="G101" s="119" t="n">
        <f aca="false">SUMIFS(tabela_registros[VALOR],tabela_registros[MÊS],$AE$1,tabela_registros[DIA],receitasvariáveisconsolidadodez[[#Headers],[3]],tabela_registros[REGISTRO],DADOS!$N$3,tabela_registros[TIPO],DADOS!$V$4,tabela_registros[CATEGORIA],receitasvariáveisconsolidadodez[[#This Row],[ATUAL]])</f>
        <v>0</v>
      </c>
      <c r="H101" s="119" t="n">
        <f aca="false">SUMIFS(tabela_registros[VALOR],tabela_registros[MÊS],$AE$1,tabela_registros[DIA],receitasvariáveisconsolidadodez[[#Headers],[4]],tabela_registros[REGISTRO],DADOS!$N$3,tabela_registros[TIPO],DADOS!$V$4,tabela_registros[CATEGORIA],receitasvariáveisconsolidadodez[[#This Row],[ATUAL]])</f>
        <v>0</v>
      </c>
      <c r="I101" s="119" t="n">
        <f aca="false">SUMIFS(tabela_registros[VALOR],tabela_registros[MÊS],$AE$1,tabela_registros[DIA],receitasvariáveisconsolidadodez[[#Headers],[5]],tabela_registros[REGISTRO],DADOS!$N$3,tabela_registros[TIPO],DADOS!$V$4,tabela_registros[CATEGORIA],receitasvariáveisconsolidadodez[[#This Row],[ATUAL]])</f>
        <v>0</v>
      </c>
      <c r="J101" s="119" t="n">
        <f aca="false">SUMIFS(tabela_registros[VALOR],tabela_registros[MÊS],$AE$1,tabela_registros[DIA],receitasvariáveisconsolidadodez[[#Headers],[6]],tabela_registros[REGISTRO],DADOS!$N$3,tabela_registros[TIPO],DADOS!$V$4,tabela_registros[CATEGORIA],receitasvariáveisconsolidadodez[[#This Row],[ATUAL]])</f>
        <v>0</v>
      </c>
      <c r="K101" s="119" t="n">
        <f aca="false">SUMIFS(tabela_registros[VALOR],tabela_registros[MÊS],$AE$1,tabela_registros[DIA],receitasvariáveisconsolidadodez[[#Headers],[7]],tabela_registros[REGISTRO],DADOS!$N$3,tabela_registros[TIPO],DADOS!$V$4,tabela_registros[CATEGORIA],receitasvariáveisconsolidadodez[[#This Row],[ATUAL]])</f>
        <v>0</v>
      </c>
      <c r="L101" s="119" t="n">
        <f aca="false">SUMIFS(tabela_registros[VALOR],tabela_registros[MÊS],$AE$1,tabela_registros[DIA],receitasvariáveisconsolidadodez[[#Headers],[8]],tabela_registros[REGISTRO],DADOS!$N$3,tabela_registros[TIPO],DADOS!$V$4,tabela_registros[CATEGORIA],receitasvariáveisconsolidadodez[[#This Row],[ATUAL]])</f>
        <v>0</v>
      </c>
      <c r="M101" s="119" t="n">
        <f aca="false">SUMIFS(tabela_registros[VALOR],tabela_registros[MÊS],$AE$1,tabela_registros[DIA],receitasvariáveisconsolidadodez[[#Headers],[9]],tabela_registros[REGISTRO],DADOS!$N$3,tabela_registros[TIPO],DADOS!$V$4,tabela_registros[CATEGORIA],receitasvariáveisconsolidadodez[[#This Row],[ATUAL]])</f>
        <v>0</v>
      </c>
      <c r="N101" s="119" t="n">
        <f aca="false">SUMIFS(tabela_registros[VALOR],tabela_registros[MÊS],$AE$1,tabela_registros[DIA],receitasvariáveisconsolidadodez[[#Headers],[10]],tabela_registros[REGISTRO],DADOS!$N$3,tabela_registros[TIPO],DADOS!$V$4,tabela_registros[CATEGORIA],receitasvariáveisconsolidadodez[[#This Row],[ATUAL]])</f>
        <v>0</v>
      </c>
      <c r="O101" s="119" t="n">
        <f aca="false">SUMIFS(tabela_registros[VALOR],tabela_registros[MÊS],$AE$1,tabela_registros[DIA],receitasvariáveisconsolidadodez[[#Headers],[11]],tabela_registros[REGISTRO],DADOS!$N$3,tabela_registros[TIPO],DADOS!$V$4,tabela_registros[CATEGORIA],receitasvariáveisconsolidadodez[[#This Row],[ATUAL]])</f>
        <v>0</v>
      </c>
      <c r="P101" s="119" t="n">
        <f aca="false">SUMIFS(tabela_registros[VALOR],tabela_registros[MÊS],$AE$1,tabela_registros[DIA],receitasvariáveisconsolidadodez[[#Headers],[12]],tabela_registros[REGISTRO],DADOS!$N$3,tabela_registros[TIPO],DADOS!$V$4,tabela_registros[CATEGORIA],receitasvariáveisconsolidadodez[[#This Row],[ATUAL]])</f>
        <v>0</v>
      </c>
      <c r="Q101" s="119" t="n">
        <f aca="false">SUMIFS(tabela_registros[VALOR],tabela_registros[MÊS],$AE$1,tabela_registros[DIA],receitasvariáveisconsolidadodez[[#Headers],[13]],tabela_registros[REGISTRO],DADOS!$N$3,tabela_registros[TIPO],DADOS!$V$4,tabela_registros[CATEGORIA],receitasvariáveisconsolidadodez[[#This Row],[ATUAL]])</f>
        <v>0</v>
      </c>
      <c r="R101" s="119" t="n">
        <f aca="false">SUMIFS(tabela_registros[VALOR],tabela_registros[MÊS],$AE$1,tabela_registros[DIA],receitasvariáveisconsolidadodez[[#Headers],[14]],tabela_registros[REGISTRO],DADOS!$N$3,tabela_registros[TIPO],DADOS!$V$4,tabela_registros[CATEGORIA],receitasvariáveisconsolidadodez[[#This Row],[ATUAL]])</f>
        <v>0</v>
      </c>
      <c r="S101" s="119" t="n">
        <f aca="false">SUMIFS(tabela_registros[VALOR],tabela_registros[MÊS],$AE$1,tabela_registros[DIA],receitasvariáveisconsolidadodez[[#Headers],[15]],tabela_registros[REGISTRO],DADOS!$N$3,tabela_registros[TIPO],DADOS!$V$4,tabela_registros[CATEGORIA],receitasvariáveisconsolidadodez[[#This Row],[ATUAL]])</f>
        <v>0</v>
      </c>
      <c r="T101" s="119" t="n">
        <f aca="false">SUMIFS(tabela_registros[VALOR],tabela_registros[MÊS],$AE$1,tabela_registros[DIA],receitasvariáveisconsolidadodez[[#Headers],[16]],tabela_registros[REGISTRO],DADOS!$N$3,tabela_registros[TIPO],DADOS!$V$4,tabela_registros[CATEGORIA],receitasvariáveisconsolidadodez[[#This Row],[ATUAL]])</f>
        <v>0</v>
      </c>
      <c r="U101" s="119" t="n">
        <f aca="false">SUMIFS(tabela_registros[VALOR],tabela_registros[MÊS],$AE$1,tabela_registros[DIA],receitasvariáveisconsolidadodez[[#Headers],[17]],tabela_registros[REGISTRO],DADOS!$N$3,tabela_registros[TIPO],DADOS!$V$4,tabela_registros[CATEGORIA],receitasvariáveisconsolidadodez[[#This Row],[ATUAL]])</f>
        <v>0</v>
      </c>
      <c r="V101" s="119" t="n">
        <f aca="false">SUMIFS(tabela_registros[VALOR],tabela_registros[MÊS],$AE$1,tabela_registros[DIA],receitasvariáveisconsolidadodez[[#Headers],[18]],tabela_registros[REGISTRO],DADOS!$N$3,tabela_registros[TIPO],DADOS!$V$4,tabela_registros[CATEGORIA],receitasvariáveisconsolidadodez[[#This Row],[ATUAL]])</f>
        <v>0</v>
      </c>
      <c r="W101" s="119" t="n">
        <f aca="false">SUMIFS(tabela_registros[VALOR],tabela_registros[MÊS],$AE$1,tabela_registros[DIA],receitasvariáveisconsolidadodez[[#Headers],[19]],tabela_registros[REGISTRO],DADOS!$N$3,tabela_registros[TIPO],DADOS!$V$4,tabela_registros[CATEGORIA],receitasvariáveisconsolidadodez[[#This Row],[ATUAL]])</f>
        <v>0</v>
      </c>
      <c r="X101" s="119" t="n">
        <f aca="false">SUMIFS(tabela_registros[VALOR],tabela_registros[MÊS],$AE$1,tabela_registros[DIA],receitasvariáveisconsolidadodez[[#Headers],[20]],tabela_registros[REGISTRO],DADOS!$N$3,tabela_registros[TIPO],DADOS!$V$4,tabela_registros[CATEGORIA],receitasvariáveisconsolidadodez[[#This Row],[ATUAL]])</f>
        <v>0</v>
      </c>
      <c r="Y101" s="119" t="n">
        <f aca="false">SUMIFS(tabela_registros[VALOR],tabela_registros[MÊS],$AE$1,tabela_registros[DIA],receitasvariáveisconsolidadodez[[#Headers],[21]],tabela_registros[REGISTRO],DADOS!$N$3,tabela_registros[TIPO],DADOS!$V$4,tabela_registros[CATEGORIA],receitasvariáveisconsolidadodez[[#This Row],[ATUAL]])</f>
        <v>0</v>
      </c>
      <c r="Z101" s="119" t="n">
        <f aca="false">SUMIFS(tabela_registros[VALOR],tabela_registros[MÊS],$AE$1,tabela_registros[DIA],receitasvariáveisconsolidadodez[[#Headers],[22]],tabela_registros[REGISTRO],DADOS!$N$3,tabela_registros[TIPO],DADOS!$V$4,tabela_registros[CATEGORIA],receitasvariáveisconsolidadodez[[#This Row],[ATUAL]])</f>
        <v>0</v>
      </c>
      <c r="AA101" s="119" t="n">
        <f aca="false">SUMIFS(tabela_registros[VALOR],tabela_registros[MÊS],$AE$1,tabela_registros[DIA],receitasvariáveisconsolidadodez[[#Headers],[23]],tabela_registros[REGISTRO],DADOS!$N$3,tabela_registros[TIPO],DADOS!$V$4,tabela_registros[CATEGORIA],receitasvariáveisconsolidadodez[[#This Row],[ATUAL]])</f>
        <v>0</v>
      </c>
      <c r="AB101" s="119" t="n">
        <f aca="false">SUMIFS(tabela_registros[VALOR],tabela_registros[MÊS],$AE$1,tabela_registros[DIA],receitasvariáveisconsolidadodez[[#Headers],[24]],tabela_registros[REGISTRO],DADOS!$N$3,tabela_registros[TIPO],DADOS!$V$4,tabela_registros[CATEGORIA],receitasvariáveisconsolidadodez[[#This Row],[ATUAL]])</f>
        <v>0</v>
      </c>
      <c r="AC101" s="119" t="n">
        <f aca="false">SUMIFS(tabela_registros[VALOR],tabela_registros[MÊS],$AE$1,tabela_registros[DIA],receitasvariáveisconsolidadodez[[#Headers],[25]],tabela_registros[REGISTRO],DADOS!$N$3,tabela_registros[TIPO],DADOS!$V$4,tabela_registros[CATEGORIA],receitasvariáveisconsolidadodez[[#This Row],[ATUAL]])</f>
        <v>0</v>
      </c>
      <c r="AD101" s="119" t="n">
        <f aca="false">SUMIFS(tabela_registros[VALOR],tabela_registros[MÊS],$AE$1,tabela_registros[DIA],receitasvariáveisconsolidadodez[[#Headers],[26]],tabela_registros[REGISTRO],DADOS!$N$3,tabela_registros[TIPO],DADOS!$V$4,tabela_registros[CATEGORIA],receitasvariáveisconsolidadodez[[#This Row],[ATUAL]])</f>
        <v>0</v>
      </c>
      <c r="AE101" s="119" t="n">
        <f aca="false">SUMIFS(tabela_registros[VALOR],tabela_registros[MÊS],$AE$1,tabela_registros[DIA],receitasvariáveisconsolidadodez[[#Headers],[27]],tabela_registros[REGISTRO],DADOS!$N$3,tabela_registros[TIPO],DADOS!$V$4,tabela_registros[CATEGORIA],receitasvariáveisconsolidadodez[[#This Row],[ATUAL]])</f>
        <v>0</v>
      </c>
      <c r="AF101" s="119" t="n">
        <f aca="false">SUMIFS(tabela_registros[VALOR],tabela_registros[MÊS],$AE$1,tabela_registros[DIA],receitasvariáveisconsolidadodez[[#Headers],[28]],tabela_registros[REGISTRO],DADOS!$N$3,tabela_registros[TIPO],DADOS!$V$4,tabela_registros[CATEGORIA],receitasvariáveisconsolidadodez[[#This Row],[ATUAL]])</f>
        <v>0</v>
      </c>
      <c r="AG101" s="119" t="n">
        <f aca="false">SUMIFS(tabela_registros[VALOR],tabela_registros[MÊS],$AE$1,tabela_registros[DIA],receitasvariáveisconsolidadodez[[#Headers],[29]],tabela_registros[REGISTRO],DADOS!$N$3,tabela_registros[TIPO],DADOS!$V$4,tabela_registros[CATEGORIA],receitasvariáveisconsolidadodez[[#This Row],[ATUAL]])</f>
        <v>0</v>
      </c>
      <c r="AH101" s="119" t="n">
        <f aca="false">SUMIFS(tabela_registros[VALOR],tabela_registros[MÊS],$AE$1,tabela_registros[DIA],receitasvariáveisconsolidadodez[[#Headers],[30]],tabela_registros[REGISTRO],DADOS!$N$3,tabela_registros[TIPO],DADOS!$V$4,tabela_registros[CATEGORIA],receitasvariáveisconsolidadodez[[#This Row],[ATUAL]])</f>
        <v>0</v>
      </c>
      <c r="AI101" s="217" t="n">
        <f aca="false">SUMIFS(tabela_registros[VALOR],tabela_registros[MÊS],$AE$1,tabela_registros[DIA],receitasvariáveisconsolidadodez[[#Headers],[31]],tabela_registros[REGISTRO],DADOS!$N$3,tabela_registros[TIPO],DADOS!$V$4,tabela_registros[CATEGORIA],receitasvariáveisconsolidadodez[[#This Row],[ATUAL]])</f>
        <v>0</v>
      </c>
      <c r="AJ101" s="237" t="n">
        <f aca="false">SUM(receitasvariáveisconsolidadodez[[#This Row],[1]:[31]])</f>
        <v>0</v>
      </c>
      <c r="AK101" s="165"/>
    </row>
    <row r="102" customFormat="false" ht="19.5" hidden="false" customHeight="true" outlineLevel="0" collapsed="false">
      <c r="B102" s="143"/>
      <c r="C102" s="144" t="str">
        <f aca="false">DADOS!$Z$9</f>
        <v>👷‍♀️ TRABALHO TEMPORÁRIO</v>
      </c>
      <c r="D102" s="145" t="str">
        <f aca="false">IF(receitasvariáveisconsolidadodez[[#This Row],[TOTAL (R$)]]=0,"",IF(OR(receitasvariáveisconsolidadodez[[#This Row],[TOTAL (R$)]]=LARGE($AJ$96:$AJ$103,1),receitasvariáveisconsolidadodez[[#This Row],[TOTAL (R$)]]=LARGE($AJ$96:$AJ$103,2)),DADOS!$I$9,""))</f>
        <v/>
      </c>
      <c r="E102" s="148" t="n">
        <f aca="false">SUMIFS(tabela_registros[VALOR],tabela_registros[MÊS],$AE$1,tabela_registros[DIA],receitasvariáveisconsolidadodez[[#Headers],[1]],tabela_registros[REGISTRO],DADOS!$N$3,tabela_registros[TIPO],DADOS!$V$4,tabela_registros[CATEGORIA],receitasvariáveisconsolidadodez[[#This Row],[ATUAL]])</f>
        <v>0</v>
      </c>
      <c r="F102" s="119" t="n">
        <f aca="false">SUMIFS(tabela_registros[VALOR],tabela_registros[MÊS],$AE$1,tabela_registros[DIA],receitasvariáveisconsolidadodez[[#Headers],[2]],tabela_registros[REGISTRO],DADOS!$N$3,tabela_registros[TIPO],DADOS!$V$4,tabela_registros[CATEGORIA],receitasvariáveisconsolidadodez[[#This Row],[ATUAL]])</f>
        <v>0</v>
      </c>
      <c r="G102" s="119" t="n">
        <f aca="false">SUMIFS(tabela_registros[VALOR],tabela_registros[MÊS],$AE$1,tabela_registros[DIA],receitasvariáveisconsolidadodez[[#Headers],[3]],tabela_registros[REGISTRO],DADOS!$N$3,tabela_registros[TIPO],DADOS!$V$4,tabela_registros[CATEGORIA],receitasvariáveisconsolidadodez[[#This Row],[ATUAL]])</f>
        <v>0</v>
      </c>
      <c r="H102" s="119" t="n">
        <f aca="false">SUMIFS(tabela_registros[VALOR],tabela_registros[MÊS],$AE$1,tabela_registros[DIA],receitasvariáveisconsolidadodez[[#Headers],[4]],tabela_registros[REGISTRO],DADOS!$N$3,tabela_registros[TIPO],DADOS!$V$4,tabela_registros[CATEGORIA],receitasvariáveisconsolidadodez[[#This Row],[ATUAL]])</f>
        <v>0</v>
      </c>
      <c r="I102" s="119" t="n">
        <f aca="false">SUMIFS(tabela_registros[VALOR],tabela_registros[MÊS],$AE$1,tabela_registros[DIA],receitasvariáveisconsolidadodez[[#Headers],[5]],tabela_registros[REGISTRO],DADOS!$N$3,tabela_registros[TIPO],DADOS!$V$4,tabela_registros[CATEGORIA],receitasvariáveisconsolidadodez[[#This Row],[ATUAL]])</f>
        <v>0</v>
      </c>
      <c r="J102" s="119" t="n">
        <f aca="false">SUMIFS(tabela_registros[VALOR],tabela_registros[MÊS],$AE$1,tabela_registros[DIA],receitasvariáveisconsolidadodez[[#Headers],[6]],tabela_registros[REGISTRO],DADOS!$N$3,tabela_registros[TIPO],DADOS!$V$4,tabela_registros[CATEGORIA],receitasvariáveisconsolidadodez[[#This Row],[ATUAL]])</f>
        <v>0</v>
      </c>
      <c r="K102" s="119" t="n">
        <f aca="false">SUMIFS(tabela_registros[VALOR],tabela_registros[MÊS],$AE$1,tabela_registros[DIA],receitasvariáveisconsolidadodez[[#Headers],[7]],tabela_registros[REGISTRO],DADOS!$N$3,tabela_registros[TIPO],DADOS!$V$4,tabela_registros[CATEGORIA],receitasvariáveisconsolidadodez[[#This Row],[ATUAL]])</f>
        <v>0</v>
      </c>
      <c r="L102" s="119" t="n">
        <f aca="false">SUMIFS(tabela_registros[VALOR],tabela_registros[MÊS],$AE$1,tabela_registros[DIA],receitasvariáveisconsolidadodez[[#Headers],[8]],tabela_registros[REGISTRO],DADOS!$N$3,tabela_registros[TIPO],DADOS!$V$4,tabela_registros[CATEGORIA],receitasvariáveisconsolidadodez[[#This Row],[ATUAL]])</f>
        <v>0</v>
      </c>
      <c r="M102" s="119" t="n">
        <f aca="false">SUMIFS(tabela_registros[VALOR],tabela_registros[MÊS],$AE$1,tabela_registros[DIA],receitasvariáveisconsolidadodez[[#Headers],[9]],tabela_registros[REGISTRO],DADOS!$N$3,tabela_registros[TIPO],DADOS!$V$4,tabela_registros[CATEGORIA],receitasvariáveisconsolidadodez[[#This Row],[ATUAL]])</f>
        <v>0</v>
      </c>
      <c r="N102" s="119" t="n">
        <f aca="false">SUMIFS(tabela_registros[VALOR],tabela_registros[MÊS],$AE$1,tabela_registros[DIA],receitasvariáveisconsolidadodez[[#Headers],[10]],tabela_registros[REGISTRO],DADOS!$N$3,tabela_registros[TIPO],DADOS!$V$4,tabela_registros[CATEGORIA],receitasvariáveisconsolidadodez[[#This Row],[ATUAL]])</f>
        <v>0</v>
      </c>
      <c r="O102" s="119" t="n">
        <f aca="false">SUMIFS(tabela_registros[VALOR],tabela_registros[MÊS],$AE$1,tabela_registros[DIA],receitasvariáveisconsolidadodez[[#Headers],[11]],tabela_registros[REGISTRO],DADOS!$N$3,tabela_registros[TIPO],DADOS!$V$4,tabela_registros[CATEGORIA],receitasvariáveisconsolidadodez[[#This Row],[ATUAL]])</f>
        <v>0</v>
      </c>
      <c r="P102" s="119" t="n">
        <f aca="false">SUMIFS(tabela_registros[VALOR],tabela_registros[MÊS],$AE$1,tabela_registros[DIA],receitasvariáveisconsolidadodez[[#Headers],[12]],tabela_registros[REGISTRO],DADOS!$N$3,tabela_registros[TIPO],DADOS!$V$4,tabela_registros[CATEGORIA],receitasvariáveisconsolidadodez[[#This Row],[ATUAL]])</f>
        <v>0</v>
      </c>
      <c r="Q102" s="119" t="n">
        <f aca="false">SUMIFS(tabela_registros[VALOR],tabela_registros[MÊS],$AE$1,tabela_registros[DIA],receitasvariáveisconsolidadodez[[#Headers],[13]],tabela_registros[REGISTRO],DADOS!$N$3,tabela_registros[TIPO],DADOS!$V$4,tabela_registros[CATEGORIA],receitasvariáveisconsolidadodez[[#This Row],[ATUAL]])</f>
        <v>0</v>
      </c>
      <c r="R102" s="119" t="n">
        <f aca="false">SUMIFS(tabela_registros[VALOR],tabela_registros[MÊS],$AE$1,tabela_registros[DIA],receitasvariáveisconsolidadodez[[#Headers],[14]],tabela_registros[REGISTRO],DADOS!$N$3,tabela_registros[TIPO],DADOS!$V$4,tabela_registros[CATEGORIA],receitasvariáveisconsolidadodez[[#This Row],[ATUAL]])</f>
        <v>0</v>
      </c>
      <c r="S102" s="119" t="n">
        <f aca="false">SUMIFS(tabela_registros[VALOR],tabela_registros[MÊS],$AE$1,tabela_registros[DIA],receitasvariáveisconsolidadodez[[#Headers],[15]],tabela_registros[REGISTRO],DADOS!$N$3,tabela_registros[TIPO],DADOS!$V$4,tabela_registros[CATEGORIA],receitasvariáveisconsolidadodez[[#This Row],[ATUAL]])</f>
        <v>0</v>
      </c>
      <c r="T102" s="119" t="n">
        <f aca="false">SUMIFS(tabela_registros[VALOR],tabela_registros[MÊS],$AE$1,tabela_registros[DIA],receitasvariáveisconsolidadodez[[#Headers],[16]],tabela_registros[REGISTRO],DADOS!$N$3,tabela_registros[TIPO],DADOS!$V$4,tabela_registros[CATEGORIA],receitasvariáveisconsolidadodez[[#This Row],[ATUAL]])</f>
        <v>0</v>
      </c>
      <c r="U102" s="119" t="n">
        <f aca="false">SUMIFS(tabela_registros[VALOR],tabela_registros[MÊS],$AE$1,tabela_registros[DIA],receitasvariáveisconsolidadodez[[#Headers],[17]],tabela_registros[REGISTRO],DADOS!$N$3,tabela_registros[TIPO],DADOS!$V$4,tabela_registros[CATEGORIA],receitasvariáveisconsolidadodez[[#This Row],[ATUAL]])</f>
        <v>0</v>
      </c>
      <c r="V102" s="119" t="n">
        <f aca="false">SUMIFS(tabela_registros[VALOR],tabela_registros[MÊS],$AE$1,tabela_registros[DIA],receitasvariáveisconsolidadodez[[#Headers],[18]],tabela_registros[REGISTRO],DADOS!$N$3,tabela_registros[TIPO],DADOS!$V$4,tabela_registros[CATEGORIA],receitasvariáveisconsolidadodez[[#This Row],[ATUAL]])</f>
        <v>0</v>
      </c>
      <c r="W102" s="119" t="n">
        <f aca="false">SUMIFS(tabela_registros[VALOR],tabela_registros[MÊS],$AE$1,tabela_registros[DIA],receitasvariáveisconsolidadodez[[#Headers],[19]],tabela_registros[REGISTRO],DADOS!$N$3,tabela_registros[TIPO],DADOS!$V$4,tabela_registros[CATEGORIA],receitasvariáveisconsolidadodez[[#This Row],[ATUAL]])</f>
        <v>0</v>
      </c>
      <c r="X102" s="119" t="n">
        <f aca="false">SUMIFS(tabela_registros[VALOR],tabela_registros[MÊS],$AE$1,tabela_registros[DIA],receitasvariáveisconsolidadodez[[#Headers],[20]],tabela_registros[REGISTRO],DADOS!$N$3,tabela_registros[TIPO],DADOS!$V$4,tabela_registros[CATEGORIA],receitasvariáveisconsolidadodez[[#This Row],[ATUAL]])</f>
        <v>0</v>
      </c>
      <c r="Y102" s="119" t="n">
        <f aca="false">SUMIFS(tabela_registros[VALOR],tabela_registros[MÊS],$AE$1,tabela_registros[DIA],receitasvariáveisconsolidadodez[[#Headers],[21]],tabela_registros[REGISTRO],DADOS!$N$3,tabela_registros[TIPO],DADOS!$V$4,tabela_registros[CATEGORIA],receitasvariáveisconsolidadodez[[#This Row],[ATUAL]])</f>
        <v>0</v>
      </c>
      <c r="Z102" s="119" t="n">
        <f aca="false">SUMIFS(tabela_registros[VALOR],tabela_registros[MÊS],$AE$1,tabela_registros[DIA],receitasvariáveisconsolidadodez[[#Headers],[22]],tabela_registros[REGISTRO],DADOS!$N$3,tabela_registros[TIPO],DADOS!$V$4,tabela_registros[CATEGORIA],receitasvariáveisconsolidadodez[[#This Row],[ATUAL]])</f>
        <v>0</v>
      </c>
      <c r="AA102" s="119" t="n">
        <f aca="false">SUMIFS(tabela_registros[VALOR],tabela_registros[MÊS],$AE$1,tabela_registros[DIA],receitasvariáveisconsolidadodez[[#Headers],[23]],tabela_registros[REGISTRO],DADOS!$N$3,tabela_registros[TIPO],DADOS!$V$4,tabela_registros[CATEGORIA],receitasvariáveisconsolidadodez[[#This Row],[ATUAL]])</f>
        <v>0</v>
      </c>
      <c r="AB102" s="119" t="n">
        <f aca="false">SUMIFS(tabela_registros[VALOR],tabela_registros[MÊS],$AE$1,tabela_registros[DIA],receitasvariáveisconsolidadodez[[#Headers],[24]],tabela_registros[REGISTRO],DADOS!$N$3,tabela_registros[TIPO],DADOS!$V$4,tabela_registros[CATEGORIA],receitasvariáveisconsolidadodez[[#This Row],[ATUAL]])</f>
        <v>0</v>
      </c>
      <c r="AC102" s="119" t="n">
        <f aca="false">SUMIFS(tabela_registros[VALOR],tabela_registros[MÊS],$AE$1,tabela_registros[DIA],receitasvariáveisconsolidadodez[[#Headers],[25]],tabela_registros[REGISTRO],DADOS!$N$3,tabela_registros[TIPO],DADOS!$V$4,tabela_registros[CATEGORIA],receitasvariáveisconsolidadodez[[#This Row],[ATUAL]])</f>
        <v>0</v>
      </c>
      <c r="AD102" s="119" t="n">
        <f aca="false">SUMIFS(tabela_registros[VALOR],tabela_registros[MÊS],$AE$1,tabela_registros[DIA],receitasvariáveisconsolidadodez[[#Headers],[26]],tabela_registros[REGISTRO],DADOS!$N$3,tabela_registros[TIPO],DADOS!$V$4,tabela_registros[CATEGORIA],receitasvariáveisconsolidadodez[[#This Row],[ATUAL]])</f>
        <v>0</v>
      </c>
      <c r="AE102" s="119" t="n">
        <f aca="false">SUMIFS(tabela_registros[VALOR],tabela_registros[MÊS],$AE$1,tabela_registros[DIA],receitasvariáveisconsolidadodez[[#Headers],[27]],tabela_registros[REGISTRO],DADOS!$N$3,tabela_registros[TIPO],DADOS!$V$4,tabela_registros[CATEGORIA],receitasvariáveisconsolidadodez[[#This Row],[ATUAL]])</f>
        <v>0</v>
      </c>
      <c r="AF102" s="119" t="n">
        <f aca="false">SUMIFS(tabela_registros[VALOR],tabela_registros[MÊS],$AE$1,tabela_registros[DIA],receitasvariáveisconsolidadodez[[#Headers],[28]],tabela_registros[REGISTRO],DADOS!$N$3,tabela_registros[TIPO],DADOS!$V$4,tabela_registros[CATEGORIA],receitasvariáveisconsolidadodez[[#This Row],[ATUAL]])</f>
        <v>0</v>
      </c>
      <c r="AG102" s="119" t="n">
        <f aca="false">SUMIFS(tabela_registros[VALOR],tabela_registros[MÊS],$AE$1,tabela_registros[DIA],receitasvariáveisconsolidadodez[[#Headers],[29]],tabela_registros[REGISTRO],DADOS!$N$3,tabela_registros[TIPO],DADOS!$V$4,tabela_registros[CATEGORIA],receitasvariáveisconsolidadodez[[#This Row],[ATUAL]])</f>
        <v>0</v>
      </c>
      <c r="AH102" s="119" t="n">
        <f aca="false">SUMIFS(tabela_registros[VALOR],tabela_registros[MÊS],$AE$1,tabela_registros[DIA],receitasvariáveisconsolidadodez[[#Headers],[30]],tabela_registros[REGISTRO],DADOS!$N$3,tabela_registros[TIPO],DADOS!$V$4,tabela_registros[CATEGORIA],receitasvariáveisconsolidadodez[[#This Row],[ATUAL]])</f>
        <v>0</v>
      </c>
      <c r="AI102" s="217" t="n">
        <f aca="false">SUMIFS(tabela_registros[VALOR],tabela_registros[MÊS],$AE$1,tabela_registros[DIA],receitasvariáveisconsolidadodez[[#Headers],[31]],tabela_registros[REGISTRO],DADOS!$N$3,tabela_registros[TIPO],DADOS!$V$4,tabela_registros[CATEGORIA],receitasvariáveisconsolidadodez[[#This Row],[ATUAL]])</f>
        <v>0</v>
      </c>
      <c r="AJ102" s="237" t="n">
        <f aca="false">SUM(receitasvariáveisconsolidadodez[[#This Row],[1]:[31]])</f>
        <v>0</v>
      </c>
      <c r="AK102" s="165"/>
    </row>
    <row r="103" customFormat="false" ht="18" hidden="false" customHeight="true" outlineLevel="0" collapsed="false">
      <c r="B103" s="143"/>
      <c r="C103" s="144" t="str">
        <f aca="false">DADOS!$Z$10</f>
        <v>📎 OUTROS</v>
      </c>
      <c r="D103" s="145" t="str">
        <f aca="false">IF(receitasvariáveisconsolidadodez[[#This Row],[TOTAL (R$)]]=0,"",IF(OR(receitasvariáveisconsolidadodez[[#This Row],[TOTAL (R$)]]=LARGE($AJ$96:$AJ$103,1),receitasvariáveisconsolidadodez[[#This Row],[TOTAL (R$)]]=LARGE($AJ$96:$AJ$103,2)),DADOS!$I$9,""))</f>
        <v/>
      </c>
      <c r="E103" s="148" t="n">
        <f aca="false">SUMIFS(tabela_registros[VALOR],tabela_registros[MÊS],$AE$1,tabela_registros[DIA],receitasvariáveisconsolidadodez[[#Headers],[1]],tabela_registros[REGISTRO],DADOS!$N$3,tabela_registros[TIPO],DADOS!$V$4,tabela_registros[CATEGORIA],receitasvariáveisconsolidadodez[[#This Row],[ATUAL]])</f>
        <v>0</v>
      </c>
      <c r="F103" s="119" t="n">
        <f aca="false">SUMIFS(tabela_registros[VALOR],tabela_registros[MÊS],$AE$1,tabela_registros[DIA],receitasvariáveisconsolidadodez[[#Headers],[2]],tabela_registros[REGISTRO],DADOS!$N$3,tabela_registros[TIPO],DADOS!$V$4,tabela_registros[CATEGORIA],receitasvariáveisconsolidadodez[[#This Row],[ATUAL]])</f>
        <v>0</v>
      </c>
      <c r="G103" s="119" t="n">
        <f aca="false">SUMIFS(tabela_registros[VALOR],tabela_registros[MÊS],$AE$1,tabela_registros[DIA],receitasvariáveisconsolidadodez[[#Headers],[3]],tabela_registros[REGISTRO],DADOS!$N$3,tabela_registros[TIPO],DADOS!$V$4,tabela_registros[CATEGORIA],receitasvariáveisconsolidadodez[[#This Row],[ATUAL]])</f>
        <v>0</v>
      </c>
      <c r="H103" s="119" t="n">
        <f aca="false">SUMIFS(tabela_registros[VALOR],tabela_registros[MÊS],$AE$1,tabela_registros[DIA],receitasvariáveisconsolidadodez[[#Headers],[4]],tabela_registros[REGISTRO],DADOS!$N$3,tabela_registros[TIPO],DADOS!$V$4,tabela_registros[CATEGORIA],receitasvariáveisconsolidadodez[[#This Row],[ATUAL]])</f>
        <v>0</v>
      </c>
      <c r="I103" s="119" t="n">
        <f aca="false">SUMIFS(tabela_registros[VALOR],tabela_registros[MÊS],$AE$1,tabela_registros[DIA],receitasvariáveisconsolidadodez[[#Headers],[5]],tabela_registros[REGISTRO],DADOS!$N$3,tabela_registros[TIPO],DADOS!$V$4,tabela_registros[CATEGORIA],receitasvariáveisconsolidadodez[[#This Row],[ATUAL]])</f>
        <v>0</v>
      </c>
      <c r="J103" s="119" t="n">
        <f aca="false">SUMIFS(tabela_registros[VALOR],tabela_registros[MÊS],$AE$1,tabela_registros[DIA],receitasvariáveisconsolidadodez[[#Headers],[6]],tabela_registros[REGISTRO],DADOS!$N$3,tabela_registros[TIPO],DADOS!$V$4,tabela_registros[CATEGORIA],receitasvariáveisconsolidadodez[[#This Row],[ATUAL]])</f>
        <v>0</v>
      </c>
      <c r="K103" s="119" t="n">
        <f aca="false">SUMIFS(tabela_registros[VALOR],tabela_registros[MÊS],$AE$1,tabela_registros[DIA],receitasvariáveisconsolidadodez[[#Headers],[7]],tabela_registros[REGISTRO],DADOS!$N$3,tabela_registros[TIPO],DADOS!$V$4,tabela_registros[CATEGORIA],receitasvariáveisconsolidadodez[[#This Row],[ATUAL]])</f>
        <v>0</v>
      </c>
      <c r="L103" s="119" t="n">
        <f aca="false">SUMIFS(tabela_registros[VALOR],tabela_registros[MÊS],$AE$1,tabela_registros[DIA],receitasvariáveisconsolidadodez[[#Headers],[8]],tabela_registros[REGISTRO],DADOS!$N$3,tabela_registros[TIPO],DADOS!$V$4,tabela_registros[CATEGORIA],receitasvariáveisconsolidadodez[[#This Row],[ATUAL]])</f>
        <v>0</v>
      </c>
      <c r="M103" s="119" t="n">
        <f aca="false">SUMIFS(tabela_registros[VALOR],tabela_registros[MÊS],$AE$1,tabela_registros[DIA],receitasvariáveisconsolidadodez[[#Headers],[9]],tabela_registros[REGISTRO],DADOS!$N$3,tabela_registros[TIPO],DADOS!$V$4,tabela_registros[CATEGORIA],receitasvariáveisconsolidadodez[[#This Row],[ATUAL]])</f>
        <v>0</v>
      </c>
      <c r="N103" s="119" t="n">
        <f aca="false">SUMIFS(tabela_registros[VALOR],tabela_registros[MÊS],$AE$1,tabela_registros[DIA],receitasvariáveisconsolidadodez[[#Headers],[10]],tabela_registros[REGISTRO],DADOS!$N$3,tabela_registros[TIPO],DADOS!$V$4,tabela_registros[CATEGORIA],receitasvariáveisconsolidadodez[[#This Row],[ATUAL]])</f>
        <v>0</v>
      </c>
      <c r="O103" s="119" t="n">
        <f aca="false">SUMIFS(tabela_registros[VALOR],tabela_registros[MÊS],$AE$1,tabela_registros[DIA],receitasvariáveisconsolidadodez[[#Headers],[11]],tabela_registros[REGISTRO],DADOS!$N$3,tabela_registros[TIPO],DADOS!$V$4,tabela_registros[CATEGORIA],receitasvariáveisconsolidadodez[[#This Row],[ATUAL]])</f>
        <v>0</v>
      </c>
      <c r="P103" s="119" t="n">
        <f aca="false">SUMIFS(tabela_registros[VALOR],tabela_registros[MÊS],$AE$1,tabela_registros[DIA],receitasvariáveisconsolidadodez[[#Headers],[12]],tabela_registros[REGISTRO],DADOS!$N$3,tabela_registros[TIPO],DADOS!$V$4,tabela_registros[CATEGORIA],receitasvariáveisconsolidadodez[[#This Row],[ATUAL]])</f>
        <v>0</v>
      </c>
      <c r="Q103" s="119" t="n">
        <f aca="false">SUMIFS(tabela_registros[VALOR],tabela_registros[MÊS],$AE$1,tabela_registros[DIA],receitasvariáveisconsolidadodez[[#Headers],[13]],tabela_registros[REGISTRO],DADOS!$N$3,tabela_registros[TIPO],DADOS!$V$4,tabela_registros[CATEGORIA],receitasvariáveisconsolidadodez[[#This Row],[ATUAL]])</f>
        <v>0</v>
      </c>
      <c r="R103" s="119" t="n">
        <f aca="false">SUMIFS(tabela_registros[VALOR],tabela_registros[MÊS],$AE$1,tabela_registros[DIA],receitasvariáveisconsolidadodez[[#Headers],[14]],tabela_registros[REGISTRO],DADOS!$N$3,tabela_registros[TIPO],DADOS!$V$4,tabela_registros[CATEGORIA],receitasvariáveisconsolidadodez[[#This Row],[ATUAL]])</f>
        <v>0</v>
      </c>
      <c r="S103" s="119" t="n">
        <f aca="false">SUMIFS(tabela_registros[VALOR],tabela_registros[MÊS],$AE$1,tabela_registros[DIA],receitasvariáveisconsolidadodez[[#Headers],[15]],tabela_registros[REGISTRO],DADOS!$N$3,tabela_registros[TIPO],DADOS!$V$4,tabela_registros[CATEGORIA],receitasvariáveisconsolidadodez[[#This Row],[ATUAL]])</f>
        <v>0</v>
      </c>
      <c r="T103" s="119" t="n">
        <f aca="false">SUMIFS(tabela_registros[VALOR],tabela_registros[MÊS],$AE$1,tabela_registros[DIA],receitasvariáveisconsolidadodez[[#Headers],[16]],tabela_registros[REGISTRO],DADOS!$N$3,tabela_registros[TIPO],DADOS!$V$4,tabela_registros[CATEGORIA],receitasvariáveisconsolidadodez[[#This Row],[ATUAL]])</f>
        <v>0</v>
      </c>
      <c r="U103" s="119" t="n">
        <f aca="false">SUMIFS(tabela_registros[VALOR],tabela_registros[MÊS],$AE$1,tabela_registros[DIA],receitasvariáveisconsolidadodez[[#Headers],[17]],tabela_registros[REGISTRO],DADOS!$N$3,tabela_registros[TIPO],DADOS!$V$4,tabela_registros[CATEGORIA],receitasvariáveisconsolidadodez[[#This Row],[ATUAL]])</f>
        <v>0</v>
      </c>
      <c r="V103" s="119" t="n">
        <f aca="false">SUMIFS(tabela_registros[VALOR],tabela_registros[MÊS],$AE$1,tabela_registros[DIA],receitasvariáveisconsolidadodez[[#Headers],[18]],tabela_registros[REGISTRO],DADOS!$N$3,tabela_registros[TIPO],DADOS!$V$4,tabela_registros[CATEGORIA],receitasvariáveisconsolidadodez[[#This Row],[ATUAL]])</f>
        <v>0</v>
      </c>
      <c r="W103" s="119" t="n">
        <f aca="false">SUMIFS(tabela_registros[VALOR],tabela_registros[MÊS],$AE$1,tabela_registros[DIA],receitasvariáveisconsolidadodez[[#Headers],[19]],tabela_registros[REGISTRO],DADOS!$N$3,tabela_registros[TIPO],DADOS!$V$4,tabela_registros[CATEGORIA],receitasvariáveisconsolidadodez[[#This Row],[ATUAL]])</f>
        <v>0</v>
      </c>
      <c r="X103" s="119" t="n">
        <f aca="false">SUMIFS(tabela_registros[VALOR],tabela_registros[MÊS],$AE$1,tabela_registros[DIA],receitasvariáveisconsolidadodez[[#Headers],[20]],tabela_registros[REGISTRO],DADOS!$N$3,tabela_registros[TIPO],DADOS!$V$4,tabela_registros[CATEGORIA],receitasvariáveisconsolidadodez[[#This Row],[ATUAL]])</f>
        <v>0</v>
      </c>
      <c r="Y103" s="119" t="n">
        <f aca="false">SUMIFS(tabela_registros[VALOR],tabela_registros[MÊS],$AE$1,tabela_registros[DIA],receitasvariáveisconsolidadodez[[#Headers],[21]],tabela_registros[REGISTRO],DADOS!$N$3,tabela_registros[TIPO],DADOS!$V$4,tabela_registros[CATEGORIA],receitasvariáveisconsolidadodez[[#This Row],[ATUAL]])</f>
        <v>0</v>
      </c>
      <c r="Z103" s="119" t="n">
        <f aca="false">SUMIFS(tabela_registros[VALOR],tabela_registros[MÊS],$AE$1,tabela_registros[DIA],receitasvariáveisconsolidadodez[[#Headers],[22]],tabela_registros[REGISTRO],DADOS!$N$3,tabela_registros[TIPO],DADOS!$V$4,tabela_registros[CATEGORIA],receitasvariáveisconsolidadodez[[#This Row],[ATUAL]])</f>
        <v>0</v>
      </c>
      <c r="AA103" s="119" t="n">
        <f aca="false">SUMIFS(tabela_registros[VALOR],tabela_registros[MÊS],$AE$1,tabela_registros[DIA],receitasvariáveisconsolidadodez[[#Headers],[23]],tabela_registros[REGISTRO],DADOS!$N$3,tabela_registros[TIPO],DADOS!$V$4,tabela_registros[CATEGORIA],receitasvariáveisconsolidadodez[[#This Row],[ATUAL]])</f>
        <v>0</v>
      </c>
      <c r="AB103" s="119" t="n">
        <f aca="false">SUMIFS(tabela_registros[VALOR],tabela_registros[MÊS],$AE$1,tabela_registros[DIA],receitasvariáveisconsolidadodez[[#Headers],[24]],tabela_registros[REGISTRO],DADOS!$N$3,tabela_registros[TIPO],DADOS!$V$4,tabela_registros[CATEGORIA],receitasvariáveisconsolidadodez[[#This Row],[ATUAL]])</f>
        <v>0</v>
      </c>
      <c r="AC103" s="119" t="n">
        <f aca="false">SUMIFS(tabela_registros[VALOR],tabela_registros[MÊS],$AE$1,tabela_registros[DIA],receitasvariáveisconsolidadodez[[#Headers],[25]],tabela_registros[REGISTRO],DADOS!$N$3,tabela_registros[TIPO],DADOS!$V$4,tabela_registros[CATEGORIA],receitasvariáveisconsolidadodez[[#This Row],[ATUAL]])</f>
        <v>0</v>
      </c>
      <c r="AD103" s="119" t="n">
        <f aca="false">SUMIFS(tabela_registros[VALOR],tabela_registros[MÊS],$AE$1,tabela_registros[DIA],receitasvariáveisconsolidadodez[[#Headers],[26]],tabela_registros[REGISTRO],DADOS!$N$3,tabela_registros[TIPO],DADOS!$V$4,tabela_registros[CATEGORIA],receitasvariáveisconsolidadodez[[#This Row],[ATUAL]])</f>
        <v>0</v>
      </c>
      <c r="AE103" s="119" t="n">
        <f aca="false">SUMIFS(tabela_registros[VALOR],tabela_registros[MÊS],$AE$1,tabela_registros[DIA],receitasvariáveisconsolidadodez[[#Headers],[27]],tabela_registros[REGISTRO],DADOS!$N$3,tabela_registros[TIPO],DADOS!$V$4,tabela_registros[CATEGORIA],receitasvariáveisconsolidadodez[[#This Row],[ATUAL]])</f>
        <v>0</v>
      </c>
      <c r="AF103" s="119" t="n">
        <f aca="false">SUMIFS(tabela_registros[VALOR],tabela_registros[MÊS],$AE$1,tabela_registros[DIA],receitasvariáveisconsolidadodez[[#Headers],[28]],tabela_registros[REGISTRO],DADOS!$N$3,tabela_registros[TIPO],DADOS!$V$4,tabela_registros[CATEGORIA],receitasvariáveisconsolidadodez[[#This Row],[ATUAL]])</f>
        <v>0</v>
      </c>
      <c r="AG103" s="119" t="n">
        <f aca="false">SUMIFS(tabela_registros[VALOR],tabela_registros[MÊS],$AE$1,tabela_registros[DIA],receitasvariáveisconsolidadodez[[#Headers],[29]],tabela_registros[REGISTRO],DADOS!$N$3,tabela_registros[TIPO],DADOS!$V$4,tabela_registros[CATEGORIA],receitasvariáveisconsolidadodez[[#This Row],[ATUAL]])</f>
        <v>0</v>
      </c>
      <c r="AH103" s="119" t="n">
        <f aca="false">SUMIFS(tabela_registros[VALOR],tabela_registros[MÊS],$AE$1,tabela_registros[DIA],receitasvariáveisconsolidadodez[[#Headers],[30]],tabela_registros[REGISTRO],DADOS!$N$3,tabela_registros[TIPO],DADOS!$V$4,tabela_registros[CATEGORIA],receitasvariáveisconsolidadodez[[#This Row],[ATUAL]])</f>
        <v>0</v>
      </c>
      <c r="AI103" s="218" t="n">
        <f aca="false">SUMIFS(tabela_registros[VALOR],tabela_registros[MÊS],$AE$1,tabela_registros[DIA],receitasvariáveisconsolidadodez[[#Headers],[31]],tabela_registros[REGISTRO],DADOS!$N$3,tabela_registros[TIPO],DADOS!$V$4,tabela_registros[CATEGORIA],receitasvariáveisconsolidadodez[[#This Row],[ATUAL]])</f>
        <v>0</v>
      </c>
      <c r="AJ103" s="149" t="n">
        <f aca="false">SUM(receitasvariáveisconsolidadodez[[#This Row],[1]:[31]])</f>
        <v>0</v>
      </c>
      <c r="AK103" s="165"/>
    </row>
    <row r="104" s="122" customFormat="true" ht="21" hidden="false" customHeight="true" outlineLevel="0" collapsed="false">
      <c r="B104" s="152"/>
      <c r="C104" s="153" t="s">
        <v>2</v>
      </c>
      <c r="D104" s="166"/>
      <c r="E104" s="155" t="n">
        <f aca="false">SUM(E96:E103)</f>
        <v>0</v>
      </c>
      <c r="F104" s="156" t="n">
        <f aca="false">SUM(F96:F103)+receitasvariáveisconsolidadodez[[#This Row],[1]]</f>
        <v>0</v>
      </c>
      <c r="G104" s="156" t="n">
        <f aca="false">SUM(G96:G103)+receitasvariáveisconsolidadodez[[#This Row],[2]]</f>
        <v>0</v>
      </c>
      <c r="H104" s="156" t="n">
        <f aca="false">SUM(H96:H103)+receitasvariáveisconsolidadodez[[#This Row],[3]]</f>
        <v>0</v>
      </c>
      <c r="I104" s="156" t="n">
        <f aca="false">SUM(I96:I103)+receitasvariáveisconsolidadodez[[#This Row],[4]]</f>
        <v>0</v>
      </c>
      <c r="J104" s="156" t="n">
        <f aca="false">SUM(J96:J103)+receitasvariáveisconsolidadodez[[#This Row],[5]]</f>
        <v>0</v>
      </c>
      <c r="K104" s="156" t="n">
        <f aca="false">SUM(K96:K103)+receitasvariáveisconsolidadodez[[#This Row],[6]]</f>
        <v>0</v>
      </c>
      <c r="L104" s="156" t="n">
        <f aca="false">SUM(L96:L103)+receitasvariáveisconsolidadodez[[#This Row],[7]]</f>
        <v>0</v>
      </c>
      <c r="M104" s="156" t="n">
        <f aca="false">SUM(M96:M103)+receitasvariáveisconsolidadodez[[#This Row],[8]]</f>
        <v>0</v>
      </c>
      <c r="N104" s="156" t="n">
        <f aca="false">SUM(N96:N103)+receitasvariáveisconsolidadodez[[#This Row],[9]]</f>
        <v>0</v>
      </c>
      <c r="O104" s="156" t="n">
        <f aca="false">SUM(O96:O103)+receitasvariáveisconsolidadodez[[#This Row],[10]]</f>
        <v>0</v>
      </c>
      <c r="P104" s="156" t="n">
        <f aca="false">SUM(P96:P103)+receitasvariáveisconsolidadodez[[#This Row],[11]]</f>
        <v>0</v>
      </c>
      <c r="Q104" s="156" t="n">
        <f aca="false">SUM(Q96:Q103)+receitasvariáveisconsolidadodez[[#This Row],[12]]</f>
        <v>0</v>
      </c>
      <c r="R104" s="156" t="n">
        <f aca="false">SUM(R96:R103)+receitasvariáveisconsolidadodez[[#This Row],[13]]</f>
        <v>0</v>
      </c>
      <c r="S104" s="156" t="n">
        <f aca="false">SUM(S96:S103)+receitasvariáveisconsolidadodez[[#This Row],[14]]</f>
        <v>0</v>
      </c>
      <c r="T104" s="156" t="n">
        <f aca="false">SUM(T96:T103)+receitasvariáveisconsolidadodez[[#This Row],[15]]</f>
        <v>0</v>
      </c>
      <c r="U104" s="156" t="n">
        <f aca="false">SUM(U96:U103)+receitasvariáveisconsolidadodez[[#This Row],[16]]</f>
        <v>0</v>
      </c>
      <c r="V104" s="156" t="n">
        <f aca="false">SUM(V96:V103)+receitasvariáveisconsolidadodez[[#This Row],[17]]</f>
        <v>0</v>
      </c>
      <c r="W104" s="156" t="n">
        <f aca="false">SUM(W96:W103)+receitasvariáveisconsolidadodez[[#This Row],[18]]</f>
        <v>0</v>
      </c>
      <c r="X104" s="156" t="n">
        <f aca="false">SUM(X96:X103)+receitasvariáveisconsolidadodez[[#This Row],[19]]</f>
        <v>0</v>
      </c>
      <c r="Y104" s="156" t="n">
        <f aca="false">SUM(Y96:Y103)+receitasvariáveisconsolidadodez[[#This Row],[20]]</f>
        <v>0</v>
      </c>
      <c r="Z104" s="156" t="n">
        <f aca="false">SUM(Z96:Z103)+receitasvariáveisconsolidadodez[[#This Row],[21]]</f>
        <v>0</v>
      </c>
      <c r="AA104" s="156" t="n">
        <f aca="false">SUM(AA96:AA103)+receitasvariáveisconsolidadodez[[#This Row],[22]]</f>
        <v>0</v>
      </c>
      <c r="AB104" s="156" t="n">
        <f aca="false">SUM(AB96:AB103)+receitasvariáveisconsolidadodez[[#This Row],[23]]</f>
        <v>0</v>
      </c>
      <c r="AC104" s="156" t="n">
        <f aca="false">SUM(AC96:AC103)+receitasvariáveisconsolidadodez[[#This Row],[24]]</f>
        <v>0</v>
      </c>
      <c r="AD104" s="156" t="n">
        <f aca="false">SUM(AD96:AD103)+receitasvariáveisconsolidadodez[[#This Row],[25]]</f>
        <v>0</v>
      </c>
      <c r="AE104" s="156" t="n">
        <f aca="false">SUM(AE96:AE103)+receitasvariáveisconsolidadodez[[#This Row],[26]]</f>
        <v>0</v>
      </c>
      <c r="AF104" s="156" t="n">
        <f aca="false">SUM(AF96:AF103)+receitasvariáveisconsolidadodez[[#This Row],[27]]</f>
        <v>0</v>
      </c>
      <c r="AG104" s="156" t="n">
        <f aca="false">SUM(AG96:AG103)+receitasvariáveisconsolidadodez[[#This Row],[28]]</f>
        <v>0</v>
      </c>
      <c r="AH104" s="156" t="n">
        <f aca="false">SUM(AH96:AH103)+receitasvariáveisconsolidadodez[[#This Row],[29]]</f>
        <v>0</v>
      </c>
      <c r="AI104" s="223" t="n">
        <f aca="false">SUM(AI96:AI103)+receitasvariáveisconsolidadodez[[#This Row],[30]]</f>
        <v>0</v>
      </c>
      <c r="AJ104" s="157" t="n">
        <f aca="false">receitasvariáveisconsolidadodez[[#This Row],[31]]</f>
        <v>0</v>
      </c>
      <c r="AK104" s="158"/>
    </row>
    <row r="105" customFormat="false" ht="6.75" hidden="false" customHeight="true" outlineLevel="0" collapsed="false">
      <c r="B105" s="97"/>
      <c r="C105" s="162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233"/>
      <c r="AJ105" s="164"/>
      <c r="AK105" s="244"/>
    </row>
    <row r="106" s="78" customFormat="true" ht="12.75" hidden="false" customHeight="false" outlineLevel="0" collapsed="false">
      <c r="E106" s="100"/>
    </row>
    <row r="107" s="78" customFormat="true" ht="12" hidden="false" customHeight="false" outlineLevel="0" collapsed="false"/>
    <row r="108" s="78" customFormat="true" ht="12" hidden="false" customHeight="false" outlineLevel="0" collapsed="false"/>
    <row r="109" customFormat="false" ht="39.75" hidden="false" customHeight="true" outlineLevel="0" collapsed="false">
      <c r="C109" s="101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3" t="s">
        <v>2</v>
      </c>
    </row>
    <row r="110" s="78" customFormat="true" ht="12.75" hidden="false" customHeight="false" outlineLevel="0" collapsed="false">
      <c r="B110" s="161"/>
      <c r="AJ110" s="106" t="s">
        <v>64</v>
      </c>
    </row>
    <row r="111" customFormat="false" ht="6.75" hidden="false" customHeight="true" outlineLevel="0" collapsed="false">
      <c r="B111" s="86"/>
      <c r="C111" s="162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233"/>
      <c r="AK111" s="139"/>
    </row>
    <row r="112" customFormat="false" ht="13.5" hidden="true" customHeight="false" outlineLevel="0" collapsed="false">
      <c r="B112" s="86"/>
      <c r="C112" s="109" t="s">
        <v>68</v>
      </c>
      <c r="D112" s="110" t="s">
        <v>69</v>
      </c>
      <c r="E112" s="110" t="s">
        <v>30</v>
      </c>
      <c r="F112" s="110" t="s">
        <v>31</v>
      </c>
      <c r="G112" s="110" t="s">
        <v>32</v>
      </c>
      <c r="H112" s="110" t="s">
        <v>33</v>
      </c>
      <c r="I112" s="110" t="s">
        <v>34</v>
      </c>
      <c r="J112" s="110" t="s">
        <v>35</v>
      </c>
      <c r="K112" s="110" t="s">
        <v>36</v>
      </c>
      <c r="L112" s="110" t="s">
        <v>37</v>
      </c>
      <c r="M112" s="110" t="s">
        <v>38</v>
      </c>
      <c r="N112" s="110" t="s">
        <v>39</v>
      </c>
      <c r="O112" s="110" t="s">
        <v>40</v>
      </c>
      <c r="P112" s="110" t="s">
        <v>41</v>
      </c>
      <c r="Q112" s="110" t="s">
        <v>81</v>
      </c>
      <c r="R112" s="110" t="s">
        <v>82</v>
      </c>
      <c r="S112" s="110" t="s">
        <v>83</v>
      </c>
      <c r="T112" s="110" t="s">
        <v>84</v>
      </c>
      <c r="U112" s="110" t="s">
        <v>85</v>
      </c>
      <c r="V112" s="110" t="s">
        <v>86</v>
      </c>
      <c r="W112" s="110" t="s">
        <v>87</v>
      </c>
      <c r="X112" s="110" t="s">
        <v>88</v>
      </c>
      <c r="Y112" s="110" t="s">
        <v>89</v>
      </c>
      <c r="Z112" s="110" t="s">
        <v>90</v>
      </c>
      <c r="AA112" s="110" t="s">
        <v>91</v>
      </c>
      <c r="AB112" s="110" t="s">
        <v>92</v>
      </c>
      <c r="AC112" s="110" t="s">
        <v>93</v>
      </c>
      <c r="AD112" s="110" t="s">
        <v>94</v>
      </c>
      <c r="AE112" s="110" t="s">
        <v>95</v>
      </c>
      <c r="AF112" s="110" t="s">
        <v>96</v>
      </c>
      <c r="AG112" s="110" t="s">
        <v>97</v>
      </c>
      <c r="AH112" s="110" t="s">
        <v>98</v>
      </c>
      <c r="AI112" s="110" t="s">
        <v>99</v>
      </c>
      <c r="AJ112" s="111" t="s">
        <v>70</v>
      </c>
      <c r="AK112" s="86"/>
    </row>
    <row r="113" customFormat="false" ht="19.5" hidden="false" customHeight="true" outlineLevel="0" collapsed="false">
      <c r="B113" s="143"/>
      <c r="C113" s="144" t="str">
        <f aca="false">DADOS!$AD$3</f>
        <v>📝 CDB</v>
      </c>
      <c r="D113" s="145" t="str">
        <f aca="false">IF(investirrendafixaconsolidadodez[[#This Row],[TOTAL (R$)]]=0,"",IF(OR(investirrendafixaconsolidadodez[[#This Row],[TOTAL (R$)]]=LARGE($AJ$113:$AJ$122,1),investirrendafixaconsolidadodez[[#This Row],[TOTAL (R$)]]=LARGE($AJ$113:$AJ$122,2)),DADOS!$I$10,""))</f>
        <v/>
      </c>
      <c r="E113" s="148" t="n">
        <f aca="false">SUMIFS(tabela_registros[VALOR],tabela_registros[MÊS],$AE$1,tabela_registros[DIA],investirrendafixaconsolidadodez[[#Headers],[1]],tabela_registros[REGISTRO],DADOS!$N$5,tabela_registros[TIPO],DADOS!$AB$3,tabela_registros[CATEGORIA],investirrendafixaconsolidadodez[[#This Row],[ATUAL]])</f>
        <v>0</v>
      </c>
      <c r="F113" s="119" t="n">
        <f aca="false">SUMIFS(tabela_registros[VALOR],tabela_registros[MÊS],$AE$1,tabela_registros[DIA],investirrendafixaconsolidadodez[[#Headers],[2]],tabela_registros[REGISTRO],DADOS!$N$5,tabela_registros[TIPO],DADOS!$AB$3,tabela_registros[CATEGORIA],investirrendafixaconsolidadodez[[#This Row],[ATUAL]])</f>
        <v>0</v>
      </c>
      <c r="G113" s="119" t="n">
        <f aca="false">SUMIFS(tabela_registros[VALOR],tabela_registros[MÊS],$AE$1,tabela_registros[DIA],investirrendafixaconsolidadodez[[#Headers],[3]],tabela_registros[REGISTRO],DADOS!$N$5,tabela_registros[TIPO],DADOS!$AB$3,tabela_registros[CATEGORIA],investirrendafixaconsolidadodez[[#This Row],[ATUAL]])</f>
        <v>0</v>
      </c>
      <c r="H113" s="119" t="n">
        <f aca="false">SUMIFS(tabela_registros[VALOR],tabela_registros[MÊS],$AE$1,tabela_registros[DIA],investirrendafixaconsolidadodez[[#Headers],[4]],tabela_registros[REGISTRO],DADOS!$N$5,tabela_registros[TIPO],DADOS!$AB$3,tabela_registros[CATEGORIA],investirrendafixaconsolidadodez[[#This Row],[ATUAL]])</f>
        <v>0</v>
      </c>
      <c r="I113" s="119" t="n">
        <f aca="false">SUMIFS(tabela_registros[VALOR],tabela_registros[MÊS],$AE$1,tabela_registros[DIA],investirrendafixaconsolidadodez[[#Headers],[5]],tabela_registros[REGISTRO],DADOS!$N$5,tabela_registros[TIPO],DADOS!$AB$3,tabela_registros[CATEGORIA],investirrendafixaconsolidadodez[[#This Row],[ATUAL]])</f>
        <v>0</v>
      </c>
      <c r="J113" s="119" t="n">
        <f aca="false">SUMIFS(tabela_registros[VALOR],tabela_registros[MÊS],$AE$1,tabela_registros[DIA],investirrendafixaconsolidadodez[[#Headers],[6]],tabela_registros[REGISTRO],DADOS!$N$5,tabela_registros[TIPO],DADOS!$AB$3,tabela_registros[CATEGORIA],investirrendafixaconsolidadodez[[#This Row],[ATUAL]])</f>
        <v>0</v>
      </c>
      <c r="K113" s="119" t="n">
        <f aca="false">SUMIFS(tabela_registros[VALOR],tabela_registros[MÊS],$AE$1,tabela_registros[DIA],investirrendafixaconsolidadodez[[#Headers],[7]],tabela_registros[REGISTRO],DADOS!$N$5,tabela_registros[TIPO],DADOS!$AB$3,tabela_registros[CATEGORIA],investirrendafixaconsolidadodez[[#This Row],[ATUAL]])</f>
        <v>0</v>
      </c>
      <c r="L113" s="119" t="n">
        <f aca="false">SUMIFS(tabela_registros[VALOR],tabela_registros[MÊS],$AE$1,tabela_registros[DIA],investirrendafixaconsolidadodez[[#Headers],[8]],tabela_registros[REGISTRO],DADOS!$N$5,tabela_registros[TIPO],DADOS!$AB$3,tabela_registros[CATEGORIA],investirrendafixaconsolidadodez[[#This Row],[ATUAL]])</f>
        <v>0</v>
      </c>
      <c r="M113" s="119" t="n">
        <f aca="false">SUMIFS(tabela_registros[VALOR],tabela_registros[MÊS],$AE$1,tabela_registros[DIA],investirrendafixaconsolidadodez[[#Headers],[9]],tabela_registros[REGISTRO],DADOS!$N$5,tabela_registros[TIPO],DADOS!$AB$3,tabela_registros[CATEGORIA],investirrendafixaconsolidadodez[[#This Row],[ATUAL]])</f>
        <v>0</v>
      </c>
      <c r="N113" s="119" t="n">
        <f aca="false">SUMIFS(tabela_registros[VALOR],tabela_registros[MÊS],$AE$1,tabela_registros[DIA],investirrendafixaconsolidadodez[[#Headers],[10]],tabela_registros[REGISTRO],DADOS!$N$5,tabela_registros[TIPO],DADOS!$AB$3,tabela_registros[CATEGORIA],investirrendafixaconsolidadodez[[#This Row],[ATUAL]])</f>
        <v>0</v>
      </c>
      <c r="O113" s="119" t="n">
        <f aca="false">SUMIFS(tabela_registros[VALOR],tabela_registros[MÊS],$AE$1,tabela_registros[DIA],investirrendafixaconsolidadodez[[#Headers],[11]],tabela_registros[REGISTRO],DADOS!$N$5,tabela_registros[TIPO],DADOS!$AB$3,tabela_registros[CATEGORIA],investirrendafixaconsolidadodez[[#This Row],[ATUAL]])</f>
        <v>0</v>
      </c>
      <c r="P113" s="119" t="n">
        <f aca="false">SUMIFS(tabela_registros[VALOR],tabela_registros[MÊS],$AE$1,tabela_registros[DIA],investirrendafixaconsolidadodez[[#Headers],[12]],tabela_registros[REGISTRO],DADOS!$N$5,tabela_registros[TIPO],DADOS!$AB$3,tabela_registros[CATEGORIA],investirrendafixaconsolidadodez[[#This Row],[ATUAL]])</f>
        <v>0</v>
      </c>
      <c r="Q113" s="119" t="n">
        <f aca="false">SUMIFS(tabela_registros[VALOR],tabela_registros[MÊS],$AE$1,tabela_registros[DIA],investirrendafixaconsolidadodez[[#Headers],[13]],tabela_registros[REGISTRO],DADOS!$N$5,tabela_registros[TIPO],DADOS!$AB$3,tabela_registros[CATEGORIA],investirrendafixaconsolidadodez[[#This Row],[ATUAL]])</f>
        <v>0</v>
      </c>
      <c r="R113" s="119" t="n">
        <f aca="false">SUMIFS(tabela_registros[VALOR],tabela_registros[MÊS],$AE$1,tabela_registros[DIA],investirrendafixaconsolidadodez[[#Headers],[14]],tabela_registros[REGISTRO],DADOS!$N$5,tabela_registros[TIPO],DADOS!$AB$3,tabela_registros[CATEGORIA],investirrendafixaconsolidadodez[[#This Row],[ATUAL]])</f>
        <v>0</v>
      </c>
      <c r="S113" s="119" t="n">
        <f aca="false">SUMIFS(tabela_registros[VALOR],tabela_registros[MÊS],$AE$1,tabela_registros[DIA],investirrendafixaconsolidadodez[[#Headers],[15]],tabela_registros[REGISTRO],DADOS!$N$5,tabela_registros[TIPO],DADOS!$AB$3,tabela_registros[CATEGORIA],investirrendafixaconsolidadodez[[#This Row],[ATUAL]])</f>
        <v>0</v>
      </c>
      <c r="T113" s="119" t="n">
        <f aca="false">SUMIFS(tabela_registros[VALOR],tabela_registros[MÊS],$AE$1,tabela_registros[DIA],investirrendafixaconsolidadodez[[#Headers],[16]],tabela_registros[REGISTRO],DADOS!$N$5,tabela_registros[TIPO],DADOS!$AB$3,tabela_registros[CATEGORIA],investirrendafixaconsolidadodez[[#This Row],[ATUAL]])</f>
        <v>0</v>
      </c>
      <c r="U113" s="119" t="n">
        <f aca="false">SUMIFS(tabela_registros[VALOR],tabela_registros[MÊS],$AE$1,tabela_registros[DIA],investirrendafixaconsolidadodez[[#Headers],[17]],tabela_registros[REGISTRO],DADOS!$N$5,tabela_registros[TIPO],DADOS!$AB$3,tabela_registros[CATEGORIA],investirrendafixaconsolidadodez[[#This Row],[ATUAL]])</f>
        <v>0</v>
      </c>
      <c r="V113" s="119" t="n">
        <f aca="false">SUMIFS(tabela_registros[VALOR],tabela_registros[MÊS],$AE$1,tabela_registros[DIA],investirrendafixaconsolidadodez[[#Headers],[18]],tabela_registros[REGISTRO],DADOS!$N$5,tabela_registros[TIPO],DADOS!$AB$3,tabela_registros[CATEGORIA],investirrendafixaconsolidadodez[[#This Row],[ATUAL]])</f>
        <v>0</v>
      </c>
      <c r="W113" s="119" t="n">
        <f aca="false">SUMIFS(tabela_registros[VALOR],tabela_registros[MÊS],$AE$1,tabela_registros[DIA],investirrendafixaconsolidadodez[[#Headers],[19]],tabela_registros[REGISTRO],DADOS!$N$5,tabela_registros[TIPO],DADOS!$AB$3,tabela_registros[CATEGORIA],investirrendafixaconsolidadodez[[#This Row],[ATUAL]])</f>
        <v>0</v>
      </c>
      <c r="X113" s="119" t="n">
        <f aca="false">SUMIFS(tabela_registros[VALOR],tabela_registros[MÊS],$AE$1,tabela_registros[DIA],investirrendafixaconsolidadodez[[#Headers],[20]],tabela_registros[REGISTRO],DADOS!$N$5,tabela_registros[TIPO],DADOS!$AB$3,tabela_registros[CATEGORIA],investirrendafixaconsolidadodez[[#This Row],[ATUAL]])</f>
        <v>0</v>
      </c>
      <c r="Y113" s="119" t="n">
        <f aca="false">SUMIFS(tabela_registros[VALOR],tabela_registros[MÊS],$AE$1,tabela_registros[DIA],investirrendafixaconsolidadodez[[#Headers],[21]],tabela_registros[REGISTRO],DADOS!$N$5,tabela_registros[TIPO],DADOS!$AB$3,tabela_registros[CATEGORIA],investirrendafixaconsolidadodez[[#This Row],[ATUAL]])</f>
        <v>0</v>
      </c>
      <c r="Z113" s="119" t="n">
        <f aca="false">SUMIFS(tabela_registros[VALOR],tabela_registros[MÊS],$AE$1,tabela_registros[DIA],investirrendafixaconsolidadodez[[#Headers],[22]],tabela_registros[REGISTRO],DADOS!$N$5,tabela_registros[TIPO],DADOS!$AB$3,tabela_registros[CATEGORIA],investirrendafixaconsolidadodez[[#This Row],[ATUAL]])</f>
        <v>0</v>
      </c>
      <c r="AA113" s="119" t="n">
        <f aca="false">SUMIFS(tabela_registros[VALOR],tabela_registros[MÊS],$AE$1,tabela_registros[DIA],investirrendafixaconsolidadodez[[#Headers],[23]],tabela_registros[REGISTRO],DADOS!$N$5,tabela_registros[TIPO],DADOS!$AB$3,tabela_registros[CATEGORIA],investirrendafixaconsolidadodez[[#This Row],[ATUAL]])</f>
        <v>0</v>
      </c>
      <c r="AB113" s="119" t="n">
        <f aca="false">SUMIFS(tabela_registros[VALOR],tabela_registros[MÊS],$AE$1,tabela_registros[DIA],investirrendafixaconsolidadodez[[#Headers],[24]],tabela_registros[REGISTRO],DADOS!$N$5,tabela_registros[TIPO],DADOS!$AB$3,tabela_registros[CATEGORIA],investirrendafixaconsolidadodez[[#This Row],[ATUAL]])</f>
        <v>0</v>
      </c>
      <c r="AC113" s="119" t="n">
        <f aca="false">SUMIFS(tabela_registros[VALOR],tabela_registros[MÊS],$AE$1,tabela_registros[DIA],investirrendafixaconsolidadodez[[#Headers],[25]],tabela_registros[REGISTRO],DADOS!$N$5,tabela_registros[TIPO],DADOS!$AB$3,tabela_registros[CATEGORIA],investirrendafixaconsolidadodez[[#This Row],[ATUAL]])</f>
        <v>0</v>
      </c>
      <c r="AD113" s="119" t="n">
        <f aca="false">SUMIFS(tabela_registros[VALOR],tabela_registros[MÊS],$AE$1,tabela_registros[DIA],investirrendafixaconsolidadodez[[#Headers],[26]],tabela_registros[REGISTRO],DADOS!$N$5,tabela_registros[TIPO],DADOS!$AB$3,tabela_registros[CATEGORIA],investirrendafixaconsolidadodez[[#This Row],[ATUAL]])</f>
        <v>0</v>
      </c>
      <c r="AE113" s="119" t="n">
        <f aca="false">SUMIFS(tabela_registros[VALOR],tabela_registros[MÊS],$AE$1,tabela_registros[DIA],investirrendafixaconsolidadodez[[#Headers],[27]],tabela_registros[REGISTRO],DADOS!$N$5,tabela_registros[TIPO],DADOS!$AB$3,tabela_registros[CATEGORIA],investirrendafixaconsolidadodez[[#This Row],[ATUAL]])</f>
        <v>0</v>
      </c>
      <c r="AF113" s="119" t="n">
        <f aca="false">SUMIFS(tabela_registros[VALOR],tabela_registros[MÊS],$AE$1,tabela_registros[DIA],investirrendafixaconsolidadodez[[#Headers],[28]],tabela_registros[REGISTRO],DADOS!$N$5,tabela_registros[TIPO],DADOS!$AB$3,tabela_registros[CATEGORIA],investirrendafixaconsolidadodez[[#This Row],[ATUAL]])</f>
        <v>0</v>
      </c>
      <c r="AG113" s="119" t="n">
        <f aca="false">SUMIFS(tabela_registros[VALOR],tabela_registros[MÊS],$AE$1,tabela_registros[DIA],investirrendafixaconsolidadodez[[#Headers],[29]],tabela_registros[REGISTRO],DADOS!$N$5,tabela_registros[TIPO],DADOS!$AB$3,tabela_registros[CATEGORIA],investirrendafixaconsolidadodez[[#This Row],[ATUAL]])</f>
        <v>0</v>
      </c>
      <c r="AH113" s="119" t="n">
        <f aca="false">SUMIFS(tabela_registros[VALOR],tabela_registros[MÊS],$AE$1,tabela_registros[DIA],investirrendafixaconsolidadodez[[#Headers],[30]],tabela_registros[REGISTRO],DADOS!$N$5,tabela_registros[TIPO],DADOS!$AB$3,tabela_registros[CATEGORIA],investirrendafixaconsolidadodez[[#This Row],[ATUAL]])</f>
        <v>0</v>
      </c>
      <c r="AI113" s="217" t="n">
        <f aca="false">SUMIFS(tabela_registros[VALOR],tabela_registros[MÊS],$AE$1,tabela_registros[DIA],investirrendafixaconsolidadodez[[#Headers],[31]],tabela_registros[REGISTRO],DADOS!$N$5,tabela_registros[TIPO],DADOS!$AB$3,tabela_registros[CATEGORIA],investirrendafixaconsolidadodez[[#This Row],[ATUAL]])</f>
        <v>0</v>
      </c>
      <c r="AJ113" s="149" t="n">
        <f aca="false">SUM(investirrendafixaconsolidadodez[[#This Row],[1]:[31]])</f>
        <v>0</v>
      </c>
      <c r="AK113" s="165"/>
    </row>
    <row r="114" customFormat="false" ht="19.5" hidden="false" customHeight="true" outlineLevel="0" collapsed="false">
      <c r="B114" s="143"/>
      <c r="C114" s="144" t="str">
        <f aca="false">DADOS!$AD$4</f>
        <v>📝 CRA</v>
      </c>
      <c r="D114" s="145" t="str">
        <f aca="false">IF(investirrendafixaconsolidadodez[[#This Row],[TOTAL (R$)]]=0,"",IF(OR(investirrendafixaconsolidadodez[[#This Row],[TOTAL (R$)]]=LARGE($AJ$113:$AJ$122,1),investirrendafixaconsolidadodez[[#This Row],[TOTAL (R$)]]=LARGE($AJ$113:$AJ$122,2)),DADOS!$I$10,""))</f>
        <v/>
      </c>
      <c r="E114" s="148" t="n">
        <f aca="false">SUMIFS(tabela_registros[VALOR],tabela_registros[MÊS],$AE$1,tabela_registros[DIA],investirrendafixaconsolidadodez[[#Headers],[1]],tabela_registros[REGISTRO],DADOS!$N$5,tabela_registros[TIPO],DADOS!$AB$3,tabela_registros[CATEGORIA],investirrendafixaconsolidadodez[[#This Row],[ATUAL]])</f>
        <v>0</v>
      </c>
      <c r="F114" s="119" t="n">
        <f aca="false">SUMIFS(tabela_registros[VALOR],tabela_registros[MÊS],$AE$1,tabela_registros[DIA],investirrendafixaconsolidadodez[[#Headers],[2]],tabela_registros[REGISTRO],DADOS!$N$5,tabela_registros[TIPO],DADOS!$AB$3,tabela_registros[CATEGORIA],investirrendafixaconsolidadodez[[#This Row],[ATUAL]])</f>
        <v>0</v>
      </c>
      <c r="G114" s="119" t="n">
        <f aca="false">SUMIFS(tabela_registros[VALOR],tabela_registros[MÊS],$AE$1,tabela_registros[DIA],investirrendafixaconsolidadodez[[#Headers],[3]],tabela_registros[REGISTRO],DADOS!$N$5,tabela_registros[TIPO],DADOS!$AB$3,tabela_registros[CATEGORIA],investirrendafixaconsolidadodez[[#This Row],[ATUAL]])</f>
        <v>0</v>
      </c>
      <c r="H114" s="119" t="n">
        <f aca="false">SUMIFS(tabela_registros[VALOR],tabela_registros[MÊS],$AE$1,tabela_registros[DIA],investirrendafixaconsolidadodez[[#Headers],[4]],tabela_registros[REGISTRO],DADOS!$N$5,tabela_registros[TIPO],DADOS!$AB$3,tabela_registros[CATEGORIA],investirrendafixaconsolidadodez[[#This Row],[ATUAL]])</f>
        <v>0</v>
      </c>
      <c r="I114" s="119" t="n">
        <f aca="false">SUMIFS(tabela_registros[VALOR],tabela_registros[MÊS],$AE$1,tabela_registros[DIA],investirrendafixaconsolidadodez[[#Headers],[5]],tabela_registros[REGISTRO],DADOS!$N$5,tabela_registros[TIPO],DADOS!$AB$3,tabela_registros[CATEGORIA],investirrendafixaconsolidadodez[[#This Row],[ATUAL]])</f>
        <v>0</v>
      </c>
      <c r="J114" s="119" t="n">
        <f aca="false">SUMIFS(tabela_registros[VALOR],tabela_registros[MÊS],$AE$1,tabela_registros[DIA],investirrendafixaconsolidadodez[[#Headers],[6]],tabela_registros[REGISTRO],DADOS!$N$5,tabela_registros[TIPO],DADOS!$AB$3,tabela_registros[CATEGORIA],investirrendafixaconsolidadodez[[#This Row],[ATUAL]])</f>
        <v>0</v>
      </c>
      <c r="K114" s="119" t="n">
        <f aca="false">SUMIFS(tabela_registros[VALOR],tabela_registros[MÊS],$AE$1,tabela_registros[DIA],investirrendafixaconsolidadodez[[#Headers],[7]],tabela_registros[REGISTRO],DADOS!$N$5,tabela_registros[TIPO],DADOS!$AB$3,tabela_registros[CATEGORIA],investirrendafixaconsolidadodez[[#This Row],[ATUAL]])</f>
        <v>0</v>
      </c>
      <c r="L114" s="119" t="n">
        <f aca="false">SUMIFS(tabela_registros[VALOR],tabela_registros[MÊS],$AE$1,tabela_registros[DIA],investirrendafixaconsolidadodez[[#Headers],[8]],tabela_registros[REGISTRO],DADOS!$N$5,tabela_registros[TIPO],DADOS!$AB$3,tabela_registros[CATEGORIA],investirrendafixaconsolidadodez[[#This Row],[ATUAL]])</f>
        <v>0</v>
      </c>
      <c r="M114" s="119" t="n">
        <f aca="false">SUMIFS(tabela_registros[VALOR],tabela_registros[MÊS],$AE$1,tabela_registros[DIA],investirrendafixaconsolidadodez[[#Headers],[9]],tabela_registros[REGISTRO],DADOS!$N$5,tabela_registros[TIPO],DADOS!$AB$3,tabela_registros[CATEGORIA],investirrendafixaconsolidadodez[[#This Row],[ATUAL]])</f>
        <v>0</v>
      </c>
      <c r="N114" s="119" t="n">
        <f aca="false">SUMIFS(tabela_registros[VALOR],tabela_registros[MÊS],$AE$1,tabela_registros[DIA],investirrendafixaconsolidadodez[[#Headers],[10]],tabela_registros[REGISTRO],DADOS!$N$5,tabela_registros[TIPO],DADOS!$AB$3,tabela_registros[CATEGORIA],investirrendafixaconsolidadodez[[#This Row],[ATUAL]])</f>
        <v>0</v>
      </c>
      <c r="O114" s="119" t="n">
        <f aca="false">SUMIFS(tabela_registros[VALOR],tabela_registros[MÊS],$AE$1,tabela_registros[DIA],investirrendafixaconsolidadodez[[#Headers],[11]],tabela_registros[REGISTRO],DADOS!$N$5,tabela_registros[TIPO],DADOS!$AB$3,tabela_registros[CATEGORIA],investirrendafixaconsolidadodez[[#This Row],[ATUAL]])</f>
        <v>0</v>
      </c>
      <c r="P114" s="119" t="n">
        <f aca="false">SUMIFS(tabela_registros[VALOR],tabela_registros[MÊS],$AE$1,tabela_registros[DIA],investirrendafixaconsolidadodez[[#Headers],[12]],tabela_registros[REGISTRO],DADOS!$N$5,tabela_registros[TIPO],DADOS!$AB$3,tabela_registros[CATEGORIA],investirrendafixaconsolidadodez[[#This Row],[ATUAL]])</f>
        <v>0</v>
      </c>
      <c r="Q114" s="119" t="n">
        <f aca="false">SUMIFS(tabela_registros[VALOR],tabela_registros[MÊS],$AE$1,tabela_registros[DIA],investirrendafixaconsolidadodez[[#Headers],[13]],tabela_registros[REGISTRO],DADOS!$N$5,tabela_registros[TIPO],DADOS!$AB$3,tabela_registros[CATEGORIA],investirrendafixaconsolidadodez[[#This Row],[ATUAL]])</f>
        <v>0</v>
      </c>
      <c r="R114" s="119" t="n">
        <f aca="false">SUMIFS(tabela_registros[VALOR],tabela_registros[MÊS],$AE$1,tabela_registros[DIA],investirrendafixaconsolidadodez[[#Headers],[14]],tabela_registros[REGISTRO],DADOS!$N$5,tabela_registros[TIPO],DADOS!$AB$3,tabela_registros[CATEGORIA],investirrendafixaconsolidadodez[[#This Row],[ATUAL]])</f>
        <v>0</v>
      </c>
      <c r="S114" s="119" t="n">
        <f aca="false">SUMIFS(tabela_registros[VALOR],tabela_registros[MÊS],$AE$1,tabela_registros[DIA],investirrendafixaconsolidadodez[[#Headers],[15]],tabela_registros[REGISTRO],DADOS!$N$5,tabela_registros[TIPO],DADOS!$AB$3,tabela_registros[CATEGORIA],investirrendafixaconsolidadodez[[#This Row],[ATUAL]])</f>
        <v>0</v>
      </c>
      <c r="T114" s="119" t="n">
        <f aca="false">SUMIFS(tabela_registros[VALOR],tabela_registros[MÊS],$AE$1,tabela_registros[DIA],investirrendafixaconsolidadodez[[#Headers],[16]],tabela_registros[REGISTRO],DADOS!$N$5,tabela_registros[TIPO],DADOS!$AB$3,tabela_registros[CATEGORIA],investirrendafixaconsolidadodez[[#This Row],[ATUAL]])</f>
        <v>0</v>
      </c>
      <c r="U114" s="119" t="n">
        <f aca="false">SUMIFS(tabela_registros[VALOR],tabela_registros[MÊS],$AE$1,tabela_registros[DIA],investirrendafixaconsolidadodez[[#Headers],[17]],tabela_registros[REGISTRO],DADOS!$N$5,tabela_registros[TIPO],DADOS!$AB$3,tabela_registros[CATEGORIA],investirrendafixaconsolidadodez[[#This Row],[ATUAL]])</f>
        <v>0</v>
      </c>
      <c r="V114" s="119" t="n">
        <f aca="false">SUMIFS(tabela_registros[VALOR],tabela_registros[MÊS],$AE$1,tabela_registros[DIA],investirrendafixaconsolidadodez[[#Headers],[18]],tabela_registros[REGISTRO],DADOS!$N$5,tabela_registros[TIPO],DADOS!$AB$3,tabela_registros[CATEGORIA],investirrendafixaconsolidadodez[[#This Row],[ATUAL]])</f>
        <v>0</v>
      </c>
      <c r="W114" s="119" t="n">
        <f aca="false">SUMIFS(tabela_registros[VALOR],tabela_registros[MÊS],$AE$1,tabela_registros[DIA],investirrendafixaconsolidadodez[[#Headers],[19]],tabela_registros[REGISTRO],DADOS!$N$5,tabela_registros[TIPO],DADOS!$AB$3,tabela_registros[CATEGORIA],investirrendafixaconsolidadodez[[#This Row],[ATUAL]])</f>
        <v>0</v>
      </c>
      <c r="X114" s="119" t="n">
        <f aca="false">SUMIFS(tabela_registros[VALOR],tabela_registros[MÊS],$AE$1,tabela_registros[DIA],investirrendafixaconsolidadodez[[#Headers],[20]],tabela_registros[REGISTRO],DADOS!$N$5,tabela_registros[TIPO],DADOS!$AB$3,tabela_registros[CATEGORIA],investirrendafixaconsolidadodez[[#This Row],[ATUAL]])</f>
        <v>0</v>
      </c>
      <c r="Y114" s="119" t="n">
        <f aca="false">SUMIFS(tabela_registros[VALOR],tabela_registros[MÊS],$AE$1,tabela_registros[DIA],investirrendafixaconsolidadodez[[#Headers],[21]],tabela_registros[REGISTRO],DADOS!$N$5,tabela_registros[TIPO],DADOS!$AB$3,tabela_registros[CATEGORIA],investirrendafixaconsolidadodez[[#This Row],[ATUAL]])</f>
        <v>0</v>
      </c>
      <c r="Z114" s="119" t="n">
        <f aca="false">SUMIFS(tabela_registros[VALOR],tabela_registros[MÊS],$AE$1,tabela_registros[DIA],investirrendafixaconsolidadodez[[#Headers],[22]],tabela_registros[REGISTRO],DADOS!$N$5,tabela_registros[TIPO],DADOS!$AB$3,tabela_registros[CATEGORIA],investirrendafixaconsolidadodez[[#This Row],[ATUAL]])</f>
        <v>0</v>
      </c>
      <c r="AA114" s="119" t="n">
        <f aca="false">SUMIFS(tabela_registros[VALOR],tabela_registros[MÊS],$AE$1,tabela_registros[DIA],investirrendafixaconsolidadodez[[#Headers],[23]],tabela_registros[REGISTRO],DADOS!$N$5,tabela_registros[TIPO],DADOS!$AB$3,tabela_registros[CATEGORIA],investirrendafixaconsolidadodez[[#This Row],[ATUAL]])</f>
        <v>0</v>
      </c>
      <c r="AB114" s="119" t="n">
        <f aca="false">SUMIFS(tabela_registros[VALOR],tabela_registros[MÊS],$AE$1,tabela_registros[DIA],investirrendafixaconsolidadodez[[#Headers],[24]],tabela_registros[REGISTRO],DADOS!$N$5,tabela_registros[TIPO],DADOS!$AB$3,tabela_registros[CATEGORIA],investirrendafixaconsolidadodez[[#This Row],[ATUAL]])</f>
        <v>0</v>
      </c>
      <c r="AC114" s="119" t="n">
        <f aca="false">SUMIFS(tabela_registros[VALOR],tabela_registros[MÊS],$AE$1,tabela_registros[DIA],investirrendafixaconsolidadodez[[#Headers],[25]],tabela_registros[REGISTRO],DADOS!$N$5,tabela_registros[TIPO],DADOS!$AB$3,tabela_registros[CATEGORIA],investirrendafixaconsolidadodez[[#This Row],[ATUAL]])</f>
        <v>0</v>
      </c>
      <c r="AD114" s="119" t="n">
        <f aca="false">SUMIFS(tabela_registros[VALOR],tabela_registros[MÊS],$AE$1,tabela_registros[DIA],investirrendafixaconsolidadodez[[#Headers],[26]],tabela_registros[REGISTRO],DADOS!$N$5,tabela_registros[TIPO],DADOS!$AB$3,tabela_registros[CATEGORIA],investirrendafixaconsolidadodez[[#This Row],[ATUAL]])</f>
        <v>0</v>
      </c>
      <c r="AE114" s="119" t="n">
        <f aca="false">SUMIFS(tabela_registros[VALOR],tabela_registros[MÊS],$AE$1,tabela_registros[DIA],investirrendafixaconsolidadodez[[#Headers],[27]],tabela_registros[REGISTRO],DADOS!$N$5,tabela_registros[TIPO],DADOS!$AB$3,tabela_registros[CATEGORIA],investirrendafixaconsolidadodez[[#This Row],[ATUAL]])</f>
        <v>0</v>
      </c>
      <c r="AF114" s="119" t="n">
        <f aca="false">SUMIFS(tabela_registros[VALOR],tabela_registros[MÊS],$AE$1,tabela_registros[DIA],investirrendafixaconsolidadodez[[#Headers],[28]],tabela_registros[REGISTRO],DADOS!$N$5,tabela_registros[TIPO],DADOS!$AB$3,tabela_registros[CATEGORIA],investirrendafixaconsolidadodez[[#This Row],[ATUAL]])</f>
        <v>0</v>
      </c>
      <c r="AG114" s="119" t="n">
        <f aca="false">SUMIFS(tabela_registros[VALOR],tabela_registros[MÊS],$AE$1,tabela_registros[DIA],investirrendafixaconsolidadodez[[#Headers],[29]],tabela_registros[REGISTRO],DADOS!$N$5,tabela_registros[TIPO],DADOS!$AB$3,tabela_registros[CATEGORIA],investirrendafixaconsolidadodez[[#This Row],[ATUAL]])</f>
        <v>0</v>
      </c>
      <c r="AH114" s="119" t="n">
        <f aca="false">SUMIFS(tabela_registros[VALOR],tabela_registros[MÊS],$AE$1,tabela_registros[DIA],investirrendafixaconsolidadodez[[#Headers],[30]],tabela_registros[REGISTRO],DADOS!$N$5,tabela_registros[TIPO],DADOS!$AB$3,tabela_registros[CATEGORIA],investirrendafixaconsolidadodez[[#This Row],[ATUAL]])</f>
        <v>0</v>
      </c>
      <c r="AI114" s="217" t="n">
        <f aca="false">SUMIFS(tabela_registros[VALOR],tabela_registros[MÊS],$AE$1,tabela_registros[DIA],investirrendafixaconsolidadodez[[#Headers],[31]],tabela_registros[REGISTRO],DADOS!$N$5,tabela_registros[TIPO],DADOS!$AB$3,tabela_registros[CATEGORIA],investirrendafixaconsolidadodez[[#This Row],[ATUAL]])</f>
        <v>0</v>
      </c>
      <c r="AJ114" s="149" t="n">
        <f aca="false">SUM(investirrendafixaconsolidadodez[[#This Row],[1]:[31]])</f>
        <v>0</v>
      </c>
      <c r="AK114" s="165"/>
    </row>
    <row r="115" customFormat="false" ht="19.5" hidden="false" customHeight="true" outlineLevel="0" collapsed="false">
      <c r="B115" s="143"/>
      <c r="C115" s="144" t="str">
        <f aca="false">DADOS!$AD$5</f>
        <v>📝 CRI</v>
      </c>
      <c r="D115" s="145" t="str">
        <f aca="false">IF(investirrendafixaconsolidadodez[[#This Row],[TOTAL (R$)]]=0,"",IF(OR(investirrendafixaconsolidadodez[[#This Row],[TOTAL (R$)]]=LARGE($AJ$113:$AJ$122,1),investirrendafixaconsolidadodez[[#This Row],[TOTAL (R$)]]=LARGE($AJ$113:$AJ$122,2)),DADOS!$I$10,""))</f>
        <v/>
      </c>
      <c r="E115" s="148" t="n">
        <f aca="false">SUMIFS(tabela_registros[VALOR],tabela_registros[MÊS],$AE$1,tabela_registros[DIA],investirrendafixaconsolidadodez[[#Headers],[1]],tabela_registros[REGISTRO],DADOS!$N$5,tabela_registros[TIPO],DADOS!$AB$3,tabela_registros[CATEGORIA],investirrendafixaconsolidadodez[[#This Row],[ATUAL]])</f>
        <v>0</v>
      </c>
      <c r="F115" s="119" t="n">
        <f aca="false">SUMIFS(tabela_registros[VALOR],tabela_registros[MÊS],$AE$1,tabela_registros[DIA],investirrendafixaconsolidadodez[[#Headers],[2]],tabela_registros[REGISTRO],DADOS!$N$5,tabela_registros[TIPO],DADOS!$AB$3,tabela_registros[CATEGORIA],investirrendafixaconsolidadodez[[#This Row],[ATUAL]])</f>
        <v>0</v>
      </c>
      <c r="G115" s="119" t="n">
        <f aca="false">SUMIFS(tabela_registros[VALOR],tabela_registros[MÊS],$AE$1,tabela_registros[DIA],investirrendafixaconsolidadodez[[#Headers],[3]],tabela_registros[REGISTRO],DADOS!$N$5,tabela_registros[TIPO],DADOS!$AB$3,tabela_registros[CATEGORIA],investirrendafixaconsolidadodez[[#This Row],[ATUAL]])</f>
        <v>0</v>
      </c>
      <c r="H115" s="119" t="n">
        <f aca="false">SUMIFS(tabela_registros[VALOR],tabela_registros[MÊS],$AE$1,tabela_registros[DIA],investirrendafixaconsolidadodez[[#Headers],[4]],tabela_registros[REGISTRO],DADOS!$N$5,tabela_registros[TIPO],DADOS!$AB$3,tabela_registros[CATEGORIA],investirrendafixaconsolidadodez[[#This Row],[ATUAL]])</f>
        <v>0</v>
      </c>
      <c r="I115" s="119" t="n">
        <f aca="false">SUMIFS(tabela_registros[VALOR],tabela_registros[MÊS],$AE$1,tabela_registros[DIA],investirrendafixaconsolidadodez[[#Headers],[5]],tabela_registros[REGISTRO],DADOS!$N$5,tabela_registros[TIPO],DADOS!$AB$3,tabela_registros[CATEGORIA],investirrendafixaconsolidadodez[[#This Row],[ATUAL]])</f>
        <v>0</v>
      </c>
      <c r="J115" s="119" t="n">
        <f aca="false">SUMIFS(tabela_registros[VALOR],tabela_registros[MÊS],$AE$1,tabela_registros[DIA],investirrendafixaconsolidadodez[[#Headers],[6]],tabela_registros[REGISTRO],DADOS!$N$5,tabela_registros[TIPO],DADOS!$AB$3,tabela_registros[CATEGORIA],investirrendafixaconsolidadodez[[#This Row],[ATUAL]])</f>
        <v>0</v>
      </c>
      <c r="K115" s="119" t="n">
        <f aca="false">SUMIFS(tabela_registros[VALOR],tabela_registros[MÊS],$AE$1,tabela_registros[DIA],investirrendafixaconsolidadodez[[#Headers],[7]],tabela_registros[REGISTRO],DADOS!$N$5,tabela_registros[TIPO],DADOS!$AB$3,tabela_registros[CATEGORIA],investirrendafixaconsolidadodez[[#This Row],[ATUAL]])</f>
        <v>0</v>
      </c>
      <c r="L115" s="119" t="n">
        <f aca="false">SUMIFS(tabela_registros[VALOR],tabela_registros[MÊS],$AE$1,tabela_registros[DIA],investirrendafixaconsolidadodez[[#Headers],[8]],tabela_registros[REGISTRO],DADOS!$N$5,tabela_registros[TIPO],DADOS!$AB$3,tabela_registros[CATEGORIA],investirrendafixaconsolidadodez[[#This Row],[ATUAL]])</f>
        <v>0</v>
      </c>
      <c r="M115" s="119" t="n">
        <f aca="false">SUMIFS(tabela_registros[VALOR],tabela_registros[MÊS],$AE$1,tabela_registros[DIA],investirrendafixaconsolidadodez[[#Headers],[9]],tabela_registros[REGISTRO],DADOS!$N$5,tabela_registros[TIPO],DADOS!$AB$3,tabela_registros[CATEGORIA],investirrendafixaconsolidadodez[[#This Row],[ATUAL]])</f>
        <v>0</v>
      </c>
      <c r="N115" s="119" t="n">
        <f aca="false">SUMIFS(tabela_registros[VALOR],tabela_registros[MÊS],$AE$1,tabela_registros[DIA],investirrendafixaconsolidadodez[[#Headers],[10]],tabela_registros[REGISTRO],DADOS!$N$5,tabela_registros[TIPO],DADOS!$AB$3,tabela_registros[CATEGORIA],investirrendafixaconsolidadodez[[#This Row],[ATUAL]])</f>
        <v>0</v>
      </c>
      <c r="O115" s="119" t="n">
        <f aca="false">SUMIFS(tabela_registros[VALOR],tabela_registros[MÊS],$AE$1,tabela_registros[DIA],investirrendafixaconsolidadodez[[#Headers],[11]],tabela_registros[REGISTRO],DADOS!$N$5,tabela_registros[TIPO],DADOS!$AB$3,tabela_registros[CATEGORIA],investirrendafixaconsolidadodez[[#This Row],[ATUAL]])</f>
        <v>0</v>
      </c>
      <c r="P115" s="119" t="n">
        <f aca="false">SUMIFS(tabela_registros[VALOR],tabela_registros[MÊS],$AE$1,tabela_registros[DIA],investirrendafixaconsolidadodez[[#Headers],[12]],tabela_registros[REGISTRO],DADOS!$N$5,tabela_registros[TIPO],DADOS!$AB$3,tabela_registros[CATEGORIA],investirrendafixaconsolidadodez[[#This Row],[ATUAL]])</f>
        <v>0</v>
      </c>
      <c r="Q115" s="119" t="n">
        <f aca="false">SUMIFS(tabela_registros[VALOR],tabela_registros[MÊS],$AE$1,tabela_registros[DIA],investirrendafixaconsolidadodez[[#Headers],[13]],tabela_registros[REGISTRO],DADOS!$N$5,tabela_registros[TIPO],DADOS!$AB$3,tabela_registros[CATEGORIA],investirrendafixaconsolidadodez[[#This Row],[ATUAL]])</f>
        <v>0</v>
      </c>
      <c r="R115" s="119" t="n">
        <f aca="false">SUMIFS(tabela_registros[VALOR],tabela_registros[MÊS],$AE$1,tabela_registros[DIA],investirrendafixaconsolidadodez[[#Headers],[14]],tabela_registros[REGISTRO],DADOS!$N$5,tabela_registros[TIPO],DADOS!$AB$3,tabela_registros[CATEGORIA],investirrendafixaconsolidadodez[[#This Row],[ATUAL]])</f>
        <v>0</v>
      </c>
      <c r="S115" s="119" t="n">
        <f aca="false">SUMIFS(tabela_registros[VALOR],tabela_registros[MÊS],$AE$1,tabela_registros[DIA],investirrendafixaconsolidadodez[[#Headers],[15]],tabela_registros[REGISTRO],DADOS!$N$5,tabela_registros[TIPO],DADOS!$AB$3,tabela_registros[CATEGORIA],investirrendafixaconsolidadodez[[#This Row],[ATUAL]])</f>
        <v>0</v>
      </c>
      <c r="T115" s="119" t="n">
        <f aca="false">SUMIFS(tabela_registros[VALOR],tabela_registros[MÊS],$AE$1,tabela_registros[DIA],investirrendafixaconsolidadodez[[#Headers],[16]],tabela_registros[REGISTRO],DADOS!$N$5,tabela_registros[TIPO],DADOS!$AB$3,tabela_registros[CATEGORIA],investirrendafixaconsolidadodez[[#This Row],[ATUAL]])</f>
        <v>0</v>
      </c>
      <c r="U115" s="119" t="n">
        <f aca="false">SUMIFS(tabela_registros[VALOR],tabela_registros[MÊS],$AE$1,tabela_registros[DIA],investirrendafixaconsolidadodez[[#Headers],[17]],tabela_registros[REGISTRO],DADOS!$N$5,tabela_registros[TIPO],DADOS!$AB$3,tabela_registros[CATEGORIA],investirrendafixaconsolidadodez[[#This Row],[ATUAL]])</f>
        <v>0</v>
      </c>
      <c r="V115" s="119" t="n">
        <f aca="false">SUMIFS(tabela_registros[VALOR],tabela_registros[MÊS],$AE$1,tabela_registros[DIA],investirrendafixaconsolidadodez[[#Headers],[18]],tabela_registros[REGISTRO],DADOS!$N$5,tabela_registros[TIPO],DADOS!$AB$3,tabela_registros[CATEGORIA],investirrendafixaconsolidadodez[[#This Row],[ATUAL]])</f>
        <v>0</v>
      </c>
      <c r="W115" s="119" t="n">
        <f aca="false">SUMIFS(tabela_registros[VALOR],tabela_registros[MÊS],$AE$1,tabela_registros[DIA],investirrendafixaconsolidadodez[[#Headers],[19]],tabela_registros[REGISTRO],DADOS!$N$5,tabela_registros[TIPO],DADOS!$AB$3,tabela_registros[CATEGORIA],investirrendafixaconsolidadodez[[#This Row],[ATUAL]])</f>
        <v>0</v>
      </c>
      <c r="X115" s="119" t="n">
        <f aca="false">SUMIFS(tabela_registros[VALOR],tabela_registros[MÊS],$AE$1,tabela_registros[DIA],investirrendafixaconsolidadodez[[#Headers],[20]],tabela_registros[REGISTRO],DADOS!$N$5,tabela_registros[TIPO],DADOS!$AB$3,tabela_registros[CATEGORIA],investirrendafixaconsolidadodez[[#This Row],[ATUAL]])</f>
        <v>0</v>
      </c>
      <c r="Y115" s="119" t="n">
        <f aca="false">SUMIFS(tabela_registros[VALOR],tabela_registros[MÊS],$AE$1,tabela_registros[DIA],investirrendafixaconsolidadodez[[#Headers],[21]],tabela_registros[REGISTRO],DADOS!$N$5,tabela_registros[TIPO],DADOS!$AB$3,tabela_registros[CATEGORIA],investirrendafixaconsolidadodez[[#This Row],[ATUAL]])</f>
        <v>0</v>
      </c>
      <c r="Z115" s="119" t="n">
        <f aca="false">SUMIFS(tabela_registros[VALOR],tabela_registros[MÊS],$AE$1,tabela_registros[DIA],investirrendafixaconsolidadodez[[#Headers],[22]],tabela_registros[REGISTRO],DADOS!$N$5,tabela_registros[TIPO],DADOS!$AB$3,tabela_registros[CATEGORIA],investirrendafixaconsolidadodez[[#This Row],[ATUAL]])</f>
        <v>0</v>
      </c>
      <c r="AA115" s="119" t="n">
        <f aca="false">SUMIFS(tabela_registros[VALOR],tabela_registros[MÊS],$AE$1,tabela_registros[DIA],investirrendafixaconsolidadodez[[#Headers],[23]],tabela_registros[REGISTRO],DADOS!$N$5,tabela_registros[TIPO],DADOS!$AB$3,tabela_registros[CATEGORIA],investirrendafixaconsolidadodez[[#This Row],[ATUAL]])</f>
        <v>0</v>
      </c>
      <c r="AB115" s="119" t="n">
        <f aca="false">SUMIFS(tabela_registros[VALOR],tabela_registros[MÊS],$AE$1,tabela_registros[DIA],investirrendafixaconsolidadodez[[#Headers],[24]],tabela_registros[REGISTRO],DADOS!$N$5,tabela_registros[TIPO],DADOS!$AB$3,tabela_registros[CATEGORIA],investirrendafixaconsolidadodez[[#This Row],[ATUAL]])</f>
        <v>0</v>
      </c>
      <c r="AC115" s="119" t="n">
        <f aca="false">SUMIFS(tabela_registros[VALOR],tabela_registros[MÊS],$AE$1,tabela_registros[DIA],investirrendafixaconsolidadodez[[#Headers],[25]],tabela_registros[REGISTRO],DADOS!$N$5,tabela_registros[TIPO],DADOS!$AB$3,tabela_registros[CATEGORIA],investirrendafixaconsolidadodez[[#This Row],[ATUAL]])</f>
        <v>0</v>
      </c>
      <c r="AD115" s="119" t="n">
        <f aca="false">SUMIFS(tabela_registros[VALOR],tabela_registros[MÊS],$AE$1,tabela_registros[DIA],investirrendafixaconsolidadodez[[#Headers],[26]],tabela_registros[REGISTRO],DADOS!$N$5,tabela_registros[TIPO],DADOS!$AB$3,tabela_registros[CATEGORIA],investirrendafixaconsolidadodez[[#This Row],[ATUAL]])</f>
        <v>0</v>
      </c>
      <c r="AE115" s="119" t="n">
        <f aca="false">SUMIFS(tabela_registros[VALOR],tabela_registros[MÊS],$AE$1,tabela_registros[DIA],investirrendafixaconsolidadodez[[#Headers],[27]],tabela_registros[REGISTRO],DADOS!$N$5,tabela_registros[TIPO],DADOS!$AB$3,tabela_registros[CATEGORIA],investirrendafixaconsolidadodez[[#This Row],[ATUAL]])</f>
        <v>0</v>
      </c>
      <c r="AF115" s="119" t="n">
        <f aca="false">SUMIFS(tabela_registros[VALOR],tabela_registros[MÊS],$AE$1,tabela_registros[DIA],investirrendafixaconsolidadodez[[#Headers],[28]],tabela_registros[REGISTRO],DADOS!$N$5,tabela_registros[TIPO],DADOS!$AB$3,tabela_registros[CATEGORIA],investirrendafixaconsolidadodez[[#This Row],[ATUAL]])</f>
        <v>0</v>
      </c>
      <c r="AG115" s="119" t="n">
        <f aca="false">SUMIFS(tabela_registros[VALOR],tabela_registros[MÊS],$AE$1,tabela_registros[DIA],investirrendafixaconsolidadodez[[#Headers],[29]],tabela_registros[REGISTRO],DADOS!$N$5,tabela_registros[TIPO],DADOS!$AB$3,tabela_registros[CATEGORIA],investirrendafixaconsolidadodez[[#This Row],[ATUAL]])</f>
        <v>0</v>
      </c>
      <c r="AH115" s="119" t="n">
        <f aca="false">SUMIFS(tabela_registros[VALOR],tabela_registros[MÊS],$AE$1,tabela_registros[DIA],investirrendafixaconsolidadodez[[#Headers],[30]],tabela_registros[REGISTRO],DADOS!$N$5,tabela_registros[TIPO],DADOS!$AB$3,tabela_registros[CATEGORIA],investirrendafixaconsolidadodez[[#This Row],[ATUAL]])</f>
        <v>0</v>
      </c>
      <c r="AI115" s="217" t="n">
        <f aca="false">SUMIFS(tabela_registros[VALOR],tabela_registros[MÊS],$AE$1,tabela_registros[DIA],investirrendafixaconsolidadodez[[#Headers],[31]],tabela_registros[REGISTRO],DADOS!$N$5,tabela_registros[TIPO],DADOS!$AB$3,tabela_registros[CATEGORIA],investirrendafixaconsolidadodez[[#This Row],[ATUAL]])</f>
        <v>0</v>
      </c>
      <c r="AJ115" s="149" t="n">
        <f aca="false">SUM(investirrendafixaconsolidadodez[[#This Row],[1]:[31]])</f>
        <v>0</v>
      </c>
      <c r="AK115" s="165"/>
    </row>
    <row r="116" customFormat="false" ht="19.5" hidden="false" customHeight="true" outlineLevel="0" collapsed="false">
      <c r="B116" s="143"/>
      <c r="C116" s="144" t="str">
        <f aca="false">DADOS!$AD$6</f>
        <v>📝 DEBÊNTURE</v>
      </c>
      <c r="D116" s="145" t="str">
        <f aca="false">IF(investirrendafixaconsolidadodez[[#This Row],[TOTAL (R$)]]=0,"",IF(OR(investirrendafixaconsolidadodez[[#This Row],[TOTAL (R$)]]=LARGE($AJ$113:$AJ$122,1),investirrendafixaconsolidadodez[[#This Row],[TOTAL (R$)]]=LARGE($AJ$113:$AJ$122,2)),DADOS!$I$10,""))</f>
        <v/>
      </c>
      <c r="E116" s="148" t="n">
        <f aca="false">SUMIFS(tabela_registros[VALOR],tabela_registros[MÊS],$AE$1,tabela_registros[DIA],investirrendafixaconsolidadodez[[#Headers],[1]],tabela_registros[REGISTRO],DADOS!$N$5,tabela_registros[TIPO],DADOS!$AB$3,tabela_registros[CATEGORIA],investirrendafixaconsolidadodez[[#This Row],[ATUAL]])</f>
        <v>0</v>
      </c>
      <c r="F116" s="119" t="n">
        <f aca="false">SUMIFS(tabela_registros[VALOR],tabela_registros[MÊS],$AE$1,tabela_registros[DIA],investirrendafixaconsolidadodez[[#Headers],[2]],tabela_registros[REGISTRO],DADOS!$N$5,tabela_registros[TIPO],DADOS!$AB$3,tabela_registros[CATEGORIA],investirrendafixaconsolidadodez[[#This Row],[ATUAL]])</f>
        <v>0</v>
      </c>
      <c r="G116" s="119" t="n">
        <f aca="false">SUMIFS(tabela_registros[VALOR],tabela_registros[MÊS],$AE$1,tabela_registros[DIA],investirrendafixaconsolidadodez[[#Headers],[3]],tabela_registros[REGISTRO],DADOS!$N$5,tabela_registros[TIPO],DADOS!$AB$3,tabela_registros[CATEGORIA],investirrendafixaconsolidadodez[[#This Row],[ATUAL]])</f>
        <v>0</v>
      </c>
      <c r="H116" s="119" t="n">
        <f aca="false">SUMIFS(tabela_registros[VALOR],tabela_registros[MÊS],$AE$1,tabela_registros[DIA],investirrendafixaconsolidadodez[[#Headers],[4]],tabela_registros[REGISTRO],DADOS!$N$5,tabela_registros[TIPO],DADOS!$AB$3,tabela_registros[CATEGORIA],investirrendafixaconsolidadodez[[#This Row],[ATUAL]])</f>
        <v>0</v>
      </c>
      <c r="I116" s="119" t="n">
        <f aca="false">SUMIFS(tabela_registros[VALOR],tabela_registros[MÊS],$AE$1,tabela_registros[DIA],investirrendafixaconsolidadodez[[#Headers],[5]],tabela_registros[REGISTRO],DADOS!$N$5,tabela_registros[TIPO],DADOS!$AB$3,tabela_registros[CATEGORIA],investirrendafixaconsolidadodez[[#This Row],[ATUAL]])</f>
        <v>0</v>
      </c>
      <c r="J116" s="119" t="n">
        <f aca="false">SUMIFS(tabela_registros[VALOR],tabela_registros[MÊS],$AE$1,tabela_registros[DIA],investirrendafixaconsolidadodez[[#Headers],[6]],tabela_registros[REGISTRO],DADOS!$N$5,tabela_registros[TIPO],DADOS!$AB$3,tabela_registros[CATEGORIA],investirrendafixaconsolidadodez[[#This Row],[ATUAL]])</f>
        <v>0</v>
      </c>
      <c r="K116" s="119" t="n">
        <f aca="false">SUMIFS(tabela_registros[VALOR],tabela_registros[MÊS],$AE$1,tabela_registros[DIA],investirrendafixaconsolidadodez[[#Headers],[7]],tabela_registros[REGISTRO],DADOS!$N$5,tabela_registros[TIPO],DADOS!$AB$3,tabela_registros[CATEGORIA],investirrendafixaconsolidadodez[[#This Row],[ATUAL]])</f>
        <v>0</v>
      </c>
      <c r="L116" s="119" t="n">
        <f aca="false">SUMIFS(tabela_registros[VALOR],tabela_registros[MÊS],$AE$1,tabela_registros[DIA],investirrendafixaconsolidadodez[[#Headers],[8]],tabela_registros[REGISTRO],DADOS!$N$5,tabela_registros[TIPO],DADOS!$AB$3,tabela_registros[CATEGORIA],investirrendafixaconsolidadodez[[#This Row],[ATUAL]])</f>
        <v>0</v>
      </c>
      <c r="M116" s="119" t="n">
        <f aca="false">SUMIFS(tabela_registros[VALOR],tabela_registros[MÊS],$AE$1,tabela_registros[DIA],investirrendafixaconsolidadodez[[#Headers],[9]],tabela_registros[REGISTRO],DADOS!$N$5,tabela_registros[TIPO],DADOS!$AB$3,tabela_registros[CATEGORIA],investirrendafixaconsolidadodez[[#This Row],[ATUAL]])</f>
        <v>0</v>
      </c>
      <c r="N116" s="119" t="n">
        <f aca="false">SUMIFS(tabela_registros[VALOR],tabela_registros[MÊS],$AE$1,tabela_registros[DIA],investirrendafixaconsolidadodez[[#Headers],[10]],tabela_registros[REGISTRO],DADOS!$N$5,tabela_registros[TIPO],DADOS!$AB$3,tabela_registros[CATEGORIA],investirrendafixaconsolidadodez[[#This Row],[ATUAL]])</f>
        <v>0</v>
      </c>
      <c r="O116" s="119" t="n">
        <f aca="false">SUMIFS(tabela_registros[VALOR],tabela_registros[MÊS],$AE$1,tabela_registros[DIA],investirrendafixaconsolidadodez[[#Headers],[11]],tabela_registros[REGISTRO],DADOS!$N$5,tabela_registros[TIPO],DADOS!$AB$3,tabela_registros[CATEGORIA],investirrendafixaconsolidadodez[[#This Row],[ATUAL]])</f>
        <v>0</v>
      </c>
      <c r="P116" s="119" t="n">
        <f aca="false">SUMIFS(tabela_registros[VALOR],tabela_registros[MÊS],$AE$1,tabela_registros[DIA],investirrendafixaconsolidadodez[[#Headers],[12]],tabela_registros[REGISTRO],DADOS!$N$5,tabela_registros[TIPO],DADOS!$AB$3,tabela_registros[CATEGORIA],investirrendafixaconsolidadodez[[#This Row],[ATUAL]])</f>
        <v>0</v>
      </c>
      <c r="Q116" s="119" t="n">
        <f aca="false">SUMIFS(tabela_registros[VALOR],tabela_registros[MÊS],$AE$1,tabela_registros[DIA],investirrendafixaconsolidadodez[[#Headers],[13]],tabela_registros[REGISTRO],DADOS!$N$5,tabela_registros[TIPO],DADOS!$AB$3,tabela_registros[CATEGORIA],investirrendafixaconsolidadodez[[#This Row],[ATUAL]])</f>
        <v>0</v>
      </c>
      <c r="R116" s="119" t="n">
        <f aca="false">SUMIFS(tabela_registros[VALOR],tabela_registros[MÊS],$AE$1,tabela_registros[DIA],investirrendafixaconsolidadodez[[#Headers],[14]],tabela_registros[REGISTRO],DADOS!$N$5,tabela_registros[TIPO],DADOS!$AB$3,tabela_registros[CATEGORIA],investirrendafixaconsolidadodez[[#This Row],[ATUAL]])</f>
        <v>0</v>
      </c>
      <c r="S116" s="119" t="n">
        <f aca="false">SUMIFS(tabela_registros[VALOR],tabela_registros[MÊS],$AE$1,tabela_registros[DIA],investirrendafixaconsolidadodez[[#Headers],[15]],tabela_registros[REGISTRO],DADOS!$N$5,tabela_registros[TIPO],DADOS!$AB$3,tabela_registros[CATEGORIA],investirrendafixaconsolidadodez[[#This Row],[ATUAL]])</f>
        <v>0</v>
      </c>
      <c r="T116" s="119" t="n">
        <f aca="false">SUMIFS(tabela_registros[VALOR],tabela_registros[MÊS],$AE$1,tabela_registros[DIA],investirrendafixaconsolidadodez[[#Headers],[16]],tabela_registros[REGISTRO],DADOS!$N$5,tabela_registros[TIPO],DADOS!$AB$3,tabela_registros[CATEGORIA],investirrendafixaconsolidadodez[[#This Row],[ATUAL]])</f>
        <v>0</v>
      </c>
      <c r="U116" s="119" t="n">
        <f aca="false">SUMIFS(tabela_registros[VALOR],tabela_registros[MÊS],$AE$1,tabela_registros[DIA],investirrendafixaconsolidadodez[[#Headers],[17]],tabela_registros[REGISTRO],DADOS!$N$5,tabela_registros[TIPO],DADOS!$AB$3,tabela_registros[CATEGORIA],investirrendafixaconsolidadodez[[#This Row],[ATUAL]])</f>
        <v>0</v>
      </c>
      <c r="V116" s="119" t="n">
        <f aca="false">SUMIFS(tabela_registros[VALOR],tabela_registros[MÊS],$AE$1,tabela_registros[DIA],investirrendafixaconsolidadodez[[#Headers],[18]],tabela_registros[REGISTRO],DADOS!$N$5,tabela_registros[TIPO],DADOS!$AB$3,tabela_registros[CATEGORIA],investirrendafixaconsolidadodez[[#This Row],[ATUAL]])</f>
        <v>0</v>
      </c>
      <c r="W116" s="119" t="n">
        <f aca="false">SUMIFS(tabela_registros[VALOR],tabela_registros[MÊS],$AE$1,tabela_registros[DIA],investirrendafixaconsolidadodez[[#Headers],[19]],tabela_registros[REGISTRO],DADOS!$N$5,tabela_registros[TIPO],DADOS!$AB$3,tabela_registros[CATEGORIA],investirrendafixaconsolidadodez[[#This Row],[ATUAL]])</f>
        <v>0</v>
      </c>
      <c r="X116" s="119" t="n">
        <f aca="false">SUMIFS(tabela_registros[VALOR],tabela_registros[MÊS],$AE$1,tabela_registros[DIA],investirrendafixaconsolidadodez[[#Headers],[20]],tabela_registros[REGISTRO],DADOS!$N$5,tabela_registros[TIPO],DADOS!$AB$3,tabela_registros[CATEGORIA],investirrendafixaconsolidadodez[[#This Row],[ATUAL]])</f>
        <v>0</v>
      </c>
      <c r="Y116" s="119" t="n">
        <f aca="false">SUMIFS(tabela_registros[VALOR],tabela_registros[MÊS],$AE$1,tabela_registros[DIA],investirrendafixaconsolidadodez[[#Headers],[21]],tabela_registros[REGISTRO],DADOS!$N$5,tabela_registros[TIPO],DADOS!$AB$3,tabela_registros[CATEGORIA],investirrendafixaconsolidadodez[[#This Row],[ATUAL]])</f>
        <v>0</v>
      </c>
      <c r="Z116" s="119" t="n">
        <f aca="false">SUMIFS(tabela_registros[VALOR],tabela_registros[MÊS],$AE$1,tabela_registros[DIA],investirrendafixaconsolidadodez[[#Headers],[22]],tabela_registros[REGISTRO],DADOS!$N$5,tabela_registros[TIPO],DADOS!$AB$3,tabela_registros[CATEGORIA],investirrendafixaconsolidadodez[[#This Row],[ATUAL]])</f>
        <v>0</v>
      </c>
      <c r="AA116" s="119" t="n">
        <f aca="false">SUMIFS(tabela_registros[VALOR],tabela_registros[MÊS],$AE$1,tabela_registros[DIA],investirrendafixaconsolidadodez[[#Headers],[23]],tabela_registros[REGISTRO],DADOS!$N$5,tabela_registros[TIPO],DADOS!$AB$3,tabela_registros[CATEGORIA],investirrendafixaconsolidadodez[[#This Row],[ATUAL]])</f>
        <v>0</v>
      </c>
      <c r="AB116" s="119" t="n">
        <f aca="false">SUMIFS(tabela_registros[VALOR],tabela_registros[MÊS],$AE$1,tabela_registros[DIA],investirrendafixaconsolidadodez[[#Headers],[24]],tabela_registros[REGISTRO],DADOS!$N$5,tabela_registros[TIPO],DADOS!$AB$3,tabela_registros[CATEGORIA],investirrendafixaconsolidadodez[[#This Row],[ATUAL]])</f>
        <v>0</v>
      </c>
      <c r="AC116" s="119" t="n">
        <f aca="false">SUMIFS(tabela_registros[VALOR],tabela_registros[MÊS],$AE$1,tabela_registros[DIA],investirrendafixaconsolidadodez[[#Headers],[25]],tabela_registros[REGISTRO],DADOS!$N$5,tabela_registros[TIPO],DADOS!$AB$3,tabela_registros[CATEGORIA],investirrendafixaconsolidadodez[[#This Row],[ATUAL]])</f>
        <v>0</v>
      </c>
      <c r="AD116" s="119" t="n">
        <f aca="false">SUMIFS(tabela_registros[VALOR],tabela_registros[MÊS],$AE$1,tabela_registros[DIA],investirrendafixaconsolidadodez[[#Headers],[26]],tabela_registros[REGISTRO],DADOS!$N$5,tabela_registros[TIPO],DADOS!$AB$3,tabela_registros[CATEGORIA],investirrendafixaconsolidadodez[[#This Row],[ATUAL]])</f>
        <v>0</v>
      </c>
      <c r="AE116" s="119" t="n">
        <f aca="false">SUMIFS(tabela_registros[VALOR],tabela_registros[MÊS],$AE$1,tabela_registros[DIA],investirrendafixaconsolidadodez[[#Headers],[27]],tabela_registros[REGISTRO],DADOS!$N$5,tabela_registros[TIPO],DADOS!$AB$3,tabela_registros[CATEGORIA],investirrendafixaconsolidadodez[[#This Row],[ATUAL]])</f>
        <v>0</v>
      </c>
      <c r="AF116" s="119" t="n">
        <f aca="false">SUMIFS(tabela_registros[VALOR],tabela_registros[MÊS],$AE$1,tabela_registros[DIA],investirrendafixaconsolidadodez[[#Headers],[28]],tabela_registros[REGISTRO],DADOS!$N$5,tabela_registros[TIPO],DADOS!$AB$3,tabela_registros[CATEGORIA],investirrendafixaconsolidadodez[[#This Row],[ATUAL]])</f>
        <v>0</v>
      </c>
      <c r="AG116" s="119" t="n">
        <f aca="false">SUMIFS(tabela_registros[VALOR],tabela_registros[MÊS],$AE$1,tabela_registros[DIA],investirrendafixaconsolidadodez[[#Headers],[29]],tabela_registros[REGISTRO],DADOS!$N$5,tabela_registros[TIPO],DADOS!$AB$3,tabela_registros[CATEGORIA],investirrendafixaconsolidadodez[[#This Row],[ATUAL]])</f>
        <v>0</v>
      </c>
      <c r="AH116" s="119" t="n">
        <f aca="false">SUMIFS(tabela_registros[VALOR],tabela_registros[MÊS],$AE$1,tabela_registros[DIA],investirrendafixaconsolidadodez[[#Headers],[30]],tabela_registros[REGISTRO],DADOS!$N$5,tabela_registros[TIPO],DADOS!$AB$3,tabela_registros[CATEGORIA],investirrendafixaconsolidadodez[[#This Row],[ATUAL]])</f>
        <v>0</v>
      </c>
      <c r="AI116" s="217" t="n">
        <f aca="false">SUMIFS(tabela_registros[VALOR],tabela_registros[MÊS],$AE$1,tabela_registros[DIA],investirrendafixaconsolidadodez[[#Headers],[31]],tabela_registros[REGISTRO],DADOS!$N$5,tabela_registros[TIPO],DADOS!$AB$3,tabela_registros[CATEGORIA],investirrendafixaconsolidadodez[[#This Row],[ATUAL]])</f>
        <v>0</v>
      </c>
      <c r="AJ116" s="149" t="n">
        <f aca="false">SUM(investirrendafixaconsolidadodez[[#This Row],[1]:[31]])</f>
        <v>0</v>
      </c>
      <c r="AK116" s="165"/>
    </row>
    <row r="117" customFormat="false" ht="19.5" hidden="false" customHeight="true" outlineLevel="0" collapsed="false">
      <c r="B117" s="143"/>
      <c r="C117" s="144" t="str">
        <f aca="false">DADOS!$AD$7</f>
        <v>📝 EXTERIOR</v>
      </c>
      <c r="D117" s="145" t="str">
        <f aca="false">IF(investirrendafixaconsolidadodez[[#This Row],[TOTAL (R$)]]=0,"",IF(OR(investirrendafixaconsolidadodez[[#This Row],[TOTAL (R$)]]=LARGE($AJ$113:$AJ$122,1),investirrendafixaconsolidadodez[[#This Row],[TOTAL (R$)]]=LARGE($AJ$113:$AJ$122,2)),DADOS!$I$10,""))</f>
        <v/>
      </c>
      <c r="E117" s="148" t="n">
        <f aca="false">SUMIFS(tabela_registros[VALOR],tabela_registros[MÊS],$AE$1,tabela_registros[DIA],investirrendafixaconsolidadodez[[#Headers],[1]],tabela_registros[REGISTRO],DADOS!$N$5,tabela_registros[TIPO],DADOS!$AB$3,tabela_registros[CATEGORIA],investirrendafixaconsolidadodez[[#This Row],[ATUAL]])</f>
        <v>0</v>
      </c>
      <c r="F117" s="119" t="n">
        <f aca="false">SUMIFS(tabela_registros[VALOR],tabela_registros[MÊS],$AE$1,tabela_registros[DIA],investirrendafixaconsolidadodez[[#Headers],[2]],tabela_registros[REGISTRO],DADOS!$N$5,tabela_registros[TIPO],DADOS!$AB$3,tabela_registros[CATEGORIA],investirrendafixaconsolidadodez[[#This Row],[ATUAL]])</f>
        <v>0</v>
      </c>
      <c r="G117" s="119" t="n">
        <f aca="false">SUMIFS(tabela_registros[VALOR],tabela_registros[MÊS],$AE$1,tabela_registros[DIA],investirrendafixaconsolidadodez[[#Headers],[3]],tabela_registros[REGISTRO],DADOS!$N$5,tabela_registros[TIPO],DADOS!$AB$3,tabela_registros[CATEGORIA],investirrendafixaconsolidadodez[[#This Row],[ATUAL]])</f>
        <v>0</v>
      </c>
      <c r="H117" s="119" t="n">
        <f aca="false">SUMIFS(tabela_registros[VALOR],tabela_registros[MÊS],$AE$1,tabela_registros[DIA],investirrendafixaconsolidadodez[[#Headers],[4]],tabela_registros[REGISTRO],DADOS!$N$5,tabela_registros[TIPO],DADOS!$AB$3,tabela_registros[CATEGORIA],investirrendafixaconsolidadodez[[#This Row],[ATUAL]])</f>
        <v>0</v>
      </c>
      <c r="I117" s="119" t="n">
        <f aca="false">SUMIFS(tabela_registros[VALOR],tabela_registros[MÊS],$AE$1,tabela_registros[DIA],investirrendafixaconsolidadodez[[#Headers],[5]],tabela_registros[REGISTRO],DADOS!$N$5,tabela_registros[TIPO],DADOS!$AB$3,tabela_registros[CATEGORIA],investirrendafixaconsolidadodez[[#This Row],[ATUAL]])</f>
        <v>0</v>
      </c>
      <c r="J117" s="119" t="n">
        <f aca="false">SUMIFS(tabela_registros[VALOR],tabela_registros[MÊS],$AE$1,tabela_registros[DIA],investirrendafixaconsolidadodez[[#Headers],[6]],tabela_registros[REGISTRO],DADOS!$N$5,tabela_registros[TIPO],DADOS!$AB$3,tabela_registros[CATEGORIA],investirrendafixaconsolidadodez[[#This Row],[ATUAL]])</f>
        <v>0</v>
      </c>
      <c r="K117" s="119" t="n">
        <f aca="false">SUMIFS(tabela_registros[VALOR],tabela_registros[MÊS],$AE$1,tabela_registros[DIA],investirrendafixaconsolidadodez[[#Headers],[7]],tabela_registros[REGISTRO],DADOS!$N$5,tabela_registros[TIPO],DADOS!$AB$3,tabela_registros[CATEGORIA],investirrendafixaconsolidadodez[[#This Row],[ATUAL]])</f>
        <v>0</v>
      </c>
      <c r="L117" s="119" t="n">
        <f aca="false">SUMIFS(tabela_registros[VALOR],tabela_registros[MÊS],$AE$1,tabela_registros[DIA],investirrendafixaconsolidadodez[[#Headers],[8]],tabela_registros[REGISTRO],DADOS!$N$5,tabela_registros[TIPO],DADOS!$AB$3,tabela_registros[CATEGORIA],investirrendafixaconsolidadodez[[#This Row],[ATUAL]])</f>
        <v>0</v>
      </c>
      <c r="M117" s="119" t="n">
        <f aca="false">SUMIFS(tabela_registros[VALOR],tabela_registros[MÊS],$AE$1,tabela_registros[DIA],investirrendafixaconsolidadodez[[#Headers],[9]],tabela_registros[REGISTRO],DADOS!$N$5,tabela_registros[TIPO],DADOS!$AB$3,tabela_registros[CATEGORIA],investirrendafixaconsolidadodez[[#This Row],[ATUAL]])</f>
        <v>0</v>
      </c>
      <c r="N117" s="119" t="n">
        <f aca="false">SUMIFS(tabela_registros[VALOR],tabela_registros[MÊS],$AE$1,tabela_registros[DIA],investirrendafixaconsolidadodez[[#Headers],[10]],tabela_registros[REGISTRO],DADOS!$N$5,tabela_registros[TIPO],DADOS!$AB$3,tabela_registros[CATEGORIA],investirrendafixaconsolidadodez[[#This Row],[ATUAL]])</f>
        <v>0</v>
      </c>
      <c r="O117" s="119" t="n">
        <f aca="false">SUMIFS(tabela_registros[VALOR],tabela_registros[MÊS],$AE$1,tabela_registros[DIA],investirrendafixaconsolidadodez[[#Headers],[11]],tabela_registros[REGISTRO],DADOS!$N$5,tabela_registros[TIPO],DADOS!$AB$3,tabela_registros[CATEGORIA],investirrendafixaconsolidadodez[[#This Row],[ATUAL]])</f>
        <v>0</v>
      </c>
      <c r="P117" s="119" t="n">
        <f aca="false">SUMIFS(tabela_registros[VALOR],tabela_registros[MÊS],$AE$1,tabela_registros[DIA],investirrendafixaconsolidadodez[[#Headers],[12]],tabela_registros[REGISTRO],DADOS!$N$5,tabela_registros[TIPO],DADOS!$AB$3,tabela_registros[CATEGORIA],investirrendafixaconsolidadodez[[#This Row],[ATUAL]])</f>
        <v>0</v>
      </c>
      <c r="Q117" s="119" t="n">
        <f aca="false">SUMIFS(tabela_registros[VALOR],tabela_registros[MÊS],$AE$1,tabela_registros[DIA],investirrendafixaconsolidadodez[[#Headers],[13]],tabela_registros[REGISTRO],DADOS!$N$5,tabela_registros[TIPO],DADOS!$AB$3,tabela_registros[CATEGORIA],investirrendafixaconsolidadodez[[#This Row],[ATUAL]])</f>
        <v>0</v>
      </c>
      <c r="R117" s="119" t="n">
        <f aca="false">SUMIFS(tabela_registros[VALOR],tabela_registros[MÊS],$AE$1,tabela_registros[DIA],investirrendafixaconsolidadodez[[#Headers],[14]],tabela_registros[REGISTRO],DADOS!$N$5,tabela_registros[TIPO],DADOS!$AB$3,tabela_registros[CATEGORIA],investirrendafixaconsolidadodez[[#This Row],[ATUAL]])</f>
        <v>0</v>
      </c>
      <c r="S117" s="119" t="n">
        <f aca="false">SUMIFS(tabela_registros[VALOR],tabela_registros[MÊS],$AE$1,tabela_registros[DIA],investirrendafixaconsolidadodez[[#Headers],[15]],tabela_registros[REGISTRO],DADOS!$N$5,tabela_registros[TIPO],DADOS!$AB$3,tabela_registros[CATEGORIA],investirrendafixaconsolidadodez[[#This Row],[ATUAL]])</f>
        <v>0</v>
      </c>
      <c r="T117" s="119" t="n">
        <f aca="false">SUMIFS(tabela_registros[VALOR],tabela_registros[MÊS],$AE$1,tabela_registros[DIA],investirrendafixaconsolidadodez[[#Headers],[16]],tabela_registros[REGISTRO],DADOS!$N$5,tabela_registros[TIPO],DADOS!$AB$3,tabela_registros[CATEGORIA],investirrendafixaconsolidadodez[[#This Row],[ATUAL]])</f>
        <v>0</v>
      </c>
      <c r="U117" s="119" t="n">
        <f aca="false">SUMIFS(tabela_registros[VALOR],tabela_registros[MÊS],$AE$1,tabela_registros[DIA],investirrendafixaconsolidadodez[[#Headers],[17]],tabela_registros[REGISTRO],DADOS!$N$5,tabela_registros[TIPO],DADOS!$AB$3,tabela_registros[CATEGORIA],investirrendafixaconsolidadodez[[#This Row],[ATUAL]])</f>
        <v>0</v>
      </c>
      <c r="V117" s="119" t="n">
        <f aca="false">SUMIFS(tabela_registros[VALOR],tabela_registros[MÊS],$AE$1,tabela_registros[DIA],investirrendafixaconsolidadodez[[#Headers],[18]],tabela_registros[REGISTRO],DADOS!$N$5,tabela_registros[TIPO],DADOS!$AB$3,tabela_registros[CATEGORIA],investirrendafixaconsolidadodez[[#This Row],[ATUAL]])</f>
        <v>0</v>
      </c>
      <c r="W117" s="119" t="n">
        <f aca="false">SUMIFS(tabela_registros[VALOR],tabela_registros[MÊS],$AE$1,tabela_registros[DIA],investirrendafixaconsolidadodez[[#Headers],[19]],tabela_registros[REGISTRO],DADOS!$N$5,tabela_registros[TIPO],DADOS!$AB$3,tabela_registros[CATEGORIA],investirrendafixaconsolidadodez[[#This Row],[ATUAL]])</f>
        <v>0</v>
      </c>
      <c r="X117" s="119" t="n">
        <f aca="false">SUMIFS(tabela_registros[VALOR],tabela_registros[MÊS],$AE$1,tabela_registros[DIA],investirrendafixaconsolidadodez[[#Headers],[20]],tabela_registros[REGISTRO],DADOS!$N$5,tabela_registros[TIPO],DADOS!$AB$3,tabela_registros[CATEGORIA],investirrendafixaconsolidadodez[[#This Row],[ATUAL]])</f>
        <v>0</v>
      </c>
      <c r="Y117" s="119" t="n">
        <f aca="false">SUMIFS(tabela_registros[VALOR],tabela_registros[MÊS],$AE$1,tabela_registros[DIA],investirrendafixaconsolidadodez[[#Headers],[21]],tabela_registros[REGISTRO],DADOS!$N$5,tabela_registros[TIPO],DADOS!$AB$3,tabela_registros[CATEGORIA],investirrendafixaconsolidadodez[[#This Row],[ATUAL]])</f>
        <v>0</v>
      </c>
      <c r="Z117" s="119" t="n">
        <f aca="false">SUMIFS(tabela_registros[VALOR],tabela_registros[MÊS],$AE$1,tabela_registros[DIA],investirrendafixaconsolidadodez[[#Headers],[22]],tabela_registros[REGISTRO],DADOS!$N$5,tabela_registros[TIPO],DADOS!$AB$3,tabela_registros[CATEGORIA],investirrendafixaconsolidadodez[[#This Row],[ATUAL]])</f>
        <v>0</v>
      </c>
      <c r="AA117" s="119" t="n">
        <f aca="false">SUMIFS(tabela_registros[VALOR],tabela_registros[MÊS],$AE$1,tabela_registros[DIA],investirrendafixaconsolidadodez[[#Headers],[23]],tabela_registros[REGISTRO],DADOS!$N$5,tabela_registros[TIPO],DADOS!$AB$3,tabela_registros[CATEGORIA],investirrendafixaconsolidadodez[[#This Row],[ATUAL]])</f>
        <v>0</v>
      </c>
      <c r="AB117" s="119" t="n">
        <f aca="false">SUMIFS(tabela_registros[VALOR],tabela_registros[MÊS],$AE$1,tabela_registros[DIA],investirrendafixaconsolidadodez[[#Headers],[24]],tabela_registros[REGISTRO],DADOS!$N$5,tabela_registros[TIPO],DADOS!$AB$3,tabela_registros[CATEGORIA],investirrendafixaconsolidadodez[[#This Row],[ATUAL]])</f>
        <v>0</v>
      </c>
      <c r="AC117" s="119" t="n">
        <f aca="false">SUMIFS(tabela_registros[VALOR],tabela_registros[MÊS],$AE$1,tabela_registros[DIA],investirrendafixaconsolidadodez[[#Headers],[25]],tabela_registros[REGISTRO],DADOS!$N$5,tabela_registros[TIPO],DADOS!$AB$3,tabela_registros[CATEGORIA],investirrendafixaconsolidadodez[[#This Row],[ATUAL]])</f>
        <v>0</v>
      </c>
      <c r="AD117" s="119" t="n">
        <f aca="false">SUMIFS(tabela_registros[VALOR],tabela_registros[MÊS],$AE$1,tabela_registros[DIA],investirrendafixaconsolidadodez[[#Headers],[26]],tabela_registros[REGISTRO],DADOS!$N$5,tabela_registros[TIPO],DADOS!$AB$3,tabela_registros[CATEGORIA],investirrendafixaconsolidadodez[[#This Row],[ATUAL]])</f>
        <v>0</v>
      </c>
      <c r="AE117" s="119" t="n">
        <f aca="false">SUMIFS(tabela_registros[VALOR],tabela_registros[MÊS],$AE$1,tabela_registros[DIA],investirrendafixaconsolidadodez[[#Headers],[27]],tabela_registros[REGISTRO],DADOS!$N$5,tabela_registros[TIPO],DADOS!$AB$3,tabela_registros[CATEGORIA],investirrendafixaconsolidadodez[[#This Row],[ATUAL]])</f>
        <v>0</v>
      </c>
      <c r="AF117" s="119" t="n">
        <f aca="false">SUMIFS(tabela_registros[VALOR],tabela_registros[MÊS],$AE$1,tabela_registros[DIA],investirrendafixaconsolidadodez[[#Headers],[28]],tabela_registros[REGISTRO],DADOS!$N$5,tabela_registros[TIPO],DADOS!$AB$3,tabela_registros[CATEGORIA],investirrendafixaconsolidadodez[[#This Row],[ATUAL]])</f>
        <v>0</v>
      </c>
      <c r="AG117" s="119" t="n">
        <f aca="false">SUMIFS(tabela_registros[VALOR],tabela_registros[MÊS],$AE$1,tabela_registros[DIA],investirrendafixaconsolidadodez[[#Headers],[29]],tabela_registros[REGISTRO],DADOS!$N$5,tabela_registros[TIPO],DADOS!$AB$3,tabela_registros[CATEGORIA],investirrendafixaconsolidadodez[[#This Row],[ATUAL]])</f>
        <v>0</v>
      </c>
      <c r="AH117" s="119" t="n">
        <f aca="false">SUMIFS(tabela_registros[VALOR],tabela_registros[MÊS],$AE$1,tabela_registros[DIA],investirrendafixaconsolidadodez[[#Headers],[30]],tabela_registros[REGISTRO],DADOS!$N$5,tabela_registros[TIPO],DADOS!$AB$3,tabela_registros[CATEGORIA],investirrendafixaconsolidadodez[[#This Row],[ATUAL]])</f>
        <v>0</v>
      </c>
      <c r="AI117" s="217" t="n">
        <f aca="false">SUMIFS(tabela_registros[VALOR],tabela_registros[MÊS],$AE$1,tabela_registros[DIA],investirrendafixaconsolidadodez[[#Headers],[31]],tabela_registros[REGISTRO],DADOS!$N$5,tabela_registros[TIPO],DADOS!$AB$3,tabela_registros[CATEGORIA],investirrendafixaconsolidadodez[[#This Row],[ATUAL]])</f>
        <v>0</v>
      </c>
      <c r="AJ117" s="149" t="n">
        <f aca="false">SUM(investirrendafixaconsolidadodez[[#This Row],[1]:[31]])</f>
        <v>0</v>
      </c>
      <c r="AK117" s="165"/>
    </row>
    <row r="118" customFormat="false" ht="19.5" hidden="false" customHeight="true" outlineLevel="0" collapsed="false">
      <c r="B118" s="143"/>
      <c r="C118" s="144" t="str">
        <f aca="false">DADOS!$AD$8</f>
        <v>📝 LC</v>
      </c>
      <c r="D118" s="145" t="str">
        <f aca="false">IF(investirrendafixaconsolidadodez[[#This Row],[TOTAL (R$)]]=0,"",IF(OR(investirrendafixaconsolidadodez[[#This Row],[TOTAL (R$)]]=LARGE($AJ$113:$AJ$122,1),investirrendafixaconsolidadodez[[#This Row],[TOTAL (R$)]]=LARGE($AJ$113:$AJ$122,2)),DADOS!$I$10,""))</f>
        <v/>
      </c>
      <c r="E118" s="148" t="n">
        <f aca="false">SUMIFS(tabela_registros[VALOR],tabela_registros[MÊS],$AE$1,tabela_registros[DIA],investirrendafixaconsolidadodez[[#Headers],[1]],tabela_registros[REGISTRO],DADOS!$N$5,tabela_registros[TIPO],DADOS!$AB$3,tabela_registros[CATEGORIA],investirrendafixaconsolidadodez[[#This Row],[ATUAL]])</f>
        <v>0</v>
      </c>
      <c r="F118" s="119" t="n">
        <f aca="false">SUMIFS(tabela_registros[VALOR],tabela_registros[MÊS],$AE$1,tabela_registros[DIA],investirrendafixaconsolidadodez[[#Headers],[2]],tabela_registros[REGISTRO],DADOS!$N$5,tabela_registros[TIPO],DADOS!$AB$3,tabela_registros[CATEGORIA],investirrendafixaconsolidadodez[[#This Row],[ATUAL]])</f>
        <v>0</v>
      </c>
      <c r="G118" s="119" t="n">
        <f aca="false">SUMIFS(tabela_registros[VALOR],tabela_registros[MÊS],$AE$1,tabela_registros[DIA],investirrendafixaconsolidadodez[[#Headers],[3]],tabela_registros[REGISTRO],DADOS!$N$5,tabela_registros[TIPO],DADOS!$AB$3,tabela_registros[CATEGORIA],investirrendafixaconsolidadodez[[#This Row],[ATUAL]])</f>
        <v>0</v>
      </c>
      <c r="H118" s="119" t="n">
        <f aca="false">SUMIFS(tabela_registros[VALOR],tabela_registros[MÊS],$AE$1,tabela_registros[DIA],investirrendafixaconsolidadodez[[#Headers],[4]],tabela_registros[REGISTRO],DADOS!$N$5,tabela_registros[TIPO],DADOS!$AB$3,tabela_registros[CATEGORIA],investirrendafixaconsolidadodez[[#This Row],[ATUAL]])</f>
        <v>0</v>
      </c>
      <c r="I118" s="119" t="n">
        <f aca="false">SUMIFS(tabela_registros[VALOR],tabela_registros[MÊS],$AE$1,tabela_registros[DIA],investirrendafixaconsolidadodez[[#Headers],[5]],tabela_registros[REGISTRO],DADOS!$N$5,tabela_registros[TIPO],DADOS!$AB$3,tabela_registros[CATEGORIA],investirrendafixaconsolidadodez[[#This Row],[ATUAL]])</f>
        <v>0</v>
      </c>
      <c r="J118" s="119" t="n">
        <f aca="false">SUMIFS(tabela_registros[VALOR],tabela_registros[MÊS],$AE$1,tabela_registros[DIA],investirrendafixaconsolidadodez[[#Headers],[6]],tabela_registros[REGISTRO],DADOS!$N$5,tabela_registros[TIPO],DADOS!$AB$3,tabela_registros[CATEGORIA],investirrendafixaconsolidadodez[[#This Row],[ATUAL]])</f>
        <v>0</v>
      </c>
      <c r="K118" s="119" t="n">
        <f aca="false">SUMIFS(tabela_registros[VALOR],tabela_registros[MÊS],$AE$1,tabela_registros[DIA],investirrendafixaconsolidadodez[[#Headers],[7]],tabela_registros[REGISTRO],DADOS!$N$5,tabela_registros[TIPO],DADOS!$AB$3,tabela_registros[CATEGORIA],investirrendafixaconsolidadodez[[#This Row],[ATUAL]])</f>
        <v>0</v>
      </c>
      <c r="L118" s="119" t="n">
        <f aca="false">SUMIFS(tabela_registros[VALOR],tabela_registros[MÊS],$AE$1,tabela_registros[DIA],investirrendafixaconsolidadodez[[#Headers],[8]],tabela_registros[REGISTRO],DADOS!$N$5,tabela_registros[TIPO],DADOS!$AB$3,tabela_registros[CATEGORIA],investirrendafixaconsolidadodez[[#This Row],[ATUAL]])</f>
        <v>0</v>
      </c>
      <c r="M118" s="119" t="n">
        <f aca="false">SUMIFS(tabela_registros[VALOR],tabela_registros[MÊS],$AE$1,tabela_registros[DIA],investirrendafixaconsolidadodez[[#Headers],[9]],tabela_registros[REGISTRO],DADOS!$N$5,tabela_registros[TIPO],DADOS!$AB$3,tabela_registros[CATEGORIA],investirrendafixaconsolidadodez[[#This Row],[ATUAL]])</f>
        <v>0</v>
      </c>
      <c r="N118" s="119" t="n">
        <f aca="false">SUMIFS(tabela_registros[VALOR],tabela_registros[MÊS],$AE$1,tabela_registros[DIA],investirrendafixaconsolidadodez[[#Headers],[10]],tabela_registros[REGISTRO],DADOS!$N$5,tabela_registros[TIPO],DADOS!$AB$3,tabela_registros[CATEGORIA],investirrendafixaconsolidadodez[[#This Row],[ATUAL]])</f>
        <v>0</v>
      </c>
      <c r="O118" s="119" t="n">
        <f aca="false">SUMIFS(tabela_registros[VALOR],tabela_registros[MÊS],$AE$1,tabela_registros[DIA],investirrendafixaconsolidadodez[[#Headers],[11]],tabela_registros[REGISTRO],DADOS!$N$5,tabela_registros[TIPO],DADOS!$AB$3,tabela_registros[CATEGORIA],investirrendafixaconsolidadodez[[#This Row],[ATUAL]])</f>
        <v>0</v>
      </c>
      <c r="P118" s="119" t="n">
        <f aca="false">SUMIFS(tabela_registros[VALOR],tabela_registros[MÊS],$AE$1,tabela_registros[DIA],investirrendafixaconsolidadodez[[#Headers],[12]],tabela_registros[REGISTRO],DADOS!$N$5,tabela_registros[TIPO],DADOS!$AB$3,tabela_registros[CATEGORIA],investirrendafixaconsolidadodez[[#This Row],[ATUAL]])</f>
        <v>0</v>
      </c>
      <c r="Q118" s="119" t="n">
        <f aca="false">SUMIFS(tabela_registros[VALOR],tabela_registros[MÊS],$AE$1,tabela_registros[DIA],investirrendafixaconsolidadodez[[#Headers],[13]],tabela_registros[REGISTRO],DADOS!$N$5,tabela_registros[TIPO],DADOS!$AB$3,tabela_registros[CATEGORIA],investirrendafixaconsolidadodez[[#This Row],[ATUAL]])</f>
        <v>0</v>
      </c>
      <c r="R118" s="119" t="n">
        <f aca="false">SUMIFS(tabela_registros[VALOR],tabela_registros[MÊS],$AE$1,tabela_registros[DIA],investirrendafixaconsolidadodez[[#Headers],[14]],tabela_registros[REGISTRO],DADOS!$N$5,tabela_registros[TIPO],DADOS!$AB$3,tabela_registros[CATEGORIA],investirrendafixaconsolidadodez[[#This Row],[ATUAL]])</f>
        <v>0</v>
      </c>
      <c r="S118" s="119" t="n">
        <f aca="false">SUMIFS(tabela_registros[VALOR],tabela_registros[MÊS],$AE$1,tabela_registros[DIA],investirrendafixaconsolidadodez[[#Headers],[15]],tabela_registros[REGISTRO],DADOS!$N$5,tabela_registros[TIPO],DADOS!$AB$3,tabela_registros[CATEGORIA],investirrendafixaconsolidadodez[[#This Row],[ATUAL]])</f>
        <v>0</v>
      </c>
      <c r="T118" s="119" t="n">
        <f aca="false">SUMIFS(tabela_registros[VALOR],tabela_registros[MÊS],$AE$1,tabela_registros[DIA],investirrendafixaconsolidadodez[[#Headers],[16]],tabela_registros[REGISTRO],DADOS!$N$5,tabela_registros[TIPO],DADOS!$AB$3,tabela_registros[CATEGORIA],investirrendafixaconsolidadodez[[#This Row],[ATUAL]])</f>
        <v>0</v>
      </c>
      <c r="U118" s="119" t="n">
        <f aca="false">SUMIFS(tabela_registros[VALOR],tabela_registros[MÊS],$AE$1,tabela_registros[DIA],investirrendafixaconsolidadodez[[#Headers],[17]],tabela_registros[REGISTRO],DADOS!$N$5,tabela_registros[TIPO],DADOS!$AB$3,tabela_registros[CATEGORIA],investirrendafixaconsolidadodez[[#This Row],[ATUAL]])</f>
        <v>0</v>
      </c>
      <c r="V118" s="119" t="n">
        <f aca="false">SUMIFS(tabela_registros[VALOR],tabela_registros[MÊS],$AE$1,tabela_registros[DIA],investirrendafixaconsolidadodez[[#Headers],[18]],tabela_registros[REGISTRO],DADOS!$N$5,tabela_registros[TIPO],DADOS!$AB$3,tabela_registros[CATEGORIA],investirrendafixaconsolidadodez[[#This Row],[ATUAL]])</f>
        <v>0</v>
      </c>
      <c r="W118" s="119" t="n">
        <f aca="false">SUMIFS(tabela_registros[VALOR],tabela_registros[MÊS],$AE$1,tabela_registros[DIA],investirrendafixaconsolidadodez[[#Headers],[19]],tabela_registros[REGISTRO],DADOS!$N$5,tabela_registros[TIPO],DADOS!$AB$3,tabela_registros[CATEGORIA],investirrendafixaconsolidadodez[[#This Row],[ATUAL]])</f>
        <v>0</v>
      </c>
      <c r="X118" s="119" t="n">
        <f aca="false">SUMIFS(tabela_registros[VALOR],tabela_registros[MÊS],$AE$1,tabela_registros[DIA],investirrendafixaconsolidadodez[[#Headers],[20]],tabela_registros[REGISTRO],DADOS!$N$5,tabela_registros[TIPO],DADOS!$AB$3,tabela_registros[CATEGORIA],investirrendafixaconsolidadodez[[#This Row],[ATUAL]])</f>
        <v>0</v>
      </c>
      <c r="Y118" s="119" t="n">
        <f aca="false">SUMIFS(tabela_registros[VALOR],tabela_registros[MÊS],$AE$1,tabela_registros[DIA],investirrendafixaconsolidadodez[[#Headers],[21]],tabela_registros[REGISTRO],DADOS!$N$5,tabela_registros[TIPO],DADOS!$AB$3,tabela_registros[CATEGORIA],investirrendafixaconsolidadodez[[#This Row],[ATUAL]])</f>
        <v>0</v>
      </c>
      <c r="Z118" s="119" t="n">
        <f aca="false">SUMIFS(tabela_registros[VALOR],tabela_registros[MÊS],$AE$1,tabela_registros[DIA],investirrendafixaconsolidadodez[[#Headers],[22]],tabela_registros[REGISTRO],DADOS!$N$5,tabela_registros[TIPO],DADOS!$AB$3,tabela_registros[CATEGORIA],investirrendafixaconsolidadodez[[#This Row],[ATUAL]])</f>
        <v>0</v>
      </c>
      <c r="AA118" s="119" t="n">
        <f aca="false">SUMIFS(tabela_registros[VALOR],tabela_registros[MÊS],$AE$1,tabela_registros[DIA],investirrendafixaconsolidadodez[[#Headers],[23]],tabela_registros[REGISTRO],DADOS!$N$5,tabela_registros[TIPO],DADOS!$AB$3,tabela_registros[CATEGORIA],investirrendafixaconsolidadodez[[#This Row],[ATUAL]])</f>
        <v>0</v>
      </c>
      <c r="AB118" s="119" t="n">
        <f aca="false">SUMIFS(tabela_registros[VALOR],tabela_registros[MÊS],$AE$1,tabela_registros[DIA],investirrendafixaconsolidadodez[[#Headers],[24]],tabela_registros[REGISTRO],DADOS!$N$5,tabela_registros[TIPO],DADOS!$AB$3,tabela_registros[CATEGORIA],investirrendafixaconsolidadodez[[#This Row],[ATUAL]])</f>
        <v>0</v>
      </c>
      <c r="AC118" s="119" t="n">
        <f aca="false">SUMIFS(tabela_registros[VALOR],tabela_registros[MÊS],$AE$1,tabela_registros[DIA],investirrendafixaconsolidadodez[[#Headers],[25]],tabela_registros[REGISTRO],DADOS!$N$5,tabela_registros[TIPO],DADOS!$AB$3,tabela_registros[CATEGORIA],investirrendafixaconsolidadodez[[#This Row],[ATUAL]])</f>
        <v>0</v>
      </c>
      <c r="AD118" s="119" t="n">
        <f aca="false">SUMIFS(tabela_registros[VALOR],tabela_registros[MÊS],$AE$1,tabela_registros[DIA],investirrendafixaconsolidadodez[[#Headers],[26]],tabela_registros[REGISTRO],DADOS!$N$5,tabela_registros[TIPO],DADOS!$AB$3,tabela_registros[CATEGORIA],investirrendafixaconsolidadodez[[#This Row],[ATUAL]])</f>
        <v>0</v>
      </c>
      <c r="AE118" s="119" t="n">
        <f aca="false">SUMIFS(tabela_registros[VALOR],tabela_registros[MÊS],$AE$1,tabela_registros[DIA],investirrendafixaconsolidadodez[[#Headers],[27]],tabela_registros[REGISTRO],DADOS!$N$5,tabela_registros[TIPO],DADOS!$AB$3,tabela_registros[CATEGORIA],investirrendafixaconsolidadodez[[#This Row],[ATUAL]])</f>
        <v>0</v>
      </c>
      <c r="AF118" s="119" t="n">
        <f aca="false">SUMIFS(tabela_registros[VALOR],tabela_registros[MÊS],$AE$1,tabela_registros[DIA],investirrendafixaconsolidadodez[[#Headers],[28]],tabela_registros[REGISTRO],DADOS!$N$5,tabela_registros[TIPO],DADOS!$AB$3,tabela_registros[CATEGORIA],investirrendafixaconsolidadodez[[#This Row],[ATUAL]])</f>
        <v>0</v>
      </c>
      <c r="AG118" s="119" t="n">
        <f aca="false">SUMIFS(tabela_registros[VALOR],tabela_registros[MÊS],$AE$1,tabela_registros[DIA],investirrendafixaconsolidadodez[[#Headers],[29]],tabela_registros[REGISTRO],DADOS!$N$5,tabela_registros[TIPO],DADOS!$AB$3,tabela_registros[CATEGORIA],investirrendafixaconsolidadodez[[#This Row],[ATUAL]])</f>
        <v>0</v>
      </c>
      <c r="AH118" s="119" t="n">
        <f aca="false">SUMIFS(tabela_registros[VALOR],tabela_registros[MÊS],$AE$1,tabela_registros[DIA],investirrendafixaconsolidadodez[[#Headers],[30]],tabela_registros[REGISTRO],DADOS!$N$5,tabela_registros[TIPO],DADOS!$AB$3,tabela_registros[CATEGORIA],investirrendafixaconsolidadodez[[#This Row],[ATUAL]])</f>
        <v>0</v>
      </c>
      <c r="AI118" s="217" t="n">
        <f aca="false">SUMIFS(tabela_registros[VALOR],tabela_registros[MÊS],$AE$1,tabela_registros[DIA],investirrendafixaconsolidadodez[[#Headers],[31]],tabela_registros[REGISTRO],DADOS!$N$5,tabela_registros[TIPO],DADOS!$AB$3,tabela_registros[CATEGORIA],investirrendafixaconsolidadodez[[#This Row],[ATUAL]])</f>
        <v>0</v>
      </c>
      <c r="AJ118" s="149" t="n">
        <f aca="false">SUM(investirrendafixaconsolidadodez[[#This Row],[1]:[31]])</f>
        <v>0</v>
      </c>
      <c r="AK118" s="165"/>
    </row>
    <row r="119" customFormat="false" ht="19.5" hidden="false" customHeight="true" outlineLevel="0" collapsed="false">
      <c r="B119" s="143"/>
      <c r="C119" s="144" t="str">
        <f aca="false">DADOS!$AD$9</f>
        <v>📝 LCA</v>
      </c>
      <c r="D119" s="145" t="str">
        <f aca="false">IF(investirrendafixaconsolidadodez[[#This Row],[TOTAL (R$)]]=0,"",IF(OR(investirrendafixaconsolidadodez[[#This Row],[TOTAL (R$)]]=LARGE($AJ$113:$AJ$122,1),investirrendafixaconsolidadodez[[#This Row],[TOTAL (R$)]]=LARGE($AJ$113:$AJ$122,2)),DADOS!$I$10,""))</f>
        <v/>
      </c>
      <c r="E119" s="148" t="n">
        <f aca="false">SUMIFS(tabela_registros[VALOR],tabela_registros[MÊS],$AE$1,tabela_registros[DIA],investirrendafixaconsolidadodez[[#Headers],[1]],tabela_registros[REGISTRO],DADOS!$N$5,tabela_registros[TIPO],DADOS!$AB$3,tabela_registros[CATEGORIA],investirrendafixaconsolidadodez[[#This Row],[ATUAL]])</f>
        <v>0</v>
      </c>
      <c r="F119" s="119" t="n">
        <f aca="false">SUMIFS(tabela_registros[VALOR],tabela_registros[MÊS],$AE$1,tabela_registros[DIA],investirrendafixaconsolidadodez[[#Headers],[2]],tabela_registros[REGISTRO],DADOS!$N$5,tabela_registros[TIPO],DADOS!$AB$3,tabela_registros[CATEGORIA],investirrendafixaconsolidadodez[[#This Row],[ATUAL]])</f>
        <v>0</v>
      </c>
      <c r="G119" s="119" t="n">
        <f aca="false">SUMIFS(tabela_registros[VALOR],tabela_registros[MÊS],$AE$1,tabela_registros[DIA],investirrendafixaconsolidadodez[[#Headers],[3]],tabela_registros[REGISTRO],DADOS!$N$5,tabela_registros[TIPO],DADOS!$AB$3,tabela_registros[CATEGORIA],investirrendafixaconsolidadodez[[#This Row],[ATUAL]])</f>
        <v>0</v>
      </c>
      <c r="H119" s="119" t="n">
        <f aca="false">SUMIFS(tabela_registros[VALOR],tabela_registros[MÊS],$AE$1,tabela_registros[DIA],investirrendafixaconsolidadodez[[#Headers],[4]],tabela_registros[REGISTRO],DADOS!$N$5,tabela_registros[TIPO],DADOS!$AB$3,tabela_registros[CATEGORIA],investirrendafixaconsolidadodez[[#This Row],[ATUAL]])</f>
        <v>0</v>
      </c>
      <c r="I119" s="119" t="n">
        <f aca="false">SUMIFS(tabela_registros[VALOR],tabela_registros[MÊS],$AE$1,tabela_registros[DIA],investirrendafixaconsolidadodez[[#Headers],[5]],tabela_registros[REGISTRO],DADOS!$N$5,tabela_registros[TIPO],DADOS!$AB$3,tabela_registros[CATEGORIA],investirrendafixaconsolidadodez[[#This Row],[ATUAL]])</f>
        <v>0</v>
      </c>
      <c r="J119" s="119" t="n">
        <f aca="false">SUMIFS(tabela_registros[VALOR],tabela_registros[MÊS],$AE$1,tabela_registros[DIA],investirrendafixaconsolidadodez[[#Headers],[6]],tabela_registros[REGISTRO],DADOS!$N$5,tabela_registros[TIPO],DADOS!$AB$3,tabela_registros[CATEGORIA],investirrendafixaconsolidadodez[[#This Row],[ATUAL]])</f>
        <v>0</v>
      </c>
      <c r="K119" s="119" t="n">
        <f aca="false">SUMIFS(tabela_registros[VALOR],tabela_registros[MÊS],$AE$1,tabela_registros[DIA],investirrendafixaconsolidadodez[[#Headers],[7]],tabela_registros[REGISTRO],DADOS!$N$5,tabela_registros[TIPO],DADOS!$AB$3,tabela_registros[CATEGORIA],investirrendafixaconsolidadodez[[#This Row],[ATUAL]])</f>
        <v>0</v>
      </c>
      <c r="L119" s="119" t="n">
        <f aca="false">SUMIFS(tabela_registros[VALOR],tabela_registros[MÊS],$AE$1,tabela_registros[DIA],investirrendafixaconsolidadodez[[#Headers],[8]],tabela_registros[REGISTRO],DADOS!$N$5,tabela_registros[TIPO],DADOS!$AB$3,tabela_registros[CATEGORIA],investirrendafixaconsolidadodez[[#This Row],[ATUAL]])</f>
        <v>0</v>
      </c>
      <c r="M119" s="119" t="n">
        <f aca="false">SUMIFS(tabela_registros[VALOR],tabela_registros[MÊS],$AE$1,tabela_registros[DIA],investirrendafixaconsolidadodez[[#Headers],[9]],tabela_registros[REGISTRO],DADOS!$N$5,tabela_registros[TIPO],DADOS!$AB$3,tabela_registros[CATEGORIA],investirrendafixaconsolidadodez[[#This Row],[ATUAL]])</f>
        <v>0</v>
      </c>
      <c r="N119" s="119" t="n">
        <f aca="false">SUMIFS(tabela_registros[VALOR],tabela_registros[MÊS],$AE$1,tabela_registros[DIA],investirrendafixaconsolidadodez[[#Headers],[10]],tabela_registros[REGISTRO],DADOS!$N$5,tabela_registros[TIPO],DADOS!$AB$3,tabela_registros[CATEGORIA],investirrendafixaconsolidadodez[[#This Row],[ATUAL]])</f>
        <v>0</v>
      </c>
      <c r="O119" s="119" t="n">
        <f aca="false">SUMIFS(tabela_registros[VALOR],tabela_registros[MÊS],$AE$1,tabela_registros[DIA],investirrendafixaconsolidadodez[[#Headers],[11]],tabela_registros[REGISTRO],DADOS!$N$5,tabela_registros[TIPO],DADOS!$AB$3,tabela_registros[CATEGORIA],investirrendafixaconsolidadodez[[#This Row],[ATUAL]])</f>
        <v>0</v>
      </c>
      <c r="P119" s="119" t="n">
        <f aca="false">SUMIFS(tabela_registros[VALOR],tabela_registros[MÊS],$AE$1,tabela_registros[DIA],investirrendafixaconsolidadodez[[#Headers],[12]],tabela_registros[REGISTRO],DADOS!$N$5,tabela_registros[TIPO],DADOS!$AB$3,tabela_registros[CATEGORIA],investirrendafixaconsolidadodez[[#This Row],[ATUAL]])</f>
        <v>0</v>
      </c>
      <c r="Q119" s="119" t="n">
        <f aca="false">SUMIFS(tabela_registros[VALOR],tabela_registros[MÊS],$AE$1,tabela_registros[DIA],investirrendafixaconsolidadodez[[#Headers],[13]],tabela_registros[REGISTRO],DADOS!$N$5,tabela_registros[TIPO],DADOS!$AB$3,tabela_registros[CATEGORIA],investirrendafixaconsolidadodez[[#This Row],[ATUAL]])</f>
        <v>0</v>
      </c>
      <c r="R119" s="119" t="n">
        <f aca="false">SUMIFS(tabela_registros[VALOR],tabela_registros[MÊS],$AE$1,tabela_registros[DIA],investirrendafixaconsolidadodez[[#Headers],[14]],tabela_registros[REGISTRO],DADOS!$N$5,tabela_registros[TIPO],DADOS!$AB$3,tabela_registros[CATEGORIA],investirrendafixaconsolidadodez[[#This Row],[ATUAL]])</f>
        <v>0</v>
      </c>
      <c r="S119" s="119" t="n">
        <f aca="false">SUMIFS(tabela_registros[VALOR],tabela_registros[MÊS],$AE$1,tabela_registros[DIA],investirrendafixaconsolidadodez[[#Headers],[15]],tabela_registros[REGISTRO],DADOS!$N$5,tabela_registros[TIPO],DADOS!$AB$3,tabela_registros[CATEGORIA],investirrendafixaconsolidadodez[[#This Row],[ATUAL]])</f>
        <v>0</v>
      </c>
      <c r="T119" s="119" t="n">
        <f aca="false">SUMIFS(tabela_registros[VALOR],tabela_registros[MÊS],$AE$1,tabela_registros[DIA],investirrendafixaconsolidadodez[[#Headers],[16]],tabela_registros[REGISTRO],DADOS!$N$5,tabela_registros[TIPO],DADOS!$AB$3,tabela_registros[CATEGORIA],investirrendafixaconsolidadodez[[#This Row],[ATUAL]])</f>
        <v>0</v>
      </c>
      <c r="U119" s="119" t="n">
        <f aca="false">SUMIFS(tabela_registros[VALOR],tabela_registros[MÊS],$AE$1,tabela_registros[DIA],investirrendafixaconsolidadodez[[#Headers],[17]],tabela_registros[REGISTRO],DADOS!$N$5,tabela_registros[TIPO],DADOS!$AB$3,tabela_registros[CATEGORIA],investirrendafixaconsolidadodez[[#This Row],[ATUAL]])</f>
        <v>0</v>
      </c>
      <c r="V119" s="119" t="n">
        <f aca="false">SUMIFS(tabela_registros[VALOR],tabela_registros[MÊS],$AE$1,tabela_registros[DIA],investirrendafixaconsolidadodez[[#Headers],[18]],tabela_registros[REGISTRO],DADOS!$N$5,tabela_registros[TIPO],DADOS!$AB$3,tabela_registros[CATEGORIA],investirrendafixaconsolidadodez[[#This Row],[ATUAL]])</f>
        <v>0</v>
      </c>
      <c r="W119" s="119" t="n">
        <f aca="false">SUMIFS(tabela_registros[VALOR],tabela_registros[MÊS],$AE$1,tabela_registros[DIA],investirrendafixaconsolidadodez[[#Headers],[19]],tabela_registros[REGISTRO],DADOS!$N$5,tabela_registros[TIPO],DADOS!$AB$3,tabela_registros[CATEGORIA],investirrendafixaconsolidadodez[[#This Row],[ATUAL]])</f>
        <v>0</v>
      </c>
      <c r="X119" s="119" t="n">
        <f aca="false">SUMIFS(tabela_registros[VALOR],tabela_registros[MÊS],$AE$1,tabela_registros[DIA],investirrendafixaconsolidadodez[[#Headers],[20]],tabela_registros[REGISTRO],DADOS!$N$5,tabela_registros[TIPO],DADOS!$AB$3,tabela_registros[CATEGORIA],investirrendafixaconsolidadodez[[#This Row],[ATUAL]])</f>
        <v>0</v>
      </c>
      <c r="Y119" s="119" t="n">
        <f aca="false">SUMIFS(tabela_registros[VALOR],tabela_registros[MÊS],$AE$1,tabela_registros[DIA],investirrendafixaconsolidadodez[[#Headers],[21]],tabela_registros[REGISTRO],DADOS!$N$5,tabela_registros[TIPO],DADOS!$AB$3,tabela_registros[CATEGORIA],investirrendafixaconsolidadodez[[#This Row],[ATUAL]])</f>
        <v>0</v>
      </c>
      <c r="Z119" s="119" t="n">
        <f aca="false">SUMIFS(tabela_registros[VALOR],tabela_registros[MÊS],$AE$1,tabela_registros[DIA],investirrendafixaconsolidadodez[[#Headers],[22]],tabela_registros[REGISTRO],DADOS!$N$5,tabela_registros[TIPO],DADOS!$AB$3,tabela_registros[CATEGORIA],investirrendafixaconsolidadodez[[#This Row],[ATUAL]])</f>
        <v>0</v>
      </c>
      <c r="AA119" s="119" t="n">
        <f aca="false">SUMIFS(tabela_registros[VALOR],tabela_registros[MÊS],$AE$1,tabela_registros[DIA],investirrendafixaconsolidadodez[[#Headers],[23]],tabela_registros[REGISTRO],DADOS!$N$5,tabela_registros[TIPO],DADOS!$AB$3,tabela_registros[CATEGORIA],investirrendafixaconsolidadodez[[#This Row],[ATUAL]])</f>
        <v>0</v>
      </c>
      <c r="AB119" s="119" t="n">
        <f aca="false">SUMIFS(tabela_registros[VALOR],tabela_registros[MÊS],$AE$1,tabela_registros[DIA],investirrendafixaconsolidadodez[[#Headers],[24]],tabela_registros[REGISTRO],DADOS!$N$5,tabela_registros[TIPO],DADOS!$AB$3,tabela_registros[CATEGORIA],investirrendafixaconsolidadodez[[#This Row],[ATUAL]])</f>
        <v>0</v>
      </c>
      <c r="AC119" s="119" t="n">
        <f aca="false">SUMIFS(tabela_registros[VALOR],tabela_registros[MÊS],$AE$1,tabela_registros[DIA],investirrendafixaconsolidadodez[[#Headers],[25]],tabela_registros[REGISTRO],DADOS!$N$5,tabela_registros[TIPO],DADOS!$AB$3,tabela_registros[CATEGORIA],investirrendafixaconsolidadodez[[#This Row],[ATUAL]])</f>
        <v>0</v>
      </c>
      <c r="AD119" s="119" t="n">
        <f aca="false">SUMIFS(tabela_registros[VALOR],tabela_registros[MÊS],$AE$1,tabela_registros[DIA],investirrendafixaconsolidadodez[[#Headers],[26]],tabela_registros[REGISTRO],DADOS!$N$5,tabela_registros[TIPO],DADOS!$AB$3,tabela_registros[CATEGORIA],investirrendafixaconsolidadodez[[#This Row],[ATUAL]])</f>
        <v>0</v>
      </c>
      <c r="AE119" s="119" t="n">
        <f aca="false">SUMIFS(tabela_registros[VALOR],tabela_registros[MÊS],$AE$1,tabela_registros[DIA],investirrendafixaconsolidadodez[[#Headers],[27]],tabela_registros[REGISTRO],DADOS!$N$5,tabela_registros[TIPO],DADOS!$AB$3,tabela_registros[CATEGORIA],investirrendafixaconsolidadodez[[#This Row],[ATUAL]])</f>
        <v>0</v>
      </c>
      <c r="AF119" s="119" t="n">
        <f aca="false">SUMIFS(tabela_registros[VALOR],tabela_registros[MÊS],$AE$1,tabela_registros[DIA],investirrendafixaconsolidadodez[[#Headers],[28]],tabela_registros[REGISTRO],DADOS!$N$5,tabela_registros[TIPO],DADOS!$AB$3,tabela_registros[CATEGORIA],investirrendafixaconsolidadodez[[#This Row],[ATUAL]])</f>
        <v>0</v>
      </c>
      <c r="AG119" s="119" t="n">
        <f aca="false">SUMIFS(tabela_registros[VALOR],tabela_registros[MÊS],$AE$1,tabela_registros[DIA],investirrendafixaconsolidadodez[[#Headers],[29]],tabela_registros[REGISTRO],DADOS!$N$5,tabela_registros[TIPO],DADOS!$AB$3,tabela_registros[CATEGORIA],investirrendafixaconsolidadodez[[#This Row],[ATUAL]])</f>
        <v>0</v>
      </c>
      <c r="AH119" s="119" t="n">
        <f aca="false">SUMIFS(tabela_registros[VALOR],tabela_registros[MÊS],$AE$1,tabela_registros[DIA],investirrendafixaconsolidadodez[[#Headers],[30]],tabela_registros[REGISTRO],DADOS!$N$5,tabela_registros[TIPO],DADOS!$AB$3,tabela_registros[CATEGORIA],investirrendafixaconsolidadodez[[#This Row],[ATUAL]])</f>
        <v>0</v>
      </c>
      <c r="AI119" s="217" t="n">
        <f aca="false">SUMIFS(tabela_registros[VALOR],tabela_registros[MÊS],$AE$1,tabela_registros[DIA],investirrendafixaconsolidadodez[[#Headers],[31]],tabela_registros[REGISTRO],DADOS!$N$5,tabela_registros[TIPO],DADOS!$AB$3,tabela_registros[CATEGORIA],investirrendafixaconsolidadodez[[#This Row],[ATUAL]])</f>
        <v>0</v>
      </c>
      <c r="AJ119" s="149" t="n">
        <f aca="false">SUM(investirrendafixaconsolidadodez[[#This Row],[1]:[31]])</f>
        <v>0</v>
      </c>
      <c r="AK119" s="165"/>
    </row>
    <row r="120" customFormat="false" ht="19.5" hidden="false" customHeight="true" outlineLevel="0" collapsed="false">
      <c r="B120" s="143"/>
      <c r="C120" s="144" t="str">
        <f aca="false">DADOS!$AD$10</f>
        <v>📝 LCI</v>
      </c>
      <c r="D120" s="145" t="str">
        <f aca="false">IF(investirrendafixaconsolidadodez[[#This Row],[TOTAL (R$)]]=0,"",IF(OR(investirrendafixaconsolidadodez[[#This Row],[TOTAL (R$)]]=LARGE($AJ$113:$AJ$122,1),investirrendafixaconsolidadodez[[#This Row],[TOTAL (R$)]]=LARGE($AJ$113:$AJ$122,2)),DADOS!$I$10,""))</f>
        <v/>
      </c>
      <c r="E120" s="148" t="n">
        <f aca="false">SUMIFS(tabela_registros[VALOR],tabela_registros[MÊS],$AE$1,tabela_registros[DIA],investirrendafixaconsolidadodez[[#Headers],[1]],tabela_registros[REGISTRO],DADOS!$N$5,tabela_registros[TIPO],DADOS!$AB$3,tabela_registros[CATEGORIA],investirrendafixaconsolidadodez[[#This Row],[ATUAL]])</f>
        <v>0</v>
      </c>
      <c r="F120" s="119" t="n">
        <f aca="false">SUMIFS(tabela_registros[VALOR],tabela_registros[MÊS],$AE$1,tabela_registros[DIA],investirrendafixaconsolidadodez[[#Headers],[2]],tabela_registros[REGISTRO],DADOS!$N$5,tabela_registros[TIPO],DADOS!$AB$3,tabela_registros[CATEGORIA],investirrendafixaconsolidadodez[[#This Row],[ATUAL]])</f>
        <v>0</v>
      </c>
      <c r="G120" s="119" t="n">
        <f aca="false">SUMIFS(tabela_registros[VALOR],tabela_registros[MÊS],$AE$1,tabela_registros[DIA],investirrendafixaconsolidadodez[[#Headers],[3]],tabela_registros[REGISTRO],DADOS!$N$5,tabela_registros[TIPO],DADOS!$AB$3,tabela_registros[CATEGORIA],investirrendafixaconsolidadodez[[#This Row],[ATUAL]])</f>
        <v>0</v>
      </c>
      <c r="H120" s="119" t="n">
        <f aca="false">SUMIFS(tabela_registros[VALOR],tabela_registros[MÊS],$AE$1,tabela_registros[DIA],investirrendafixaconsolidadodez[[#Headers],[4]],tabela_registros[REGISTRO],DADOS!$N$5,tabela_registros[TIPO],DADOS!$AB$3,tabela_registros[CATEGORIA],investirrendafixaconsolidadodez[[#This Row],[ATUAL]])</f>
        <v>0</v>
      </c>
      <c r="I120" s="119" t="n">
        <f aca="false">SUMIFS(tabela_registros[VALOR],tabela_registros[MÊS],$AE$1,tabela_registros[DIA],investirrendafixaconsolidadodez[[#Headers],[5]],tabela_registros[REGISTRO],DADOS!$N$5,tabela_registros[TIPO],DADOS!$AB$3,tabela_registros[CATEGORIA],investirrendafixaconsolidadodez[[#This Row],[ATUAL]])</f>
        <v>0</v>
      </c>
      <c r="J120" s="119" t="n">
        <f aca="false">SUMIFS(tabela_registros[VALOR],tabela_registros[MÊS],$AE$1,tabela_registros[DIA],investirrendafixaconsolidadodez[[#Headers],[6]],tabela_registros[REGISTRO],DADOS!$N$5,tabela_registros[TIPO],DADOS!$AB$3,tabela_registros[CATEGORIA],investirrendafixaconsolidadodez[[#This Row],[ATUAL]])</f>
        <v>0</v>
      </c>
      <c r="K120" s="119" t="n">
        <f aca="false">SUMIFS(tabela_registros[VALOR],tabela_registros[MÊS],$AE$1,tabela_registros[DIA],investirrendafixaconsolidadodez[[#Headers],[7]],tabela_registros[REGISTRO],DADOS!$N$5,tabela_registros[TIPO],DADOS!$AB$3,tabela_registros[CATEGORIA],investirrendafixaconsolidadodez[[#This Row],[ATUAL]])</f>
        <v>0</v>
      </c>
      <c r="L120" s="119" t="n">
        <f aca="false">SUMIFS(tabela_registros[VALOR],tabela_registros[MÊS],$AE$1,tabela_registros[DIA],investirrendafixaconsolidadodez[[#Headers],[8]],tabela_registros[REGISTRO],DADOS!$N$5,tabela_registros[TIPO],DADOS!$AB$3,tabela_registros[CATEGORIA],investirrendafixaconsolidadodez[[#This Row],[ATUAL]])</f>
        <v>0</v>
      </c>
      <c r="M120" s="119" t="n">
        <f aca="false">SUMIFS(tabela_registros[VALOR],tabela_registros[MÊS],$AE$1,tabela_registros[DIA],investirrendafixaconsolidadodez[[#Headers],[9]],tabela_registros[REGISTRO],DADOS!$N$5,tabela_registros[TIPO],DADOS!$AB$3,tabela_registros[CATEGORIA],investirrendafixaconsolidadodez[[#This Row],[ATUAL]])</f>
        <v>0</v>
      </c>
      <c r="N120" s="119" t="n">
        <f aca="false">SUMIFS(tabela_registros[VALOR],tabela_registros[MÊS],$AE$1,tabela_registros[DIA],investirrendafixaconsolidadodez[[#Headers],[10]],tabela_registros[REGISTRO],DADOS!$N$5,tabela_registros[TIPO],DADOS!$AB$3,tabela_registros[CATEGORIA],investirrendafixaconsolidadodez[[#This Row],[ATUAL]])</f>
        <v>0</v>
      </c>
      <c r="O120" s="119" t="n">
        <f aca="false">SUMIFS(tabela_registros[VALOR],tabela_registros[MÊS],$AE$1,tabela_registros[DIA],investirrendafixaconsolidadodez[[#Headers],[11]],tabela_registros[REGISTRO],DADOS!$N$5,tabela_registros[TIPO],DADOS!$AB$3,tabela_registros[CATEGORIA],investirrendafixaconsolidadodez[[#This Row],[ATUAL]])</f>
        <v>0</v>
      </c>
      <c r="P120" s="119" t="n">
        <f aca="false">SUMIFS(tabela_registros[VALOR],tabela_registros[MÊS],$AE$1,tabela_registros[DIA],investirrendafixaconsolidadodez[[#Headers],[12]],tabela_registros[REGISTRO],DADOS!$N$5,tabela_registros[TIPO],DADOS!$AB$3,tabela_registros[CATEGORIA],investirrendafixaconsolidadodez[[#This Row],[ATUAL]])</f>
        <v>0</v>
      </c>
      <c r="Q120" s="119" t="n">
        <f aca="false">SUMIFS(tabela_registros[VALOR],tabela_registros[MÊS],$AE$1,tabela_registros[DIA],investirrendafixaconsolidadodez[[#Headers],[13]],tabela_registros[REGISTRO],DADOS!$N$5,tabela_registros[TIPO],DADOS!$AB$3,tabela_registros[CATEGORIA],investirrendafixaconsolidadodez[[#This Row],[ATUAL]])</f>
        <v>0</v>
      </c>
      <c r="R120" s="119" t="n">
        <f aca="false">SUMIFS(tabela_registros[VALOR],tabela_registros[MÊS],$AE$1,tabela_registros[DIA],investirrendafixaconsolidadodez[[#Headers],[14]],tabela_registros[REGISTRO],DADOS!$N$5,tabela_registros[TIPO],DADOS!$AB$3,tabela_registros[CATEGORIA],investirrendafixaconsolidadodez[[#This Row],[ATUAL]])</f>
        <v>0</v>
      </c>
      <c r="S120" s="119" t="n">
        <f aca="false">SUMIFS(tabela_registros[VALOR],tabela_registros[MÊS],$AE$1,tabela_registros[DIA],investirrendafixaconsolidadodez[[#Headers],[15]],tabela_registros[REGISTRO],DADOS!$N$5,tabela_registros[TIPO],DADOS!$AB$3,tabela_registros[CATEGORIA],investirrendafixaconsolidadodez[[#This Row],[ATUAL]])</f>
        <v>0</v>
      </c>
      <c r="T120" s="119" t="n">
        <f aca="false">SUMIFS(tabela_registros[VALOR],tabela_registros[MÊS],$AE$1,tabela_registros[DIA],investirrendafixaconsolidadodez[[#Headers],[16]],tabela_registros[REGISTRO],DADOS!$N$5,tabela_registros[TIPO],DADOS!$AB$3,tabela_registros[CATEGORIA],investirrendafixaconsolidadodez[[#This Row],[ATUAL]])</f>
        <v>0</v>
      </c>
      <c r="U120" s="119" t="n">
        <f aca="false">SUMIFS(tabela_registros[VALOR],tabela_registros[MÊS],$AE$1,tabela_registros[DIA],investirrendafixaconsolidadodez[[#Headers],[17]],tabela_registros[REGISTRO],DADOS!$N$5,tabela_registros[TIPO],DADOS!$AB$3,tabela_registros[CATEGORIA],investirrendafixaconsolidadodez[[#This Row],[ATUAL]])</f>
        <v>0</v>
      </c>
      <c r="V120" s="119" t="n">
        <f aca="false">SUMIFS(tabela_registros[VALOR],tabela_registros[MÊS],$AE$1,tabela_registros[DIA],investirrendafixaconsolidadodez[[#Headers],[18]],tabela_registros[REGISTRO],DADOS!$N$5,tabela_registros[TIPO],DADOS!$AB$3,tabela_registros[CATEGORIA],investirrendafixaconsolidadodez[[#This Row],[ATUAL]])</f>
        <v>0</v>
      </c>
      <c r="W120" s="119" t="n">
        <f aca="false">SUMIFS(tabela_registros[VALOR],tabela_registros[MÊS],$AE$1,tabela_registros[DIA],investirrendafixaconsolidadodez[[#Headers],[19]],tabela_registros[REGISTRO],DADOS!$N$5,tabela_registros[TIPO],DADOS!$AB$3,tabela_registros[CATEGORIA],investirrendafixaconsolidadodez[[#This Row],[ATUAL]])</f>
        <v>0</v>
      </c>
      <c r="X120" s="119" t="n">
        <f aca="false">SUMIFS(tabela_registros[VALOR],tabela_registros[MÊS],$AE$1,tabela_registros[DIA],investirrendafixaconsolidadodez[[#Headers],[20]],tabela_registros[REGISTRO],DADOS!$N$5,tabela_registros[TIPO],DADOS!$AB$3,tabela_registros[CATEGORIA],investirrendafixaconsolidadodez[[#This Row],[ATUAL]])</f>
        <v>0</v>
      </c>
      <c r="Y120" s="119" t="n">
        <f aca="false">SUMIFS(tabela_registros[VALOR],tabela_registros[MÊS],$AE$1,tabela_registros[DIA],investirrendafixaconsolidadodez[[#Headers],[21]],tabela_registros[REGISTRO],DADOS!$N$5,tabela_registros[TIPO],DADOS!$AB$3,tabela_registros[CATEGORIA],investirrendafixaconsolidadodez[[#This Row],[ATUAL]])</f>
        <v>0</v>
      </c>
      <c r="Z120" s="119" t="n">
        <f aca="false">SUMIFS(tabela_registros[VALOR],tabela_registros[MÊS],$AE$1,tabela_registros[DIA],investirrendafixaconsolidadodez[[#Headers],[22]],tabela_registros[REGISTRO],DADOS!$N$5,tabela_registros[TIPO],DADOS!$AB$3,tabela_registros[CATEGORIA],investirrendafixaconsolidadodez[[#This Row],[ATUAL]])</f>
        <v>0</v>
      </c>
      <c r="AA120" s="119" t="n">
        <f aca="false">SUMIFS(tabela_registros[VALOR],tabela_registros[MÊS],$AE$1,tabela_registros[DIA],investirrendafixaconsolidadodez[[#Headers],[23]],tabela_registros[REGISTRO],DADOS!$N$5,tabela_registros[TIPO],DADOS!$AB$3,tabela_registros[CATEGORIA],investirrendafixaconsolidadodez[[#This Row],[ATUAL]])</f>
        <v>0</v>
      </c>
      <c r="AB120" s="119" t="n">
        <f aca="false">SUMIFS(tabela_registros[VALOR],tabela_registros[MÊS],$AE$1,tabela_registros[DIA],investirrendafixaconsolidadodez[[#Headers],[24]],tabela_registros[REGISTRO],DADOS!$N$5,tabela_registros[TIPO],DADOS!$AB$3,tabela_registros[CATEGORIA],investirrendafixaconsolidadodez[[#This Row],[ATUAL]])</f>
        <v>0</v>
      </c>
      <c r="AC120" s="119" t="n">
        <f aca="false">SUMIFS(tabela_registros[VALOR],tabela_registros[MÊS],$AE$1,tabela_registros[DIA],investirrendafixaconsolidadodez[[#Headers],[25]],tabela_registros[REGISTRO],DADOS!$N$5,tabela_registros[TIPO],DADOS!$AB$3,tabela_registros[CATEGORIA],investirrendafixaconsolidadodez[[#This Row],[ATUAL]])</f>
        <v>0</v>
      </c>
      <c r="AD120" s="119" t="n">
        <f aca="false">SUMIFS(tabela_registros[VALOR],tabela_registros[MÊS],$AE$1,tabela_registros[DIA],investirrendafixaconsolidadodez[[#Headers],[26]],tabela_registros[REGISTRO],DADOS!$N$5,tabela_registros[TIPO],DADOS!$AB$3,tabela_registros[CATEGORIA],investirrendafixaconsolidadodez[[#This Row],[ATUAL]])</f>
        <v>0</v>
      </c>
      <c r="AE120" s="119" t="n">
        <f aca="false">SUMIFS(tabela_registros[VALOR],tabela_registros[MÊS],$AE$1,tabela_registros[DIA],investirrendafixaconsolidadodez[[#Headers],[27]],tabela_registros[REGISTRO],DADOS!$N$5,tabela_registros[TIPO],DADOS!$AB$3,tabela_registros[CATEGORIA],investirrendafixaconsolidadodez[[#This Row],[ATUAL]])</f>
        <v>0</v>
      </c>
      <c r="AF120" s="119" t="n">
        <f aca="false">SUMIFS(tabela_registros[VALOR],tabela_registros[MÊS],$AE$1,tabela_registros[DIA],investirrendafixaconsolidadodez[[#Headers],[28]],tabela_registros[REGISTRO],DADOS!$N$5,tabela_registros[TIPO],DADOS!$AB$3,tabela_registros[CATEGORIA],investirrendafixaconsolidadodez[[#This Row],[ATUAL]])</f>
        <v>0</v>
      </c>
      <c r="AG120" s="119" t="n">
        <f aca="false">SUMIFS(tabela_registros[VALOR],tabela_registros[MÊS],$AE$1,tabela_registros[DIA],investirrendafixaconsolidadodez[[#Headers],[29]],tabela_registros[REGISTRO],DADOS!$N$5,tabela_registros[TIPO],DADOS!$AB$3,tabela_registros[CATEGORIA],investirrendafixaconsolidadodez[[#This Row],[ATUAL]])</f>
        <v>0</v>
      </c>
      <c r="AH120" s="119" t="n">
        <f aca="false">SUMIFS(tabela_registros[VALOR],tabela_registros[MÊS],$AE$1,tabela_registros[DIA],investirrendafixaconsolidadodez[[#Headers],[30]],tabela_registros[REGISTRO],DADOS!$N$5,tabela_registros[TIPO],DADOS!$AB$3,tabela_registros[CATEGORIA],investirrendafixaconsolidadodez[[#This Row],[ATUAL]])</f>
        <v>0</v>
      </c>
      <c r="AI120" s="217" t="n">
        <f aca="false">SUMIFS(tabela_registros[VALOR],tabela_registros[MÊS],$AE$1,tabela_registros[DIA],investirrendafixaconsolidadodez[[#Headers],[31]],tabela_registros[REGISTRO],DADOS!$N$5,tabela_registros[TIPO],DADOS!$AB$3,tabela_registros[CATEGORIA],investirrendafixaconsolidadodez[[#This Row],[ATUAL]])</f>
        <v>0</v>
      </c>
      <c r="AJ120" s="149" t="n">
        <f aca="false">SUM(investirrendafixaconsolidadodez[[#This Row],[1]:[31]])</f>
        <v>0</v>
      </c>
      <c r="AK120" s="165"/>
    </row>
    <row r="121" customFormat="false" ht="19.5" hidden="false" customHeight="true" outlineLevel="0" collapsed="false">
      <c r="B121" s="143"/>
      <c r="C121" s="144" t="str">
        <f aca="false">DADOS!$AD$11</f>
        <v>📝 TESOURO DIRETO</v>
      </c>
      <c r="D121" s="145" t="str">
        <f aca="false">IF(investirrendafixaconsolidadodez[[#This Row],[TOTAL (R$)]]=0,"",IF(OR(investirrendafixaconsolidadodez[[#This Row],[TOTAL (R$)]]=LARGE($AJ$113:$AJ$122,1),investirrendafixaconsolidadodez[[#This Row],[TOTAL (R$)]]=LARGE($AJ$113:$AJ$122,2)),DADOS!$I$10,""))</f>
        <v/>
      </c>
      <c r="E121" s="148" t="n">
        <f aca="false">SUMIFS(tabela_registros[VALOR],tabela_registros[MÊS],$AE$1,tabela_registros[DIA],investirrendafixaconsolidadodez[[#Headers],[1]],tabela_registros[REGISTRO],DADOS!$N$5,tabela_registros[TIPO],DADOS!$AB$3,tabela_registros[CATEGORIA],investirrendafixaconsolidadodez[[#This Row],[ATUAL]])</f>
        <v>0</v>
      </c>
      <c r="F121" s="119" t="n">
        <f aca="false">SUMIFS(tabela_registros[VALOR],tabela_registros[MÊS],$AE$1,tabela_registros[DIA],investirrendafixaconsolidadodez[[#Headers],[2]],tabela_registros[REGISTRO],DADOS!$N$5,tabela_registros[TIPO],DADOS!$AB$3,tabela_registros[CATEGORIA],investirrendafixaconsolidadodez[[#This Row],[ATUAL]])</f>
        <v>0</v>
      </c>
      <c r="G121" s="119" t="n">
        <f aca="false">SUMIFS(tabela_registros[VALOR],tabela_registros[MÊS],$AE$1,tabela_registros[DIA],investirrendafixaconsolidadodez[[#Headers],[3]],tabela_registros[REGISTRO],DADOS!$N$5,tabela_registros[TIPO],DADOS!$AB$3,tabela_registros[CATEGORIA],investirrendafixaconsolidadodez[[#This Row],[ATUAL]])</f>
        <v>0</v>
      </c>
      <c r="H121" s="119" t="n">
        <f aca="false">SUMIFS(tabela_registros[VALOR],tabela_registros[MÊS],$AE$1,tabela_registros[DIA],investirrendafixaconsolidadodez[[#Headers],[4]],tabela_registros[REGISTRO],DADOS!$N$5,tabela_registros[TIPO],DADOS!$AB$3,tabela_registros[CATEGORIA],investirrendafixaconsolidadodez[[#This Row],[ATUAL]])</f>
        <v>0</v>
      </c>
      <c r="I121" s="119" t="n">
        <f aca="false">SUMIFS(tabela_registros[VALOR],tabela_registros[MÊS],$AE$1,tabela_registros[DIA],investirrendafixaconsolidadodez[[#Headers],[5]],tabela_registros[REGISTRO],DADOS!$N$5,tabela_registros[TIPO],DADOS!$AB$3,tabela_registros[CATEGORIA],investirrendafixaconsolidadodez[[#This Row],[ATUAL]])</f>
        <v>0</v>
      </c>
      <c r="J121" s="119" t="n">
        <f aca="false">SUMIFS(tabela_registros[VALOR],tabela_registros[MÊS],$AE$1,tabela_registros[DIA],investirrendafixaconsolidadodez[[#Headers],[6]],tabela_registros[REGISTRO],DADOS!$N$5,tabela_registros[TIPO],DADOS!$AB$3,tabela_registros[CATEGORIA],investirrendafixaconsolidadodez[[#This Row],[ATUAL]])</f>
        <v>0</v>
      </c>
      <c r="K121" s="119" t="n">
        <f aca="false">SUMIFS(tabela_registros[VALOR],tabela_registros[MÊS],$AE$1,tabela_registros[DIA],investirrendafixaconsolidadodez[[#Headers],[7]],tabela_registros[REGISTRO],DADOS!$N$5,tabela_registros[TIPO],DADOS!$AB$3,tabela_registros[CATEGORIA],investirrendafixaconsolidadodez[[#This Row],[ATUAL]])</f>
        <v>0</v>
      </c>
      <c r="L121" s="119" t="n">
        <f aca="false">SUMIFS(tabela_registros[VALOR],tabela_registros[MÊS],$AE$1,tabela_registros[DIA],investirrendafixaconsolidadodez[[#Headers],[8]],tabela_registros[REGISTRO],DADOS!$N$5,tabela_registros[TIPO],DADOS!$AB$3,tabela_registros[CATEGORIA],investirrendafixaconsolidadodez[[#This Row],[ATUAL]])</f>
        <v>0</v>
      </c>
      <c r="M121" s="119" t="n">
        <f aca="false">SUMIFS(tabela_registros[VALOR],tabela_registros[MÊS],$AE$1,tabela_registros[DIA],investirrendafixaconsolidadodez[[#Headers],[9]],tabela_registros[REGISTRO],DADOS!$N$5,tabela_registros[TIPO],DADOS!$AB$3,tabela_registros[CATEGORIA],investirrendafixaconsolidadodez[[#This Row],[ATUAL]])</f>
        <v>0</v>
      </c>
      <c r="N121" s="119" t="n">
        <f aca="false">SUMIFS(tabela_registros[VALOR],tabela_registros[MÊS],$AE$1,tabela_registros[DIA],investirrendafixaconsolidadodez[[#Headers],[10]],tabela_registros[REGISTRO],DADOS!$N$5,tabela_registros[TIPO],DADOS!$AB$3,tabela_registros[CATEGORIA],investirrendafixaconsolidadodez[[#This Row],[ATUAL]])</f>
        <v>0</v>
      </c>
      <c r="O121" s="119" t="n">
        <f aca="false">SUMIFS(tabela_registros[VALOR],tabela_registros[MÊS],$AE$1,tabela_registros[DIA],investirrendafixaconsolidadodez[[#Headers],[11]],tabela_registros[REGISTRO],DADOS!$N$5,tabela_registros[TIPO],DADOS!$AB$3,tabela_registros[CATEGORIA],investirrendafixaconsolidadodez[[#This Row],[ATUAL]])</f>
        <v>0</v>
      </c>
      <c r="P121" s="119" t="n">
        <f aca="false">SUMIFS(tabela_registros[VALOR],tabela_registros[MÊS],$AE$1,tabela_registros[DIA],investirrendafixaconsolidadodez[[#Headers],[12]],tabela_registros[REGISTRO],DADOS!$N$5,tabela_registros[TIPO],DADOS!$AB$3,tabela_registros[CATEGORIA],investirrendafixaconsolidadodez[[#This Row],[ATUAL]])</f>
        <v>0</v>
      </c>
      <c r="Q121" s="119" t="n">
        <f aca="false">SUMIFS(tabela_registros[VALOR],tabela_registros[MÊS],$AE$1,tabela_registros[DIA],investirrendafixaconsolidadodez[[#Headers],[13]],tabela_registros[REGISTRO],DADOS!$N$5,tabela_registros[TIPO],DADOS!$AB$3,tabela_registros[CATEGORIA],investirrendafixaconsolidadodez[[#This Row],[ATUAL]])</f>
        <v>0</v>
      </c>
      <c r="R121" s="119" t="n">
        <f aca="false">SUMIFS(tabela_registros[VALOR],tabela_registros[MÊS],$AE$1,tabela_registros[DIA],investirrendafixaconsolidadodez[[#Headers],[14]],tabela_registros[REGISTRO],DADOS!$N$5,tabela_registros[TIPO],DADOS!$AB$3,tabela_registros[CATEGORIA],investirrendafixaconsolidadodez[[#This Row],[ATUAL]])</f>
        <v>0</v>
      </c>
      <c r="S121" s="119" t="n">
        <f aca="false">SUMIFS(tabela_registros[VALOR],tabela_registros[MÊS],$AE$1,tabela_registros[DIA],investirrendafixaconsolidadodez[[#Headers],[15]],tabela_registros[REGISTRO],DADOS!$N$5,tabela_registros[TIPO],DADOS!$AB$3,tabela_registros[CATEGORIA],investirrendafixaconsolidadodez[[#This Row],[ATUAL]])</f>
        <v>0</v>
      </c>
      <c r="T121" s="119" t="n">
        <f aca="false">SUMIFS(tabela_registros[VALOR],tabela_registros[MÊS],$AE$1,tabela_registros[DIA],investirrendafixaconsolidadodez[[#Headers],[16]],tabela_registros[REGISTRO],DADOS!$N$5,tabela_registros[TIPO],DADOS!$AB$3,tabela_registros[CATEGORIA],investirrendafixaconsolidadodez[[#This Row],[ATUAL]])</f>
        <v>0</v>
      </c>
      <c r="U121" s="119" t="n">
        <f aca="false">SUMIFS(tabela_registros[VALOR],tabela_registros[MÊS],$AE$1,tabela_registros[DIA],investirrendafixaconsolidadodez[[#Headers],[17]],tabela_registros[REGISTRO],DADOS!$N$5,tabela_registros[TIPO],DADOS!$AB$3,tabela_registros[CATEGORIA],investirrendafixaconsolidadodez[[#This Row],[ATUAL]])</f>
        <v>0</v>
      </c>
      <c r="V121" s="119" t="n">
        <f aca="false">SUMIFS(tabela_registros[VALOR],tabela_registros[MÊS],$AE$1,tabela_registros[DIA],investirrendafixaconsolidadodez[[#Headers],[18]],tabela_registros[REGISTRO],DADOS!$N$5,tabela_registros[TIPO],DADOS!$AB$3,tabela_registros[CATEGORIA],investirrendafixaconsolidadodez[[#This Row],[ATUAL]])</f>
        <v>0</v>
      </c>
      <c r="W121" s="119" t="n">
        <f aca="false">SUMIFS(tabela_registros[VALOR],tabela_registros[MÊS],$AE$1,tabela_registros[DIA],investirrendafixaconsolidadodez[[#Headers],[19]],tabela_registros[REGISTRO],DADOS!$N$5,tabela_registros[TIPO],DADOS!$AB$3,tabela_registros[CATEGORIA],investirrendafixaconsolidadodez[[#This Row],[ATUAL]])</f>
        <v>0</v>
      </c>
      <c r="X121" s="119" t="n">
        <f aca="false">SUMIFS(tabela_registros[VALOR],tabela_registros[MÊS],$AE$1,tabela_registros[DIA],investirrendafixaconsolidadodez[[#Headers],[20]],tabela_registros[REGISTRO],DADOS!$N$5,tabela_registros[TIPO],DADOS!$AB$3,tabela_registros[CATEGORIA],investirrendafixaconsolidadodez[[#This Row],[ATUAL]])</f>
        <v>0</v>
      </c>
      <c r="Y121" s="119" t="n">
        <f aca="false">SUMIFS(tabela_registros[VALOR],tabela_registros[MÊS],$AE$1,tabela_registros[DIA],investirrendafixaconsolidadodez[[#Headers],[21]],tabela_registros[REGISTRO],DADOS!$N$5,tabela_registros[TIPO],DADOS!$AB$3,tabela_registros[CATEGORIA],investirrendafixaconsolidadodez[[#This Row],[ATUAL]])</f>
        <v>0</v>
      </c>
      <c r="Z121" s="119" t="n">
        <f aca="false">SUMIFS(tabela_registros[VALOR],tabela_registros[MÊS],$AE$1,tabela_registros[DIA],investirrendafixaconsolidadodez[[#Headers],[22]],tabela_registros[REGISTRO],DADOS!$N$5,tabela_registros[TIPO],DADOS!$AB$3,tabela_registros[CATEGORIA],investirrendafixaconsolidadodez[[#This Row],[ATUAL]])</f>
        <v>0</v>
      </c>
      <c r="AA121" s="119" t="n">
        <f aca="false">SUMIFS(tabela_registros[VALOR],tabela_registros[MÊS],$AE$1,tabela_registros[DIA],investirrendafixaconsolidadodez[[#Headers],[23]],tabela_registros[REGISTRO],DADOS!$N$5,tabela_registros[TIPO],DADOS!$AB$3,tabela_registros[CATEGORIA],investirrendafixaconsolidadodez[[#This Row],[ATUAL]])</f>
        <v>0</v>
      </c>
      <c r="AB121" s="119" t="n">
        <f aca="false">SUMIFS(tabela_registros[VALOR],tabela_registros[MÊS],$AE$1,tabela_registros[DIA],investirrendafixaconsolidadodez[[#Headers],[24]],tabela_registros[REGISTRO],DADOS!$N$5,tabela_registros[TIPO],DADOS!$AB$3,tabela_registros[CATEGORIA],investirrendafixaconsolidadodez[[#This Row],[ATUAL]])</f>
        <v>0</v>
      </c>
      <c r="AC121" s="119" t="n">
        <f aca="false">SUMIFS(tabela_registros[VALOR],tabela_registros[MÊS],$AE$1,tabela_registros[DIA],investirrendafixaconsolidadodez[[#Headers],[25]],tabela_registros[REGISTRO],DADOS!$N$5,tabela_registros[TIPO],DADOS!$AB$3,tabela_registros[CATEGORIA],investirrendafixaconsolidadodez[[#This Row],[ATUAL]])</f>
        <v>0</v>
      </c>
      <c r="AD121" s="119" t="n">
        <f aca="false">SUMIFS(tabela_registros[VALOR],tabela_registros[MÊS],$AE$1,tabela_registros[DIA],investirrendafixaconsolidadodez[[#Headers],[26]],tabela_registros[REGISTRO],DADOS!$N$5,tabela_registros[TIPO],DADOS!$AB$3,tabela_registros[CATEGORIA],investirrendafixaconsolidadodez[[#This Row],[ATUAL]])</f>
        <v>0</v>
      </c>
      <c r="AE121" s="119" t="n">
        <f aca="false">SUMIFS(tabela_registros[VALOR],tabela_registros[MÊS],$AE$1,tabela_registros[DIA],investirrendafixaconsolidadodez[[#Headers],[27]],tabela_registros[REGISTRO],DADOS!$N$5,tabela_registros[TIPO],DADOS!$AB$3,tabela_registros[CATEGORIA],investirrendafixaconsolidadodez[[#This Row],[ATUAL]])</f>
        <v>0</v>
      </c>
      <c r="AF121" s="119" t="n">
        <f aca="false">SUMIFS(tabela_registros[VALOR],tabela_registros[MÊS],$AE$1,tabela_registros[DIA],investirrendafixaconsolidadodez[[#Headers],[28]],tabela_registros[REGISTRO],DADOS!$N$5,tabela_registros[TIPO],DADOS!$AB$3,tabela_registros[CATEGORIA],investirrendafixaconsolidadodez[[#This Row],[ATUAL]])</f>
        <v>0</v>
      </c>
      <c r="AG121" s="119" t="n">
        <f aca="false">SUMIFS(tabela_registros[VALOR],tabela_registros[MÊS],$AE$1,tabela_registros[DIA],investirrendafixaconsolidadodez[[#Headers],[29]],tabela_registros[REGISTRO],DADOS!$N$5,tabela_registros[TIPO],DADOS!$AB$3,tabela_registros[CATEGORIA],investirrendafixaconsolidadodez[[#This Row],[ATUAL]])</f>
        <v>0</v>
      </c>
      <c r="AH121" s="119" t="n">
        <f aca="false">SUMIFS(tabela_registros[VALOR],tabela_registros[MÊS],$AE$1,tabela_registros[DIA],investirrendafixaconsolidadodez[[#Headers],[30]],tabela_registros[REGISTRO],DADOS!$N$5,tabela_registros[TIPO],DADOS!$AB$3,tabela_registros[CATEGORIA],investirrendafixaconsolidadodez[[#This Row],[ATUAL]])</f>
        <v>0</v>
      </c>
      <c r="AI121" s="217" t="n">
        <f aca="false">SUMIFS(tabela_registros[VALOR],tabela_registros[MÊS],$AE$1,tabela_registros[DIA],investirrendafixaconsolidadodez[[#Headers],[31]],tabela_registros[REGISTRO],DADOS!$N$5,tabela_registros[TIPO],DADOS!$AB$3,tabela_registros[CATEGORIA],investirrendafixaconsolidadodez[[#This Row],[ATUAL]])</f>
        <v>0</v>
      </c>
      <c r="AJ121" s="149" t="n">
        <f aca="false">SUM(investirrendafixaconsolidadodez[[#This Row],[1]:[31]])</f>
        <v>0</v>
      </c>
      <c r="AK121" s="165"/>
    </row>
    <row r="122" customFormat="false" ht="19.5" hidden="false" customHeight="true" outlineLevel="0" collapsed="false">
      <c r="B122" s="143"/>
      <c r="C122" s="144" t="str">
        <f aca="false">DADOS!$AD$12</f>
        <v>📎 OUTROS</v>
      </c>
      <c r="D122" s="145" t="str">
        <f aca="false">IF(investirrendafixaconsolidadodez[[#This Row],[TOTAL (R$)]]=0,"",IF(OR(investirrendafixaconsolidadodez[[#This Row],[TOTAL (R$)]]=LARGE($AJ$113:$AJ$122,1),investirrendafixaconsolidadodez[[#This Row],[TOTAL (R$)]]=LARGE($AJ$113:$AJ$122,2)),DADOS!$I$10,""))</f>
        <v/>
      </c>
      <c r="E122" s="148" t="n">
        <f aca="false">SUMIFS(tabela_registros[VALOR],tabela_registros[MÊS],$AE$1,tabela_registros[DIA],investirrendafixaconsolidadodez[[#Headers],[1]],tabela_registros[REGISTRO],DADOS!$N$5,tabela_registros[TIPO],DADOS!$AB$3,tabela_registros[CATEGORIA],investirrendafixaconsolidadodez[[#This Row],[ATUAL]])</f>
        <v>0</v>
      </c>
      <c r="F122" s="119" t="n">
        <f aca="false">SUMIFS(tabela_registros[VALOR],tabela_registros[MÊS],$AE$1,tabela_registros[DIA],investirrendafixaconsolidadodez[[#Headers],[2]],tabela_registros[REGISTRO],DADOS!$N$5,tabela_registros[TIPO],DADOS!$AB$3,tabela_registros[CATEGORIA],investirrendafixaconsolidadodez[[#This Row],[ATUAL]])</f>
        <v>0</v>
      </c>
      <c r="G122" s="119" t="n">
        <f aca="false">SUMIFS(tabela_registros[VALOR],tabela_registros[MÊS],$AE$1,tabela_registros[DIA],investirrendafixaconsolidadodez[[#Headers],[3]],tabela_registros[REGISTRO],DADOS!$N$5,tabela_registros[TIPO],DADOS!$AB$3,tabela_registros[CATEGORIA],investirrendafixaconsolidadodez[[#This Row],[ATUAL]])</f>
        <v>0</v>
      </c>
      <c r="H122" s="119" t="n">
        <f aca="false">SUMIFS(tabela_registros[VALOR],tabela_registros[MÊS],$AE$1,tabela_registros[DIA],investirrendafixaconsolidadodez[[#Headers],[4]],tabela_registros[REGISTRO],DADOS!$N$5,tabela_registros[TIPO],DADOS!$AB$3,tabela_registros[CATEGORIA],investirrendafixaconsolidadodez[[#This Row],[ATUAL]])</f>
        <v>0</v>
      </c>
      <c r="I122" s="119" t="n">
        <f aca="false">SUMIFS(tabela_registros[VALOR],tabela_registros[MÊS],$AE$1,tabela_registros[DIA],investirrendafixaconsolidadodez[[#Headers],[5]],tabela_registros[REGISTRO],DADOS!$N$5,tabela_registros[TIPO],DADOS!$AB$3,tabela_registros[CATEGORIA],investirrendafixaconsolidadodez[[#This Row],[ATUAL]])</f>
        <v>0</v>
      </c>
      <c r="J122" s="119" t="n">
        <f aca="false">SUMIFS(tabela_registros[VALOR],tabela_registros[MÊS],$AE$1,tabela_registros[DIA],investirrendafixaconsolidadodez[[#Headers],[6]],tabela_registros[REGISTRO],DADOS!$N$5,tabela_registros[TIPO],DADOS!$AB$3,tabela_registros[CATEGORIA],investirrendafixaconsolidadodez[[#This Row],[ATUAL]])</f>
        <v>0</v>
      </c>
      <c r="K122" s="119" t="n">
        <f aca="false">SUMIFS(tabela_registros[VALOR],tabela_registros[MÊS],$AE$1,tabela_registros[DIA],investirrendafixaconsolidadodez[[#Headers],[7]],tabela_registros[REGISTRO],DADOS!$N$5,tabela_registros[TIPO],DADOS!$AB$3,tabela_registros[CATEGORIA],investirrendafixaconsolidadodez[[#This Row],[ATUAL]])</f>
        <v>0</v>
      </c>
      <c r="L122" s="119" t="n">
        <f aca="false">SUMIFS(tabela_registros[VALOR],tabela_registros[MÊS],$AE$1,tabela_registros[DIA],investirrendafixaconsolidadodez[[#Headers],[8]],tabela_registros[REGISTRO],DADOS!$N$5,tabela_registros[TIPO],DADOS!$AB$3,tabela_registros[CATEGORIA],investirrendafixaconsolidadodez[[#This Row],[ATUAL]])</f>
        <v>0</v>
      </c>
      <c r="M122" s="119" t="n">
        <f aca="false">SUMIFS(tabela_registros[VALOR],tabela_registros[MÊS],$AE$1,tabela_registros[DIA],investirrendafixaconsolidadodez[[#Headers],[9]],tabela_registros[REGISTRO],DADOS!$N$5,tabela_registros[TIPO],DADOS!$AB$3,tabela_registros[CATEGORIA],investirrendafixaconsolidadodez[[#This Row],[ATUAL]])</f>
        <v>0</v>
      </c>
      <c r="N122" s="119" t="n">
        <f aca="false">SUMIFS(tabela_registros[VALOR],tabela_registros[MÊS],$AE$1,tabela_registros[DIA],investirrendafixaconsolidadodez[[#Headers],[10]],tabela_registros[REGISTRO],DADOS!$N$5,tabela_registros[TIPO],DADOS!$AB$3,tabela_registros[CATEGORIA],investirrendafixaconsolidadodez[[#This Row],[ATUAL]])</f>
        <v>0</v>
      </c>
      <c r="O122" s="119" t="n">
        <f aca="false">SUMIFS(tabela_registros[VALOR],tabela_registros[MÊS],$AE$1,tabela_registros[DIA],investirrendafixaconsolidadodez[[#Headers],[11]],tabela_registros[REGISTRO],DADOS!$N$5,tabela_registros[TIPO],DADOS!$AB$3,tabela_registros[CATEGORIA],investirrendafixaconsolidadodez[[#This Row],[ATUAL]])</f>
        <v>0</v>
      </c>
      <c r="P122" s="119" t="n">
        <f aca="false">SUMIFS(tabela_registros[VALOR],tabela_registros[MÊS],$AE$1,tabela_registros[DIA],investirrendafixaconsolidadodez[[#Headers],[12]],tabela_registros[REGISTRO],DADOS!$N$5,tabela_registros[TIPO],DADOS!$AB$3,tabela_registros[CATEGORIA],investirrendafixaconsolidadodez[[#This Row],[ATUAL]])</f>
        <v>0</v>
      </c>
      <c r="Q122" s="119" t="n">
        <f aca="false">SUMIFS(tabela_registros[VALOR],tabela_registros[MÊS],$AE$1,tabela_registros[DIA],investirrendafixaconsolidadodez[[#Headers],[13]],tabela_registros[REGISTRO],DADOS!$N$5,tabela_registros[TIPO],DADOS!$AB$3,tabela_registros[CATEGORIA],investirrendafixaconsolidadodez[[#This Row],[ATUAL]])</f>
        <v>0</v>
      </c>
      <c r="R122" s="119" t="n">
        <f aca="false">SUMIFS(tabela_registros[VALOR],tabela_registros[MÊS],$AE$1,tabela_registros[DIA],investirrendafixaconsolidadodez[[#Headers],[14]],tabela_registros[REGISTRO],DADOS!$N$5,tabela_registros[TIPO],DADOS!$AB$3,tabela_registros[CATEGORIA],investirrendafixaconsolidadodez[[#This Row],[ATUAL]])</f>
        <v>0</v>
      </c>
      <c r="S122" s="119" t="n">
        <f aca="false">SUMIFS(tabela_registros[VALOR],tabela_registros[MÊS],$AE$1,tabela_registros[DIA],investirrendafixaconsolidadodez[[#Headers],[15]],tabela_registros[REGISTRO],DADOS!$N$5,tabela_registros[TIPO],DADOS!$AB$3,tabela_registros[CATEGORIA],investirrendafixaconsolidadodez[[#This Row],[ATUAL]])</f>
        <v>0</v>
      </c>
      <c r="T122" s="119" t="n">
        <f aca="false">SUMIFS(tabela_registros[VALOR],tabela_registros[MÊS],$AE$1,tabela_registros[DIA],investirrendafixaconsolidadodez[[#Headers],[16]],tabela_registros[REGISTRO],DADOS!$N$5,tabela_registros[TIPO],DADOS!$AB$3,tabela_registros[CATEGORIA],investirrendafixaconsolidadodez[[#This Row],[ATUAL]])</f>
        <v>0</v>
      </c>
      <c r="U122" s="119" t="n">
        <f aca="false">SUMIFS(tabela_registros[VALOR],tabela_registros[MÊS],$AE$1,tabela_registros[DIA],investirrendafixaconsolidadodez[[#Headers],[17]],tabela_registros[REGISTRO],DADOS!$N$5,tabela_registros[TIPO],DADOS!$AB$3,tabela_registros[CATEGORIA],investirrendafixaconsolidadodez[[#This Row],[ATUAL]])</f>
        <v>0</v>
      </c>
      <c r="V122" s="119" t="n">
        <f aca="false">SUMIFS(tabela_registros[VALOR],tabela_registros[MÊS],$AE$1,tabela_registros[DIA],investirrendafixaconsolidadodez[[#Headers],[18]],tabela_registros[REGISTRO],DADOS!$N$5,tabela_registros[TIPO],DADOS!$AB$3,tabela_registros[CATEGORIA],investirrendafixaconsolidadodez[[#This Row],[ATUAL]])</f>
        <v>0</v>
      </c>
      <c r="W122" s="119" t="n">
        <f aca="false">SUMIFS(tabela_registros[VALOR],tabela_registros[MÊS],$AE$1,tabela_registros[DIA],investirrendafixaconsolidadodez[[#Headers],[19]],tabela_registros[REGISTRO],DADOS!$N$5,tabela_registros[TIPO],DADOS!$AB$3,tabela_registros[CATEGORIA],investirrendafixaconsolidadodez[[#This Row],[ATUAL]])</f>
        <v>0</v>
      </c>
      <c r="X122" s="119" t="n">
        <f aca="false">SUMIFS(tabela_registros[VALOR],tabela_registros[MÊS],$AE$1,tabela_registros[DIA],investirrendafixaconsolidadodez[[#Headers],[20]],tabela_registros[REGISTRO],DADOS!$N$5,tabela_registros[TIPO],DADOS!$AB$3,tabela_registros[CATEGORIA],investirrendafixaconsolidadodez[[#This Row],[ATUAL]])</f>
        <v>0</v>
      </c>
      <c r="Y122" s="119" t="n">
        <f aca="false">SUMIFS(tabela_registros[VALOR],tabela_registros[MÊS],$AE$1,tabela_registros[DIA],investirrendafixaconsolidadodez[[#Headers],[21]],tabela_registros[REGISTRO],DADOS!$N$5,tabela_registros[TIPO],DADOS!$AB$3,tabela_registros[CATEGORIA],investirrendafixaconsolidadodez[[#This Row],[ATUAL]])</f>
        <v>0</v>
      </c>
      <c r="Z122" s="119" t="n">
        <f aca="false">SUMIFS(tabela_registros[VALOR],tabela_registros[MÊS],$AE$1,tabela_registros[DIA],investirrendafixaconsolidadodez[[#Headers],[22]],tabela_registros[REGISTRO],DADOS!$N$5,tabela_registros[TIPO],DADOS!$AB$3,tabela_registros[CATEGORIA],investirrendafixaconsolidadodez[[#This Row],[ATUAL]])</f>
        <v>0</v>
      </c>
      <c r="AA122" s="119" t="n">
        <f aca="false">SUMIFS(tabela_registros[VALOR],tabela_registros[MÊS],$AE$1,tabela_registros[DIA],investirrendafixaconsolidadodez[[#Headers],[23]],tabela_registros[REGISTRO],DADOS!$N$5,tabela_registros[TIPO],DADOS!$AB$3,tabela_registros[CATEGORIA],investirrendafixaconsolidadodez[[#This Row],[ATUAL]])</f>
        <v>0</v>
      </c>
      <c r="AB122" s="119" t="n">
        <f aca="false">SUMIFS(tabela_registros[VALOR],tabela_registros[MÊS],$AE$1,tabela_registros[DIA],investirrendafixaconsolidadodez[[#Headers],[24]],tabela_registros[REGISTRO],DADOS!$N$5,tabela_registros[TIPO],DADOS!$AB$3,tabela_registros[CATEGORIA],investirrendafixaconsolidadodez[[#This Row],[ATUAL]])</f>
        <v>0</v>
      </c>
      <c r="AC122" s="119" t="n">
        <f aca="false">SUMIFS(tabela_registros[VALOR],tabela_registros[MÊS],$AE$1,tabela_registros[DIA],investirrendafixaconsolidadodez[[#Headers],[25]],tabela_registros[REGISTRO],DADOS!$N$5,tabela_registros[TIPO],DADOS!$AB$3,tabela_registros[CATEGORIA],investirrendafixaconsolidadodez[[#This Row],[ATUAL]])</f>
        <v>0</v>
      </c>
      <c r="AD122" s="119" t="n">
        <f aca="false">SUMIFS(tabela_registros[VALOR],tabela_registros[MÊS],$AE$1,tabela_registros[DIA],investirrendafixaconsolidadodez[[#Headers],[26]],tabela_registros[REGISTRO],DADOS!$N$5,tabela_registros[TIPO],DADOS!$AB$3,tabela_registros[CATEGORIA],investirrendafixaconsolidadodez[[#This Row],[ATUAL]])</f>
        <v>0</v>
      </c>
      <c r="AE122" s="119" t="n">
        <f aca="false">SUMIFS(tabela_registros[VALOR],tabela_registros[MÊS],$AE$1,tabela_registros[DIA],investirrendafixaconsolidadodez[[#Headers],[27]],tabela_registros[REGISTRO],DADOS!$N$5,tabela_registros[TIPO],DADOS!$AB$3,tabela_registros[CATEGORIA],investirrendafixaconsolidadodez[[#This Row],[ATUAL]])</f>
        <v>0</v>
      </c>
      <c r="AF122" s="119" t="n">
        <f aca="false">SUMIFS(tabela_registros[VALOR],tabela_registros[MÊS],$AE$1,tabela_registros[DIA],investirrendafixaconsolidadodez[[#Headers],[28]],tabela_registros[REGISTRO],DADOS!$N$5,tabela_registros[TIPO],DADOS!$AB$3,tabela_registros[CATEGORIA],investirrendafixaconsolidadodez[[#This Row],[ATUAL]])</f>
        <v>0</v>
      </c>
      <c r="AG122" s="119" t="n">
        <f aca="false">SUMIFS(tabela_registros[VALOR],tabela_registros[MÊS],$AE$1,tabela_registros[DIA],investirrendafixaconsolidadodez[[#Headers],[29]],tabela_registros[REGISTRO],DADOS!$N$5,tabela_registros[TIPO],DADOS!$AB$3,tabela_registros[CATEGORIA],investirrendafixaconsolidadodez[[#This Row],[ATUAL]])</f>
        <v>0</v>
      </c>
      <c r="AH122" s="119" t="n">
        <f aca="false">SUMIFS(tabela_registros[VALOR],tabela_registros[MÊS],$AE$1,tabela_registros[DIA],investirrendafixaconsolidadodez[[#Headers],[30]],tabela_registros[REGISTRO],DADOS!$N$5,tabela_registros[TIPO],DADOS!$AB$3,tabela_registros[CATEGORIA],investirrendafixaconsolidadodez[[#This Row],[ATUAL]])</f>
        <v>0</v>
      </c>
      <c r="AI122" s="218" t="n">
        <f aca="false">SUMIFS(tabela_registros[VALOR],tabela_registros[MÊS],$AE$1,tabela_registros[DIA],investirrendafixaconsolidadodez[[#Headers],[31]],tabela_registros[REGISTRO],DADOS!$N$5,tabela_registros[TIPO],DADOS!$AB$3,tabela_registros[CATEGORIA],investirrendafixaconsolidadodez[[#This Row],[ATUAL]])</f>
        <v>0</v>
      </c>
      <c r="AJ122" s="149" t="n">
        <f aca="false">SUM(investirrendafixaconsolidadodez[[#This Row],[1]:[31]])</f>
        <v>0</v>
      </c>
      <c r="AK122" s="165"/>
    </row>
    <row r="123" s="122" customFormat="true" ht="21" hidden="false" customHeight="true" outlineLevel="0" collapsed="false">
      <c r="B123" s="152"/>
      <c r="C123" s="153" t="s">
        <v>2</v>
      </c>
      <c r="D123" s="166"/>
      <c r="E123" s="155" t="n">
        <f aca="false">SUM(E113:E122)</f>
        <v>0</v>
      </c>
      <c r="F123" s="156" t="n">
        <f aca="false">SUM(F113:F122)+investirrendafixaconsolidadodez[[#This Row],[1]]</f>
        <v>0</v>
      </c>
      <c r="G123" s="156" t="n">
        <f aca="false">SUM(G113:G122)+investirrendafixaconsolidadodez[[#This Row],[2]]</f>
        <v>0</v>
      </c>
      <c r="H123" s="156" t="n">
        <f aca="false">SUM(H113:H122)+investirrendafixaconsolidadodez[[#This Row],[3]]</f>
        <v>0</v>
      </c>
      <c r="I123" s="156" t="n">
        <f aca="false">SUM(I113:I122)+investirrendafixaconsolidadodez[[#This Row],[4]]</f>
        <v>0</v>
      </c>
      <c r="J123" s="156" t="n">
        <f aca="false">SUM(J113:J122)+investirrendafixaconsolidadodez[[#This Row],[5]]</f>
        <v>0</v>
      </c>
      <c r="K123" s="156" t="n">
        <f aca="false">SUM(K113:K122)+investirrendafixaconsolidadodez[[#This Row],[6]]</f>
        <v>0</v>
      </c>
      <c r="L123" s="156" t="n">
        <f aca="false">SUM(L113:L122)+investirrendafixaconsolidadodez[[#This Row],[7]]</f>
        <v>0</v>
      </c>
      <c r="M123" s="156" t="n">
        <f aca="false">SUM(M113:M122)+investirrendafixaconsolidadodez[[#This Row],[8]]</f>
        <v>0</v>
      </c>
      <c r="N123" s="156" t="n">
        <f aca="false">SUM(N113:N122)+investirrendafixaconsolidadodez[[#This Row],[9]]</f>
        <v>0</v>
      </c>
      <c r="O123" s="156" t="n">
        <f aca="false">SUM(O113:O122)+investirrendafixaconsolidadodez[[#This Row],[10]]</f>
        <v>0</v>
      </c>
      <c r="P123" s="156" t="n">
        <f aca="false">SUM(P113:P122)+investirrendafixaconsolidadodez[[#This Row],[11]]</f>
        <v>0</v>
      </c>
      <c r="Q123" s="156" t="n">
        <f aca="false">SUM(Q113:Q122)+investirrendafixaconsolidadodez[[#This Row],[12]]</f>
        <v>0</v>
      </c>
      <c r="R123" s="156" t="n">
        <f aca="false">SUM(R113:R122)+investirrendafixaconsolidadodez[[#This Row],[13]]</f>
        <v>0</v>
      </c>
      <c r="S123" s="156" t="n">
        <f aca="false">SUM(S113:S122)+investirrendafixaconsolidadodez[[#This Row],[14]]</f>
        <v>0</v>
      </c>
      <c r="T123" s="156" t="n">
        <f aca="false">SUM(T113:T122)+investirrendafixaconsolidadodez[[#This Row],[15]]</f>
        <v>0</v>
      </c>
      <c r="U123" s="156" t="n">
        <f aca="false">SUM(U113:U122)+investirrendafixaconsolidadodez[[#This Row],[16]]</f>
        <v>0</v>
      </c>
      <c r="V123" s="156" t="n">
        <f aca="false">SUM(V113:V122)+investirrendafixaconsolidadodez[[#This Row],[17]]</f>
        <v>0</v>
      </c>
      <c r="W123" s="156" t="n">
        <f aca="false">SUM(W113:W122)+investirrendafixaconsolidadodez[[#This Row],[18]]</f>
        <v>0</v>
      </c>
      <c r="X123" s="156" t="n">
        <f aca="false">SUM(X113:X122)+investirrendafixaconsolidadodez[[#This Row],[19]]</f>
        <v>0</v>
      </c>
      <c r="Y123" s="156" t="n">
        <f aca="false">SUM(Y113:Y122)+investirrendafixaconsolidadodez[[#This Row],[20]]</f>
        <v>0</v>
      </c>
      <c r="Z123" s="156" t="n">
        <f aca="false">SUM(Z113:Z122)+investirrendafixaconsolidadodez[[#This Row],[21]]</f>
        <v>0</v>
      </c>
      <c r="AA123" s="156" t="n">
        <f aca="false">SUM(AA113:AA122)+investirrendafixaconsolidadodez[[#This Row],[22]]</f>
        <v>0</v>
      </c>
      <c r="AB123" s="156" t="n">
        <f aca="false">SUM(AB113:AB122)+investirrendafixaconsolidadodez[[#This Row],[23]]</f>
        <v>0</v>
      </c>
      <c r="AC123" s="156" t="n">
        <f aca="false">SUM(AC113:AC122)+investirrendafixaconsolidadodez[[#This Row],[24]]</f>
        <v>0</v>
      </c>
      <c r="AD123" s="156" t="n">
        <f aca="false">SUM(AD113:AD122)+investirrendafixaconsolidadodez[[#This Row],[25]]</f>
        <v>0</v>
      </c>
      <c r="AE123" s="156" t="n">
        <f aca="false">SUM(AE113:AE122)+investirrendafixaconsolidadodez[[#This Row],[26]]</f>
        <v>0</v>
      </c>
      <c r="AF123" s="156" t="n">
        <f aca="false">SUM(AF113:AF122)+investirrendafixaconsolidadodez[[#This Row],[27]]</f>
        <v>0</v>
      </c>
      <c r="AG123" s="156" t="n">
        <f aca="false">SUM(AG113:AG122)+investirrendafixaconsolidadodez[[#This Row],[28]]</f>
        <v>0</v>
      </c>
      <c r="AH123" s="156" t="n">
        <f aca="false">SUM(AH113:AH122)+investirrendafixaconsolidadodez[[#This Row],[29]]</f>
        <v>0</v>
      </c>
      <c r="AI123" s="223" t="n">
        <f aca="false">SUM(AI113:AI122)+investirrendafixaconsolidadodez[[#This Row],[30]]</f>
        <v>0</v>
      </c>
      <c r="AJ123" s="157" t="n">
        <f aca="false">investirrendafixaconsolidadodez[[#This Row],[31]]</f>
        <v>0</v>
      </c>
      <c r="AK123" s="158"/>
    </row>
    <row r="124" customFormat="false" ht="6.75" hidden="false" customHeight="true" outlineLevel="0" collapsed="false">
      <c r="B124" s="97"/>
      <c r="C124" s="162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233"/>
      <c r="AJ124" s="164"/>
      <c r="AK124" s="244"/>
    </row>
    <row r="125" s="78" customFormat="true" ht="12.75" hidden="false" customHeight="false" outlineLevel="0" collapsed="false">
      <c r="E125" s="100"/>
    </row>
    <row r="126" s="78" customFormat="true" ht="12" hidden="false" customHeight="false" outlineLevel="0" collapsed="false"/>
    <row r="127" s="78" customFormat="true" ht="12" hidden="false" customHeight="false" outlineLevel="0" collapsed="false"/>
    <row r="128" customFormat="false" ht="39.75" hidden="false" customHeight="true" outlineLevel="0" collapsed="false">
      <c r="C128" s="101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3" t="s">
        <v>2</v>
      </c>
    </row>
    <row r="129" s="78" customFormat="true" ht="12.75" hidden="false" customHeight="false" outlineLevel="0" collapsed="false">
      <c r="B129" s="161"/>
      <c r="AJ129" s="106" t="s">
        <v>64</v>
      </c>
    </row>
    <row r="130" customFormat="false" ht="6.75" hidden="false" customHeight="true" outlineLevel="0" collapsed="false">
      <c r="B130" s="86"/>
      <c r="C130" s="162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233"/>
      <c r="AK130" s="139"/>
    </row>
    <row r="131" customFormat="false" ht="13.5" hidden="true" customHeight="false" outlineLevel="0" collapsed="false">
      <c r="B131" s="86"/>
      <c r="C131" s="109" t="s">
        <v>68</v>
      </c>
      <c r="D131" s="110" t="s">
        <v>69</v>
      </c>
      <c r="E131" s="110" t="s">
        <v>30</v>
      </c>
      <c r="F131" s="110" t="s">
        <v>31</v>
      </c>
      <c r="G131" s="110" t="s">
        <v>32</v>
      </c>
      <c r="H131" s="110" t="s">
        <v>33</v>
      </c>
      <c r="I131" s="110" t="s">
        <v>34</v>
      </c>
      <c r="J131" s="110" t="s">
        <v>35</v>
      </c>
      <c r="K131" s="110" t="s">
        <v>36</v>
      </c>
      <c r="L131" s="110" t="s">
        <v>37</v>
      </c>
      <c r="M131" s="110" t="s">
        <v>38</v>
      </c>
      <c r="N131" s="110" t="s">
        <v>39</v>
      </c>
      <c r="O131" s="110" t="s">
        <v>40</v>
      </c>
      <c r="P131" s="110" t="s">
        <v>41</v>
      </c>
      <c r="Q131" s="110" t="s">
        <v>81</v>
      </c>
      <c r="R131" s="110" t="s">
        <v>82</v>
      </c>
      <c r="S131" s="110" t="s">
        <v>83</v>
      </c>
      <c r="T131" s="110" t="s">
        <v>84</v>
      </c>
      <c r="U131" s="110" t="s">
        <v>85</v>
      </c>
      <c r="V131" s="110" t="s">
        <v>86</v>
      </c>
      <c r="W131" s="110" t="s">
        <v>87</v>
      </c>
      <c r="X131" s="110" t="s">
        <v>88</v>
      </c>
      <c r="Y131" s="110" t="s">
        <v>89</v>
      </c>
      <c r="Z131" s="110" t="s">
        <v>90</v>
      </c>
      <c r="AA131" s="110" t="s">
        <v>91</v>
      </c>
      <c r="AB131" s="110" t="s">
        <v>92</v>
      </c>
      <c r="AC131" s="110" t="s">
        <v>93</v>
      </c>
      <c r="AD131" s="110" t="s">
        <v>94</v>
      </c>
      <c r="AE131" s="110" t="s">
        <v>95</v>
      </c>
      <c r="AF131" s="110" t="s">
        <v>96</v>
      </c>
      <c r="AG131" s="110" t="s">
        <v>97</v>
      </c>
      <c r="AH131" s="110" t="s">
        <v>98</v>
      </c>
      <c r="AI131" s="110" t="s">
        <v>99</v>
      </c>
      <c r="AJ131" s="111" t="s">
        <v>70</v>
      </c>
      <c r="AK131" s="86"/>
    </row>
    <row r="132" customFormat="false" ht="19.5" hidden="false" customHeight="true" outlineLevel="0" collapsed="false">
      <c r="B132" s="143"/>
      <c r="C132" s="144" t="str">
        <f aca="false">DADOS!$AF$3</f>
        <v>📝 AÇÃO</v>
      </c>
      <c r="D132" s="145" t="str">
        <f aca="false">IF(investirrendavariávelconsolidadodez[[#This Row],[TOTAL (R$)]]=0,"",IF(OR(investirrendavariávelconsolidadodez[[#This Row],[TOTAL (R$)]]=LARGE($AJ$132:$AJ$141,1),investirrendavariávelconsolidadodez[[#This Row],[TOTAL (R$)]]=LARGE($AJ$132:$AJ$141,2)),DADOS!$I$10,""))</f>
        <v/>
      </c>
      <c r="E132" s="148" t="n">
        <f aca="false">SUMIFS(tabela_registros[VALOR],tabela_registros[MÊS],$AE$1,tabela_registros[DIA],investirrendavariávelconsolidadodez[[#Headers],[1]],tabela_registros[REGISTRO],DADOS!$N$5,tabela_registros[TIPO],DADOS!$AB$4,tabela_registros[CATEGORIA],investirrendavariávelconsolidadodez[[#This Row],[ATUAL]])</f>
        <v>0</v>
      </c>
      <c r="F132" s="119" t="n">
        <f aca="false">SUMIFS(tabela_registros[VALOR],tabela_registros[MÊS],$AE$1,tabela_registros[DIA],investirrendavariávelconsolidadodez[[#Headers],[2]],tabela_registros[REGISTRO],DADOS!$N$5,tabela_registros[TIPO],DADOS!$AB$4,tabela_registros[CATEGORIA],investirrendavariávelconsolidadodez[[#This Row],[ATUAL]])</f>
        <v>0</v>
      </c>
      <c r="G132" s="119" t="n">
        <f aca="false">SUMIFS(tabela_registros[VALOR],tabela_registros[MÊS],$AE$1,tabela_registros[DIA],investirrendavariávelconsolidadodez[[#Headers],[3]],tabela_registros[REGISTRO],DADOS!$N$5,tabela_registros[TIPO],DADOS!$AB$4,tabela_registros[CATEGORIA],investirrendavariávelconsolidadodez[[#This Row],[ATUAL]])</f>
        <v>0</v>
      </c>
      <c r="H132" s="119" t="n">
        <f aca="false">SUMIFS(tabela_registros[VALOR],tabela_registros[MÊS],$AE$1,tabela_registros[DIA],investirrendavariávelconsolidadodez[[#Headers],[4]],tabela_registros[REGISTRO],DADOS!$N$5,tabela_registros[TIPO],DADOS!$AB$4,tabela_registros[CATEGORIA],investirrendavariávelconsolidadodez[[#This Row],[ATUAL]])</f>
        <v>0</v>
      </c>
      <c r="I132" s="119" t="n">
        <f aca="false">SUMIFS(tabela_registros[VALOR],tabela_registros[MÊS],$AE$1,tabela_registros[DIA],investirrendavariávelconsolidadodez[[#Headers],[5]],tabela_registros[REGISTRO],DADOS!$N$5,tabela_registros[TIPO],DADOS!$AB$4,tabela_registros[CATEGORIA],investirrendavariávelconsolidadodez[[#This Row],[ATUAL]])</f>
        <v>0</v>
      </c>
      <c r="J132" s="119" t="n">
        <f aca="false">SUMIFS(tabela_registros[VALOR],tabela_registros[MÊS],$AE$1,tabela_registros[DIA],investirrendavariávelconsolidadodez[[#Headers],[6]],tabela_registros[REGISTRO],DADOS!$N$5,tabela_registros[TIPO],DADOS!$AB$4,tabela_registros[CATEGORIA],investirrendavariávelconsolidadodez[[#This Row],[ATUAL]])</f>
        <v>0</v>
      </c>
      <c r="K132" s="119" t="n">
        <f aca="false">SUMIFS(tabela_registros[VALOR],tabela_registros[MÊS],$AE$1,tabela_registros[DIA],investirrendavariávelconsolidadodez[[#Headers],[7]],tabela_registros[REGISTRO],DADOS!$N$5,tabela_registros[TIPO],DADOS!$AB$4,tabela_registros[CATEGORIA],investirrendavariávelconsolidadodez[[#This Row],[ATUAL]])</f>
        <v>0</v>
      </c>
      <c r="L132" s="119" t="n">
        <f aca="false">SUMIFS(tabela_registros[VALOR],tabela_registros[MÊS],$AE$1,tabela_registros[DIA],investirrendavariávelconsolidadodez[[#Headers],[8]],tabela_registros[REGISTRO],DADOS!$N$5,tabela_registros[TIPO],DADOS!$AB$4,tabela_registros[CATEGORIA],investirrendavariávelconsolidadodez[[#This Row],[ATUAL]])</f>
        <v>0</v>
      </c>
      <c r="M132" s="119" t="n">
        <f aca="false">SUMIFS(tabela_registros[VALOR],tabela_registros[MÊS],$AE$1,tabela_registros[DIA],investirrendavariávelconsolidadodez[[#Headers],[9]],tabela_registros[REGISTRO],DADOS!$N$5,tabela_registros[TIPO],DADOS!$AB$4,tabela_registros[CATEGORIA],investirrendavariávelconsolidadodez[[#This Row],[ATUAL]])</f>
        <v>0</v>
      </c>
      <c r="N132" s="119" t="n">
        <f aca="false">SUMIFS(tabela_registros[VALOR],tabela_registros[MÊS],$AE$1,tabela_registros[DIA],investirrendavariávelconsolidadodez[[#Headers],[10]],tabela_registros[REGISTRO],DADOS!$N$5,tabela_registros[TIPO],DADOS!$AB$4,tabela_registros[CATEGORIA],investirrendavariávelconsolidadodez[[#This Row],[ATUAL]])</f>
        <v>0</v>
      </c>
      <c r="O132" s="119" t="n">
        <f aca="false">SUMIFS(tabela_registros[VALOR],tabela_registros[MÊS],$AE$1,tabela_registros[DIA],investirrendavariávelconsolidadodez[[#Headers],[11]],tabela_registros[REGISTRO],DADOS!$N$5,tabela_registros[TIPO],DADOS!$AB$4,tabela_registros[CATEGORIA],investirrendavariávelconsolidadodez[[#This Row],[ATUAL]])</f>
        <v>0</v>
      </c>
      <c r="P132" s="119" t="n">
        <f aca="false">SUMIFS(tabela_registros[VALOR],tabela_registros[MÊS],$AE$1,tabela_registros[DIA],investirrendavariávelconsolidadodez[[#Headers],[12]],tabela_registros[REGISTRO],DADOS!$N$5,tabela_registros[TIPO],DADOS!$AB$4,tabela_registros[CATEGORIA],investirrendavariávelconsolidadodez[[#This Row],[ATUAL]])</f>
        <v>0</v>
      </c>
      <c r="Q132" s="119" t="n">
        <f aca="false">SUMIFS(tabela_registros[VALOR],tabela_registros[MÊS],$AE$1,tabela_registros[DIA],investirrendavariávelconsolidadodez[[#Headers],[13]],tabela_registros[REGISTRO],DADOS!$N$5,tabela_registros[TIPO],DADOS!$AB$4,tabela_registros[CATEGORIA],investirrendavariávelconsolidadodez[[#This Row],[ATUAL]])</f>
        <v>0</v>
      </c>
      <c r="R132" s="119" t="n">
        <f aca="false">SUMIFS(tabela_registros[VALOR],tabela_registros[MÊS],$AE$1,tabela_registros[DIA],investirrendavariávelconsolidadodez[[#Headers],[14]],tabela_registros[REGISTRO],DADOS!$N$5,tabela_registros[TIPO],DADOS!$AB$4,tabela_registros[CATEGORIA],investirrendavariávelconsolidadodez[[#This Row],[ATUAL]])</f>
        <v>0</v>
      </c>
      <c r="S132" s="119" t="n">
        <f aca="false">SUMIFS(tabela_registros[VALOR],tabela_registros[MÊS],$AE$1,tabela_registros[DIA],investirrendavariávelconsolidadodez[[#Headers],[15]],tabela_registros[REGISTRO],DADOS!$N$5,tabela_registros[TIPO],DADOS!$AB$4,tabela_registros[CATEGORIA],investirrendavariávelconsolidadodez[[#This Row],[ATUAL]])</f>
        <v>0</v>
      </c>
      <c r="T132" s="119" t="n">
        <f aca="false">SUMIFS(tabela_registros[VALOR],tabela_registros[MÊS],$AE$1,tabela_registros[DIA],investirrendavariávelconsolidadodez[[#Headers],[16]],tabela_registros[REGISTRO],DADOS!$N$5,tabela_registros[TIPO],DADOS!$AB$4,tabela_registros[CATEGORIA],investirrendavariávelconsolidadodez[[#This Row],[ATUAL]])</f>
        <v>0</v>
      </c>
      <c r="U132" s="119" t="n">
        <f aca="false">SUMIFS(tabela_registros[VALOR],tabela_registros[MÊS],$AE$1,tabela_registros[DIA],investirrendavariávelconsolidadodez[[#Headers],[17]],tabela_registros[REGISTRO],DADOS!$N$5,tabela_registros[TIPO],DADOS!$AB$4,tabela_registros[CATEGORIA],investirrendavariávelconsolidadodez[[#This Row],[ATUAL]])</f>
        <v>0</v>
      </c>
      <c r="V132" s="119" t="n">
        <f aca="false">SUMIFS(tabela_registros[VALOR],tabela_registros[MÊS],$AE$1,tabela_registros[DIA],investirrendavariávelconsolidadodez[[#Headers],[18]],tabela_registros[REGISTRO],DADOS!$N$5,tabela_registros[TIPO],DADOS!$AB$4,tabela_registros[CATEGORIA],investirrendavariávelconsolidadodez[[#This Row],[ATUAL]])</f>
        <v>0</v>
      </c>
      <c r="W132" s="119" t="n">
        <f aca="false">SUMIFS(tabela_registros[VALOR],tabela_registros[MÊS],$AE$1,tabela_registros[DIA],investirrendavariávelconsolidadodez[[#Headers],[19]],tabela_registros[REGISTRO],DADOS!$N$5,tabela_registros[TIPO],DADOS!$AB$4,tabela_registros[CATEGORIA],investirrendavariávelconsolidadodez[[#This Row],[ATUAL]])</f>
        <v>0</v>
      </c>
      <c r="X132" s="119" t="n">
        <f aca="false">SUMIFS(tabela_registros[VALOR],tabela_registros[MÊS],$AE$1,tabela_registros[DIA],investirrendavariávelconsolidadodez[[#Headers],[20]],tabela_registros[REGISTRO],DADOS!$N$5,tabela_registros[TIPO],DADOS!$AB$4,tabela_registros[CATEGORIA],investirrendavariávelconsolidadodez[[#This Row],[ATUAL]])</f>
        <v>0</v>
      </c>
      <c r="Y132" s="119" t="n">
        <f aca="false">SUMIFS(tabela_registros[VALOR],tabela_registros[MÊS],$AE$1,tabela_registros[DIA],investirrendavariávelconsolidadodez[[#Headers],[21]],tabela_registros[REGISTRO],DADOS!$N$5,tabela_registros[TIPO],DADOS!$AB$4,tabela_registros[CATEGORIA],investirrendavariávelconsolidadodez[[#This Row],[ATUAL]])</f>
        <v>0</v>
      </c>
      <c r="Z132" s="119" t="n">
        <f aca="false">SUMIFS(tabela_registros[VALOR],tabela_registros[MÊS],$AE$1,tabela_registros[DIA],investirrendavariávelconsolidadodez[[#Headers],[22]],tabela_registros[REGISTRO],DADOS!$N$5,tabela_registros[TIPO],DADOS!$AB$4,tabela_registros[CATEGORIA],investirrendavariávelconsolidadodez[[#This Row],[ATUAL]])</f>
        <v>0</v>
      </c>
      <c r="AA132" s="119" t="n">
        <f aca="false">SUMIFS(tabela_registros[VALOR],tabela_registros[MÊS],$AE$1,tabela_registros[DIA],investirrendavariávelconsolidadodez[[#Headers],[23]],tabela_registros[REGISTRO],DADOS!$N$5,tabela_registros[TIPO],DADOS!$AB$4,tabela_registros[CATEGORIA],investirrendavariávelconsolidadodez[[#This Row],[ATUAL]])</f>
        <v>0</v>
      </c>
      <c r="AB132" s="119" t="n">
        <f aca="false">SUMIFS(tabela_registros[VALOR],tabela_registros[MÊS],$AE$1,tabela_registros[DIA],investirrendavariávelconsolidadodez[[#Headers],[24]],tabela_registros[REGISTRO],DADOS!$N$5,tabela_registros[TIPO],DADOS!$AB$4,tabela_registros[CATEGORIA],investirrendavariávelconsolidadodez[[#This Row],[ATUAL]])</f>
        <v>0</v>
      </c>
      <c r="AC132" s="119" t="n">
        <f aca="false">SUMIFS(tabela_registros[VALOR],tabela_registros[MÊS],$AE$1,tabela_registros[DIA],investirrendavariávelconsolidadodez[[#Headers],[25]],tabela_registros[REGISTRO],DADOS!$N$5,tabela_registros[TIPO],DADOS!$AB$4,tabela_registros[CATEGORIA],investirrendavariávelconsolidadodez[[#This Row],[ATUAL]])</f>
        <v>0</v>
      </c>
      <c r="AD132" s="119" t="n">
        <f aca="false">SUMIFS(tabela_registros[VALOR],tabela_registros[MÊS],$AE$1,tabela_registros[DIA],investirrendavariávelconsolidadodez[[#Headers],[26]],tabela_registros[REGISTRO],DADOS!$N$5,tabela_registros[TIPO],DADOS!$AB$4,tabela_registros[CATEGORIA],investirrendavariávelconsolidadodez[[#This Row],[ATUAL]])</f>
        <v>0</v>
      </c>
      <c r="AE132" s="119" t="n">
        <f aca="false">SUMIFS(tabela_registros[VALOR],tabela_registros[MÊS],$AE$1,tabela_registros[DIA],investirrendavariávelconsolidadodez[[#Headers],[27]],tabela_registros[REGISTRO],DADOS!$N$5,tabela_registros[TIPO],DADOS!$AB$4,tabela_registros[CATEGORIA],investirrendavariávelconsolidadodez[[#This Row],[ATUAL]])</f>
        <v>0</v>
      </c>
      <c r="AF132" s="119" t="n">
        <f aca="false">SUMIFS(tabela_registros[VALOR],tabela_registros[MÊS],$AE$1,tabela_registros[DIA],investirrendavariávelconsolidadodez[[#Headers],[28]],tabela_registros[REGISTRO],DADOS!$N$5,tabela_registros[TIPO],DADOS!$AB$4,tabela_registros[CATEGORIA],investirrendavariávelconsolidadodez[[#This Row],[ATUAL]])</f>
        <v>0</v>
      </c>
      <c r="AG132" s="119" t="n">
        <f aca="false">SUMIFS(tabela_registros[VALOR],tabela_registros[MÊS],$AE$1,tabela_registros[DIA],investirrendavariávelconsolidadodez[[#Headers],[29]],tabela_registros[REGISTRO],DADOS!$N$5,tabela_registros[TIPO],DADOS!$AB$4,tabela_registros[CATEGORIA],investirrendavariávelconsolidadodez[[#This Row],[ATUAL]])</f>
        <v>0</v>
      </c>
      <c r="AH132" s="119" t="n">
        <f aca="false">SUMIFS(tabela_registros[VALOR],tabela_registros[MÊS],$AE$1,tabela_registros[DIA],investirrendavariávelconsolidadodez[[#Headers],[30]],tabela_registros[REGISTRO],DADOS!$N$5,tabela_registros[TIPO],DADOS!$AB$4,tabela_registros[CATEGORIA],investirrendavariávelconsolidadodez[[#This Row],[ATUAL]])</f>
        <v>0</v>
      </c>
      <c r="AI132" s="217" t="n">
        <f aca="false">SUMIFS(tabela_registros[VALOR],tabela_registros[MÊS],$AE$1,tabela_registros[DIA],investirrendavariávelconsolidadodez[[#Headers],[31]],tabela_registros[REGISTRO],DADOS!$N$5,tabela_registros[TIPO],DADOS!$AB$4,tabela_registros[CATEGORIA],investirrendavariávelconsolidadodez[[#This Row],[ATUAL]])</f>
        <v>0</v>
      </c>
      <c r="AJ132" s="149" t="n">
        <f aca="false">SUM(investirrendavariávelconsolidadodez[[#This Row],[1]:[31]])</f>
        <v>0</v>
      </c>
      <c r="AK132" s="165"/>
    </row>
    <row r="133" customFormat="false" ht="19.5" hidden="false" customHeight="true" outlineLevel="0" collapsed="false">
      <c r="B133" s="143"/>
      <c r="C133" s="144" t="str">
        <f aca="false">DADOS!$AF$4</f>
        <v>📝 COMÓDITE</v>
      </c>
      <c r="D133" s="145" t="str">
        <f aca="false">IF(investirrendavariávelconsolidadodez[[#This Row],[TOTAL (R$)]]=0,"",IF(OR(investirrendavariávelconsolidadodez[[#This Row],[TOTAL (R$)]]=LARGE($AJ$132:$AJ$141,1),investirrendavariávelconsolidadodez[[#This Row],[TOTAL (R$)]]=LARGE($AJ$132:$AJ$141,2)),DADOS!$I$10,""))</f>
        <v/>
      </c>
      <c r="E133" s="148" t="n">
        <f aca="false">SUMIFS(tabela_registros[VALOR],tabela_registros[MÊS],$AE$1,tabela_registros[DIA],investirrendavariávelconsolidadodez[[#Headers],[1]],tabela_registros[REGISTRO],DADOS!$N$5,tabela_registros[TIPO],DADOS!$AB$4,tabela_registros[CATEGORIA],investirrendavariávelconsolidadodez[[#This Row],[ATUAL]])</f>
        <v>0</v>
      </c>
      <c r="F133" s="119" t="n">
        <f aca="false">SUMIFS(tabela_registros[VALOR],tabela_registros[MÊS],$AE$1,tabela_registros[DIA],investirrendavariávelconsolidadodez[[#Headers],[2]],tabela_registros[REGISTRO],DADOS!$N$5,tabela_registros[TIPO],DADOS!$AB$4,tabela_registros[CATEGORIA],investirrendavariávelconsolidadodez[[#This Row],[ATUAL]])</f>
        <v>0</v>
      </c>
      <c r="G133" s="119" t="n">
        <f aca="false">SUMIFS(tabela_registros[VALOR],tabela_registros[MÊS],$AE$1,tabela_registros[DIA],investirrendavariávelconsolidadodez[[#Headers],[3]],tabela_registros[REGISTRO],DADOS!$N$5,tabela_registros[TIPO],DADOS!$AB$4,tabela_registros[CATEGORIA],investirrendavariávelconsolidadodez[[#This Row],[ATUAL]])</f>
        <v>0</v>
      </c>
      <c r="H133" s="119" t="n">
        <f aca="false">SUMIFS(tabela_registros[VALOR],tabela_registros[MÊS],$AE$1,tabela_registros[DIA],investirrendavariávelconsolidadodez[[#Headers],[4]],tabela_registros[REGISTRO],DADOS!$N$5,tabela_registros[TIPO],DADOS!$AB$4,tabela_registros[CATEGORIA],investirrendavariávelconsolidadodez[[#This Row],[ATUAL]])</f>
        <v>0</v>
      </c>
      <c r="I133" s="119" t="n">
        <f aca="false">SUMIFS(tabela_registros[VALOR],tabela_registros[MÊS],$AE$1,tabela_registros[DIA],investirrendavariávelconsolidadodez[[#Headers],[5]],tabela_registros[REGISTRO],DADOS!$N$5,tabela_registros[TIPO],DADOS!$AB$4,tabela_registros[CATEGORIA],investirrendavariávelconsolidadodez[[#This Row],[ATUAL]])</f>
        <v>0</v>
      </c>
      <c r="J133" s="119" t="n">
        <f aca="false">SUMIFS(tabela_registros[VALOR],tabela_registros[MÊS],$AE$1,tabela_registros[DIA],investirrendavariávelconsolidadodez[[#Headers],[6]],tabela_registros[REGISTRO],DADOS!$N$5,tabela_registros[TIPO],DADOS!$AB$4,tabela_registros[CATEGORIA],investirrendavariávelconsolidadodez[[#This Row],[ATUAL]])</f>
        <v>0</v>
      </c>
      <c r="K133" s="119" t="n">
        <f aca="false">SUMIFS(tabela_registros[VALOR],tabela_registros[MÊS],$AE$1,tabela_registros[DIA],investirrendavariávelconsolidadodez[[#Headers],[7]],tabela_registros[REGISTRO],DADOS!$N$5,tabela_registros[TIPO],DADOS!$AB$4,tabela_registros[CATEGORIA],investirrendavariávelconsolidadodez[[#This Row],[ATUAL]])</f>
        <v>0</v>
      </c>
      <c r="L133" s="119" t="n">
        <f aca="false">SUMIFS(tabela_registros[VALOR],tabela_registros[MÊS],$AE$1,tabela_registros[DIA],investirrendavariávelconsolidadodez[[#Headers],[8]],tabela_registros[REGISTRO],DADOS!$N$5,tabela_registros[TIPO],DADOS!$AB$4,tabela_registros[CATEGORIA],investirrendavariávelconsolidadodez[[#This Row],[ATUAL]])</f>
        <v>0</v>
      </c>
      <c r="M133" s="119" t="n">
        <f aca="false">SUMIFS(tabela_registros[VALOR],tabela_registros[MÊS],$AE$1,tabela_registros[DIA],investirrendavariávelconsolidadodez[[#Headers],[9]],tabela_registros[REGISTRO],DADOS!$N$5,tabela_registros[TIPO],DADOS!$AB$4,tabela_registros[CATEGORIA],investirrendavariávelconsolidadodez[[#This Row],[ATUAL]])</f>
        <v>0</v>
      </c>
      <c r="N133" s="119" t="n">
        <f aca="false">SUMIFS(tabela_registros[VALOR],tabela_registros[MÊS],$AE$1,tabela_registros[DIA],investirrendavariávelconsolidadodez[[#Headers],[10]],tabela_registros[REGISTRO],DADOS!$N$5,tabela_registros[TIPO],DADOS!$AB$4,tabela_registros[CATEGORIA],investirrendavariávelconsolidadodez[[#This Row],[ATUAL]])</f>
        <v>0</v>
      </c>
      <c r="O133" s="119" t="n">
        <f aca="false">SUMIFS(tabela_registros[VALOR],tabela_registros[MÊS],$AE$1,tabela_registros[DIA],investirrendavariávelconsolidadodez[[#Headers],[11]],tabela_registros[REGISTRO],DADOS!$N$5,tabela_registros[TIPO],DADOS!$AB$4,tabela_registros[CATEGORIA],investirrendavariávelconsolidadodez[[#This Row],[ATUAL]])</f>
        <v>0</v>
      </c>
      <c r="P133" s="119" t="n">
        <f aca="false">SUMIFS(tabela_registros[VALOR],tabela_registros[MÊS],$AE$1,tabela_registros[DIA],investirrendavariávelconsolidadodez[[#Headers],[12]],tabela_registros[REGISTRO],DADOS!$N$5,tabela_registros[TIPO],DADOS!$AB$4,tabela_registros[CATEGORIA],investirrendavariávelconsolidadodez[[#This Row],[ATUAL]])</f>
        <v>0</v>
      </c>
      <c r="Q133" s="119" t="n">
        <f aca="false">SUMIFS(tabela_registros[VALOR],tabela_registros[MÊS],$AE$1,tabela_registros[DIA],investirrendavariávelconsolidadodez[[#Headers],[13]],tabela_registros[REGISTRO],DADOS!$N$5,tabela_registros[TIPO],DADOS!$AB$4,tabela_registros[CATEGORIA],investirrendavariávelconsolidadodez[[#This Row],[ATUAL]])</f>
        <v>0</v>
      </c>
      <c r="R133" s="119" t="n">
        <f aca="false">SUMIFS(tabela_registros[VALOR],tabela_registros[MÊS],$AE$1,tabela_registros[DIA],investirrendavariávelconsolidadodez[[#Headers],[14]],tabela_registros[REGISTRO],DADOS!$N$5,tabela_registros[TIPO],DADOS!$AB$4,tabela_registros[CATEGORIA],investirrendavariávelconsolidadodez[[#This Row],[ATUAL]])</f>
        <v>0</v>
      </c>
      <c r="S133" s="119" t="n">
        <f aca="false">SUMIFS(tabela_registros[VALOR],tabela_registros[MÊS],$AE$1,tabela_registros[DIA],investirrendavariávelconsolidadodez[[#Headers],[15]],tabela_registros[REGISTRO],DADOS!$N$5,tabela_registros[TIPO],DADOS!$AB$4,tabela_registros[CATEGORIA],investirrendavariávelconsolidadodez[[#This Row],[ATUAL]])</f>
        <v>0</v>
      </c>
      <c r="T133" s="119" t="n">
        <f aca="false">SUMIFS(tabela_registros[VALOR],tabela_registros[MÊS],$AE$1,tabela_registros[DIA],investirrendavariávelconsolidadodez[[#Headers],[16]],tabela_registros[REGISTRO],DADOS!$N$5,tabela_registros[TIPO],DADOS!$AB$4,tabela_registros[CATEGORIA],investirrendavariávelconsolidadodez[[#This Row],[ATUAL]])</f>
        <v>0</v>
      </c>
      <c r="U133" s="119" t="n">
        <f aca="false">SUMIFS(tabela_registros[VALOR],tabela_registros[MÊS],$AE$1,tabela_registros[DIA],investirrendavariávelconsolidadodez[[#Headers],[17]],tabela_registros[REGISTRO],DADOS!$N$5,tabela_registros[TIPO],DADOS!$AB$4,tabela_registros[CATEGORIA],investirrendavariávelconsolidadodez[[#This Row],[ATUAL]])</f>
        <v>0</v>
      </c>
      <c r="V133" s="119" t="n">
        <f aca="false">SUMIFS(tabela_registros[VALOR],tabela_registros[MÊS],$AE$1,tabela_registros[DIA],investirrendavariávelconsolidadodez[[#Headers],[18]],tabela_registros[REGISTRO],DADOS!$N$5,tabela_registros[TIPO],DADOS!$AB$4,tabela_registros[CATEGORIA],investirrendavariávelconsolidadodez[[#This Row],[ATUAL]])</f>
        <v>0</v>
      </c>
      <c r="W133" s="119" t="n">
        <f aca="false">SUMIFS(tabela_registros[VALOR],tabela_registros[MÊS],$AE$1,tabela_registros[DIA],investirrendavariávelconsolidadodez[[#Headers],[19]],tabela_registros[REGISTRO],DADOS!$N$5,tabela_registros[TIPO],DADOS!$AB$4,tabela_registros[CATEGORIA],investirrendavariávelconsolidadodez[[#This Row],[ATUAL]])</f>
        <v>0</v>
      </c>
      <c r="X133" s="119" t="n">
        <f aca="false">SUMIFS(tabela_registros[VALOR],tabela_registros[MÊS],$AE$1,tabela_registros[DIA],investirrendavariávelconsolidadodez[[#Headers],[20]],tabela_registros[REGISTRO],DADOS!$N$5,tabela_registros[TIPO],DADOS!$AB$4,tabela_registros[CATEGORIA],investirrendavariávelconsolidadodez[[#This Row],[ATUAL]])</f>
        <v>0</v>
      </c>
      <c r="Y133" s="119" t="n">
        <f aca="false">SUMIFS(tabela_registros[VALOR],tabela_registros[MÊS],$AE$1,tabela_registros[DIA],investirrendavariávelconsolidadodez[[#Headers],[21]],tabela_registros[REGISTRO],DADOS!$N$5,tabela_registros[TIPO],DADOS!$AB$4,tabela_registros[CATEGORIA],investirrendavariávelconsolidadodez[[#This Row],[ATUAL]])</f>
        <v>0</v>
      </c>
      <c r="Z133" s="119" t="n">
        <f aca="false">SUMIFS(tabela_registros[VALOR],tabela_registros[MÊS],$AE$1,tabela_registros[DIA],investirrendavariávelconsolidadodez[[#Headers],[22]],tabela_registros[REGISTRO],DADOS!$N$5,tabela_registros[TIPO],DADOS!$AB$4,tabela_registros[CATEGORIA],investirrendavariávelconsolidadodez[[#This Row],[ATUAL]])</f>
        <v>0</v>
      </c>
      <c r="AA133" s="119" t="n">
        <f aca="false">SUMIFS(tabela_registros[VALOR],tabela_registros[MÊS],$AE$1,tabela_registros[DIA],investirrendavariávelconsolidadodez[[#Headers],[23]],tabela_registros[REGISTRO],DADOS!$N$5,tabela_registros[TIPO],DADOS!$AB$4,tabela_registros[CATEGORIA],investirrendavariávelconsolidadodez[[#This Row],[ATUAL]])</f>
        <v>0</v>
      </c>
      <c r="AB133" s="119" t="n">
        <f aca="false">SUMIFS(tabela_registros[VALOR],tabela_registros[MÊS],$AE$1,tabela_registros[DIA],investirrendavariávelconsolidadodez[[#Headers],[24]],tabela_registros[REGISTRO],DADOS!$N$5,tabela_registros[TIPO],DADOS!$AB$4,tabela_registros[CATEGORIA],investirrendavariávelconsolidadodez[[#This Row],[ATUAL]])</f>
        <v>0</v>
      </c>
      <c r="AC133" s="119" t="n">
        <f aca="false">SUMIFS(tabela_registros[VALOR],tabela_registros[MÊS],$AE$1,tabela_registros[DIA],investirrendavariávelconsolidadodez[[#Headers],[25]],tabela_registros[REGISTRO],DADOS!$N$5,tabela_registros[TIPO],DADOS!$AB$4,tabela_registros[CATEGORIA],investirrendavariávelconsolidadodez[[#This Row],[ATUAL]])</f>
        <v>0</v>
      </c>
      <c r="AD133" s="119" t="n">
        <f aca="false">SUMIFS(tabela_registros[VALOR],tabela_registros[MÊS],$AE$1,tabela_registros[DIA],investirrendavariávelconsolidadodez[[#Headers],[26]],tabela_registros[REGISTRO],DADOS!$N$5,tabela_registros[TIPO],DADOS!$AB$4,tabela_registros[CATEGORIA],investirrendavariávelconsolidadodez[[#This Row],[ATUAL]])</f>
        <v>0</v>
      </c>
      <c r="AE133" s="119" t="n">
        <f aca="false">SUMIFS(tabela_registros[VALOR],tabela_registros[MÊS],$AE$1,tabela_registros[DIA],investirrendavariávelconsolidadodez[[#Headers],[27]],tabela_registros[REGISTRO],DADOS!$N$5,tabela_registros[TIPO],DADOS!$AB$4,tabela_registros[CATEGORIA],investirrendavariávelconsolidadodez[[#This Row],[ATUAL]])</f>
        <v>0</v>
      </c>
      <c r="AF133" s="119" t="n">
        <f aca="false">SUMIFS(tabela_registros[VALOR],tabela_registros[MÊS],$AE$1,tabela_registros[DIA],investirrendavariávelconsolidadodez[[#Headers],[28]],tabela_registros[REGISTRO],DADOS!$N$5,tabela_registros[TIPO],DADOS!$AB$4,tabela_registros[CATEGORIA],investirrendavariávelconsolidadodez[[#This Row],[ATUAL]])</f>
        <v>0</v>
      </c>
      <c r="AG133" s="119" t="n">
        <f aca="false">SUMIFS(tabela_registros[VALOR],tabela_registros[MÊS],$AE$1,tabela_registros[DIA],investirrendavariávelconsolidadodez[[#Headers],[29]],tabela_registros[REGISTRO],DADOS!$N$5,tabela_registros[TIPO],DADOS!$AB$4,tabela_registros[CATEGORIA],investirrendavariávelconsolidadodez[[#This Row],[ATUAL]])</f>
        <v>0</v>
      </c>
      <c r="AH133" s="119" t="n">
        <f aca="false">SUMIFS(tabela_registros[VALOR],tabela_registros[MÊS],$AE$1,tabela_registros[DIA],investirrendavariávelconsolidadodez[[#Headers],[30]],tabela_registros[REGISTRO],DADOS!$N$5,tabela_registros[TIPO],DADOS!$AB$4,tabela_registros[CATEGORIA],investirrendavariávelconsolidadodez[[#This Row],[ATUAL]])</f>
        <v>0</v>
      </c>
      <c r="AI133" s="217" t="n">
        <f aca="false">SUMIFS(tabela_registros[VALOR],tabela_registros[MÊS],$AE$1,tabela_registros[DIA],investirrendavariávelconsolidadodez[[#Headers],[31]],tabela_registros[REGISTRO],DADOS!$N$5,tabela_registros[TIPO],DADOS!$AB$4,tabela_registros[CATEGORIA],investirrendavariávelconsolidadodez[[#This Row],[ATUAL]])</f>
        <v>0</v>
      </c>
      <c r="AJ133" s="149" t="n">
        <f aca="false">SUM(investirrendavariávelconsolidadodez[[#This Row],[1]:[31]])</f>
        <v>0</v>
      </c>
      <c r="AK133" s="165"/>
    </row>
    <row r="134" customFormat="false" ht="19.5" hidden="false" customHeight="true" outlineLevel="0" collapsed="false">
      <c r="B134" s="143"/>
      <c r="C134" s="144" t="str">
        <f aca="false">DADOS!$AF$5</f>
        <v>📝 CONTRATO DE FUTUROS</v>
      </c>
      <c r="D134" s="145" t="str">
        <f aca="false">IF(investirrendavariávelconsolidadodez[[#This Row],[TOTAL (R$)]]=0,"",IF(OR(investirrendavariávelconsolidadodez[[#This Row],[TOTAL (R$)]]=LARGE($AJ$132:$AJ$141,1),investirrendavariávelconsolidadodez[[#This Row],[TOTAL (R$)]]=LARGE($AJ$132:$AJ$141,2)),DADOS!$I$10,""))</f>
        <v/>
      </c>
      <c r="E134" s="148" t="n">
        <f aca="false">SUMIFS(tabela_registros[VALOR],tabela_registros[MÊS],$AE$1,tabela_registros[DIA],investirrendavariávelconsolidadodez[[#Headers],[1]],tabela_registros[REGISTRO],DADOS!$N$5,tabela_registros[TIPO],DADOS!$AB$4,tabela_registros[CATEGORIA],investirrendavariávelconsolidadodez[[#This Row],[ATUAL]])</f>
        <v>0</v>
      </c>
      <c r="F134" s="119" t="n">
        <f aca="false">SUMIFS(tabela_registros[VALOR],tabela_registros[MÊS],$AE$1,tabela_registros[DIA],investirrendavariávelconsolidadodez[[#Headers],[2]],tabela_registros[REGISTRO],DADOS!$N$5,tabela_registros[TIPO],DADOS!$AB$4,tabela_registros[CATEGORIA],investirrendavariávelconsolidadodez[[#This Row],[ATUAL]])</f>
        <v>0</v>
      </c>
      <c r="G134" s="119" t="n">
        <f aca="false">SUMIFS(tabela_registros[VALOR],tabela_registros[MÊS],$AE$1,tabela_registros[DIA],investirrendavariávelconsolidadodez[[#Headers],[3]],tabela_registros[REGISTRO],DADOS!$N$5,tabela_registros[TIPO],DADOS!$AB$4,tabela_registros[CATEGORIA],investirrendavariávelconsolidadodez[[#This Row],[ATUAL]])</f>
        <v>0</v>
      </c>
      <c r="H134" s="119" t="n">
        <f aca="false">SUMIFS(tabela_registros[VALOR],tabela_registros[MÊS],$AE$1,tabela_registros[DIA],investirrendavariávelconsolidadodez[[#Headers],[4]],tabela_registros[REGISTRO],DADOS!$N$5,tabela_registros[TIPO],DADOS!$AB$4,tabela_registros[CATEGORIA],investirrendavariávelconsolidadodez[[#This Row],[ATUAL]])</f>
        <v>0</v>
      </c>
      <c r="I134" s="119" t="n">
        <f aca="false">SUMIFS(tabela_registros[VALOR],tabela_registros[MÊS],$AE$1,tabela_registros[DIA],investirrendavariávelconsolidadodez[[#Headers],[5]],tabela_registros[REGISTRO],DADOS!$N$5,tabela_registros[TIPO],DADOS!$AB$4,tabela_registros[CATEGORIA],investirrendavariávelconsolidadodez[[#This Row],[ATUAL]])</f>
        <v>0</v>
      </c>
      <c r="J134" s="119" t="n">
        <f aca="false">SUMIFS(tabela_registros[VALOR],tabela_registros[MÊS],$AE$1,tabela_registros[DIA],investirrendavariávelconsolidadodez[[#Headers],[6]],tabela_registros[REGISTRO],DADOS!$N$5,tabela_registros[TIPO],DADOS!$AB$4,tabela_registros[CATEGORIA],investirrendavariávelconsolidadodez[[#This Row],[ATUAL]])</f>
        <v>0</v>
      </c>
      <c r="K134" s="119" t="n">
        <f aca="false">SUMIFS(tabela_registros[VALOR],tabela_registros[MÊS],$AE$1,tabela_registros[DIA],investirrendavariávelconsolidadodez[[#Headers],[7]],tabela_registros[REGISTRO],DADOS!$N$5,tabela_registros[TIPO],DADOS!$AB$4,tabela_registros[CATEGORIA],investirrendavariávelconsolidadodez[[#This Row],[ATUAL]])</f>
        <v>0</v>
      </c>
      <c r="L134" s="119" t="n">
        <f aca="false">SUMIFS(tabela_registros[VALOR],tabela_registros[MÊS],$AE$1,tabela_registros[DIA],investirrendavariávelconsolidadodez[[#Headers],[8]],tabela_registros[REGISTRO],DADOS!$N$5,tabela_registros[TIPO],DADOS!$AB$4,tabela_registros[CATEGORIA],investirrendavariávelconsolidadodez[[#This Row],[ATUAL]])</f>
        <v>0</v>
      </c>
      <c r="M134" s="119" t="n">
        <f aca="false">SUMIFS(tabela_registros[VALOR],tabela_registros[MÊS],$AE$1,tabela_registros[DIA],investirrendavariávelconsolidadodez[[#Headers],[9]],tabela_registros[REGISTRO],DADOS!$N$5,tabela_registros[TIPO],DADOS!$AB$4,tabela_registros[CATEGORIA],investirrendavariávelconsolidadodez[[#This Row],[ATUAL]])</f>
        <v>0</v>
      </c>
      <c r="N134" s="119" t="n">
        <f aca="false">SUMIFS(tabela_registros[VALOR],tabela_registros[MÊS],$AE$1,tabela_registros[DIA],investirrendavariávelconsolidadodez[[#Headers],[10]],tabela_registros[REGISTRO],DADOS!$N$5,tabela_registros[TIPO],DADOS!$AB$4,tabela_registros[CATEGORIA],investirrendavariávelconsolidadodez[[#This Row],[ATUAL]])</f>
        <v>0</v>
      </c>
      <c r="O134" s="119" t="n">
        <f aca="false">SUMIFS(tabela_registros[VALOR],tabela_registros[MÊS],$AE$1,tabela_registros[DIA],investirrendavariávelconsolidadodez[[#Headers],[11]],tabela_registros[REGISTRO],DADOS!$N$5,tabela_registros[TIPO],DADOS!$AB$4,tabela_registros[CATEGORIA],investirrendavariávelconsolidadodez[[#This Row],[ATUAL]])</f>
        <v>0</v>
      </c>
      <c r="P134" s="119" t="n">
        <f aca="false">SUMIFS(tabela_registros[VALOR],tabela_registros[MÊS],$AE$1,tabela_registros[DIA],investirrendavariávelconsolidadodez[[#Headers],[12]],tabela_registros[REGISTRO],DADOS!$N$5,tabela_registros[TIPO],DADOS!$AB$4,tabela_registros[CATEGORIA],investirrendavariávelconsolidadodez[[#This Row],[ATUAL]])</f>
        <v>0</v>
      </c>
      <c r="Q134" s="119" t="n">
        <f aca="false">SUMIFS(tabela_registros[VALOR],tabela_registros[MÊS],$AE$1,tabela_registros[DIA],investirrendavariávelconsolidadodez[[#Headers],[13]],tabela_registros[REGISTRO],DADOS!$N$5,tabela_registros[TIPO],DADOS!$AB$4,tabela_registros[CATEGORIA],investirrendavariávelconsolidadodez[[#This Row],[ATUAL]])</f>
        <v>0</v>
      </c>
      <c r="R134" s="119" t="n">
        <f aca="false">SUMIFS(tabela_registros[VALOR],tabela_registros[MÊS],$AE$1,tabela_registros[DIA],investirrendavariávelconsolidadodez[[#Headers],[14]],tabela_registros[REGISTRO],DADOS!$N$5,tabela_registros[TIPO],DADOS!$AB$4,tabela_registros[CATEGORIA],investirrendavariávelconsolidadodez[[#This Row],[ATUAL]])</f>
        <v>0</v>
      </c>
      <c r="S134" s="119" t="n">
        <f aca="false">SUMIFS(tabela_registros[VALOR],tabela_registros[MÊS],$AE$1,tabela_registros[DIA],investirrendavariávelconsolidadodez[[#Headers],[15]],tabela_registros[REGISTRO],DADOS!$N$5,tabela_registros[TIPO],DADOS!$AB$4,tabela_registros[CATEGORIA],investirrendavariávelconsolidadodez[[#This Row],[ATUAL]])</f>
        <v>0</v>
      </c>
      <c r="T134" s="119" t="n">
        <f aca="false">SUMIFS(tabela_registros[VALOR],tabela_registros[MÊS],$AE$1,tabela_registros[DIA],investirrendavariávelconsolidadodez[[#Headers],[16]],tabela_registros[REGISTRO],DADOS!$N$5,tabela_registros[TIPO],DADOS!$AB$4,tabela_registros[CATEGORIA],investirrendavariávelconsolidadodez[[#This Row],[ATUAL]])</f>
        <v>0</v>
      </c>
      <c r="U134" s="119" t="n">
        <f aca="false">SUMIFS(tabela_registros[VALOR],tabela_registros[MÊS],$AE$1,tabela_registros[DIA],investirrendavariávelconsolidadodez[[#Headers],[17]],tabela_registros[REGISTRO],DADOS!$N$5,tabela_registros[TIPO],DADOS!$AB$4,tabela_registros[CATEGORIA],investirrendavariávelconsolidadodez[[#This Row],[ATUAL]])</f>
        <v>0</v>
      </c>
      <c r="V134" s="119" t="n">
        <f aca="false">SUMIFS(tabela_registros[VALOR],tabela_registros[MÊS],$AE$1,tabela_registros[DIA],investirrendavariávelconsolidadodez[[#Headers],[18]],tabela_registros[REGISTRO],DADOS!$N$5,tabela_registros[TIPO],DADOS!$AB$4,tabela_registros[CATEGORIA],investirrendavariávelconsolidadodez[[#This Row],[ATUAL]])</f>
        <v>0</v>
      </c>
      <c r="W134" s="119" t="n">
        <f aca="false">SUMIFS(tabela_registros[VALOR],tabela_registros[MÊS],$AE$1,tabela_registros[DIA],investirrendavariávelconsolidadodez[[#Headers],[19]],tabela_registros[REGISTRO],DADOS!$N$5,tabela_registros[TIPO],DADOS!$AB$4,tabela_registros[CATEGORIA],investirrendavariávelconsolidadodez[[#This Row],[ATUAL]])</f>
        <v>0</v>
      </c>
      <c r="X134" s="119" t="n">
        <f aca="false">SUMIFS(tabela_registros[VALOR],tabela_registros[MÊS],$AE$1,tabela_registros[DIA],investirrendavariávelconsolidadodez[[#Headers],[20]],tabela_registros[REGISTRO],DADOS!$N$5,tabela_registros[TIPO],DADOS!$AB$4,tabela_registros[CATEGORIA],investirrendavariávelconsolidadodez[[#This Row],[ATUAL]])</f>
        <v>0</v>
      </c>
      <c r="Y134" s="119" t="n">
        <f aca="false">SUMIFS(tabela_registros[VALOR],tabela_registros[MÊS],$AE$1,tabela_registros[DIA],investirrendavariávelconsolidadodez[[#Headers],[21]],tabela_registros[REGISTRO],DADOS!$N$5,tabela_registros[TIPO],DADOS!$AB$4,tabela_registros[CATEGORIA],investirrendavariávelconsolidadodez[[#This Row],[ATUAL]])</f>
        <v>0</v>
      </c>
      <c r="Z134" s="119" t="n">
        <f aca="false">SUMIFS(tabela_registros[VALOR],tabela_registros[MÊS],$AE$1,tabela_registros[DIA],investirrendavariávelconsolidadodez[[#Headers],[22]],tabela_registros[REGISTRO],DADOS!$N$5,tabela_registros[TIPO],DADOS!$AB$4,tabela_registros[CATEGORIA],investirrendavariávelconsolidadodez[[#This Row],[ATUAL]])</f>
        <v>0</v>
      </c>
      <c r="AA134" s="119" t="n">
        <f aca="false">SUMIFS(tabela_registros[VALOR],tabela_registros[MÊS],$AE$1,tabela_registros[DIA],investirrendavariávelconsolidadodez[[#Headers],[23]],tabela_registros[REGISTRO],DADOS!$N$5,tabela_registros[TIPO],DADOS!$AB$4,tabela_registros[CATEGORIA],investirrendavariávelconsolidadodez[[#This Row],[ATUAL]])</f>
        <v>0</v>
      </c>
      <c r="AB134" s="119" t="n">
        <f aca="false">SUMIFS(tabela_registros[VALOR],tabela_registros[MÊS],$AE$1,tabela_registros[DIA],investirrendavariávelconsolidadodez[[#Headers],[24]],tabela_registros[REGISTRO],DADOS!$N$5,tabela_registros[TIPO],DADOS!$AB$4,tabela_registros[CATEGORIA],investirrendavariávelconsolidadodez[[#This Row],[ATUAL]])</f>
        <v>0</v>
      </c>
      <c r="AC134" s="119" t="n">
        <f aca="false">SUMIFS(tabela_registros[VALOR],tabela_registros[MÊS],$AE$1,tabela_registros[DIA],investirrendavariávelconsolidadodez[[#Headers],[25]],tabela_registros[REGISTRO],DADOS!$N$5,tabela_registros[TIPO],DADOS!$AB$4,tabela_registros[CATEGORIA],investirrendavariávelconsolidadodez[[#This Row],[ATUAL]])</f>
        <v>0</v>
      </c>
      <c r="AD134" s="119" t="n">
        <f aca="false">SUMIFS(tabela_registros[VALOR],tabela_registros[MÊS],$AE$1,tabela_registros[DIA],investirrendavariávelconsolidadodez[[#Headers],[26]],tabela_registros[REGISTRO],DADOS!$N$5,tabela_registros[TIPO],DADOS!$AB$4,tabela_registros[CATEGORIA],investirrendavariávelconsolidadodez[[#This Row],[ATUAL]])</f>
        <v>0</v>
      </c>
      <c r="AE134" s="119" t="n">
        <f aca="false">SUMIFS(tabela_registros[VALOR],tabela_registros[MÊS],$AE$1,tabela_registros[DIA],investirrendavariávelconsolidadodez[[#Headers],[27]],tabela_registros[REGISTRO],DADOS!$N$5,tabela_registros[TIPO],DADOS!$AB$4,tabela_registros[CATEGORIA],investirrendavariávelconsolidadodez[[#This Row],[ATUAL]])</f>
        <v>0</v>
      </c>
      <c r="AF134" s="119" t="n">
        <f aca="false">SUMIFS(tabela_registros[VALOR],tabela_registros[MÊS],$AE$1,tabela_registros[DIA],investirrendavariávelconsolidadodez[[#Headers],[28]],tabela_registros[REGISTRO],DADOS!$N$5,tabela_registros[TIPO],DADOS!$AB$4,tabela_registros[CATEGORIA],investirrendavariávelconsolidadodez[[#This Row],[ATUAL]])</f>
        <v>0</v>
      </c>
      <c r="AG134" s="119" t="n">
        <f aca="false">SUMIFS(tabela_registros[VALOR],tabela_registros[MÊS],$AE$1,tabela_registros[DIA],investirrendavariávelconsolidadodez[[#Headers],[29]],tabela_registros[REGISTRO],DADOS!$N$5,tabela_registros[TIPO],DADOS!$AB$4,tabela_registros[CATEGORIA],investirrendavariávelconsolidadodez[[#This Row],[ATUAL]])</f>
        <v>0</v>
      </c>
      <c r="AH134" s="119" t="n">
        <f aca="false">SUMIFS(tabela_registros[VALOR],tabela_registros[MÊS],$AE$1,tabela_registros[DIA],investirrendavariávelconsolidadodez[[#Headers],[30]],tabela_registros[REGISTRO],DADOS!$N$5,tabela_registros[TIPO],DADOS!$AB$4,tabela_registros[CATEGORIA],investirrendavariávelconsolidadodez[[#This Row],[ATUAL]])</f>
        <v>0</v>
      </c>
      <c r="AI134" s="217" t="n">
        <f aca="false">SUMIFS(tabela_registros[VALOR],tabela_registros[MÊS],$AE$1,tabela_registros[DIA],investirrendavariávelconsolidadodez[[#Headers],[31]],tabela_registros[REGISTRO],DADOS!$N$5,tabela_registros[TIPO],DADOS!$AB$4,tabela_registros[CATEGORIA],investirrendavariávelconsolidadodez[[#This Row],[ATUAL]])</f>
        <v>0</v>
      </c>
      <c r="AJ134" s="149" t="n">
        <f aca="false">SUM(investirrendavariávelconsolidadodez[[#This Row],[1]:[31]])</f>
        <v>0</v>
      </c>
      <c r="AK134" s="165"/>
    </row>
    <row r="135" customFormat="false" ht="19.5" hidden="false" customHeight="true" outlineLevel="0" collapsed="false">
      <c r="B135" s="143"/>
      <c r="C135" s="144" t="str">
        <f aca="false">DADOS!$AF$6</f>
        <v>📝 CONTRATO DE OPÇÕES</v>
      </c>
      <c r="D135" s="145" t="str">
        <f aca="false">IF(investirrendavariávelconsolidadodez[[#This Row],[TOTAL (R$)]]=0,"",IF(OR(investirrendavariávelconsolidadodez[[#This Row],[TOTAL (R$)]]=LARGE($AJ$132:$AJ$141,1),investirrendavariávelconsolidadodez[[#This Row],[TOTAL (R$)]]=LARGE($AJ$132:$AJ$141,2)),DADOS!$I$10,""))</f>
        <v/>
      </c>
      <c r="E135" s="148" t="n">
        <f aca="false">SUMIFS(tabela_registros[VALOR],tabela_registros[MÊS],$AE$1,tabela_registros[DIA],investirrendavariávelconsolidadodez[[#Headers],[1]],tabela_registros[REGISTRO],DADOS!$N$5,tabela_registros[TIPO],DADOS!$AB$4,tabela_registros[CATEGORIA],investirrendavariávelconsolidadodez[[#This Row],[ATUAL]])</f>
        <v>0</v>
      </c>
      <c r="F135" s="119" t="n">
        <f aca="false">SUMIFS(tabela_registros[VALOR],tabela_registros[MÊS],$AE$1,tabela_registros[DIA],investirrendavariávelconsolidadodez[[#Headers],[2]],tabela_registros[REGISTRO],DADOS!$N$5,tabela_registros[TIPO],DADOS!$AB$4,tabela_registros[CATEGORIA],investirrendavariávelconsolidadodez[[#This Row],[ATUAL]])</f>
        <v>0</v>
      </c>
      <c r="G135" s="119" t="n">
        <f aca="false">SUMIFS(tabela_registros[VALOR],tabela_registros[MÊS],$AE$1,tabela_registros[DIA],investirrendavariávelconsolidadodez[[#Headers],[3]],tabela_registros[REGISTRO],DADOS!$N$5,tabela_registros[TIPO],DADOS!$AB$4,tabela_registros[CATEGORIA],investirrendavariávelconsolidadodez[[#This Row],[ATUAL]])</f>
        <v>0</v>
      </c>
      <c r="H135" s="119" t="n">
        <f aca="false">SUMIFS(tabela_registros[VALOR],tabela_registros[MÊS],$AE$1,tabela_registros[DIA],investirrendavariávelconsolidadodez[[#Headers],[4]],tabela_registros[REGISTRO],DADOS!$N$5,tabela_registros[TIPO],DADOS!$AB$4,tabela_registros[CATEGORIA],investirrendavariávelconsolidadodez[[#This Row],[ATUAL]])</f>
        <v>0</v>
      </c>
      <c r="I135" s="119" t="n">
        <f aca="false">SUMIFS(tabela_registros[VALOR],tabela_registros[MÊS],$AE$1,tabela_registros[DIA],investirrendavariávelconsolidadodez[[#Headers],[5]],tabela_registros[REGISTRO],DADOS!$N$5,tabela_registros[TIPO],DADOS!$AB$4,tabela_registros[CATEGORIA],investirrendavariávelconsolidadodez[[#This Row],[ATUAL]])</f>
        <v>0</v>
      </c>
      <c r="J135" s="119" t="n">
        <f aca="false">SUMIFS(tabela_registros[VALOR],tabela_registros[MÊS],$AE$1,tabela_registros[DIA],investirrendavariávelconsolidadodez[[#Headers],[6]],tabela_registros[REGISTRO],DADOS!$N$5,tabela_registros[TIPO],DADOS!$AB$4,tabela_registros[CATEGORIA],investirrendavariávelconsolidadodez[[#This Row],[ATUAL]])</f>
        <v>0</v>
      </c>
      <c r="K135" s="119" t="n">
        <f aca="false">SUMIFS(tabela_registros[VALOR],tabela_registros[MÊS],$AE$1,tabela_registros[DIA],investirrendavariávelconsolidadodez[[#Headers],[7]],tabela_registros[REGISTRO],DADOS!$N$5,tabela_registros[TIPO],DADOS!$AB$4,tabela_registros[CATEGORIA],investirrendavariávelconsolidadodez[[#This Row],[ATUAL]])</f>
        <v>0</v>
      </c>
      <c r="L135" s="119" t="n">
        <f aca="false">SUMIFS(tabela_registros[VALOR],tabela_registros[MÊS],$AE$1,tabela_registros[DIA],investirrendavariávelconsolidadodez[[#Headers],[8]],tabela_registros[REGISTRO],DADOS!$N$5,tabela_registros[TIPO],DADOS!$AB$4,tabela_registros[CATEGORIA],investirrendavariávelconsolidadodez[[#This Row],[ATUAL]])</f>
        <v>0</v>
      </c>
      <c r="M135" s="119" t="n">
        <f aca="false">SUMIFS(tabela_registros[VALOR],tabela_registros[MÊS],$AE$1,tabela_registros[DIA],investirrendavariávelconsolidadodez[[#Headers],[9]],tabela_registros[REGISTRO],DADOS!$N$5,tabela_registros[TIPO],DADOS!$AB$4,tabela_registros[CATEGORIA],investirrendavariávelconsolidadodez[[#This Row],[ATUAL]])</f>
        <v>0</v>
      </c>
      <c r="N135" s="119" t="n">
        <f aca="false">SUMIFS(tabela_registros[VALOR],tabela_registros[MÊS],$AE$1,tabela_registros[DIA],investirrendavariávelconsolidadodez[[#Headers],[10]],tabela_registros[REGISTRO],DADOS!$N$5,tabela_registros[TIPO],DADOS!$AB$4,tabela_registros[CATEGORIA],investirrendavariávelconsolidadodez[[#This Row],[ATUAL]])</f>
        <v>0</v>
      </c>
      <c r="O135" s="119" t="n">
        <f aca="false">SUMIFS(tabela_registros[VALOR],tabela_registros[MÊS],$AE$1,tabela_registros[DIA],investirrendavariávelconsolidadodez[[#Headers],[11]],tabela_registros[REGISTRO],DADOS!$N$5,tabela_registros[TIPO],DADOS!$AB$4,tabela_registros[CATEGORIA],investirrendavariávelconsolidadodez[[#This Row],[ATUAL]])</f>
        <v>0</v>
      </c>
      <c r="P135" s="119" t="n">
        <f aca="false">SUMIFS(tabela_registros[VALOR],tabela_registros[MÊS],$AE$1,tabela_registros[DIA],investirrendavariávelconsolidadodez[[#Headers],[12]],tabela_registros[REGISTRO],DADOS!$N$5,tabela_registros[TIPO],DADOS!$AB$4,tabela_registros[CATEGORIA],investirrendavariávelconsolidadodez[[#This Row],[ATUAL]])</f>
        <v>0</v>
      </c>
      <c r="Q135" s="119" t="n">
        <f aca="false">SUMIFS(tabela_registros[VALOR],tabela_registros[MÊS],$AE$1,tabela_registros[DIA],investirrendavariávelconsolidadodez[[#Headers],[13]],tabela_registros[REGISTRO],DADOS!$N$5,tabela_registros[TIPO],DADOS!$AB$4,tabela_registros[CATEGORIA],investirrendavariávelconsolidadodez[[#This Row],[ATUAL]])</f>
        <v>0</v>
      </c>
      <c r="R135" s="119" t="n">
        <f aca="false">SUMIFS(tabela_registros[VALOR],tabela_registros[MÊS],$AE$1,tabela_registros[DIA],investirrendavariávelconsolidadodez[[#Headers],[14]],tabela_registros[REGISTRO],DADOS!$N$5,tabela_registros[TIPO],DADOS!$AB$4,tabela_registros[CATEGORIA],investirrendavariávelconsolidadodez[[#This Row],[ATUAL]])</f>
        <v>0</v>
      </c>
      <c r="S135" s="119" t="n">
        <f aca="false">SUMIFS(tabela_registros[VALOR],tabela_registros[MÊS],$AE$1,tabela_registros[DIA],investirrendavariávelconsolidadodez[[#Headers],[15]],tabela_registros[REGISTRO],DADOS!$N$5,tabela_registros[TIPO],DADOS!$AB$4,tabela_registros[CATEGORIA],investirrendavariávelconsolidadodez[[#This Row],[ATUAL]])</f>
        <v>0</v>
      </c>
      <c r="T135" s="119" t="n">
        <f aca="false">SUMIFS(tabela_registros[VALOR],tabela_registros[MÊS],$AE$1,tabela_registros[DIA],investirrendavariávelconsolidadodez[[#Headers],[16]],tabela_registros[REGISTRO],DADOS!$N$5,tabela_registros[TIPO],DADOS!$AB$4,tabela_registros[CATEGORIA],investirrendavariávelconsolidadodez[[#This Row],[ATUAL]])</f>
        <v>0</v>
      </c>
      <c r="U135" s="119" t="n">
        <f aca="false">SUMIFS(tabela_registros[VALOR],tabela_registros[MÊS],$AE$1,tabela_registros[DIA],investirrendavariávelconsolidadodez[[#Headers],[17]],tabela_registros[REGISTRO],DADOS!$N$5,tabela_registros[TIPO],DADOS!$AB$4,tabela_registros[CATEGORIA],investirrendavariávelconsolidadodez[[#This Row],[ATUAL]])</f>
        <v>0</v>
      </c>
      <c r="V135" s="119" t="n">
        <f aca="false">SUMIFS(tabela_registros[VALOR],tabela_registros[MÊS],$AE$1,tabela_registros[DIA],investirrendavariávelconsolidadodez[[#Headers],[18]],tabela_registros[REGISTRO],DADOS!$N$5,tabela_registros[TIPO],DADOS!$AB$4,tabela_registros[CATEGORIA],investirrendavariávelconsolidadodez[[#This Row],[ATUAL]])</f>
        <v>0</v>
      </c>
      <c r="W135" s="119" t="n">
        <f aca="false">SUMIFS(tabela_registros[VALOR],tabela_registros[MÊS],$AE$1,tabela_registros[DIA],investirrendavariávelconsolidadodez[[#Headers],[19]],tabela_registros[REGISTRO],DADOS!$N$5,tabela_registros[TIPO],DADOS!$AB$4,tabela_registros[CATEGORIA],investirrendavariávelconsolidadodez[[#This Row],[ATUAL]])</f>
        <v>0</v>
      </c>
      <c r="X135" s="119" t="n">
        <f aca="false">SUMIFS(tabela_registros[VALOR],tabela_registros[MÊS],$AE$1,tabela_registros[DIA],investirrendavariávelconsolidadodez[[#Headers],[20]],tabela_registros[REGISTRO],DADOS!$N$5,tabela_registros[TIPO],DADOS!$AB$4,tabela_registros[CATEGORIA],investirrendavariávelconsolidadodez[[#This Row],[ATUAL]])</f>
        <v>0</v>
      </c>
      <c r="Y135" s="119" t="n">
        <f aca="false">SUMIFS(tabela_registros[VALOR],tabela_registros[MÊS],$AE$1,tabela_registros[DIA],investirrendavariávelconsolidadodez[[#Headers],[21]],tabela_registros[REGISTRO],DADOS!$N$5,tabela_registros[TIPO],DADOS!$AB$4,tabela_registros[CATEGORIA],investirrendavariávelconsolidadodez[[#This Row],[ATUAL]])</f>
        <v>0</v>
      </c>
      <c r="Z135" s="119" t="n">
        <f aca="false">SUMIFS(tabela_registros[VALOR],tabela_registros[MÊS],$AE$1,tabela_registros[DIA],investirrendavariávelconsolidadodez[[#Headers],[22]],tabela_registros[REGISTRO],DADOS!$N$5,tabela_registros[TIPO],DADOS!$AB$4,tabela_registros[CATEGORIA],investirrendavariávelconsolidadodez[[#This Row],[ATUAL]])</f>
        <v>0</v>
      </c>
      <c r="AA135" s="119" t="n">
        <f aca="false">SUMIFS(tabela_registros[VALOR],tabela_registros[MÊS],$AE$1,tabela_registros[DIA],investirrendavariávelconsolidadodez[[#Headers],[23]],tabela_registros[REGISTRO],DADOS!$N$5,tabela_registros[TIPO],DADOS!$AB$4,tabela_registros[CATEGORIA],investirrendavariávelconsolidadodez[[#This Row],[ATUAL]])</f>
        <v>0</v>
      </c>
      <c r="AB135" s="119" t="n">
        <f aca="false">SUMIFS(tabela_registros[VALOR],tabela_registros[MÊS],$AE$1,tabela_registros[DIA],investirrendavariávelconsolidadodez[[#Headers],[24]],tabela_registros[REGISTRO],DADOS!$N$5,tabela_registros[TIPO],DADOS!$AB$4,tabela_registros[CATEGORIA],investirrendavariávelconsolidadodez[[#This Row],[ATUAL]])</f>
        <v>0</v>
      </c>
      <c r="AC135" s="119" t="n">
        <f aca="false">SUMIFS(tabela_registros[VALOR],tabela_registros[MÊS],$AE$1,tabela_registros[DIA],investirrendavariávelconsolidadodez[[#Headers],[25]],tabela_registros[REGISTRO],DADOS!$N$5,tabela_registros[TIPO],DADOS!$AB$4,tabela_registros[CATEGORIA],investirrendavariávelconsolidadodez[[#This Row],[ATUAL]])</f>
        <v>0</v>
      </c>
      <c r="AD135" s="119" t="n">
        <f aca="false">SUMIFS(tabela_registros[VALOR],tabela_registros[MÊS],$AE$1,tabela_registros[DIA],investirrendavariávelconsolidadodez[[#Headers],[26]],tabela_registros[REGISTRO],DADOS!$N$5,tabela_registros[TIPO],DADOS!$AB$4,tabela_registros[CATEGORIA],investirrendavariávelconsolidadodez[[#This Row],[ATUAL]])</f>
        <v>0</v>
      </c>
      <c r="AE135" s="119" t="n">
        <f aca="false">SUMIFS(tabela_registros[VALOR],tabela_registros[MÊS],$AE$1,tabela_registros[DIA],investirrendavariávelconsolidadodez[[#Headers],[27]],tabela_registros[REGISTRO],DADOS!$N$5,tabela_registros[TIPO],DADOS!$AB$4,tabela_registros[CATEGORIA],investirrendavariávelconsolidadodez[[#This Row],[ATUAL]])</f>
        <v>0</v>
      </c>
      <c r="AF135" s="119" t="n">
        <f aca="false">SUMIFS(tabela_registros[VALOR],tabela_registros[MÊS],$AE$1,tabela_registros[DIA],investirrendavariávelconsolidadodez[[#Headers],[28]],tabela_registros[REGISTRO],DADOS!$N$5,tabela_registros[TIPO],DADOS!$AB$4,tabela_registros[CATEGORIA],investirrendavariávelconsolidadodez[[#This Row],[ATUAL]])</f>
        <v>0</v>
      </c>
      <c r="AG135" s="119" t="n">
        <f aca="false">SUMIFS(tabela_registros[VALOR],tabela_registros[MÊS],$AE$1,tabela_registros[DIA],investirrendavariávelconsolidadodez[[#Headers],[29]],tabela_registros[REGISTRO],DADOS!$N$5,tabela_registros[TIPO],DADOS!$AB$4,tabela_registros[CATEGORIA],investirrendavariávelconsolidadodez[[#This Row],[ATUAL]])</f>
        <v>0</v>
      </c>
      <c r="AH135" s="119" t="n">
        <f aca="false">SUMIFS(tabela_registros[VALOR],tabela_registros[MÊS],$AE$1,tabela_registros[DIA],investirrendavariávelconsolidadodez[[#Headers],[30]],tabela_registros[REGISTRO],DADOS!$N$5,tabela_registros[TIPO],DADOS!$AB$4,tabela_registros[CATEGORIA],investirrendavariávelconsolidadodez[[#This Row],[ATUAL]])</f>
        <v>0</v>
      </c>
      <c r="AI135" s="217" t="n">
        <f aca="false">SUMIFS(tabela_registros[VALOR],tabela_registros[MÊS],$AE$1,tabela_registros[DIA],investirrendavariávelconsolidadodez[[#Headers],[31]],tabela_registros[REGISTRO],DADOS!$N$5,tabela_registros[TIPO],DADOS!$AB$4,tabela_registros[CATEGORIA],investirrendavariávelconsolidadodez[[#This Row],[ATUAL]])</f>
        <v>0</v>
      </c>
      <c r="AJ135" s="149" t="n">
        <f aca="false">SUM(investirrendavariávelconsolidadodez[[#This Row],[1]:[31]])</f>
        <v>0</v>
      </c>
      <c r="AK135" s="165"/>
    </row>
    <row r="136" customFormat="false" ht="19.5" hidden="false" customHeight="true" outlineLevel="0" collapsed="false">
      <c r="B136" s="143"/>
      <c r="C136" s="144" t="str">
        <f aca="false">DADOS!$AF$7</f>
        <v>📝 CRIPTOMOEDA</v>
      </c>
      <c r="D136" s="145" t="str">
        <f aca="false">IF(investirrendavariávelconsolidadodez[[#This Row],[TOTAL (R$)]]=0,"",IF(OR(investirrendavariávelconsolidadodez[[#This Row],[TOTAL (R$)]]=LARGE($AJ$132:$AJ$141,1),investirrendavariávelconsolidadodez[[#This Row],[TOTAL (R$)]]=LARGE($AJ$132:$AJ$141,2)),DADOS!$I$10,""))</f>
        <v/>
      </c>
      <c r="E136" s="148" t="n">
        <f aca="false">SUMIFS(tabela_registros[VALOR],tabela_registros[MÊS],$AE$1,tabela_registros[DIA],investirrendavariávelconsolidadodez[[#Headers],[1]],tabela_registros[REGISTRO],DADOS!$N$5,tabela_registros[TIPO],DADOS!$AB$4,tabela_registros[CATEGORIA],investirrendavariávelconsolidadodez[[#This Row],[ATUAL]])</f>
        <v>0</v>
      </c>
      <c r="F136" s="119" t="n">
        <f aca="false">SUMIFS(tabela_registros[VALOR],tabela_registros[MÊS],$AE$1,tabela_registros[DIA],investirrendavariávelconsolidadodez[[#Headers],[2]],tabela_registros[REGISTRO],DADOS!$N$5,tabela_registros[TIPO],DADOS!$AB$4,tabela_registros[CATEGORIA],investirrendavariávelconsolidadodez[[#This Row],[ATUAL]])</f>
        <v>0</v>
      </c>
      <c r="G136" s="119" t="n">
        <f aca="false">SUMIFS(tabela_registros[VALOR],tabela_registros[MÊS],$AE$1,tabela_registros[DIA],investirrendavariávelconsolidadodez[[#Headers],[3]],tabela_registros[REGISTRO],DADOS!$N$5,tabela_registros[TIPO],DADOS!$AB$4,tabela_registros[CATEGORIA],investirrendavariávelconsolidadodez[[#This Row],[ATUAL]])</f>
        <v>0</v>
      </c>
      <c r="H136" s="119" t="n">
        <f aca="false">SUMIFS(tabela_registros[VALOR],tabela_registros[MÊS],$AE$1,tabela_registros[DIA],investirrendavariávelconsolidadodez[[#Headers],[4]],tabela_registros[REGISTRO],DADOS!$N$5,tabela_registros[TIPO],DADOS!$AB$4,tabela_registros[CATEGORIA],investirrendavariávelconsolidadodez[[#This Row],[ATUAL]])</f>
        <v>0</v>
      </c>
      <c r="I136" s="119" t="n">
        <f aca="false">SUMIFS(tabela_registros[VALOR],tabela_registros[MÊS],$AE$1,tabela_registros[DIA],investirrendavariávelconsolidadodez[[#Headers],[5]],tabela_registros[REGISTRO],DADOS!$N$5,tabela_registros[TIPO],DADOS!$AB$4,tabela_registros[CATEGORIA],investirrendavariávelconsolidadodez[[#This Row],[ATUAL]])</f>
        <v>0</v>
      </c>
      <c r="J136" s="119" t="n">
        <f aca="false">SUMIFS(tabela_registros[VALOR],tabela_registros[MÊS],$AE$1,tabela_registros[DIA],investirrendavariávelconsolidadodez[[#Headers],[6]],tabela_registros[REGISTRO],DADOS!$N$5,tabela_registros[TIPO],DADOS!$AB$4,tabela_registros[CATEGORIA],investirrendavariávelconsolidadodez[[#This Row],[ATUAL]])</f>
        <v>0</v>
      </c>
      <c r="K136" s="119" t="n">
        <f aca="false">SUMIFS(tabela_registros[VALOR],tabela_registros[MÊS],$AE$1,tabela_registros[DIA],investirrendavariávelconsolidadodez[[#Headers],[7]],tabela_registros[REGISTRO],DADOS!$N$5,tabela_registros[TIPO],DADOS!$AB$4,tabela_registros[CATEGORIA],investirrendavariávelconsolidadodez[[#This Row],[ATUAL]])</f>
        <v>0</v>
      </c>
      <c r="L136" s="119" t="n">
        <f aca="false">SUMIFS(tabela_registros[VALOR],tabela_registros[MÊS],$AE$1,tabela_registros[DIA],investirrendavariávelconsolidadodez[[#Headers],[8]],tabela_registros[REGISTRO],DADOS!$N$5,tabela_registros[TIPO],DADOS!$AB$4,tabela_registros[CATEGORIA],investirrendavariávelconsolidadodez[[#This Row],[ATUAL]])</f>
        <v>0</v>
      </c>
      <c r="M136" s="119" t="n">
        <f aca="false">SUMIFS(tabela_registros[VALOR],tabela_registros[MÊS],$AE$1,tabela_registros[DIA],investirrendavariávelconsolidadodez[[#Headers],[9]],tabela_registros[REGISTRO],DADOS!$N$5,tabela_registros[TIPO],DADOS!$AB$4,tabela_registros[CATEGORIA],investirrendavariávelconsolidadodez[[#This Row],[ATUAL]])</f>
        <v>0</v>
      </c>
      <c r="N136" s="119" t="n">
        <f aca="false">SUMIFS(tabela_registros[VALOR],tabela_registros[MÊS],$AE$1,tabela_registros[DIA],investirrendavariávelconsolidadodez[[#Headers],[10]],tabela_registros[REGISTRO],DADOS!$N$5,tabela_registros[TIPO],DADOS!$AB$4,tabela_registros[CATEGORIA],investirrendavariávelconsolidadodez[[#This Row],[ATUAL]])</f>
        <v>0</v>
      </c>
      <c r="O136" s="119" t="n">
        <f aca="false">SUMIFS(tabela_registros[VALOR],tabela_registros[MÊS],$AE$1,tabela_registros[DIA],investirrendavariávelconsolidadodez[[#Headers],[11]],tabela_registros[REGISTRO],DADOS!$N$5,tabela_registros[TIPO],DADOS!$AB$4,tabela_registros[CATEGORIA],investirrendavariávelconsolidadodez[[#This Row],[ATUAL]])</f>
        <v>0</v>
      </c>
      <c r="P136" s="119" t="n">
        <f aca="false">SUMIFS(tabela_registros[VALOR],tabela_registros[MÊS],$AE$1,tabela_registros[DIA],investirrendavariávelconsolidadodez[[#Headers],[12]],tabela_registros[REGISTRO],DADOS!$N$5,tabela_registros[TIPO],DADOS!$AB$4,tabela_registros[CATEGORIA],investirrendavariávelconsolidadodez[[#This Row],[ATUAL]])</f>
        <v>0</v>
      </c>
      <c r="Q136" s="119" t="n">
        <f aca="false">SUMIFS(tabela_registros[VALOR],tabela_registros[MÊS],$AE$1,tabela_registros[DIA],investirrendavariávelconsolidadodez[[#Headers],[13]],tabela_registros[REGISTRO],DADOS!$N$5,tabela_registros[TIPO],DADOS!$AB$4,tabela_registros[CATEGORIA],investirrendavariávelconsolidadodez[[#This Row],[ATUAL]])</f>
        <v>0</v>
      </c>
      <c r="R136" s="119" t="n">
        <f aca="false">SUMIFS(tabela_registros[VALOR],tabela_registros[MÊS],$AE$1,tabela_registros[DIA],investirrendavariávelconsolidadodez[[#Headers],[14]],tabela_registros[REGISTRO],DADOS!$N$5,tabela_registros[TIPO],DADOS!$AB$4,tabela_registros[CATEGORIA],investirrendavariávelconsolidadodez[[#This Row],[ATUAL]])</f>
        <v>0</v>
      </c>
      <c r="S136" s="119" t="n">
        <f aca="false">SUMIFS(tabela_registros[VALOR],tabela_registros[MÊS],$AE$1,tabela_registros[DIA],investirrendavariávelconsolidadodez[[#Headers],[15]],tabela_registros[REGISTRO],DADOS!$N$5,tabela_registros[TIPO],DADOS!$AB$4,tabela_registros[CATEGORIA],investirrendavariávelconsolidadodez[[#This Row],[ATUAL]])</f>
        <v>0</v>
      </c>
      <c r="T136" s="119" t="n">
        <f aca="false">SUMIFS(tabela_registros[VALOR],tabela_registros[MÊS],$AE$1,tabela_registros[DIA],investirrendavariávelconsolidadodez[[#Headers],[16]],tabela_registros[REGISTRO],DADOS!$N$5,tabela_registros[TIPO],DADOS!$AB$4,tabela_registros[CATEGORIA],investirrendavariávelconsolidadodez[[#This Row],[ATUAL]])</f>
        <v>0</v>
      </c>
      <c r="U136" s="119" t="n">
        <f aca="false">SUMIFS(tabela_registros[VALOR],tabela_registros[MÊS],$AE$1,tabela_registros[DIA],investirrendavariávelconsolidadodez[[#Headers],[17]],tabela_registros[REGISTRO],DADOS!$N$5,tabela_registros[TIPO],DADOS!$AB$4,tabela_registros[CATEGORIA],investirrendavariávelconsolidadodez[[#This Row],[ATUAL]])</f>
        <v>0</v>
      </c>
      <c r="V136" s="119" t="n">
        <f aca="false">SUMIFS(tabela_registros[VALOR],tabela_registros[MÊS],$AE$1,tabela_registros[DIA],investirrendavariávelconsolidadodez[[#Headers],[18]],tabela_registros[REGISTRO],DADOS!$N$5,tabela_registros[TIPO],DADOS!$AB$4,tabela_registros[CATEGORIA],investirrendavariávelconsolidadodez[[#This Row],[ATUAL]])</f>
        <v>0</v>
      </c>
      <c r="W136" s="119" t="n">
        <f aca="false">SUMIFS(tabela_registros[VALOR],tabela_registros[MÊS],$AE$1,tabela_registros[DIA],investirrendavariávelconsolidadodez[[#Headers],[19]],tabela_registros[REGISTRO],DADOS!$N$5,tabela_registros[TIPO],DADOS!$AB$4,tabela_registros[CATEGORIA],investirrendavariávelconsolidadodez[[#This Row],[ATUAL]])</f>
        <v>0</v>
      </c>
      <c r="X136" s="119" t="n">
        <f aca="false">SUMIFS(tabela_registros[VALOR],tabela_registros[MÊS],$AE$1,tabela_registros[DIA],investirrendavariávelconsolidadodez[[#Headers],[20]],tabela_registros[REGISTRO],DADOS!$N$5,tabela_registros[TIPO],DADOS!$AB$4,tabela_registros[CATEGORIA],investirrendavariávelconsolidadodez[[#This Row],[ATUAL]])</f>
        <v>0</v>
      </c>
      <c r="Y136" s="119" t="n">
        <f aca="false">SUMIFS(tabela_registros[VALOR],tabela_registros[MÊS],$AE$1,tabela_registros[DIA],investirrendavariávelconsolidadodez[[#Headers],[21]],tabela_registros[REGISTRO],DADOS!$N$5,tabela_registros[TIPO],DADOS!$AB$4,tabela_registros[CATEGORIA],investirrendavariávelconsolidadodez[[#This Row],[ATUAL]])</f>
        <v>0</v>
      </c>
      <c r="Z136" s="119" t="n">
        <f aca="false">SUMIFS(tabela_registros[VALOR],tabela_registros[MÊS],$AE$1,tabela_registros[DIA],investirrendavariávelconsolidadodez[[#Headers],[22]],tabela_registros[REGISTRO],DADOS!$N$5,tabela_registros[TIPO],DADOS!$AB$4,tabela_registros[CATEGORIA],investirrendavariávelconsolidadodez[[#This Row],[ATUAL]])</f>
        <v>0</v>
      </c>
      <c r="AA136" s="119" t="n">
        <f aca="false">SUMIFS(tabela_registros[VALOR],tabela_registros[MÊS],$AE$1,tabela_registros[DIA],investirrendavariávelconsolidadodez[[#Headers],[23]],tabela_registros[REGISTRO],DADOS!$N$5,tabela_registros[TIPO],DADOS!$AB$4,tabela_registros[CATEGORIA],investirrendavariávelconsolidadodez[[#This Row],[ATUAL]])</f>
        <v>0</v>
      </c>
      <c r="AB136" s="119" t="n">
        <f aca="false">SUMIFS(tabela_registros[VALOR],tabela_registros[MÊS],$AE$1,tabela_registros[DIA],investirrendavariávelconsolidadodez[[#Headers],[24]],tabela_registros[REGISTRO],DADOS!$N$5,tabela_registros[TIPO],DADOS!$AB$4,tabela_registros[CATEGORIA],investirrendavariávelconsolidadodez[[#This Row],[ATUAL]])</f>
        <v>0</v>
      </c>
      <c r="AC136" s="119" t="n">
        <f aca="false">SUMIFS(tabela_registros[VALOR],tabela_registros[MÊS],$AE$1,tabela_registros[DIA],investirrendavariávelconsolidadodez[[#Headers],[25]],tabela_registros[REGISTRO],DADOS!$N$5,tabela_registros[TIPO],DADOS!$AB$4,tabela_registros[CATEGORIA],investirrendavariávelconsolidadodez[[#This Row],[ATUAL]])</f>
        <v>0</v>
      </c>
      <c r="AD136" s="119" t="n">
        <f aca="false">SUMIFS(tabela_registros[VALOR],tabela_registros[MÊS],$AE$1,tabela_registros[DIA],investirrendavariávelconsolidadodez[[#Headers],[26]],tabela_registros[REGISTRO],DADOS!$N$5,tabela_registros[TIPO],DADOS!$AB$4,tabela_registros[CATEGORIA],investirrendavariávelconsolidadodez[[#This Row],[ATUAL]])</f>
        <v>0</v>
      </c>
      <c r="AE136" s="119" t="n">
        <f aca="false">SUMIFS(tabela_registros[VALOR],tabela_registros[MÊS],$AE$1,tabela_registros[DIA],investirrendavariávelconsolidadodez[[#Headers],[27]],tabela_registros[REGISTRO],DADOS!$N$5,tabela_registros[TIPO],DADOS!$AB$4,tabela_registros[CATEGORIA],investirrendavariávelconsolidadodez[[#This Row],[ATUAL]])</f>
        <v>0</v>
      </c>
      <c r="AF136" s="119" t="n">
        <f aca="false">SUMIFS(tabela_registros[VALOR],tabela_registros[MÊS],$AE$1,tabela_registros[DIA],investirrendavariávelconsolidadodez[[#Headers],[28]],tabela_registros[REGISTRO],DADOS!$N$5,tabela_registros[TIPO],DADOS!$AB$4,tabela_registros[CATEGORIA],investirrendavariávelconsolidadodez[[#This Row],[ATUAL]])</f>
        <v>0</v>
      </c>
      <c r="AG136" s="119" t="n">
        <f aca="false">SUMIFS(tabela_registros[VALOR],tabela_registros[MÊS],$AE$1,tabela_registros[DIA],investirrendavariávelconsolidadodez[[#Headers],[29]],tabela_registros[REGISTRO],DADOS!$N$5,tabela_registros[TIPO],DADOS!$AB$4,tabela_registros[CATEGORIA],investirrendavariávelconsolidadodez[[#This Row],[ATUAL]])</f>
        <v>0</v>
      </c>
      <c r="AH136" s="119" t="n">
        <f aca="false">SUMIFS(tabela_registros[VALOR],tabela_registros[MÊS],$AE$1,tabela_registros[DIA],investirrendavariávelconsolidadodez[[#Headers],[30]],tabela_registros[REGISTRO],DADOS!$N$5,tabela_registros[TIPO],DADOS!$AB$4,tabela_registros[CATEGORIA],investirrendavariávelconsolidadodez[[#This Row],[ATUAL]])</f>
        <v>0</v>
      </c>
      <c r="AI136" s="217" t="n">
        <f aca="false">SUMIFS(tabela_registros[VALOR],tabela_registros[MÊS],$AE$1,tabela_registros[DIA],investirrendavariávelconsolidadodez[[#Headers],[31]],tabela_registros[REGISTRO],DADOS!$N$5,tabela_registros[TIPO],DADOS!$AB$4,tabela_registros[CATEGORIA],investirrendavariávelconsolidadodez[[#This Row],[ATUAL]])</f>
        <v>0</v>
      </c>
      <c r="AJ136" s="237" t="n">
        <f aca="false">SUM(investirrendavariávelconsolidadodez[[#This Row],[1]:[31]])</f>
        <v>0</v>
      </c>
      <c r="AK136" s="165"/>
    </row>
    <row r="137" customFormat="false" ht="19.5" hidden="false" customHeight="true" outlineLevel="0" collapsed="false">
      <c r="B137" s="143"/>
      <c r="C137" s="144" t="str">
        <f aca="false">DADOS!$AF$8</f>
        <v>📝 ETF</v>
      </c>
      <c r="D137" s="145" t="str">
        <f aca="false">IF(investirrendavariávelconsolidadodez[[#This Row],[TOTAL (R$)]]=0,"",IF(OR(investirrendavariávelconsolidadodez[[#This Row],[TOTAL (R$)]]=LARGE($AJ$132:$AJ$141,1),investirrendavariávelconsolidadodez[[#This Row],[TOTAL (R$)]]=LARGE($AJ$132:$AJ$141,2)),DADOS!$I$10,""))</f>
        <v/>
      </c>
      <c r="E137" s="148" t="n">
        <f aca="false">SUMIFS(tabela_registros[VALOR],tabela_registros[MÊS],$AE$1,tabela_registros[DIA],investirrendavariávelconsolidadodez[[#Headers],[1]],tabela_registros[REGISTRO],DADOS!$N$5,tabela_registros[TIPO],DADOS!$AB$4,tabela_registros[CATEGORIA],investirrendavariávelconsolidadodez[[#This Row],[ATUAL]])</f>
        <v>0</v>
      </c>
      <c r="F137" s="119" t="n">
        <f aca="false">SUMIFS(tabela_registros[VALOR],tabela_registros[MÊS],$AE$1,tabela_registros[DIA],investirrendavariávelconsolidadodez[[#Headers],[2]],tabela_registros[REGISTRO],DADOS!$N$5,tabela_registros[TIPO],DADOS!$AB$4,tabela_registros[CATEGORIA],investirrendavariávelconsolidadodez[[#This Row],[ATUAL]])</f>
        <v>0</v>
      </c>
      <c r="G137" s="119" t="n">
        <f aca="false">SUMIFS(tabela_registros[VALOR],tabela_registros[MÊS],$AE$1,tabela_registros[DIA],investirrendavariávelconsolidadodez[[#Headers],[3]],tabela_registros[REGISTRO],DADOS!$N$5,tabela_registros[TIPO],DADOS!$AB$4,tabela_registros[CATEGORIA],investirrendavariávelconsolidadodez[[#This Row],[ATUAL]])</f>
        <v>0</v>
      </c>
      <c r="H137" s="119" t="n">
        <f aca="false">SUMIFS(tabela_registros[VALOR],tabela_registros[MÊS],$AE$1,tabela_registros[DIA],investirrendavariávelconsolidadodez[[#Headers],[4]],tabela_registros[REGISTRO],DADOS!$N$5,tabela_registros[TIPO],DADOS!$AB$4,tabela_registros[CATEGORIA],investirrendavariávelconsolidadodez[[#This Row],[ATUAL]])</f>
        <v>0</v>
      </c>
      <c r="I137" s="119" t="n">
        <f aca="false">SUMIFS(tabela_registros[VALOR],tabela_registros[MÊS],$AE$1,tabela_registros[DIA],investirrendavariávelconsolidadodez[[#Headers],[5]],tabela_registros[REGISTRO],DADOS!$N$5,tabela_registros[TIPO],DADOS!$AB$4,tabela_registros[CATEGORIA],investirrendavariávelconsolidadodez[[#This Row],[ATUAL]])</f>
        <v>0</v>
      </c>
      <c r="J137" s="119" t="n">
        <f aca="false">SUMIFS(tabela_registros[VALOR],tabela_registros[MÊS],$AE$1,tabela_registros[DIA],investirrendavariávelconsolidadodez[[#Headers],[6]],tabela_registros[REGISTRO],DADOS!$N$5,tabela_registros[TIPO],DADOS!$AB$4,tabela_registros[CATEGORIA],investirrendavariávelconsolidadodez[[#This Row],[ATUAL]])</f>
        <v>0</v>
      </c>
      <c r="K137" s="119" t="n">
        <f aca="false">SUMIFS(tabela_registros[VALOR],tabela_registros[MÊS],$AE$1,tabela_registros[DIA],investirrendavariávelconsolidadodez[[#Headers],[7]],tabela_registros[REGISTRO],DADOS!$N$5,tabela_registros[TIPO],DADOS!$AB$4,tabela_registros[CATEGORIA],investirrendavariávelconsolidadodez[[#This Row],[ATUAL]])</f>
        <v>0</v>
      </c>
      <c r="L137" s="119" t="n">
        <f aca="false">SUMIFS(tabela_registros[VALOR],tabela_registros[MÊS],$AE$1,tabela_registros[DIA],investirrendavariávelconsolidadodez[[#Headers],[8]],tabela_registros[REGISTRO],DADOS!$N$5,tabela_registros[TIPO],DADOS!$AB$4,tabela_registros[CATEGORIA],investirrendavariávelconsolidadodez[[#This Row],[ATUAL]])</f>
        <v>0</v>
      </c>
      <c r="M137" s="119" t="n">
        <f aca="false">SUMIFS(tabela_registros[VALOR],tabela_registros[MÊS],$AE$1,tabela_registros[DIA],investirrendavariávelconsolidadodez[[#Headers],[9]],tabela_registros[REGISTRO],DADOS!$N$5,tabela_registros[TIPO],DADOS!$AB$4,tabela_registros[CATEGORIA],investirrendavariávelconsolidadodez[[#This Row],[ATUAL]])</f>
        <v>0</v>
      </c>
      <c r="N137" s="119" t="n">
        <f aca="false">SUMIFS(tabela_registros[VALOR],tabela_registros[MÊS],$AE$1,tabela_registros[DIA],investirrendavariávelconsolidadodez[[#Headers],[10]],tabela_registros[REGISTRO],DADOS!$N$5,tabela_registros[TIPO],DADOS!$AB$4,tabela_registros[CATEGORIA],investirrendavariávelconsolidadodez[[#This Row],[ATUAL]])</f>
        <v>0</v>
      </c>
      <c r="O137" s="119" t="n">
        <f aca="false">SUMIFS(tabela_registros[VALOR],tabela_registros[MÊS],$AE$1,tabela_registros[DIA],investirrendavariávelconsolidadodez[[#Headers],[11]],tabela_registros[REGISTRO],DADOS!$N$5,tabela_registros[TIPO],DADOS!$AB$4,tabela_registros[CATEGORIA],investirrendavariávelconsolidadodez[[#This Row],[ATUAL]])</f>
        <v>0</v>
      </c>
      <c r="P137" s="119" t="n">
        <f aca="false">SUMIFS(tabela_registros[VALOR],tabela_registros[MÊS],$AE$1,tabela_registros[DIA],investirrendavariávelconsolidadodez[[#Headers],[12]],tabela_registros[REGISTRO],DADOS!$N$5,tabela_registros[TIPO],DADOS!$AB$4,tabela_registros[CATEGORIA],investirrendavariávelconsolidadodez[[#This Row],[ATUAL]])</f>
        <v>0</v>
      </c>
      <c r="Q137" s="119" t="n">
        <f aca="false">SUMIFS(tabela_registros[VALOR],tabela_registros[MÊS],$AE$1,tabela_registros[DIA],investirrendavariávelconsolidadodez[[#Headers],[13]],tabela_registros[REGISTRO],DADOS!$N$5,tabela_registros[TIPO],DADOS!$AB$4,tabela_registros[CATEGORIA],investirrendavariávelconsolidadodez[[#This Row],[ATUAL]])</f>
        <v>0</v>
      </c>
      <c r="R137" s="119" t="n">
        <f aca="false">SUMIFS(tabela_registros[VALOR],tabela_registros[MÊS],$AE$1,tabela_registros[DIA],investirrendavariávelconsolidadodez[[#Headers],[14]],tabela_registros[REGISTRO],DADOS!$N$5,tabela_registros[TIPO],DADOS!$AB$4,tabela_registros[CATEGORIA],investirrendavariávelconsolidadodez[[#This Row],[ATUAL]])</f>
        <v>0</v>
      </c>
      <c r="S137" s="119" t="n">
        <f aca="false">SUMIFS(tabela_registros[VALOR],tabela_registros[MÊS],$AE$1,tabela_registros[DIA],investirrendavariávelconsolidadodez[[#Headers],[15]],tabela_registros[REGISTRO],DADOS!$N$5,tabela_registros[TIPO],DADOS!$AB$4,tabela_registros[CATEGORIA],investirrendavariávelconsolidadodez[[#This Row],[ATUAL]])</f>
        <v>0</v>
      </c>
      <c r="T137" s="119" t="n">
        <f aca="false">SUMIFS(tabela_registros[VALOR],tabela_registros[MÊS],$AE$1,tabela_registros[DIA],investirrendavariávelconsolidadodez[[#Headers],[16]],tabela_registros[REGISTRO],DADOS!$N$5,tabela_registros[TIPO],DADOS!$AB$4,tabela_registros[CATEGORIA],investirrendavariávelconsolidadodez[[#This Row],[ATUAL]])</f>
        <v>0</v>
      </c>
      <c r="U137" s="119" t="n">
        <f aca="false">SUMIFS(tabela_registros[VALOR],tabela_registros[MÊS],$AE$1,tabela_registros[DIA],investirrendavariávelconsolidadodez[[#Headers],[17]],tabela_registros[REGISTRO],DADOS!$N$5,tabela_registros[TIPO],DADOS!$AB$4,tabela_registros[CATEGORIA],investirrendavariávelconsolidadodez[[#This Row],[ATUAL]])</f>
        <v>0</v>
      </c>
      <c r="V137" s="119" t="n">
        <f aca="false">SUMIFS(tabela_registros[VALOR],tabela_registros[MÊS],$AE$1,tabela_registros[DIA],investirrendavariávelconsolidadodez[[#Headers],[18]],tabela_registros[REGISTRO],DADOS!$N$5,tabela_registros[TIPO],DADOS!$AB$4,tabela_registros[CATEGORIA],investirrendavariávelconsolidadodez[[#This Row],[ATUAL]])</f>
        <v>0</v>
      </c>
      <c r="W137" s="119" t="n">
        <f aca="false">SUMIFS(tabela_registros[VALOR],tabela_registros[MÊS],$AE$1,tabela_registros[DIA],investirrendavariávelconsolidadodez[[#Headers],[19]],tabela_registros[REGISTRO],DADOS!$N$5,tabela_registros[TIPO],DADOS!$AB$4,tabela_registros[CATEGORIA],investirrendavariávelconsolidadodez[[#This Row],[ATUAL]])</f>
        <v>0</v>
      </c>
      <c r="X137" s="119" t="n">
        <f aca="false">SUMIFS(tabela_registros[VALOR],tabela_registros[MÊS],$AE$1,tabela_registros[DIA],investirrendavariávelconsolidadodez[[#Headers],[20]],tabela_registros[REGISTRO],DADOS!$N$5,tabela_registros[TIPO],DADOS!$AB$4,tabela_registros[CATEGORIA],investirrendavariávelconsolidadodez[[#This Row],[ATUAL]])</f>
        <v>0</v>
      </c>
      <c r="Y137" s="119" t="n">
        <f aca="false">SUMIFS(tabela_registros[VALOR],tabela_registros[MÊS],$AE$1,tabela_registros[DIA],investirrendavariávelconsolidadodez[[#Headers],[21]],tabela_registros[REGISTRO],DADOS!$N$5,tabela_registros[TIPO],DADOS!$AB$4,tabela_registros[CATEGORIA],investirrendavariávelconsolidadodez[[#This Row],[ATUAL]])</f>
        <v>0</v>
      </c>
      <c r="Z137" s="119" t="n">
        <f aca="false">SUMIFS(tabela_registros[VALOR],tabela_registros[MÊS],$AE$1,tabela_registros[DIA],investirrendavariávelconsolidadodez[[#Headers],[22]],tabela_registros[REGISTRO],DADOS!$N$5,tabela_registros[TIPO],DADOS!$AB$4,tabela_registros[CATEGORIA],investirrendavariávelconsolidadodez[[#This Row],[ATUAL]])</f>
        <v>0</v>
      </c>
      <c r="AA137" s="119" t="n">
        <f aca="false">SUMIFS(tabela_registros[VALOR],tabela_registros[MÊS],$AE$1,tabela_registros[DIA],investirrendavariávelconsolidadodez[[#Headers],[23]],tabela_registros[REGISTRO],DADOS!$N$5,tabela_registros[TIPO],DADOS!$AB$4,tabela_registros[CATEGORIA],investirrendavariávelconsolidadodez[[#This Row],[ATUAL]])</f>
        <v>0</v>
      </c>
      <c r="AB137" s="119" t="n">
        <f aca="false">SUMIFS(tabela_registros[VALOR],tabela_registros[MÊS],$AE$1,tabela_registros[DIA],investirrendavariávelconsolidadodez[[#Headers],[24]],tabela_registros[REGISTRO],DADOS!$N$5,tabela_registros[TIPO],DADOS!$AB$4,tabela_registros[CATEGORIA],investirrendavariávelconsolidadodez[[#This Row],[ATUAL]])</f>
        <v>0</v>
      </c>
      <c r="AC137" s="119" t="n">
        <f aca="false">SUMIFS(tabela_registros[VALOR],tabela_registros[MÊS],$AE$1,tabela_registros[DIA],investirrendavariávelconsolidadodez[[#Headers],[25]],tabela_registros[REGISTRO],DADOS!$N$5,tabela_registros[TIPO],DADOS!$AB$4,tabela_registros[CATEGORIA],investirrendavariávelconsolidadodez[[#This Row],[ATUAL]])</f>
        <v>0</v>
      </c>
      <c r="AD137" s="119" t="n">
        <f aca="false">SUMIFS(tabela_registros[VALOR],tabela_registros[MÊS],$AE$1,tabela_registros[DIA],investirrendavariávelconsolidadodez[[#Headers],[26]],tabela_registros[REGISTRO],DADOS!$N$5,tabela_registros[TIPO],DADOS!$AB$4,tabela_registros[CATEGORIA],investirrendavariávelconsolidadodez[[#This Row],[ATUAL]])</f>
        <v>0</v>
      </c>
      <c r="AE137" s="119" t="n">
        <f aca="false">SUMIFS(tabela_registros[VALOR],tabela_registros[MÊS],$AE$1,tabela_registros[DIA],investirrendavariávelconsolidadodez[[#Headers],[27]],tabela_registros[REGISTRO],DADOS!$N$5,tabela_registros[TIPO],DADOS!$AB$4,tabela_registros[CATEGORIA],investirrendavariávelconsolidadodez[[#This Row],[ATUAL]])</f>
        <v>0</v>
      </c>
      <c r="AF137" s="119" t="n">
        <f aca="false">SUMIFS(tabela_registros[VALOR],tabela_registros[MÊS],$AE$1,tabela_registros[DIA],investirrendavariávelconsolidadodez[[#Headers],[28]],tabela_registros[REGISTRO],DADOS!$N$5,tabela_registros[TIPO],DADOS!$AB$4,tabela_registros[CATEGORIA],investirrendavariávelconsolidadodez[[#This Row],[ATUAL]])</f>
        <v>0</v>
      </c>
      <c r="AG137" s="119" t="n">
        <f aca="false">SUMIFS(tabela_registros[VALOR],tabela_registros[MÊS],$AE$1,tabela_registros[DIA],investirrendavariávelconsolidadodez[[#Headers],[29]],tabela_registros[REGISTRO],DADOS!$N$5,tabela_registros[TIPO],DADOS!$AB$4,tabela_registros[CATEGORIA],investirrendavariávelconsolidadodez[[#This Row],[ATUAL]])</f>
        <v>0</v>
      </c>
      <c r="AH137" s="119" t="n">
        <f aca="false">SUMIFS(tabela_registros[VALOR],tabela_registros[MÊS],$AE$1,tabela_registros[DIA],investirrendavariávelconsolidadodez[[#Headers],[30]],tabela_registros[REGISTRO],DADOS!$N$5,tabela_registros[TIPO],DADOS!$AB$4,tabela_registros[CATEGORIA],investirrendavariávelconsolidadodez[[#This Row],[ATUAL]])</f>
        <v>0</v>
      </c>
      <c r="AI137" s="217" t="n">
        <f aca="false">SUMIFS(tabela_registros[VALOR],tabela_registros[MÊS],$AE$1,tabela_registros[DIA],investirrendavariávelconsolidadodez[[#Headers],[31]],tabela_registros[REGISTRO],DADOS!$N$5,tabela_registros[TIPO],DADOS!$AB$4,tabela_registros[CATEGORIA],investirrendavariávelconsolidadodez[[#This Row],[ATUAL]])</f>
        <v>0</v>
      </c>
      <c r="AJ137" s="237" t="n">
        <f aca="false">SUM(investirrendavariávelconsolidadodez[[#This Row],[1]:[31]])</f>
        <v>0</v>
      </c>
      <c r="AK137" s="165"/>
    </row>
    <row r="138" customFormat="false" ht="19.5" hidden="false" customHeight="true" outlineLevel="0" collapsed="false">
      <c r="B138" s="143"/>
      <c r="C138" s="144" t="str">
        <f aca="false">DADOS!$AF$9</f>
        <v>📝 EXTERIOR</v>
      </c>
      <c r="D138" s="145" t="str">
        <f aca="false">IF(investirrendavariávelconsolidadodez[[#This Row],[TOTAL (R$)]]=0,"",IF(OR(investirrendavariávelconsolidadodez[[#This Row],[TOTAL (R$)]]=LARGE($AJ$132:$AJ$141,1),investirrendavariávelconsolidadodez[[#This Row],[TOTAL (R$)]]=LARGE($AJ$132:$AJ$141,2)),DADOS!$I$10,""))</f>
        <v/>
      </c>
      <c r="E138" s="148" t="n">
        <f aca="false">SUMIFS(tabela_registros[VALOR],tabela_registros[MÊS],$AE$1,tabela_registros[DIA],investirrendavariávelconsolidadodez[[#Headers],[1]],tabela_registros[REGISTRO],DADOS!$N$5,tabela_registros[TIPO],DADOS!$AB$4,tabela_registros[CATEGORIA],investirrendavariávelconsolidadodez[[#This Row],[ATUAL]])</f>
        <v>0</v>
      </c>
      <c r="F138" s="119" t="n">
        <f aca="false">SUMIFS(tabela_registros[VALOR],tabela_registros[MÊS],$AE$1,tabela_registros[DIA],investirrendavariávelconsolidadodez[[#Headers],[2]],tabela_registros[REGISTRO],DADOS!$N$5,tabela_registros[TIPO],DADOS!$AB$4,tabela_registros[CATEGORIA],investirrendavariávelconsolidadodez[[#This Row],[ATUAL]])</f>
        <v>0</v>
      </c>
      <c r="G138" s="119" t="n">
        <f aca="false">SUMIFS(tabela_registros[VALOR],tabela_registros[MÊS],$AE$1,tabela_registros[DIA],investirrendavariávelconsolidadodez[[#Headers],[3]],tabela_registros[REGISTRO],DADOS!$N$5,tabela_registros[TIPO],DADOS!$AB$4,tabela_registros[CATEGORIA],investirrendavariávelconsolidadodez[[#This Row],[ATUAL]])</f>
        <v>0</v>
      </c>
      <c r="H138" s="119" t="n">
        <f aca="false">SUMIFS(tabela_registros[VALOR],tabela_registros[MÊS],$AE$1,tabela_registros[DIA],investirrendavariávelconsolidadodez[[#Headers],[4]],tabela_registros[REGISTRO],DADOS!$N$5,tabela_registros[TIPO],DADOS!$AB$4,tabela_registros[CATEGORIA],investirrendavariávelconsolidadodez[[#This Row],[ATUAL]])</f>
        <v>0</v>
      </c>
      <c r="I138" s="119" t="n">
        <f aca="false">SUMIFS(tabela_registros[VALOR],tabela_registros[MÊS],$AE$1,tabela_registros[DIA],investirrendavariávelconsolidadodez[[#Headers],[5]],tabela_registros[REGISTRO],DADOS!$N$5,tabela_registros[TIPO],DADOS!$AB$4,tabela_registros[CATEGORIA],investirrendavariávelconsolidadodez[[#This Row],[ATUAL]])</f>
        <v>0</v>
      </c>
      <c r="J138" s="119" t="n">
        <f aca="false">SUMIFS(tabela_registros[VALOR],tabela_registros[MÊS],$AE$1,tabela_registros[DIA],investirrendavariávelconsolidadodez[[#Headers],[6]],tabela_registros[REGISTRO],DADOS!$N$5,tabela_registros[TIPO],DADOS!$AB$4,tabela_registros[CATEGORIA],investirrendavariávelconsolidadodez[[#This Row],[ATUAL]])</f>
        <v>0</v>
      </c>
      <c r="K138" s="119" t="n">
        <f aca="false">SUMIFS(tabela_registros[VALOR],tabela_registros[MÊS],$AE$1,tabela_registros[DIA],investirrendavariávelconsolidadodez[[#Headers],[7]],tabela_registros[REGISTRO],DADOS!$N$5,tabela_registros[TIPO],DADOS!$AB$4,tabela_registros[CATEGORIA],investirrendavariávelconsolidadodez[[#This Row],[ATUAL]])</f>
        <v>0</v>
      </c>
      <c r="L138" s="119" t="n">
        <f aca="false">SUMIFS(tabela_registros[VALOR],tabela_registros[MÊS],$AE$1,tabela_registros[DIA],investirrendavariávelconsolidadodez[[#Headers],[8]],tabela_registros[REGISTRO],DADOS!$N$5,tabela_registros[TIPO],DADOS!$AB$4,tabela_registros[CATEGORIA],investirrendavariávelconsolidadodez[[#This Row],[ATUAL]])</f>
        <v>0</v>
      </c>
      <c r="M138" s="119" t="n">
        <f aca="false">SUMIFS(tabela_registros[VALOR],tabela_registros[MÊS],$AE$1,tabela_registros[DIA],investirrendavariávelconsolidadodez[[#Headers],[9]],tabela_registros[REGISTRO],DADOS!$N$5,tabela_registros[TIPO],DADOS!$AB$4,tabela_registros[CATEGORIA],investirrendavariávelconsolidadodez[[#This Row],[ATUAL]])</f>
        <v>0</v>
      </c>
      <c r="N138" s="119" t="n">
        <f aca="false">SUMIFS(tabela_registros[VALOR],tabela_registros[MÊS],$AE$1,tabela_registros[DIA],investirrendavariávelconsolidadodez[[#Headers],[10]],tabela_registros[REGISTRO],DADOS!$N$5,tabela_registros[TIPO],DADOS!$AB$4,tabela_registros[CATEGORIA],investirrendavariávelconsolidadodez[[#This Row],[ATUAL]])</f>
        <v>0</v>
      </c>
      <c r="O138" s="119" t="n">
        <f aca="false">SUMIFS(tabela_registros[VALOR],tabela_registros[MÊS],$AE$1,tabela_registros[DIA],investirrendavariávelconsolidadodez[[#Headers],[11]],tabela_registros[REGISTRO],DADOS!$N$5,tabela_registros[TIPO],DADOS!$AB$4,tabela_registros[CATEGORIA],investirrendavariávelconsolidadodez[[#This Row],[ATUAL]])</f>
        <v>0</v>
      </c>
      <c r="P138" s="119" t="n">
        <f aca="false">SUMIFS(tabela_registros[VALOR],tabela_registros[MÊS],$AE$1,tabela_registros[DIA],investirrendavariávelconsolidadodez[[#Headers],[12]],tabela_registros[REGISTRO],DADOS!$N$5,tabela_registros[TIPO],DADOS!$AB$4,tabela_registros[CATEGORIA],investirrendavariávelconsolidadodez[[#This Row],[ATUAL]])</f>
        <v>0</v>
      </c>
      <c r="Q138" s="119" t="n">
        <f aca="false">SUMIFS(tabela_registros[VALOR],tabela_registros[MÊS],$AE$1,tabela_registros[DIA],investirrendavariávelconsolidadodez[[#Headers],[13]],tabela_registros[REGISTRO],DADOS!$N$5,tabela_registros[TIPO],DADOS!$AB$4,tabela_registros[CATEGORIA],investirrendavariávelconsolidadodez[[#This Row],[ATUAL]])</f>
        <v>0</v>
      </c>
      <c r="R138" s="119" t="n">
        <f aca="false">SUMIFS(tabela_registros[VALOR],tabela_registros[MÊS],$AE$1,tabela_registros[DIA],investirrendavariávelconsolidadodez[[#Headers],[14]],tabela_registros[REGISTRO],DADOS!$N$5,tabela_registros[TIPO],DADOS!$AB$4,tabela_registros[CATEGORIA],investirrendavariávelconsolidadodez[[#This Row],[ATUAL]])</f>
        <v>0</v>
      </c>
      <c r="S138" s="119" t="n">
        <f aca="false">SUMIFS(tabela_registros[VALOR],tabela_registros[MÊS],$AE$1,tabela_registros[DIA],investirrendavariávelconsolidadodez[[#Headers],[15]],tabela_registros[REGISTRO],DADOS!$N$5,tabela_registros[TIPO],DADOS!$AB$4,tabela_registros[CATEGORIA],investirrendavariávelconsolidadodez[[#This Row],[ATUAL]])</f>
        <v>0</v>
      </c>
      <c r="T138" s="119" t="n">
        <f aca="false">SUMIFS(tabela_registros[VALOR],tabela_registros[MÊS],$AE$1,tabela_registros[DIA],investirrendavariávelconsolidadodez[[#Headers],[16]],tabela_registros[REGISTRO],DADOS!$N$5,tabela_registros[TIPO],DADOS!$AB$4,tabela_registros[CATEGORIA],investirrendavariávelconsolidadodez[[#This Row],[ATUAL]])</f>
        <v>0</v>
      </c>
      <c r="U138" s="119" t="n">
        <f aca="false">SUMIFS(tabela_registros[VALOR],tabela_registros[MÊS],$AE$1,tabela_registros[DIA],investirrendavariávelconsolidadodez[[#Headers],[17]],tabela_registros[REGISTRO],DADOS!$N$5,tabela_registros[TIPO],DADOS!$AB$4,tabela_registros[CATEGORIA],investirrendavariávelconsolidadodez[[#This Row],[ATUAL]])</f>
        <v>0</v>
      </c>
      <c r="V138" s="119" t="n">
        <f aca="false">SUMIFS(tabela_registros[VALOR],tabela_registros[MÊS],$AE$1,tabela_registros[DIA],investirrendavariávelconsolidadodez[[#Headers],[18]],tabela_registros[REGISTRO],DADOS!$N$5,tabela_registros[TIPO],DADOS!$AB$4,tabela_registros[CATEGORIA],investirrendavariávelconsolidadodez[[#This Row],[ATUAL]])</f>
        <v>0</v>
      </c>
      <c r="W138" s="119" t="n">
        <f aca="false">SUMIFS(tabela_registros[VALOR],tabela_registros[MÊS],$AE$1,tabela_registros[DIA],investirrendavariávelconsolidadodez[[#Headers],[19]],tabela_registros[REGISTRO],DADOS!$N$5,tabela_registros[TIPO],DADOS!$AB$4,tabela_registros[CATEGORIA],investirrendavariávelconsolidadodez[[#This Row],[ATUAL]])</f>
        <v>0</v>
      </c>
      <c r="X138" s="119" t="n">
        <f aca="false">SUMIFS(tabela_registros[VALOR],tabela_registros[MÊS],$AE$1,tabela_registros[DIA],investirrendavariávelconsolidadodez[[#Headers],[20]],tabela_registros[REGISTRO],DADOS!$N$5,tabela_registros[TIPO],DADOS!$AB$4,tabela_registros[CATEGORIA],investirrendavariávelconsolidadodez[[#This Row],[ATUAL]])</f>
        <v>0</v>
      </c>
      <c r="Y138" s="119" t="n">
        <f aca="false">SUMIFS(tabela_registros[VALOR],tabela_registros[MÊS],$AE$1,tabela_registros[DIA],investirrendavariávelconsolidadodez[[#Headers],[21]],tabela_registros[REGISTRO],DADOS!$N$5,tabela_registros[TIPO],DADOS!$AB$4,tabela_registros[CATEGORIA],investirrendavariávelconsolidadodez[[#This Row],[ATUAL]])</f>
        <v>0</v>
      </c>
      <c r="Z138" s="119" t="n">
        <f aca="false">SUMIFS(tabela_registros[VALOR],tabela_registros[MÊS],$AE$1,tabela_registros[DIA],investirrendavariávelconsolidadodez[[#Headers],[22]],tabela_registros[REGISTRO],DADOS!$N$5,tabela_registros[TIPO],DADOS!$AB$4,tabela_registros[CATEGORIA],investirrendavariávelconsolidadodez[[#This Row],[ATUAL]])</f>
        <v>0</v>
      </c>
      <c r="AA138" s="119" t="n">
        <f aca="false">SUMIFS(tabela_registros[VALOR],tabela_registros[MÊS],$AE$1,tabela_registros[DIA],investirrendavariávelconsolidadodez[[#Headers],[23]],tabela_registros[REGISTRO],DADOS!$N$5,tabela_registros[TIPO],DADOS!$AB$4,tabela_registros[CATEGORIA],investirrendavariávelconsolidadodez[[#This Row],[ATUAL]])</f>
        <v>0</v>
      </c>
      <c r="AB138" s="119" t="n">
        <f aca="false">SUMIFS(tabela_registros[VALOR],tabela_registros[MÊS],$AE$1,tabela_registros[DIA],investirrendavariávelconsolidadodez[[#Headers],[24]],tabela_registros[REGISTRO],DADOS!$N$5,tabela_registros[TIPO],DADOS!$AB$4,tabela_registros[CATEGORIA],investirrendavariávelconsolidadodez[[#This Row],[ATUAL]])</f>
        <v>0</v>
      </c>
      <c r="AC138" s="119" t="n">
        <f aca="false">SUMIFS(tabela_registros[VALOR],tabela_registros[MÊS],$AE$1,tabela_registros[DIA],investirrendavariávelconsolidadodez[[#Headers],[25]],tabela_registros[REGISTRO],DADOS!$N$5,tabela_registros[TIPO],DADOS!$AB$4,tabela_registros[CATEGORIA],investirrendavariávelconsolidadodez[[#This Row],[ATUAL]])</f>
        <v>0</v>
      </c>
      <c r="AD138" s="119" t="n">
        <f aca="false">SUMIFS(tabela_registros[VALOR],tabela_registros[MÊS],$AE$1,tabela_registros[DIA],investirrendavariávelconsolidadodez[[#Headers],[26]],tabela_registros[REGISTRO],DADOS!$N$5,tabela_registros[TIPO],DADOS!$AB$4,tabela_registros[CATEGORIA],investirrendavariávelconsolidadodez[[#This Row],[ATUAL]])</f>
        <v>0</v>
      </c>
      <c r="AE138" s="119" t="n">
        <f aca="false">SUMIFS(tabela_registros[VALOR],tabela_registros[MÊS],$AE$1,tabela_registros[DIA],investirrendavariávelconsolidadodez[[#Headers],[27]],tabela_registros[REGISTRO],DADOS!$N$5,tabela_registros[TIPO],DADOS!$AB$4,tabela_registros[CATEGORIA],investirrendavariávelconsolidadodez[[#This Row],[ATUAL]])</f>
        <v>0</v>
      </c>
      <c r="AF138" s="119" t="n">
        <f aca="false">SUMIFS(tabela_registros[VALOR],tabela_registros[MÊS],$AE$1,tabela_registros[DIA],investirrendavariávelconsolidadodez[[#Headers],[28]],tabela_registros[REGISTRO],DADOS!$N$5,tabela_registros[TIPO],DADOS!$AB$4,tabela_registros[CATEGORIA],investirrendavariávelconsolidadodez[[#This Row],[ATUAL]])</f>
        <v>0</v>
      </c>
      <c r="AG138" s="119" t="n">
        <f aca="false">SUMIFS(tabela_registros[VALOR],tabela_registros[MÊS],$AE$1,tabela_registros[DIA],investirrendavariávelconsolidadodez[[#Headers],[29]],tabela_registros[REGISTRO],DADOS!$N$5,tabela_registros[TIPO],DADOS!$AB$4,tabela_registros[CATEGORIA],investirrendavariávelconsolidadodez[[#This Row],[ATUAL]])</f>
        <v>0</v>
      </c>
      <c r="AH138" s="119" t="n">
        <f aca="false">SUMIFS(tabela_registros[VALOR],tabela_registros[MÊS],$AE$1,tabela_registros[DIA],investirrendavariávelconsolidadodez[[#Headers],[30]],tabela_registros[REGISTRO],DADOS!$N$5,tabela_registros[TIPO],DADOS!$AB$4,tabela_registros[CATEGORIA],investirrendavariávelconsolidadodez[[#This Row],[ATUAL]])</f>
        <v>0</v>
      </c>
      <c r="AI138" s="217" t="n">
        <f aca="false">SUMIFS(tabela_registros[VALOR],tabela_registros[MÊS],$AE$1,tabela_registros[DIA],investirrendavariávelconsolidadodez[[#Headers],[31]],tabela_registros[REGISTRO],DADOS!$N$5,tabela_registros[TIPO],DADOS!$AB$4,tabela_registros[CATEGORIA],investirrendavariávelconsolidadodez[[#This Row],[ATUAL]])</f>
        <v>0</v>
      </c>
      <c r="AJ138" s="237" t="n">
        <f aca="false">SUM(investirrendavariávelconsolidadodez[[#This Row],[1]:[31]])</f>
        <v>0</v>
      </c>
      <c r="AK138" s="165"/>
    </row>
    <row r="139" customFormat="false" ht="19.5" hidden="false" customHeight="true" outlineLevel="0" collapsed="false">
      <c r="B139" s="143"/>
      <c r="C139" s="144" t="str">
        <f aca="false">DADOS!$AF$10</f>
        <v>📝 FII</v>
      </c>
      <c r="D139" s="145" t="str">
        <f aca="false">IF(investirrendavariávelconsolidadodez[[#This Row],[TOTAL (R$)]]=0,"",IF(OR(investirrendavariávelconsolidadodez[[#This Row],[TOTAL (R$)]]=LARGE($AJ$132:$AJ$141,1),investirrendavariávelconsolidadodez[[#This Row],[TOTAL (R$)]]=LARGE($AJ$132:$AJ$141,2)),DADOS!$I$10,""))</f>
        <v/>
      </c>
      <c r="E139" s="148" t="n">
        <f aca="false">SUMIFS(tabela_registros[VALOR],tabela_registros[MÊS],$AE$1,tabela_registros[DIA],investirrendavariávelconsolidadodez[[#Headers],[1]],tabela_registros[REGISTRO],DADOS!$N$5,tabela_registros[TIPO],DADOS!$AB$4,tabela_registros[CATEGORIA],investirrendavariávelconsolidadodez[[#This Row],[ATUAL]])</f>
        <v>0</v>
      </c>
      <c r="F139" s="119" t="n">
        <f aca="false">SUMIFS(tabela_registros[VALOR],tabela_registros[MÊS],$AE$1,tabela_registros[DIA],investirrendavariávelconsolidadodez[[#Headers],[2]],tabela_registros[REGISTRO],DADOS!$N$5,tabela_registros[TIPO],DADOS!$AB$4,tabela_registros[CATEGORIA],investirrendavariávelconsolidadodez[[#This Row],[ATUAL]])</f>
        <v>0</v>
      </c>
      <c r="G139" s="119" t="n">
        <f aca="false">SUMIFS(tabela_registros[VALOR],tabela_registros[MÊS],$AE$1,tabela_registros[DIA],investirrendavariávelconsolidadodez[[#Headers],[3]],tabela_registros[REGISTRO],DADOS!$N$5,tabela_registros[TIPO],DADOS!$AB$4,tabela_registros[CATEGORIA],investirrendavariávelconsolidadodez[[#This Row],[ATUAL]])</f>
        <v>0</v>
      </c>
      <c r="H139" s="119" t="n">
        <f aca="false">SUMIFS(tabela_registros[VALOR],tabela_registros[MÊS],$AE$1,tabela_registros[DIA],investirrendavariávelconsolidadodez[[#Headers],[4]],tabela_registros[REGISTRO],DADOS!$N$5,tabela_registros[TIPO],DADOS!$AB$4,tabela_registros[CATEGORIA],investirrendavariávelconsolidadodez[[#This Row],[ATUAL]])</f>
        <v>0</v>
      </c>
      <c r="I139" s="119" t="n">
        <f aca="false">SUMIFS(tabela_registros[VALOR],tabela_registros[MÊS],$AE$1,tabela_registros[DIA],investirrendavariávelconsolidadodez[[#Headers],[5]],tabela_registros[REGISTRO],DADOS!$N$5,tabela_registros[TIPO],DADOS!$AB$4,tabela_registros[CATEGORIA],investirrendavariávelconsolidadodez[[#This Row],[ATUAL]])</f>
        <v>0</v>
      </c>
      <c r="J139" s="119" t="n">
        <f aca="false">SUMIFS(tabela_registros[VALOR],tabela_registros[MÊS],$AE$1,tabela_registros[DIA],investirrendavariávelconsolidadodez[[#Headers],[6]],tabela_registros[REGISTRO],DADOS!$N$5,tabela_registros[TIPO],DADOS!$AB$4,tabela_registros[CATEGORIA],investirrendavariávelconsolidadodez[[#This Row],[ATUAL]])</f>
        <v>0</v>
      </c>
      <c r="K139" s="119" t="n">
        <f aca="false">SUMIFS(tabela_registros[VALOR],tabela_registros[MÊS],$AE$1,tabela_registros[DIA],investirrendavariávelconsolidadodez[[#Headers],[7]],tabela_registros[REGISTRO],DADOS!$N$5,tabela_registros[TIPO],DADOS!$AB$4,tabela_registros[CATEGORIA],investirrendavariávelconsolidadodez[[#This Row],[ATUAL]])</f>
        <v>0</v>
      </c>
      <c r="L139" s="119" t="n">
        <f aca="false">SUMIFS(tabela_registros[VALOR],tabela_registros[MÊS],$AE$1,tabela_registros[DIA],investirrendavariávelconsolidadodez[[#Headers],[8]],tabela_registros[REGISTRO],DADOS!$N$5,tabela_registros[TIPO],DADOS!$AB$4,tabela_registros[CATEGORIA],investirrendavariávelconsolidadodez[[#This Row],[ATUAL]])</f>
        <v>0</v>
      </c>
      <c r="M139" s="119" t="n">
        <f aca="false">SUMIFS(tabela_registros[VALOR],tabela_registros[MÊS],$AE$1,tabela_registros[DIA],investirrendavariávelconsolidadodez[[#Headers],[9]],tabela_registros[REGISTRO],DADOS!$N$5,tabela_registros[TIPO],DADOS!$AB$4,tabela_registros[CATEGORIA],investirrendavariávelconsolidadodez[[#This Row],[ATUAL]])</f>
        <v>0</v>
      </c>
      <c r="N139" s="119" t="n">
        <f aca="false">SUMIFS(tabela_registros[VALOR],tabela_registros[MÊS],$AE$1,tabela_registros[DIA],investirrendavariávelconsolidadodez[[#Headers],[10]],tabela_registros[REGISTRO],DADOS!$N$5,tabela_registros[TIPO],DADOS!$AB$4,tabela_registros[CATEGORIA],investirrendavariávelconsolidadodez[[#This Row],[ATUAL]])</f>
        <v>0</v>
      </c>
      <c r="O139" s="119" t="n">
        <f aca="false">SUMIFS(tabela_registros[VALOR],tabela_registros[MÊS],$AE$1,tabela_registros[DIA],investirrendavariávelconsolidadodez[[#Headers],[11]],tabela_registros[REGISTRO],DADOS!$N$5,tabela_registros[TIPO],DADOS!$AB$4,tabela_registros[CATEGORIA],investirrendavariávelconsolidadodez[[#This Row],[ATUAL]])</f>
        <v>0</v>
      </c>
      <c r="P139" s="119" t="n">
        <f aca="false">SUMIFS(tabela_registros[VALOR],tabela_registros[MÊS],$AE$1,tabela_registros[DIA],investirrendavariávelconsolidadodez[[#Headers],[12]],tabela_registros[REGISTRO],DADOS!$N$5,tabela_registros[TIPO],DADOS!$AB$4,tabela_registros[CATEGORIA],investirrendavariávelconsolidadodez[[#This Row],[ATUAL]])</f>
        <v>0</v>
      </c>
      <c r="Q139" s="119" t="n">
        <f aca="false">SUMIFS(tabela_registros[VALOR],tabela_registros[MÊS],$AE$1,tabela_registros[DIA],investirrendavariávelconsolidadodez[[#Headers],[13]],tabela_registros[REGISTRO],DADOS!$N$5,tabela_registros[TIPO],DADOS!$AB$4,tabela_registros[CATEGORIA],investirrendavariávelconsolidadodez[[#This Row],[ATUAL]])</f>
        <v>0</v>
      </c>
      <c r="R139" s="119" t="n">
        <f aca="false">SUMIFS(tabela_registros[VALOR],tabela_registros[MÊS],$AE$1,tabela_registros[DIA],investirrendavariávelconsolidadodez[[#Headers],[14]],tabela_registros[REGISTRO],DADOS!$N$5,tabela_registros[TIPO],DADOS!$AB$4,tabela_registros[CATEGORIA],investirrendavariávelconsolidadodez[[#This Row],[ATUAL]])</f>
        <v>0</v>
      </c>
      <c r="S139" s="119" t="n">
        <f aca="false">SUMIFS(tabela_registros[VALOR],tabela_registros[MÊS],$AE$1,tabela_registros[DIA],investirrendavariávelconsolidadodez[[#Headers],[15]],tabela_registros[REGISTRO],DADOS!$N$5,tabela_registros[TIPO],DADOS!$AB$4,tabela_registros[CATEGORIA],investirrendavariávelconsolidadodez[[#This Row],[ATUAL]])</f>
        <v>0</v>
      </c>
      <c r="T139" s="119" t="n">
        <f aca="false">SUMIFS(tabela_registros[VALOR],tabela_registros[MÊS],$AE$1,tabela_registros[DIA],investirrendavariávelconsolidadodez[[#Headers],[16]],tabela_registros[REGISTRO],DADOS!$N$5,tabela_registros[TIPO],DADOS!$AB$4,tabela_registros[CATEGORIA],investirrendavariávelconsolidadodez[[#This Row],[ATUAL]])</f>
        <v>0</v>
      </c>
      <c r="U139" s="119" t="n">
        <f aca="false">SUMIFS(tabela_registros[VALOR],tabela_registros[MÊS],$AE$1,tabela_registros[DIA],investirrendavariávelconsolidadodez[[#Headers],[17]],tabela_registros[REGISTRO],DADOS!$N$5,tabela_registros[TIPO],DADOS!$AB$4,tabela_registros[CATEGORIA],investirrendavariávelconsolidadodez[[#This Row],[ATUAL]])</f>
        <v>0</v>
      </c>
      <c r="V139" s="119" t="n">
        <f aca="false">SUMIFS(tabela_registros[VALOR],tabela_registros[MÊS],$AE$1,tabela_registros[DIA],investirrendavariávelconsolidadodez[[#Headers],[18]],tabela_registros[REGISTRO],DADOS!$N$5,tabela_registros[TIPO],DADOS!$AB$4,tabela_registros[CATEGORIA],investirrendavariávelconsolidadodez[[#This Row],[ATUAL]])</f>
        <v>0</v>
      </c>
      <c r="W139" s="119" t="n">
        <f aca="false">SUMIFS(tabela_registros[VALOR],tabela_registros[MÊS],$AE$1,tabela_registros[DIA],investirrendavariávelconsolidadodez[[#Headers],[19]],tabela_registros[REGISTRO],DADOS!$N$5,tabela_registros[TIPO],DADOS!$AB$4,tabela_registros[CATEGORIA],investirrendavariávelconsolidadodez[[#This Row],[ATUAL]])</f>
        <v>0</v>
      </c>
      <c r="X139" s="119" t="n">
        <f aca="false">SUMIFS(tabela_registros[VALOR],tabela_registros[MÊS],$AE$1,tabela_registros[DIA],investirrendavariávelconsolidadodez[[#Headers],[20]],tabela_registros[REGISTRO],DADOS!$N$5,tabela_registros[TIPO],DADOS!$AB$4,tabela_registros[CATEGORIA],investirrendavariávelconsolidadodez[[#This Row],[ATUAL]])</f>
        <v>0</v>
      </c>
      <c r="Y139" s="119" t="n">
        <f aca="false">SUMIFS(tabela_registros[VALOR],tabela_registros[MÊS],$AE$1,tabela_registros[DIA],investirrendavariávelconsolidadodez[[#Headers],[21]],tabela_registros[REGISTRO],DADOS!$N$5,tabela_registros[TIPO],DADOS!$AB$4,tabela_registros[CATEGORIA],investirrendavariávelconsolidadodez[[#This Row],[ATUAL]])</f>
        <v>0</v>
      </c>
      <c r="Z139" s="119" t="n">
        <f aca="false">SUMIFS(tabela_registros[VALOR],tabela_registros[MÊS],$AE$1,tabela_registros[DIA],investirrendavariávelconsolidadodez[[#Headers],[22]],tabela_registros[REGISTRO],DADOS!$N$5,tabela_registros[TIPO],DADOS!$AB$4,tabela_registros[CATEGORIA],investirrendavariávelconsolidadodez[[#This Row],[ATUAL]])</f>
        <v>0</v>
      </c>
      <c r="AA139" s="119" t="n">
        <f aca="false">SUMIFS(tabela_registros[VALOR],tabela_registros[MÊS],$AE$1,tabela_registros[DIA],investirrendavariávelconsolidadodez[[#Headers],[23]],tabela_registros[REGISTRO],DADOS!$N$5,tabela_registros[TIPO],DADOS!$AB$4,tabela_registros[CATEGORIA],investirrendavariávelconsolidadodez[[#This Row],[ATUAL]])</f>
        <v>0</v>
      </c>
      <c r="AB139" s="119" t="n">
        <f aca="false">SUMIFS(tabela_registros[VALOR],tabela_registros[MÊS],$AE$1,tabela_registros[DIA],investirrendavariávelconsolidadodez[[#Headers],[24]],tabela_registros[REGISTRO],DADOS!$N$5,tabela_registros[TIPO],DADOS!$AB$4,tabela_registros[CATEGORIA],investirrendavariávelconsolidadodez[[#This Row],[ATUAL]])</f>
        <v>0</v>
      </c>
      <c r="AC139" s="119" t="n">
        <f aca="false">SUMIFS(tabela_registros[VALOR],tabela_registros[MÊS],$AE$1,tabela_registros[DIA],investirrendavariávelconsolidadodez[[#Headers],[25]],tabela_registros[REGISTRO],DADOS!$N$5,tabela_registros[TIPO],DADOS!$AB$4,tabela_registros[CATEGORIA],investirrendavariávelconsolidadodez[[#This Row],[ATUAL]])</f>
        <v>0</v>
      </c>
      <c r="AD139" s="119" t="n">
        <f aca="false">SUMIFS(tabela_registros[VALOR],tabela_registros[MÊS],$AE$1,tabela_registros[DIA],investirrendavariávelconsolidadodez[[#Headers],[26]],tabela_registros[REGISTRO],DADOS!$N$5,tabela_registros[TIPO],DADOS!$AB$4,tabela_registros[CATEGORIA],investirrendavariávelconsolidadodez[[#This Row],[ATUAL]])</f>
        <v>0</v>
      </c>
      <c r="AE139" s="119" t="n">
        <f aca="false">SUMIFS(tabela_registros[VALOR],tabela_registros[MÊS],$AE$1,tabela_registros[DIA],investirrendavariávelconsolidadodez[[#Headers],[27]],tabela_registros[REGISTRO],DADOS!$N$5,tabela_registros[TIPO],DADOS!$AB$4,tabela_registros[CATEGORIA],investirrendavariávelconsolidadodez[[#This Row],[ATUAL]])</f>
        <v>0</v>
      </c>
      <c r="AF139" s="119" t="n">
        <f aca="false">SUMIFS(tabela_registros[VALOR],tabela_registros[MÊS],$AE$1,tabela_registros[DIA],investirrendavariávelconsolidadodez[[#Headers],[28]],tabela_registros[REGISTRO],DADOS!$N$5,tabela_registros[TIPO],DADOS!$AB$4,tabela_registros[CATEGORIA],investirrendavariávelconsolidadodez[[#This Row],[ATUAL]])</f>
        <v>0</v>
      </c>
      <c r="AG139" s="119" t="n">
        <f aca="false">SUMIFS(tabela_registros[VALOR],tabela_registros[MÊS],$AE$1,tabela_registros[DIA],investirrendavariávelconsolidadodez[[#Headers],[29]],tabela_registros[REGISTRO],DADOS!$N$5,tabela_registros[TIPO],DADOS!$AB$4,tabela_registros[CATEGORIA],investirrendavariávelconsolidadodez[[#This Row],[ATUAL]])</f>
        <v>0</v>
      </c>
      <c r="AH139" s="119" t="n">
        <f aca="false">SUMIFS(tabela_registros[VALOR],tabela_registros[MÊS],$AE$1,tabela_registros[DIA],investirrendavariávelconsolidadodez[[#Headers],[30]],tabela_registros[REGISTRO],DADOS!$N$5,tabela_registros[TIPO],DADOS!$AB$4,tabela_registros[CATEGORIA],investirrendavariávelconsolidadodez[[#This Row],[ATUAL]])</f>
        <v>0</v>
      </c>
      <c r="AI139" s="217" t="n">
        <f aca="false">SUMIFS(tabela_registros[VALOR],tabela_registros[MÊS],$AE$1,tabela_registros[DIA],investirrendavariávelconsolidadodez[[#Headers],[31]],tabela_registros[REGISTRO],DADOS!$N$5,tabela_registros[TIPO],DADOS!$AB$4,tabela_registros[CATEGORIA],investirrendavariávelconsolidadodez[[#This Row],[ATUAL]])</f>
        <v>0</v>
      </c>
      <c r="AJ139" s="237" t="n">
        <f aca="false">SUM(investirrendavariávelconsolidadodez[[#This Row],[1]:[31]])</f>
        <v>0</v>
      </c>
      <c r="AK139" s="165"/>
    </row>
    <row r="140" customFormat="false" ht="19.5" hidden="false" customHeight="true" outlineLevel="0" collapsed="false">
      <c r="B140" s="143"/>
      <c r="C140" s="144" t="str">
        <f aca="false">DADOS!$AF$11</f>
        <v>📝 MOEDA</v>
      </c>
      <c r="D140" s="145" t="str">
        <f aca="false">IF(investirrendavariávelconsolidadodez[[#This Row],[TOTAL (R$)]]=0,"",IF(OR(investirrendavariávelconsolidadodez[[#This Row],[TOTAL (R$)]]=LARGE($AJ$132:$AJ$141,1),investirrendavariávelconsolidadodez[[#This Row],[TOTAL (R$)]]=LARGE($AJ$132:$AJ$141,2)),DADOS!$I$10,""))</f>
        <v/>
      </c>
      <c r="E140" s="148" t="n">
        <f aca="false">SUMIFS(tabela_registros[VALOR],tabela_registros[MÊS],$AE$1,tabela_registros[DIA],investirrendavariávelconsolidadodez[[#Headers],[1]],tabela_registros[REGISTRO],DADOS!$N$5,tabela_registros[TIPO],DADOS!$AB$4,tabela_registros[CATEGORIA],investirrendavariávelconsolidadodez[[#This Row],[ATUAL]])</f>
        <v>0</v>
      </c>
      <c r="F140" s="119" t="n">
        <f aca="false">SUMIFS(tabela_registros[VALOR],tabela_registros[MÊS],$AE$1,tabela_registros[DIA],investirrendavariávelconsolidadodez[[#Headers],[2]],tabela_registros[REGISTRO],DADOS!$N$5,tabela_registros[TIPO],DADOS!$AB$4,tabela_registros[CATEGORIA],investirrendavariávelconsolidadodez[[#This Row],[ATUAL]])</f>
        <v>0</v>
      </c>
      <c r="G140" s="119" t="n">
        <f aca="false">SUMIFS(tabela_registros[VALOR],tabela_registros[MÊS],$AE$1,tabela_registros[DIA],investirrendavariávelconsolidadodez[[#Headers],[3]],tabela_registros[REGISTRO],DADOS!$N$5,tabela_registros[TIPO],DADOS!$AB$4,tabela_registros[CATEGORIA],investirrendavariávelconsolidadodez[[#This Row],[ATUAL]])</f>
        <v>0</v>
      </c>
      <c r="H140" s="119" t="n">
        <f aca="false">SUMIFS(tabela_registros[VALOR],tabela_registros[MÊS],$AE$1,tabela_registros[DIA],investirrendavariávelconsolidadodez[[#Headers],[4]],tabela_registros[REGISTRO],DADOS!$N$5,tabela_registros[TIPO],DADOS!$AB$4,tabela_registros[CATEGORIA],investirrendavariávelconsolidadodez[[#This Row],[ATUAL]])</f>
        <v>0</v>
      </c>
      <c r="I140" s="119" t="n">
        <f aca="false">SUMIFS(tabela_registros[VALOR],tabela_registros[MÊS],$AE$1,tabela_registros[DIA],investirrendavariávelconsolidadodez[[#Headers],[5]],tabela_registros[REGISTRO],DADOS!$N$5,tabela_registros[TIPO],DADOS!$AB$4,tabela_registros[CATEGORIA],investirrendavariávelconsolidadodez[[#This Row],[ATUAL]])</f>
        <v>0</v>
      </c>
      <c r="J140" s="119" t="n">
        <f aca="false">SUMIFS(tabela_registros[VALOR],tabela_registros[MÊS],$AE$1,tabela_registros[DIA],investirrendavariávelconsolidadodez[[#Headers],[6]],tabela_registros[REGISTRO],DADOS!$N$5,tabela_registros[TIPO],DADOS!$AB$4,tabela_registros[CATEGORIA],investirrendavariávelconsolidadodez[[#This Row],[ATUAL]])</f>
        <v>0</v>
      </c>
      <c r="K140" s="119" t="n">
        <f aca="false">SUMIFS(tabela_registros[VALOR],tabela_registros[MÊS],$AE$1,tabela_registros[DIA],investirrendavariávelconsolidadodez[[#Headers],[7]],tabela_registros[REGISTRO],DADOS!$N$5,tabela_registros[TIPO],DADOS!$AB$4,tabela_registros[CATEGORIA],investirrendavariávelconsolidadodez[[#This Row],[ATUAL]])</f>
        <v>0</v>
      </c>
      <c r="L140" s="119" t="n">
        <f aca="false">SUMIFS(tabela_registros[VALOR],tabela_registros[MÊS],$AE$1,tabela_registros[DIA],investirrendavariávelconsolidadodez[[#Headers],[8]],tabela_registros[REGISTRO],DADOS!$N$5,tabela_registros[TIPO],DADOS!$AB$4,tabela_registros[CATEGORIA],investirrendavariávelconsolidadodez[[#This Row],[ATUAL]])</f>
        <v>0</v>
      </c>
      <c r="M140" s="119" t="n">
        <f aca="false">SUMIFS(tabela_registros[VALOR],tabela_registros[MÊS],$AE$1,tabela_registros[DIA],investirrendavariávelconsolidadodez[[#Headers],[9]],tabela_registros[REGISTRO],DADOS!$N$5,tabela_registros[TIPO],DADOS!$AB$4,tabela_registros[CATEGORIA],investirrendavariávelconsolidadodez[[#This Row],[ATUAL]])</f>
        <v>0</v>
      </c>
      <c r="N140" s="119" t="n">
        <f aca="false">SUMIFS(tabela_registros[VALOR],tabela_registros[MÊS],$AE$1,tabela_registros[DIA],investirrendavariávelconsolidadodez[[#Headers],[10]],tabela_registros[REGISTRO],DADOS!$N$5,tabela_registros[TIPO],DADOS!$AB$4,tabela_registros[CATEGORIA],investirrendavariávelconsolidadodez[[#This Row],[ATUAL]])</f>
        <v>0</v>
      </c>
      <c r="O140" s="119" t="n">
        <f aca="false">SUMIFS(tabela_registros[VALOR],tabela_registros[MÊS],$AE$1,tabela_registros[DIA],investirrendavariávelconsolidadodez[[#Headers],[11]],tabela_registros[REGISTRO],DADOS!$N$5,tabela_registros[TIPO],DADOS!$AB$4,tabela_registros[CATEGORIA],investirrendavariávelconsolidadodez[[#This Row],[ATUAL]])</f>
        <v>0</v>
      </c>
      <c r="P140" s="119" t="n">
        <f aca="false">SUMIFS(tabela_registros[VALOR],tabela_registros[MÊS],$AE$1,tabela_registros[DIA],investirrendavariávelconsolidadodez[[#Headers],[12]],tabela_registros[REGISTRO],DADOS!$N$5,tabela_registros[TIPO],DADOS!$AB$4,tabela_registros[CATEGORIA],investirrendavariávelconsolidadodez[[#This Row],[ATUAL]])</f>
        <v>0</v>
      </c>
      <c r="Q140" s="119" t="n">
        <f aca="false">SUMIFS(tabela_registros[VALOR],tabela_registros[MÊS],$AE$1,tabela_registros[DIA],investirrendavariávelconsolidadodez[[#Headers],[13]],tabela_registros[REGISTRO],DADOS!$N$5,tabela_registros[TIPO],DADOS!$AB$4,tabela_registros[CATEGORIA],investirrendavariávelconsolidadodez[[#This Row],[ATUAL]])</f>
        <v>0</v>
      </c>
      <c r="R140" s="119" t="n">
        <f aca="false">SUMIFS(tabela_registros[VALOR],tabela_registros[MÊS],$AE$1,tabela_registros[DIA],investirrendavariávelconsolidadodez[[#Headers],[14]],tabela_registros[REGISTRO],DADOS!$N$5,tabela_registros[TIPO],DADOS!$AB$4,tabela_registros[CATEGORIA],investirrendavariávelconsolidadodez[[#This Row],[ATUAL]])</f>
        <v>0</v>
      </c>
      <c r="S140" s="119" t="n">
        <f aca="false">SUMIFS(tabela_registros[VALOR],tabela_registros[MÊS],$AE$1,tabela_registros[DIA],investirrendavariávelconsolidadodez[[#Headers],[15]],tabela_registros[REGISTRO],DADOS!$N$5,tabela_registros[TIPO],DADOS!$AB$4,tabela_registros[CATEGORIA],investirrendavariávelconsolidadodez[[#This Row],[ATUAL]])</f>
        <v>0</v>
      </c>
      <c r="T140" s="119" t="n">
        <f aca="false">SUMIFS(tabela_registros[VALOR],tabela_registros[MÊS],$AE$1,tabela_registros[DIA],investirrendavariávelconsolidadodez[[#Headers],[16]],tabela_registros[REGISTRO],DADOS!$N$5,tabela_registros[TIPO],DADOS!$AB$4,tabela_registros[CATEGORIA],investirrendavariávelconsolidadodez[[#This Row],[ATUAL]])</f>
        <v>0</v>
      </c>
      <c r="U140" s="119" t="n">
        <f aca="false">SUMIFS(tabela_registros[VALOR],tabela_registros[MÊS],$AE$1,tabela_registros[DIA],investirrendavariávelconsolidadodez[[#Headers],[17]],tabela_registros[REGISTRO],DADOS!$N$5,tabela_registros[TIPO],DADOS!$AB$4,tabela_registros[CATEGORIA],investirrendavariávelconsolidadodez[[#This Row],[ATUAL]])</f>
        <v>0</v>
      </c>
      <c r="V140" s="119" t="n">
        <f aca="false">SUMIFS(tabela_registros[VALOR],tabela_registros[MÊS],$AE$1,tabela_registros[DIA],investirrendavariávelconsolidadodez[[#Headers],[18]],tabela_registros[REGISTRO],DADOS!$N$5,tabela_registros[TIPO],DADOS!$AB$4,tabela_registros[CATEGORIA],investirrendavariávelconsolidadodez[[#This Row],[ATUAL]])</f>
        <v>0</v>
      </c>
      <c r="W140" s="119" t="n">
        <f aca="false">SUMIFS(tabela_registros[VALOR],tabela_registros[MÊS],$AE$1,tabela_registros[DIA],investirrendavariávelconsolidadodez[[#Headers],[19]],tabela_registros[REGISTRO],DADOS!$N$5,tabela_registros[TIPO],DADOS!$AB$4,tabela_registros[CATEGORIA],investirrendavariávelconsolidadodez[[#This Row],[ATUAL]])</f>
        <v>0</v>
      </c>
      <c r="X140" s="119" t="n">
        <f aca="false">SUMIFS(tabela_registros[VALOR],tabela_registros[MÊS],$AE$1,tabela_registros[DIA],investirrendavariávelconsolidadodez[[#Headers],[20]],tabela_registros[REGISTRO],DADOS!$N$5,tabela_registros[TIPO],DADOS!$AB$4,tabela_registros[CATEGORIA],investirrendavariávelconsolidadodez[[#This Row],[ATUAL]])</f>
        <v>0</v>
      </c>
      <c r="Y140" s="119" t="n">
        <f aca="false">SUMIFS(tabela_registros[VALOR],tabela_registros[MÊS],$AE$1,tabela_registros[DIA],investirrendavariávelconsolidadodez[[#Headers],[21]],tabela_registros[REGISTRO],DADOS!$N$5,tabela_registros[TIPO],DADOS!$AB$4,tabela_registros[CATEGORIA],investirrendavariávelconsolidadodez[[#This Row],[ATUAL]])</f>
        <v>0</v>
      </c>
      <c r="Z140" s="119" t="n">
        <f aca="false">SUMIFS(tabela_registros[VALOR],tabela_registros[MÊS],$AE$1,tabela_registros[DIA],investirrendavariávelconsolidadodez[[#Headers],[22]],tabela_registros[REGISTRO],DADOS!$N$5,tabela_registros[TIPO],DADOS!$AB$4,tabela_registros[CATEGORIA],investirrendavariávelconsolidadodez[[#This Row],[ATUAL]])</f>
        <v>0</v>
      </c>
      <c r="AA140" s="119" t="n">
        <f aca="false">SUMIFS(tabela_registros[VALOR],tabela_registros[MÊS],$AE$1,tabela_registros[DIA],investirrendavariávelconsolidadodez[[#Headers],[23]],tabela_registros[REGISTRO],DADOS!$N$5,tabela_registros[TIPO],DADOS!$AB$4,tabela_registros[CATEGORIA],investirrendavariávelconsolidadodez[[#This Row],[ATUAL]])</f>
        <v>0</v>
      </c>
      <c r="AB140" s="119" t="n">
        <f aca="false">SUMIFS(tabela_registros[VALOR],tabela_registros[MÊS],$AE$1,tabela_registros[DIA],investirrendavariávelconsolidadodez[[#Headers],[24]],tabela_registros[REGISTRO],DADOS!$N$5,tabela_registros[TIPO],DADOS!$AB$4,tabela_registros[CATEGORIA],investirrendavariávelconsolidadodez[[#This Row],[ATUAL]])</f>
        <v>0</v>
      </c>
      <c r="AC140" s="119" t="n">
        <f aca="false">SUMIFS(tabela_registros[VALOR],tabela_registros[MÊS],$AE$1,tabela_registros[DIA],investirrendavariávelconsolidadodez[[#Headers],[25]],tabela_registros[REGISTRO],DADOS!$N$5,tabela_registros[TIPO],DADOS!$AB$4,tabela_registros[CATEGORIA],investirrendavariávelconsolidadodez[[#This Row],[ATUAL]])</f>
        <v>0</v>
      </c>
      <c r="AD140" s="119" t="n">
        <f aca="false">SUMIFS(tabela_registros[VALOR],tabela_registros[MÊS],$AE$1,tabela_registros[DIA],investirrendavariávelconsolidadodez[[#Headers],[26]],tabela_registros[REGISTRO],DADOS!$N$5,tabela_registros[TIPO],DADOS!$AB$4,tabela_registros[CATEGORIA],investirrendavariávelconsolidadodez[[#This Row],[ATUAL]])</f>
        <v>0</v>
      </c>
      <c r="AE140" s="119" t="n">
        <f aca="false">SUMIFS(tabela_registros[VALOR],tabela_registros[MÊS],$AE$1,tabela_registros[DIA],investirrendavariávelconsolidadodez[[#Headers],[27]],tabela_registros[REGISTRO],DADOS!$N$5,tabela_registros[TIPO],DADOS!$AB$4,tabela_registros[CATEGORIA],investirrendavariávelconsolidadodez[[#This Row],[ATUAL]])</f>
        <v>0</v>
      </c>
      <c r="AF140" s="119" t="n">
        <f aca="false">SUMIFS(tabela_registros[VALOR],tabela_registros[MÊS],$AE$1,tabela_registros[DIA],investirrendavariávelconsolidadodez[[#Headers],[28]],tabela_registros[REGISTRO],DADOS!$N$5,tabela_registros[TIPO],DADOS!$AB$4,tabela_registros[CATEGORIA],investirrendavariávelconsolidadodez[[#This Row],[ATUAL]])</f>
        <v>0</v>
      </c>
      <c r="AG140" s="119" t="n">
        <f aca="false">SUMIFS(tabela_registros[VALOR],tabela_registros[MÊS],$AE$1,tabela_registros[DIA],investirrendavariávelconsolidadodez[[#Headers],[29]],tabela_registros[REGISTRO],DADOS!$N$5,tabela_registros[TIPO],DADOS!$AB$4,tabela_registros[CATEGORIA],investirrendavariávelconsolidadodez[[#This Row],[ATUAL]])</f>
        <v>0</v>
      </c>
      <c r="AH140" s="119" t="n">
        <f aca="false">SUMIFS(tabela_registros[VALOR],tabela_registros[MÊS],$AE$1,tabela_registros[DIA],investirrendavariávelconsolidadodez[[#Headers],[30]],tabela_registros[REGISTRO],DADOS!$N$5,tabela_registros[TIPO],DADOS!$AB$4,tabela_registros[CATEGORIA],investirrendavariávelconsolidadodez[[#This Row],[ATUAL]])</f>
        <v>0</v>
      </c>
      <c r="AI140" s="217" t="n">
        <f aca="false">SUMIFS(tabela_registros[VALOR],tabela_registros[MÊS],$AE$1,tabela_registros[DIA],investirrendavariávelconsolidadodez[[#Headers],[31]],tabela_registros[REGISTRO],DADOS!$N$5,tabela_registros[TIPO],DADOS!$AB$4,tabela_registros[CATEGORIA],investirrendavariávelconsolidadodez[[#This Row],[ATUAL]])</f>
        <v>0</v>
      </c>
      <c r="AJ140" s="237" t="n">
        <f aca="false">SUM(investirrendavariávelconsolidadodez[[#This Row],[1]:[31]])</f>
        <v>0</v>
      </c>
      <c r="AK140" s="165"/>
    </row>
    <row r="141" customFormat="false" ht="19.5" hidden="false" customHeight="true" outlineLevel="0" collapsed="false">
      <c r="B141" s="143"/>
      <c r="C141" s="144" t="str">
        <f aca="false">DADOS!$AF$12</f>
        <v>📎 OUTROS</v>
      </c>
      <c r="D141" s="145" t="str">
        <f aca="false">IF(investirrendavariávelconsolidadodez[[#This Row],[TOTAL (R$)]]=0,"",IF(OR(investirrendavariávelconsolidadodez[[#This Row],[TOTAL (R$)]]=LARGE($AJ$132:$AJ$141,1),investirrendavariávelconsolidadodez[[#This Row],[TOTAL (R$)]]=LARGE($AJ$132:$AJ$141,2)),DADOS!$I$10,""))</f>
        <v/>
      </c>
      <c r="E141" s="148" t="n">
        <f aca="false">SUMIFS(tabela_registros[VALOR],tabela_registros[MÊS],$AE$1,tabela_registros[DIA],investirrendavariávelconsolidadodez[[#Headers],[1]],tabela_registros[REGISTRO],DADOS!$N$5,tabela_registros[TIPO],DADOS!$AB$4,tabela_registros[CATEGORIA],investirrendavariávelconsolidadodez[[#This Row],[ATUAL]])</f>
        <v>0</v>
      </c>
      <c r="F141" s="119" t="n">
        <f aca="false">SUMIFS(tabela_registros[VALOR],tabela_registros[MÊS],$AE$1,tabela_registros[DIA],investirrendavariávelconsolidadodez[[#Headers],[2]],tabela_registros[REGISTRO],DADOS!$N$5,tabela_registros[TIPO],DADOS!$AB$4,tabela_registros[CATEGORIA],investirrendavariávelconsolidadodez[[#This Row],[ATUAL]])</f>
        <v>0</v>
      </c>
      <c r="G141" s="119" t="n">
        <f aca="false">SUMIFS(tabela_registros[VALOR],tabela_registros[MÊS],$AE$1,tabela_registros[DIA],investirrendavariávelconsolidadodez[[#Headers],[3]],tabela_registros[REGISTRO],DADOS!$N$5,tabela_registros[TIPO],DADOS!$AB$4,tabela_registros[CATEGORIA],investirrendavariávelconsolidadodez[[#This Row],[ATUAL]])</f>
        <v>0</v>
      </c>
      <c r="H141" s="119" t="n">
        <f aca="false">SUMIFS(tabela_registros[VALOR],tabela_registros[MÊS],$AE$1,tabela_registros[DIA],investirrendavariávelconsolidadodez[[#Headers],[4]],tabela_registros[REGISTRO],DADOS!$N$5,tabela_registros[TIPO],DADOS!$AB$4,tabela_registros[CATEGORIA],investirrendavariávelconsolidadodez[[#This Row],[ATUAL]])</f>
        <v>0</v>
      </c>
      <c r="I141" s="119" t="n">
        <f aca="false">SUMIFS(tabela_registros[VALOR],tabela_registros[MÊS],$AE$1,tabela_registros[DIA],investirrendavariávelconsolidadodez[[#Headers],[5]],tabela_registros[REGISTRO],DADOS!$N$5,tabela_registros[TIPO],DADOS!$AB$4,tabela_registros[CATEGORIA],investirrendavariávelconsolidadodez[[#This Row],[ATUAL]])</f>
        <v>0</v>
      </c>
      <c r="J141" s="119" t="n">
        <f aca="false">SUMIFS(tabela_registros[VALOR],tabela_registros[MÊS],$AE$1,tabela_registros[DIA],investirrendavariávelconsolidadodez[[#Headers],[6]],tabela_registros[REGISTRO],DADOS!$N$5,tabela_registros[TIPO],DADOS!$AB$4,tabela_registros[CATEGORIA],investirrendavariávelconsolidadodez[[#This Row],[ATUAL]])</f>
        <v>0</v>
      </c>
      <c r="K141" s="119" t="n">
        <f aca="false">SUMIFS(tabela_registros[VALOR],tabela_registros[MÊS],$AE$1,tabela_registros[DIA],investirrendavariávelconsolidadodez[[#Headers],[7]],tabela_registros[REGISTRO],DADOS!$N$5,tabela_registros[TIPO],DADOS!$AB$4,tabela_registros[CATEGORIA],investirrendavariávelconsolidadodez[[#This Row],[ATUAL]])</f>
        <v>0</v>
      </c>
      <c r="L141" s="119" t="n">
        <f aca="false">SUMIFS(tabela_registros[VALOR],tabela_registros[MÊS],$AE$1,tabela_registros[DIA],investirrendavariávelconsolidadodez[[#Headers],[8]],tabela_registros[REGISTRO],DADOS!$N$5,tabela_registros[TIPO],DADOS!$AB$4,tabela_registros[CATEGORIA],investirrendavariávelconsolidadodez[[#This Row],[ATUAL]])</f>
        <v>0</v>
      </c>
      <c r="M141" s="119" t="n">
        <f aca="false">SUMIFS(tabela_registros[VALOR],tabela_registros[MÊS],$AE$1,tabela_registros[DIA],investirrendavariávelconsolidadodez[[#Headers],[9]],tabela_registros[REGISTRO],DADOS!$N$5,tabela_registros[TIPO],DADOS!$AB$4,tabela_registros[CATEGORIA],investirrendavariávelconsolidadodez[[#This Row],[ATUAL]])</f>
        <v>0</v>
      </c>
      <c r="N141" s="119" t="n">
        <f aca="false">SUMIFS(tabela_registros[VALOR],tabela_registros[MÊS],$AE$1,tabela_registros[DIA],investirrendavariávelconsolidadodez[[#Headers],[10]],tabela_registros[REGISTRO],DADOS!$N$5,tabela_registros[TIPO],DADOS!$AB$4,tabela_registros[CATEGORIA],investirrendavariávelconsolidadodez[[#This Row],[ATUAL]])</f>
        <v>0</v>
      </c>
      <c r="O141" s="119" t="n">
        <f aca="false">SUMIFS(tabela_registros[VALOR],tabela_registros[MÊS],$AE$1,tabela_registros[DIA],investirrendavariávelconsolidadodez[[#Headers],[11]],tabela_registros[REGISTRO],DADOS!$N$5,tabela_registros[TIPO],DADOS!$AB$4,tabela_registros[CATEGORIA],investirrendavariávelconsolidadodez[[#This Row],[ATUAL]])</f>
        <v>0</v>
      </c>
      <c r="P141" s="119" t="n">
        <f aca="false">SUMIFS(tabela_registros[VALOR],tabela_registros[MÊS],$AE$1,tabela_registros[DIA],investirrendavariávelconsolidadodez[[#Headers],[12]],tabela_registros[REGISTRO],DADOS!$N$5,tabela_registros[TIPO],DADOS!$AB$4,tabela_registros[CATEGORIA],investirrendavariávelconsolidadodez[[#This Row],[ATUAL]])</f>
        <v>0</v>
      </c>
      <c r="Q141" s="119" t="n">
        <f aca="false">SUMIFS(tabela_registros[VALOR],tabela_registros[MÊS],$AE$1,tabela_registros[DIA],investirrendavariávelconsolidadodez[[#Headers],[13]],tabela_registros[REGISTRO],DADOS!$N$5,tabela_registros[TIPO],DADOS!$AB$4,tabela_registros[CATEGORIA],investirrendavariávelconsolidadodez[[#This Row],[ATUAL]])</f>
        <v>0</v>
      </c>
      <c r="R141" s="119" t="n">
        <f aca="false">SUMIFS(tabela_registros[VALOR],tabela_registros[MÊS],$AE$1,tabela_registros[DIA],investirrendavariávelconsolidadodez[[#Headers],[14]],tabela_registros[REGISTRO],DADOS!$N$5,tabela_registros[TIPO],DADOS!$AB$4,tabela_registros[CATEGORIA],investirrendavariávelconsolidadodez[[#This Row],[ATUAL]])</f>
        <v>0</v>
      </c>
      <c r="S141" s="119" t="n">
        <f aca="false">SUMIFS(tabela_registros[VALOR],tabela_registros[MÊS],$AE$1,tabela_registros[DIA],investirrendavariávelconsolidadodez[[#Headers],[15]],tabela_registros[REGISTRO],DADOS!$N$5,tabela_registros[TIPO],DADOS!$AB$4,tabela_registros[CATEGORIA],investirrendavariávelconsolidadodez[[#This Row],[ATUAL]])</f>
        <v>0</v>
      </c>
      <c r="T141" s="119" t="n">
        <f aca="false">SUMIFS(tabela_registros[VALOR],tabela_registros[MÊS],$AE$1,tabela_registros[DIA],investirrendavariávelconsolidadodez[[#Headers],[16]],tabela_registros[REGISTRO],DADOS!$N$5,tabela_registros[TIPO],DADOS!$AB$4,tabela_registros[CATEGORIA],investirrendavariávelconsolidadodez[[#This Row],[ATUAL]])</f>
        <v>0</v>
      </c>
      <c r="U141" s="119" t="n">
        <f aca="false">SUMIFS(tabela_registros[VALOR],tabela_registros[MÊS],$AE$1,tabela_registros[DIA],investirrendavariávelconsolidadodez[[#Headers],[17]],tabela_registros[REGISTRO],DADOS!$N$5,tabela_registros[TIPO],DADOS!$AB$4,tabela_registros[CATEGORIA],investirrendavariávelconsolidadodez[[#This Row],[ATUAL]])</f>
        <v>0</v>
      </c>
      <c r="V141" s="119" t="n">
        <f aca="false">SUMIFS(tabela_registros[VALOR],tabela_registros[MÊS],$AE$1,tabela_registros[DIA],investirrendavariávelconsolidadodez[[#Headers],[18]],tabela_registros[REGISTRO],DADOS!$N$5,tabela_registros[TIPO],DADOS!$AB$4,tabela_registros[CATEGORIA],investirrendavariávelconsolidadodez[[#This Row],[ATUAL]])</f>
        <v>0</v>
      </c>
      <c r="W141" s="119" t="n">
        <f aca="false">SUMIFS(tabela_registros[VALOR],tabela_registros[MÊS],$AE$1,tabela_registros[DIA],investirrendavariávelconsolidadodez[[#Headers],[19]],tabela_registros[REGISTRO],DADOS!$N$5,tabela_registros[TIPO],DADOS!$AB$4,tabela_registros[CATEGORIA],investirrendavariávelconsolidadodez[[#This Row],[ATUAL]])</f>
        <v>0</v>
      </c>
      <c r="X141" s="119" t="n">
        <f aca="false">SUMIFS(tabela_registros[VALOR],tabela_registros[MÊS],$AE$1,tabela_registros[DIA],investirrendavariávelconsolidadodez[[#Headers],[20]],tabela_registros[REGISTRO],DADOS!$N$5,tabela_registros[TIPO],DADOS!$AB$4,tabela_registros[CATEGORIA],investirrendavariávelconsolidadodez[[#This Row],[ATUAL]])</f>
        <v>0</v>
      </c>
      <c r="Y141" s="119" t="n">
        <f aca="false">SUMIFS(tabela_registros[VALOR],tabela_registros[MÊS],$AE$1,tabela_registros[DIA],investirrendavariávelconsolidadodez[[#Headers],[21]],tabela_registros[REGISTRO],DADOS!$N$5,tabela_registros[TIPO],DADOS!$AB$4,tabela_registros[CATEGORIA],investirrendavariávelconsolidadodez[[#This Row],[ATUAL]])</f>
        <v>0</v>
      </c>
      <c r="Z141" s="119" t="n">
        <f aca="false">SUMIFS(tabela_registros[VALOR],tabela_registros[MÊS],$AE$1,tabela_registros[DIA],investirrendavariávelconsolidadodez[[#Headers],[22]],tabela_registros[REGISTRO],DADOS!$N$5,tabela_registros[TIPO],DADOS!$AB$4,tabela_registros[CATEGORIA],investirrendavariávelconsolidadodez[[#This Row],[ATUAL]])</f>
        <v>0</v>
      </c>
      <c r="AA141" s="119" t="n">
        <f aca="false">SUMIFS(tabela_registros[VALOR],tabela_registros[MÊS],$AE$1,tabela_registros[DIA],investirrendavariávelconsolidadodez[[#Headers],[23]],tabela_registros[REGISTRO],DADOS!$N$5,tabela_registros[TIPO],DADOS!$AB$4,tabela_registros[CATEGORIA],investirrendavariávelconsolidadodez[[#This Row],[ATUAL]])</f>
        <v>0</v>
      </c>
      <c r="AB141" s="119" t="n">
        <f aca="false">SUMIFS(tabela_registros[VALOR],tabela_registros[MÊS],$AE$1,tabela_registros[DIA],investirrendavariávelconsolidadodez[[#Headers],[24]],tabela_registros[REGISTRO],DADOS!$N$5,tabela_registros[TIPO],DADOS!$AB$4,tabela_registros[CATEGORIA],investirrendavariávelconsolidadodez[[#This Row],[ATUAL]])</f>
        <v>0</v>
      </c>
      <c r="AC141" s="119" t="n">
        <f aca="false">SUMIFS(tabela_registros[VALOR],tabela_registros[MÊS],$AE$1,tabela_registros[DIA],investirrendavariávelconsolidadodez[[#Headers],[25]],tabela_registros[REGISTRO],DADOS!$N$5,tabela_registros[TIPO],DADOS!$AB$4,tabela_registros[CATEGORIA],investirrendavariávelconsolidadodez[[#This Row],[ATUAL]])</f>
        <v>0</v>
      </c>
      <c r="AD141" s="119" t="n">
        <f aca="false">SUMIFS(tabela_registros[VALOR],tabela_registros[MÊS],$AE$1,tabela_registros[DIA],investirrendavariávelconsolidadodez[[#Headers],[26]],tabela_registros[REGISTRO],DADOS!$N$5,tabela_registros[TIPO],DADOS!$AB$4,tabela_registros[CATEGORIA],investirrendavariávelconsolidadodez[[#This Row],[ATUAL]])</f>
        <v>0</v>
      </c>
      <c r="AE141" s="119" t="n">
        <f aca="false">SUMIFS(tabela_registros[VALOR],tabela_registros[MÊS],$AE$1,tabela_registros[DIA],investirrendavariávelconsolidadodez[[#Headers],[27]],tabela_registros[REGISTRO],DADOS!$N$5,tabela_registros[TIPO],DADOS!$AB$4,tabela_registros[CATEGORIA],investirrendavariávelconsolidadodez[[#This Row],[ATUAL]])</f>
        <v>0</v>
      </c>
      <c r="AF141" s="119" t="n">
        <f aca="false">SUMIFS(tabela_registros[VALOR],tabela_registros[MÊS],$AE$1,tabela_registros[DIA],investirrendavariávelconsolidadodez[[#Headers],[28]],tabela_registros[REGISTRO],DADOS!$N$5,tabela_registros[TIPO],DADOS!$AB$4,tabela_registros[CATEGORIA],investirrendavariávelconsolidadodez[[#This Row],[ATUAL]])</f>
        <v>0</v>
      </c>
      <c r="AG141" s="119" t="n">
        <f aca="false">SUMIFS(tabela_registros[VALOR],tabela_registros[MÊS],$AE$1,tabela_registros[DIA],investirrendavariávelconsolidadodez[[#Headers],[29]],tabela_registros[REGISTRO],DADOS!$N$5,tabela_registros[TIPO],DADOS!$AB$4,tabela_registros[CATEGORIA],investirrendavariávelconsolidadodez[[#This Row],[ATUAL]])</f>
        <v>0</v>
      </c>
      <c r="AH141" s="119" t="n">
        <f aca="false">SUMIFS(tabela_registros[VALOR],tabela_registros[MÊS],$AE$1,tabela_registros[DIA],investirrendavariávelconsolidadodez[[#Headers],[30]],tabela_registros[REGISTRO],DADOS!$N$5,tabela_registros[TIPO],DADOS!$AB$4,tabela_registros[CATEGORIA],investirrendavariávelconsolidadodez[[#This Row],[ATUAL]])</f>
        <v>0</v>
      </c>
      <c r="AI141" s="218" t="n">
        <f aca="false">SUMIFS(tabela_registros[VALOR],tabela_registros[MÊS],$AE$1,tabela_registros[DIA],investirrendavariávelconsolidadodez[[#Headers],[31]],tabela_registros[REGISTRO],DADOS!$N$5,tabela_registros[TIPO],DADOS!$AB$4,tabela_registros[CATEGORIA],investirrendavariávelconsolidadodez[[#This Row],[ATUAL]])</f>
        <v>0</v>
      </c>
      <c r="AJ141" s="149" t="n">
        <f aca="false">SUM(investirrendavariávelconsolidadodez[[#This Row],[1]:[31]])</f>
        <v>0</v>
      </c>
      <c r="AK141" s="165"/>
    </row>
    <row r="142" s="122" customFormat="true" ht="21" hidden="false" customHeight="true" outlineLevel="0" collapsed="false">
      <c r="B142" s="152"/>
      <c r="C142" s="153" t="s">
        <v>2</v>
      </c>
      <c r="D142" s="166"/>
      <c r="E142" s="155" t="n">
        <f aca="false">SUM(E132:E141)</f>
        <v>0</v>
      </c>
      <c r="F142" s="156" t="n">
        <f aca="false">SUM(F132:F141)+investirrendavariávelconsolidadodez[[#This Row],[1]]</f>
        <v>0</v>
      </c>
      <c r="G142" s="156" t="n">
        <f aca="false">SUM(G132:G141)+investirrendavariávelconsolidadodez[[#This Row],[2]]</f>
        <v>0</v>
      </c>
      <c r="H142" s="156" t="n">
        <f aca="false">SUM(H132:H141)+investirrendavariávelconsolidadodez[[#This Row],[3]]</f>
        <v>0</v>
      </c>
      <c r="I142" s="156" t="n">
        <f aca="false">SUM(I132:I141)+investirrendavariávelconsolidadodez[[#This Row],[4]]</f>
        <v>0</v>
      </c>
      <c r="J142" s="156" t="n">
        <f aca="false">SUM(J132:J141)+investirrendavariávelconsolidadodez[[#This Row],[5]]</f>
        <v>0</v>
      </c>
      <c r="K142" s="156" t="n">
        <f aca="false">SUM(K132:K141)+investirrendavariávelconsolidadodez[[#This Row],[6]]</f>
        <v>0</v>
      </c>
      <c r="L142" s="156" t="n">
        <f aca="false">SUM(L132:L141)+investirrendavariávelconsolidadodez[[#This Row],[7]]</f>
        <v>0</v>
      </c>
      <c r="M142" s="156" t="n">
        <f aca="false">SUM(M132:M141)+investirrendavariávelconsolidadodez[[#This Row],[8]]</f>
        <v>0</v>
      </c>
      <c r="N142" s="156" t="n">
        <f aca="false">SUM(N132:N141)+investirrendavariávelconsolidadodez[[#This Row],[9]]</f>
        <v>0</v>
      </c>
      <c r="O142" s="156" t="n">
        <f aca="false">SUM(O132:O141)+investirrendavariávelconsolidadodez[[#This Row],[10]]</f>
        <v>0</v>
      </c>
      <c r="P142" s="156" t="n">
        <f aca="false">SUM(P132:P141)+investirrendavariávelconsolidadodez[[#This Row],[11]]</f>
        <v>0</v>
      </c>
      <c r="Q142" s="156" t="n">
        <f aca="false">SUM(Q132:Q141)+investirrendavariávelconsolidadodez[[#This Row],[12]]</f>
        <v>0</v>
      </c>
      <c r="R142" s="156" t="n">
        <f aca="false">SUM(R132:R141)+investirrendavariávelconsolidadodez[[#This Row],[13]]</f>
        <v>0</v>
      </c>
      <c r="S142" s="156" t="n">
        <f aca="false">SUM(S132:S141)+investirrendavariávelconsolidadodez[[#This Row],[14]]</f>
        <v>0</v>
      </c>
      <c r="T142" s="156" t="n">
        <f aca="false">SUM(T132:T141)+investirrendavariávelconsolidadodez[[#This Row],[15]]</f>
        <v>0</v>
      </c>
      <c r="U142" s="156" t="n">
        <f aca="false">SUM(U132:U141)+investirrendavariávelconsolidadodez[[#This Row],[16]]</f>
        <v>0</v>
      </c>
      <c r="V142" s="156" t="n">
        <f aca="false">SUM(V132:V141)+investirrendavariávelconsolidadodez[[#This Row],[17]]</f>
        <v>0</v>
      </c>
      <c r="W142" s="156" t="n">
        <f aca="false">SUM(W132:W141)+investirrendavariávelconsolidadodez[[#This Row],[18]]</f>
        <v>0</v>
      </c>
      <c r="X142" s="156" t="n">
        <f aca="false">SUM(X132:X141)+investirrendavariávelconsolidadodez[[#This Row],[19]]</f>
        <v>0</v>
      </c>
      <c r="Y142" s="156" t="n">
        <f aca="false">SUM(Y132:Y141)+investirrendavariávelconsolidadodez[[#This Row],[20]]</f>
        <v>0</v>
      </c>
      <c r="Z142" s="156" t="n">
        <f aca="false">SUM(Z132:Z141)+investirrendavariávelconsolidadodez[[#This Row],[21]]</f>
        <v>0</v>
      </c>
      <c r="AA142" s="156" t="n">
        <f aca="false">SUM(AA132:AA141)+investirrendavariávelconsolidadodez[[#This Row],[22]]</f>
        <v>0</v>
      </c>
      <c r="AB142" s="156" t="n">
        <f aca="false">SUM(AB132:AB141)+investirrendavariávelconsolidadodez[[#This Row],[23]]</f>
        <v>0</v>
      </c>
      <c r="AC142" s="156" t="n">
        <f aca="false">SUM(AC132:AC141)+investirrendavariávelconsolidadodez[[#This Row],[24]]</f>
        <v>0</v>
      </c>
      <c r="AD142" s="156" t="n">
        <f aca="false">SUM(AD132:AD141)+investirrendavariávelconsolidadodez[[#This Row],[25]]</f>
        <v>0</v>
      </c>
      <c r="AE142" s="156" t="n">
        <f aca="false">SUM(AE132:AE141)+investirrendavariávelconsolidadodez[[#This Row],[26]]</f>
        <v>0</v>
      </c>
      <c r="AF142" s="156" t="n">
        <f aca="false">SUM(AF132:AF141)+investirrendavariávelconsolidadodez[[#This Row],[27]]</f>
        <v>0</v>
      </c>
      <c r="AG142" s="156" t="n">
        <f aca="false">SUM(AG132:AG141)+investirrendavariávelconsolidadodez[[#This Row],[28]]</f>
        <v>0</v>
      </c>
      <c r="AH142" s="156" t="n">
        <f aca="false">SUM(AH132:AH141)+investirrendavariávelconsolidadodez[[#This Row],[29]]</f>
        <v>0</v>
      </c>
      <c r="AI142" s="223" t="n">
        <f aca="false">SUM(AI132:AI141)+investirrendavariávelconsolidadodez[[#This Row],[30]]</f>
        <v>0</v>
      </c>
      <c r="AJ142" s="157" t="n">
        <f aca="false">investirrendavariávelconsolidadodez[[#This Row],[31]]</f>
        <v>0</v>
      </c>
      <c r="AK142" s="158"/>
    </row>
    <row r="143" customFormat="false" ht="6.75" hidden="false" customHeight="true" outlineLevel="0" collapsed="false">
      <c r="B143" s="97"/>
      <c r="C143" s="162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233"/>
      <c r="AJ143" s="164"/>
      <c r="AK143" s="244"/>
    </row>
    <row r="144" s="78" customFormat="true" ht="12.75" hidden="false" customHeight="false" outlineLevel="0" collapsed="false">
      <c r="E144" s="100"/>
    </row>
    <row r="145" s="78" customFormat="true" ht="12" hidden="false" customHeight="false" outlineLevel="0" collapsed="false"/>
    <row r="146" s="78" customFormat="true" ht="12" hidden="false" customHeight="false" outlineLevel="0" collapsed="false"/>
    <row r="147" customFormat="false" ht="39.75" hidden="false" customHeight="true" outlineLevel="0" collapsed="false">
      <c r="C147" s="101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3" t="s">
        <v>2</v>
      </c>
    </row>
    <row r="148" s="78" customFormat="true" ht="12.75" hidden="false" customHeight="false" outlineLevel="0" collapsed="false">
      <c r="B148" s="161"/>
      <c r="AJ148" s="106" t="s">
        <v>64</v>
      </c>
    </row>
    <row r="149" customFormat="false" ht="6.75" hidden="false" customHeight="true" outlineLevel="0" collapsed="false">
      <c r="B149" s="86"/>
      <c r="C149" s="162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233"/>
      <c r="AK149" s="139"/>
    </row>
    <row r="150" customFormat="false" ht="13.5" hidden="true" customHeight="false" outlineLevel="0" collapsed="false">
      <c r="B150" s="86"/>
      <c r="C150" s="109" t="s">
        <v>68</v>
      </c>
      <c r="D150" s="110" t="s">
        <v>69</v>
      </c>
      <c r="E150" s="110" t="s">
        <v>30</v>
      </c>
      <c r="F150" s="110" t="s">
        <v>31</v>
      </c>
      <c r="G150" s="110" t="s">
        <v>32</v>
      </c>
      <c r="H150" s="110" t="s">
        <v>33</v>
      </c>
      <c r="I150" s="110" t="s">
        <v>34</v>
      </c>
      <c r="J150" s="110" t="s">
        <v>35</v>
      </c>
      <c r="K150" s="110" t="s">
        <v>36</v>
      </c>
      <c r="L150" s="110" t="s">
        <v>37</v>
      </c>
      <c r="M150" s="110" t="s">
        <v>38</v>
      </c>
      <c r="N150" s="110" t="s">
        <v>39</v>
      </c>
      <c r="O150" s="110" t="s">
        <v>40</v>
      </c>
      <c r="P150" s="110" t="s">
        <v>41</v>
      </c>
      <c r="Q150" s="110" t="s">
        <v>81</v>
      </c>
      <c r="R150" s="110" t="s">
        <v>82</v>
      </c>
      <c r="S150" s="110" t="s">
        <v>83</v>
      </c>
      <c r="T150" s="110" t="s">
        <v>84</v>
      </c>
      <c r="U150" s="110" t="s">
        <v>85</v>
      </c>
      <c r="V150" s="110" t="s">
        <v>86</v>
      </c>
      <c r="W150" s="110" t="s">
        <v>87</v>
      </c>
      <c r="X150" s="110" t="s">
        <v>88</v>
      </c>
      <c r="Y150" s="110" t="s">
        <v>89</v>
      </c>
      <c r="Z150" s="110" t="s">
        <v>90</v>
      </c>
      <c r="AA150" s="110" t="s">
        <v>91</v>
      </c>
      <c r="AB150" s="110" t="s">
        <v>92</v>
      </c>
      <c r="AC150" s="110" t="s">
        <v>93</v>
      </c>
      <c r="AD150" s="110" t="s">
        <v>94</v>
      </c>
      <c r="AE150" s="110" t="s">
        <v>95</v>
      </c>
      <c r="AF150" s="110" t="s">
        <v>96</v>
      </c>
      <c r="AG150" s="110" t="s">
        <v>97</v>
      </c>
      <c r="AH150" s="110" t="s">
        <v>98</v>
      </c>
      <c r="AI150" s="110" t="s">
        <v>99</v>
      </c>
      <c r="AJ150" s="111" t="s">
        <v>70</v>
      </c>
      <c r="AK150" s="86"/>
    </row>
    <row r="151" customFormat="false" ht="19.5" hidden="false" customHeight="true" outlineLevel="0" collapsed="false">
      <c r="B151" s="143"/>
      <c r="C151" s="144" t="str">
        <f aca="false">DADOS!$AH$3</f>
        <v>📝 COE</v>
      </c>
      <c r="D151" s="145" t="str">
        <f aca="false">IF(investiroutrosconsolidadodez[[#This Row],[TOTAL (R$)]]=0,"",IF(OR(investiroutrosconsolidadodez[[#This Row],[TOTAL (R$)]]=LARGE($AJ$151:$AJ$158,1),investiroutrosconsolidadodez[[#This Row],[TOTAL (R$)]]=LARGE($AJ$151:$AJ$158,2)),DADOS!$I$10,""))</f>
        <v/>
      </c>
      <c r="E151" s="148" t="n">
        <f aca="false">SUMIFS(tabela_registros[VALOR],tabela_registros[MÊS],$AE$1,tabela_registros[DIA],investiroutrosconsolidadodez[[#Headers],[1]],tabela_registros[REGISTRO],DADOS!$N$5,tabela_registros[TIPO],DADOS!$AB$5,tabela_registros[CATEGORIA],investiroutrosconsolidadodez[[#This Row],[ATUAL]])</f>
        <v>0</v>
      </c>
      <c r="F151" s="119" t="n">
        <f aca="false">SUMIFS(tabela_registros[VALOR],tabela_registros[MÊS],$AE$1,tabela_registros[DIA],investiroutrosconsolidadodez[[#Headers],[2]],tabela_registros[REGISTRO],DADOS!$N$5,tabela_registros[TIPO],DADOS!$AB$5,tabela_registros[CATEGORIA],investiroutrosconsolidadodez[[#This Row],[ATUAL]])</f>
        <v>0</v>
      </c>
      <c r="G151" s="119" t="n">
        <f aca="false">SUMIFS(tabela_registros[VALOR],tabela_registros[MÊS],$AE$1,tabela_registros[DIA],investiroutrosconsolidadodez[[#Headers],[3]],tabela_registros[REGISTRO],DADOS!$N$5,tabela_registros[TIPO],DADOS!$AB$5,tabela_registros[CATEGORIA],investiroutrosconsolidadodez[[#This Row],[ATUAL]])</f>
        <v>0</v>
      </c>
      <c r="H151" s="119" t="n">
        <f aca="false">SUMIFS(tabela_registros[VALOR],tabela_registros[MÊS],$AE$1,tabela_registros[DIA],investiroutrosconsolidadodez[[#Headers],[4]],tabela_registros[REGISTRO],DADOS!$N$5,tabela_registros[TIPO],DADOS!$AB$5,tabela_registros[CATEGORIA],investiroutrosconsolidadodez[[#This Row],[ATUAL]])</f>
        <v>0</v>
      </c>
      <c r="I151" s="119" t="n">
        <f aca="false">SUMIFS(tabela_registros[VALOR],tabela_registros[MÊS],$AE$1,tabela_registros[DIA],investiroutrosconsolidadodez[[#Headers],[5]],tabela_registros[REGISTRO],DADOS!$N$5,tabela_registros[TIPO],DADOS!$AB$5,tabela_registros[CATEGORIA],investiroutrosconsolidadodez[[#This Row],[ATUAL]])</f>
        <v>0</v>
      </c>
      <c r="J151" s="119" t="n">
        <f aca="false">SUMIFS(tabela_registros[VALOR],tabela_registros[MÊS],$AE$1,tabela_registros[DIA],investiroutrosconsolidadodez[[#Headers],[6]],tabela_registros[REGISTRO],DADOS!$N$5,tabela_registros[TIPO],DADOS!$AB$5,tabela_registros[CATEGORIA],investiroutrosconsolidadodez[[#This Row],[ATUAL]])</f>
        <v>0</v>
      </c>
      <c r="K151" s="119" t="n">
        <f aca="false">SUMIFS(tabela_registros[VALOR],tabela_registros[MÊS],$AE$1,tabela_registros[DIA],investiroutrosconsolidadodez[[#Headers],[7]],tabela_registros[REGISTRO],DADOS!$N$5,tabela_registros[TIPO],DADOS!$AB$5,tabela_registros[CATEGORIA],investiroutrosconsolidadodez[[#This Row],[ATUAL]])</f>
        <v>0</v>
      </c>
      <c r="L151" s="119" t="n">
        <f aca="false">SUMIFS(tabela_registros[VALOR],tabela_registros[MÊS],$AE$1,tabela_registros[DIA],investiroutrosconsolidadodez[[#Headers],[8]],tabela_registros[REGISTRO],DADOS!$N$5,tabela_registros[TIPO],DADOS!$AB$5,tabela_registros[CATEGORIA],investiroutrosconsolidadodez[[#This Row],[ATUAL]])</f>
        <v>0</v>
      </c>
      <c r="M151" s="119" t="n">
        <f aca="false">SUMIFS(tabela_registros[VALOR],tabela_registros[MÊS],$AE$1,tabela_registros[DIA],investiroutrosconsolidadodez[[#Headers],[9]],tabela_registros[REGISTRO],DADOS!$N$5,tabela_registros[TIPO],DADOS!$AB$5,tabela_registros[CATEGORIA],investiroutrosconsolidadodez[[#This Row],[ATUAL]])</f>
        <v>0</v>
      </c>
      <c r="N151" s="119" t="n">
        <f aca="false">SUMIFS(tabela_registros[VALOR],tabela_registros[MÊS],$AE$1,tabela_registros[DIA],investiroutrosconsolidadodez[[#Headers],[10]],tabela_registros[REGISTRO],DADOS!$N$5,tabela_registros[TIPO],DADOS!$AB$5,tabela_registros[CATEGORIA],investiroutrosconsolidadodez[[#This Row],[ATUAL]])</f>
        <v>0</v>
      </c>
      <c r="O151" s="119" t="n">
        <f aca="false">SUMIFS(tabela_registros[VALOR],tabela_registros[MÊS],$AE$1,tabela_registros[DIA],investiroutrosconsolidadodez[[#Headers],[11]],tabela_registros[REGISTRO],DADOS!$N$5,tabela_registros[TIPO],DADOS!$AB$5,tabela_registros[CATEGORIA],investiroutrosconsolidadodez[[#This Row],[ATUAL]])</f>
        <v>0</v>
      </c>
      <c r="P151" s="119" t="n">
        <f aca="false">SUMIFS(tabela_registros[VALOR],tabela_registros[MÊS],$AE$1,tabela_registros[DIA],investiroutrosconsolidadodez[[#Headers],[12]],tabela_registros[REGISTRO],DADOS!$N$5,tabela_registros[TIPO],DADOS!$AB$5,tabela_registros[CATEGORIA],investiroutrosconsolidadodez[[#This Row],[ATUAL]])</f>
        <v>0</v>
      </c>
      <c r="Q151" s="119" t="n">
        <f aca="false">SUMIFS(tabela_registros[VALOR],tabela_registros[MÊS],$AE$1,tabela_registros[DIA],investiroutrosconsolidadodez[[#Headers],[13]],tabela_registros[REGISTRO],DADOS!$N$5,tabela_registros[TIPO],DADOS!$AB$5,tabela_registros[CATEGORIA],investiroutrosconsolidadodez[[#This Row],[ATUAL]])</f>
        <v>0</v>
      </c>
      <c r="R151" s="119" t="n">
        <f aca="false">SUMIFS(tabela_registros[VALOR],tabela_registros[MÊS],$AE$1,tabela_registros[DIA],investiroutrosconsolidadodez[[#Headers],[14]],tabela_registros[REGISTRO],DADOS!$N$5,tabela_registros[TIPO],DADOS!$AB$5,tabela_registros[CATEGORIA],investiroutrosconsolidadodez[[#This Row],[ATUAL]])</f>
        <v>0</v>
      </c>
      <c r="S151" s="119" t="n">
        <f aca="false">SUMIFS(tabela_registros[VALOR],tabela_registros[MÊS],$AE$1,tabela_registros[DIA],investiroutrosconsolidadodez[[#Headers],[15]],tabela_registros[REGISTRO],DADOS!$N$5,tabela_registros[TIPO],DADOS!$AB$5,tabela_registros[CATEGORIA],investiroutrosconsolidadodez[[#This Row],[ATUAL]])</f>
        <v>0</v>
      </c>
      <c r="T151" s="119" t="n">
        <f aca="false">SUMIFS(tabela_registros[VALOR],tabela_registros[MÊS],$AE$1,tabela_registros[DIA],investiroutrosconsolidadodez[[#Headers],[16]],tabela_registros[REGISTRO],DADOS!$N$5,tabela_registros[TIPO],DADOS!$AB$5,tabela_registros[CATEGORIA],investiroutrosconsolidadodez[[#This Row],[ATUAL]])</f>
        <v>0</v>
      </c>
      <c r="U151" s="119" t="n">
        <f aca="false">SUMIFS(tabela_registros[VALOR],tabela_registros[MÊS],$AE$1,tabela_registros[DIA],investiroutrosconsolidadodez[[#Headers],[17]],tabela_registros[REGISTRO],DADOS!$N$5,tabela_registros[TIPO],DADOS!$AB$5,tabela_registros[CATEGORIA],investiroutrosconsolidadodez[[#This Row],[ATUAL]])</f>
        <v>0</v>
      </c>
      <c r="V151" s="119" t="n">
        <f aca="false">SUMIFS(tabela_registros[VALOR],tabela_registros[MÊS],$AE$1,tabela_registros[DIA],investiroutrosconsolidadodez[[#Headers],[18]],tabela_registros[REGISTRO],DADOS!$N$5,tabela_registros[TIPO],DADOS!$AB$5,tabela_registros[CATEGORIA],investiroutrosconsolidadodez[[#This Row],[ATUAL]])</f>
        <v>0</v>
      </c>
      <c r="W151" s="119" t="n">
        <f aca="false">SUMIFS(tabela_registros[VALOR],tabela_registros[MÊS],$AE$1,tabela_registros[DIA],investiroutrosconsolidadodez[[#Headers],[19]],tabela_registros[REGISTRO],DADOS!$N$5,tabela_registros[TIPO],DADOS!$AB$5,tabela_registros[CATEGORIA],investiroutrosconsolidadodez[[#This Row],[ATUAL]])</f>
        <v>0</v>
      </c>
      <c r="X151" s="119" t="n">
        <f aca="false">SUMIFS(tabela_registros[VALOR],tabela_registros[MÊS],$AE$1,tabela_registros[DIA],investiroutrosconsolidadodez[[#Headers],[20]],tabela_registros[REGISTRO],DADOS!$N$5,tabela_registros[TIPO],DADOS!$AB$5,tabela_registros[CATEGORIA],investiroutrosconsolidadodez[[#This Row],[ATUAL]])</f>
        <v>0</v>
      </c>
      <c r="Y151" s="119" t="n">
        <f aca="false">SUMIFS(tabela_registros[VALOR],tabela_registros[MÊS],$AE$1,tabela_registros[DIA],investiroutrosconsolidadodez[[#Headers],[21]],tabela_registros[REGISTRO],DADOS!$N$5,tabela_registros[TIPO],DADOS!$AB$5,tabela_registros[CATEGORIA],investiroutrosconsolidadodez[[#This Row],[ATUAL]])</f>
        <v>0</v>
      </c>
      <c r="Z151" s="119" t="n">
        <f aca="false">SUMIFS(tabela_registros[VALOR],tabela_registros[MÊS],$AE$1,tabela_registros[DIA],investiroutrosconsolidadodez[[#Headers],[22]],tabela_registros[REGISTRO],DADOS!$N$5,tabela_registros[TIPO],DADOS!$AB$5,tabela_registros[CATEGORIA],investiroutrosconsolidadodez[[#This Row],[ATUAL]])</f>
        <v>0</v>
      </c>
      <c r="AA151" s="119" t="n">
        <f aca="false">SUMIFS(tabela_registros[VALOR],tabela_registros[MÊS],$AE$1,tabela_registros[DIA],investiroutrosconsolidadodez[[#Headers],[23]],tabela_registros[REGISTRO],DADOS!$N$5,tabela_registros[TIPO],DADOS!$AB$5,tabela_registros[CATEGORIA],investiroutrosconsolidadodez[[#This Row],[ATUAL]])</f>
        <v>0</v>
      </c>
      <c r="AB151" s="119" t="n">
        <f aca="false">SUMIFS(tabela_registros[VALOR],tabela_registros[MÊS],$AE$1,tabela_registros[DIA],investiroutrosconsolidadodez[[#Headers],[24]],tabela_registros[REGISTRO],DADOS!$N$5,tabela_registros[TIPO],DADOS!$AB$5,tabela_registros[CATEGORIA],investiroutrosconsolidadodez[[#This Row],[ATUAL]])</f>
        <v>0</v>
      </c>
      <c r="AC151" s="119" t="n">
        <f aca="false">SUMIFS(tabela_registros[VALOR],tabela_registros[MÊS],$AE$1,tabela_registros[DIA],investiroutrosconsolidadodez[[#Headers],[25]],tabela_registros[REGISTRO],DADOS!$N$5,tabela_registros[TIPO],DADOS!$AB$5,tabela_registros[CATEGORIA],investiroutrosconsolidadodez[[#This Row],[ATUAL]])</f>
        <v>0</v>
      </c>
      <c r="AD151" s="119" t="n">
        <f aca="false">SUMIFS(tabela_registros[VALOR],tabela_registros[MÊS],$AE$1,tabela_registros[DIA],investiroutrosconsolidadodez[[#Headers],[26]],tabela_registros[REGISTRO],DADOS!$N$5,tabela_registros[TIPO],DADOS!$AB$5,tabela_registros[CATEGORIA],investiroutrosconsolidadodez[[#This Row],[ATUAL]])</f>
        <v>0</v>
      </c>
      <c r="AE151" s="119" t="n">
        <f aca="false">SUMIFS(tabela_registros[VALOR],tabela_registros[MÊS],$AE$1,tabela_registros[DIA],investiroutrosconsolidadodez[[#Headers],[27]],tabela_registros[REGISTRO],DADOS!$N$5,tabela_registros[TIPO],DADOS!$AB$5,tabela_registros[CATEGORIA],investiroutrosconsolidadodez[[#This Row],[ATUAL]])</f>
        <v>0</v>
      </c>
      <c r="AF151" s="119" t="n">
        <f aca="false">SUMIFS(tabela_registros[VALOR],tabela_registros[MÊS],$AE$1,tabela_registros[DIA],investiroutrosconsolidadodez[[#Headers],[28]],tabela_registros[REGISTRO],DADOS!$N$5,tabela_registros[TIPO],DADOS!$AB$5,tabela_registros[CATEGORIA],investiroutrosconsolidadodez[[#This Row],[ATUAL]])</f>
        <v>0</v>
      </c>
      <c r="AG151" s="119" t="n">
        <f aca="false">SUMIFS(tabela_registros[VALOR],tabela_registros[MÊS],$AE$1,tabela_registros[DIA],investiroutrosconsolidadodez[[#Headers],[29]],tabela_registros[REGISTRO],DADOS!$N$5,tabela_registros[TIPO],DADOS!$AB$5,tabela_registros[CATEGORIA],investiroutrosconsolidadodez[[#This Row],[ATUAL]])</f>
        <v>0</v>
      </c>
      <c r="AH151" s="119" t="n">
        <f aca="false">SUMIFS(tabela_registros[VALOR],tabela_registros[MÊS],$AE$1,tabela_registros[DIA],investiroutrosconsolidadodez[[#Headers],[30]],tabela_registros[REGISTRO],DADOS!$N$5,tabela_registros[TIPO],DADOS!$AB$5,tabela_registros[CATEGORIA],investiroutrosconsolidadodez[[#This Row],[ATUAL]])</f>
        <v>0</v>
      </c>
      <c r="AI151" s="217" t="n">
        <f aca="false">SUMIFS(tabela_registros[VALOR],tabela_registros[MÊS],$AE$1,tabela_registros[DIA],investiroutrosconsolidadodez[[#Headers],[31]],tabela_registros[REGISTRO],DADOS!$N$5,tabela_registros[TIPO],DADOS!$AB$5,tabela_registros[CATEGORIA],investiroutrosconsolidadodez[[#This Row],[ATUAL]])</f>
        <v>0</v>
      </c>
      <c r="AJ151" s="149" t="n">
        <f aca="false">SUM(investiroutrosconsolidadodez[[#This Row],[1]:[31]])</f>
        <v>0</v>
      </c>
      <c r="AK151" s="165"/>
    </row>
    <row r="152" customFormat="false" ht="19.5" hidden="false" customHeight="true" outlineLevel="0" collapsed="false">
      <c r="B152" s="143"/>
      <c r="C152" s="144" t="str">
        <f aca="false">DADOS!$AH$4</f>
        <v>📝 FOREX</v>
      </c>
      <c r="D152" s="145" t="str">
        <f aca="false">IF(investiroutrosconsolidadodez[[#This Row],[TOTAL (R$)]]=0,"",IF(OR(investiroutrosconsolidadodez[[#This Row],[TOTAL (R$)]]=LARGE($AJ$151:$AJ$158,1),investiroutrosconsolidadodez[[#This Row],[TOTAL (R$)]]=LARGE($AJ$151:$AJ$158,2)),DADOS!$I$10,""))</f>
        <v/>
      </c>
      <c r="E152" s="148" t="n">
        <f aca="false">SUMIFS(tabela_registros[VALOR],tabela_registros[MÊS],$AE$1,tabela_registros[DIA],investiroutrosconsolidadodez[[#Headers],[1]],tabela_registros[REGISTRO],DADOS!$N$5,tabela_registros[TIPO],DADOS!$AB$5,tabela_registros[CATEGORIA],investiroutrosconsolidadodez[[#This Row],[ATUAL]])</f>
        <v>0</v>
      </c>
      <c r="F152" s="119" t="n">
        <f aca="false">SUMIFS(tabela_registros[VALOR],tabela_registros[MÊS],$AE$1,tabela_registros[DIA],investiroutrosconsolidadodez[[#Headers],[2]],tabela_registros[REGISTRO],DADOS!$N$5,tabela_registros[TIPO],DADOS!$AB$5,tabela_registros[CATEGORIA],investiroutrosconsolidadodez[[#This Row],[ATUAL]])</f>
        <v>0</v>
      </c>
      <c r="G152" s="119" t="n">
        <f aca="false">SUMIFS(tabela_registros[VALOR],tabela_registros[MÊS],$AE$1,tabela_registros[DIA],investiroutrosconsolidadodez[[#Headers],[3]],tabela_registros[REGISTRO],DADOS!$N$5,tabela_registros[TIPO],DADOS!$AB$5,tabela_registros[CATEGORIA],investiroutrosconsolidadodez[[#This Row],[ATUAL]])</f>
        <v>0</v>
      </c>
      <c r="H152" s="119" t="n">
        <f aca="false">SUMIFS(tabela_registros[VALOR],tabela_registros[MÊS],$AE$1,tabela_registros[DIA],investiroutrosconsolidadodez[[#Headers],[4]],tabela_registros[REGISTRO],DADOS!$N$5,tabela_registros[TIPO],DADOS!$AB$5,tabela_registros[CATEGORIA],investiroutrosconsolidadodez[[#This Row],[ATUAL]])</f>
        <v>0</v>
      </c>
      <c r="I152" s="119" t="n">
        <f aca="false">SUMIFS(tabela_registros[VALOR],tabela_registros[MÊS],$AE$1,tabela_registros[DIA],investiroutrosconsolidadodez[[#Headers],[5]],tabela_registros[REGISTRO],DADOS!$N$5,tabela_registros[TIPO],DADOS!$AB$5,tabela_registros[CATEGORIA],investiroutrosconsolidadodez[[#This Row],[ATUAL]])</f>
        <v>0</v>
      </c>
      <c r="J152" s="119" t="n">
        <f aca="false">SUMIFS(tabela_registros[VALOR],tabela_registros[MÊS],$AE$1,tabela_registros[DIA],investiroutrosconsolidadodez[[#Headers],[6]],tabela_registros[REGISTRO],DADOS!$N$5,tabela_registros[TIPO],DADOS!$AB$5,tabela_registros[CATEGORIA],investiroutrosconsolidadodez[[#This Row],[ATUAL]])</f>
        <v>0</v>
      </c>
      <c r="K152" s="119" t="n">
        <f aca="false">SUMIFS(tabela_registros[VALOR],tabela_registros[MÊS],$AE$1,tabela_registros[DIA],investiroutrosconsolidadodez[[#Headers],[7]],tabela_registros[REGISTRO],DADOS!$N$5,tabela_registros[TIPO],DADOS!$AB$5,tabela_registros[CATEGORIA],investiroutrosconsolidadodez[[#This Row],[ATUAL]])</f>
        <v>0</v>
      </c>
      <c r="L152" s="119" t="n">
        <f aca="false">SUMIFS(tabela_registros[VALOR],tabela_registros[MÊS],$AE$1,tabela_registros[DIA],investiroutrosconsolidadodez[[#Headers],[8]],tabela_registros[REGISTRO],DADOS!$N$5,tabela_registros[TIPO],DADOS!$AB$5,tabela_registros[CATEGORIA],investiroutrosconsolidadodez[[#This Row],[ATUAL]])</f>
        <v>0</v>
      </c>
      <c r="M152" s="119" t="n">
        <f aca="false">SUMIFS(tabela_registros[VALOR],tabela_registros[MÊS],$AE$1,tabela_registros[DIA],investiroutrosconsolidadodez[[#Headers],[9]],tabela_registros[REGISTRO],DADOS!$N$5,tabela_registros[TIPO],DADOS!$AB$5,tabela_registros[CATEGORIA],investiroutrosconsolidadodez[[#This Row],[ATUAL]])</f>
        <v>0</v>
      </c>
      <c r="N152" s="119" t="n">
        <f aca="false">SUMIFS(tabela_registros[VALOR],tabela_registros[MÊS],$AE$1,tabela_registros[DIA],investiroutrosconsolidadodez[[#Headers],[10]],tabela_registros[REGISTRO],DADOS!$N$5,tabela_registros[TIPO],DADOS!$AB$5,tabela_registros[CATEGORIA],investiroutrosconsolidadodez[[#This Row],[ATUAL]])</f>
        <v>0</v>
      </c>
      <c r="O152" s="119" t="n">
        <f aca="false">SUMIFS(tabela_registros[VALOR],tabela_registros[MÊS],$AE$1,tabela_registros[DIA],investiroutrosconsolidadodez[[#Headers],[11]],tabela_registros[REGISTRO],DADOS!$N$5,tabela_registros[TIPO],DADOS!$AB$5,tabela_registros[CATEGORIA],investiroutrosconsolidadodez[[#This Row],[ATUAL]])</f>
        <v>0</v>
      </c>
      <c r="P152" s="119" t="n">
        <f aca="false">SUMIFS(tabela_registros[VALOR],tabela_registros[MÊS],$AE$1,tabela_registros[DIA],investiroutrosconsolidadodez[[#Headers],[12]],tabela_registros[REGISTRO],DADOS!$N$5,tabela_registros[TIPO],DADOS!$AB$5,tabela_registros[CATEGORIA],investiroutrosconsolidadodez[[#This Row],[ATUAL]])</f>
        <v>0</v>
      </c>
      <c r="Q152" s="119" t="n">
        <f aca="false">SUMIFS(tabela_registros[VALOR],tabela_registros[MÊS],$AE$1,tabela_registros[DIA],investiroutrosconsolidadodez[[#Headers],[13]],tabela_registros[REGISTRO],DADOS!$N$5,tabela_registros[TIPO],DADOS!$AB$5,tabela_registros[CATEGORIA],investiroutrosconsolidadodez[[#This Row],[ATUAL]])</f>
        <v>0</v>
      </c>
      <c r="R152" s="119" t="n">
        <f aca="false">SUMIFS(tabela_registros[VALOR],tabela_registros[MÊS],$AE$1,tabela_registros[DIA],investiroutrosconsolidadodez[[#Headers],[14]],tabela_registros[REGISTRO],DADOS!$N$5,tabela_registros[TIPO],DADOS!$AB$5,tabela_registros[CATEGORIA],investiroutrosconsolidadodez[[#This Row],[ATUAL]])</f>
        <v>0</v>
      </c>
      <c r="S152" s="119" t="n">
        <f aca="false">SUMIFS(tabela_registros[VALOR],tabela_registros[MÊS],$AE$1,tabela_registros[DIA],investiroutrosconsolidadodez[[#Headers],[15]],tabela_registros[REGISTRO],DADOS!$N$5,tabela_registros[TIPO],DADOS!$AB$5,tabela_registros[CATEGORIA],investiroutrosconsolidadodez[[#This Row],[ATUAL]])</f>
        <v>0</v>
      </c>
      <c r="T152" s="119" t="n">
        <f aca="false">SUMIFS(tabela_registros[VALOR],tabela_registros[MÊS],$AE$1,tabela_registros[DIA],investiroutrosconsolidadodez[[#Headers],[16]],tabela_registros[REGISTRO],DADOS!$N$5,tabela_registros[TIPO],DADOS!$AB$5,tabela_registros[CATEGORIA],investiroutrosconsolidadodez[[#This Row],[ATUAL]])</f>
        <v>0</v>
      </c>
      <c r="U152" s="119" t="n">
        <f aca="false">SUMIFS(tabela_registros[VALOR],tabela_registros[MÊS],$AE$1,tabela_registros[DIA],investiroutrosconsolidadodez[[#Headers],[17]],tabela_registros[REGISTRO],DADOS!$N$5,tabela_registros[TIPO],DADOS!$AB$5,tabela_registros[CATEGORIA],investiroutrosconsolidadodez[[#This Row],[ATUAL]])</f>
        <v>0</v>
      </c>
      <c r="V152" s="119" t="n">
        <f aca="false">SUMIFS(tabela_registros[VALOR],tabela_registros[MÊS],$AE$1,tabela_registros[DIA],investiroutrosconsolidadodez[[#Headers],[18]],tabela_registros[REGISTRO],DADOS!$N$5,tabela_registros[TIPO],DADOS!$AB$5,tabela_registros[CATEGORIA],investiroutrosconsolidadodez[[#This Row],[ATUAL]])</f>
        <v>0</v>
      </c>
      <c r="W152" s="119" t="n">
        <f aca="false">SUMIFS(tabela_registros[VALOR],tabela_registros[MÊS],$AE$1,tabela_registros[DIA],investiroutrosconsolidadodez[[#Headers],[19]],tabela_registros[REGISTRO],DADOS!$N$5,tabela_registros[TIPO],DADOS!$AB$5,tabela_registros[CATEGORIA],investiroutrosconsolidadodez[[#This Row],[ATUAL]])</f>
        <v>0</v>
      </c>
      <c r="X152" s="119" t="n">
        <f aca="false">SUMIFS(tabela_registros[VALOR],tabela_registros[MÊS],$AE$1,tabela_registros[DIA],investiroutrosconsolidadodez[[#Headers],[20]],tabela_registros[REGISTRO],DADOS!$N$5,tabela_registros[TIPO],DADOS!$AB$5,tabela_registros[CATEGORIA],investiroutrosconsolidadodez[[#This Row],[ATUAL]])</f>
        <v>0</v>
      </c>
      <c r="Y152" s="119" t="n">
        <f aca="false">SUMIFS(tabela_registros[VALOR],tabela_registros[MÊS],$AE$1,tabela_registros[DIA],investiroutrosconsolidadodez[[#Headers],[21]],tabela_registros[REGISTRO],DADOS!$N$5,tabela_registros[TIPO],DADOS!$AB$5,tabela_registros[CATEGORIA],investiroutrosconsolidadodez[[#This Row],[ATUAL]])</f>
        <v>0</v>
      </c>
      <c r="Z152" s="119" t="n">
        <f aca="false">SUMIFS(tabela_registros[VALOR],tabela_registros[MÊS],$AE$1,tabela_registros[DIA],investiroutrosconsolidadodez[[#Headers],[22]],tabela_registros[REGISTRO],DADOS!$N$5,tabela_registros[TIPO],DADOS!$AB$5,tabela_registros[CATEGORIA],investiroutrosconsolidadodez[[#This Row],[ATUAL]])</f>
        <v>0</v>
      </c>
      <c r="AA152" s="119" t="n">
        <f aca="false">SUMIFS(tabela_registros[VALOR],tabela_registros[MÊS],$AE$1,tabela_registros[DIA],investiroutrosconsolidadodez[[#Headers],[23]],tabela_registros[REGISTRO],DADOS!$N$5,tabela_registros[TIPO],DADOS!$AB$5,tabela_registros[CATEGORIA],investiroutrosconsolidadodez[[#This Row],[ATUAL]])</f>
        <v>0</v>
      </c>
      <c r="AB152" s="119" t="n">
        <f aca="false">SUMIFS(tabela_registros[VALOR],tabela_registros[MÊS],$AE$1,tabela_registros[DIA],investiroutrosconsolidadodez[[#Headers],[24]],tabela_registros[REGISTRO],DADOS!$N$5,tabela_registros[TIPO],DADOS!$AB$5,tabela_registros[CATEGORIA],investiroutrosconsolidadodez[[#This Row],[ATUAL]])</f>
        <v>0</v>
      </c>
      <c r="AC152" s="119" t="n">
        <f aca="false">SUMIFS(tabela_registros[VALOR],tabela_registros[MÊS],$AE$1,tabela_registros[DIA],investiroutrosconsolidadodez[[#Headers],[25]],tabela_registros[REGISTRO],DADOS!$N$5,tabela_registros[TIPO],DADOS!$AB$5,tabela_registros[CATEGORIA],investiroutrosconsolidadodez[[#This Row],[ATUAL]])</f>
        <v>0</v>
      </c>
      <c r="AD152" s="119" t="n">
        <f aca="false">SUMIFS(tabela_registros[VALOR],tabela_registros[MÊS],$AE$1,tabela_registros[DIA],investiroutrosconsolidadodez[[#Headers],[26]],tabela_registros[REGISTRO],DADOS!$N$5,tabela_registros[TIPO],DADOS!$AB$5,tabela_registros[CATEGORIA],investiroutrosconsolidadodez[[#This Row],[ATUAL]])</f>
        <v>0</v>
      </c>
      <c r="AE152" s="119" t="n">
        <f aca="false">SUMIFS(tabela_registros[VALOR],tabela_registros[MÊS],$AE$1,tabela_registros[DIA],investiroutrosconsolidadodez[[#Headers],[27]],tabela_registros[REGISTRO],DADOS!$N$5,tabela_registros[TIPO],DADOS!$AB$5,tabela_registros[CATEGORIA],investiroutrosconsolidadodez[[#This Row],[ATUAL]])</f>
        <v>0</v>
      </c>
      <c r="AF152" s="119" t="n">
        <f aca="false">SUMIFS(tabela_registros[VALOR],tabela_registros[MÊS],$AE$1,tabela_registros[DIA],investiroutrosconsolidadodez[[#Headers],[28]],tabela_registros[REGISTRO],DADOS!$N$5,tabela_registros[TIPO],DADOS!$AB$5,tabela_registros[CATEGORIA],investiroutrosconsolidadodez[[#This Row],[ATUAL]])</f>
        <v>0</v>
      </c>
      <c r="AG152" s="119" t="n">
        <f aca="false">SUMIFS(tabela_registros[VALOR],tabela_registros[MÊS],$AE$1,tabela_registros[DIA],investiroutrosconsolidadodez[[#Headers],[29]],tabela_registros[REGISTRO],DADOS!$N$5,tabela_registros[TIPO],DADOS!$AB$5,tabela_registros[CATEGORIA],investiroutrosconsolidadodez[[#This Row],[ATUAL]])</f>
        <v>0</v>
      </c>
      <c r="AH152" s="119" t="n">
        <f aca="false">SUMIFS(tabela_registros[VALOR],tabela_registros[MÊS],$AE$1,tabela_registros[DIA],investiroutrosconsolidadodez[[#Headers],[30]],tabela_registros[REGISTRO],DADOS!$N$5,tabela_registros[TIPO],DADOS!$AB$5,tabela_registros[CATEGORIA],investiroutrosconsolidadodez[[#This Row],[ATUAL]])</f>
        <v>0</v>
      </c>
      <c r="AI152" s="217" t="n">
        <f aca="false">SUMIFS(tabela_registros[VALOR],tabela_registros[MÊS],$AE$1,tabela_registros[DIA],investiroutrosconsolidadodez[[#Headers],[31]],tabela_registros[REGISTRO],DADOS!$N$5,tabela_registros[TIPO],DADOS!$AB$5,tabela_registros[CATEGORIA],investiroutrosconsolidadodez[[#This Row],[ATUAL]])</f>
        <v>0</v>
      </c>
      <c r="AJ152" s="149" t="n">
        <f aca="false">SUM(investiroutrosconsolidadodez[[#This Row],[1]:[31]])</f>
        <v>0</v>
      </c>
      <c r="AK152" s="165"/>
    </row>
    <row r="153" customFormat="false" ht="19.5" hidden="false" customHeight="true" outlineLevel="0" collapsed="false">
      <c r="B153" s="143"/>
      <c r="C153" s="144" t="str">
        <f aca="false">DADOS!$AH$5</f>
        <v>📝 FUNDO DE INVESTIMENTO</v>
      </c>
      <c r="D153" s="145" t="str">
        <f aca="false">IF(investiroutrosconsolidadodez[[#This Row],[TOTAL (R$)]]=0,"",IF(OR(investiroutrosconsolidadodez[[#This Row],[TOTAL (R$)]]=LARGE($AJ$151:$AJ$158,1),investiroutrosconsolidadodez[[#This Row],[TOTAL (R$)]]=LARGE($AJ$151:$AJ$158,2)),DADOS!$I$10,""))</f>
        <v/>
      </c>
      <c r="E153" s="148" t="n">
        <f aca="false">SUMIFS(tabela_registros[VALOR],tabela_registros[MÊS],$AE$1,tabela_registros[DIA],investiroutrosconsolidadodez[[#Headers],[1]],tabela_registros[REGISTRO],DADOS!$N$5,tabela_registros[TIPO],DADOS!$AB$5,tabela_registros[CATEGORIA],investiroutrosconsolidadodez[[#This Row],[ATUAL]])</f>
        <v>0</v>
      </c>
      <c r="F153" s="119" t="n">
        <f aca="false">SUMIFS(tabela_registros[VALOR],tabela_registros[MÊS],$AE$1,tabela_registros[DIA],investiroutrosconsolidadodez[[#Headers],[2]],tabela_registros[REGISTRO],DADOS!$N$5,tabela_registros[TIPO],DADOS!$AB$5,tabela_registros[CATEGORIA],investiroutrosconsolidadodez[[#This Row],[ATUAL]])</f>
        <v>0</v>
      </c>
      <c r="G153" s="119" t="n">
        <f aca="false">SUMIFS(tabela_registros[VALOR],tabela_registros[MÊS],$AE$1,tabela_registros[DIA],investiroutrosconsolidadodez[[#Headers],[3]],tabela_registros[REGISTRO],DADOS!$N$5,tabela_registros[TIPO],DADOS!$AB$5,tabela_registros[CATEGORIA],investiroutrosconsolidadodez[[#This Row],[ATUAL]])</f>
        <v>0</v>
      </c>
      <c r="H153" s="119" t="n">
        <f aca="false">SUMIFS(tabela_registros[VALOR],tabela_registros[MÊS],$AE$1,tabela_registros[DIA],investiroutrosconsolidadodez[[#Headers],[4]],tabela_registros[REGISTRO],DADOS!$N$5,tabela_registros[TIPO],DADOS!$AB$5,tabela_registros[CATEGORIA],investiroutrosconsolidadodez[[#This Row],[ATUAL]])</f>
        <v>0</v>
      </c>
      <c r="I153" s="119" t="n">
        <f aca="false">SUMIFS(tabela_registros[VALOR],tabela_registros[MÊS],$AE$1,tabela_registros[DIA],investiroutrosconsolidadodez[[#Headers],[5]],tabela_registros[REGISTRO],DADOS!$N$5,tabela_registros[TIPO],DADOS!$AB$5,tabela_registros[CATEGORIA],investiroutrosconsolidadodez[[#This Row],[ATUAL]])</f>
        <v>0</v>
      </c>
      <c r="J153" s="119" t="n">
        <f aca="false">SUMIFS(tabela_registros[VALOR],tabela_registros[MÊS],$AE$1,tabela_registros[DIA],investiroutrosconsolidadodez[[#Headers],[6]],tabela_registros[REGISTRO],DADOS!$N$5,tabela_registros[TIPO],DADOS!$AB$5,tabela_registros[CATEGORIA],investiroutrosconsolidadodez[[#This Row],[ATUAL]])</f>
        <v>0</v>
      </c>
      <c r="K153" s="119" t="n">
        <f aca="false">SUMIFS(tabela_registros[VALOR],tabela_registros[MÊS],$AE$1,tabela_registros[DIA],investiroutrosconsolidadodez[[#Headers],[7]],tabela_registros[REGISTRO],DADOS!$N$5,tabela_registros[TIPO],DADOS!$AB$5,tabela_registros[CATEGORIA],investiroutrosconsolidadodez[[#This Row],[ATUAL]])</f>
        <v>0</v>
      </c>
      <c r="L153" s="119" t="n">
        <f aca="false">SUMIFS(tabela_registros[VALOR],tabela_registros[MÊS],$AE$1,tabela_registros[DIA],investiroutrosconsolidadodez[[#Headers],[8]],tabela_registros[REGISTRO],DADOS!$N$5,tabela_registros[TIPO],DADOS!$AB$5,tabela_registros[CATEGORIA],investiroutrosconsolidadodez[[#This Row],[ATUAL]])</f>
        <v>0</v>
      </c>
      <c r="M153" s="119" t="n">
        <f aca="false">SUMIFS(tabela_registros[VALOR],tabela_registros[MÊS],$AE$1,tabela_registros[DIA],investiroutrosconsolidadodez[[#Headers],[9]],tabela_registros[REGISTRO],DADOS!$N$5,tabela_registros[TIPO],DADOS!$AB$5,tabela_registros[CATEGORIA],investiroutrosconsolidadodez[[#This Row],[ATUAL]])</f>
        <v>0</v>
      </c>
      <c r="N153" s="119" t="n">
        <f aca="false">SUMIFS(tabela_registros[VALOR],tabela_registros[MÊS],$AE$1,tabela_registros[DIA],investiroutrosconsolidadodez[[#Headers],[10]],tabela_registros[REGISTRO],DADOS!$N$5,tabela_registros[TIPO],DADOS!$AB$5,tabela_registros[CATEGORIA],investiroutrosconsolidadodez[[#This Row],[ATUAL]])</f>
        <v>0</v>
      </c>
      <c r="O153" s="119" t="n">
        <f aca="false">SUMIFS(tabela_registros[VALOR],tabela_registros[MÊS],$AE$1,tabela_registros[DIA],investiroutrosconsolidadodez[[#Headers],[11]],tabela_registros[REGISTRO],DADOS!$N$5,tabela_registros[TIPO],DADOS!$AB$5,tabela_registros[CATEGORIA],investiroutrosconsolidadodez[[#This Row],[ATUAL]])</f>
        <v>0</v>
      </c>
      <c r="P153" s="119" t="n">
        <f aca="false">SUMIFS(tabela_registros[VALOR],tabela_registros[MÊS],$AE$1,tabela_registros[DIA],investiroutrosconsolidadodez[[#Headers],[12]],tabela_registros[REGISTRO],DADOS!$N$5,tabela_registros[TIPO],DADOS!$AB$5,tabela_registros[CATEGORIA],investiroutrosconsolidadodez[[#This Row],[ATUAL]])</f>
        <v>0</v>
      </c>
      <c r="Q153" s="119" t="n">
        <f aca="false">SUMIFS(tabela_registros[VALOR],tabela_registros[MÊS],$AE$1,tabela_registros[DIA],investiroutrosconsolidadodez[[#Headers],[13]],tabela_registros[REGISTRO],DADOS!$N$5,tabela_registros[TIPO],DADOS!$AB$5,tabela_registros[CATEGORIA],investiroutrosconsolidadodez[[#This Row],[ATUAL]])</f>
        <v>0</v>
      </c>
      <c r="R153" s="119" t="n">
        <f aca="false">SUMIFS(tabela_registros[VALOR],tabela_registros[MÊS],$AE$1,tabela_registros[DIA],investiroutrosconsolidadodez[[#Headers],[14]],tabela_registros[REGISTRO],DADOS!$N$5,tabela_registros[TIPO],DADOS!$AB$5,tabela_registros[CATEGORIA],investiroutrosconsolidadodez[[#This Row],[ATUAL]])</f>
        <v>0</v>
      </c>
      <c r="S153" s="119" t="n">
        <f aca="false">SUMIFS(tabela_registros[VALOR],tabela_registros[MÊS],$AE$1,tabela_registros[DIA],investiroutrosconsolidadodez[[#Headers],[15]],tabela_registros[REGISTRO],DADOS!$N$5,tabela_registros[TIPO],DADOS!$AB$5,tabela_registros[CATEGORIA],investiroutrosconsolidadodez[[#This Row],[ATUAL]])</f>
        <v>0</v>
      </c>
      <c r="T153" s="119" t="n">
        <f aca="false">SUMIFS(tabela_registros[VALOR],tabela_registros[MÊS],$AE$1,tabela_registros[DIA],investiroutrosconsolidadodez[[#Headers],[16]],tabela_registros[REGISTRO],DADOS!$N$5,tabela_registros[TIPO],DADOS!$AB$5,tabela_registros[CATEGORIA],investiroutrosconsolidadodez[[#This Row],[ATUAL]])</f>
        <v>0</v>
      </c>
      <c r="U153" s="119" t="n">
        <f aca="false">SUMIFS(tabela_registros[VALOR],tabela_registros[MÊS],$AE$1,tabela_registros[DIA],investiroutrosconsolidadodez[[#Headers],[17]],tabela_registros[REGISTRO],DADOS!$N$5,tabela_registros[TIPO],DADOS!$AB$5,tabela_registros[CATEGORIA],investiroutrosconsolidadodez[[#This Row],[ATUAL]])</f>
        <v>0</v>
      </c>
      <c r="V153" s="119" t="n">
        <f aca="false">SUMIFS(tabela_registros[VALOR],tabela_registros[MÊS],$AE$1,tabela_registros[DIA],investiroutrosconsolidadodez[[#Headers],[18]],tabela_registros[REGISTRO],DADOS!$N$5,tabela_registros[TIPO],DADOS!$AB$5,tabela_registros[CATEGORIA],investiroutrosconsolidadodez[[#This Row],[ATUAL]])</f>
        <v>0</v>
      </c>
      <c r="W153" s="119" t="n">
        <f aca="false">SUMIFS(tabela_registros[VALOR],tabela_registros[MÊS],$AE$1,tabela_registros[DIA],investiroutrosconsolidadodez[[#Headers],[19]],tabela_registros[REGISTRO],DADOS!$N$5,tabela_registros[TIPO],DADOS!$AB$5,tabela_registros[CATEGORIA],investiroutrosconsolidadodez[[#This Row],[ATUAL]])</f>
        <v>0</v>
      </c>
      <c r="X153" s="119" t="n">
        <f aca="false">SUMIFS(tabela_registros[VALOR],tabela_registros[MÊS],$AE$1,tabela_registros[DIA],investiroutrosconsolidadodez[[#Headers],[20]],tabela_registros[REGISTRO],DADOS!$N$5,tabela_registros[TIPO],DADOS!$AB$5,tabela_registros[CATEGORIA],investiroutrosconsolidadodez[[#This Row],[ATUAL]])</f>
        <v>0</v>
      </c>
      <c r="Y153" s="119" t="n">
        <f aca="false">SUMIFS(tabela_registros[VALOR],tabela_registros[MÊS],$AE$1,tabela_registros[DIA],investiroutrosconsolidadodez[[#Headers],[21]],tabela_registros[REGISTRO],DADOS!$N$5,tabela_registros[TIPO],DADOS!$AB$5,tabela_registros[CATEGORIA],investiroutrosconsolidadodez[[#This Row],[ATUAL]])</f>
        <v>0</v>
      </c>
      <c r="Z153" s="119" t="n">
        <f aca="false">SUMIFS(tabela_registros[VALOR],tabela_registros[MÊS],$AE$1,tabela_registros[DIA],investiroutrosconsolidadodez[[#Headers],[22]],tabela_registros[REGISTRO],DADOS!$N$5,tabela_registros[TIPO],DADOS!$AB$5,tabela_registros[CATEGORIA],investiroutrosconsolidadodez[[#This Row],[ATUAL]])</f>
        <v>0</v>
      </c>
      <c r="AA153" s="119" t="n">
        <f aca="false">SUMIFS(tabela_registros[VALOR],tabela_registros[MÊS],$AE$1,tabela_registros[DIA],investiroutrosconsolidadodez[[#Headers],[23]],tabela_registros[REGISTRO],DADOS!$N$5,tabela_registros[TIPO],DADOS!$AB$5,tabela_registros[CATEGORIA],investiroutrosconsolidadodez[[#This Row],[ATUAL]])</f>
        <v>0</v>
      </c>
      <c r="AB153" s="119" t="n">
        <f aca="false">SUMIFS(tabela_registros[VALOR],tabela_registros[MÊS],$AE$1,tabela_registros[DIA],investiroutrosconsolidadodez[[#Headers],[24]],tabela_registros[REGISTRO],DADOS!$N$5,tabela_registros[TIPO],DADOS!$AB$5,tabela_registros[CATEGORIA],investiroutrosconsolidadodez[[#This Row],[ATUAL]])</f>
        <v>0</v>
      </c>
      <c r="AC153" s="119" t="n">
        <f aca="false">SUMIFS(tabela_registros[VALOR],tabela_registros[MÊS],$AE$1,tabela_registros[DIA],investiroutrosconsolidadodez[[#Headers],[25]],tabela_registros[REGISTRO],DADOS!$N$5,tabela_registros[TIPO],DADOS!$AB$5,tabela_registros[CATEGORIA],investiroutrosconsolidadodez[[#This Row],[ATUAL]])</f>
        <v>0</v>
      </c>
      <c r="AD153" s="119" t="n">
        <f aca="false">SUMIFS(tabela_registros[VALOR],tabela_registros[MÊS],$AE$1,tabela_registros[DIA],investiroutrosconsolidadodez[[#Headers],[26]],tabela_registros[REGISTRO],DADOS!$N$5,tabela_registros[TIPO],DADOS!$AB$5,tabela_registros[CATEGORIA],investiroutrosconsolidadodez[[#This Row],[ATUAL]])</f>
        <v>0</v>
      </c>
      <c r="AE153" s="119" t="n">
        <f aca="false">SUMIFS(tabela_registros[VALOR],tabela_registros[MÊS],$AE$1,tabela_registros[DIA],investiroutrosconsolidadodez[[#Headers],[27]],tabela_registros[REGISTRO],DADOS!$N$5,tabela_registros[TIPO],DADOS!$AB$5,tabela_registros[CATEGORIA],investiroutrosconsolidadodez[[#This Row],[ATUAL]])</f>
        <v>0</v>
      </c>
      <c r="AF153" s="119" t="n">
        <f aca="false">SUMIFS(tabela_registros[VALOR],tabela_registros[MÊS],$AE$1,tabela_registros[DIA],investiroutrosconsolidadodez[[#Headers],[28]],tabela_registros[REGISTRO],DADOS!$N$5,tabela_registros[TIPO],DADOS!$AB$5,tabela_registros[CATEGORIA],investiroutrosconsolidadodez[[#This Row],[ATUAL]])</f>
        <v>0</v>
      </c>
      <c r="AG153" s="119" t="n">
        <f aca="false">SUMIFS(tabela_registros[VALOR],tabela_registros[MÊS],$AE$1,tabela_registros[DIA],investiroutrosconsolidadodez[[#Headers],[29]],tabela_registros[REGISTRO],DADOS!$N$5,tabela_registros[TIPO],DADOS!$AB$5,tabela_registros[CATEGORIA],investiroutrosconsolidadodez[[#This Row],[ATUAL]])</f>
        <v>0</v>
      </c>
      <c r="AH153" s="119" t="n">
        <f aca="false">SUMIFS(tabela_registros[VALOR],tabela_registros[MÊS],$AE$1,tabela_registros[DIA],investiroutrosconsolidadodez[[#Headers],[30]],tabela_registros[REGISTRO],DADOS!$N$5,tabela_registros[TIPO],DADOS!$AB$5,tabela_registros[CATEGORIA],investiroutrosconsolidadodez[[#This Row],[ATUAL]])</f>
        <v>0</v>
      </c>
      <c r="AI153" s="217" t="n">
        <f aca="false">SUMIFS(tabela_registros[VALOR],tabela_registros[MÊS],$AE$1,tabela_registros[DIA],investiroutrosconsolidadodez[[#Headers],[31]],tabela_registros[REGISTRO],DADOS!$N$5,tabela_registros[TIPO],DADOS!$AB$5,tabela_registros[CATEGORIA],investiroutrosconsolidadodez[[#This Row],[ATUAL]])</f>
        <v>0</v>
      </c>
      <c r="AJ153" s="149" t="n">
        <f aca="false">SUM(investiroutrosconsolidadodez[[#This Row],[1]:[31]])</f>
        <v>0</v>
      </c>
      <c r="AK153" s="165"/>
    </row>
    <row r="154" customFormat="false" ht="19.5" hidden="false" customHeight="true" outlineLevel="0" collapsed="false">
      <c r="B154" s="143"/>
      <c r="C154" s="144" t="str">
        <f aca="false">DADOS!$AH$6</f>
        <v>📝 NOVA EMPRESA</v>
      </c>
      <c r="D154" s="145" t="str">
        <f aca="false">IF(investiroutrosconsolidadodez[[#This Row],[TOTAL (R$)]]=0,"",IF(OR(investiroutrosconsolidadodez[[#This Row],[TOTAL (R$)]]=LARGE($AJ$151:$AJ$158,1),investiroutrosconsolidadodez[[#This Row],[TOTAL (R$)]]=LARGE($AJ$151:$AJ$158,2)),DADOS!$I$10,""))</f>
        <v/>
      </c>
      <c r="E154" s="148" t="n">
        <f aca="false">SUMIFS(tabela_registros[VALOR],tabela_registros[MÊS],$AE$1,tabela_registros[DIA],investiroutrosconsolidadodez[[#Headers],[1]],tabela_registros[REGISTRO],DADOS!$N$5,tabela_registros[TIPO],DADOS!$AB$5,tabela_registros[CATEGORIA],investiroutrosconsolidadodez[[#This Row],[ATUAL]])</f>
        <v>0</v>
      </c>
      <c r="F154" s="119" t="n">
        <f aca="false">SUMIFS(tabela_registros[VALOR],tabela_registros[MÊS],$AE$1,tabela_registros[DIA],investiroutrosconsolidadodez[[#Headers],[2]],tabela_registros[REGISTRO],DADOS!$N$5,tabela_registros[TIPO],DADOS!$AB$5,tabela_registros[CATEGORIA],investiroutrosconsolidadodez[[#This Row],[ATUAL]])</f>
        <v>0</v>
      </c>
      <c r="G154" s="119" t="n">
        <f aca="false">SUMIFS(tabela_registros[VALOR],tabela_registros[MÊS],$AE$1,tabela_registros[DIA],investiroutrosconsolidadodez[[#Headers],[3]],tabela_registros[REGISTRO],DADOS!$N$5,tabela_registros[TIPO],DADOS!$AB$5,tabela_registros[CATEGORIA],investiroutrosconsolidadodez[[#This Row],[ATUAL]])</f>
        <v>0</v>
      </c>
      <c r="H154" s="119" t="n">
        <f aca="false">SUMIFS(tabela_registros[VALOR],tabela_registros[MÊS],$AE$1,tabela_registros[DIA],investiroutrosconsolidadodez[[#Headers],[4]],tabela_registros[REGISTRO],DADOS!$N$5,tabela_registros[TIPO],DADOS!$AB$5,tabela_registros[CATEGORIA],investiroutrosconsolidadodez[[#This Row],[ATUAL]])</f>
        <v>0</v>
      </c>
      <c r="I154" s="119" t="n">
        <f aca="false">SUMIFS(tabela_registros[VALOR],tabela_registros[MÊS],$AE$1,tabela_registros[DIA],investiroutrosconsolidadodez[[#Headers],[5]],tabela_registros[REGISTRO],DADOS!$N$5,tabela_registros[TIPO],DADOS!$AB$5,tabela_registros[CATEGORIA],investiroutrosconsolidadodez[[#This Row],[ATUAL]])</f>
        <v>0</v>
      </c>
      <c r="J154" s="119" t="n">
        <f aca="false">SUMIFS(tabela_registros[VALOR],tabela_registros[MÊS],$AE$1,tabela_registros[DIA],investiroutrosconsolidadodez[[#Headers],[6]],tabela_registros[REGISTRO],DADOS!$N$5,tabela_registros[TIPO],DADOS!$AB$5,tabela_registros[CATEGORIA],investiroutrosconsolidadodez[[#This Row],[ATUAL]])</f>
        <v>0</v>
      </c>
      <c r="K154" s="119" t="n">
        <f aca="false">SUMIFS(tabela_registros[VALOR],tabela_registros[MÊS],$AE$1,tabela_registros[DIA],investiroutrosconsolidadodez[[#Headers],[7]],tabela_registros[REGISTRO],DADOS!$N$5,tabela_registros[TIPO],DADOS!$AB$5,tabela_registros[CATEGORIA],investiroutrosconsolidadodez[[#This Row],[ATUAL]])</f>
        <v>0</v>
      </c>
      <c r="L154" s="119" t="n">
        <f aca="false">SUMIFS(tabela_registros[VALOR],tabela_registros[MÊS],$AE$1,tabela_registros[DIA],investiroutrosconsolidadodez[[#Headers],[8]],tabela_registros[REGISTRO],DADOS!$N$5,tabela_registros[TIPO],DADOS!$AB$5,tabela_registros[CATEGORIA],investiroutrosconsolidadodez[[#This Row],[ATUAL]])</f>
        <v>0</v>
      </c>
      <c r="M154" s="119" t="n">
        <f aca="false">SUMIFS(tabela_registros[VALOR],tabela_registros[MÊS],$AE$1,tabela_registros[DIA],investiroutrosconsolidadodez[[#Headers],[9]],tabela_registros[REGISTRO],DADOS!$N$5,tabela_registros[TIPO],DADOS!$AB$5,tabela_registros[CATEGORIA],investiroutrosconsolidadodez[[#This Row],[ATUAL]])</f>
        <v>0</v>
      </c>
      <c r="N154" s="119" t="n">
        <f aca="false">SUMIFS(tabela_registros[VALOR],tabela_registros[MÊS],$AE$1,tabela_registros[DIA],investiroutrosconsolidadodez[[#Headers],[10]],tabela_registros[REGISTRO],DADOS!$N$5,tabela_registros[TIPO],DADOS!$AB$5,tabela_registros[CATEGORIA],investiroutrosconsolidadodez[[#This Row],[ATUAL]])</f>
        <v>0</v>
      </c>
      <c r="O154" s="119" t="n">
        <f aca="false">SUMIFS(tabela_registros[VALOR],tabela_registros[MÊS],$AE$1,tabela_registros[DIA],investiroutrosconsolidadodez[[#Headers],[11]],tabela_registros[REGISTRO],DADOS!$N$5,tabela_registros[TIPO],DADOS!$AB$5,tabela_registros[CATEGORIA],investiroutrosconsolidadodez[[#This Row],[ATUAL]])</f>
        <v>0</v>
      </c>
      <c r="P154" s="119" t="n">
        <f aca="false">SUMIFS(tabela_registros[VALOR],tabela_registros[MÊS],$AE$1,tabela_registros[DIA],investiroutrosconsolidadodez[[#Headers],[12]],tabela_registros[REGISTRO],DADOS!$N$5,tabela_registros[TIPO],DADOS!$AB$5,tabela_registros[CATEGORIA],investiroutrosconsolidadodez[[#This Row],[ATUAL]])</f>
        <v>0</v>
      </c>
      <c r="Q154" s="119" t="n">
        <f aca="false">SUMIFS(tabela_registros[VALOR],tabela_registros[MÊS],$AE$1,tabela_registros[DIA],investiroutrosconsolidadodez[[#Headers],[13]],tabela_registros[REGISTRO],DADOS!$N$5,tabela_registros[TIPO],DADOS!$AB$5,tabela_registros[CATEGORIA],investiroutrosconsolidadodez[[#This Row],[ATUAL]])</f>
        <v>0</v>
      </c>
      <c r="R154" s="119" t="n">
        <f aca="false">SUMIFS(tabela_registros[VALOR],tabela_registros[MÊS],$AE$1,tabela_registros[DIA],investiroutrosconsolidadodez[[#Headers],[14]],tabela_registros[REGISTRO],DADOS!$N$5,tabela_registros[TIPO],DADOS!$AB$5,tabela_registros[CATEGORIA],investiroutrosconsolidadodez[[#This Row],[ATUAL]])</f>
        <v>0</v>
      </c>
      <c r="S154" s="119" t="n">
        <f aca="false">SUMIFS(tabela_registros[VALOR],tabela_registros[MÊS],$AE$1,tabela_registros[DIA],investiroutrosconsolidadodez[[#Headers],[15]],tabela_registros[REGISTRO],DADOS!$N$5,tabela_registros[TIPO],DADOS!$AB$5,tabela_registros[CATEGORIA],investiroutrosconsolidadodez[[#This Row],[ATUAL]])</f>
        <v>0</v>
      </c>
      <c r="T154" s="119" t="n">
        <f aca="false">SUMIFS(tabela_registros[VALOR],tabela_registros[MÊS],$AE$1,tabela_registros[DIA],investiroutrosconsolidadodez[[#Headers],[16]],tabela_registros[REGISTRO],DADOS!$N$5,tabela_registros[TIPO],DADOS!$AB$5,tabela_registros[CATEGORIA],investiroutrosconsolidadodez[[#This Row],[ATUAL]])</f>
        <v>0</v>
      </c>
      <c r="U154" s="119" t="n">
        <f aca="false">SUMIFS(tabela_registros[VALOR],tabela_registros[MÊS],$AE$1,tabela_registros[DIA],investiroutrosconsolidadodez[[#Headers],[17]],tabela_registros[REGISTRO],DADOS!$N$5,tabela_registros[TIPO],DADOS!$AB$5,tabela_registros[CATEGORIA],investiroutrosconsolidadodez[[#This Row],[ATUAL]])</f>
        <v>0</v>
      </c>
      <c r="V154" s="119" t="n">
        <f aca="false">SUMIFS(tabela_registros[VALOR],tabela_registros[MÊS],$AE$1,tabela_registros[DIA],investiroutrosconsolidadodez[[#Headers],[18]],tabela_registros[REGISTRO],DADOS!$N$5,tabela_registros[TIPO],DADOS!$AB$5,tabela_registros[CATEGORIA],investiroutrosconsolidadodez[[#This Row],[ATUAL]])</f>
        <v>0</v>
      </c>
      <c r="W154" s="119" t="n">
        <f aca="false">SUMIFS(tabela_registros[VALOR],tabela_registros[MÊS],$AE$1,tabela_registros[DIA],investiroutrosconsolidadodez[[#Headers],[19]],tabela_registros[REGISTRO],DADOS!$N$5,tabela_registros[TIPO],DADOS!$AB$5,tabela_registros[CATEGORIA],investiroutrosconsolidadodez[[#This Row],[ATUAL]])</f>
        <v>0</v>
      </c>
      <c r="X154" s="119" t="n">
        <f aca="false">SUMIFS(tabela_registros[VALOR],tabela_registros[MÊS],$AE$1,tabela_registros[DIA],investiroutrosconsolidadodez[[#Headers],[20]],tabela_registros[REGISTRO],DADOS!$N$5,tabela_registros[TIPO],DADOS!$AB$5,tabela_registros[CATEGORIA],investiroutrosconsolidadodez[[#This Row],[ATUAL]])</f>
        <v>0</v>
      </c>
      <c r="Y154" s="119" t="n">
        <f aca="false">SUMIFS(tabela_registros[VALOR],tabela_registros[MÊS],$AE$1,tabela_registros[DIA],investiroutrosconsolidadodez[[#Headers],[21]],tabela_registros[REGISTRO],DADOS!$N$5,tabela_registros[TIPO],DADOS!$AB$5,tabela_registros[CATEGORIA],investiroutrosconsolidadodez[[#This Row],[ATUAL]])</f>
        <v>0</v>
      </c>
      <c r="Z154" s="119" t="n">
        <f aca="false">SUMIFS(tabela_registros[VALOR],tabela_registros[MÊS],$AE$1,tabela_registros[DIA],investiroutrosconsolidadodez[[#Headers],[22]],tabela_registros[REGISTRO],DADOS!$N$5,tabela_registros[TIPO],DADOS!$AB$5,tabela_registros[CATEGORIA],investiroutrosconsolidadodez[[#This Row],[ATUAL]])</f>
        <v>0</v>
      </c>
      <c r="AA154" s="119" t="n">
        <f aca="false">SUMIFS(tabela_registros[VALOR],tabela_registros[MÊS],$AE$1,tabela_registros[DIA],investiroutrosconsolidadodez[[#Headers],[23]],tabela_registros[REGISTRO],DADOS!$N$5,tabela_registros[TIPO],DADOS!$AB$5,tabela_registros[CATEGORIA],investiroutrosconsolidadodez[[#This Row],[ATUAL]])</f>
        <v>0</v>
      </c>
      <c r="AB154" s="119" t="n">
        <f aca="false">SUMIFS(tabela_registros[VALOR],tabela_registros[MÊS],$AE$1,tabela_registros[DIA],investiroutrosconsolidadodez[[#Headers],[24]],tabela_registros[REGISTRO],DADOS!$N$5,tabela_registros[TIPO],DADOS!$AB$5,tabela_registros[CATEGORIA],investiroutrosconsolidadodez[[#This Row],[ATUAL]])</f>
        <v>0</v>
      </c>
      <c r="AC154" s="119" t="n">
        <f aca="false">SUMIFS(tabela_registros[VALOR],tabela_registros[MÊS],$AE$1,tabela_registros[DIA],investiroutrosconsolidadodez[[#Headers],[25]],tabela_registros[REGISTRO],DADOS!$N$5,tabela_registros[TIPO],DADOS!$AB$5,tabela_registros[CATEGORIA],investiroutrosconsolidadodez[[#This Row],[ATUAL]])</f>
        <v>0</v>
      </c>
      <c r="AD154" s="119" t="n">
        <f aca="false">SUMIFS(tabela_registros[VALOR],tabela_registros[MÊS],$AE$1,tabela_registros[DIA],investiroutrosconsolidadodez[[#Headers],[26]],tabela_registros[REGISTRO],DADOS!$N$5,tabela_registros[TIPO],DADOS!$AB$5,tabela_registros[CATEGORIA],investiroutrosconsolidadodez[[#This Row],[ATUAL]])</f>
        <v>0</v>
      </c>
      <c r="AE154" s="119" t="n">
        <f aca="false">SUMIFS(tabela_registros[VALOR],tabela_registros[MÊS],$AE$1,tabela_registros[DIA],investiroutrosconsolidadodez[[#Headers],[27]],tabela_registros[REGISTRO],DADOS!$N$5,tabela_registros[TIPO],DADOS!$AB$5,tabela_registros[CATEGORIA],investiroutrosconsolidadodez[[#This Row],[ATUAL]])</f>
        <v>0</v>
      </c>
      <c r="AF154" s="119" t="n">
        <f aca="false">SUMIFS(tabela_registros[VALOR],tabela_registros[MÊS],$AE$1,tabela_registros[DIA],investiroutrosconsolidadodez[[#Headers],[28]],tabela_registros[REGISTRO],DADOS!$N$5,tabela_registros[TIPO],DADOS!$AB$5,tabela_registros[CATEGORIA],investiroutrosconsolidadodez[[#This Row],[ATUAL]])</f>
        <v>0</v>
      </c>
      <c r="AG154" s="119" t="n">
        <f aca="false">SUMIFS(tabela_registros[VALOR],tabela_registros[MÊS],$AE$1,tabela_registros[DIA],investiroutrosconsolidadodez[[#Headers],[29]],tabela_registros[REGISTRO],DADOS!$N$5,tabela_registros[TIPO],DADOS!$AB$5,tabela_registros[CATEGORIA],investiroutrosconsolidadodez[[#This Row],[ATUAL]])</f>
        <v>0</v>
      </c>
      <c r="AH154" s="119" t="n">
        <f aca="false">SUMIFS(tabela_registros[VALOR],tabela_registros[MÊS],$AE$1,tabela_registros[DIA],investiroutrosconsolidadodez[[#Headers],[30]],tabela_registros[REGISTRO],DADOS!$N$5,tabela_registros[TIPO],DADOS!$AB$5,tabela_registros[CATEGORIA],investiroutrosconsolidadodez[[#This Row],[ATUAL]])</f>
        <v>0</v>
      </c>
      <c r="AI154" s="217" t="n">
        <f aca="false">SUMIFS(tabela_registros[VALOR],tabela_registros[MÊS],$AE$1,tabela_registros[DIA],investiroutrosconsolidadodez[[#Headers],[31]],tabela_registros[REGISTRO],DADOS!$N$5,tabela_registros[TIPO],DADOS!$AB$5,tabela_registros[CATEGORIA],investiroutrosconsolidadodez[[#This Row],[ATUAL]])</f>
        <v>0</v>
      </c>
      <c r="AJ154" s="149" t="n">
        <f aca="false">SUM(investiroutrosconsolidadodez[[#This Row],[1]:[31]])</f>
        <v>0</v>
      </c>
      <c r="AK154" s="165"/>
    </row>
    <row r="155" customFormat="false" ht="19.5" hidden="false" customHeight="true" outlineLevel="0" collapsed="false">
      <c r="B155" s="143"/>
      <c r="C155" s="144" t="str">
        <f aca="false">DADOS!$AH$7</f>
        <v>📝 PEER TO COMPANY</v>
      </c>
      <c r="D155" s="145" t="str">
        <f aca="false">IF(investiroutrosconsolidadodez[[#This Row],[TOTAL (R$)]]=0,"",IF(OR(investiroutrosconsolidadodez[[#This Row],[TOTAL (R$)]]=LARGE($AJ$151:$AJ$158,1),investiroutrosconsolidadodez[[#This Row],[TOTAL (R$)]]=LARGE($AJ$151:$AJ$158,2)),DADOS!$I$10,""))</f>
        <v/>
      </c>
      <c r="E155" s="148" t="n">
        <f aca="false">SUMIFS(tabela_registros[VALOR],tabela_registros[MÊS],$AE$1,tabela_registros[DIA],investiroutrosconsolidadodez[[#Headers],[1]],tabela_registros[REGISTRO],DADOS!$N$5,tabela_registros[TIPO],DADOS!$AB$5,tabela_registros[CATEGORIA],investiroutrosconsolidadodez[[#This Row],[ATUAL]])</f>
        <v>0</v>
      </c>
      <c r="F155" s="119" t="n">
        <f aca="false">SUMIFS(tabela_registros[VALOR],tabela_registros[MÊS],$AE$1,tabela_registros[DIA],investiroutrosconsolidadodez[[#Headers],[2]],tabela_registros[REGISTRO],DADOS!$N$5,tabela_registros[TIPO],DADOS!$AB$5,tabela_registros[CATEGORIA],investiroutrosconsolidadodez[[#This Row],[ATUAL]])</f>
        <v>0</v>
      </c>
      <c r="G155" s="119" t="n">
        <f aca="false">SUMIFS(tabela_registros[VALOR],tabela_registros[MÊS],$AE$1,tabela_registros[DIA],investiroutrosconsolidadodez[[#Headers],[3]],tabela_registros[REGISTRO],DADOS!$N$5,tabela_registros[TIPO],DADOS!$AB$5,tabela_registros[CATEGORIA],investiroutrosconsolidadodez[[#This Row],[ATUAL]])</f>
        <v>0</v>
      </c>
      <c r="H155" s="119" t="n">
        <f aca="false">SUMIFS(tabela_registros[VALOR],tabela_registros[MÊS],$AE$1,tabela_registros[DIA],investiroutrosconsolidadodez[[#Headers],[4]],tabela_registros[REGISTRO],DADOS!$N$5,tabela_registros[TIPO],DADOS!$AB$5,tabela_registros[CATEGORIA],investiroutrosconsolidadodez[[#This Row],[ATUAL]])</f>
        <v>0</v>
      </c>
      <c r="I155" s="119" t="n">
        <f aca="false">SUMIFS(tabela_registros[VALOR],tabela_registros[MÊS],$AE$1,tabela_registros[DIA],investiroutrosconsolidadodez[[#Headers],[5]],tabela_registros[REGISTRO],DADOS!$N$5,tabela_registros[TIPO],DADOS!$AB$5,tabela_registros[CATEGORIA],investiroutrosconsolidadodez[[#This Row],[ATUAL]])</f>
        <v>0</v>
      </c>
      <c r="J155" s="119" t="n">
        <f aca="false">SUMIFS(tabela_registros[VALOR],tabela_registros[MÊS],$AE$1,tabela_registros[DIA],investiroutrosconsolidadodez[[#Headers],[6]],tabela_registros[REGISTRO],DADOS!$N$5,tabela_registros[TIPO],DADOS!$AB$5,tabela_registros[CATEGORIA],investiroutrosconsolidadodez[[#This Row],[ATUAL]])</f>
        <v>0</v>
      </c>
      <c r="K155" s="119" t="n">
        <f aca="false">SUMIFS(tabela_registros[VALOR],tabela_registros[MÊS],$AE$1,tabela_registros[DIA],investiroutrosconsolidadodez[[#Headers],[7]],tabela_registros[REGISTRO],DADOS!$N$5,tabela_registros[TIPO],DADOS!$AB$5,tabela_registros[CATEGORIA],investiroutrosconsolidadodez[[#This Row],[ATUAL]])</f>
        <v>0</v>
      </c>
      <c r="L155" s="119" t="n">
        <f aca="false">SUMIFS(tabela_registros[VALOR],tabela_registros[MÊS],$AE$1,tabela_registros[DIA],investiroutrosconsolidadodez[[#Headers],[8]],tabela_registros[REGISTRO],DADOS!$N$5,tabela_registros[TIPO],DADOS!$AB$5,tabela_registros[CATEGORIA],investiroutrosconsolidadodez[[#This Row],[ATUAL]])</f>
        <v>0</v>
      </c>
      <c r="M155" s="119" t="n">
        <f aca="false">SUMIFS(tabela_registros[VALOR],tabela_registros[MÊS],$AE$1,tabela_registros[DIA],investiroutrosconsolidadodez[[#Headers],[9]],tabela_registros[REGISTRO],DADOS!$N$5,tabela_registros[TIPO],DADOS!$AB$5,tabela_registros[CATEGORIA],investiroutrosconsolidadodez[[#This Row],[ATUAL]])</f>
        <v>0</v>
      </c>
      <c r="N155" s="119" t="n">
        <f aca="false">SUMIFS(tabela_registros[VALOR],tabela_registros[MÊS],$AE$1,tabela_registros[DIA],investiroutrosconsolidadodez[[#Headers],[10]],tabela_registros[REGISTRO],DADOS!$N$5,tabela_registros[TIPO],DADOS!$AB$5,tabela_registros[CATEGORIA],investiroutrosconsolidadodez[[#This Row],[ATUAL]])</f>
        <v>0</v>
      </c>
      <c r="O155" s="119" t="n">
        <f aca="false">SUMIFS(tabela_registros[VALOR],tabela_registros[MÊS],$AE$1,tabela_registros[DIA],investiroutrosconsolidadodez[[#Headers],[11]],tabela_registros[REGISTRO],DADOS!$N$5,tabela_registros[TIPO],DADOS!$AB$5,tabela_registros[CATEGORIA],investiroutrosconsolidadodez[[#This Row],[ATUAL]])</f>
        <v>0</v>
      </c>
      <c r="P155" s="119" t="n">
        <f aca="false">SUMIFS(tabela_registros[VALOR],tabela_registros[MÊS],$AE$1,tabela_registros[DIA],investiroutrosconsolidadodez[[#Headers],[12]],tabela_registros[REGISTRO],DADOS!$N$5,tabela_registros[TIPO],DADOS!$AB$5,tabela_registros[CATEGORIA],investiroutrosconsolidadodez[[#This Row],[ATUAL]])</f>
        <v>0</v>
      </c>
      <c r="Q155" s="119" t="n">
        <f aca="false">SUMIFS(tabela_registros[VALOR],tabela_registros[MÊS],$AE$1,tabela_registros[DIA],investiroutrosconsolidadodez[[#Headers],[13]],tabela_registros[REGISTRO],DADOS!$N$5,tabela_registros[TIPO],DADOS!$AB$5,tabela_registros[CATEGORIA],investiroutrosconsolidadodez[[#This Row],[ATUAL]])</f>
        <v>0</v>
      </c>
      <c r="R155" s="119" t="n">
        <f aca="false">SUMIFS(tabela_registros[VALOR],tabela_registros[MÊS],$AE$1,tabela_registros[DIA],investiroutrosconsolidadodez[[#Headers],[14]],tabela_registros[REGISTRO],DADOS!$N$5,tabela_registros[TIPO],DADOS!$AB$5,tabela_registros[CATEGORIA],investiroutrosconsolidadodez[[#This Row],[ATUAL]])</f>
        <v>0</v>
      </c>
      <c r="S155" s="119" t="n">
        <f aca="false">SUMIFS(tabela_registros[VALOR],tabela_registros[MÊS],$AE$1,tabela_registros[DIA],investiroutrosconsolidadodez[[#Headers],[15]],tabela_registros[REGISTRO],DADOS!$N$5,tabela_registros[TIPO],DADOS!$AB$5,tabela_registros[CATEGORIA],investiroutrosconsolidadodez[[#This Row],[ATUAL]])</f>
        <v>0</v>
      </c>
      <c r="T155" s="119" t="n">
        <f aca="false">SUMIFS(tabela_registros[VALOR],tabela_registros[MÊS],$AE$1,tabela_registros[DIA],investiroutrosconsolidadodez[[#Headers],[16]],tabela_registros[REGISTRO],DADOS!$N$5,tabela_registros[TIPO],DADOS!$AB$5,tabela_registros[CATEGORIA],investiroutrosconsolidadodez[[#This Row],[ATUAL]])</f>
        <v>0</v>
      </c>
      <c r="U155" s="119" t="n">
        <f aca="false">SUMIFS(tabela_registros[VALOR],tabela_registros[MÊS],$AE$1,tabela_registros[DIA],investiroutrosconsolidadodez[[#Headers],[17]],tabela_registros[REGISTRO],DADOS!$N$5,tabela_registros[TIPO],DADOS!$AB$5,tabela_registros[CATEGORIA],investiroutrosconsolidadodez[[#This Row],[ATUAL]])</f>
        <v>0</v>
      </c>
      <c r="V155" s="119" t="n">
        <f aca="false">SUMIFS(tabela_registros[VALOR],tabela_registros[MÊS],$AE$1,tabela_registros[DIA],investiroutrosconsolidadodez[[#Headers],[18]],tabela_registros[REGISTRO],DADOS!$N$5,tabela_registros[TIPO],DADOS!$AB$5,tabela_registros[CATEGORIA],investiroutrosconsolidadodez[[#This Row],[ATUAL]])</f>
        <v>0</v>
      </c>
      <c r="W155" s="119" t="n">
        <f aca="false">SUMIFS(tabela_registros[VALOR],tabela_registros[MÊS],$AE$1,tabela_registros[DIA],investiroutrosconsolidadodez[[#Headers],[19]],tabela_registros[REGISTRO],DADOS!$N$5,tabela_registros[TIPO],DADOS!$AB$5,tabela_registros[CATEGORIA],investiroutrosconsolidadodez[[#This Row],[ATUAL]])</f>
        <v>0</v>
      </c>
      <c r="X155" s="119" t="n">
        <f aca="false">SUMIFS(tabela_registros[VALOR],tabela_registros[MÊS],$AE$1,tabela_registros[DIA],investiroutrosconsolidadodez[[#Headers],[20]],tabela_registros[REGISTRO],DADOS!$N$5,tabela_registros[TIPO],DADOS!$AB$5,tabela_registros[CATEGORIA],investiroutrosconsolidadodez[[#This Row],[ATUAL]])</f>
        <v>0</v>
      </c>
      <c r="Y155" s="119" t="n">
        <f aca="false">SUMIFS(tabela_registros[VALOR],tabela_registros[MÊS],$AE$1,tabela_registros[DIA],investiroutrosconsolidadodez[[#Headers],[21]],tabela_registros[REGISTRO],DADOS!$N$5,tabela_registros[TIPO],DADOS!$AB$5,tabela_registros[CATEGORIA],investiroutrosconsolidadodez[[#This Row],[ATUAL]])</f>
        <v>0</v>
      </c>
      <c r="Z155" s="119" t="n">
        <f aca="false">SUMIFS(tabela_registros[VALOR],tabela_registros[MÊS],$AE$1,tabela_registros[DIA],investiroutrosconsolidadodez[[#Headers],[22]],tabela_registros[REGISTRO],DADOS!$N$5,tabela_registros[TIPO],DADOS!$AB$5,tabela_registros[CATEGORIA],investiroutrosconsolidadodez[[#This Row],[ATUAL]])</f>
        <v>0</v>
      </c>
      <c r="AA155" s="119" t="n">
        <f aca="false">SUMIFS(tabela_registros[VALOR],tabela_registros[MÊS],$AE$1,tabela_registros[DIA],investiroutrosconsolidadodez[[#Headers],[23]],tabela_registros[REGISTRO],DADOS!$N$5,tabela_registros[TIPO],DADOS!$AB$5,tabela_registros[CATEGORIA],investiroutrosconsolidadodez[[#This Row],[ATUAL]])</f>
        <v>0</v>
      </c>
      <c r="AB155" s="119" t="n">
        <f aca="false">SUMIFS(tabela_registros[VALOR],tabela_registros[MÊS],$AE$1,tabela_registros[DIA],investiroutrosconsolidadodez[[#Headers],[24]],tabela_registros[REGISTRO],DADOS!$N$5,tabela_registros[TIPO],DADOS!$AB$5,tabela_registros[CATEGORIA],investiroutrosconsolidadodez[[#This Row],[ATUAL]])</f>
        <v>0</v>
      </c>
      <c r="AC155" s="119" t="n">
        <f aca="false">SUMIFS(tabela_registros[VALOR],tabela_registros[MÊS],$AE$1,tabela_registros[DIA],investiroutrosconsolidadodez[[#Headers],[25]],tabela_registros[REGISTRO],DADOS!$N$5,tabela_registros[TIPO],DADOS!$AB$5,tabela_registros[CATEGORIA],investiroutrosconsolidadodez[[#This Row],[ATUAL]])</f>
        <v>0</v>
      </c>
      <c r="AD155" s="119" t="n">
        <f aca="false">SUMIFS(tabela_registros[VALOR],tabela_registros[MÊS],$AE$1,tabela_registros[DIA],investiroutrosconsolidadodez[[#Headers],[26]],tabela_registros[REGISTRO],DADOS!$N$5,tabela_registros[TIPO],DADOS!$AB$5,tabela_registros[CATEGORIA],investiroutrosconsolidadodez[[#This Row],[ATUAL]])</f>
        <v>0</v>
      </c>
      <c r="AE155" s="119" t="n">
        <f aca="false">SUMIFS(tabela_registros[VALOR],tabela_registros[MÊS],$AE$1,tabela_registros[DIA],investiroutrosconsolidadodez[[#Headers],[27]],tabela_registros[REGISTRO],DADOS!$N$5,tabela_registros[TIPO],DADOS!$AB$5,tabela_registros[CATEGORIA],investiroutrosconsolidadodez[[#This Row],[ATUAL]])</f>
        <v>0</v>
      </c>
      <c r="AF155" s="119" t="n">
        <f aca="false">SUMIFS(tabela_registros[VALOR],tabela_registros[MÊS],$AE$1,tabela_registros[DIA],investiroutrosconsolidadodez[[#Headers],[28]],tabela_registros[REGISTRO],DADOS!$N$5,tabela_registros[TIPO],DADOS!$AB$5,tabela_registros[CATEGORIA],investiroutrosconsolidadodez[[#This Row],[ATUAL]])</f>
        <v>0</v>
      </c>
      <c r="AG155" s="119" t="n">
        <f aca="false">SUMIFS(tabela_registros[VALOR],tabela_registros[MÊS],$AE$1,tabela_registros[DIA],investiroutrosconsolidadodez[[#Headers],[29]],tabela_registros[REGISTRO],DADOS!$N$5,tabela_registros[TIPO],DADOS!$AB$5,tabela_registros[CATEGORIA],investiroutrosconsolidadodez[[#This Row],[ATUAL]])</f>
        <v>0</v>
      </c>
      <c r="AH155" s="119" t="n">
        <f aca="false">SUMIFS(tabela_registros[VALOR],tabela_registros[MÊS],$AE$1,tabela_registros[DIA],investiroutrosconsolidadodez[[#Headers],[30]],tabela_registros[REGISTRO],DADOS!$N$5,tabela_registros[TIPO],DADOS!$AB$5,tabela_registros[CATEGORIA],investiroutrosconsolidadodez[[#This Row],[ATUAL]])</f>
        <v>0</v>
      </c>
      <c r="AI155" s="217" t="n">
        <f aca="false">SUMIFS(tabela_registros[VALOR],tabela_registros[MÊS],$AE$1,tabela_registros[DIA],investiroutrosconsolidadodez[[#Headers],[31]],tabela_registros[REGISTRO],DADOS!$N$5,tabela_registros[TIPO],DADOS!$AB$5,tabela_registros[CATEGORIA],investiroutrosconsolidadodez[[#This Row],[ATUAL]])</f>
        <v>0</v>
      </c>
      <c r="AJ155" s="149" t="n">
        <f aca="false">SUM(investiroutrosconsolidadodez[[#This Row],[1]:[31]])</f>
        <v>0</v>
      </c>
      <c r="AK155" s="165"/>
    </row>
    <row r="156" customFormat="false" ht="19.5" hidden="false" customHeight="true" outlineLevel="0" collapsed="false">
      <c r="B156" s="143"/>
      <c r="C156" s="144" t="str">
        <f aca="false">DADOS!$AH$8</f>
        <v>📝 PEER TO PEER</v>
      </c>
      <c r="D156" s="145" t="str">
        <f aca="false">IF(investiroutrosconsolidadodez[[#This Row],[TOTAL (R$)]]=0,"",IF(OR(investiroutrosconsolidadodez[[#This Row],[TOTAL (R$)]]=LARGE($AJ$151:$AJ$158,1),investiroutrosconsolidadodez[[#This Row],[TOTAL (R$)]]=LARGE($AJ$151:$AJ$158,2)),DADOS!$I$10,""))</f>
        <v/>
      </c>
      <c r="E156" s="148" t="n">
        <f aca="false">SUMIFS(tabela_registros[VALOR],tabela_registros[MÊS],$AE$1,tabela_registros[DIA],investiroutrosconsolidadodez[[#Headers],[1]],tabela_registros[REGISTRO],DADOS!$N$5,tabela_registros[TIPO],DADOS!$AB$5,tabela_registros[CATEGORIA],investiroutrosconsolidadodez[[#This Row],[ATUAL]])</f>
        <v>0</v>
      </c>
      <c r="F156" s="119" t="n">
        <f aca="false">SUMIFS(tabela_registros[VALOR],tabela_registros[MÊS],$AE$1,tabela_registros[DIA],investiroutrosconsolidadodez[[#Headers],[2]],tabela_registros[REGISTRO],DADOS!$N$5,tabela_registros[TIPO],DADOS!$AB$5,tabela_registros[CATEGORIA],investiroutrosconsolidadodez[[#This Row],[ATUAL]])</f>
        <v>0</v>
      </c>
      <c r="G156" s="119" t="n">
        <f aca="false">SUMIFS(tabela_registros[VALOR],tabela_registros[MÊS],$AE$1,tabela_registros[DIA],investiroutrosconsolidadodez[[#Headers],[3]],tabela_registros[REGISTRO],DADOS!$N$5,tabela_registros[TIPO],DADOS!$AB$5,tabela_registros[CATEGORIA],investiroutrosconsolidadodez[[#This Row],[ATUAL]])</f>
        <v>0</v>
      </c>
      <c r="H156" s="119" t="n">
        <f aca="false">SUMIFS(tabela_registros[VALOR],tabela_registros[MÊS],$AE$1,tabela_registros[DIA],investiroutrosconsolidadodez[[#Headers],[4]],tabela_registros[REGISTRO],DADOS!$N$5,tabela_registros[TIPO],DADOS!$AB$5,tabela_registros[CATEGORIA],investiroutrosconsolidadodez[[#This Row],[ATUAL]])</f>
        <v>0</v>
      </c>
      <c r="I156" s="119" t="n">
        <f aca="false">SUMIFS(tabela_registros[VALOR],tabela_registros[MÊS],$AE$1,tabela_registros[DIA],investiroutrosconsolidadodez[[#Headers],[5]],tabela_registros[REGISTRO],DADOS!$N$5,tabela_registros[TIPO],DADOS!$AB$5,tabela_registros[CATEGORIA],investiroutrosconsolidadodez[[#This Row],[ATUAL]])</f>
        <v>0</v>
      </c>
      <c r="J156" s="119" t="n">
        <f aca="false">SUMIFS(tabela_registros[VALOR],tabela_registros[MÊS],$AE$1,tabela_registros[DIA],investiroutrosconsolidadodez[[#Headers],[6]],tabela_registros[REGISTRO],DADOS!$N$5,tabela_registros[TIPO],DADOS!$AB$5,tabela_registros[CATEGORIA],investiroutrosconsolidadodez[[#This Row],[ATUAL]])</f>
        <v>0</v>
      </c>
      <c r="K156" s="119" t="n">
        <f aca="false">SUMIFS(tabela_registros[VALOR],tabela_registros[MÊS],$AE$1,tabela_registros[DIA],investiroutrosconsolidadodez[[#Headers],[7]],tabela_registros[REGISTRO],DADOS!$N$5,tabela_registros[TIPO],DADOS!$AB$5,tabela_registros[CATEGORIA],investiroutrosconsolidadodez[[#This Row],[ATUAL]])</f>
        <v>0</v>
      </c>
      <c r="L156" s="119" t="n">
        <f aca="false">SUMIFS(tabela_registros[VALOR],tabela_registros[MÊS],$AE$1,tabela_registros[DIA],investiroutrosconsolidadodez[[#Headers],[8]],tabela_registros[REGISTRO],DADOS!$N$5,tabela_registros[TIPO],DADOS!$AB$5,tabela_registros[CATEGORIA],investiroutrosconsolidadodez[[#This Row],[ATUAL]])</f>
        <v>0</v>
      </c>
      <c r="M156" s="119" t="n">
        <f aca="false">SUMIFS(tabela_registros[VALOR],tabela_registros[MÊS],$AE$1,tabela_registros[DIA],investiroutrosconsolidadodez[[#Headers],[9]],tabela_registros[REGISTRO],DADOS!$N$5,tabela_registros[TIPO],DADOS!$AB$5,tabela_registros[CATEGORIA],investiroutrosconsolidadodez[[#This Row],[ATUAL]])</f>
        <v>0</v>
      </c>
      <c r="N156" s="119" t="n">
        <f aca="false">SUMIFS(tabela_registros[VALOR],tabela_registros[MÊS],$AE$1,tabela_registros[DIA],investiroutrosconsolidadodez[[#Headers],[10]],tabela_registros[REGISTRO],DADOS!$N$5,tabela_registros[TIPO],DADOS!$AB$5,tabela_registros[CATEGORIA],investiroutrosconsolidadodez[[#This Row],[ATUAL]])</f>
        <v>0</v>
      </c>
      <c r="O156" s="119" t="n">
        <f aca="false">SUMIFS(tabela_registros[VALOR],tabela_registros[MÊS],$AE$1,tabela_registros[DIA],investiroutrosconsolidadodez[[#Headers],[11]],tabela_registros[REGISTRO],DADOS!$N$5,tabela_registros[TIPO],DADOS!$AB$5,tabela_registros[CATEGORIA],investiroutrosconsolidadodez[[#This Row],[ATUAL]])</f>
        <v>0</v>
      </c>
      <c r="P156" s="119" t="n">
        <f aca="false">SUMIFS(tabela_registros[VALOR],tabela_registros[MÊS],$AE$1,tabela_registros[DIA],investiroutrosconsolidadodez[[#Headers],[12]],tabela_registros[REGISTRO],DADOS!$N$5,tabela_registros[TIPO],DADOS!$AB$5,tabela_registros[CATEGORIA],investiroutrosconsolidadodez[[#This Row],[ATUAL]])</f>
        <v>0</v>
      </c>
      <c r="Q156" s="119" t="n">
        <f aca="false">SUMIFS(tabela_registros[VALOR],tabela_registros[MÊS],$AE$1,tabela_registros[DIA],investiroutrosconsolidadodez[[#Headers],[13]],tabela_registros[REGISTRO],DADOS!$N$5,tabela_registros[TIPO],DADOS!$AB$5,tabela_registros[CATEGORIA],investiroutrosconsolidadodez[[#This Row],[ATUAL]])</f>
        <v>0</v>
      </c>
      <c r="R156" s="119" t="n">
        <f aca="false">SUMIFS(tabela_registros[VALOR],tabela_registros[MÊS],$AE$1,tabela_registros[DIA],investiroutrosconsolidadodez[[#Headers],[14]],tabela_registros[REGISTRO],DADOS!$N$5,tabela_registros[TIPO],DADOS!$AB$5,tabela_registros[CATEGORIA],investiroutrosconsolidadodez[[#This Row],[ATUAL]])</f>
        <v>0</v>
      </c>
      <c r="S156" s="119" t="n">
        <f aca="false">SUMIFS(tabela_registros[VALOR],tabela_registros[MÊS],$AE$1,tabela_registros[DIA],investiroutrosconsolidadodez[[#Headers],[15]],tabela_registros[REGISTRO],DADOS!$N$5,tabela_registros[TIPO],DADOS!$AB$5,tabela_registros[CATEGORIA],investiroutrosconsolidadodez[[#This Row],[ATUAL]])</f>
        <v>0</v>
      </c>
      <c r="T156" s="119" t="n">
        <f aca="false">SUMIFS(tabela_registros[VALOR],tabela_registros[MÊS],$AE$1,tabela_registros[DIA],investiroutrosconsolidadodez[[#Headers],[16]],tabela_registros[REGISTRO],DADOS!$N$5,tabela_registros[TIPO],DADOS!$AB$5,tabela_registros[CATEGORIA],investiroutrosconsolidadodez[[#This Row],[ATUAL]])</f>
        <v>0</v>
      </c>
      <c r="U156" s="119" t="n">
        <f aca="false">SUMIFS(tabela_registros[VALOR],tabela_registros[MÊS],$AE$1,tabela_registros[DIA],investiroutrosconsolidadodez[[#Headers],[17]],tabela_registros[REGISTRO],DADOS!$N$5,tabela_registros[TIPO],DADOS!$AB$5,tabela_registros[CATEGORIA],investiroutrosconsolidadodez[[#This Row],[ATUAL]])</f>
        <v>0</v>
      </c>
      <c r="V156" s="119" t="n">
        <f aca="false">SUMIFS(tabela_registros[VALOR],tabela_registros[MÊS],$AE$1,tabela_registros[DIA],investiroutrosconsolidadodez[[#Headers],[18]],tabela_registros[REGISTRO],DADOS!$N$5,tabela_registros[TIPO],DADOS!$AB$5,tabela_registros[CATEGORIA],investiroutrosconsolidadodez[[#This Row],[ATUAL]])</f>
        <v>0</v>
      </c>
      <c r="W156" s="119" t="n">
        <f aca="false">SUMIFS(tabela_registros[VALOR],tabela_registros[MÊS],$AE$1,tabela_registros[DIA],investiroutrosconsolidadodez[[#Headers],[19]],tabela_registros[REGISTRO],DADOS!$N$5,tabela_registros[TIPO],DADOS!$AB$5,tabela_registros[CATEGORIA],investiroutrosconsolidadodez[[#This Row],[ATUAL]])</f>
        <v>0</v>
      </c>
      <c r="X156" s="119" t="n">
        <f aca="false">SUMIFS(tabela_registros[VALOR],tabela_registros[MÊS],$AE$1,tabela_registros[DIA],investiroutrosconsolidadodez[[#Headers],[20]],tabela_registros[REGISTRO],DADOS!$N$5,tabela_registros[TIPO],DADOS!$AB$5,tabela_registros[CATEGORIA],investiroutrosconsolidadodez[[#This Row],[ATUAL]])</f>
        <v>0</v>
      </c>
      <c r="Y156" s="119" t="n">
        <f aca="false">SUMIFS(tabela_registros[VALOR],tabela_registros[MÊS],$AE$1,tabela_registros[DIA],investiroutrosconsolidadodez[[#Headers],[21]],tabela_registros[REGISTRO],DADOS!$N$5,tabela_registros[TIPO],DADOS!$AB$5,tabela_registros[CATEGORIA],investiroutrosconsolidadodez[[#This Row],[ATUAL]])</f>
        <v>0</v>
      </c>
      <c r="Z156" s="119" t="n">
        <f aca="false">SUMIFS(tabela_registros[VALOR],tabela_registros[MÊS],$AE$1,tabela_registros[DIA],investiroutrosconsolidadodez[[#Headers],[22]],tabela_registros[REGISTRO],DADOS!$N$5,tabela_registros[TIPO],DADOS!$AB$5,tabela_registros[CATEGORIA],investiroutrosconsolidadodez[[#This Row],[ATUAL]])</f>
        <v>0</v>
      </c>
      <c r="AA156" s="119" t="n">
        <f aca="false">SUMIFS(tabela_registros[VALOR],tabela_registros[MÊS],$AE$1,tabela_registros[DIA],investiroutrosconsolidadodez[[#Headers],[23]],tabela_registros[REGISTRO],DADOS!$N$5,tabela_registros[TIPO],DADOS!$AB$5,tabela_registros[CATEGORIA],investiroutrosconsolidadodez[[#This Row],[ATUAL]])</f>
        <v>0</v>
      </c>
      <c r="AB156" s="119" t="n">
        <f aca="false">SUMIFS(tabela_registros[VALOR],tabela_registros[MÊS],$AE$1,tabela_registros[DIA],investiroutrosconsolidadodez[[#Headers],[24]],tabela_registros[REGISTRO],DADOS!$N$5,tabela_registros[TIPO],DADOS!$AB$5,tabela_registros[CATEGORIA],investiroutrosconsolidadodez[[#This Row],[ATUAL]])</f>
        <v>0</v>
      </c>
      <c r="AC156" s="119" t="n">
        <f aca="false">SUMIFS(tabela_registros[VALOR],tabela_registros[MÊS],$AE$1,tabela_registros[DIA],investiroutrosconsolidadodez[[#Headers],[25]],tabela_registros[REGISTRO],DADOS!$N$5,tabela_registros[TIPO],DADOS!$AB$5,tabela_registros[CATEGORIA],investiroutrosconsolidadodez[[#This Row],[ATUAL]])</f>
        <v>0</v>
      </c>
      <c r="AD156" s="119" t="n">
        <f aca="false">SUMIFS(tabela_registros[VALOR],tabela_registros[MÊS],$AE$1,tabela_registros[DIA],investiroutrosconsolidadodez[[#Headers],[26]],tabela_registros[REGISTRO],DADOS!$N$5,tabela_registros[TIPO],DADOS!$AB$5,tabela_registros[CATEGORIA],investiroutrosconsolidadodez[[#This Row],[ATUAL]])</f>
        <v>0</v>
      </c>
      <c r="AE156" s="119" t="n">
        <f aca="false">SUMIFS(tabela_registros[VALOR],tabela_registros[MÊS],$AE$1,tabela_registros[DIA],investiroutrosconsolidadodez[[#Headers],[27]],tabela_registros[REGISTRO],DADOS!$N$5,tabela_registros[TIPO],DADOS!$AB$5,tabela_registros[CATEGORIA],investiroutrosconsolidadodez[[#This Row],[ATUAL]])</f>
        <v>0</v>
      </c>
      <c r="AF156" s="119" t="n">
        <f aca="false">SUMIFS(tabela_registros[VALOR],tabela_registros[MÊS],$AE$1,tabela_registros[DIA],investiroutrosconsolidadodez[[#Headers],[28]],tabela_registros[REGISTRO],DADOS!$N$5,tabela_registros[TIPO],DADOS!$AB$5,tabela_registros[CATEGORIA],investiroutrosconsolidadodez[[#This Row],[ATUAL]])</f>
        <v>0</v>
      </c>
      <c r="AG156" s="119" t="n">
        <f aca="false">SUMIFS(tabela_registros[VALOR],tabela_registros[MÊS],$AE$1,tabela_registros[DIA],investiroutrosconsolidadodez[[#Headers],[29]],tabela_registros[REGISTRO],DADOS!$N$5,tabela_registros[TIPO],DADOS!$AB$5,tabela_registros[CATEGORIA],investiroutrosconsolidadodez[[#This Row],[ATUAL]])</f>
        <v>0</v>
      </c>
      <c r="AH156" s="119" t="n">
        <f aca="false">SUMIFS(tabela_registros[VALOR],tabela_registros[MÊS],$AE$1,tabela_registros[DIA],investiroutrosconsolidadodez[[#Headers],[30]],tabela_registros[REGISTRO],DADOS!$N$5,tabela_registros[TIPO],DADOS!$AB$5,tabela_registros[CATEGORIA],investiroutrosconsolidadodez[[#This Row],[ATUAL]])</f>
        <v>0</v>
      </c>
      <c r="AI156" s="217" t="n">
        <f aca="false">SUMIFS(tabela_registros[VALOR],tabela_registros[MÊS],$AE$1,tabela_registros[DIA],investiroutrosconsolidadodez[[#Headers],[31]],tabela_registros[REGISTRO],DADOS!$N$5,tabela_registros[TIPO],DADOS!$AB$5,tabela_registros[CATEGORIA],investiroutrosconsolidadodez[[#This Row],[ATUAL]])</f>
        <v>0</v>
      </c>
      <c r="AJ156" s="149" t="n">
        <f aca="false">SUM(investiroutrosconsolidadodez[[#This Row],[1]:[31]])</f>
        <v>0</v>
      </c>
      <c r="AK156" s="165"/>
    </row>
    <row r="157" customFormat="false" ht="19.5" hidden="false" customHeight="true" outlineLevel="0" collapsed="false">
      <c r="B157" s="143"/>
      <c r="C157" s="144" t="str">
        <f aca="false">DADOS!$AH$9</f>
        <v>📝 PREVIDÊNCIA PRIVADA</v>
      </c>
      <c r="D157" s="145" t="str">
        <f aca="false">IF(investiroutrosconsolidadodez[[#This Row],[TOTAL (R$)]]=0,"",IF(OR(investiroutrosconsolidadodez[[#This Row],[TOTAL (R$)]]=LARGE($AJ$151:$AJ$158,1),investiroutrosconsolidadodez[[#This Row],[TOTAL (R$)]]=LARGE($AJ$151:$AJ$158,2)),DADOS!$I$10,""))</f>
        <v/>
      </c>
      <c r="E157" s="148" t="n">
        <f aca="false">SUMIFS(tabela_registros[VALOR],tabela_registros[MÊS],$AE$1,tabela_registros[DIA],investiroutrosconsolidadodez[[#Headers],[1]],tabela_registros[REGISTRO],DADOS!$N$5,tabela_registros[TIPO],DADOS!$AB$5,tabela_registros[CATEGORIA],investiroutrosconsolidadodez[[#This Row],[ATUAL]])</f>
        <v>0</v>
      </c>
      <c r="F157" s="119" t="n">
        <f aca="false">SUMIFS(tabela_registros[VALOR],tabela_registros[MÊS],$AE$1,tabela_registros[DIA],investiroutrosconsolidadodez[[#Headers],[2]],tabela_registros[REGISTRO],DADOS!$N$5,tabela_registros[TIPO],DADOS!$AB$5,tabela_registros[CATEGORIA],investiroutrosconsolidadodez[[#This Row],[ATUAL]])</f>
        <v>0</v>
      </c>
      <c r="G157" s="119" t="n">
        <f aca="false">SUMIFS(tabela_registros[VALOR],tabela_registros[MÊS],$AE$1,tabela_registros[DIA],investiroutrosconsolidadodez[[#Headers],[3]],tabela_registros[REGISTRO],DADOS!$N$5,tabela_registros[TIPO],DADOS!$AB$5,tabela_registros[CATEGORIA],investiroutrosconsolidadodez[[#This Row],[ATUAL]])</f>
        <v>0</v>
      </c>
      <c r="H157" s="119" t="n">
        <f aca="false">SUMIFS(tabela_registros[VALOR],tabela_registros[MÊS],$AE$1,tabela_registros[DIA],investiroutrosconsolidadodez[[#Headers],[4]],tabela_registros[REGISTRO],DADOS!$N$5,tabela_registros[TIPO],DADOS!$AB$5,tabela_registros[CATEGORIA],investiroutrosconsolidadodez[[#This Row],[ATUAL]])</f>
        <v>0</v>
      </c>
      <c r="I157" s="119" t="n">
        <f aca="false">SUMIFS(tabela_registros[VALOR],tabela_registros[MÊS],$AE$1,tabela_registros[DIA],investiroutrosconsolidadodez[[#Headers],[5]],tabela_registros[REGISTRO],DADOS!$N$5,tabela_registros[TIPO],DADOS!$AB$5,tabela_registros[CATEGORIA],investiroutrosconsolidadodez[[#This Row],[ATUAL]])</f>
        <v>0</v>
      </c>
      <c r="J157" s="119" t="n">
        <f aca="false">SUMIFS(tabela_registros[VALOR],tabela_registros[MÊS],$AE$1,tabela_registros[DIA],investiroutrosconsolidadodez[[#Headers],[6]],tabela_registros[REGISTRO],DADOS!$N$5,tabela_registros[TIPO],DADOS!$AB$5,tabela_registros[CATEGORIA],investiroutrosconsolidadodez[[#This Row],[ATUAL]])</f>
        <v>0</v>
      </c>
      <c r="K157" s="119" t="n">
        <f aca="false">SUMIFS(tabela_registros[VALOR],tabela_registros[MÊS],$AE$1,tabela_registros[DIA],investiroutrosconsolidadodez[[#Headers],[7]],tabela_registros[REGISTRO],DADOS!$N$5,tabela_registros[TIPO],DADOS!$AB$5,tabela_registros[CATEGORIA],investiroutrosconsolidadodez[[#This Row],[ATUAL]])</f>
        <v>0</v>
      </c>
      <c r="L157" s="119" t="n">
        <f aca="false">SUMIFS(tabela_registros[VALOR],tabela_registros[MÊS],$AE$1,tabela_registros[DIA],investiroutrosconsolidadodez[[#Headers],[8]],tabela_registros[REGISTRO],DADOS!$N$5,tabela_registros[TIPO],DADOS!$AB$5,tabela_registros[CATEGORIA],investiroutrosconsolidadodez[[#This Row],[ATUAL]])</f>
        <v>0</v>
      </c>
      <c r="M157" s="119" t="n">
        <f aca="false">SUMIFS(tabela_registros[VALOR],tabela_registros[MÊS],$AE$1,tabela_registros[DIA],investiroutrosconsolidadodez[[#Headers],[9]],tabela_registros[REGISTRO],DADOS!$N$5,tabela_registros[TIPO],DADOS!$AB$5,tabela_registros[CATEGORIA],investiroutrosconsolidadodez[[#This Row],[ATUAL]])</f>
        <v>0</v>
      </c>
      <c r="N157" s="119" t="n">
        <f aca="false">SUMIFS(tabela_registros[VALOR],tabela_registros[MÊS],$AE$1,tabela_registros[DIA],investiroutrosconsolidadodez[[#Headers],[10]],tabela_registros[REGISTRO],DADOS!$N$5,tabela_registros[TIPO],DADOS!$AB$5,tabela_registros[CATEGORIA],investiroutrosconsolidadodez[[#This Row],[ATUAL]])</f>
        <v>0</v>
      </c>
      <c r="O157" s="119" t="n">
        <f aca="false">SUMIFS(tabela_registros[VALOR],tabela_registros[MÊS],$AE$1,tabela_registros[DIA],investiroutrosconsolidadodez[[#Headers],[11]],tabela_registros[REGISTRO],DADOS!$N$5,tabela_registros[TIPO],DADOS!$AB$5,tabela_registros[CATEGORIA],investiroutrosconsolidadodez[[#This Row],[ATUAL]])</f>
        <v>0</v>
      </c>
      <c r="P157" s="119" t="n">
        <f aca="false">SUMIFS(tabela_registros[VALOR],tabela_registros[MÊS],$AE$1,tabela_registros[DIA],investiroutrosconsolidadodez[[#Headers],[12]],tabela_registros[REGISTRO],DADOS!$N$5,tabela_registros[TIPO],DADOS!$AB$5,tabela_registros[CATEGORIA],investiroutrosconsolidadodez[[#This Row],[ATUAL]])</f>
        <v>0</v>
      </c>
      <c r="Q157" s="119" t="n">
        <f aca="false">SUMIFS(tabela_registros[VALOR],tabela_registros[MÊS],$AE$1,tabela_registros[DIA],investiroutrosconsolidadodez[[#Headers],[13]],tabela_registros[REGISTRO],DADOS!$N$5,tabela_registros[TIPO],DADOS!$AB$5,tabela_registros[CATEGORIA],investiroutrosconsolidadodez[[#This Row],[ATUAL]])</f>
        <v>0</v>
      </c>
      <c r="R157" s="119" t="n">
        <f aca="false">SUMIFS(tabela_registros[VALOR],tabela_registros[MÊS],$AE$1,tabela_registros[DIA],investiroutrosconsolidadodez[[#Headers],[14]],tabela_registros[REGISTRO],DADOS!$N$5,tabela_registros[TIPO],DADOS!$AB$5,tabela_registros[CATEGORIA],investiroutrosconsolidadodez[[#This Row],[ATUAL]])</f>
        <v>0</v>
      </c>
      <c r="S157" s="119" t="n">
        <f aca="false">SUMIFS(tabela_registros[VALOR],tabela_registros[MÊS],$AE$1,tabela_registros[DIA],investiroutrosconsolidadodez[[#Headers],[15]],tabela_registros[REGISTRO],DADOS!$N$5,tabela_registros[TIPO],DADOS!$AB$5,tabela_registros[CATEGORIA],investiroutrosconsolidadodez[[#This Row],[ATUAL]])</f>
        <v>0</v>
      </c>
      <c r="T157" s="119" t="n">
        <f aca="false">SUMIFS(tabela_registros[VALOR],tabela_registros[MÊS],$AE$1,tabela_registros[DIA],investiroutrosconsolidadodez[[#Headers],[16]],tabela_registros[REGISTRO],DADOS!$N$5,tabela_registros[TIPO],DADOS!$AB$5,tabela_registros[CATEGORIA],investiroutrosconsolidadodez[[#This Row],[ATUAL]])</f>
        <v>0</v>
      </c>
      <c r="U157" s="119" t="n">
        <f aca="false">SUMIFS(tabela_registros[VALOR],tabela_registros[MÊS],$AE$1,tabela_registros[DIA],investiroutrosconsolidadodez[[#Headers],[17]],tabela_registros[REGISTRO],DADOS!$N$5,tabela_registros[TIPO],DADOS!$AB$5,tabela_registros[CATEGORIA],investiroutrosconsolidadodez[[#This Row],[ATUAL]])</f>
        <v>0</v>
      </c>
      <c r="V157" s="119" t="n">
        <f aca="false">SUMIFS(tabela_registros[VALOR],tabela_registros[MÊS],$AE$1,tabela_registros[DIA],investiroutrosconsolidadodez[[#Headers],[18]],tabela_registros[REGISTRO],DADOS!$N$5,tabela_registros[TIPO],DADOS!$AB$5,tabela_registros[CATEGORIA],investiroutrosconsolidadodez[[#This Row],[ATUAL]])</f>
        <v>0</v>
      </c>
      <c r="W157" s="119" t="n">
        <f aca="false">SUMIFS(tabela_registros[VALOR],tabela_registros[MÊS],$AE$1,tabela_registros[DIA],investiroutrosconsolidadodez[[#Headers],[19]],tabela_registros[REGISTRO],DADOS!$N$5,tabela_registros[TIPO],DADOS!$AB$5,tabela_registros[CATEGORIA],investiroutrosconsolidadodez[[#This Row],[ATUAL]])</f>
        <v>0</v>
      </c>
      <c r="X157" s="119" t="n">
        <f aca="false">SUMIFS(tabela_registros[VALOR],tabela_registros[MÊS],$AE$1,tabela_registros[DIA],investiroutrosconsolidadodez[[#Headers],[20]],tabela_registros[REGISTRO],DADOS!$N$5,tabela_registros[TIPO],DADOS!$AB$5,tabela_registros[CATEGORIA],investiroutrosconsolidadodez[[#This Row],[ATUAL]])</f>
        <v>0</v>
      </c>
      <c r="Y157" s="119" t="n">
        <f aca="false">SUMIFS(tabela_registros[VALOR],tabela_registros[MÊS],$AE$1,tabela_registros[DIA],investiroutrosconsolidadodez[[#Headers],[21]],tabela_registros[REGISTRO],DADOS!$N$5,tabela_registros[TIPO],DADOS!$AB$5,tabela_registros[CATEGORIA],investiroutrosconsolidadodez[[#This Row],[ATUAL]])</f>
        <v>0</v>
      </c>
      <c r="Z157" s="119" t="n">
        <f aca="false">SUMIFS(tabela_registros[VALOR],tabela_registros[MÊS],$AE$1,tabela_registros[DIA],investiroutrosconsolidadodez[[#Headers],[22]],tabela_registros[REGISTRO],DADOS!$N$5,tabela_registros[TIPO],DADOS!$AB$5,tabela_registros[CATEGORIA],investiroutrosconsolidadodez[[#This Row],[ATUAL]])</f>
        <v>0</v>
      </c>
      <c r="AA157" s="119" t="n">
        <f aca="false">SUMIFS(tabela_registros[VALOR],tabela_registros[MÊS],$AE$1,tabela_registros[DIA],investiroutrosconsolidadodez[[#Headers],[23]],tabela_registros[REGISTRO],DADOS!$N$5,tabela_registros[TIPO],DADOS!$AB$5,tabela_registros[CATEGORIA],investiroutrosconsolidadodez[[#This Row],[ATUAL]])</f>
        <v>0</v>
      </c>
      <c r="AB157" s="119" t="n">
        <f aca="false">SUMIFS(tabela_registros[VALOR],tabela_registros[MÊS],$AE$1,tabela_registros[DIA],investiroutrosconsolidadodez[[#Headers],[24]],tabela_registros[REGISTRO],DADOS!$N$5,tabela_registros[TIPO],DADOS!$AB$5,tabela_registros[CATEGORIA],investiroutrosconsolidadodez[[#This Row],[ATUAL]])</f>
        <v>0</v>
      </c>
      <c r="AC157" s="119" t="n">
        <f aca="false">SUMIFS(tabela_registros[VALOR],tabela_registros[MÊS],$AE$1,tabela_registros[DIA],investiroutrosconsolidadodez[[#Headers],[25]],tabela_registros[REGISTRO],DADOS!$N$5,tabela_registros[TIPO],DADOS!$AB$5,tabela_registros[CATEGORIA],investiroutrosconsolidadodez[[#This Row],[ATUAL]])</f>
        <v>0</v>
      </c>
      <c r="AD157" s="119" t="n">
        <f aca="false">SUMIFS(tabela_registros[VALOR],tabela_registros[MÊS],$AE$1,tabela_registros[DIA],investiroutrosconsolidadodez[[#Headers],[26]],tabela_registros[REGISTRO],DADOS!$N$5,tabela_registros[TIPO],DADOS!$AB$5,tabela_registros[CATEGORIA],investiroutrosconsolidadodez[[#This Row],[ATUAL]])</f>
        <v>0</v>
      </c>
      <c r="AE157" s="119" t="n">
        <f aca="false">SUMIFS(tabela_registros[VALOR],tabela_registros[MÊS],$AE$1,tabela_registros[DIA],investiroutrosconsolidadodez[[#Headers],[27]],tabela_registros[REGISTRO],DADOS!$N$5,tabela_registros[TIPO],DADOS!$AB$5,tabela_registros[CATEGORIA],investiroutrosconsolidadodez[[#This Row],[ATUAL]])</f>
        <v>0</v>
      </c>
      <c r="AF157" s="119" t="n">
        <f aca="false">SUMIFS(tabela_registros[VALOR],tabela_registros[MÊS],$AE$1,tabela_registros[DIA],investiroutrosconsolidadodez[[#Headers],[28]],tabela_registros[REGISTRO],DADOS!$N$5,tabela_registros[TIPO],DADOS!$AB$5,tabela_registros[CATEGORIA],investiroutrosconsolidadodez[[#This Row],[ATUAL]])</f>
        <v>0</v>
      </c>
      <c r="AG157" s="119" t="n">
        <f aca="false">SUMIFS(tabela_registros[VALOR],tabela_registros[MÊS],$AE$1,tabela_registros[DIA],investiroutrosconsolidadodez[[#Headers],[29]],tabela_registros[REGISTRO],DADOS!$N$5,tabela_registros[TIPO],DADOS!$AB$5,tabela_registros[CATEGORIA],investiroutrosconsolidadodez[[#This Row],[ATUAL]])</f>
        <v>0</v>
      </c>
      <c r="AH157" s="119" t="n">
        <f aca="false">SUMIFS(tabela_registros[VALOR],tabela_registros[MÊS],$AE$1,tabela_registros[DIA],investiroutrosconsolidadodez[[#Headers],[30]],tabela_registros[REGISTRO],DADOS!$N$5,tabela_registros[TIPO],DADOS!$AB$5,tabela_registros[CATEGORIA],investiroutrosconsolidadodez[[#This Row],[ATUAL]])</f>
        <v>0</v>
      </c>
      <c r="AI157" s="217" t="n">
        <f aca="false">SUMIFS(tabela_registros[VALOR],tabela_registros[MÊS],$AE$1,tabela_registros[DIA],investiroutrosconsolidadodez[[#Headers],[31]],tabela_registros[REGISTRO],DADOS!$N$5,tabela_registros[TIPO],DADOS!$AB$5,tabela_registros[CATEGORIA],investiroutrosconsolidadodez[[#This Row],[ATUAL]])</f>
        <v>0</v>
      </c>
      <c r="AJ157" s="149" t="n">
        <f aca="false">SUM(investiroutrosconsolidadodez[[#This Row],[1]:[31]])</f>
        <v>0</v>
      </c>
      <c r="AK157" s="165"/>
    </row>
    <row r="158" customFormat="false" ht="19.5" hidden="false" customHeight="true" outlineLevel="0" collapsed="false">
      <c r="B158" s="143"/>
      <c r="C158" s="144" t="str">
        <f aca="false">DADOS!$AH$10</f>
        <v>📎 OUTROS</v>
      </c>
      <c r="D158" s="145" t="str">
        <f aca="false">IF(investiroutrosconsolidadodez[[#This Row],[TOTAL (R$)]]=0,"",IF(OR(investiroutrosconsolidadodez[[#This Row],[TOTAL (R$)]]=LARGE($AJ$151:$AJ$158,1),investiroutrosconsolidadodez[[#This Row],[TOTAL (R$)]]=LARGE($AJ$151:$AJ$158,2)),DADOS!$I$10,""))</f>
        <v/>
      </c>
      <c r="E158" s="148" t="n">
        <f aca="false">SUMIFS(tabela_registros[VALOR],tabela_registros[MÊS],$AE$1,tabela_registros[DIA],investiroutrosconsolidadodez[[#Headers],[1]],tabela_registros[REGISTRO],DADOS!$N$5,tabela_registros[TIPO],DADOS!$AB$5,tabela_registros[CATEGORIA],investiroutrosconsolidadodez[[#This Row],[ATUAL]])</f>
        <v>0</v>
      </c>
      <c r="F158" s="119" t="n">
        <f aca="false">SUMIFS(tabela_registros[VALOR],tabela_registros[MÊS],$AE$1,tabela_registros[DIA],investiroutrosconsolidadodez[[#Headers],[2]],tabela_registros[REGISTRO],DADOS!$N$5,tabela_registros[TIPO],DADOS!$AB$5,tabela_registros[CATEGORIA],investiroutrosconsolidadodez[[#This Row],[ATUAL]])</f>
        <v>0</v>
      </c>
      <c r="G158" s="119" t="n">
        <f aca="false">SUMIFS(tabela_registros[VALOR],tabela_registros[MÊS],$AE$1,tabela_registros[DIA],investiroutrosconsolidadodez[[#Headers],[3]],tabela_registros[REGISTRO],DADOS!$N$5,tabela_registros[TIPO],DADOS!$AB$5,tabela_registros[CATEGORIA],investiroutrosconsolidadodez[[#This Row],[ATUAL]])</f>
        <v>0</v>
      </c>
      <c r="H158" s="119" t="n">
        <f aca="false">SUMIFS(tabela_registros[VALOR],tabela_registros[MÊS],$AE$1,tabela_registros[DIA],investiroutrosconsolidadodez[[#Headers],[4]],tabela_registros[REGISTRO],DADOS!$N$5,tabela_registros[TIPO],DADOS!$AB$5,tabela_registros[CATEGORIA],investiroutrosconsolidadodez[[#This Row],[ATUAL]])</f>
        <v>0</v>
      </c>
      <c r="I158" s="119" t="n">
        <f aca="false">SUMIFS(tabela_registros[VALOR],tabela_registros[MÊS],$AE$1,tabela_registros[DIA],investiroutrosconsolidadodez[[#Headers],[5]],tabela_registros[REGISTRO],DADOS!$N$5,tabela_registros[TIPO],DADOS!$AB$5,tabela_registros[CATEGORIA],investiroutrosconsolidadodez[[#This Row],[ATUAL]])</f>
        <v>0</v>
      </c>
      <c r="J158" s="119" t="n">
        <f aca="false">SUMIFS(tabela_registros[VALOR],tabela_registros[MÊS],$AE$1,tabela_registros[DIA],investiroutrosconsolidadodez[[#Headers],[6]],tabela_registros[REGISTRO],DADOS!$N$5,tabela_registros[TIPO],DADOS!$AB$5,tabela_registros[CATEGORIA],investiroutrosconsolidadodez[[#This Row],[ATUAL]])</f>
        <v>0</v>
      </c>
      <c r="K158" s="119" t="n">
        <f aca="false">SUMIFS(tabela_registros[VALOR],tabela_registros[MÊS],$AE$1,tabela_registros[DIA],investiroutrosconsolidadodez[[#Headers],[7]],tabela_registros[REGISTRO],DADOS!$N$5,tabela_registros[TIPO],DADOS!$AB$5,tabela_registros[CATEGORIA],investiroutrosconsolidadodez[[#This Row],[ATUAL]])</f>
        <v>0</v>
      </c>
      <c r="L158" s="119" t="n">
        <f aca="false">SUMIFS(tabela_registros[VALOR],tabela_registros[MÊS],$AE$1,tabela_registros[DIA],investiroutrosconsolidadodez[[#Headers],[8]],tabela_registros[REGISTRO],DADOS!$N$5,tabela_registros[TIPO],DADOS!$AB$5,tabela_registros[CATEGORIA],investiroutrosconsolidadodez[[#This Row],[ATUAL]])</f>
        <v>0</v>
      </c>
      <c r="M158" s="119" t="n">
        <f aca="false">SUMIFS(tabela_registros[VALOR],tabela_registros[MÊS],$AE$1,tabela_registros[DIA],investiroutrosconsolidadodez[[#Headers],[9]],tabela_registros[REGISTRO],DADOS!$N$5,tabela_registros[TIPO],DADOS!$AB$5,tabela_registros[CATEGORIA],investiroutrosconsolidadodez[[#This Row],[ATUAL]])</f>
        <v>0</v>
      </c>
      <c r="N158" s="119" t="n">
        <f aca="false">SUMIFS(tabela_registros[VALOR],tabela_registros[MÊS],$AE$1,tabela_registros[DIA],investiroutrosconsolidadodez[[#Headers],[10]],tabela_registros[REGISTRO],DADOS!$N$5,tabela_registros[TIPO],DADOS!$AB$5,tabela_registros[CATEGORIA],investiroutrosconsolidadodez[[#This Row],[ATUAL]])</f>
        <v>0</v>
      </c>
      <c r="O158" s="119" t="n">
        <f aca="false">SUMIFS(tabela_registros[VALOR],tabela_registros[MÊS],$AE$1,tabela_registros[DIA],investiroutrosconsolidadodez[[#Headers],[11]],tabela_registros[REGISTRO],DADOS!$N$5,tabela_registros[TIPO],DADOS!$AB$5,tabela_registros[CATEGORIA],investiroutrosconsolidadodez[[#This Row],[ATUAL]])</f>
        <v>0</v>
      </c>
      <c r="P158" s="119" t="n">
        <f aca="false">SUMIFS(tabela_registros[VALOR],tabela_registros[MÊS],$AE$1,tabela_registros[DIA],investiroutrosconsolidadodez[[#Headers],[12]],tabela_registros[REGISTRO],DADOS!$N$5,tabela_registros[TIPO],DADOS!$AB$5,tabela_registros[CATEGORIA],investiroutrosconsolidadodez[[#This Row],[ATUAL]])</f>
        <v>0</v>
      </c>
      <c r="Q158" s="119" t="n">
        <f aca="false">SUMIFS(tabela_registros[VALOR],tabela_registros[MÊS],$AE$1,tabela_registros[DIA],investiroutrosconsolidadodez[[#Headers],[13]],tabela_registros[REGISTRO],DADOS!$N$5,tabela_registros[TIPO],DADOS!$AB$5,tabela_registros[CATEGORIA],investiroutrosconsolidadodez[[#This Row],[ATUAL]])</f>
        <v>0</v>
      </c>
      <c r="R158" s="119" t="n">
        <f aca="false">SUMIFS(tabela_registros[VALOR],tabela_registros[MÊS],$AE$1,tabela_registros[DIA],investiroutrosconsolidadodez[[#Headers],[14]],tabela_registros[REGISTRO],DADOS!$N$5,tabela_registros[TIPO],DADOS!$AB$5,tabela_registros[CATEGORIA],investiroutrosconsolidadodez[[#This Row],[ATUAL]])</f>
        <v>0</v>
      </c>
      <c r="S158" s="119" t="n">
        <f aca="false">SUMIFS(tabela_registros[VALOR],tabela_registros[MÊS],$AE$1,tabela_registros[DIA],investiroutrosconsolidadodez[[#Headers],[15]],tabela_registros[REGISTRO],DADOS!$N$5,tabela_registros[TIPO],DADOS!$AB$5,tabela_registros[CATEGORIA],investiroutrosconsolidadodez[[#This Row],[ATUAL]])</f>
        <v>0</v>
      </c>
      <c r="T158" s="119" t="n">
        <f aca="false">SUMIFS(tabela_registros[VALOR],tabela_registros[MÊS],$AE$1,tabela_registros[DIA],investiroutrosconsolidadodez[[#Headers],[16]],tabela_registros[REGISTRO],DADOS!$N$5,tabela_registros[TIPO],DADOS!$AB$5,tabela_registros[CATEGORIA],investiroutrosconsolidadodez[[#This Row],[ATUAL]])</f>
        <v>0</v>
      </c>
      <c r="U158" s="119" t="n">
        <f aca="false">SUMIFS(tabela_registros[VALOR],tabela_registros[MÊS],$AE$1,tabela_registros[DIA],investiroutrosconsolidadodez[[#Headers],[17]],tabela_registros[REGISTRO],DADOS!$N$5,tabela_registros[TIPO],DADOS!$AB$5,tabela_registros[CATEGORIA],investiroutrosconsolidadodez[[#This Row],[ATUAL]])</f>
        <v>0</v>
      </c>
      <c r="V158" s="119" t="n">
        <f aca="false">SUMIFS(tabela_registros[VALOR],tabela_registros[MÊS],$AE$1,tabela_registros[DIA],investiroutrosconsolidadodez[[#Headers],[18]],tabela_registros[REGISTRO],DADOS!$N$5,tabela_registros[TIPO],DADOS!$AB$5,tabela_registros[CATEGORIA],investiroutrosconsolidadodez[[#This Row],[ATUAL]])</f>
        <v>0</v>
      </c>
      <c r="W158" s="119" t="n">
        <f aca="false">SUMIFS(tabela_registros[VALOR],tabela_registros[MÊS],$AE$1,tabela_registros[DIA],investiroutrosconsolidadodez[[#Headers],[19]],tabela_registros[REGISTRO],DADOS!$N$5,tabela_registros[TIPO],DADOS!$AB$5,tabela_registros[CATEGORIA],investiroutrosconsolidadodez[[#This Row],[ATUAL]])</f>
        <v>0</v>
      </c>
      <c r="X158" s="119" t="n">
        <f aca="false">SUMIFS(tabela_registros[VALOR],tabela_registros[MÊS],$AE$1,tabela_registros[DIA],investiroutrosconsolidadodez[[#Headers],[20]],tabela_registros[REGISTRO],DADOS!$N$5,tabela_registros[TIPO],DADOS!$AB$5,tabela_registros[CATEGORIA],investiroutrosconsolidadodez[[#This Row],[ATUAL]])</f>
        <v>0</v>
      </c>
      <c r="Y158" s="119" t="n">
        <f aca="false">SUMIFS(tabela_registros[VALOR],tabela_registros[MÊS],$AE$1,tabela_registros[DIA],investiroutrosconsolidadodez[[#Headers],[21]],tabela_registros[REGISTRO],DADOS!$N$5,tabela_registros[TIPO],DADOS!$AB$5,tabela_registros[CATEGORIA],investiroutrosconsolidadodez[[#This Row],[ATUAL]])</f>
        <v>0</v>
      </c>
      <c r="Z158" s="119" t="n">
        <f aca="false">SUMIFS(tabela_registros[VALOR],tabela_registros[MÊS],$AE$1,tabela_registros[DIA],investiroutrosconsolidadodez[[#Headers],[22]],tabela_registros[REGISTRO],DADOS!$N$5,tabela_registros[TIPO],DADOS!$AB$5,tabela_registros[CATEGORIA],investiroutrosconsolidadodez[[#This Row],[ATUAL]])</f>
        <v>0</v>
      </c>
      <c r="AA158" s="119" t="n">
        <f aca="false">SUMIFS(tabela_registros[VALOR],tabela_registros[MÊS],$AE$1,tabela_registros[DIA],investiroutrosconsolidadodez[[#Headers],[23]],tabela_registros[REGISTRO],DADOS!$N$5,tabela_registros[TIPO],DADOS!$AB$5,tabela_registros[CATEGORIA],investiroutrosconsolidadodez[[#This Row],[ATUAL]])</f>
        <v>0</v>
      </c>
      <c r="AB158" s="119" t="n">
        <f aca="false">SUMIFS(tabela_registros[VALOR],tabela_registros[MÊS],$AE$1,tabela_registros[DIA],investiroutrosconsolidadodez[[#Headers],[24]],tabela_registros[REGISTRO],DADOS!$N$5,tabela_registros[TIPO],DADOS!$AB$5,tabela_registros[CATEGORIA],investiroutrosconsolidadodez[[#This Row],[ATUAL]])</f>
        <v>0</v>
      </c>
      <c r="AC158" s="119" t="n">
        <f aca="false">SUMIFS(tabela_registros[VALOR],tabela_registros[MÊS],$AE$1,tabela_registros[DIA],investiroutrosconsolidadodez[[#Headers],[25]],tabela_registros[REGISTRO],DADOS!$N$5,tabela_registros[TIPO],DADOS!$AB$5,tabela_registros[CATEGORIA],investiroutrosconsolidadodez[[#This Row],[ATUAL]])</f>
        <v>0</v>
      </c>
      <c r="AD158" s="119" t="n">
        <f aca="false">SUMIFS(tabela_registros[VALOR],tabela_registros[MÊS],$AE$1,tabela_registros[DIA],investiroutrosconsolidadodez[[#Headers],[26]],tabela_registros[REGISTRO],DADOS!$N$5,tabela_registros[TIPO],DADOS!$AB$5,tabela_registros[CATEGORIA],investiroutrosconsolidadodez[[#This Row],[ATUAL]])</f>
        <v>0</v>
      </c>
      <c r="AE158" s="119" t="n">
        <f aca="false">SUMIFS(tabela_registros[VALOR],tabela_registros[MÊS],$AE$1,tabela_registros[DIA],investiroutrosconsolidadodez[[#Headers],[27]],tabela_registros[REGISTRO],DADOS!$N$5,tabela_registros[TIPO],DADOS!$AB$5,tabela_registros[CATEGORIA],investiroutrosconsolidadodez[[#This Row],[ATUAL]])</f>
        <v>0</v>
      </c>
      <c r="AF158" s="119" t="n">
        <f aca="false">SUMIFS(tabela_registros[VALOR],tabela_registros[MÊS],$AE$1,tabela_registros[DIA],investiroutrosconsolidadodez[[#Headers],[28]],tabela_registros[REGISTRO],DADOS!$N$5,tabela_registros[TIPO],DADOS!$AB$5,tabela_registros[CATEGORIA],investiroutrosconsolidadodez[[#This Row],[ATUAL]])</f>
        <v>0</v>
      </c>
      <c r="AG158" s="119" t="n">
        <f aca="false">SUMIFS(tabela_registros[VALOR],tabela_registros[MÊS],$AE$1,tabela_registros[DIA],investiroutrosconsolidadodez[[#Headers],[29]],tabela_registros[REGISTRO],DADOS!$N$5,tabela_registros[TIPO],DADOS!$AB$5,tabela_registros[CATEGORIA],investiroutrosconsolidadodez[[#This Row],[ATUAL]])</f>
        <v>0</v>
      </c>
      <c r="AH158" s="119" t="n">
        <f aca="false">SUMIFS(tabela_registros[VALOR],tabela_registros[MÊS],$AE$1,tabela_registros[DIA],investiroutrosconsolidadodez[[#Headers],[30]],tabela_registros[REGISTRO],DADOS!$N$5,tabela_registros[TIPO],DADOS!$AB$5,tabela_registros[CATEGORIA],investiroutrosconsolidadodez[[#This Row],[ATUAL]])</f>
        <v>0</v>
      </c>
      <c r="AI158" s="218" t="n">
        <f aca="false">SUMIFS(tabela_registros[VALOR],tabela_registros[MÊS],$AE$1,tabela_registros[DIA],investiroutrosconsolidadodez[[#Headers],[31]],tabela_registros[REGISTRO],DADOS!$N$5,tabela_registros[TIPO],DADOS!$AB$5,tabela_registros[CATEGORIA],investiroutrosconsolidadodez[[#This Row],[ATUAL]])</f>
        <v>0</v>
      </c>
      <c r="AJ158" s="149" t="n">
        <f aca="false">SUM(investiroutrosconsolidadodez[[#This Row],[1]:[31]])</f>
        <v>0</v>
      </c>
      <c r="AK158" s="165"/>
    </row>
    <row r="159" s="122" customFormat="true" ht="21" hidden="false" customHeight="true" outlineLevel="0" collapsed="false">
      <c r="B159" s="152"/>
      <c r="C159" s="153" t="s">
        <v>2</v>
      </c>
      <c r="D159" s="166"/>
      <c r="E159" s="155" t="n">
        <f aca="false">SUM(E151:E158)</f>
        <v>0</v>
      </c>
      <c r="F159" s="156" t="n">
        <f aca="false">SUM(F151:F158)+investiroutrosconsolidadodez[[#This Row],[1]]</f>
        <v>0</v>
      </c>
      <c r="G159" s="156" t="n">
        <f aca="false">SUM(G151:G158)+investiroutrosconsolidadodez[[#This Row],[2]]</f>
        <v>0</v>
      </c>
      <c r="H159" s="156" t="n">
        <f aca="false">SUM(H151:H158)+investiroutrosconsolidadodez[[#This Row],[3]]</f>
        <v>0</v>
      </c>
      <c r="I159" s="156" t="n">
        <f aca="false">SUM(I151:I158)+investiroutrosconsolidadodez[[#This Row],[4]]</f>
        <v>0</v>
      </c>
      <c r="J159" s="156" t="n">
        <f aca="false">SUM(J151:J158)+investiroutrosconsolidadodez[[#This Row],[5]]</f>
        <v>0</v>
      </c>
      <c r="K159" s="156" t="n">
        <f aca="false">SUM(K151:K158)+investiroutrosconsolidadodez[[#This Row],[6]]</f>
        <v>0</v>
      </c>
      <c r="L159" s="156" t="n">
        <f aca="false">SUM(L151:L158)+investiroutrosconsolidadodez[[#This Row],[7]]</f>
        <v>0</v>
      </c>
      <c r="M159" s="156" t="n">
        <f aca="false">SUM(M151:M158)+investiroutrosconsolidadodez[[#This Row],[8]]</f>
        <v>0</v>
      </c>
      <c r="N159" s="156" t="n">
        <f aca="false">SUM(N151:N158)+investiroutrosconsolidadodez[[#This Row],[9]]</f>
        <v>0</v>
      </c>
      <c r="O159" s="156" t="n">
        <f aca="false">SUM(O151:O158)+investiroutrosconsolidadodez[[#This Row],[10]]</f>
        <v>0</v>
      </c>
      <c r="P159" s="156" t="n">
        <f aca="false">SUM(P151:P158)+investiroutrosconsolidadodez[[#This Row],[11]]</f>
        <v>0</v>
      </c>
      <c r="Q159" s="156" t="n">
        <f aca="false">SUM(Q151:Q158)+investiroutrosconsolidadodez[[#This Row],[12]]</f>
        <v>0</v>
      </c>
      <c r="R159" s="156" t="n">
        <f aca="false">SUM(R151:R158)+investiroutrosconsolidadodez[[#This Row],[13]]</f>
        <v>0</v>
      </c>
      <c r="S159" s="156" t="n">
        <f aca="false">SUM(S151:S158)+investiroutrosconsolidadodez[[#This Row],[14]]</f>
        <v>0</v>
      </c>
      <c r="T159" s="156" t="n">
        <f aca="false">SUM(T151:T158)+investiroutrosconsolidadodez[[#This Row],[15]]</f>
        <v>0</v>
      </c>
      <c r="U159" s="156" t="n">
        <f aca="false">SUM(U151:U158)+investiroutrosconsolidadodez[[#This Row],[16]]</f>
        <v>0</v>
      </c>
      <c r="V159" s="156" t="n">
        <f aca="false">SUM(V151:V158)+investiroutrosconsolidadodez[[#This Row],[17]]</f>
        <v>0</v>
      </c>
      <c r="W159" s="156" t="n">
        <f aca="false">SUM(W151:W158)+investiroutrosconsolidadodez[[#This Row],[18]]</f>
        <v>0</v>
      </c>
      <c r="X159" s="156" t="n">
        <f aca="false">SUM(X151:X158)+investiroutrosconsolidadodez[[#This Row],[19]]</f>
        <v>0</v>
      </c>
      <c r="Y159" s="156" t="n">
        <f aca="false">SUM(Y151:Y158)+investiroutrosconsolidadodez[[#This Row],[20]]</f>
        <v>0</v>
      </c>
      <c r="Z159" s="156" t="n">
        <f aca="false">SUM(Z151:Z158)+investiroutrosconsolidadodez[[#This Row],[21]]</f>
        <v>0</v>
      </c>
      <c r="AA159" s="156" t="n">
        <f aca="false">SUM(AA151:AA158)+investiroutrosconsolidadodez[[#This Row],[22]]</f>
        <v>0</v>
      </c>
      <c r="AB159" s="156" t="n">
        <f aca="false">SUM(AB151:AB158)+investiroutrosconsolidadodez[[#This Row],[23]]</f>
        <v>0</v>
      </c>
      <c r="AC159" s="156" t="n">
        <f aca="false">SUM(AC151:AC158)+investiroutrosconsolidadodez[[#This Row],[24]]</f>
        <v>0</v>
      </c>
      <c r="AD159" s="156" t="n">
        <f aca="false">SUM(AD151:AD158)+investiroutrosconsolidadodez[[#This Row],[25]]</f>
        <v>0</v>
      </c>
      <c r="AE159" s="156" t="n">
        <f aca="false">SUM(AE151:AE158)+investiroutrosconsolidadodez[[#This Row],[26]]</f>
        <v>0</v>
      </c>
      <c r="AF159" s="156" t="n">
        <f aca="false">SUM(AF151:AF158)+investiroutrosconsolidadodez[[#This Row],[27]]</f>
        <v>0</v>
      </c>
      <c r="AG159" s="156" t="n">
        <f aca="false">SUM(AG151:AG158)+investiroutrosconsolidadodez[[#This Row],[28]]</f>
        <v>0</v>
      </c>
      <c r="AH159" s="156" t="n">
        <f aca="false">SUM(AH151:AH158)+investiroutrosconsolidadodez[[#This Row],[29]]</f>
        <v>0</v>
      </c>
      <c r="AI159" s="223" t="n">
        <f aca="false">SUM(AI151:AI158)+investiroutrosconsolidadodez[[#This Row],[30]]</f>
        <v>0</v>
      </c>
      <c r="AJ159" s="157" t="n">
        <f aca="false">investiroutrosconsolidadodez[[#This Row],[31]]</f>
        <v>0</v>
      </c>
      <c r="AK159" s="158"/>
    </row>
    <row r="160" customFormat="false" ht="6.75" hidden="false" customHeight="true" outlineLevel="0" collapsed="false">
      <c r="B160" s="97"/>
      <c r="C160" s="162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233"/>
      <c r="AJ160" s="164"/>
      <c r="AK160" s="244"/>
    </row>
    <row r="161" s="78" customFormat="true" ht="12.75" hidden="false" customHeight="false" outlineLevel="0" collapsed="false">
      <c r="E161" s="100"/>
    </row>
    <row r="162" s="78" customFormat="true" ht="12" hidden="false" customHeight="false" outlineLevel="0" collapsed="false"/>
    <row r="163" s="78" customFormat="true" ht="12" hidden="false" customHeight="false" outlineLevel="0" collapsed="false"/>
    <row r="164" customFormat="false" ht="39.75" hidden="false" customHeight="true" outlineLevel="0" collapsed="false">
      <c r="C164" s="101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3" t="s">
        <v>2</v>
      </c>
    </row>
    <row r="165" s="78" customFormat="true" ht="12.75" hidden="false" customHeight="false" outlineLevel="0" collapsed="false">
      <c r="B165" s="161"/>
      <c r="AJ165" s="106" t="s">
        <v>64</v>
      </c>
    </row>
    <row r="166" customFormat="false" ht="6.75" hidden="false" customHeight="true" outlineLevel="0" collapsed="false">
      <c r="B166" s="86"/>
      <c r="C166" s="162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233"/>
      <c r="AK166" s="139"/>
    </row>
    <row r="167" customFormat="false" ht="13.5" hidden="true" customHeight="false" outlineLevel="0" collapsed="false">
      <c r="B167" s="86"/>
      <c r="C167" s="109" t="s">
        <v>68</v>
      </c>
      <c r="D167" s="110" t="s">
        <v>69</v>
      </c>
      <c r="E167" s="110" t="s">
        <v>30</v>
      </c>
      <c r="F167" s="110" t="s">
        <v>31</v>
      </c>
      <c r="G167" s="110" t="s">
        <v>32</v>
      </c>
      <c r="H167" s="110" t="s">
        <v>33</v>
      </c>
      <c r="I167" s="110" t="s">
        <v>34</v>
      </c>
      <c r="J167" s="110" t="s">
        <v>35</v>
      </c>
      <c r="K167" s="110" t="s">
        <v>36</v>
      </c>
      <c r="L167" s="110" t="s">
        <v>37</v>
      </c>
      <c r="M167" s="110" t="s">
        <v>38</v>
      </c>
      <c r="N167" s="110" t="s">
        <v>39</v>
      </c>
      <c r="O167" s="110" t="s">
        <v>40</v>
      </c>
      <c r="P167" s="110" t="s">
        <v>41</v>
      </c>
      <c r="Q167" s="110" t="s">
        <v>81</v>
      </c>
      <c r="R167" s="110" t="s">
        <v>82</v>
      </c>
      <c r="S167" s="110" t="s">
        <v>83</v>
      </c>
      <c r="T167" s="110" t="s">
        <v>84</v>
      </c>
      <c r="U167" s="110" t="s">
        <v>85</v>
      </c>
      <c r="V167" s="110" t="s">
        <v>86</v>
      </c>
      <c r="W167" s="110" t="s">
        <v>87</v>
      </c>
      <c r="X167" s="110" t="s">
        <v>88</v>
      </c>
      <c r="Y167" s="110" t="s">
        <v>89</v>
      </c>
      <c r="Z167" s="110" t="s">
        <v>90</v>
      </c>
      <c r="AA167" s="110" t="s">
        <v>91</v>
      </c>
      <c r="AB167" s="110" t="s">
        <v>92</v>
      </c>
      <c r="AC167" s="110" t="s">
        <v>93</v>
      </c>
      <c r="AD167" s="110" t="s">
        <v>94</v>
      </c>
      <c r="AE167" s="110" t="s">
        <v>95</v>
      </c>
      <c r="AF167" s="110" t="s">
        <v>96</v>
      </c>
      <c r="AG167" s="110" t="s">
        <v>97</v>
      </c>
      <c r="AH167" s="110" t="s">
        <v>98</v>
      </c>
      <c r="AI167" s="110" t="s">
        <v>99</v>
      </c>
      <c r="AJ167" s="111" t="s">
        <v>70</v>
      </c>
      <c r="AK167" s="86"/>
    </row>
    <row r="168" customFormat="false" ht="19.5" hidden="false" customHeight="true" outlineLevel="0" collapsed="false">
      <c r="B168" s="143"/>
      <c r="C168" s="144" t="str">
        <f aca="false">DADOS!$AL$3</f>
        <v>📝 CDB</v>
      </c>
      <c r="D168" s="145" t="str">
        <f aca="false">IF(reservafixaconsolidadodez[[#This Row],[TOTAL (R$)]]=0,"",IF(OR(reservafixaconsolidadodez[[#This Row],[TOTAL (R$)]]=LARGE($AJ$168:$AJ$177,1),reservafixaconsolidadodez[[#This Row],[TOTAL (R$)]]=LARGE($AJ$168:$AJ$177,2)),DADOS!$I$11,""))</f>
        <v/>
      </c>
      <c r="E168" s="148" t="n">
        <f aca="false">SUMIFS(tabela_registros[VALOR],tabela_registros[MÊS],$AE$1,tabela_registros[DIA],reservafixaconsolidadodez[[#Headers],[1]],tabela_registros[REGISTRO],DADOS!$N$6,tabela_registros[TIPO],DADOS!$AJ$3,tabela_registros[CATEGORIA],reservafixaconsolidadodez[[#This Row],[ATUAL]])</f>
        <v>0</v>
      </c>
      <c r="F168" s="119" t="n">
        <f aca="false">SUMIFS(tabela_registros[VALOR],tabela_registros[MÊS],$AE$1,tabela_registros[DIA],reservafixaconsolidadodez[[#Headers],[2]],tabela_registros[REGISTRO],DADOS!$N$6,tabela_registros[TIPO],DADOS!$AJ$3,tabela_registros[CATEGORIA],reservafixaconsolidadodez[[#This Row],[ATUAL]])</f>
        <v>0</v>
      </c>
      <c r="G168" s="119" t="n">
        <f aca="false">SUMIFS(tabela_registros[VALOR],tabela_registros[MÊS],$AE$1,tabela_registros[DIA],reservafixaconsolidadodez[[#Headers],[3]],tabela_registros[REGISTRO],DADOS!$N$6,tabela_registros[TIPO],DADOS!$AJ$3,tabela_registros[CATEGORIA],reservafixaconsolidadodez[[#This Row],[ATUAL]])</f>
        <v>0</v>
      </c>
      <c r="H168" s="119" t="n">
        <f aca="false">SUMIFS(tabela_registros[VALOR],tabela_registros[MÊS],$AE$1,tabela_registros[DIA],reservafixaconsolidadodez[[#Headers],[4]],tabela_registros[REGISTRO],DADOS!$N$6,tabela_registros[TIPO],DADOS!$AJ$3,tabela_registros[CATEGORIA],reservafixaconsolidadodez[[#This Row],[ATUAL]])</f>
        <v>0</v>
      </c>
      <c r="I168" s="119" t="n">
        <f aca="false">SUMIFS(tabela_registros[VALOR],tabela_registros[MÊS],$AE$1,tabela_registros[DIA],reservafixaconsolidadodez[[#Headers],[5]],tabela_registros[REGISTRO],DADOS!$N$6,tabela_registros[TIPO],DADOS!$AJ$3,tabela_registros[CATEGORIA],reservafixaconsolidadodez[[#This Row],[ATUAL]])</f>
        <v>0</v>
      </c>
      <c r="J168" s="119" t="n">
        <f aca="false">SUMIFS(tabela_registros[VALOR],tabela_registros[MÊS],$AE$1,tabela_registros[DIA],reservafixaconsolidadodez[[#Headers],[6]],tabela_registros[REGISTRO],DADOS!$N$6,tabela_registros[TIPO],DADOS!$AJ$3,tabela_registros[CATEGORIA],reservafixaconsolidadodez[[#This Row],[ATUAL]])</f>
        <v>0</v>
      </c>
      <c r="K168" s="119" t="n">
        <f aca="false">SUMIFS(tabela_registros[VALOR],tabela_registros[MÊS],$AE$1,tabela_registros[DIA],reservafixaconsolidadodez[[#Headers],[7]],tabela_registros[REGISTRO],DADOS!$N$6,tabela_registros[TIPO],DADOS!$AJ$3,tabela_registros[CATEGORIA],reservafixaconsolidadodez[[#This Row],[ATUAL]])</f>
        <v>0</v>
      </c>
      <c r="L168" s="119" t="n">
        <f aca="false">SUMIFS(tabela_registros[VALOR],tabela_registros[MÊS],$AE$1,tabela_registros[DIA],reservafixaconsolidadodez[[#Headers],[8]],tabela_registros[REGISTRO],DADOS!$N$6,tabela_registros[TIPO],DADOS!$AJ$3,tabela_registros[CATEGORIA],reservafixaconsolidadodez[[#This Row],[ATUAL]])</f>
        <v>0</v>
      </c>
      <c r="M168" s="119" t="n">
        <f aca="false">SUMIFS(tabela_registros[VALOR],tabela_registros[MÊS],$AE$1,tabela_registros[DIA],reservafixaconsolidadodez[[#Headers],[9]],tabela_registros[REGISTRO],DADOS!$N$6,tabela_registros[TIPO],DADOS!$AJ$3,tabela_registros[CATEGORIA],reservafixaconsolidadodez[[#This Row],[ATUAL]])</f>
        <v>0</v>
      </c>
      <c r="N168" s="119" t="n">
        <f aca="false">SUMIFS(tabela_registros[VALOR],tabela_registros[MÊS],$AE$1,tabela_registros[DIA],reservafixaconsolidadodez[[#Headers],[10]],tabela_registros[REGISTRO],DADOS!$N$6,tabela_registros[TIPO],DADOS!$AJ$3,tabela_registros[CATEGORIA],reservafixaconsolidadodez[[#This Row],[ATUAL]])</f>
        <v>0</v>
      </c>
      <c r="O168" s="119" t="n">
        <f aca="false">SUMIFS(tabela_registros[VALOR],tabela_registros[MÊS],$AE$1,tabela_registros[DIA],reservafixaconsolidadodez[[#Headers],[11]],tabela_registros[REGISTRO],DADOS!$N$6,tabela_registros[TIPO],DADOS!$AJ$3,tabela_registros[CATEGORIA],reservafixaconsolidadodez[[#This Row],[ATUAL]])</f>
        <v>0</v>
      </c>
      <c r="P168" s="119" t="n">
        <f aca="false">SUMIFS(tabela_registros[VALOR],tabela_registros[MÊS],$AE$1,tabela_registros[DIA],reservafixaconsolidadodez[[#Headers],[12]],tabela_registros[REGISTRO],DADOS!$N$6,tabela_registros[TIPO],DADOS!$AJ$3,tabela_registros[CATEGORIA],reservafixaconsolidadodez[[#This Row],[ATUAL]])</f>
        <v>0</v>
      </c>
      <c r="Q168" s="119" t="n">
        <f aca="false">SUMIFS(tabela_registros[VALOR],tabela_registros[MÊS],$AE$1,tabela_registros[DIA],reservafixaconsolidadodez[[#Headers],[13]],tabela_registros[REGISTRO],DADOS!$N$6,tabela_registros[TIPO],DADOS!$AJ$3,tabela_registros[CATEGORIA],reservafixaconsolidadodez[[#This Row],[ATUAL]])</f>
        <v>0</v>
      </c>
      <c r="R168" s="119" t="n">
        <f aca="false">SUMIFS(tabela_registros[VALOR],tabela_registros[MÊS],$AE$1,tabela_registros[DIA],reservafixaconsolidadodez[[#Headers],[14]],tabela_registros[REGISTRO],DADOS!$N$6,tabela_registros[TIPO],DADOS!$AJ$3,tabela_registros[CATEGORIA],reservafixaconsolidadodez[[#This Row],[ATUAL]])</f>
        <v>0</v>
      </c>
      <c r="S168" s="119" t="n">
        <f aca="false">SUMIFS(tabela_registros[VALOR],tabela_registros[MÊS],$AE$1,tabela_registros[DIA],reservafixaconsolidadodez[[#Headers],[15]],tabela_registros[REGISTRO],DADOS!$N$6,tabela_registros[TIPO],DADOS!$AJ$3,tabela_registros[CATEGORIA],reservafixaconsolidadodez[[#This Row],[ATUAL]])</f>
        <v>0</v>
      </c>
      <c r="T168" s="119" t="n">
        <f aca="false">SUMIFS(tabela_registros[VALOR],tabela_registros[MÊS],$AE$1,tabela_registros[DIA],reservafixaconsolidadodez[[#Headers],[16]],tabela_registros[REGISTRO],DADOS!$N$6,tabela_registros[TIPO],DADOS!$AJ$3,tabela_registros[CATEGORIA],reservafixaconsolidadodez[[#This Row],[ATUAL]])</f>
        <v>0</v>
      </c>
      <c r="U168" s="119" t="n">
        <f aca="false">SUMIFS(tabela_registros[VALOR],tabela_registros[MÊS],$AE$1,tabela_registros[DIA],reservafixaconsolidadodez[[#Headers],[17]],tabela_registros[REGISTRO],DADOS!$N$6,tabela_registros[TIPO],DADOS!$AJ$3,tabela_registros[CATEGORIA],reservafixaconsolidadodez[[#This Row],[ATUAL]])</f>
        <v>0</v>
      </c>
      <c r="V168" s="119" t="n">
        <f aca="false">SUMIFS(tabela_registros[VALOR],tabela_registros[MÊS],$AE$1,tabela_registros[DIA],reservafixaconsolidadodez[[#Headers],[18]],tabela_registros[REGISTRO],DADOS!$N$6,tabela_registros[TIPO],DADOS!$AJ$3,tabela_registros[CATEGORIA],reservafixaconsolidadodez[[#This Row],[ATUAL]])</f>
        <v>0</v>
      </c>
      <c r="W168" s="119" t="n">
        <f aca="false">SUMIFS(tabela_registros[VALOR],tabela_registros[MÊS],$AE$1,tabela_registros[DIA],reservafixaconsolidadodez[[#Headers],[19]],tabela_registros[REGISTRO],DADOS!$N$6,tabela_registros[TIPO],DADOS!$AJ$3,tabela_registros[CATEGORIA],reservafixaconsolidadodez[[#This Row],[ATUAL]])</f>
        <v>0</v>
      </c>
      <c r="X168" s="119" t="n">
        <f aca="false">SUMIFS(tabela_registros[VALOR],tabela_registros[MÊS],$AE$1,tabela_registros[DIA],reservafixaconsolidadodez[[#Headers],[20]],tabela_registros[REGISTRO],DADOS!$N$6,tabela_registros[TIPO],DADOS!$AJ$3,tabela_registros[CATEGORIA],reservafixaconsolidadodez[[#This Row],[ATUAL]])</f>
        <v>0</v>
      </c>
      <c r="Y168" s="119" t="n">
        <f aca="false">SUMIFS(tabela_registros[VALOR],tabela_registros[MÊS],$AE$1,tabela_registros[DIA],reservafixaconsolidadodez[[#Headers],[21]],tabela_registros[REGISTRO],DADOS!$N$6,tabela_registros[TIPO],DADOS!$AJ$3,tabela_registros[CATEGORIA],reservafixaconsolidadodez[[#This Row],[ATUAL]])</f>
        <v>0</v>
      </c>
      <c r="Z168" s="119" t="n">
        <f aca="false">SUMIFS(tabela_registros[VALOR],tabela_registros[MÊS],$AE$1,tabela_registros[DIA],reservafixaconsolidadodez[[#Headers],[22]],tabela_registros[REGISTRO],DADOS!$N$6,tabela_registros[TIPO],DADOS!$AJ$3,tabela_registros[CATEGORIA],reservafixaconsolidadodez[[#This Row],[ATUAL]])</f>
        <v>0</v>
      </c>
      <c r="AA168" s="119" t="n">
        <f aca="false">SUMIFS(tabela_registros[VALOR],tabela_registros[MÊS],$AE$1,tabela_registros[DIA],reservafixaconsolidadodez[[#Headers],[23]],tabela_registros[REGISTRO],DADOS!$N$6,tabela_registros[TIPO],DADOS!$AJ$3,tabela_registros[CATEGORIA],reservafixaconsolidadodez[[#This Row],[ATUAL]])</f>
        <v>0</v>
      </c>
      <c r="AB168" s="119" t="n">
        <f aca="false">SUMIFS(tabela_registros[VALOR],tabela_registros[MÊS],$AE$1,tabela_registros[DIA],reservafixaconsolidadodez[[#Headers],[24]],tabela_registros[REGISTRO],DADOS!$N$6,tabela_registros[TIPO],DADOS!$AJ$3,tabela_registros[CATEGORIA],reservafixaconsolidadodez[[#This Row],[ATUAL]])</f>
        <v>0</v>
      </c>
      <c r="AC168" s="119" t="n">
        <f aca="false">SUMIFS(tabela_registros[VALOR],tabela_registros[MÊS],$AE$1,tabela_registros[DIA],reservafixaconsolidadodez[[#Headers],[25]],tabela_registros[REGISTRO],DADOS!$N$6,tabela_registros[TIPO],DADOS!$AJ$3,tabela_registros[CATEGORIA],reservafixaconsolidadodez[[#This Row],[ATUAL]])</f>
        <v>0</v>
      </c>
      <c r="AD168" s="119" t="n">
        <f aca="false">SUMIFS(tabela_registros[VALOR],tabela_registros[MÊS],$AE$1,tabela_registros[DIA],reservafixaconsolidadodez[[#Headers],[26]],tabela_registros[REGISTRO],DADOS!$N$6,tabela_registros[TIPO],DADOS!$AJ$3,tabela_registros[CATEGORIA],reservafixaconsolidadodez[[#This Row],[ATUAL]])</f>
        <v>0</v>
      </c>
      <c r="AE168" s="119" t="n">
        <f aca="false">SUMIFS(tabela_registros[VALOR],tabela_registros[MÊS],$AE$1,tabela_registros[DIA],reservafixaconsolidadodez[[#Headers],[27]],tabela_registros[REGISTRO],DADOS!$N$6,tabela_registros[TIPO],DADOS!$AJ$3,tabela_registros[CATEGORIA],reservafixaconsolidadodez[[#This Row],[ATUAL]])</f>
        <v>0</v>
      </c>
      <c r="AF168" s="119" t="n">
        <f aca="false">SUMIFS(tabela_registros[VALOR],tabela_registros[MÊS],$AE$1,tabela_registros[DIA],reservafixaconsolidadodez[[#Headers],[28]],tabela_registros[REGISTRO],DADOS!$N$6,tabela_registros[TIPO],DADOS!$AJ$3,tabela_registros[CATEGORIA],reservafixaconsolidadodez[[#This Row],[ATUAL]])</f>
        <v>0</v>
      </c>
      <c r="AG168" s="119" t="n">
        <f aca="false">SUMIFS(tabela_registros[VALOR],tabela_registros[MÊS],$AE$1,tabela_registros[DIA],reservafixaconsolidadodez[[#Headers],[29]],tabela_registros[REGISTRO],DADOS!$N$6,tabela_registros[TIPO],DADOS!$AJ$3,tabela_registros[CATEGORIA],reservafixaconsolidadodez[[#This Row],[ATUAL]])</f>
        <v>0</v>
      </c>
      <c r="AH168" s="119" t="n">
        <f aca="false">SUMIFS(tabela_registros[VALOR],tabela_registros[MÊS],$AE$1,tabela_registros[DIA],reservafixaconsolidadodez[[#Headers],[30]],tabela_registros[REGISTRO],DADOS!$N$6,tabela_registros[TIPO],DADOS!$AJ$3,tabela_registros[CATEGORIA],reservafixaconsolidadodez[[#This Row],[ATUAL]])</f>
        <v>0</v>
      </c>
      <c r="AI168" s="217" t="n">
        <f aca="false">SUMIFS(tabela_registros[VALOR],tabela_registros[MÊS],$AE$1,tabela_registros[DIA],reservafixaconsolidadodez[[#Headers],[31]],tabela_registros[REGISTRO],DADOS!$N$6,tabela_registros[TIPO],DADOS!$AJ$3,tabela_registros[CATEGORIA],reservafixaconsolidadodez[[#This Row],[ATUAL]])</f>
        <v>0</v>
      </c>
      <c r="AJ168" s="149" t="n">
        <f aca="false">SUM(reservafixaconsolidadodez[[#This Row],[1]:[31]])</f>
        <v>0</v>
      </c>
      <c r="AK168" s="165"/>
    </row>
    <row r="169" customFormat="false" ht="19.5" hidden="false" customHeight="true" outlineLevel="0" collapsed="false">
      <c r="B169" s="143"/>
      <c r="C169" s="144" t="str">
        <f aca="false">DADOS!$AL$4</f>
        <v>📝 CRA</v>
      </c>
      <c r="D169" s="145" t="str">
        <f aca="false">IF(reservafixaconsolidadodez[[#This Row],[TOTAL (R$)]]=0,"",IF(OR(reservafixaconsolidadodez[[#This Row],[TOTAL (R$)]]=LARGE($AJ$168:$AJ$177,1),reservafixaconsolidadodez[[#This Row],[TOTAL (R$)]]=LARGE($AJ$168:$AJ$177,2)),DADOS!$I$11,""))</f>
        <v/>
      </c>
      <c r="E169" s="148" t="n">
        <f aca="false">SUMIFS(tabela_registros[VALOR],tabela_registros[MÊS],$AE$1,tabela_registros[DIA],reservafixaconsolidadodez[[#Headers],[1]],tabela_registros[REGISTRO],DADOS!$N$6,tabela_registros[TIPO],DADOS!$AJ$3,tabela_registros[CATEGORIA],reservafixaconsolidadodez[[#This Row],[ATUAL]])</f>
        <v>0</v>
      </c>
      <c r="F169" s="119" t="n">
        <f aca="false">SUMIFS(tabela_registros[VALOR],tabela_registros[MÊS],$AE$1,tabela_registros[DIA],reservafixaconsolidadodez[[#Headers],[2]],tabela_registros[REGISTRO],DADOS!$N$6,tabela_registros[TIPO],DADOS!$AJ$3,tabela_registros[CATEGORIA],reservafixaconsolidadodez[[#This Row],[ATUAL]])</f>
        <v>0</v>
      </c>
      <c r="G169" s="119" t="n">
        <f aca="false">SUMIFS(tabela_registros[VALOR],tabela_registros[MÊS],$AE$1,tabela_registros[DIA],reservafixaconsolidadodez[[#Headers],[3]],tabela_registros[REGISTRO],DADOS!$N$6,tabela_registros[TIPO],DADOS!$AJ$3,tabela_registros[CATEGORIA],reservafixaconsolidadodez[[#This Row],[ATUAL]])</f>
        <v>0</v>
      </c>
      <c r="H169" s="119" t="n">
        <f aca="false">SUMIFS(tabela_registros[VALOR],tabela_registros[MÊS],$AE$1,tabela_registros[DIA],reservafixaconsolidadodez[[#Headers],[4]],tabela_registros[REGISTRO],DADOS!$N$6,tabela_registros[TIPO],DADOS!$AJ$3,tabela_registros[CATEGORIA],reservafixaconsolidadodez[[#This Row],[ATUAL]])</f>
        <v>0</v>
      </c>
      <c r="I169" s="119" t="n">
        <f aca="false">SUMIFS(tabela_registros[VALOR],tabela_registros[MÊS],$AE$1,tabela_registros[DIA],reservafixaconsolidadodez[[#Headers],[5]],tabela_registros[REGISTRO],DADOS!$N$6,tabela_registros[TIPO],DADOS!$AJ$3,tabela_registros[CATEGORIA],reservafixaconsolidadodez[[#This Row],[ATUAL]])</f>
        <v>0</v>
      </c>
      <c r="J169" s="119" t="n">
        <f aca="false">SUMIFS(tabela_registros[VALOR],tabela_registros[MÊS],$AE$1,tabela_registros[DIA],reservafixaconsolidadodez[[#Headers],[6]],tabela_registros[REGISTRO],DADOS!$N$6,tabela_registros[TIPO],DADOS!$AJ$3,tabela_registros[CATEGORIA],reservafixaconsolidadodez[[#This Row],[ATUAL]])</f>
        <v>0</v>
      </c>
      <c r="K169" s="119" t="n">
        <f aca="false">SUMIFS(tabela_registros[VALOR],tabela_registros[MÊS],$AE$1,tabela_registros[DIA],reservafixaconsolidadodez[[#Headers],[7]],tabela_registros[REGISTRO],DADOS!$N$6,tabela_registros[TIPO],DADOS!$AJ$3,tabela_registros[CATEGORIA],reservafixaconsolidadodez[[#This Row],[ATUAL]])</f>
        <v>0</v>
      </c>
      <c r="L169" s="119" t="n">
        <f aca="false">SUMIFS(tabela_registros[VALOR],tabela_registros[MÊS],$AE$1,tabela_registros[DIA],reservafixaconsolidadodez[[#Headers],[8]],tabela_registros[REGISTRO],DADOS!$N$6,tabela_registros[TIPO],DADOS!$AJ$3,tabela_registros[CATEGORIA],reservafixaconsolidadodez[[#This Row],[ATUAL]])</f>
        <v>0</v>
      </c>
      <c r="M169" s="119" t="n">
        <f aca="false">SUMIFS(tabela_registros[VALOR],tabela_registros[MÊS],$AE$1,tabela_registros[DIA],reservafixaconsolidadodez[[#Headers],[9]],tabela_registros[REGISTRO],DADOS!$N$6,tabela_registros[TIPO],DADOS!$AJ$3,tabela_registros[CATEGORIA],reservafixaconsolidadodez[[#This Row],[ATUAL]])</f>
        <v>0</v>
      </c>
      <c r="N169" s="119" t="n">
        <f aca="false">SUMIFS(tabela_registros[VALOR],tabela_registros[MÊS],$AE$1,tabela_registros[DIA],reservafixaconsolidadodez[[#Headers],[10]],tabela_registros[REGISTRO],DADOS!$N$6,tabela_registros[TIPO],DADOS!$AJ$3,tabela_registros[CATEGORIA],reservafixaconsolidadodez[[#This Row],[ATUAL]])</f>
        <v>0</v>
      </c>
      <c r="O169" s="119" t="n">
        <f aca="false">SUMIFS(tabela_registros[VALOR],tabela_registros[MÊS],$AE$1,tabela_registros[DIA],reservafixaconsolidadodez[[#Headers],[11]],tabela_registros[REGISTRO],DADOS!$N$6,tabela_registros[TIPO],DADOS!$AJ$3,tabela_registros[CATEGORIA],reservafixaconsolidadodez[[#This Row],[ATUAL]])</f>
        <v>0</v>
      </c>
      <c r="P169" s="119" t="n">
        <f aca="false">SUMIFS(tabela_registros[VALOR],tabela_registros[MÊS],$AE$1,tabela_registros[DIA],reservafixaconsolidadodez[[#Headers],[12]],tabela_registros[REGISTRO],DADOS!$N$6,tabela_registros[TIPO],DADOS!$AJ$3,tabela_registros[CATEGORIA],reservafixaconsolidadodez[[#This Row],[ATUAL]])</f>
        <v>0</v>
      </c>
      <c r="Q169" s="119" t="n">
        <f aca="false">SUMIFS(tabela_registros[VALOR],tabela_registros[MÊS],$AE$1,tabela_registros[DIA],reservafixaconsolidadodez[[#Headers],[13]],tabela_registros[REGISTRO],DADOS!$N$6,tabela_registros[TIPO],DADOS!$AJ$3,tabela_registros[CATEGORIA],reservafixaconsolidadodez[[#This Row],[ATUAL]])</f>
        <v>0</v>
      </c>
      <c r="R169" s="119" t="n">
        <f aca="false">SUMIFS(tabela_registros[VALOR],tabela_registros[MÊS],$AE$1,tabela_registros[DIA],reservafixaconsolidadodez[[#Headers],[14]],tabela_registros[REGISTRO],DADOS!$N$6,tabela_registros[TIPO],DADOS!$AJ$3,tabela_registros[CATEGORIA],reservafixaconsolidadodez[[#This Row],[ATUAL]])</f>
        <v>0</v>
      </c>
      <c r="S169" s="119" t="n">
        <f aca="false">SUMIFS(tabela_registros[VALOR],tabela_registros[MÊS],$AE$1,tabela_registros[DIA],reservafixaconsolidadodez[[#Headers],[15]],tabela_registros[REGISTRO],DADOS!$N$6,tabela_registros[TIPO],DADOS!$AJ$3,tabela_registros[CATEGORIA],reservafixaconsolidadodez[[#This Row],[ATUAL]])</f>
        <v>0</v>
      </c>
      <c r="T169" s="119" t="n">
        <f aca="false">SUMIFS(tabela_registros[VALOR],tabela_registros[MÊS],$AE$1,tabela_registros[DIA],reservafixaconsolidadodez[[#Headers],[16]],tabela_registros[REGISTRO],DADOS!$N$6,tabela_registros[TIPO],DADOS!$AJ$3,tabela_registros[CATEGORIA],reservafixaconsolidadodez[[#This Row],[ATUAL]])</f>
        <v>0</v>
      </c>
      <c r="U169" s="119" t="n">
        <f aca="false">SUMIFS(tabela_registros[VALOR],tabela_registros[MÊS],$AE$1,tabela_registros[DIA],reservafixaconsolidadodez[[#Headers],[17]],tabela_registros[REGISTRO],DADOS!$N$6,tabela_registros[TIPO],DADOS!$AJ$3,tabela_registros[CATEGORIA],reservafixaconsolidadodez[[#This Row],[ATUAL]])</f>
        <v>0</v>
      </c>
      <c r="V169" s="119" t="n">
        <f aca="false">SUMIFS(tabela_registros[VALOR],tabela_registros[MÊS],$AE$1,tabela_registros[DIA],reservafixaconsolidadodez[[#Headers],[18]],tabela_registros[REGISTRO],DADOS!$N$6,tabela_registros[TIPO],DADOS!$AJ$3,tabela_registros[CATEGORIA],reservafixaconsolidadodez[[#This Row],[ATUAL]])</f>
        <v>0</v>
      </c>
      <c r="W169" s="119" t="n">
        <f aca="false">SUMIFS(tabela_registros[VALOR],tabela_registros[MÊS],$AE$1,tabela_registros[DIA],reservafixaconsolidadodez[[#Headers],[19]],tabela_registros[REGISTRO],DADOS!$N$6,tabela_registros[TIPO],DADOS!$AJ$3,tabela_registros[CATEGORIA],reservafixaconsolidadodez[[#This Row],[ATUAL]])</f>
        <v>0</v>
      </c>
      <c r="X169" s="119" t="n">
        <f aca="false">SUMIFS(tabela_registros[VALOR],tabela_registros[MÊS],$AE$1,tabela_registros[DIA],reservafixaconsolidadodez[[#Headers],[20]],tabela_registros[REGISTRO],DADOS!$N$6,tabela_registros[TIPO],DADOS!$AJ$3,tabela_registros[CATEGORIA],reservafixaconsolidadodez[[#This Row],[ATUAL]])</f>
        <v>0</v>
      </c>
      <c r="Y169" s="119" t="n">
        <f aca="false">SUMIFS(tabela_registros[VALOR],tabela_registros[MÊS],$AE$1,tabela_registros[DIA],reservafixaconsolidadodez[[#Headers],[21]],tabela_registros[REGISTRO],DADOS!$N$6,tabela_registros[TIPO],DADOS!$AJ$3,tabela_registros[CATEGORIA],reservafixaconsolidadodez[[#This Row],[ATUAL]])</f>
        <v>0</v>
      </c>
      <c r="Z169" s="119" t="n">
        <f aca="false">SUMIFS(tabela_registros[VALOR],tabela_registros[MÊS],$AE$1,tabela_registros[DIA],reservafixaconsolidadodez[[#Headers],[22]],tabela_registros[REGISTRO],DADOS!$N$6,tabela_registros[TIPO],DADOS!$AJ$3,tabela_registros[CATEGORIA],reservafixaconsolidadodez[[#This Row],[ATUAL]])</f>
        <v>0</v>
      </c>
      <c r="AA169" s="119" t="n">
        <f aca="false">SUMIFS(tabela_registros[VALOR],tabela_registros[MÊS],$AE$1,tabela_registros[DIA],reservafixaconsolidadodez[[#Headers],[23]],tabela_registros[REGISTRO],DADOS!$N$6,tabela_registros[TIPO],DADOS!$AJ$3,tabela_registros[CATEGORIA],reservafixaconsolidadodez[[#This Row],[ATUAL]])</f>
        <v>0</v>
      </c>
      <c r="AB169" s="119" t="n">
        <f aca="false">SUMIFS(tabela_registros[VALOR],tabela_registros[MÊS],$AE$1,tabela_registros[DIA],reservafixaconsolidadodez[[#Headers],[24]],tabela_registros[REGISTRO],DADOS!$N$6,tabela_registros[TIPO],DADOS!$AJ$3,tabela_registros[CATEGORIA],reservafixaconsolidadodez[[#This Row],[ATUAL]])</f>
        <v>0</v>
      </c>
      <c r="AC169" s="119" t="n">
        <f aca="false">SUMIFS(tabela_registros[VALOR],tabela_registros[MÊS],$AE$1,tabela_registros[DIA],reservafixaconsolidadodez[[#Headers],[25]],tabela_registros[REGISTRO],DADOS!$N$6,tabela_registros[TIPO],DADOS!$AJ$3,tabela_registros[CATEGORIA],reservafixaconsolidadodez[[#This Row],[ATUAL]])</f>
        <v>0</v>
      </c>
      <c r="AD169" s="119" t="n">
        <f aca="false">SUMIFS(tabela_registros[VALOR],tabela_registros[MÊS],$AE$1,tabela_registros[DIA],reservafixaconsolidadodez[[#Headers],[26]],tabela_registros[REGISTRO],DADOS!$N$6,tabela_registros[TIPO],DADOS!$AJ$3,tabela_registros[CATEGORIA],reservafixaconsolidadodez[[#This Row],[ATUAL]])</f>
        <v>0</v>
      </c>
      <c r="AE169" s="119" t="n">
        <f aca="false">SUMIFS(tabela_registros[VALOR],tabela_registros[MÊS],$AE$1,tabela_registros[DIA],reservafixaconsolidadodez[[#Headers],[27]],tabela_registros[REGISTRO],DADOS!$N$6,tabela_registros[TIPO],DADOS!$AJ$3,tabela_registros[CATEGORIA],reservafixaconsolidadodez[[#This Row],[ATUAL]])</f>
        <v>0</v>
      </c>
      <c r="AF169" s="119" t="n">
        <f aca="false">SUMIFS(tabela_registros[VALOR],tabela_registros[MÊS],$AE$1,tabela_registros[DIA],reservafixaconsolidadodez[[#Headers],[28]],tabela_registros[REGISTRO],DADOS!$N$6,tabela_registros[TIPO],DADOS!$AJ$3,tabela_registros[CATEGORIA],reservafixaconsolidadodez[[#This Row],[ATUAL]])</f>
        <v>0</v>
      </c>
      <c r="AG169" s="119" t="n">
        <f aca="false">SUMIFS(tabela_registros[VALOR],tabela_registros[MÊS],$AE$1,tabela_registros[DIA],reservafixaconsolidadodez[[#Headers],[29]],tabela_registros[REGISTRO],DADOS!$N$6,tabela_registros[TIPO],DADOS!$AJ$3,tabela_registros[CATEGORIA],reservafixaconsolidadodez[[#This Row],[ATUAL]])</f>
        <v>0</v>
      </c>
      <c r="AH169" s="119" t="n">
        <f aca="false">SUMIFS(tabela_registros[VALOR],tabela_registros[MÊS],$AE$1,tabela_registros[DIA],reservafixaconsolidadodez[[#Headers],[30]],tabela_registros[REGISTRO],DADOS!$N$6,tabela_registros[TIPO],DADOS!$AJ$3,tabela_registros[CATEGORIA],reservafixaconsolidadodez[[#This Row],[ATUAL]])</f>
        <v>0</v>
      </c>
      <c r="AI169" s="217" t="n">
        <f aca="false">SUMIFS(tabela_registros[VALOR],tabela_registros[MÊS],$AE$1,tabela_registros[DIA],reservafixaconsolidadodez[[#Headers],[31]],tabela_registros[REGISTRO],DADOS!$N$6,tabela_registros[TIPO],DADOS!$AJ$3,tabela_registros[CATEGORIA],reservafixaconsolidadodez[[#This Row],[ATUAL]])</f>
        <v>0</v>
      </c>
      <c r="AJ169" s="149" t="n">
        <f aca="false">SUM(reservafixaconsolidadodez[[#This Row],[1]:[31]])</f>
        <v>0</v>
      </c>
      <c r="AK169" s="165"/>
    </row>
    <row r="170" customFormat="false" ht="19.5" hidden="false" customHeight="true" outlineLevel="0" collapsed="false">
      <c r="B170" s="143"/>
      <c r="C170" s="144" t="str">
        <f aca="false">DADOS!$AL$5</f>
        <v>📝 CRI</v>
      </c>
      <c r="D170" s="145" t="str">
        <f aca="false">IF(reservafixaconsolidadodez[[#This Row],[TOTAL (R$)]]=0,"",IF(OR(reservafixaconsolidadodez[[#This Row],[TOTAL (R$)]]=LARGE($AJ$168:$AJ$177,1),reservafixaconsolidadodez[[#This Row],[TOTAL (R$)]]=LARGE($AJ$168:$AJ$177,2)),DADOS!$I$11,""))</f>
        <v/>
      </c>
      <c r="E170" s="148" t="n">
        <f aca="false">SUMIFS(tabela_registros[VALOR],tabela_registros[MÊS],$AE$1,tabela_registros[DIA],reservafixaconsolidadodez[[#Headers],[1]],tabela_registros[REGISTRO],DADOS!$N$6,tabela_registros[TIPO],DADOS!$AJ$3,tabela_registros[CATEGORIA],reservafixaconsolidadodez[[#This Row],[ATUAL]])</f>
        <v>0</v>
      </c>
      <c r="F170" s="119" t="n">
        <f aca="false">SUMIFS(tabela_registros[VALOR],tabela_registros[MÊS],$AE$1,tabela_registros[DIA],reservafixaconsolidadodez[[#Headers],[2]],tabela_registros[REGISTRO],DADOS!$N$6,tabela_registros[TIPO],DADOS!$AJ$3,tabela_registros[CATEGORIA],reservafixaconsolidadodez[[#This Row],[ATUAL]])</f>
        <v>0</v>
      </c>
      <c r="G170" s="119" t="n">
        <f aca="false">SUMIFS(tabela_registros[VALOR],tabela_registros[MÊS],$AE$1,tabela_registros[DIA],reservafixaconsolidadodez[[#Headers],[3]],tabela_registros[REGISTRO],DADOS!$N$6,tabela_registros[TIPO],DADOS!$AJ$3,tabela_registros[CATEGORIA],reservafixaconsolidadodez[[#This Row],[ATUAL]])</f>
        <v>0</v>
      </c>
      <c r="H170" s="119" t="n">
        <f aca="false">SUMIFS(tabela_registros[VALOR],tabela_registros[MÊS],$AE$1,tabela_registros[DIA],reservafixaconsolidadodez[[#Headers],[4]],tabela_registros[REGISTRO],DADOS!$N$6,tabela_registros[TIPO],DADOS!$AJ$3,tabela_registros[CATEGORIA],reservafixaconsolidadodez[[#This Row],[ATUAL]])</f>
        <v>0</v>
      </c>
      <c r="I170" s="119" t="n">
        <f aca="false">SUMIFS(tabela_registros[VALOR],tabela_registros[MÊS],$AE$1,tabela_registros[DIA],reservafixaconsolidadodez[[#Headers],[5]],tabela_registros[REGISTRO],DADOS!$N$6,tabela_registros[TIPO],DADOS!$AJ$3,tabela_registros[CATEGORIA],reservafixaconsolidadodez[[#This Row],[ATUAL]])</f>
        <v>0</v>
      </c>
      <c r="J170" s="119" t="n">
        <f aca="false">SUMIFS(tabela_registros[VALOR],tabela_registros[MÊS],$AE$1,tabela_registros[DIA],reservafixaconsolidadodez[[#Headers],[6]],tabela_registros[REGISTRO],DADOS!$N$6,tabela_registros[TIPO],DADOS!$AJ$3,tabela_registros[CATEGORIA],reservafixaconsolidadodez[[#This Row],[ATUAL]])</f>
        <v>0</v>
      </c>
      <c r="K170" s="119" t="n">
        <f aca="false">SUMIFS(tabela_registros[VALOR],tabela_registros[MÊS],$AE$1,tabela_registros[DIA],reservafixaconsolidadodez[[#Headers],[7]],tabela_registros[REGISTRO],DADOS!$N$6,tabela_registros[TIPO],DADOS!$AJ$3,tabela_registros[CATEGORIA],reservafixaconsolidadodez[[#This Row],[ATUAL]])</f>
        <v>0</v>
      </c>
      <c r="L170" s="119" t="n">
        <f aca="false">SUMIFS(tabela_registros[VALOR],tabela_registros[MÊS],$AE$1,tabela_registros[DIA],reservafixaconsolidadodez[[#Headers],[8]],tabela_registros[REGISTRO],DADOS!$N$6,tabela_registros[TIPO],DADOS!$AJ$3,tabela_registros[CATEGORIA],reservafixaconsolidadodez[[#This Row],[ATUAL]])</f>
        <v>0</v>
      </c>
      <c r="M170" s="119" t="n">
        <f aca="false">SUMIFS(tabela_registros[VALOR],tabela_registros[MÊS],$AE$1,tabela_registros[DIA],reservafixaconsolidadodez[[#Headers],[9]],tabela_registros[REGISTRO],DADOS!$N$6,tabela_registros[TIPO],DADOS!$AJ$3,tabela_registros[CATEGORIA],reservafixaconsolidadodez[[#This Row],[ATUAL]])</f>
        <v>0</v>
      </c>
      <c r="N170" s="119" t="n">
        <f aca="false">SUMIFS(tabela_registros[VALOR],tabela_registros[MÊS],$AE$1,tabela_registros[DIA],reservafixaconsolidadodez[[#Headers],[10]],tabela_registros[REGISTRO],DADOS!$N$6,tabela_registros[TIPO],DADOS!$AJ$3,tabela_registros[CATEGORIA],reservafixaconsolidadodez[[#This Row],[ATUAL]])</f>
        <v>0</v>
      </c>
      <c r="O170" s="119" t="n">
        <f aca="false">SUMIFS(tabela_registros[VALOR],tabela_registros[MÊS],$AE$1,tabela_registros[DIA],reservafixaconsolidadodez[[#Headers],[11]],tabela_registros[REGISTRO],DADOS!$N$6,tabela_registros[TIPO],DADOS!$AJ$3,tabela_registros[CATEGORIA],reservafixaconsolidadodez[[#This Row],[ATUAL]])</f>
        <v>0</v>
      </c>
      <c r="P170" s="119" t="n">
        <f aca="false">SUMIFS(tabela_registros[VALOR],tabela_registros[MÊS],$AE$1,tabela_registros[DIA],reservafixaconsolidadodez[[#Headers],[12]],tabela_registros[REGISTRO],DADOS!$N$6,tabela_registros[TIPO],DADOS!$AJ$3,tabela_registros[CATEGORIA],reservafixaconsolidadodez[[#This Row],[ATUAL]])</f>
        <v>0</v>
      </c>
      <c r="Q170" s="119" t="n">
        <f aca="false">SUMIFS(tabela_registros[VALOR],tabela_registros[MÊS],$AE$1,tabela_registros[DIA],reservafixaconsolidadodez[[#Headers],[13]],tabela_registros[REGISTRO],DADOS!$N$6,tabela_registros[TIPO],DADOS!$AJ$3,tabela_registros[CATEGORIA],reservafixaconsolidadodez[[#This Row],[ATUAL]])</f>
        <v>0</v>
      </c>
      <c r="R170" s="119" t="n">
        <f aca="false">SUMIFS(tabela_registros[VALOR],tabela_registros[MÊS],$AE$1,tabela_registros[DIA],reservafixaconsolidadodez[[#Headers],[14]],tabela_registros[REGISTRO],DADOS!$N$6,tabela_registros[TIPO],DADOS!$AJ$3,tabela_registros[CATEGORIA],reservafixaconsolidadodez[[#This Row],[ATUAL]])</f>
        <v>0</v>
      </c>
      <c r="S170" s="119" t="n">
        <f aca="false">SUMIFS(tabela_registros[VALOR],tabela_registros[MÊS],$AE$1,tabela_registros[DIA],reservafixaconsolidadodez[[#Headers],[15]],tabela_registros[REGISTRO],DADOS!$N$6,tabela_registros[TIPO],DADOS!$AJ$3,tabela_registros[CATEGORIA],reservafixaconsolidadodez[[#This Row],[ATUAL]])</f>
        <v>0</v>
      </c>
      <c r="T170" s="119" t="n">
        <f aca="false">SUMIFS(tabela_registros[VALOR],tabela_registros[MÊS],$AE$1,tabela_registros[DIA],reservafixaconsolidadodez[[#Headers],[16]],tabela_registros[REGISTRO],DADOS!$N$6,tabela_registros[TIPO],DADOS!$AJ$3,tabela_registros[CATEGORIA],reservafixaconsolidadodez[[#This Row],[ATUAL]])</f>
        <v>0</v>
      </c>
      <c r="U170" s="119" t="n">
        <f aca="false">SUMIFS(tabela_registros[VALOR],tabela_registros[MÊS],$AE$1,tabela_registros[DIA],reservafixaconsolidadodez[[#Headers],[17]],tabela_registros[REGISTRO],DADOS!$N$6,tabela_registros[TIPO],DADOS!$AJ$3,tabela_registros[CATEGORIA],reservafixaconsolidadodez[[#This Row],[ATUAL]])</f>
        <v>0</v>
      </c>
      <c r="V170" s="119" t="n">
        <f aca="false">SUMIFS(tabela_registros[VALOR],tabela_registros[MÊS],$AE$1,tabela_registros[DIA],reservafixaconsolidadodez[[#Headers],[18]],tabela_registros[REGISTRO],DADOS!$N$6,tabela_registros[TIPO],DADOS!$AJ$3,tabela_registros[CATEGORIA],reservafixaconsolidadodez[[#This Row],[ATUAL]])</f>
        <v>0</v>
      </c>
      <c r="W170" s="119" t="n">
        <f aca="false">SUMIFS(tabela_registros[VALOR],tabela_registros[MÊS],$AE$1,tabela_registros[DIA],reservafixaconsolidadodez[[#Headers],[19]],tabela_registros[REGISTRO],DADOS!$N$6,tabela_registros[TIPO],DADOS!$AJ$3,tabela_registros[CATEGORIA],reservafixaconsolidadodez[[#This Row],[ATUAL]])</f>
        <v>0</v>
      </c>
      <c r="X170" s="119" t="n">
        <f aca="false">SUMIFS(tabela_registros[VALOR],tabela_registros[MÊS],$AE$1,tabela_registros[DIA],reservafixaconsolidadodez[[#Headers],[20]],tabela_registros[REGISTRO],DADOS!$N$6,tabela_registros[TIPO],DADOS!$AJ$3,tabela_registros[CATEGORIA],reservafixaconsolidadodez[[#This Row],[ATUAL]])</f>
        <v>0</v>
      </c>
      <c r="Y170" s="119" t="n">
        <f aca="false">SUMIFS(tabela_registros[VALOR],tabela_registros[MÊS],$AE$1,tabela_registros[DIA],reservafixaconsolidadodez[[#Headers],[21]],tabela_registros[REGISTRO],DADOS!$N$6,tabela_registros[TIPO],DADOS!$AJ$3,tabela_registros[CATEGORIA],reservafixaconsolidadodez[[#This Row],[ATUAL]])</f>
        <v>0</v>
      </c>
      <c r="Z170" s="119" t="n">
        <f aca="false">SUMIFS(tabela_registros[VALOR],tabela_registros[MÊS],$AE$1,tabela_registros[DIA],reservafixaconsolidadodez[[#Headers],[22]],tabela_registros[REGISTRO],DADOS!$N$6,tabela_registros[TIPO],DADOS!$AJ$3,tabela_registros[CATEGORIA],reservafixaconsolidadodez[[#This Row],[ATUAL]])</f>
        <v>0</v>
      </c>
      <c r="AA170" s="119" t="n">
        <f aca="false">SUMIFS(tabela_registros[VALOR],tabela_registros[MÊS],$AE$1,tabela_registros[DIA],reservafixaconsolidadodez[[#Headers],[23]],tabela_registros[REGISTRO],DADOS!$N$6,tabela_registros[TIPO],DADOS!$AJ$3,tabela_registros[CATEGORIA],reservafixaconsolidadodez[[#This Row],[ATUAL]])</f>
        <v>0</v>
      </c>
      <c r="AB170" s="119" t="n">
        <f aca="false">SUMIFS(tabela_registros[VALOR],tabela_registros[MÊS],$AE$1,tabela_registros[DIA],reservafixaconsolidadodez[[#Headers],[24]],tabela_registros[REGISTRO],DADOS!$N$6,tabela_registros[TIPO],DADOS!$AJ$3,tabela_registros[CATEGORIA],reservafixaconsolidadodez[[#This Row],[ATUAL]])</f>
        <v>0</v>
      </c>
      <c r="AC170" s="119" t="n">
        <f aca="false">SUMIFS(tabela_registros[VALOR],tabela_registros[MÊS],$AE$1,tabela_registros[DIA],reservafixaconsolidadodez[[#Headers],[25]],tabela_registros[REGISTRO],DADOS!$N$6,tabela_registros[TIPO],DADOS!$AJ$3,tabela_registros[CATEGORIA],reservafixaconsolidadodez[[#This Row],[ATUAL]])</f>
        <v>0</v>
      </c>
      <c r="AD170" s="119" t="n">
        <f aca="false">SUMIFS(tabela_registros[VALOR],tabela_registros[MÊS],$AE$1,tabela_registros[DIA],reservafixaconsolidadodez[[#Headers],[26]],tabela_registros[REGISTRO],DADOS!$N$6,tabela_registros[TIPO],DADOS!$AJ$3,tabela_registros[CATEGORIA],reservafixaconsolidadodez[[#This Row],[ATUAL]])</f>
        <v>0</v>
      </c>
      <c r="AE170" s="119" t="n">
        <f aca="false">SUMIFS(tabela_registros[VALOR],tabela_registros[MÊS],$AE$1,tabela_registros[DIA],reservafixaconsolidadodez[[#Headers],[27]],tabela_registros[REGISTRO],DADOS!$N$6,tabela_registros[TIPO],DADOS!$AJ$3,tabela_registros[CATEGORIA],reservafixaconsolidadodez[[#This Row],[ATUAL]])</f>
        <v>0</v>
      </c>
      <c r="AF170" s="119" t="n">
        <f aca="false">SUMIFS(tabela_registros[VALOR],tabela_registros[MÊS],$AE$1,tabela_registros[DIA],reservafixaconsolidadodez[[#Headers],[28]],tabela_registros[REGISTRO],DADOS!$N$6,tabela_registros[TIPO],DADOS!$AJ$3,tabela_registros[CATEGORIA],reservafixaconsolidadodez[[#This Row],[ATUAL]])</f>
        <v>0</v>
      </c>
      <c r="AG170" s="119" t="n">
        <f aca="false">SUMIFS(tabela_registros[VALOR],tabela_registros[MÊS],$AE$1,tabela_registros[DIA],reservafixaconsolidadodez[[#Headers],[29]],tabela_registros[REGISTRO],DADOS!$N$6,tabela_registros[TIPO],DADOS!$AJ$3,tabela_registros[CATEGORIA],reservafixaconsolidadodez[[#This Row],[ATUAL]])</f>
        <v>0</v>
      </c>
      <c r="AH170" s="119" t="n">
        <f aca="false">SUMIFS(tabela_registros[VALOR],tabela_registros[MÊS],$AE$1,tabela_registros[DIA],reservafixaconsolidadodez[[#Headers],[30]],tabela_registros[REGISTRO],DADOS!$N$6,tabela_registros[TIPO],DADOS!$AJ$3,tabela_registros[CATEGORIA],reservafixaconsolidadodez[[#This Row],[ATUAL]])</f>
        <v>0</v>
      </c>
      <c r="AI170" s="217" t="n">
        <f aca="false">SUMIFS(tabela_registros[VALOR],tabela_registros[MÊS],$AE$1,tabela_registros[DIA],reservafixaconsolidadodez[[#Headers],[31]],tabela_registros[REGISTRO],DADOS!$N$6,tabela_registros[TIPO],DADOS!$AJ$3,tabela_registros[CATEGORIA],reservafixaconsolidadodez[[#This Row],[ATUAL]])</f>
        <v>0</v>
      </c>
      <c r="AJ170" s="149" t="n">
        <f aca="false">SUM(reservafixaconsolidadodez[[#This Row],[1]:[31]])</f>
        <v>0</v>
      </c>
      <c r="AK170" s="165"/>
    </row>
    <row r="171" customFormat="false" ht="19.5" hidden="false" customHeight="true" outlineLevel="0" collapsed="false">
      <c r="B171" s="143"/>
      <c r="C171" s="144" t="str">
        <f aca="false">DADOS!$AL$6</f>
        <v>📝 DEBÊNTURE</v>
      </c>
      <c r="D171" s="145" t="str">
        <f aca="false">IF(reservafixaconsolidadodez[[#This Row],[TOTAL (R$)]]=0,"",IF(OR(reservafixaconsolidadodez[[#This Row],[TOTAL (R$)]]=LARGE($AJ$168:$AJ$177,1),reservafixaconsolidadodez[[#This Row],[TOTAL (R$)]]=LARGE($AJ$168:$AJ$177,2)),DADOS!$I$11,""))</f>
        <v/>
      </c>
      <c r="E171" s="148" t="n">
        <f aca="false">SUMIFS(tabela_registros[VALOR],tabela_registros[MÊS],$AE$1,tabela_registros[DIA],reservafixaconsolidadodez[[#Headers],[1]],tabela_registros[REGISTRO],DADOS!$N$6,tabela_registros[TIPO],DADOS!$AJ$3,tabela_registros[CATEGORIA],reservafixaconsolidadodez[[#This Row],[ATUAL]])</f>
        <v>0</v>
      </c>
      <c r="F171" s="119" t="n">
        <f aca="false">SUMIFS(tabela_registros[VALOR],tabela_registros[MÊS],$AE$1,tabela_registros[DIA],reservafixaconsolidadodez[[#Headers],[2]],tabela_registros[REGISTRO],DADOS!$N$6,tabela_registros[TIPO],DADOS!$AJ$3,tabela_registros[CATEGORIA],reservafixaconsolidadodez[[#This Row],[ATUAL]])</f>
        <v>0</v>
      </c>
      <c r="G171" s="119" t="n">
        <f aca="false">SUMIFS(tabela_registros[VALOR],tabela_registros[MÊS],$AE$1,tabela_registros[DIA],reservafixaconsolidadodez[[#Headers],[3]],tabela_registros[REGISTRO],DADOS!$N$6,tabela_registros[TIPO],DADOS!$AJ$3,tabela_registros[CATEGORIA],reservafixaconsolidadodez[[#This Row],[ATUAL]])</f>
        <v>0</v>
      </c>
      <c r="H171" s="119" t="n">
        <f aca="false">SUMIFS(tabela_registros[VALOR],tabela_registros[MÊS],$AE$1,tabela_registros[DIA],reservafixaconsolidadodez[[#Headers],[4]],tabela_registros[REGISTRO],DADOS!$N$6,tabela_registros[TIPO],DADOS!$AJ$3,tabela_registros[CATEGORIA],reservafixaconsolidadodez[[#This Row],[ATUAL]])</f>
        <v>0</v>
      </c>
      <c r="I171" s="119" t="n">
        <f aca="false">SUMIFS(tabela_registros[VALOR],tabela_registros[MÊS],$AE$1,tabela_registros[DIA],reservafixaconsolidadodez[[#Headers],[5]],tabela_registros[REGISTRO],DADOS!$N$6,tabela_registros[TIPO],DADOS!$AJ$3,tabela_registros[CATEGORIA],reservafixaconsolidadodez[[#This Row],[ATUAL]])</f>
        <v>0</v>
      </c>
      <c r="J171" s="119" t="n">
        <f aca="false">SUMIFS(tabela_registros[VALOR],tabela_registros[MÊS],$AE$1,tabela_registros[DIA],reservafixaconsolidadodez[[#Headers],[6]],tabela_registros[REGISTRO],DADOS!$N$6,tabela_registros[TIPO],DADOS!$AJ$3,tabela_registros[CATEGORIA],reservafixaconsolidadodez[[#This Row],[ATUAL]])</f>
        <v>0</v>
      </c>
      <c r="K171" s="119" t="n">
        <f aca="false">SUMIFS(tabela_registros[VALOR],tabela_registros[MÊS],$AE$1,tabela_registros[DIA],reservafixaconsolidadodez[[#Headers],[7]],tabela_registros[REGISTRO],DADOS!$N$6,tabela_registros[TIPO],DADOS!$AJ$3,tabela_registros[CATEGORIA],reservafixaconsolidadodez[[#This Row],[ATUAL]])</f>
        <v>0</v>
      </c>
      <c r="L171" s="119" t="n">
        <f aca="false">SUMIFS(tabela_registros[VALOR],tabela_registros[MÊS],$AE$1,tabela_registros[DIA],reservafixaconsolidadodez[[#Headers],[8]],tabela_registros[REGISTRO],DADOS!$N$6,tabela_registros[TIPO],DADOS!$AJ$3,tabela_registros[CATEGORIA],reservafixaconsolidadodez[[#This Row],[ATUAL]])</f>
        <v>0</v>
      </c>
      <c r="M171" s="119" t="n">
        <f aca="false">SUMIFS(tabela_registros[VALOR],tabela_registros[MÊS],$AE$1,tabela_registros[DIA],reservafixaconsolidadodez[[#Headers],[9]],tabela_registros[REGISTRO],DADOS!$N$6,tabela_registros[TIPO],DADOS!$AJ$3,tabela_registros[CATEGORIA],reservafixaconsolidadodez[[#This Row],[ATUAL]])</f>
        <v>0</v>
      </c>
      <c r="N171" s="119" t="n">
        <f aca="false">SUMIFS(tabela_registros[VALOR],tabela_registros[MÊS],$AE$1,tabela_registros[DIA],reservafixaconsolidadodez[[#Headers],[10]],tabela_registros[REGISTRO],DADOS!$N$6,tabela_registros[TIPO],DADOS!$AJ$3,tabela_registros[CATEGORIA],reservafixaconsolidadodez[[#This Row],[ATUAL]])</f>
        <v>0</v>
      </c>
      <c r="O171" s="119" t="n">
        <f aca="false">SUMIFS(tabela_registros[VALOR],tabela_registros[MÊS],$AE$1,tabela_registros[DIA],reservafixaconsolidadodez[[#Headers],[11]],tabela_registros[REGISTRO],DADOS!$N$6,tabela_registros[TIPO],DADOS!$AJ$3,tabela_registros[CATEGORIA],reservafixaconsolidadodez[[#This Row],[ATUAL]])</f>
        <v>0</v>
      </c>
      <c r="P171" s="119" t="n">
        <f aca="false">SUMIFS(tabela_registros[VALOR],tabela_registros[MÊS],$AE$1,tabela_registros[DIA],reservafixaconsolidadodez[[#Headers],[12]],tabela_registros[REGISTRO],DADOS!$N$6,tabela_registros[TIPO],DADOS!$AJ$3,tabela_registros[CATEGORIA],reservafixaconsolidadodez[[#This Row],[ATUAL]])</f>
        <v>0</v>
      </c>
      <c r="Q171" s="119" t="n">
        <f aca="false">SUMIFS(tabela_registros[VALOR],tabela_registros[MÊS],$AE$1,tabela_registros[DIA],reservafixaconsolidadodez[[#Headers],[13]],tabela_registros[REGISTRO],DADOS!$N$6,tabela_registros[TIPO],DADOS!$AJ$3,tabela_registros[CATEGORIA],reservafixaconsolidadodez[[#This Row],[ATUAL]])</f>
        <v>0</v>
      </c>
      <c r="R171" s="119" t="n">
        <f aca="false">SUMIFS(tabela_registros[VALOR],tabela_registros[MÊS],$AE$1,tabela_registros[DIA],reservafixaconsolidadodez[[#Headers],[14]],tabela_registros[REGISTRO],DADOS!$N$6,tabela_registros[TIPO],DADOS!$AJ$3,tabela_registros[CATEGORIA],reservafixaconsolidadodez[[#This Row],[ATUAL]])</f>
        <v>0</v>
      </c>
      <c r="S171" s="119" t="n">
        <f aca="false">SUMIFS(tabela_registros[VALOR],tabela_registros[MÊS],$AE$1,tabela_registros[DIA],reservafixaconsolidadodez[[#Headers],[15]],tabela_registros[REGISTRO],DADOS!$N$6,tabela_registros[TIPO],DADOS!$AJ$3,tabela_registros[CATEGORIA],reservafixaconsolidadodez[[#This Row],[ATUAL]])</f>
        <v>0</v>
      </c>
      <c r="T171" s="119" t="n">
        <f aca="false">SUMIFS(tabela_registros[VALOR],tabela_registros[MÊS],$AE$1,tabela_registros[DIA],reservafixaconsolidadodez[[#Headers],[16]],tabela_registros[REGISTRO],DADOS!$N$6,tabela_registros[TIPO],DADOS!$AJ$3,tabela_registros[CATEGORIA],reservafixaconsolidadodez[[#This Row],[ATUAL]])</f>
        <v>0</v>
      </c>
      <c r="U171" s="119" t="n">
        <f aca="false">SUMIFS(tabela_registros[VALOR],tabela_registros[MÊS],$AE$1,tabela_registros[DIA],reservafixaconsolidadodez[[#Headers],[17]],tabela_registros[REGISTRO],DADOS!$N$6,tabela_registros[TIPO],DADOS!$AJ$3,tabela_registros[CATEGORIA],reservafixaconsolidadodez[[#This Row],[ATUAL]])</f>
        <v>0</v>
      </c>
      <c r="V171" s="119" t="n">
        <f aca="false">SUMIFS(tabela_registros[VALOR],tabela_registros[MÊS],$AE$1,tabela_registros[DIA],reservafixaconsolidadodez[[#Headers],[18]],tabela_registros[REGISTRO],DADOS!$N$6,tabela_registros[TIPO],DADOS!$AJ$3,tabela_registros[CATEGORIA],reservafixaconsolidadodez[[#This Row],[ATUAL]])</f>
        <v>0</v>
      </c>
      <c r="W171" s="119" t="n">
        <f aca="false">SUMIFS(tabela_registros[VALOR],tabela_registros[MÊS],$AE$1,tabela_registros[DIA],reservafixaconsolidadodez[[#Headers],[19]],tabela_registros[REGISTRO],DADOS!$N$6,tabela_registros[TIPO],DADOS!$AJ$3,tabela_registros[CATEGORIA],reservafixaconsolidadodez[[#This Row],[ATUAL]])</f>
        <v>0</v>
      </c>
      <c r="X171" s="119" t="n">
        <f aca="false">SUMIFS(tabela_registros[VALOR],tabela_registros[MÊS],$AE$1,tabela_registros[DIA],reservafixaconsolidadodez[[#Headers],[20]],tabela_registros[REGISTRO],DADOS!$N$6,tabela_registros[TIPO],DADOS!$AJ$3,tabela_registros[CATEGORIA],reservafixaconsolidadodez[[#This Row],[ATUAL]])</f>
        <v>0</v>
      </c>
      <c r="Y171" s="119" t="n">
        <f aca="false">SUMIFS(tabela_registros[VALOR],tabela_registros[MÊS],$AE$1,tabela_registros[DIA],reservafixaconsolidadodez[[#Headers],[21]],tabela_registros[REGISTRO],DADOS!$N$6,tabela_registros[TIPO],DADOS!$AJ$3,tabela_registros[CATEGORIA],reservafixaconsolidadodez[[#This Row],[ATUAL]])</f>
        <v>0</v>
      </c>
      <c r="Z171" s="119" t="n">
        <f aca="false">SUMIFS(tabela_registros[VALOR],tabela_registros[MÊS],$AE$1,tabela_registros[DIA],reservafixaconsolidadodez[[#Headers],[22]],tabela_registros[REGISTRO],DADOS!$N$6,tabela_registros[TIPO],DADOS!$AJ$3,tabela_registros[CATEGORIA],reservafixaconsolidadodez[[#This Row],[ATUAL]])</f>
        <v>0</v>
      </c>
      <c r="AA171" s="119" t="n">
        <f aca="false">SUMIFS(tabela_registros[VALOR],tabela_registros[MÊS],$AE$1,tabela_registros[DIA],reservafixaconsolidadodez[[#Headers],[23]],tabela_registros[REGISTRO],DADOS!$N$6,tabela_registros[TIPO],DADOS!$AJ$3,tabela_registros[CATEGORIA],reservafixaconsolidadodez[[#This Row],[ATUAL]])</f>
        <v>0</v>
      </c>
      <c r="AB171" s="119" t="n">
        <f aca="false">SUMIFS(tabela_registros[VALOR],tabela_registros[MÊS],$AE$1,tabela_registros[DIA],reservafixaconsolidadodez[[#Headers],[24]],tabela_registros[REGISTRO],DADOS!$N$6,tabela_registros[TIPO],DADOS!$AJ$3,tabela_registros[CATEGORIA],reservafixaconsolidadodez[[#This Row],[ATUAL]])</f>
        <v>0</v>
      </c>
      <c r="AC171" s="119" t="n">
        <f aca="false">SUMIFS(tabela_registros[VALOR],tabela_registros[MÊS],$AE$1,tabela_registros[DIA],reservafixaconsolidadodez[[#Headers],[25]],tabela_registros[REGISTRO],DADOS!$N$6,tabela_registros[TIPO],DADOS!$AJ$3,tabela_registros[CATEGORIA],reservafixaconsolidadodez[[#This Row],[ATUAL]])</f>
        <v>0</v>
      </c>
      <c r="AD171" s="119" t="n">
        <f aca="false">SUMIFS(tabela_registros[VALOR],tabela_registros[MÊS],$AE$1,tabela_registros[DIA],reservafixaconsolidadodez[[#Headers],[26]],tabela_registros[REGISTRO],DADOS!$N$6,tabela_registros[TIPO],DADOS!$AJ$3,tabela_registros[CATEGORIA],reservafixaconsolidadodez[[#This Row],[ATUAL]])</f>
        <v>0</v>
      </c>
      <c r="AE171" s="119" t="n">
        <f aca="false">SUMIFS(tabela_registros[VALOR],tabela_registros[MÊS],$AE$1,tabela_registros[DIA],reservafixaconsolidadodez[[#Headers],[27]],tabela_registros[REGISTRO],DADOS!$N$6,tabela_registros[TIPO],DADOS!$AJ$3,tabela_registros[CATEGORIA],reservafixaconsolidadodez[[#This Row],[ATUAL]])</f>
        <v>0</v>
      </c>
      <c r="AF171" s="119" t="n">
        <f aca="false">SUMIFS(tabela_registros[VALOR],tabela_registros[MÊS],$AE$1,tabela_registros[DIA],reservafixaconsolidadodez[[#Headers],[28]],tabela_registros[REGISTRO],DADOS!$N$6,tabela_registros[TIPO],DADOS!$AJ$3,tabela_registros[CATEGORIA],reservafixaconsolidadodez[[#This Row],[ATUAL]])</f>
        <v>0</v>
      </c>
      <c r="AG171" s="119" t="n">
        <f aca="false">SUMIFS(tabela_registros[VALOR],tabela_registros[MÊS],$AE$1,tabela_registros[DIA],reservafixaconsolidadodez[[#Headers],[29]],tabela_registros[REGISTRO],DADOS!$N$6,tabela_registros[TIPO],DADOS!$AJ$3,tabela_registros[CATEGORIA],reservafixaconsolidadodez[[#This Row],[ATUAL]])</f>
        <v>0</v>
      </c>
      <c r="AH171" s="119" t="n">
        <f aca="false">SUMIFS(tabela_registros[VALOR],tabela_registros[MÊS],$AE$1,tabela_registros[DIA],reservafixaconsolidadodez[[#Headers],[30]],tabela_registros[REGISTRO],DADOS!$N$6,tabela_registros[TIPO],DADOS!$AJ$3,tabela_registros[CATEGORIA],reservafixaconsolidadodez[[#This Row],[ATUAL]])</f>
        <v>0</v>
      </c>
      <c r="AI171" s="217" t="n">
        <f aca="false">SUMIFS(tabela_registros[VALOR],tabela_registros[MÊS],$AE$1,tabela_registros[DIA],reservafixaconsolidadodez[[#Headers],[31]],tabela_registros[REGISTRO],DADOS!$N$6,tabela_registros[TIPO],DADOS!$AJ$3,tabela_registros[CATEGORIA],reservafixaconsolidadodez[[#This Row],[ATUAL]])</f>
        <v>0</v>
      </c>
      <c r="AJ171" s="149" t="n">
        <f aca="false">SUM(reservafixaconsolidadodez[[#This Row],[1]:[31]])</f>
        <v>0</v>
      </c>
      <c r="AK171" s="165"/>
    </row>
    <row r="172" customFormat="false" ht="19.5" hidden="false" customHeight="true" outlineLevel="0" collapsed="false">
      <c r="B172" s="143"/>
      <c r="C172" s="144" t="str">
        <f aca="false">DADOS!$AL$7</f>
        <v>📝 EXTERIOR</v>
      </c>
      <c r="D172" s="145" t="str">
        <f aca="false">IF(reservafixaconsolidadodez[[#This Row],[TOTAL (R$)]]=0,"",IF(OR(reservafixaconsolidadodez[[#This Row],[TOTAL (R$)]]=LARGE($AJ$168:$AJ$177,1),reservafixaconsolidadodez[[#This Row],[TOTAL (R$)]]=LARGE($AJ$168:$AJ$177,2)),DADOS!$I$11,""))</f>
        <v/>
      </c>
      <c r="E172" s="148" t="n">
        <f aca="false">SUMIFS(tabela_registros[VALOR],tabela_registros[MÊS],$AE$1,tabela_registros[DIA],reservafixaconsolidadodez[[#Headers],[1]],tabela_registros[REGISTRO],DADOS!$N$6,tabela_registros[TIPO],DADOS!$AJ$3,tabela_registros[CATEGORIA],reservafixaconsolidadodez[[#This Row],[ATUAL]])</f>
        <v>0</v>
      </c>
      <c r="F172" s="119" t="n">
        <f aca="false">SUMIFS(tabela_registros[VALOR],tabela_registros[MÊS],$AE$1,tabela_registros[DIA],reservafixaconsolidadodez[[#Headers],[2]],tabela_registros[REGISTRO],DADOS!$N$6,tabela_registros[TIPO],DADOS!$AJ$3,tabela_registros[CATEGORIA],reservafixaconsolidadodez[[#This Row],[ATUAL]])</f>
        <v>0</v>
      </c>
      <c r="G172" s="119" t="n">
        <f aca="false">SUMIFS(tabela_registros[VALOR],tabela_registros[MÊS],$AE$1,tabela_registros[DIA],reservafixaconsolidadodez[[#Headers],[3]],tabela_registros[REGISTRO],DADOS!$N$6,tabela_registros[TIPO],DADOS!$AJ$3,tabela_registros[CATEGORIA],reservafixaconsolidadodez[[#This Row],[ATUAL]])</f>
        <v>0</v>
      </c>
      <c r="H172" s="119" t="n">
        <f aca="false">SUMIFS(tabela_registros[VALOR],tabela_registros[MÊS],$AE$1,tabela_registros[DIA],reservafixaconsolidadodez[[#Headers],[4]],tabela_registros[REGISTRO],DADOS!$N$6,tabela_registros[TIPO],DADOS!$AJ$3,tabela_registros[CATEGORIA],reservafixaconsolidadodez[[#This Row],[ATUAL]])</f>
        <v>0</v>
      </c>
      <c r="I172" s="119" t="n">
        <f aca="false">SUMIFS(tabela_registros[VALOR],tabela_registros[MÊS],$AE$1,tabela_registros[DIA],reservafixaconsolidadodez[[#Headers],[5]],tabela_registros[REGISTRO],DADOS!$N$6,tabela_registros[TIPO],DADOS!$AJ$3,tabela_registros[CATEGORIA],reservafixaconsolidadodez[[#This Row],[ATUAL]])</f>
        <v>0</v>
      </c>
      <c r="J172" s="119" t="n">
        <f aca="false">SUMIFS(tabela_registros[VALOR],tabela_registros[MÊS],$AE$1,tabela_registros[DIA],reservafixaconsolidadodez[[#Headers],[6]],tabela_registros[REGISTRO],DADOS!$N$6,tabela_registros[TIPO],DADOS!$AJ$3,tabela_registros[CATEGORIA],reservafixaconsolidadodez[[#This Row],[ATUAL]])</f>
        <v>0</v>
      </c>
      <c r="K172" s="119" t="n">
        <f aca="false">SUMIFS(tabela_registros[VALOR],tabela_registros[MÊS],$AE$1,tabela_registros[DIA],reservafixaconsolidadodez[[#Headers],[7]],tabela_registros[REGISTRO],DADOS!$N$6,tabela_registros[TIPO],DADOS!$AJ$3,tabela_registros[CATEGORIA],reservafixaconsolidadodez[[#This Row],[ATUAL]])</f>
        <v>0</v>
      </c>
      <c r="L172" s="119" t="n">
        <f aca="false">SUMIFS(tabela_registros[VALOR],tabela_registros[MÊS],$AE$1,tabela_registros[DIA],reservafixaconsolidadodez[[#Headers],[8]],tabela_registros[REGISTRO],DADOS!$N$6,tabela_registros[TIPO],DADOS!$AJ$3,tabela_registros[CATEGORIA],reservafixaconsolidadodez[[#This Row],[ATUAL]])</f>
        <v>0</v>
      </c>
      <c r="M172" s="119" t="n">
        <f aca="false">SUMIFS(tabela_registros[VALOR],tabela_registros[MÊS],$AE$1,tabela_registros[DIA],reservafixaconsolidadodez[[#Headers],[9]],tabela_registros[REGISTRO],DADOS!$N$6,tabela_registros[TIPO],DADOS!$AJ$3,tabela_registros[CATEGORIA],reservafixaconsolidadodez[[#This Row],[ATUAL]])</f>
        <v>0</v>
      </c>
      <c r="N172" s="119" t="n">
        <f aca="false">SUMIFS(tabela_registros[VALOR],tabela_registros[MÊS],$AE$1,tabela_registros[DIA],reservafixaconsolidadodez[[#Headers],[10]],tabela_registros[REGISTRO],DADOS!$N$6,tabela_registros[TIPO],DADOS!$AJ$3,tabela_registros[CATEGORIA],reservafixaconsolidadodez[[#This Row],[ATUAL]])</f>
        <v>0</v>
      </c>
      <c r="O172" s="119" t="n">
        <f aca="false">SUMIFS(tabela_registros[VALOR],tabela_registros[MÊS],$AE$1,tabela_registros[DIA],reservafixaconsolidadodez[[#Headers],[11]],tabela_registros[REGISTRO],DADOS!$N$6,tabela_registros[TIPO],DADOS!$AJ$3,tabela_registros[CATEGORIA],reservafixaconsolidadodez[[#This Row],[ATUAL]])</f>
        <v>0</v>
      </c>
      <c r="P172" s="119" t="n">
        <f aca="false">SUMIFS(tabela_registros[VALOR],tabela_registros[MÊS],$AE$1,tabela_registros[DIA],reservafixaconsolidadodez[[#Headers],[12]],tabela_registros[REGISTRO],DADOS!$N$6,tabela_registros[TIPO],DADOS!$AJ$3,tabela_registros[CATEGORIA],reservafixaconsolidadodez[[#This Row],[ATUAL]])</f>
        <v>0</v>
      </c>
      <c r="Q172" s="119" t="n">
        <f aca="false">SUMIFS(tabela_registros[VALOR],tabela_registros[MÊS],$AE$1,tabela_registros[DIA],reservafixaconsolidadodez[[#Headers],[13]],tabela_registros[REGISTRO],DADOS!$N$6,tabela_registros[TIPO],DADOS!$AJ$3,tabela_registros[CATEGORIA],reservafixaconsolidadodez[[#This Row],[ATUAL]])</f>
        <v>0</v>
      </c>
      <c r="R172" s="119" t="n">
        <f aca="false">SUMIFS(tabela_registros[VALOR],tabela_registros[MÊS],$AE$1,tabela_registros[DIA],reservafixaconsolidadodez[[#Headers],[14]],tabela_registros[REGISTRO],DADOS!$N$6,tabela_registros[TIPO],DADOS!$AJ$3,tabela_registros[CATEGORIA],reservafixaconsolidadodez[[#This Row],[ATUAL]])</f>
        <v>0</v>
      </c>
      <c r="S172" s="119" t="n">
        <f aca="false">SUMIFS(tabela_registros[VALOR],tabela_registros[MÊS],$AE$1,tabela_registros[DIA],reservafixaconsolidadodez[[#Headers],[15]],tabela_registros[REGISTRO],DADOS!$N$6,tabela_registros[TIPO],DADOS!$AJ$3,tabela_registros[CATEGORIA],reservafixaconsolidadodez[[#This Row],[ATUAL]])</f>
        <v>0</v>
      </c>
      <c r="T172" s="119" t="n">
        <f aca="false">SUMIFS(tabela_registros[VALOR],tabela_registros[MÊS],$AE$1,tabela_registros[DIA],reservafixaconsolidadodez[[#Headers],[16]],tabela_registros[REGISTRO],DADOS!$N$6,tabela_registros[TIPO],DADOS!$AJ$3,tabela_registros[CATEGORIA],reservafixaconsolidadodez[[#This Row],[ATUAL]])</f>
        <v>0</v>
      </c>
      <c r="U172" s="119" t="n">
        <f aca="false">SUMIFS(tabela_registros[VALOR],tabela_registros[MÊS],$AE$1,tabela_registros[DIA],reservafixaconsolidadodez[[#Headers],[17]],tabela_registros[REGISTRO],DADOS!$N$6,tabela_registros[TIPO],DADOS!$AJ$3,tabela_registros[CATEGORIA],reservafixaconsolidadodez[[#This Row],[ATUAL]])</f>
        <v>0</v>
      </c>
      <c r="V172" s="119" t="n">
        <f aca="false">SUMIFS(tabela_registros[VALOR],tabela_registros[MÊS],$AE$1,tabela_registros[DIA],reservafixaconsolidadodez[[#Headers],[18]],tabela_registros[REGISTRO],DADOS!$N$6,tabela_registros[TIPO],DADOS!$AJ$3,tabela_registros[CATEGORIA],reservafixaconsolidadodez[[#This Row],[ATUAL]])</f>
        <v>0</v>
      </c>
      <c r="W172" s="119" t="n">
        <f aca="false">SUMIFS(tabela_registros[VALOR],tabela_registros[MÊS],$AE$1,tabela_registros[DIA],reservafixaconsolidadodez[[#Headers],[19]],tabela_registros[REGISTRO],DADOS!$N$6,tabela_registros[TIPO],DADOS!$AJ$3,tabela_registros[CATEGORIA],reservafixaconsolidadodez[[#This Row],[ATUAL]])</f>
        <v>0</v>
      </c>
      <c r="X172" s="119" t="n">
        <f aca="false">SUMIFS(tabela_registros[VALOR],tabela_registros[MÊS],$AE$1,tabela_registros[DIA],reservafixaconsolidadodez[[#Headers],[20]],tabela_registros[REGISTRO],DADOS!$N$6,tabela_registros[TIPO],DADOS!$AJ$3,tabela_registros[CATEGORIA],reservafixaconsolidadodez[[#This Row],[ATUAL]])</f>
        <v>0</v>
      </c>
      <c r="Y172" s="119" t="n">
        <f aca="false">SUMIFS(tabela_registros[VALOR],tabela_registros[MÊS],$AE$1,tabela_registros[DIA],reservafixaconsolidadodez[[#Headers],[21]],tabela_registros[REGISTRO],DADOS!$N$6,tabela_registros[TIPO],DADOS!$AJ$3,tabela_registros[CATEGORIA],reservafixaconsolidadodez[[#This Row],[ATUAL]])</f>
        <v>0</v>
      </c>
      <c r="Z172" s="119" t="n">
        <f aca="false">SUMIFS(tabela_registros[VALOR],tabela_registros[MÊS],$AE$1,tabela_registros[DIA],reservafixaconsolidadodez[[#Headers],[22]],tabela_registros[REGISTRO],DADOS!$N$6,tabela_registros[TIPO],DADOS!$AJ$3,tabela_registros[CATEGORIA],reservafixaconsolidadodez[[#This Row],[ATUAL]])</f>
        <v>0</v>
      </c>
      <c r="AA172" s="119" t="n">
        <f aca="false">SUMIFS(tabela_registros[VALOR],tabela_registros[MÊS],$AE$1,tabela_registros[DIA],reservafixaconsolidadodez[[#Headers],[23]],tabela_registros[REGISTRO],DADOS!$N$6,tabela_registros[TIPO],DADOS!$AJ$3,tabela_registros[CATEGORIA],reservafixaconsolidadodez[[#This Row],[ATUAL]])</f>
        <v>0</v>
      </c>
      <c r="AB172" s="119" t="n">
        <f aca="false">SUMIFS(tabela_registros[VALOR],tabela_registros[MÊS],$AE$1,tabela_registros[DIA],reservafixaconsolidadodez[[#Headers],[24]],tabela_registros[REGISTRO],DADOS!$N$6,tabela_registros[TIPO],DADOS!$AJ$3,tabela_registros[CATEGORIA],reservafixaconsolidadodez[[#This Row],[ATUAL]])</f>
        <v>0</v>
      </c>
      <c r="AC172" s="119" t="n">
        <f aca="false">SUMIFS(tabela_registros[VALOR],tabela_registros[MÊS],$AE$1,tabela_registros[DIA],reservafixaconsolidadodez[[#Headers],[25]],tabela_registros[REGISTRO],DADOS!$N$6,tabela_registros[TIPO],DADOS!$AJ$3,tabela_registros[CATEGORIA],reservafixaconsolidadodez[[#This Row],[ATUAL]])</f>
        <v>0</v>
      </c>
      <c r="AD172" s="119" t="n">
        <f aca="false">SUMIFS(tabela_registros[VALOR],tabela_registros[MÊS],$AE$1,tabela_registros[DIA],reservafixaconsolidadodez[[#Headers],[26]],tabela_registros[REGISTRO],DADOS!$N$6,tabela_registros[TIPO],DADOS!$AJ$3,tabela_registros[CATEGORIA],reservafixaconsolidadodez[[#This Row],[ATUAL]])</f>
        <v>0</v>
      </c>
      <c r="AE172" s="119" t="n">
        <f aca="false">SUMIFS(tabela_registros[VALOR],tabela_registros[MÊS],$AE$1,tabela_registros[DIA],reservafixaconsolidadodez[[#Headers],[27]],tabela_registros[REGISTRO],DADOS!$N$6,tabela_registros[TIPO],DADOS!$AJ$3,tabela_registros[CATEGORIA],reservafixaconsolidadodez[[#This Row],[ATUAL]])</f>
        <v>0</v>
      </c>
      <c r="AF172" s="119" t="n">
        <f aca="false">SUMIFS(tabela_registros[VALOR],tabela_registros[MÊS],$AE$1,tabela_registros[DIA],reservafixaconsolidadodez[[#Headers],[28]],tabela_registros[REGISTRO],DADOS!$N$6,tabela_registros[TIPO],DADOS!$AJ$3,tabela_registros[CATEGORIA],reservafixaconsolidadodez[[#This Row],[ATUAL]])</f>
        <v>0</v>
      </c>
      <c r="AG172" s="119" t="n">
        <f aca="false">SUMIFS(tabela_registros[VALOR],tabela_registros[MÊS],$AE$1,tabela_registros[DIA],reservafixaconsolidadodez[[#Headers],[29]],tabela_registros[REGISTRO],DADOS!$N$6,tabela_registros[TIPO],DADOS!$AJ$3,tabela_registros[CATEGORIA],reservafixaconsolidadodez[[#This Row],[ATUAL]])</f>
        <v>0</v>
      </c>
      <c r="AH172" s="119" t="n">
        <f aca="false">SUMIFS(tabela_registros[VALOR],tabela_registros[MÊS],$AE$1,tabela_registros[DIA],reservafixaconsolidadodez[[#Headers],[30]],tabela_registros[REGISTRO],DADOS!$N$6,tabela_registros[TIPO],DADOS!$AJ$3,tabela_registros[CATEGORIA],reservafixaconsolidadodez[[#This Row],[ATUAL]])</f>
        <v>0</v>
      </c>
      <c r="AI172" s="217" t="n">
        <f aca="false">SUMIFS(tabela_registros[VALOR],tabela_registros[MÊS],$AE$1,tabela_registros[DIA],reservafixaconsolidadodez[[#Headers],[31]],tabela_registros[REGISTRO],DADOS!$N$6,tabela_registros[TIPO],DADOS!$AJ$3,tabela_registros[CATEGORIA],reservafixaconsolidadodez[[#This Row],[ATUAL]])</f>
        <v>0</v>
      </c>
      <c r="AJ172" s="149" t="n">
        <f aca="false">SUM(reservafixaconsolidadodez[[#This Row],[1]:[31]])</f>
        <v>0</v>
      </c>
      <c r="AK172" s="165"/>
    </row>
    <row r="173" customFormat="false" ht="19.5" hidden="false" customHeight="true" outlineLevel="0" collapsed="false">
      <c r="B173" s="143"/>
      <c r="C173" s="144" t="str">
        <f aca="false">DADOS!$AL$8</f>
        <v>📝 LC</v>
      </c>
      <c r="D173" s="145" t="str">
        <f aca="false">IF(reservafixaconsolidadodez[[#This Row],[TOTAL (R$)]]=0,"",IF(OR(reservafixaconsolidadodez[[#This Row],[TOTAL (R$)]]=LARGE($AJ$168:$AJ$177,1),reservafixaconsolidadodez[[#This Row],[TOTAL (R$)]]=LARGE($AJ$168:$AJ$177,2)),DADOS!$I$11,""))</f>
        <v/>
      </c>
      <c r="E173" s="148" t="n">
        <f aca="false">SUMIFS(tabela_registros[VALOR],tabela_registros[MÊS],$AE$1,tabela_registros[DIA],reservafixaconsolidadodez[[#Headers],[1]],tabela_registros[REGISTRO],DADOS!$N$6,tabela_registros[TIPO],DADOS!$AJ$3,tabela_registros[CATEGORIA],reservafixaconsolidadodez[[#This Row],[ATUAL]])</f>
        <v>0</v>
      </c>
      <c r="F173" s="119" t="n">
        <f aca="false">SUMIFS(tabela_registros[VALOR],tabela_registros[MÊS],$AE$1,tabela_registros[DIA],reservafixaconsolidadodez[[#Headers],[2]],tabela_registros[REGISTRO],DADOS!$N$6,tabela_registros[TIPO],DADOS!$AJ$3,tabela_registros[CATEGORIA],reservafixaconsolidadodez[[#This Row],[ATUAL]])</f>
        <v>0</v>
      </c>
      <c r="G173" s="119" t="n">
        <f aca="false">SUMIFS(tabela_registros[VALOR],tabela_registros[MÊS],$AE$1,tabela_registros[DIA],reservafixaconsolidadodez[[#Headers],[3]],tabela_registros[REGISTRO],DADOS!$N$6,tabela_registros[TIPO],DADOS!$AJ$3,tabela_registros[CATEGORIA],reservafixaconsolidadodez[[#This Row],[ATUAL]])</f>
        <v>0</v>
      </c>
      <c r="H173" s="119" t="n">
        <f aca="false">SUMIFS(tabela_registros[VALOR],tabela_registros[MÊS],$AE$1,tabela_registros[DIA],reservafixaconsolidadodez[[#Headers],[4]],tabela_registros[REGISTRO],DADOS!$N$6,tabela_registros[TIPO],DADOS!$AJ$3,tabela_registros[CATEGORIA],reservafixaconsolidadodez[[#This Row],[ATUAL]])</f>
        <v>0</v>
      </c>
      <c r="I173" s="119" t="n">
        <f aca="false">SUMIFS(tabela_registros[VALOR],tabela_registros[MÊS],$AE$1,tabela_registros[DIA],reservafixaconsolidadodez[[#Headers],[5]],tabela_registros[REGISTRO],DADOS!$N$6,tabela_registros[TIPO],DADOS!$AJ$3,tabela_registros[CATEGORIA],reservafixaconsolidadodez[[#This Row],[ATUAL]])</f>
        <v>0</v>
      </c>
      <c r="J173" s="119" t="n">
        <f aca="false">SUMIFS(tabela_registros[VALOR],tabela_registros[MÊS],$AE$1,tabela_registros[DIA],reservafixaconsolidadodez[[#Headers],[6]],tabela_registros[REGISTRO],DADOS!$N$6,tabela_registros[TIPO],DADOS!$AJ$3,tabela_registros[CATEGORIA],reservafixaconsolidadodez[[#This Row],[ATUAL]])</f>
        <v>0</v>
      </c>
      <c r="K173" s="119" t="n">
        <f aca="false">SUMIFS(tabela_registros[VALOR],tabela_registros[MÊS],$AE$1,tabela_registros[DIA],reservafixaconsolidadodez[[#Headers],[7]],tabela_registros[REGISTRO],DADOS!$N$6,tabela_registros[TIPO],DADOS!$AJ$3,tabela_registros[CATEGORIA],reservafixaconsolidadodez[[#This Row],[ATUAL]])</f>
        <v>0</v>
      </c>
      <c r="L173" s="119" t="n">
        <f aca="false">SUMIFS(tabela_registros[VALOR],tabela_registros[MÊS],$AE$1,tabela_registros[DIA],reservafixaconsolidadodez[[#Headers],[8]],tabela_registros[REGISTRO],DADOS!$N$6,tabela_registros[TIPO],DADOS!$AJ$3,tabela_registros[CATEGORIA],reservafixaconsolidadodez[[#This Row],[ATUAL]])</f>
        <v>0</v>
      </c>
      <c r="M173" s="119" t="n">
        <f aca="false">SUMIFS(tabela_registros[VALOR],tabela_registros[MÊS],$AE$1,tabela_registros[DIA],reservafixaconsolidadodez[[#Headers],[9]],tabela_registros[REGISTRO],DADOS!$N$6,tabela_registros[TIPO],DADOS!$AJ$3,tabela_registros[CATEGORIA],reservafixaconsolidadodez[[#This Row],[ATUAL]])</f>
        <v>0</v>
      </c>
      <c r="N173" s="119" t="n">
        <f aca="false">SUMIFS(tabela_registros[VALOR],tabela_registros[MÊS],$AE$1,tabela_registros[DIA],reservafixaconsolidadodez[[#Headers],[10]],tabela_registros[REGISTRO],DADOS!$N$6,tabela_registros[TIPO],DADOS!$AJ$3,tabela_registros[CATEGORIA],reservafixaconsolidadodez[[#This Row],[ATUAL]])</f>
        <v>0</v>
      </c>
      <c r="O173" s="119" t="n">
        <f aca="false">SUMIFS(tabela_registros[VALOR],tabela_registros[MÊS],$AE$1,tabela_registros[DIA],reservafixaconsolidadodez[[#Headers],[11]],tabela_registros[REGISTRO],DADOS!$N$6,tabela_registros[TIPO],DADOS!$AJ$3,tabela_registros[CATEGORIA],reservafixaconsolidadodez[[#This Row],[ATUAL]])</f>
        <v>0</v>
      </c>
      <c r="P173" s="119" t="n">
        <f aca="false">SUMIFS(tabela_registros[VALOR],tabela_registros[MÊS],$AE$1,tabela_registros[DIA],reservafixaconsolidadodez[[#Headers],[12]],tabela_registros[REGISTRO],DADOS!$N$6,tabela_registros[TIPO],DADOS!$AJ$3,tabela_registros[CATEGORIA],reservafixaconsolidadodez[[#This Row],[ATUAL]])</f>
        <v>0</v>
      </c>
      <c r="Q173" s="119" t="n">
        <f aca="false">SUMIFS(tabela_registros[VALOR],tabela_registros[MÊS],$AE$1,tabela_registros[DIA],reservafixaconsolidadodez[[#Headers],[13]],tabela_registros[REGISTRO],DADOS!$N$6,tabela_registros[TIPO],DADOS!$AJ$3,tabela_registros[CATEGORIA],reservafixaconsolidadodez[[#This Row],[ATUAL]])</f>
        <v>0</v>
      </c>
      <c r="R173" s="119" t="n">
        <f aca="false">SUMIFS(tabela_registros[VALOR],tabela_registros[MÊS],$AE$1,tabela_registros[DIA],reservafixaconsolidadodez[[#Headers],[14]],tabela_registros[REGISTRO],DADOS!$N$6,tabela_registros[TIPO],DADOS!$AJ$3,tabela_registros[CATEGORIA],reservafixaconsolidadodez[[#This Row],[ATUAL]])</f>
        <v>0</v>
      </c>
      <c r="S173" s="119" t="n">
        <f aca="false">SUMIFS(tabela_registros[VALOR],tabela_registros[MÊS],$AE$1,tabela_registros[DIA],reservafixaconsolidadodez[[#Headers],[15]],tabela_registros[REGISTRO],DADOS!$N$6,tabela_registros[TIPO],DADOS!$AJ$3,tabela_registros[CATEGORIA],reservafixaconsolidadodez[[#This Row],[ATUAL]])</f>
        <v>0</v>
      </c>
      <c r="T173" s="119" t="n">
        <f aca="false">SUMIFS(tabela_registros[VALOR],tabela_registros[MÊS],$AE$1,tabela_registros[DIA],reservafixaconsolidadodez[[#Headers],[16]],tabela_registros[REGISTRO],DADOS!$N$6,tabela_registros[TIPO],DADOS!$AJ$3,tabela_registros[CATEGORIA],reservafixaconsolidadodez[[#This Row],[ATUAL]])</f>
        <v>0</v>
      </c>
      <c r="U173" s="119" t="n">
        <f aca="false">SUMIFS(tabela_registros[VALOR],tabela_registros[MÊS],$AE$1,tabela_registros[DIA],reservafixaconsolidadodez[[#Headers],[17]],tabela_registros[REGISTRO],DADOS!$N$6,tabela_registros[TIPO],DADOS!$AJ$3,tabela_registros[CATEGORIA],reservafixaconsolidadodez[[#This Row],[ATUAL]])</f>
        <v>0</v>
      </c>
      <c r="V173" s="119" t="n">
        <f aca="false">SUMIFS(tabela_registros[VALOR],tabela_registros[MÊS],$AE$1,tabela_registros[DIA],reservafixaconsolidadodez[[#Headers],[18]],tabela_registros[REGISTRO],DADOS!$N$6,tabela_registros[TIPO],DADOS!$AJ$3,tabela_registros[CATEGORIA],reservafixaconsolidadodez[[#This Row],[ATUAL]])</f>
        <v>0</v>
      </c>
      <c r="W173" s="119" t="n">
        <f aca="false">SUMIFS(tabela_registros[VALOR],tabela_registros[MÊS],$AE$1,tabela_registros[DIA],reservafixaconsolidadodez[[#Headers],[19]],tabela_registros[REGISTRO],DADOS!$N$6,tabela_registros[TIPO],DADOS!$AJ$3,tabela_registros[CATEGORIA],reservafixaconsolidadodez[[#This Row],[ATUAL]])</f>
        <v>0</v>
      </c>
      <c r="X173" s="119" t="n">
        <f aca="false">SUMIFS(tabela_registros[VALOR],tabela_registros[MÊS],$AE$1,tabela_registros[DIA],reservafixaconsolidadodez[[#Headers],[20]],tabela_registros[REGISTRO],DADOS!$N$6,tabela_registros[TIPO],DADOS!$AJ$3,tabela_registros[CATEGORIA],reservafixaconsolidadodez[[#This Row],[ATUAL]])</f>
        <v>0</v>
      </c>
      <c r="Y173" s="119" t="n">
        <f aca="false">SUMIFS(tabela_registros[VALOR],tabela_registros[MÊS],$AE$1,tabela_registros[DIA],reservafixaconsolidadodez[[#Headers],[21]],tabela_registros[REGISTRO],DADOS!$N$6,tabela_registros[TIPO],DADOS!$AJ$3,tabela_registros[CATEGORIA],reservafixaconsolidadodez[[#This Row],[ATUAL]])</f>
        <v>0</v>
      </c>
      <c r="Z173" s="119" t="n">
        <f aca="false">SUMIFS(tabela_registros[VALOR],tabela_registros[MÊS],$AE$1,tabela_registros[DIA],reservafixaconsolidadodez[[#Headers],[22]],tabela_registros[REGISTRO],DADOS!$N$6,tabela_registros[TIPO],DADOS!$AJ$3,tabela_registros[CATEGORIA],reservafixaconsolidadodez[[#This Row],[ATUAL]])</f>
        <v>0</v>
      </c>
      <c r="AA173" s="119" t="n">
        <f aca="false">SUMIFS(tabela_registros[VALOR],tabela_registros[MÊS],$AE$1,tabela_registros[DIA],reservafixaconsolidadodez[[#Headers],[23]],tabela_registros[REGISTRO],DADOS!$N$6,tabela_registros[TIPO],DADOS!$AJ$3,tabela_registros[CATEGORIA],reservafixaconsolidadodez[[#This Row],[ATUAL]])</f>
        <v>0</v>
      </c>
      <c r="AB173" s="119" t="n">
        <f aca="false">SUMIFS(tabela_registros[VALOR],tabela_registros[MÊS],$AE$1,tabela_registros[DIA],reservafixaconsolidadodez[[#Headers],[24]],tabela_registros[REGISTRO],DADOS!$N$6,tabela_registros[TIPO],DADOS!$AJ$3,tabela_registros[CATEGORIA],reservafixaconsolidadodez[[#This Row],[ATUAL]])</f>
        <v>0</v>
      </c>
      <c r="AC173" s="119" t="n">
        <f aca="false">SUMIFS(tabela_registros[VALOR],tabela_registros[MÊS],$AE$1,tabela_registros[DIA],reservafixaconsolidadodez[[#Headers],[25]],tabela_registros[REGISTRO],DADOS!$N$6,tabela_registros[TIPO],DADOS!$AJ$3,tabela_registros[CATEGORIA],reservafixaconsolidadodez[[#This Row],[ATUAL]])</f>
        <v>0</v>
      </c>
      <c r="AD173" s="119" t="n">
        <f aca="false">SUMIFS(tabela_registros[VALOR],tabela_registros[MÊS],$AE$1,tabela_registros[DIA],reservafixaconsolidadodez[[#Headers],[26]],tabela_registros[REGISTRO],DADOS!$N$6,tabela_registros[TIPO],DADOS!$AJ$3,tabela_registros[CATEGORIA],reservafixaconsolidadodez[[#This Row],[ATUAL]])</f>
        <v>0</v>
      </c>
      <c r="AE173" s="119" t="n">
        <f aca="false">SUMIFS(tabela_registros[VALOR],tabela_registros[MÊS],$AE$1,tabela_registros[DIA],reservafixaconsolidadodez[[#Headers],[27]],tabela_registros[REGISTRO],DADOS!$N$6,tabela_registros[TIPO],DADOS!$AJ$3,tabela_registros[CATEGORIA],reservafixaconsolidadodez[[#This Row],[ATUAL]])</f>
        <v>0</v>
      </c>
      <c r="AF173" s="119" t="n">
        <f aca="false">SUMIFS(tabela_registros[VALOR],tabela_registros[MÊS],$AE$1,tabela_registros[DIA],reservafixaconsolidadodez[[#Headers],[28]],tabela_registros[REGISTRO],DADOS!$N$6,tabela_registros[TIPO],DADOS!$AJ$3,tabela_registros[CATEGORIA],reservafixaconsolidadodez[[#This Row],[ATUAL]])</f>
        <v>0</v>
      </c>
      <c r="AG173" s="119" t="n">
        <f aca="false">SUMIFS(tabela_registros[VALOR],tabela_registros[MÊS],$AE$1,tabela_registros[DIA],reservafixaconsolidadodez[[#Headers],[29]],tabela_registros[REGISTRO],DADOS!$N$6,tabela_registros[TIPO],DADOS!$AJ$3,tabela_registros[CATEGORIA],reservafixaconsolidadodez[[#This Row],[ATUAL]])</f>
        <v>0</v>
      </c>
      <c r="AH173" s="119" t="n">
        <f aca="false">SUMIFS(tabela_registros[VALOR],tabela_registros[MÊS],$AE$1,tabela_registros[DIA],reservafixaconsolidadodez[[#Headers],[30]],tabela_registros[REGISTRO],DADOS!$N$6,tabela_registros[TIPO],DADOS!$AJ$3,tabela_registros[CATEGORIA],reservafixaconsolidadodez[[#This Row],[ATUAL]])</f>
        <v>0</v>
      </c>
      <c r="AI173" s="217" t="n">
        <f aca="false">SUMIFS(tabela_registros[VALOR],tabela_registros[MÊS],$AE$1,tabela_registros[DIA],reservafixaconsolidadodez[[#Headers],[31]],tabela_registros[REGISTRO],DADOS!$N$6,tabela_registros[TIPO],DADOS!$AJ$3,tabela_registros[CATEGORIA],reservafixaconsolidadodez[[#This Row],[ATUAL]])</f>
        <v>0</v>
      </c>
      <c r="AJ173" s="149" t="n">
        <f aca="false">SUM(reservafixaconsolidadodez[[#This Row],[1]:[31]])</f>
        <v>0</v>
      </c>
      <c r="AK173" s="165"/>
    </row>
    <row r="174" customFormat="false" ht="19.5" hidden="false" customHeight="true" outlineLevel="0" collapsed="false">
      <c r="B174" s="143"/>
      <c r="C174" s="144" t="str">
        <f aca="false">DADOS!$AL$9</f>
        <v>📝 LCA</v>
      </c>
      <c r="D174" s="145" t="str">
        <f aca="false">IF(reservafixaconsolidadodez[[#This Row],[TOTAL (R$)]]=0,"",IF(OR(reservafixaconsolidadodez[[#This Row],[TOTAL (R$)]]=LARGE($AJ$168:$AJ$177,1),reservafixaconsolidadodez[[#This Row],[TOTAL (R$)]]=LARGE($AJ$168:$AJ$177,2)),DADOS!$I$11,""))</f>
        <v/>
      </c>
      <c r="E174" s="148" t="n">
        <f aca="false">SUMIFS(tabela_registros[VALOR],tabela_registros[MÊS],$AE$1,tabela_registros[DIA],reservafixaconsolidadodez[[#Headers],[1]],tabela_registros[REGISTRO],DADOS!$N$6,tabela_registros[TIPO],DADOS!$AJ$3,tabela_registros[CATEGORIA],reservafixaconsolidadodez[[#This Row],[ATUAL]])</f>
        <v>0</v>
      </c>
      <c r="F174" s="119" t="n">
        <f aca="false">SUMIFS(tabela_registros[VALOR],tabela_registros[MÊS],$AE$1,tabela_registros[DIA],reservafixaconsolidadodez[[#Headers],[2]],tabela_registros[REGISTRO],DADOS!$N$6,tabela_registros[TIPO],DADOS!$AJ$3,tabela_registros[CATEGORIA],reservafixaconsolidadodez[[#This Row],[ATUAL]])</f>
        <v>0</v>
      </c>
      <c r="G174" s="119" t="n">
        <f aca="false">SUMIFS(tabela_registros[VALOR],tabela_registros[MÊS],$AE$1,tabela_registros[DIA],reservafixaconsolidadodez[[#Headers],[3]],tabela_registros[REGISTRO],DADOS!$N$6,tabela_registros[TIPO],DADOS!$AJ$3,tabela_registros[CATEGORIA],reservafixaconsolidadodez[[#This Row],[ATUAL]])</f>
        <v>0</v>
      </c>
      <c r="H174" s="119" t="n">
        <f aca="false">SUMIFS(tabela_registros[VALOR],tabela_registros[MÊS],$AE$1,tabela_registros[DIA],reservafixaconsolidadodez[[#Headers],[4]],tabela_registros[REGISTRO],DADOS!$N$6,tabela_registros[TIPO],DADOS!$AJ$3,tabela_registros[CATEGORIA],reservafixaconsolidadodez[[#This Row],[ATUAL]])</f>
        <v>0</v>
      </c>
      <c r="I174" s="119" t="n">
        <f aca="false">SUMIFS(tabela_registros[VALOR],tabela_registros[MÊS],$AE$1,tabela_registros[DIA],reservafixaconsolidadodez[[#Headers],[5]],tabela_registros[REGISTRO],DADOS!$N$6,tabela_registros[TIPO],DADOS!$AJ$3,tabela_registros[CATEGORIA],reservafixaconsolidadodez[[#This Row],[ATUAL]])</f>
        <v>0</v>
      </c>
      <c r="J174" s="119" t="n">
        <f aca="false">SUMIFS(tabela_registros[VALOR],tabela_registros[MÊS],$AE$1,tabela_registros[DIA],reservafixaconsolidadodez[[#Headers],[6]],tabela_registros[REGISTRO],DADOS!$N$6,tabela_registros[TIPO],DADOS!$AJ$3,tabela_registros[CATEGORIA],reservafixaconsolidadodez[[#This Row],[ATUAL]])</f>
        <v>0</v>
      </c>
      <c r="K174" s="119" t="n">
        <f aca="false">SUMIFS(tabela_registros[VALOR],tabela_registros[MÊS],$AE$1,tabela_registros[DIA],reservafixaconsolidadodez[[#Headers],[7]],tabela_registros[REGISTRO],DADOS!$N$6,tabela_registros[TIPO],DADOS!$AJ$3,tabela_registros[CATEGORIA],reservafixaconsolidadodez[[#This Row],[ATUAL]])</f>
        <v>0</v>
      </c>
      <c r="L174" s="119" t="n">
        <f aca="false">SUMIFS(tabela_registros[VALOR],tabela_registros[MÊS],$AE$1,tabela_registros[DIA],reservafixaconsolidadodez[[#Headers],[8]],tabela_registros[REGISTRO],DADOS!$N$6,tabela_registros[TIPO],DADOS!$AJ$3,tabela_registros[CATEGORIA],reservafixaconsolidadodez[[#This Row],[ATUAL]])</f>
        <v>0</v>
      </c>
      <c r="M174" s="119" t="n">
        <f aca="false">SUMIFS(tabela_registros[VALOR],tabela_registros[MÊS],$AE$1,tabela_registros[DIA],reservafixaconsolidadodez[[#Headers],[9]],tabela_registros[REGISTRO],DADOS!$N$6,tabela_registros[TIPO],DADOS!$AJ$3,tabela_registros[CATEGORIA],reservafixaconsolidadodez[[#This Row],[ATUAL]])</f>
        <v>0</v>
      </c>
      <c r="N174" s="119" t="n">
        <f aca="false">SUMIFS(tabela_registros[VALOR],tabela_registros[MÊS],$AE$1,tabela_registros[DIA],reservafixaconsolidadodez[[#Headers],[10]],tabela_registros[REGISTRO],DADOS!$N$6,tabela_registros[TIPO],DADOS!$AJ$3,tabela_registros[CATEGORIA],reservafixaconsolidadodez[[#This Row],[ATUAL]])</f>
        <v>0</v>
      </c>
      <c r="O174" s="119" t="n">
        <f aca="false">SUMIFS(tabela_registros[VALOR],tabela_registros[MÊS],$AE$1,tabela_registros[DIA],reservafixaconsolidadodez[[#Headers],[11]],tabela_registros[REGISTRO],DADOS!$N$6,tabela_registros[TIPO],DADOS!$AJ$3,tabela_registros[CATEGORIA],reservafixaconsolidadodez[[#This Row],[ATUAL]])</f>
        <v>0</v>
      </c>
      <c r="P174" s="119" t="n">
        <f aca="false">SUMIFS(tabela_registros[VALOR],tabela_registros[MÊS],$AE$1,tabela_registros[DIA],reservafixaconsolidadodez[[#Headers],[12]],tabela_registros[REGISTRO],DADOS!$N$6,tabela_registros[TIPO],DADOS!$AJ$3,tabela_registros[CATEGORIA],reservafixaconsolidadodez[[#This Row],[ATUAL]])</f>
        <v>0</v>
      </c>
      <c r="Q174" s="119" t="n">
        <f aca="false">SUMIFS(tabela_registros[VALOR],tabela_registros[MÊS],$AE$1,tabela_registros[DIA],reservafixaconsolidadodez[[#Headers],[13]],tabela_registros[REGISTRO],DADOS!$N$6,tabela_registros[TIPO],DADOS!$AJ$3,tabela_registros[CATEGORIA],reservafixaconsolidadodez[[#This Row],[ATUAL]])</f>
        <v>0</v>
      </c>
      <c r="R174" s="119" t="n">
        <f aca="false">SUMIFS(tabela_registros[VALOR],tabela_registros[MÊS],$AE$1,tabela_registros[DIA],reservafixaconsolidadodez[[#Headers],[14]],tabela_registros[REGISTRO],DADOS!$N$6,tabela_registros[TIPO],DADOS!$AJ$3,tabela_registros[CATEGORIA],reservafixaconsolidadodez[[#This Row],[ATUAL]])</f>
        <v>0</v>
      </c>
      <c r="S174" s="119" t="n">
        <f aca="false">SUMIFS(tabela_registros[VALOR],tabela_registros[MÊS],$AE$1,tabela_registros[DIA],reservafixaconsolidadodez[[#Headers],[15]],tabela_registros[REGISTRO],DADOS!$N$6,tabela_registros[TIPO],DADOS!$AJ$3,tabela_registros[CATEGORIA],reservafixaconsolidadodez[[#This Row],[ATUAL]])</f>
        <v>0</v>
      </c>
      <c r="T174" s="119" t="n">
        <f aca="false">SUMIFS(tabela_registros[VALOR],tabela_registros[MÊS],$AE$1,tabela_registros[DIA],reservafixaconsolidadodez[[#Headers],[16]],tabela_registros[REGISTRO],DADOS!$N$6,tabela_registros[TIPO],DADOS!$AJ$3,tabela_registros[CATEGORIA],reservafixaconsolidadodez[[#This Row],[ATUAL]])</f>
        <v>0</v>
      </c>
      <c r="U174" s="119" t="n">
        <f aca="false">SUMIFS(tabela_registros[VALOR],tabela_registros[MÊS],$AE$1,tabela_registros[DIA],reservafixaconsolidadodez[[#Headers],[17]],tabela_registros[REGISTRO],DADOS!$N$6,tabela_registros[TIPO],DADOS!$AJ$3,tabela_registros[CATEGORIA],reservafixaconsolidadodez[[#This Row],[ATUAL]])</f>
        <v>0</v>
      </c>
      <c r="V174" s="119" t="n">
        <f aca="false">SUMIFS(tabela_registros[VALOR],tabela_registros[MÊS],$AE$1,tabela_registros[DIA],reservafixaconsolidadodez[[#Headers],[18]],tabela_registros[REGISTRO],DADOS!$N$6,tabela_registros[TIPO],DADOS!$AJ$3,tabela_registros[CATEGORIA],reservafixaconsolidadodez[[#This Row],[ATUAL]])</f>
        <v>0</v>
      </c>
      <c r="W174" s="119" t="n">
        <f aca="false">SUMIFS(tabela_registros[VALOR],tabela_registros[MÊS],$AE$1,tabela_registros[DIA],reservafixaconsolidadodez[[#Headers],[19]],tabela_registros[REGISTRO],DADOS!$N$6,tabela_registros[TIPO],DADOS!$AJ$3,tabela_registros[CATEGORIA],reservafixaconsolidadodez[[#This Row],[ATUAL]])</f>
        <v>0</v>
      </c>
      <c r="X174" s="119" t="n">
        <f aca="false">SUMIFS(tabela_registros[VALOR],tabela_registros[MÊS],$AE$1,tabela_registros[DIA],reservafixaconsolidadodez[[#Headers],[20]],tabela_registros[REGISTRO],DADOS!$N$6,tabela_registros[TIPO],DADOS!$AJ$3,tabela_registros[CATEGORIA],reservafixaconsolidadodez[[#This Row],[ATUAL]])</f>
        <v>0</v>
      </c>
      <c r="Y174" s="119" t="n">
        <f aca="false">SUMIFS(tabela_registros[VALOR],tabela_registros[MÊS],$AE$1,tabela_registros[DIA],reservafixaconsolidadodez[[#Headers],[21]],tabela_registros[REGISTRO],DADOS!$N$6,tabela_registros[TIPO],DADOS!$AJ$3,tabela_registros[CATEGORIA],reservafixaconsolidadodez[[#This Row],[ATUAL]])</f>
        <v>0</v>
      </c>
      <c r="Z174" s="119" t="n">
        <f aca="false">SUMIFS(tabela_registros[VALOR],tabela_registros[MÊS],$AE$1,tabela_registros[DIA],reservafixaconsolidadodez[[#Headers],[22]],tabela_registros[REGISTRO],DADOS!$N$6,tabela_registros[TIPO],DADOS!$AJ$3,tabela_registros[CATEGORIA],reservafixaconsolidadodez[[#This Row],[ATUAL]])</f>
        <v>0</v>
      </c>
      <c r="AA174" s="119" t="n">
        <f aca="false">SUMIFS(tabela_registros[VALOR],tabela_registros[MÊS],$AE$1,tabela_registros[DIA],reservafixaconsolidadodez[[#Headers],[23]],tabela_registros[REGISTRO],DADOS!$N$6,tabela_registros[TIPO],DADOS!$AJ$3,tabela_registros[CATEGORIA],reservafixaconsolidadodez[[#This Row],[ATUAL]])</f>
        <v>0</v>
      </c>
      <c r="AB174" s="119" t="n">
        <f aca="false">SUMIFS(tabela_registros[VALOR],tabela_registros[MÊS],$AE$1,tabela_registros[DIA],reservafixaconsolidadodez[[#Headers],[24]],tabela_registros[REGISTRO],DADOS!$N$6,tabela_registros[TIPO],DADOS!$AJ$3,tabela_registros[CATEGORIA],reservafixaconsolidadodez[[#This Row],[ATUAL]])</f>
        <v>0</v>
      </c>
      <c r="AC174" s="119" t="n">
        <f aca="false">SUMIFS(tabela_registros[VALOR],tabela_registros[MÊS],$AE$1,tabela_registros[DIA],reservafixaconsolidadodez[[#Headers],[25]],tabela_registros[REGISTRO],DADOS!$N$6,tabela_registros[TIPO],DADOS!$AJ$3,tabela_registros[CATEGORIA],reservafixaconsolidadodez[[#This Row],[ATUAL]])</f>
        <v>0</v>
      </c>
      <c r="AD174" s="119" t="n">
        <f aca="false">SUMIFS(tabela_registros[VALOR],tabela_registros[MÊS],$AE$1,tabela_registros[DIA],reservafixaconsolidadodez[[#Headers],[26]],tabela_registros[REGISTRO],DADOS!$N$6,tabela_registros[TIPO],DADOS!$AJ$3,tabela_registros[CATEGORIA],reservafixaconsolidadodez[[#This Row],[ATUAL]])</f>
        <v>0</v>
      </c>
      <c r="AE174" s="119" t="n">
        <f aca="false">SUMIFS(tabela_registros[VALOR],tabela_registros[MÊS],$AE$1,tabela_registros[DIA],reservafixaconsolidadodez[[#Headers],[27]],tabela_registros[REGISTRO],DADOS!$N$6,tabela_registros[TIPO],DADOS!$AJ$3,tabela_registros[CATEGORIA],reservafixaconsolidadodez[[#This Row],[ATUAL]])</f>
        <v>0</v>
      </c>
      <c r="AF174" s="119" t="n">
        <f aca="false">SUMIFS(tabela_registros[VALOR],tabela_registros[MÊS],$AE$1,tabela_registros[DIA],reservafixaconsolidadodez[[#Headers],[28]],tabela_registros[REGISTRO],DADOS!$N$6,tabela_registros[TIPO],DADOS!$AJ$3,tabela_registros[CATEGORIA],reservafixaconsolidadodez[[#This Row],[ATUAL]])</f>
        <v>0</v>
      </c>
      <c r="AG174" s="119" t="n">
        <f aca="false">SUMIFS(tabela_registros[VALOR],tabela_registros[MÊS],$AE$1,tabela_registros[DIA],reservafixaconsolidadodez[[#Headers],[29]],tabela_registros[REGISTRO],DADOS!$N$6,tabela_registros[TIPO],DADOS!$AJ$3,tabela_registros[CATEGORIA],reservafixaconsolidadodez[[#This Row],[ATUAL]])</f>
        <v>0</v>
      </c>
      <c r="AH174" s="119" t="n">
        <f aca="false">SUMIFS(tabela_registros[VALOR],tabela_registros[MÊS],$AE$1,tabela_registros[DIA],reservafixaconsolidadodez[[#Headers],[30]],tabela_registros[REGISTRO],DADOS!$N$6,tabela_registros[TIPO],DADOS!$AJ$3,tabela_registros[CATEGORIA],reservafixaconsolidadodez[[#This Row],[ATUAL]])</f>
        <v>0</v>
      </c>
      <c r="AI174" s="217" t="n">
        <f aca="false">SUMIFS(tabela_registros[VALOR],tabela_registros[MÊS],$AE$1,tabela_registros[DIA],reservafixaconsolidadodez[[#Headers],[31]],tabela_registros[REGISTRO],DADOS!$N$6,tabela_registros[TIPO],DADOS!$AJ$3,tabela_registros[CATEGORIA],reservafixaconsolidadodez[[#This Row],[ATUAL]])</f>
        <v>0</v>
      </c>
      <c r="AJ174" s="149" t="n">
        <f aca="false">SUM(reservafixaconsolidadodez[[#This Row],[1]:[31]])</f>
        <v>0</v>
      </c>
      <c r="AK174" s="165"/>
    </row>
    <row r="175" customFormat="false" ht="19.5" hidden="false" customHeight="true" outlineLevel="0" collapsed="false">
      <c r="B175" s="143"/>
      <c r="C175" s="144" t="str">
        <f aca="false">DADOS!$AL$10</f>
        <v>📝 LCI</v>
      </c>
      <c r="D175" s="145" t="str">
        <f aca="false">IF(reservafixaconsolidadodez[[#This Row],[TOTAL (R$)]]=0,"",IF(OR(reservafixaconsolidadodez[[#This Row],[TOTAL (R$)]]=LARGE($AJ$168:$AJ$177,1),reservafixaconsolidadodez[[#This Row],[TOTAL (R$)]]=LARGE($AJ$168:$AJ$177,2)),DADOS!$I$11,""))</f>
        <v/>
      </c>
      <c r="E175" s="148" t="n">
        <f aca="false">SUMIFS(tabela_registros[VALOR],tabela_registros[MÊS],$AE$1,tabela_registros[DIA],reservafixaconsolidadodez[[#Headers],[1]],tabela_registros[REGISTRO],DADOS!$N$6,tabela_registros[TIPO],DADOS!$AJ$3,tabela_registros[CATEGORIA],reservafixaconsolidadodez[[#This Row],[ATUAL]])</f>
        <v>0</v>
      </c>
      <c r="F175" s="119" t="n">
        <f aca="false">SUMIFS(tabela_registros[VALOR],tabela_registros[MÊS],$AE$1,tabela_registros[DIA],reservafixaconsolidadodez[[#Headers],[2]],tabela_registros[REGISTRO],DADOS!$N$6,tabela_registros[TIPO],DADOS!$AJ$3,tabela_registros[CATEGORIA],reservafixaconsolidadodez[[#This Row],[ATUAL]])</f>
        <v>0</v>
      </c>
      <c r="G175" s="119" t="n">
        <f aca="false">SUMIFS(tabela_registros[VALOR],tabela_registros[MÊS],$AE$1,tabela_registros[DIA],reservafixaconsolidadodez[[#Headers],[3]],tabela_registros[REGISTRO],DADOS!$N$6,tabela_registros[TIPO],DADOS!$AJ$3,tabela_registros[CATEGORIA],reservafixaconsolidadodez[[#This Row],[ATUAL]])</f>
        <v>0</v>
      </c>
      <c r="H175" s="119" t="n">
        <f aca="false">SUMIFS(tabela_registros[VALOR],tabela_registros[MÊS],$AE$1,tabela_registros[DIA],reservafixaconsolidadodez[[#Headers],[4]],tabela_registros[REGISTRO],DADOS!$N$6,tabela_registros[TIPO],DADOS!$AJ$3,tabela_registros[CATEGORIA],reservafixaconsolidadodez[[#This Row],[ATUAL]])</f>
        <v>0</v>
      </c>
      <c r="I175" s="119" t="n">
        <f aca="false">SUMIFS(tabela_registros[VALOR],tabela_registros[MÊS],$AE$1,tabela_registros[DIA],reservafixaconsolidadodez[[#Headers],[5]],tabela_registros[REGISTRO],DADOS!$N$6,tabela_registros[TIPO],DADOS!$AJ$3,tabela_registros[CATEGORIA],reservafixaconsolidadodez[[#This Row],[ATUAL]])</f>
        <v>0</v>
      </c>
      <c r="J175" s="119" t="n">
        <f aca="false">SUMIFS(tabela_registros[VALOR],tabela_registros[MÊS],$AE$1,tabela_registros[DIA],reservafixaconsolidadodez[[#Headers],[6]],tabela_registros[REGISTRO],DADOS!$N$6,tabela_registros[TIPO],DADOS!$AJ$3,tabela_registros[CATEGORIA],reservafixaconsolidadodez[[#This Row],[ATUAL]])</f>
        <v>0</v>
      </c>
      <c r="K175" s="119" t="n">
        <f aca="false">SUMIFS(tabela_registros[VALOR],tabela_registros[MÊS],$AE$1,tabela_registros[DIA],reservafixaconsolidadodez[[#Headers],[7]],tabela_registros[REGISTRO],DADOS!$N$6,tabela_registros[TIPO],DADOS!$AJ$3,tabela_registros[CATEGORIA],reservafixaconsolidadodez[[#This Row],[ATUAL]])</f>
        <v>0</v>
      </c>
      <c r="L175" s="119" t="n">
        <f aca="false">SUMIFS(tabela_registros[VALOR],tabela_registros[MÊS],$AE$1,tabela_registros[DIA],reservafixaconsolidadodez[[#Headers],[8]],tabela_registros[REGISTRO],DADOS!$N$6,tabela_registros[TIPO],DADOS!$AJ$3,tabela_registros[CATEGORIA],reservafixaconsolidadodez[[#This Row],[ATUAL]])</f>
        <v>0</v>
      </c>
      <c r="M175" s="119" t="n">
        <f aca="false">SUMIFS(tabela_registros[VALOR],tabela_registros[MÊS],$AE$1,tabela_registros[DIA],reservafixaconsolidadodez[[#Headers],[9]],tabela_registros[REGISTRO],DADOS!$N$6,tabela_registros[TIPO],DADOS!$AJ$3,tabela_registros[CATEGORIA],reservafixaconsolidadodez[[#This Row],[ATUAL]])</f>
        <v>0</v>
      </c>
      <c r="N175" s="119" t="n">
        <f aca="false">SUMIFS(tabela_registros[VALOR],tabela_registros[MÊS],$AE$1,tabela_registros[DIA],reservafixaconsolidadodez[[#Headers],[10]],tabela_registros[REGISTRO],DADOS!$N$6,tabela_registros[TIPO],DADOS!$AJ$3,tabela_registros[CATEGORIA],reservafixaconsolidadodez[[#This Row],[ATUAL]])</f>
        <v>0</v>
      </c>
      <c r="O175" s="119" t="n">
        <f aca="false">SUMIFS(tabela_registros[VALOR],tabela_registros[MÊS],$AE$1,tabela_registros[DIA],reservafixaconsolidadodez[[#Headers],[11]],tabela_registros[REGISTRO],DADOS!$N$6,tabela_registros[TIPO],DADOS!$AJ$3,tabela_registros[CATEGORIA],reservafixaconsolidadodez[[#This Row],[ATUAL]])</f>
        <v>0</v>
      </c>
      <c r="P175" s="119" t="n">
        <f aca="false">SUMIFS(tabela_registros[VALOR],tabela_registros[MÊS],$AE$1,tabela_registros[DIA],reservafixaconsolidadodez[[#Headers],[12]],tabela_registros[REGISTRO],DADOS!$N$6,tabela_registros[TIPO],DADOS!$AJ$3,tabela_registros[CATEGORIA],reservafixaconsolidadodez[[#This Row],[ATUAL]])</f>
        <v>0</v>
      </c>
      <c r="Q175" s="119" t="n">
        <f aca="false">SUMIFS(tabela_registros[VALOR],tabela_registros[MÊS],$AE$1,tabela_registros[DIA],reservafixaconsolidadodez[[#Headers],[13]],tabela_registros[REGISTRO],DADOS!$N$6,tabela_registros[TIPO],DADOS!$AJ$3,tabela_registros[CATEGORIA],reservafixaconsolidadodez[[#This Row],[ATUAL]])</f>
        <v>0</v>
      </c>
      <c r="R175" s="119" t="n">
        <f aca="false">SUMIFS(tabela_registros[VALOR],tabela_registros[MÊS],$AE$1,tabela_registros[DIA],reservafixaconsolidadodez[[#Headers],[14]],tabela_registros[REGISTRO],DADOS!$N$6,tabela_registros[TIPO],DADOS!$AJ$3,tabela_registros[CATEGORIA],reservafixaconsolidadodez[[#This Row],[ATUAL]])</f>
        <v>0</v>
      </c>
      <c r="S175" s="119" t="n">
        <f aca="false">SUMIFS(tabela_registros[VALOR],tabela_registros[MÊS],$AE$1,tabela_registros[DIA],reservafixaconsolidadodez[[#Headers],[15]],tabela_registros[REGISTRO],DADOS!$N$6,tabela_registros[TIPO],DADOS!$AJ$3,tabela_registros[CATEGORIA],reservafixaconsolidadodez[[#This Row],[ATUAL]])</f>
        <v>0</v>
      </c>
      <c r="T175" s="119" t="n">
        <f aca="false">SUMIFS(tabela_registros[VALOR],tabela_registros[MÊS],$AE$1,tabela_registros[DIA],reservafixaconsolidadodez[[#Headers],[16]],tabela_registros[REGISTRO],DADOS!$N$6,tabela_registros[TIPO],DADOS!$AJ$3,tabela_registros[CATEGORIA],reservafixaconsolidadodez[[#This Row],[ATUAL]])</f>
        <v>0</v>
      </c>
      <c r="U175" s="119" t="n">
        <f aca="false">SUMIFS(tabela_registros[VALOR],tabela_registros[MÊS],$AE$1,tabela_registros[DIA],reservafixaconsolidadodez[[#Headers],[17]],tabela_registros[REGISTRO],DADOS!$N$6,tabela_registros[TIPO],DADOS!$AJ$3,tabela_registros[CATEGORIA],reservafixaconsolidadodez[[#This Row],[ATUAL]])</f>
        <v>0</v>
      </c>
      <c r="V175" s="119" t="n">
        <f aca="false">SUMIFS(tabela_registros[VALOR],tabela_registros[MÊS],$AE$1,tabela_registros[DIA],reservafixaconsolidadodez[[#Headers],[18]],tabela_registros[REGISTRO],DADOS!$N$6,tabela_registros[TIPO],DADOS!$AJ$3,tabela_registros[CATEGORIA],reservafixaconsolidadodez[[#This Row],[ATUAL]])</f>
        <v>0</v>
      </c>
      <c r="W175" s="119" t="n">
        <f aca="false">SUMIFS(tabela_registros[VALOR],tabela_registros[MÊS],$AE$1,tabela_registros[DIA],reservafixaconsolidadodez[[#Headers],[19]],tabela_registros[REGISTRO],DADOS!$N$6,tabela_registros[TIPO],DADOS!$AJ$3,tabela_registros[CATEGORIA],reservafixaconsolidadodez[[#This Row],[ATUAL]])</f>
        <v>0</v>
      </c>
      <c r="X175" s="119" t="n">
        <f aca="false">SUMIFS(tabela_registros[VALOR],tabela_registros[MÊS],$AE$1,tabela_registros[DIA],reservafixaconsolidadodez[[#Headers],[20]],tabela_registros[REGISTRO],DADOS!$N$6,tabela_registros[TIPO],DADOS!$AJ$3,tabela_registros[CATEGORIA],reservafixaconsolidadodez[[#This Row],[ATUAL]])</f>
        <v>0</v>
      </c>
      <c r="Y175" s="119" t="n">
        <f aca="false">SUMIFS(tabela_registros[VALOR],tabela_registros[MÊS],$AE$1,tabela_registros[DIA],reservafixaconsolidadodez[[#Headers],[21]],tabela_registros[REGISTRO],DADOS!$N$6,tabela_registros[TIPO],DADOS!$AJ$3,tabela_registros[CATEGORIA],reservafixaconsolidadodez[[#This Row],[ATUAL]])</f>
        <v>0</v>
      </c>
      <c r="Z175" s="119" t="n">
        <f aca="false">SUMIFS(tabela_registros[VALOR],tabela_registros[MÊS],$AE$1,tabela_registros[DIA],reservafixaconsolidadodez[[#Headers],[22]],tabela_registros[REGISTRO],DADOS!$N$6,tabela_registros[TIPO],DADOS!$AJ$3,tabela_registros[CATEGORIA],reservafixaconsolidadodez[[#This Row],[ATUAL]])</f>
        <v>0</v>
      </c>
      <c r="AA175" s="119" t="n">
        <f aca="false">SUMIFS(tabela_registros[VALOR],tabela_registros[MÊS],$AE$1,tabela_registros[DIA],reservafixaconsolidadodez[[#Headers],[23]],tabela_registros[REGISTRO],DADOS!$N$6,tabela_registros[TIPO],DADOS!$AJ$3,tabela_registros[CATEGORIA],reservafixaconsolidadodez[[#This Row],[ATUAL]])</f>
        <v>0</v>
      </c>
      <c r="AB175" s="119" t="n">
        <f aca="false">SUMIFS(tabela_registros[VALOR],tabela_registros[MÊS],$AE$1,tabela_registros[DIA],reservafixaconsolidadodez[[#Headers],[24]],tabela_registros[REGISTRO],DADOS!$N$6,tabela_registros[TIPO],DADOS!$AJ$3,tabela_registros[CATEGORIA],reservafixaconsolidadodez[[#This Row],[ATUAL]])</f>
        <v>0</v>
      </c>
      <c r="AC175" s="119" t="n">
        <f aca="false">SUMIFS(tabela_registros[VALOR],tabela_registros[MÊS],$AE$1,tabela_registros[DIA],reservafixaconsolidadodez[[#Headers],[25]],tabela_registros[REGISTRO],DADOS!$N$6,tabela_registros[TIPO],DADOS!$AJ$3,tabela_registros[CATEGORIA],reservafixaconsolidadodez[[#This Row],[ATUAL]])</f>
        <v>0</v>
      </c>
      <c r="AD175" s="119" t="n">
        <f aca="false">SUMIFS(tabela_registros[VALOR],tabela_registros[MÊS],$AE$1,tabela_registros[DIA],reservafixaconsolidadodez[[#Headers],[26]],tabela_registros[REGISTRO],DADOS!$N$6,tabela_registros[TIPO],DADOS!$AJ$3,tabela_registros[CATEGORIA],reservafixaconsolidadodez[[#This Row],[ATUAL]])</f>
        <v>0</v>
      </c>
      <c r="AE175" s="119" t="n">
        <f aca="false">SUMIFS(tabela_registros[VALOR],tabela_registros[MÊS],$AE$1,tabela_registros[DIA],reservafixaconsolidadodez[[#Headers],[27]],tabela_registros[REGISTRO],DADOS!$N$6,tabela_registros[TIPO],DADOS!$AJ$3,tabela_registros[CATEGORIA],reservafixaconsolidadodez[[#This Row],[ATUAL]])</f>
        <v>0</v>
      </c>
      <c r="AF175" s="119" t="n">
        <f aca="false">SUMIFS(tabela_registros[VALOR],tabela_registros[MÊS],$AE$1,tabela_registros[DIA],reservafixaconsolidadodez[[#Headers],[28]],tabela_registros[REGISTRO],DADOS!$N$6,tabela_registros[TIPO],DADOS!$AJ$3,tabela_registros[CATEGORIA],reservafixaconsolidadodez[[#This Row],[ATUAL]])</f>
        <v>0</v>
      </c>
      <c r="AG175" s="119" t="n">
        <f aca="false">SUMIFS(tabela_registros[VALOR],tabela_registros[MÊS],$AE$1,tabela_registros[DIA],reservafixaconsolidadodez[[#Headers],[29]],tabela_registros[REGISTRO],DADOS!$N$6,tabela_registros[TIPO],DADOS!$AJ$3,tabela_registros[CATEGORIA],reservafixaconsolidadodez[[#This Row],[ATUAL]])</f>
        <v>0</v>
      </c>
      <c r="AH175" s="119" t="n">
        <f aca="false">SUMIFS(tabela_registros[VALOR],tabela_registros[MÊS],$AE$1,tabela_registros[DIA],reservafixaconsolidadodez[[#Headers],[30]],tabela_registros[REGISTRO],DADOS!$N$6,tabela_registros[TIPO],DADOS!$AJ$3,tabela_registros[CATEGORIA],reservafixaconsolidadodez[[#This Row],[ATUAL]])</f>
        <v>0</v>
      </c>
      <c r="AI175" s="217" t="n">
        <f aca="false">SUMIFS(tabela_registros[VALOR],tabela_registros[MÊS],$AE$1,tabela_registros[DIA],reservafixaconsolidadodez[[#Headers],[31]],tabela_registros[REGISTRO],DADOS!$N$6,tabela_registros[TIPO],DADOS!$AJ$3,tabela_registros[CATEGORIA],reservafixaconsolidadodez[[#This Row],[ATUAL]])</f>
        <v>0</v>
      </c>
      <c r="AJ175" s="149" t="n">
        <f aca="false">SUM(reservafixaconsolidadodez[[#This Row],[1]:[31]])</f>
        <v>0</v>
      </c>
      <c r="AK175" s="165"/>
    </row>
    <row r="176" customFormat="false" ht="19.5" hidden="false" customHeight="true" outlineLevel="0" collapsed="false">
      <c r="B176" s="143"/>
      <c r="C176" s="144" t="str">
        <f aca="false">DADOS!$AL$11</f>
        <v>📝 TESOURO DIRETO</v>
      </c>
      <c r="D176" s="145" t="str">
        <f aca="false">IF(reservafixaconsolidadodez[[#This Row],[TOTAL (R$)]]=0,"",IF(OR(reservafixaconsolidadodez[[#This Row],[TOTAL (R$)]]=LARGE($AJ$168:$AJ$177,1),reservafixaconsolidadodez[[#This Row],[TOTAL (R$)]]=LARGE($AJ$168:$AJ$177,2)),DADOS!$I$11,""))</f>
        <v/>
      </c>
      <c r="E176" s="148" t="n">
        <f aca="false">SUMIFS(tabela_registros[VALOR],tabela_registros[MÊS],$AE$1,tabela_registros[DIA],reservafixaconsolidadodez[[#Headers],[1]],tabela_registros[REGISTRO],DADOS!$N$6,tabela_registros[TIPO],DADOS!$AJ$3,tabela_registros[CATEGORIA],reservafixaconsolidadodez[[#This Row],[ATUAL]])</f>
        <v>0</v>
      </c>
      <c r="F176" s="119" t="n">
        <f aca="false">SUMIFS(tabela_registros[VALOR],tabela_registros[MÊS],$AE$1,tabela_registros[DIA],reservafixaconsolidadodez[[#Headers],[2]],tabela_registros[REGISTRO],DADOS!$N$6,tabela_registros[TIPO],DADOS!$AJ$3,tabela_registros[CATEGORIA],reservafixaconsolidadodez[[#This Row],[ATUAL]])</f>
        <v>0</v>
      </c>
      <c r="G176" s="119" t="n">
        <f aca="false">SUMIFS(tabela_registros[VALOR],tabela_registros[MÊS],$AE$1,tabela_registros[DIA],reservafixaconsolidadodez[[#Headers],[3]],tabela_registros[REGISTRO],DADOS!$N$6,tabela_registros[TIPO],DADOS!$AJ$3,tabela_registros[CATEGORIA],reservafixaconsolidadodez[[#This Row],[ATUAL]])</f>
        <v>0</v>
      </c>
      <c r="H176" s="119" t="n">
        <f aca="false">SUMIFS(tabela_registros[VALOR],tabela_registros[MÊS],$AE$1,tabela_registros[DIA],reservafixaconsolidadodez[[#Headers],[4]],tabela_registros[REGISTRO],DADOS!$N$6,tabela_registros[TIPO],DADOS!$AJ$3,tabela_registros[CATEGORIA],reservafixaconsolidadodez[[#This Row],[ATUAL]])</f>
        <v>0</v>
      </c>
      <c r="I176" s="119" t="n">
        <f aca="false">SUMIFS(tabela_registros[VALOR],tabela_registros[MÊS],$AE$1,tabela_registros[DIA],reservafixaconsolidadodez[[#Headers],[5]],tabela_registros[REGISTRO],DADOS!$N$6,tabela_registros[TIPO],DADOS!$AJ$3,tabela_registros[CATEGORIA],reservafixaconsolidadodez[[#This Row],[ATUAL]])</f>
        <v>0</v>
      </c>
      <c r="J176" s="119" t="n">
        <f aca="false">SUMIFS(tabela_registros[VALOR],tabela_registros[MÊS],$AE$1,tabela_registros[DIA],reservafixaconsolidadodez[[#Headers],[6]],tabela_registros[REGISTRO],DADOS!$N$6,tabela_registros[TIPO],DADOS!$AJ$3,tabela_registros[CATEGORIA],reservafixaconsolidadodez[[#This Row],[ATUAL]])</f>
        <v>0</v>
      </c>
      <c r="K176" s="119" t="n">
        <f aca="false">SUMIFS(tabela_registros[VALOR],tabela_registros[MÊS],$AE$1,tabela_registros[DIA],reservafixaconsolidadodez[[#Headers],[7]],tabela_registros[REGISTRO],DADOS!$N$6,tabela_registros[TIPO],DADOS!$AJ$3,tabela_registros[CATEGORIA],reservafixaconsolidadodez[[#This Row],[ATUAL]])</f>
        <v>0</v>
      </c>
      <c r="L176" s="119" t="n">
        <f aca="false">SUMIFS(tabela_registros[VALOR],tabela_registros[MÊS],$AE$1,tabela_registros[DIA],reservafixaconsolidadodez[[#Headers],[8]],tabela_registros[REGISTRO],DADOS!$N$6,tabela_registros[TIPO],DADOS!$AJ$3,tabela_registros[CATEGORIA],reservafixaconsolidadodez[[#This Row],[ATUAL]])</f>
        <v>0</v>
      </c>
      <c r="M176" s="119" t="n">
        <f aca="false">SUMIFS(tabela_registros[VALOR],tabela_registros[MÊS],$AE$1,tabela_registros[DIA],reservafixaconsolidadodez[[#Headers],[9]],tabela_registros[REGISTRO],DADOS!$N$6,tabela_registros[TIPO],DADOS!$AJ$3,tabela_registros[CATEGORIA],reservafixaconsolidadodez[[#This Row],[ATUAL]])</f>
        <v>0</v>
      </c>
      <c r="N176" s="119" t="n">
        <f aca="false">SUMIFS(tabela_registros[VALOR],tabela_registros[MÊS],$AE$1,tabela_registros[DIA],reservafixaconsolidadodez[[#Headers],[10]],tabela_registros[REGISTRO],DADOS!$N$6,tabela_registros[TIPO],DADOS!$AJ$3,tabela_registros[CATEGORIA],reservafixaconsolidadodez[[#This Row],[ATUAL]])</f>
        <v>0</v>
      </c>
      <c r="O176" s="119" t="n">
        <f aca="false">SUMIFS(tabela_registros[VALOR],tabela_registros[MÊS],$AE$1,tabela_registros[DIA],reservafixaconsolidadodez[[#Headers],[11]],tabela_registros[REGISTRO],DADOS!$N$6,tabela_registros[TIPO],DADOS!$AJ$3,tabela_registros[CATEGORIA],reservafixaconsolidadodez[[#This Row],[ATUAL]])</f>
        <v>0</v>
      </c>
      <c r="P176" s="119" t="n">
        <f aca="false">SUMIFS(tabela_registros[VALOR],tabela_registros[MÊS],$AE$1,tabela_registros[DIA],reservafixaconsolidadodez[[#Headers],[12]],tabela_registros[REGISTRO],DADOS!$N$6,tabela_registros[TIPO],DADOS!$AJ$3,tabela_registros[CATEGORIA],reservafixaconsolidadodez[[#This Row],[ATUAL]])</f>
        <v>0</v>
      </c>
      <c r="Q176" s="119" t="n">
        <f aca="false">SUMIFS(tabela_registros[VALOR],tabela_registros[MÊS],$AE$1,tabela_registros[DIA],reservafixaconsolidadodez[[#Headers],[13]],tabela_registros[REGISTRO],DADOS!$N$6,tabela_registros[TIPO],DADOS!$AJ$3,tabela_registros[CATEGORIA],reservafixaconsolidadodez[[#This Row],[ATUAL]])</f>
        <v>0</v>
      </c>
      <c r="R176" s="119" t="n">
        <f aca="false">SUMIFS(tabela_registros[VALOR],tabela_registros[MÊS],$AE$1,tabela_registros[DIA],reservafixaconsolidadodez[[#Headers],[14]],tabela_registros[REGISTRO],DADOS!$N$6,tabela_registros[TIPO],DADOS!$AJ$3,tabela_registros[CATEGORIA],reservafixaconsolidadodez[[#This Row],[ATUAL]])</f>
        <v>0</v>
      </c>
      <c r="S176" s="119" t="n">
        <f aca="false">SUMIFS(tabela_registros[VALOR],tabela_registros[MÊS],$AE$1,tabela_registros[DIA],reservafixaconsolidadodez[[#Headers],[15]],tabela_registros[REGISTRO],DADOS!$N$6,tabela_registros[TIPO],DADOS!$AJ$3,tabela_registros[CATEGORIA],reservafixaconsolidadodez[[#This Row],[ATUAL]])</f>
        <v>0</v>
      </c>
      <c r="T176" s="119" t="n">
        <f aca="false">SUMIFS(tabela_registros[VALOR],tabela_registros[MÊS],$AE$1,tabela_registros[DIA],reservafixaconsolidadodez[[#Headers],[16]],tabela_registros[REGISTRO],DADOS!$N$6,tabela_registros[TIPO],DADOS!$AJ$3,tabela_registros[CATEGORIA],reservafixaconsolidadodez[[#This Row],[ATUAL]])</f>
        <v>0</v>
      </c>
      <c r="U176" s="119" t="n">
        <f aca="false">SUMIFS(tabela_registros[VALOR],tabela_registros[MÊS],$AE$1,tabela_registros[DIA],reservafixaconsolidadodez[[#Headers],[17]],tabela_registros[REGISTRO],DADOS!$N$6,tabela_registros[TIPO],DADOS!$AJ$3,tabela_registros[CATEGORIA],reservafixaconsolidadodez[[#This Row],[ATUAL]])</f>
        <v>0</v>
      </c>
      <c r="V176" s="119" t="n">
        <f aca="false">SUMIFS(tabela_registros[VALOR],tabela_registros[MÊS],$AE$1,tabela_registros[DIA],reservafixaconsolidadodez[[#Headers],[18]],tabela_registros[REGISTRO],DADOS!$N$6,tabela_registros[TIPO],DADOS!$AJ$3,tabela_registros[CATEGORIA],reservafixaconsolidadodez[[#This Row],[ATUAL]])</f>
        <v>0</v>
      </c>
      <c r="W176" s="119" t="n">
        <f aca="false">SUMIFS(tabela_registros[VALOR],tabela_registros[MÊS],$AE$1,tabela_registros[DIA],reservafixaconsolidadodez[[#Headers],[19]],tabela_registros[REGISTRO],DADOS!$N$6,tabela_registros[TIPO],DADOS!$AJ$3,tabela_registros[CATEGORIA],reservafixaconsolidadodez[[#This Row],[ATUAL]])</f>
        <v>0</v>
      </c>
      <c r="X176" s="119" t="n">
        <f aca="false">SUMIFS(tabela_registros[VALOR],tabela_registros[MÊS],$AE$1,tabela_registros[DIA],reservafixaconsolidadodez[[#Headers],[20]],tabela_registros[REGISTRO],DADOS!$N$6,tabela_registros[TIPO],DADOS!$AJ$3,tabela_registros[CATEGORIA],reservafixaconsolidadodez[[#This Row],[ATUAL]])</f>
        <v>0</v>
      </c>
      <c r="Y176" s="119" t="n">
        <f aca="false">SUMIFS(tabela_registros[VALOR],tabela_registros[MÊS],$AE$1,tabela_registros[DIA],reservafixaconsolidadodez[[#Headers],[21]],tabela_registros[REGISTRO],DADOS!$N$6,tabela_registros[TIPO],DADOS!$AJ$3,tabela_registros[CATEGORIA],reservafixaconsolidadodez[[#This Row],[ATUAL]])</f>
        <v>0</v>
      </c>
      <c r="Z176" s="119" t="n">
        <f aca="false">SUMIFS(tabela_registros[VALOR],tabela_registros[MÊS],$AE$1,tabela_registros[DIA],reservafixaconsolidadodez[[#Headers],[22]],tabela_registros[REGISTRO],DADOS!$N$6,tabela_registros[TIPO],DADOS!$AJ$3,tabela_registros[CATEGORIA],reservafixaconsolidadodez[[#This Row],[ATUAL]])</f>
        <v>0</v>
      </c>
      <c r="AA176" s="119" t="n">
        <f aca="false">SUMIFS(tabela_registros[VALOR],tabela_registros[MÊS],$AE$1,tabela_registros[DIA],reservafixaconsolidadodez[[#Headers],[23]],tabela_registros[REGISTRO],DADOS!$N$6,tabela_registros[TIPO],DADOS!$AJ$3,tabela_registros[CATEGORIA],reservafixaconsolidadodez[[#This Row],[ATUAL]])</f>
        <v>0</v>
      </c>
      <c r="AB176" s="119" t="n">
        <f aca="false">SUMIFS(tabela_registros[VALOR],tabela_registros[MÊS],$AE$1,tabela_registros[DIA],reservafixaconsolidadodez[[#Headers],[24]],tabela_registros[REGISTRO],DADOS!$N$6,tabela_registros[TIPO],DADOS!$AJ$3,tabela_registros[CATEGORIA],reservafixaconsolidadodez[[#This Row],[ATUAL]])</f>
        <v>0</v>
      </c>
      <c r="AC176" s="119" t="n">
        <f aca="false">SUMIFS(tabela_registros[VALOR],tabela_registros[MÊS],$AE$1,tabela_registros[DIA],reservafixaconsolidadodez[[#Headers],[25]],tabela_registros[REGISTRO],DADOS!$N$6,tabela_registros[TIPO],DADOS!$AJ$3,tabela_registros[CATEGORIA],reservafixaconsolidadodez[[#This Row],[ATUAL]])</f>
        <v>0</v>
      </c>
      <c r="AD176" s="119" t="n">
        <f aca="false">SUMIFS(tabela_registros[VALOR],tabela_registros[MÊS],$AE$1,tabela_registros[DIA],reservafixaconsolidadodez[[#Headers],[26]],tabela_registros[REGISTRO],DADOS!$N$6,tabela_registros[TIPO],DADOS!$AJ$3,tabela_registros[CATEGORIA],reservafixaconsolidadodez[[#This Row],[ATUAL]])</f>
        <v>0</v>
      </c>
      <c r="AE176" s="119" t="n">
        <f aca="false">SUMIFS(tabela_registros[VALOR],tabela_registros[MÊS],$AE$1,tabela_registros[DIA],reservafixaconsolidadodez[[#Headers],[27]],tabela_registros[REGISTRO],DADOS!$N$6,tabela_registros[TIPO],DADOS!$AJ$3,tabela_registros[CATEGORIA],reservafixaconsolidadodez[[#This Row],[ATUAL]])</f>
        <v>0</v>
      </c>
      <c r="AF176" s="119" t="n">
        <f aca="false">SUMIFS(tabela_registros[VALOR],tabela_registros[MÊS],$AE$1,tabela_registros[DIA],reservafixaconsolidadodez[[#Headers],[28]],tabela_registros[REGISTRO],DADOS!$N$6,tabela_registros[TIPO],DADOS!$AJ$3,tabela_registros[CATEGORIA],reservafixaconsolidadodez[[#This Row],[ATUAL]])</f>
        <v>0</v>
      </c>
      <c r="AG176" s="119" t="n">
        <f aca="false">SUMIFS(tabela_registros[VALOR],tabela_registros[MÊS],$AE$1,tabela_registros[DIA],reservafixaconsolidadodez[[#Headers],[29]],tabela_registros[REGISTRO],DADOS!$N$6,tabela_registros[TIPO],DADOS!$AJ$3,tabela_registros[CATEGORIA],reservafixaconsolidadodez[[#This Row],[ATUAL]])</f>
        <v>0</v>
      </c>
      <c r="AH176" s="119" t="n">
        <f aca="false">SUMIFS(tabela_registros[VALOR],tabela_registros[MÊS],$AE$1,tabela_registros[DIA],reservafixaconsolidadodez[[#Headers],[30]],tabela_registros[REGISTRO],DADOS!$N$6,tabela_registros[TIPO],DADOS!$AJ$3,tabela_registros[CATEGORIA],reservafixaconsolidadodez[[#This Row],[ATUAL]])</f>
        <v>0</v>
      </c>
      <c r="AI176" s="217" t="n">
        <f aca="false">SUMIFS(tabela_registros[VALOR],tabela_registros[MÊS],$AE$1,tabela_registros[DIA],reservafixaconsolidadodez[[#Headers],[31]],tabela_registros[REGISTRO],DADOS!$N$6,tabela_registros[TIPO],DADOS!$AJ$3,tabela_registros[CATEGORIA],reservafixaconsolidadodez[[#This Row],[ATUAL]])</f>
        <v>0</v>
      </c>
      <c r="AJ176" s="149" t="n">
        <f aca="false">SUM(reservafixaconsolidadodez[[#This Row],[1]:[31]])</f>
        <v>0</v>
      </c>
      <c r="AK176" s="165"/>
    </row>
    <row r="177" customFormat="false" ht="19.5" hidden="false" customHeight="true" outlineLevel="0" collapsed="false">
      <c r="B177" s="143"/>
      <c r="C177" s="144" t="str">
        <f aca="false">DADOS!$AL$12</f>
        <v>📎 OUTROS</v>
      </c>
      <c r="D177" s="145" t="str">
        <f aca="false">IF(reservafixaconsolidadodez[[#This Row],[TOTAL (R$)]]=0,"",IF(OR(reservafixaconsolidadodez[[#This Row],[TOTAL (R$)]]=LARGE($AJ$168:$AJ$177,1),reservafixaconsolidadodez[[#This Row],[TOTAL (R$)]]=LARGE($AJ$168:$AJ$177,2)),DADOS!$I$11,""))</f>
        <v/>
      </c>
      <c r="E177" s="148" t="n">
        <f aca="false">SUMIFS(tabela_registros[VALOR],tabela_registros[MÊS],$AE$1,tabela_registros[DIA],reservafixaconsolidadodez[[#Headers],[1]],tabela_registros[REGISTRO],DADOS!$N$6,tabela_registros[TIPO],DADOS!$AJ$3,tabela_registros[CATEGORIA],reservafixaconsolidadodez[[#This Row],[ATUAL]])</f>
        <v>0</v>
      </c>
      <c r="F177" s="119" t="n">
        <f aca="false">SUMIFS(tabela_registros[VALOR],tabela_registros[MÊS],$AE$1,tabela_registros[DIA],reservafixaconsolidadodez[[#Headers],[2]],tabela_registros[REGISTRO],DADOS!$N$6,tabela_registros[TIPO],DADOS!$AJ$3,tabela_registros[CATEGORIA],reservafixaconsolidadodez[[#This Row],[ATUAL]])</f>
        <v>0</v>
      </c>
      <c r="G177" s="119" t="n">
        <f aca="false">SUMIFS(tabela_registros[VALOR],tabela_registros[MÊS],$AE$1,tabela_registros[DIA],reservafixaconsolidadodez[[#Headers],[3]],tabela_registros[REGISTRO],DADOS!$N$6,tabela_registros[TIPO],DADOS!$AJ$3,tabela_registros[CATEGORIA],reservafixaconsolidadodez[[#This Row],[ATUAL]])</f>
        <v>0</v>
      </c>
      <c r="H177" s="119" t="n">
        <f aca="false">SUMIFS(tabela_registros[VALOR],tabela_registros[MÊS],$AE$1,tabela_registros[DIA],reservafixaconsolidadodez[[#Headers],[4]],tabela_registros[REGISTRO],DADOS!$N$6,tabela_registros[TIPO],DADOS!$AJ$3,tabela_registros[CATEGORIA],reservafixaconsolidadodez[[#This Row],[ATUAL]])</f>
        <v>0</v>
      </c>
      <c r="I177" s="119" t="n">
        <f aca="false">SUMIFS(tabela_registros[VALOR],tabela_registros[MÊS],$AE$1,tabela_registros[DIA],reservafixaconsolidadodez[[#Headers],[5]],tabela_registros[REGISTRO],DADOS!$N$6,tabela_registros[TIPO],DADOS!$AJ$3,tabela_registros[CATEGORIA],reservafixaconsolidadodez[[#This Row],[ATUAL]])</f>
        <v>0</v>
      </c>
      <c r="J177" s="119" t="n">
        <f aca="false">SUMIFS(tabela_registros[VALOR],tabela_registros[MÊS],$AE$1,tabela_registros[DIA],reservafixaconsolidadodez[[#Headers],[6]],tabela_registros[REGISTRO],DADOS!$N$6,tabela_registros[TIPO],DADOS!$AJ$3,tabela_registros[CATEGORIA],reservafixaconsolidadodez[[#This Row],[ATUAL]])</f>
        <v>0</v>
      </c>
      <c r="K177" s="119" t="n">
        <f aca="false">SUMIFS(tabela_registros[VALOR],tabela_registros[MÊS],$AE$1,tabela_registros[DIA],reservafixaconsolidadodez[[#Headers],[7]],tabela_registros[REGISTRO],DADOS!$N$6,tabela_registros[TIPO],DADOS!$AJ$3,tabela_registros[CATEGORIA],reservafixaconsolidadodez[[#This Row],[ATUAL]])</f>
        <v>0</v>
      </c>
      <c r="L177" s="119" t="n">
        <f aca="false">SUMIFS(tabela_registros[VALOR],tabela_registros[MÊS],$AE$1,tabela_registros[DIA],reservafixaconsolidadodez[[#Headers],[8]],tabela_registros[REGISTRO],DADOS!$N$6,tabela_registros[TIPO],DADOS!$AJ$3,tabela_registros[CATEGORIA],reservafixaconsolidadodez[[#This Row],[ATUAL]])</f>
        <v>0</v>
      </c>
      <c r="M177" s="119" t="n">
        <f aca="false">SUMIFS(tabela_registros[VALOR],tabela_registros[MÊS],$AE$1,tabela_registros[DIA],reservafixaconsolidadodez[[#Headers],[9]],tabela_registros[REGISTRO],DADOS!$N$6,tabela_registros[TIPO],DADOS!$AJ$3,tabela_registros[CATEGORIA],reservafixaconsolidadodez[[#This Row],[ATUAL]])</f>
        <v>0</v>
      </c>
      <c r="N177" s="119" t="n">
        <f aca="false">SUMIFS(tabela_registros[VALOR],tabela_registros[MÊS],$AE$1,tabela_registros[DIA],reservafixaconsolidadodez[[#Headers],[10]],tabela_registros[REGISTRO],DADOS!$N$6,tabela_registros[TIPO],DADOS!$AJ$3,tabela_registros[CATEGORIA],reservafixaconsolidadodez[[#This Row],[ATUAL]])</f>
        <v>0</v>
      </c>
      <c r="O177" s="119" t="n">
        <f aca="false">SUMIFS(tabela_registros[VALOR],tabela_registros[MÊS],$AE$1,tabela_registros[DIA],reservafixaconsolidadodez[[#Headers],[11]],tabela_registros[REGISTRO],DADOS!$N$6,tabela_registros[TIPO],DADOS!$AJ$3,tabela_registros[CATEGORIA],reservafixaconsolidadodez[[#This Row],[ATUAL]])</f>
        <v>0</v>
      </c>
      <c r="P177" s="119" t="n">
        <f aca="false">SUMIFS(tabela_registros[VALOR],tabela_registros[MÊS],$AE$1,tabela_registros[DIA],reservafixaconsolidadodez[[#Headers],[12]],tabela_registros[REGISTRO],DADOS!$N$6,tabela_registros[TIPO],DADOS!$AJ$3,tabela_registros[CATEGORIA],reservafixaconsolidadodez[[#This Row],[ATUAL]])</f>
        <v>0</v>
      </c>
      <c r="Q177" s="119" t="n">
        <f aca="false">SUMIFS(tabela_registros[VALOR],tabela_registros[MÊS],$AE$1,tabela_registros[DIA],reservafixaconsolidadodez[[#Headers],[13]],tabela_registros[REGISTRO],DADOS!$N$6,tabela_registros[TIPO],DADOS!$AJ$3,tabela_registros[CATEGORIA],reservafixaconsolidadodez[[#This Row],[ATUAL]])</f>
        <v>0</v>
      </c>
      <c r="R177" s="119" t="n">
        <f aca="false">SUMIFS(tabela_registros[VALOR],tabela_registros[MÊS],$AE$1,tabela_registros[DIA],reservafixaconsolidadodez[[#Headers],[14]],tabela_registros[REGISTRO],DADOS!$N$6,tabela_registros[TIPO],DADOS!$AJ$3,tabela_registros[CATEGORIA],reservafixaconsolidadodez[[#This Row],[ATUAL]])</f>
        <v>0</v>
      </c>
      <c r="S177" s="119" t="n">
        <f aca="false">SUMIFS(tabela_registros[VALOR],tabela_registros[MÊS],$AE$1,tabela_registros[DIA],reservafixaconsolidadodez[[#Headers],[15]],tabela_registros[REGISTRO],DADOS!$N$6,tabela_registros[TIPO],DADOS!$AJ$3,tabela_registros[CATEGORIA],reservafixaconsolidadodez[[#This Row],[ATUAL]])</f>
        <v>0</v>
      </c>
      <c r="T177" s="119" t="n">
        <f aca="false">SUMIFS(tabela_registros[VALOR],tabela_registros[MÊS],$AE$1,tabela_registros[DIA],reservafixaconsolidadodez[[#Headers],[16]],tabela_registros[REGISTRO],DADOS!$N$6,tabela_registros[TIPO],DADOS!$AJ$3,tabela_registros[CATEGORIA],reservafixaconsolidadodez[[#This Row],[ATUAL]])</f>
        <v>0</v>
      </c>
      <c r="U177" s="119" t="n">
        <f aca="false">SUMIFS(tabela_registros[VALOR],tabela_registros[MÊS],$AE$1,tabela_registros[DIA],reservafixaconsolidadodez[[#Headers],[17]],tabela_registros[REGISTRO],DADOS!$N$6,tabela_registros[TIPO],DADOS!$AJ$3,tabela_registros[CATEGORIA],reservafixaconsolidadodez[[#This Row],[ATUAL]])</f>
        <v>0</v>
      </c>
      <c r="V177" s="119" t="n">
        <f aca="false">SUMIFS(tabela_registros[VALOR],tabela_registros[MÊS],$AE$1,tabela_registros[DIA],reservafixaconsolidadodez[[#Headers],[18]],tabela_registros[REGISTRO],DADOS!$N$6,tabela_registros[TIPO],DADOS!$AJ$3,tabela_registros[CATEGORIA],reservafixaconsolidadodez[[#This Row],[ATUAL]])</f>
        <v>0</v>
      </c>
      <c r="W177" s="119" t="n">
        <f aca="false">SUMIFS(tabela_registros[VALOR],tabela_registros[MÊS],$AE$1,tabela_registros[DIA],reservafixaconsolidadodez[[#Headers],[19]],tabela_registros[REGISTRO],DADOS!$N$6,tabela_registros[TIPO],DADOS!$AJ$3,tabela_registros[CATEGORIA],reservafixaconsolidadodez[[#This Row],[ATUAL]])</f>
        <v>0</v>
      </c>
      <c r="X177" s="119" t="n">
        <f aca="false">SUMIFS(tabela_registros[VALOR],tabela_registros[MÊS],$AE$1,tabela_registros[DIA],reservafixaconsolidadodez[[#Headers],[20]],tabela_registros[REGISTRO],DADOS!$N$6,tabela_registros[TIPO],DADOS!$AJ$3,tabela_registros[CATEGORIA],reservafixaconsolidadodez[[#This Row],[ATUAL]])</f>
        <v>0</v>
      </c>
      <c r="Y177" s="119" t="n">
        <f aca="false">SUMIFS(tabela_registros[VALOR],tabela_registros[MÊS],$AE$1,tabela_registros[DIA],reservafixaconsolidadodez[[#Headers],[21]],tabela_registros[REGISTRO],DADOS!$N$6,tabela_registros[TIPO],DADOS!$AJ$3,tabela_registros[CATEGORIA],reservafixaconsolidadodez[[#This Row],[ATUAL]])</f>
        <v>0</v>
      </c>
      <c r="Z177" s="119" t="n">
        <f aca="false">SUMIFS(tabela_registros[VALOR],tabela_registros[MÊS],$AE$1,tabela_registros[DIA],reservafixaconsolidadodez[[#Headers],[22]],tabela_registros[REGISTRO],DADOS!$N$6,tabela_registros[TIPO],DADOS!$AJ$3,tabela_registros[CATEGORIA],reservafixaconsolidadodez[[#This Row],[ATUAL]])</f>
        <v>0</v>
      </c>
      <c r="AA177" s="119" t="n">
        <f aca="false">SUMIFS(tabela_registros[VALOR],tabela_registros[MÊS],$AE$1,tabela_registros[DIA],reservafixaconsolidadodez[[#Headers],[23]],tabela_registros[REGISTRO],DADOS!$N$6,tabela_registros[TIPO],DADOS!$AJ$3,tabela_registros[CATEGORIA],reservafixaconsolidadodez[[#This Row],[ATUAL]])</f>
        <v>0</v>
      </c>
      <c r="AB177" s="119" t="n">
        <f aca="false">SUMIFS(tabela_registros[VALOR],tabela_registros[MÊS],$AE$1,tabela_registros[DIA],reservafixaconsolidadodez[[#Headers],[24]],tabela_registros[REGISTRO],DADOS!$N$6,tabela_registros[TIPO],DADOS!$AJ$3,tabela_registros[CATEGORIA],reservafixaconsolidadodez[[#This Row],[ATUAL]])</f>
        <v>0</v>
      </c>
      <c r="AC177" s="119" t="n">
        <f aca="false">SUMIFS(tabela_registros[VALOR],tabela_registros[MÊS],$AE$1,tabela_registros[DIA],reservafixaconsolidadodez[[#Headers],[25]],tabela_registros[REGISTRO],DADOS!$N$6,tabela_registros[TIPO],DADOS!$AJ$3,tabela_registros[CATEGORIA],reservafixaconsolidadodez[[#This Row],[ATUAL]])</f>
        <v>0</v>
      </c>
      <c r="AD177" s="119" t="n">
        <f aca="false">SUMIFS(tabela_registros[VALOR],tabela_registros[MÊS],$AE$1,tabela_registros[DIA],reservafixaconsolidadodez[[#Headers],[26]],tabela_registros[REGISTRO],DADOS!$N$6,tabela_registros[TIPO],DADOS!$AJ$3,tabela_registros[CATEGORIA],reservafixaconsolidadodez[[#This Row],[ATUAL]])</f>
        <v>0</v>
      </c>
      <c r="AE177" s="119" t="n">
        <f aca="false">SUMIFS(tabela_registros[VALOR],tabela_registros[MÊS],$AE$1,tabela_registros[DIA],reservafixaconsolidadodez[[#Headers],[27]],tabela_registros[REGISTRO],DADOS!$N$6,tabela_registros[TIPO],DADOS!$AJ$3,tabela_registros[CATEGORIA],reservafixaconsolidadodez[[#This Row],[ATUAL]])</f>
        <v>0</v>
      </c>
      <c r="AF177" s="119" t="n">
        <f aca="false">SUMIFS(tabela_registros[VALOR],tabela_registros[MÊS],$AE$1,tabela_registros[DIA],reservafixaconsolidadodez[[#Headers],[28]],tabela_registros[REGISTRO],DADOS!$N$6,tabela_registros[TIPO],DADOS!$AJ$3,tabela_registros[CATEGORIA],reservafixaconsolidadodez[[#This Row],[ATUAL]])</f>
        <v>0</v>
      </c>
      <c r="AG177" s="119" t="n">
        <f aca="false">SUMIFS(tabela_registros[VALOR],tabela_registros[MÊS],$AE$1,tabela_registros[DIA],reservafixaconsolidadodez[[#Headers],[29]],tabela_registros[REGISTRO],DADOS!$N$6,tabela_registros[TIPO],DADOS!$AJ$3,tabela_registros[CATEGORIA],reservafixaconsolidadodez[[#This Row],[ATUAL]])</f>
        <v>0</v>
      </c>
      <c r="AH177" s="119" t="n">
        <f aca="false">SUMIFS(tabela_registros[VALOR],tabela_registros[MÊS],$AE$1,tabela_registros[DIA],reservafixaconsolidadodez[[#Headers],[30]],tabela_registros[REGISTRO],DADOS!$N$6,tabela_registros[TIPO],DADOS!$AJ$3,tabela_registros[CATEGORIA],reservafixaconsolidadodez[[#This Row],[ATUAL]])</f>
        <v>0</v>
      </c>
      <c r="AI177" s="218" t="n">
        <f aca="false">SUMIFS(tabela_registros[VALOR],tabela_registros[MÊS],$AE$1,tabela_registros[DIA],reservafixaconsolidadodez[[#Headers],[31]],tabela_registros[REGISTRO],DADOS!$N$6,tabela_registros[TIPO],DADOS!$AJ$3,tabela_registros[CATEGORIA],reservafixaconsolidadodez[[#This Row],[ATUAL]])</f>
        <v>0</v>
      </c>
      <c r="AJ177" s="149" t="n">
        <f aca="false">SUM(reservafixaconsolidadodez[[#This Row],[1]:[31]])</f>
        <v>0</v>
      </c>
      <c r="AK177" s="165"/>
    </row>
    <row r="178" s="122" customFormat="true" ht="21" hidden="false" customHeight="true" outlineLevel="0" collapsed="false">
      <c r="B178" s="152"/>
      <c r="C178" s="153" t="s">
        <v>2</v>
      </c>
      <c r="D178" s="166"/>
      <c r="E178" s="155" t="n">
        <f aca="false">SUM(E168:E177)</f>
        <v>0</v>
      </c>
      <c r="F178" s="156" t="n">
        <f aca="false">SUM(F168:F177)+reservafixaconsolidadodez[[#This Row],[1]]</f>
        <v>0</v>
      </c>
      <c r="G178" s="156" t="n">
        <f aca="false">SUM(G168:G177)+reservafixaconsolidadodez[[#This Row],[2]]</f>
        <v>0</v>
      </c>
      <c r="H178" s="156" t="n">
        <f aca="false">SUM(H168:H177)+reservafixaconsolidadodez[[#This Row],[3]]</f>
        <v>0</v>
      </c>
      <c r="I178" s="156" t="n">
        <f aca="false">SUM(I168:I177)+reservafixaconsolidadodez[[#This Row],[4]]</f>
        <v>0</v>
      </c>
      <c r="J178" s="156" t="n">
        <f aca="false">SUM(J168:J177)+reservafixaconsolidadodez[[#This Row],[5]]</f>
        <v>0</v>
      </c>
      <c r="K178" s="156" t="n">
        <f aca="false">SUM(K168:K177)+reservafixaconsolidadodez[[#This Row],[6]]</f>
        <v>0</v>
      </c>
      <c r="L178" s="156" t="n">
        <f aca="false">SUM(L168:L177)+reservafixaconsolidadodez[[#This Row],[7]]</f>
        <v>0</v>
      </c>
      <c r="M178" s="156" t="n">
        <f aca="false">SUM(M168:M177)+reservafixaconsolidadodez[[#This Row],[8]]</f>
        <v>0</v>
      </c>
      <c r="N178" s="156" t="n">
        <f aca="false">SUM(N168:N177)+reservafixaconsolidadodez[[#This Row],[9]]</f>
        <v>0</v>
      </c>
      <c r="O178" s="156" t="n">
        <f aca="false">SUM(O168:O177)+reservafixaconsolidadodez[[#This Row],[10]]</f>
        <v>0</v>
      </c>
      <c r="P178" s="156" t="n">
        <f aca="false">SUM(P168:P177)+reservafixaconsolidadodez[[#This Row],[11]]</f>
        <v>0</v>
      </c>
      <c r="Q178" s="156" t="n">
        <f aca="false">SUM(Q168:Q177)+reservafixaconsolidadodez[[#This Row],[12]]</f>
        <v>0</v>
      </c>
      <c r="R178" s="156" t="n">
        <f aca="false">SUM(R168:R177)+reservafixaconsolidadodez[[#This Row],[13]]</f>
        <v>0</v>
      </c>
      <c r="S178" s="156" t="n">
        <f aca="false">SUM(S168:S177)+reservafixaconsolidadodez[[#This Row],[14]]</f>
        <v>0</v>
      </c>
      <c r="T178" s="156" t="n">
        <f aca="false">SUM(T168:T177)+reservafixaconsolidadodez[[#This Row],[15]]</f>
        <v>0</v>
      </c>
      <c r="U178" s="156" t="n">
        <f aca="false">SUM(U168:U177)+reservafixaconsolidadodez[[#This Row],[16]]</f>
        <v>0</v>
      </c>
      <c r="V178" s="156" t="n">
        <f aca="false">SUM(V168:V177)+reservafixaconsolidadodez[[#This Row],[17]]</f>
        <v>0</v>
      </c>
      <c r="W178" s="156" t="n">
        <f aca="false">SUM(W168:W177)+reservafixaconsolidadodez[[#This Row],[18]]</f>
        <v>0</v>
      </c>
      <c r="X178" s="156" t="n">
        <f aca="false">SUM(X168:X177)+reservafixaconsolidadodez[[#This Row],[19]]</f>
        <v>0</v>
      </c>
      <c r="Y178" s="156" t="n">
        <f aca="false">SUM(Y168:Y177)+reservafixaconsolidadodez[[#This Row],[20]]</f>
        <v>0</v>
      </c>
      <c r="Z178" s="156" t="n">
        <f aca="false">SUM(Z168:Z177)+reservafixaconsolidadodez[[#This Row],[21]]</f>
        <v>0</v>
      </c>
      <c r="AA178" s="156" t="n">
        <f aca="false">SUM(AA168:AA177)+reservafixaconsolidadodez[[#This Row],[22]]</f>
        <v>0</v>
      </c>
      <c r="AB178" s="156" t="n">
        <f aca="false">SUM(AB168:AB177)+reservafixaconsolidadodez[[#This Row],[23]]</f>
        <v>0</v>
      </c>
      <c r="AC178" s="156" t="n">
        <f aca="false">SUM(AC168:AC177)+reservafixaconsolidadodez[[#This Row],[24]]</f>
        <v>0</v>
      </c>
      <c r="AD178" s="156" t="n">
        <f aca="false">SUM(AD168:AD177)+reservafixaconsolidadodez[[#This Row],[25]]</f>
        <v>0</v>
      </c>
      <c r="AE178" s="156" t="n">
        <f aca="false">SUM(AE168:AE177)+reservafixaconsolidadodez[[#This Row],[26]]</f>
        <v>0</v>
      </c>
      <c r="AF178" s="156" t="n">
        <f aca="false">SUM(AF168:AF177)+reservafixaconsolidadodez[[#This Row],[27]]</f>
        <v>0</v>
      </c>
      <c r="AG178" s="156" t="n">
        <f aca="false">SUM(AG168:AG177)+reservafixaconsolidadodez[[#This Row],[28]]</f>
        <v>0</v>
      </c>
      <c r="AH178" s="156" t="n">
        <f aca="false">SUM(AH168:AH177)+reservafixaconsolidadodez[[#This Row],[29]]</f>
        <v>0</v>
      </c>
      <c r="AI178" s="223" t="n">
        <f aca="false">SUM(AI168:AI177)+reservafixaconsolidadodez[[#This Row],[30]]</f>
        <v>0</v>
      </c>
      <c r="AJ178" s="157" t="n">
        <f aca="false">reservafixaconsolidadodez[[#This Row],[31]]</f>
        <v>0</v>
      </c>
      <c r="AK178" s="158"/>
    </row>
    <row r="179" customFormat="false" ht="6.75" hidden="false" customHeight="true" outlineLevel="0" collapsed="false">
      <c r="B179" s="97"/>
      <c r="C179" s="162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233"/>
      <c r="AJ179" s="164"/>
      <c r="AK179" s="244"/>
    </row>
    <row r="180" s="78" customFormat="true" ht="12.75" hidden="false" customHeight="false" outlineLevel="0" collapsed="false">
      <c r="E180" s="100"/>
    </row>
    <row r="181" s="78" customFormat="true" ht="12" hidden="false" customHeight="false" outlineLevel="0" collapsed="false"/>
    <row r="182" s="78" customFormat="true" ht="12" hidden="false" customHeight="false" outlineLevel="0" collapsed="false"/>
    <row r="183" customFormat="false" ht="39.75" hidden="false" customHeight="true" outlineLevel="0" collapsed="false">
      <c r="C183" s="101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3" t="s">
        <v>2</v>
      </c>
    </row>
    <row r="184" s="78" customFormat="true" ht="12.75" hidden="false" customHeight="false" outlineLevel="0" collapsed="false">
      <c r="B184" s="161"/>
      <c r="AJ184" s="106" t="s">
        <v>64</v>
      </c>
    </row>
    <row r="185" customFormat="false" ht="6.75" hidden="false" customHeight="true" outlineLevel="0" collapsed="false">
      <c r="B185" s="86"/>
      <c r="C185" s="162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233"/>
      <c r="AK185" s="139"/>
    </row>
    <row r="186" customFormat="false" ht="13.5" hidden="true" customHeight="false" outlineLevel="0" collapsed="false">
      <c r="B186" s="86"/>
      <c r="C186" s="109" t="s">
        <v>68</v>
      </c>
      <c r="D186" s="110" t="s">
        <v>69</v>
      </c>
      <c r="E186" s="110" t="s">
        <v>30</v>
      </c>
      <c r="F186" s="110" t="s">
        <v>31</v>
      </c>
      <c r="G186" s="110" t="s">
        <v>32</v>
      </c>
      <c r="H186" s="110" t="s">
        <v>33</v>
      </c>
      <c r="I186" s="110" t="s">
        <v>34</v>
      </c>
      <c r="J186" s="110" t="s">
        <v>35</v>
      </c>
      <c r="K186" s="110" t="s">
        <v>36</v>
      </c>
      <c r="L186" s="110" t="s">
        <v>37</v>
      </c>
      <c r="M186" s="110" t="s">
        <v>38</v>
      </c>
      <c r="N186" s="110" t="s">
        <v>39</v>
      </c>
      <c r="O186" s="110" t="s">
        <v>40</v>
      </c>
      <c r="P186" s="110" t="s">
        <v>41</v>
      </c>
      <c r="Q186" s="110" t="s">
        <v>81</v>
      </c>
      <c r="R186" s="110" t="s">
        <v>82</v>
      </c>
      <c r="S186" s="110" t="s">
        <v>83</v>
      </c>
      <c r="T186" s="110" t="s">
        <v>84</v>
      </c>
      <c r="U186" s="110" t="s">
        <v>85</v>
      </c>
      <c r="V186" s="110" t="s">
        <v>86</v>
      </c>
      <c r="W186" s="110" t="s">
        <v>87</v>
      </c>
      <c r="X186" s="110" t="s">
        <v>88</v>
      </c>
      <c r="Y186" s="110" t="s">
        <v>89</v>
      </c>
      <c r="Z186" s="110" t="s">
        <v>90</v>
      </c>
      <c r="AA186" s="110" t="s">
        <v>91</v>
      </c>
      <c r="AB186" s="110" t="s">
        <v>92</v>
      </c>
      <c r="AC186" s="110" t="s">
        <v>93</v>
      </c>
      <c r="AD186" s="110" t="s">
        <v>94</v>
      </c>
      <c r="AE186" s="110" t="s">
        <v>95</v>
      </c>
      <c r="AF186" s="110" t="s">
        <v>96</v>
      </c>
      <c r="AG186" s="110" t="s">
        <v>97</v>
      </c>
      <c r="AH186" s="110" t="s">
        <v>98</v>
      </c>
      <c r="AI186" s="110" t="s">
        <v>99</v>
      </c>
      <c r="AJ186" s="111" t="s">
        <v>70</v>
      </c>
      <c r="AK186" s="86"/>
    </row>
    <row r="187" customFormat="false" ht="19.5" hidden="false" customHeight="true" outlineLevel="0" collapsed="false">
      <c r="B187" s="143"/>
      <c r="C187" s="144" t="str">
        <f aca="false">DADOS!$AN$3</f>
        <v>📝 AÇÃO</v>
      </c>
      <c r="D187" s="145" t="str">
        <f aca="false">IF(reservavariáveisconsolidadodez[[#This Row],[TOTAL (R$)]]=0,"",IF(OR(reservavariáveisconsolidadodez[[#This Row],[TOTAL (R$)]]=LARGE($AJ$187:$AJ$196,1),reservavariáveisconsolidadodez[[#This Row],[TOTAL (R$)]]=LARGE($AJ$187:$AJ$196,2)),DADOS!$I$11,""))</f>
        <v/>
      </c>
      <c r="E187" s="148" t="n">
        <f aca="false">SUMIFS(tabela_registros[VALOR],tabela_registros[MÊS],$AE$1,tabela_registros[DIA],reservavariáveisconsolidadodez[[#Headers],[1]],tabela_registros[REGISTRO],DADOS!$N$6,tabela_registros[TIPO],DADOS!$AJ$4,tabela_registros[CATEGORIA],reservavariáveisconsolidadodez[[#This Row],[ATUAL]])</f>
        <v>0</v>
      </c>
      <c r="F187" s="119" t="n">
        <f aca="false">SUMIFS(tabela_registros[VALOR],tabela_registros[MÊS],$AE$1,tabela_registros[DIA],reservavariáveisconsolidadodez[[#Headers],[2]],tabela_registros[REGISTRO],DADOS!$N$6,tabela_registros[TIPO],DADOS!$AJ$4,tabela_registros[CATEGORIA],reservavariáveisconsolidadodez[[#This Row],[ATUAL]])</f>
        <v>0</v>
      </c>
      <c r="G187" s="119" t="n">
        <f aca="false">SUMIFS(tabela_registros[VALOR],tabela_registros[MÊS],$AE$1,tabela_registros[DIA],reservavariáveisconsolidadodez[[#Headers],[3]],tabela_registros[REGISTRO],DADOS!$N$6,tabela_registros[TIPO],DADOS!$AJ$4,tabela_registros[CATEGORIA],reservavariáveisconsolidadodez[[#This Row],[ATUAL]])</f>
        <v>0</v>
      </c>
      <c r="H187" s="119" t="n">
        <f aca="false">SUMIFS(tabela_registros[VALOR],tabela_registros[MÊS],$AE$1,tabela_registros[DIA],reservavariáveisconsolidadodez[[#Headers],[4]],tabela_registros[REGISTRO],DADOS!$N$6,tabela_registros[TIPO],DADOS!$AJ$4,tabela_registros[CATEGORIA],reservavariáveisconsolidadodez[[#This Row],[ATUAL]])</f>
        <v>0</v>
      </c>
      <c r="I187" s="119" t="n">
        <f aca="false">SUMIFS(tabela_registros[VALOR],tabela_registros[MÊS],$AE$1,tabela_registros[DIA],reservavariáveisconsolidadodez[[#Headers],[5]],tabela_registros[REGISTRO],DADOS!$N$6,tabela_registros[TIPO],DADOS!$AJ$4,tabela_registros[CATEGORIA],reservavariáveisconsolidadodez[[#This Row],[ATUAL]])</f>
        <v>0</v>
      </c>
      <c r="J187" s="119" t="n">
        <f aca="false">SUMIFS(tabela_registros[VALOR],tabela_registros[MÊS],$AE$1,tabela_registros[DIA],reservavariáveisconsolidadodez[[#Headers],[6]],tabela_registros[REGISTRO],DADOS!$N$6,tabela_registros[TIPO],DADOS!$AJ$4,tabela_registros[CATEGORIA],reservavariáveisconsolidadodez[[#This Row],[ATUAL]])</f>
        <v>0</v>
      </c>
      <c r="K187" s="119" t="n">
        <f aca="false">SUMIFS(tabela_registros[VALOR],tabela_registros[MÊS],$AE$1,tabela_registros[DIA],reservavariáveisconsolidadodez[[#Headers],[7]],tabela_registros[REGISTRO],DADOS!$N$6,tabela_registros[TIPO],DADOS!$AJ$4,tabela_registros[CATEGORIA],reservavariáveisconsolidadodez[[#This Row],[ATUAL]])</f>
        <v>0</v>
      </c>
      <c r="L187" s="119" t="n">
        <f aca="false">SUMIFS(tabela_registros[VALOR],tabela_registros[MÊS],$AE$1,tabela_registros[DIA],reservavariáveisconsolidadodez[[#Headers],[8]],tabela_registros[REGISTRO],DADOS!$N$6,tabela_registros[TIPO],DADOS!$AJ$4,tabela_registros[CATEGORIA],reservavariáveisconsolidadodez[[#This Row],[ATUAL]])</f>
        <v>0</v>
      </c>
      <c r="M187" s="119" t="n">
        <f aca="false">SUMIFS(tabela_registros[VALOR],tabela_registros[MÊS],$AE$1,tabela_registros[DIA],reservavariáveisconsolidadodez[[#Headers],[9]],tabela_registros[REGISTRO],DADOS!$N$6,tabela_registros[TIPO],DADOS!$AJ$4,tabela_registros[CATEGORIA],reservavariáveisconsolidadodez[[#This Row],[ATUAL]])</f>
        <v>0</v>
      </c>
      <c r="N187" s="119" t="n">
        <f aca="false">SUMIFS(tabela_registros[VALOR],tabela_registros[MÊS],$AE$1,tabela_registros[DIA],reservavariáveisconsolidadodez[[#Headers],[10]],tabela_registros[REGISTRO],DADOS!$N$6,tabela_registros[TIPO],DADOS!$AJ$4,tabela_registros[CATEGORIA],reservavariáveisconsolidadodez[[#This Row],[ATUAL]])</f>
        <v>0</v>
      </c>
      <c r="O187" s="119" t="n">
        <f aca="false">SUMIFS(tabela_registros[VALOR],tabela_registros[MÊS],$AE$1,tabela_registros[DIA],reservavariáveisconsolidadodez[[#Headers],[11]],tabela_registros[REGISTRO],DADOS!$N$6,tabela_registros[TIPO],DADOS!$AJ$4,tabela_registros[CATEGORIA],reservavariáveisconsolidadodez[[#This Row],[ATUAL]])</f>
        <v>0</v>
      </c>
      <c r="P187" s="119" t="n">
        <f aca="false">SUMIFS(tabela_registros[VALOR],tabela_registros[MÊS],$AE$1,tabela_registros[DIA],reservavariáveisconsolidadodez[[#Headers],[12]],tabela_registros[REGISTRO],DADOS!$N$6,tabela_registros[TIPO],DADOS!$AJ$4,tabela_registros[CATEGORIA],reservavariáveisconsolidadodez[[#This Row],[ATUAL]])</f>
        <v>0</v>
      </c>
      <c r="Q187" s="119" t="n">
        <f aca="false">SUMIFS(tabela_registros[VALOR],tabela_registros[MÊS],$AE$1,tabela_registros[DIA],reservavariáveisconsolidadodez[[#Headers],[13]],tabela_registros[REGISTRO],DADOS!$N$6,tabela_registros[TIPO],DADOS!$AJ$4,tabela_registros[CATEGORIA],reservavariáveisconsolidadodez[[#This Row],[ATUAL]])</f>
        <v>0</v>
      </c>
      <c r="R187" s="119" t="n">
        <f aca="false">SUMIFS(tabela_registros[VALOR],tabela_registros[MÊS],$AE$1,tabela_registros[DIA],reservavariáveisconsolidadodez[[#Headers],[14]],tabela_registros[REGISTRO],DADOS!$N$6,tabela_registros[TIPO],DADOS!$AJ$4,tabela_registros[CATEGORIA],reservavariáveisconsolidadodez[[#This Row],[ATUAL]])</f>
        <v>0</v>
      </c>
      <c r="S187" s="119" t="n">
        <f aca="false">SUMIFS(tabela_registros[VALOR],tabela_registros[MÊS],$AE$1,tabela_registros[DIA],reservavariáveisconsolidadodez[[#Headers],[15]],tabela_registros[REGISTRO],DADOS!$N$6,tabela_registros[TIPO],DADOS!$AJ$4,tabela_registros[CATEGORIA],reservavariáveisconsolidadodez[[#This Row],[ATUAL]])</f>
        <v>0</v>
      </c>
      <c r="T187" s="119" t="n">
        <f aca="false">SUMIFS(tabela_registros[VALOR],tabela_registros[MÊS],$AE$1,tabela_registros[DIA],reservavariáveisconsolidadodez[[#Headers],[16]],tabela_registros[REGISTRO],DADOS!$N$6,tabela_registros[TIPO],DADOS!$AJ$4,tabela_registros[CATEGORIA],reservavariáveisconsolidadodez[[#This Row],[ATUAL]])</f>
        <v>0</v>
      </c>
      <c r="U187" s="119" t="n">
        <f aca="false">SUMIFS(tabela_registros[VALOR],tabela_registros[MÊS],$AE$1,tabela_registros[DIA],reservavariáveisconsolidadodez[[#Headers],[17]],tabela_registros[REGISTRO],DADOS!$N$6,tabela_registros[TIPO],DADOS!$AJ$4,tabela_registros[CATEGORIA],reservavariáveisconsolidadodez[[#This Row],[ATUAL]])</f>
        <v>0</v>
      </c>
      <c r="V187" s="119" t="n">
        <f aca="false">SUMIFS(tabela_registros[VALOR],tabela_registros[MÊS],$AE$1,tabela_registros[DIA],reservavariáveisconsolidadodez[[#Headers],[18]],tabela_registros[REGISTRO],DADOS!$N$6,tabela_registros[TIPO],DADOS!$AJ$4,tabela_registros[CATEGORIA],reservavariáveisconsolidadodez[[#This Row],[ATUAL]])</f>
        <v>0</v>
      </c>
      <c r="W187" s="119" t="n">
        <f aca="false">SUMIFS(tabela_registros[VALOR],tabela_registros[MÊS],$AE$1,tabela_registros[DIA],reservavariáveisconsolidadodez[[#Headers],[19]],tabela_registros[REGISTRO],DADOS!$N$6,tabela_registros[TIPO],DADOS!$AJ$4,tabela_registros[CATEGORIA],reservavariáveisconsolidadodez[[#This Row],[ATUAL]])</f>
        <v>0</v>
      </c>
      <c r="X187" s="119" t="n">
        <f aca="false">SUMIFS(tabela_registros[VALOR],tabela_registros[MÊS],$AE$1,tabela_registros[DIA],reservavariáveisconsolidadodez[[#Headers],[20]],tabela_registros[REGISTRO],DADOS!$N$6,tabela_registros[TIPO],DADOS!$AJ$4,tabela_registros[CATEGORIA],reservavariáveisconsolidadodez[[#This Row],[ATUAL]])</f>
        <v>0</v>
      </c>
      <c r="Y187" s="119" t="n">
        <f aca="false">SUMIFS(tabela_registros[VALOR],tabela_registros[MÊS],$AE$1,tabela_registros[DIA],reservavariáveisconsolidadodez[[#Headers],[21]],tabela_registros[REGISTRO],DADOS!$N$6,tabela_registros[TIPO],DADOS!$AJ$4,tabela_registros[CATEGORIA],reservavariáveisconsolidadodez[[#This Row],[ATUAL]])</f>
        <v>0</v>
      </c>
      <c r="Z187" s="119" t="n">
        <f aca="false">SUMIFS(tabela_registros[VALOR],tabela_registros[MÊS],$AE$1,tabela_registros[DIA],reservavariáveisconsolidadodez[[#Headers],[22]],tabela_registros[REGISTRO],DADOS!$N$6,tabela_registros[TIPO],DADOS!$AJ$4,tabela_registros[CATEGORIA],reservavariáveisconsolidadodez[[#This Row],[ATUAL]])</f>
        <v>0</v>
      </c>
      <c r="AA187" s="119" t="n">
        <f aca="false">SUMIFS(tabela_registros[VALOR],tabela_registros[MÊS],$AE$1,tabela_registros[DIA],reservavariáveisconsolidadodez[[#Headers],[23]],tabela_registros[REGISTRO],DADOS!$N$6,tabela_registros[TIPO],DADOS!$AJ$4,tabela_registros[CATEGORIA],reservavariáveisconsolidadodez[[#This Row],[ATUAL]])</f>
        <v>0</v>
      </c>
      <c r="AB187" s="119" t="n">
        <f aca="false">SUMIFS(tabela_registros[VALOR],tabela_registros[MÊS],$AE$1,tabela_registros[DIA],reservavariáveisconsolidadodez[[#Headers],[24]],tabela_registros[REGISTRO],DADOS!$N$6,tabela_registros[TIPO],DADOS!$AJ$4,tabela_registros[CATEGORIA],reservavariáveisconsolidadodez[[#This Row],[ATUAL]])</f>
        <v>0</v>
      </c>
      <c r="AC187" s="119" t="n">
        <f aca="false">SUMIFS(tabela_registros[VALOR],tabela_registros[MÊS],$AE$1,tabela_registros[DIA],reservavariáveisconsolidadodez[[#Headers],[25]],tabela_registros[REGISTRO],DADOS!$N$6,tabela_registros[TIPO],DADOS!$AJ$4,tabela_registros[CATEGORIA],reservavariáveisconsolidadodez[[#This Row],[ATUAL]])</f>
        <v>0</v>
      </c>
      <c r="AD187" s="119" t="n">
        <f aca="false">SUMIFS(tabela_registros[VALOR],tabela_registros[MÊS],$AE$1,tabela_registros[DIA],reservavariáveisconsolidadodez[[#Headers],[26]],tabela_registros[REGISTRO],DADOS!$N$6,tabela_registros[TIPO],DADOS!$AJ$4,tabela_registros[CATEGORIA],reservavariáveisconsolidadodez[[#This Row],[ATUAL]])</f>
        <v>0</v>
      </c>
      <c r="AE187" s="119" t="n">
        <f aca="false">SUMIFS(tabela_registros[VALOR],tabela_registros[MÊS],$AE$1,tabela_registros[DIA],reservavariáveisconsolidadodez[[#Headers],[27]],tabela_registros[REGISTRO],DADOS!$N$6,tabela_registros[TIPO],DADOS!$AJ$4,tabela_registros[CATEGORIA],reservavariáveisconsolidadodez[[#This Row],[ATUAL]])</f>
        <v>0</v>
      </c>
      <c r="AF187" s="119" t="n">
        <f aca="false">SUMIFS(tabela_registros[VALOR],tabela_registros[MÊS],$AE$1,tabela_registros[DIA],reservavariáveisconsolidadodez[[#Headers],[28]],tabela_registros[REGISTRO],DADOS!$N$6,tabela_registros[TIPO],DADOS!$AJ$4,tabela_registros[CATEGORIA],reservavariáveisconsolidadodez[[#This Row],[ATUAL]])</f>
        <v>0</v>
      </c>
      <c r="AG187" s="119" t="n">
        <f aca="false">SUMIFS(tabela_registros[VALOR],tabela_registros[MÊS],$AE$1,tabela_registros[DIA],reservavariáveisconsolidadodez[[#Headers],[29]],tabela_registros[REGISTRO],DADOS!$N$6,tabela_registros[TIPO],DADOS!$AJ$4,tabela_registros[CATEGORIA],reservavariáveisconsolidadodez[[#This Row],[ATUAL]])</f>
        <v>0</v>
      </c>
      <c r="AH187" s="119" t="n">
        <f aca="false">SUMIFS(tabela_registros[VALOR],tabela_registros[MÊS],$AE$1,tabela_registros[DIA],reservavariáveisconsolidadodez[[#Headers],[30]],tabela_registros[REGISTRO],DADOS!$N$6,tabela_registros[TIPO],DADOS!$AJ$4,tabela_registros[CATEGORIA],reservavariáveisconsolidadodez[[#This Row],[ATUAL]])</f>
        <v>0</v>
      </c>
      <c r="AI187" s="217" t="n">
        <f aca="false">SUMIFS(tabela_registros[VALOR],tabela_registros[MÊS],$AE$1,tabela_registros[DIA],reservavariáveisconsolidadodez[[#Headers],[31]],tabela_registros[REGISTRO],DADOS!$N$6,tabela_registros[TIPO],DADOS!$AJ$4,tabela_registros[CATEGORIA],reservavariáveisconsolidadodez[[#This Row],[ATUAL]])</f>
        <v>0</v>
      </c>
      <c r="AJ187" s="149" t="n">
        <f aca="false">SUM(reservavariáveisconsolidadodez[[#This Row],[1]:[31]])</f>
        <v>0</v>
      </c>
      <c r="AK187" s="165"/>
    </row>
    <row r="188" customFormat="false" ht="19.5" hidden="false" customHeight="true" outlineLevel="0" collapsed="false">
      <c r="B188" s="143"/>
      <c r="C188" s="144" t="str">
        <f aca="false">DADOS!$AN$4</f>
        <v>📝 COMÓDITE</v>
      </c>
      <c r="D188" s="145" t="str">
        <f aca="false">IF(reservavariáveisconsolidadodez[[#This Row],[TOTAL (R$)]]=0,"",IF(OR(reservavariáveisconsolidadodez[[#This Row],[TOTAL (R$)]]=LARGE($AJ$187:$AJ$196,1),reservavariáveisconsolidadodez[[#This Row],[TOTAL (R$)]]=LARGE($AJ$187:$AJ$196,2)),DADOS!$I$11,""))</f>
        <v/>
      </c>
      <c r="E188" s="148" t="n">
        <f aca="false">SUMIFS(tabela_registros[VALOR],tabela_registros[MÊS],$AE$1,tabela_registros[DIA],reservavariáveisconsolidadodez[[#Headers],[1]],tabela_registros[REGISTRO],DADOS!$N$6,tabela_registros[TIPO],DADOS!$AJ$4,tabela_registros[CATEGORIA],reservavariáveisconsolidadodez[[#This Row],[ATUAL]])</f>
        <v>0</v>
      </c>
      <c r="F188" s="119" t="n">
        <f aca="false">SUMIFS(tabela_registros[VALOR],tabela_registros[MÊS],$AE$1,tabela_registros[DIA],reservavariáveisconsolidadodez[[#Headers],[2]],tabela_registros[REGISTRO],DADOS!$N$6,tabela_registros[TIPO],DADOS!$AJ$4,tabela_registros[CATEGORIA],reservavariáveisconsolidadodez[[#This Row],[ATUAL]])</f>
        <v>0</v>
      </c>
      <c r="G188" s="119" t="n">
        <f aca="false">SUMIFS(tabela_registros[VALOR],tabela_registros[MÊS],$AE$1,tabela_registros[DIA],reservavariáveisconsolidadodez[[#Headers],[3]],tabela_registros[REGISTRO],DADOS!$N$6,tabela_registros[TIPO],DADOS!$AJ$4,tabela_registros[CATEGORIA],reservavariáveisconsolidadodez[[#This Row],[ATUAL]])</f>
        <v>0</v>
      </c>
      <c r="H188" s="119" t="n">
        <f aca="false">SUMIFS(tabela_registros[VALOR],tabela_registros[MÊS],$AE$1,tabela_registros[DIA],reservavariáveisconsolidadodez[[#Headers],[4]],tabela_registros[REGISTRO],DADOS!$N$6,tabela_registros[TIPO],DADOS!$AJ$4,tabela_registros[CATEGORIA],reservavariáveisconsolidadodez[[#This Row],[ATUAL]])</f>
        <v>0</v>
      </c>
      <c r="I188" s="119" t="n">
        <f aca="false">SUMIFS(tabela_registros[VALOR],tabela_registros[MÊS],$AE$1,tabela_registros[DIA],reservavariáveisconsolidadodez[[#Headers],[5]],tabela_registros[REGISTRO],DADOS!$N$6,tabela_registros[TIPO],DADOS!$AJ$4,tabela_registros[CATEGORIA],reservavariáveisconsolidadodez[[#This Row],[ATUAL]])</f>
        <v>0</v>
      </c>
      <c r="J188" s="119" t="n">
        <f aca="false">SUMIFS(tabela_registros[VALOR],tabela_registros[MÊS],$AE$1,tabela_registros[DIA],reservavariáveisconsolidadodez[[#Headers],[6]],tabela_registros[REGISTRO],DADOS!$N$6,tabela_registros[TIPO],DADOS!$AJ$4,tabela_registros[CATEGORIA],reservavariáveisconsolidadodez[[#This Row],[ATUAL]])</f>
        <v>0</v>
      </c>
      <c r="K188" s="119" t="n">
        <f aca="false">SUMIFS(tabela_registros[VALOR],tabela_registros[MÊS],$AE$1,tabela_registros[DIA],reservavariáveisconsolidadodez[[#Headers],[7]],tabela_registros[REGISTRO],DADOS!$N$6,tabela_registros[TIPO],DADOS!$AJ$4,tabela_registros[CATEGORIA],reservavariáveisconsolidadodez[[#This Row],[ATUAL]])</f>
        <v>0</v>
      </c>
      <c r="L188" s="119" t="n">
        <f aca="false">SUMIFS(tabela_registros[VALOR],tabela_registros[MÊS],$AE$1,tabela_registros[DIA],reservavariáveisconsolidadodez[[#Headers],[8]],tabela_registros[REGISTRO],DADOS!$N$6,tabela_registros[TIPO],DADOS!$AJ$4,tabela_registros[CATEGORIA],reservavariáveisconsolidadodez[[#This Row],[ATUAL]])</f>
        <v>0</v>
      </c>
      <c r="M188" s="119" t="n">
        <f aca="false">SUMIFS(tabela_registros[VALOR],tabela_registros[MÊS],$AE$1,tabela_registros[DIA],reservavariáveisconsolidadodez[[#Headers],[9]],tabela_registros[REGISTRO],DADOS!$N$6,tabela_registros[TIPO],DADOS!$AJ$4,tabela_registros[CATEGORIA],reservavariáveisconsolidadodez[[#This Row],[ATUAL]])</f>
        <v>0</v>
      </c>
      <c r="N188" s="119" t="n">
        <f aca="false">SUMIFS(tabela_registros[VALOR],tabela_registros[MÊS],$AE$1,tabela_registros[DIA],reservavariáveisconsolidadodez[[#Headers],[10]],tabela_registros[REGISTRO],DADOS!$N$6,tabela_registros[TIPO],DADOS!$AJ$4,tabela_registros[CATEGORIA],reservavariáveisconsolidadodez[[#This Row],[ATUAL]])</f>
        <v>0</v>
      </c>
      <c r="O188" s="119" t="n">
        <f aca="false">SUMIFS(tabela_registros[VALOR],tabela_registros[MÊS],$AE$1,tabela_registros[DIA],reservavariáveisconsolidadodez[[#Headers],[11]],tabela_registros[REGISTRO],DADOS!$N$6,tabela_registros[TIPO],DADOS!$AJ$4,tabela_registros[CATEGORIA],reservavariáveisconsolidadodez[[#This Row],[ATUAL]])</f>
        <v>0</v>
      </c>
      <c r="P188" s="119" t="n">
        <f aca="false">SUMIFS(tabela_registros[VALOR],tabela_registros[MÊS],$AE$1,tabela_registros[DIA],reservavariáveisconsolidadodez[[#Headers],[12]],tabela_registros[REGISTRO],DADOS!$N$6,tabela_registros[TIPO],DADOS!$AJ$4,tabela_registros[CATEGORIA],reservavariáveisconsolidadodez[[#This Row],[ATUAL]])</f>
        <v>0</v>
      </c>
      <c r="Q188" s="119" t="n">
        <f aca="false">SUMIFS(tabela_registros[VALOR],tabela_registros[MÊS],$AE$1,tabela_registros[DIA],reservavariáveisconsolidadodez[[#Headers],[13]],tabela_registros[REGISTRO],DADOS!$N$6,tabela_registros[TIPO],DADOS!$AJ$4,tabela_registros[CATEGORIA],reservavariáveisconsolidadodez[[#This Row],[ATUAL]])</f>
        <v>0</v>
      </c>
      <c r="R188" s="119" t="n">
        <f aca="false">SUMIFS(tabela_registros[VALOR],tabela_registros[MÊS],$AE$1,tabela_registros[DIA],reservavariáveisconsolidadodez[[#Headers],[14]],tabela_registros[REGISTRO],DADOS!$N$6,tabela_registros[TIPO],DADOS!$AJ$4,tabela_registros[CATEGORIA],reservavariáveisconsolidadodez[[#This Row],[ATUAL]])</f>
        <v>0</v>
      </c>
      <c r="S188" s="119" t="n">
        <f aca="false">SUMIFS(tabela_registros[VALOR],tabela_registros[MÊS],$AE$1,tabela_registros[DIA],reservavariáveisconsolidadodez[[#Headers],[15]],tabela_registros[REGISTRO],DADOS!$N$6,tabela_registros[TIPO],DADOS!$AJ$4,tabela_registros[CATEGORIA],reservavariáveisconsolidadodez[[#This Row],[ATUAL]])</f>
        <v>0</v>
      </c>
      <c r="T188" s="119" t="n">
        <f aca="false">SUMIFS(tabela_registros[VALOR],tabela_registros[MÊS],$AE$1,tabela_registros[DIA],reservavariáveisconsolidadodez[[#Headers],[16]],tabela_registros[REGISTRO],DADOS!$N$6,tabela_registros[TIPO],DADOS!$AJ$4,tabela_registros[CATEGORIA],reservavariáveisconsolidadodez[[#This Row],[ATUAL]])</f>
        <v>0</v>
      </c>
      <c r="U188" s="119" t="n">
        <f aca="false">SUMIFS(tabela_registros[VALOR],tabela_registros[MÊS],$AE$1,tabela_registros[DIA],reservavariáveisconsolidadodez[[#Headers],[17]],tabela_registros[REGISTRO],DADOS!$N$6,tabela_registros[TIPO],DADOS!$AJ$4,tabela_registros[CATEGORIA],reservavariáveisconsolidadodez[[#This Row],[ATUAL]])</f>
        <v>0</v>
      </c>
      <c r="V188" s="119" t="n">
        <f aca="false">SUMIFS(tabela_registros[VALOR],tabela_registros[MÊS],$AE$1,tabela_registros[DIA],reservavariáveisconsolidadodez[[#Headers],[18]],tabela_registros[REGISTRO],DADOS!$N$6,tabela_registros[TIPO],DADOS!$AJ$4,tabela_registros[CATEGORIA],reservavariáveisconsolidadodez[[#This Row],[ATUAL]])</f>
        <v>0</v>
      </c>
      <c r="W188" s="119" t="n">
        <f aca="false">SUMIFS(tabela_registros[VALOR],tabela_registros[MÊS],$AE$1,tabela_registros[DIA],reservavariáveisconsolidadodez[[#Headers],[19]],tabela_registros[REGISTRO],DADOS!$N$6,tabela_registros[TIPO],DADOS!$AJ$4,tabela_registros[CATEGORIA],reservavariáveisconsolidadodez[[#This Row],[ATUAL]])</f>
        <v>0</v>
      </c>
      <c r="X188" s="119" t="n">
        <f aca="false">SUMIFS(tabela_registros[VALOR],tabela_registros[MÊS],$AE$1,tabela_registros[DIA],reservavariáveisconsolidadodez[[#Headers],[20]],tabela_registros[REGISTRO],DADOS!$N$6,tabela_registros[TIPO],DADOS!$AJ$4,tabela_registros[CATEGORIA],reservavariáveisconsolidadodez[[#This Row],[ATUAL]])</f>
        <v>0</v>
      </c>
      <c r="Y188" s="119" t="n">
        <f aca="false">SUMIFS(tabela_registros[VALOR],tabela_registros[MÊS],$AE$1,tabela_registros[DIA],reservavariáveisconsolidadodez[[#Headers],[21]],tabela_registros[REGISTRO],DADOS!$N$6,tabela_registros[TIPO],DADOS!$AJ$4,tabela_registros[CATEGORIA],reservavariáveisconsolidadodez[[#This Row],[ATUAL]])</f>
        <v>0</v>
      </c>
      <c r="Z188" s="119" t="n">
        <f aca="false">SUMIFS(tabela_registros[VALOR],tabela_registros[MÊS],$AE$1,tabela_registros[DIA],reservavariáveisconsolidadodez[[#Headers],[22]],tabela_registros[REGISTRO],DADOS!$N$6,tabela_registros[TIPO],DADOS!$AJ$4,tabela_registros[CATEGORIA],reservavariáveisconsolidadodez[[#This Row],[ATUAL]])</f>
        <v>0</v>
      </c>
      <c r="AA188" s="119" t="n">
        <f aca="false">SUMIFS(tabela_registros[VALOR],tabela_registros[MÊS],$AE$1,tabela_registros[DIA],reservavariáveisconsolidadodez[[#Headers],[23]],tabela_registros[REGISTRO],DADOS!$N$6,tabela_registros[TIPO],DADOS!$AJ$4,tabela_registros[CATEGORIA],reservavariáveisconsolidadodez[[#This Row],[ATUAL]])</f>
        <v>0</v>
      </c>
      <c r="AB188" s="119" t="n">
        <f aca="false">SUMIFS(tabela_registros[VALOR],tabela_registros[MÊS],$AE$1,tabela_registros[DIA],reservavariáveisconsolidadodez[[#Headers],[24]],tabela_registros[REGISTRO],DADOS!$N$6,tabela_registros[TIPO],DADOS!$AJ$4,tabela_registros[CATEGORIA],reservavariáveisconsolidadodez[[#This Row],[ATUAL]])</f>
        <v>0</v>
      </c>
      <c r="AC188" s="119" t="n">
        <f aca="false">SUMIFS(tabela_registros[VALOR],tabela_registros[MÊS],$AE$1,tabela_registros[DIA],reservavariáveisconsolidadodez[[#Headers],[25]],tabela_registros[REGISTRO],DADOS!$N$6,tabela_registros[TIPO],DADOS!$AJ$4,tabela_registros[CATEGORIA],reservavariáveisconsolidadodez[[#This Row],[ATUAL]])</f>
        <v>0</v>
      </c>
      <c r="AD188" s="119" t="n">
        <f aca="false">SUMIFS(tabela_registros[VALOR],tabela_registros[MÊS],$AE$1,tabela_registros[DIA],reservavariáveisconsolidadodez[[#Headers],[26]],tabela_registros[REGISTRO],DADOS!$N$6,tabela_registros[TIPO],DADOS!$AJ$4,tabela_registros[CATEGORIA],reservavariáveisconsolidadodez[[#This Row],[ATUAL]])</f>
        <v>0</v>
      </c>
      <c r="AE188" s="119" t="n">
        <f aca="false">SUMIFS(tabela_registros[VALOR],tabela_registros[MÊS],$AE$1,tabela_registros[DIA],reservavariáveisconsolidadodez[[#Headers],[27]],tabela_registros[REGISTRO],DADOS!$N$6,tabela_registros[TIPO],DADOS!$AJ$4,tabela_registros[CATEGORIA],reservavariáveisconsolidadodez[[#This Row],[ATUAL]])</f>
        <v>0</v>
      </c>
      <c r="AF188" s="119" t="n">
        <f aca="false">SUMIFS(tabela_registros[VALOR],tabela_registros[MÊS],$AE$1,tabela_registros[DIA],reservavariáveisconsolidadodez[[#Headers],[28]],tabela_registros[REGISTRO],DADOS!$N$6,tabela_registros[TIPO],DADOS!$AJ$4,tabela_registros[CATEGORIA],reservavariáveisconsolidadodez[[#This Row],[ATUAL]])</f>
        <v>0</v>
      </c>
      <c r="AG188" s="119" t="n">
        <f aca="false">SUMIFS(tabela_registros[VALOR],tabela_registros[MÊS],$AE$1,tabela_registros[DIA],reservavariáveisconsolidadodez[[#Headers],[29]],tabela_registros[REGISTRO],DADOS!$N$6,tabela_registros[TIPO],DADOS!$AJ$4,tabela_registros[CATEGORIA],reservavariáveisconsolidadodez[[#This Row],[ATUAL]])</f>
        <v>0</v>
      </c>
      <c r="AH188" s="119" t="n">
        <f aca="false">SUMIFS(tabela_registros[VALOR],tabela_registros[MÊS],$AE$1,tabela_registros[DIA],reservavariáveisconsolidadodez[[#Headers],[30]],tabela_registros[REGISTRO],DADOS!$N$6,tabela_registros[TIPO],DADOS!$AJ$4,tabela_registros[CATEGORIA],reservavariáveisconsolidadodez[[#This Row],[ATUAL]])</f>
        <v>0</v>
      </c>
      <c r="AI188" s="217" t="n">
        <f aca="false">SUMIFS(tabela_registros[VALOR],tabela_registros[MÊS],$AE$1,tabela_registros[DIA],reservavariáveisconsolidadodez[[#Headers],[31]],tabela_registros[REGISTRO],DADOS!$N$6,tabela_registros[TIPO],DADOS!$AJ$4,tabela_registros[CATEGORIA],reservavariáveisconsolidadodez[[#This Row],[ATUAL]])</f>
        <v>0</v>
      </c>
      <c r="AJ188" s="149" t="n">
        <f aca="false">SUM(reservavariáveisconsolidadodez[[#This Row],[1]:[31]])</f>
        <v>0</v>
      </c>
      <c r="AK188" s="165"/>
    </row>
    <row r="189" customFormat="false" ht="19.5" hidden="false" customHeight="true" outlineLevel="0" collapsed="false">
      <c r="B189" s="143"/>
      <c r="C189" s="144" t="str">
        <f aca="false">DADOS!$AN$5</f>
        <v>📝 CONTRATO DE FUTUROS</v>
      </c>
      <c r="D189" s="145" t="str">
        <f aca="false">IF(reservavariáveisconsolidadodez[[#This Row],[TOTAL (R$)]]=0,"",IF(OR(reservavariáveisconsolidadodez[[#This Row],[TOTAL (R$)]]=LARGE($AJ$187:$AJ$196,1),reservavariáveisconsolidadodez[[#This Row],[TOTAL (R$)]]=LARGE($AJ$187:$AJ$196,2)),DADOS!$I$11,""))</f>
        <v/>
      </c>
      <c r="E189" s="148" t="n">
        <f aca="false">SUMIFS(tabela_registros[VALOR],tabela_registros[MÊS],$AE$1,tabela_registros[DIA],reservavariáveisconsolidadodez[[#Headers],[1]],tabela_registros[REGISTRO],DADOS!$N$6,tabela_registros[TIPO],DADOS!$AJ$4,tabela_registros[CATEGORIA],reservavariáveisconsolidadodez[[#This Row],[ATUAL]])</f>
        <v>0</v>
      </c>
      <c r="F189" s="119" t="n">
        <f aca="false">SUMIFS(tabela_registros[VALOR],tabela_registros[MÊS],$AE$1,tabela_registros[DIA],reservavariáveisconsolidadodez[[#Headers],[2]],tabela_registros[REGISTRO],DADOS!$N$6,tabela_registros[TIPO],DADOS!$AJ$4,tabela_registros[CATEGORIA],reservavariáveisconsolidadodez[[#This Row],[ATUAL]])</f>
        <v>0</v>
      </c>
      <c r="G189" s="119" t="n">
        <f aca="false">SUMIFS(tabela_registros[VALOR],tabela_registros[MÊS],$AE$1,tabela_registros[DIA],reservavariáveisconsolidadodez[[#Headers],[3]],tabela_registros[REGISTRO],DADOS!$N$6,tabela_registros[TIPO],DADOS!$AJ$4,tabela_registros[CATEGORIA],reservavariáveisconsolidadodez[[#This Row],[ATUAL]])</f>
        <v>0</v>
      </c>
      <c r="H189" s="119" t="n">
        <f aca="false">SUMIFS(tabela_registros[VALOR],tabela_registros[MÊS],$AE$1,tabela_registros[DIA],reservavariáveisconsolidadodez[[#Headers],[4]],tabela_registros[REGISTRO],DADOS!$N$6,tabela_registros[TIPO],DADOS!$AJ$4,tabela_registros[CATEGORIA],reservavariáveisconsolidadodez[[#This Row],[ATUAL]])</f>
        <v>0</v>
      </c>
      <c r="I189" s="119" t="n">
        <f aca="false">SUMIFS(tabela_registros[VALOR],tabela_registros[MÊS],$AE$1,tabela_registros[DIA],reservavariáveisconsolidadodez[[#Headers],[5]],tabela_registros[REGISTRO],DADOS!$N$6,tabela_registros[TIPO],DADOS!$AJ$4,tabela_registros[CATEGORIA],reservavariáveisconsolidadodez[[#This Row],[ATUAL]])</f>
        <v>0</v>
      </c>
      <c r="J189" s="119" t="n">
        <f aca="false">SUMIFS(tabela_registros[VALOR],tabela_registros[MÊS],$AE$1,tabela_registros[DIA],reservavariáveisconsolidadodez[[#Headers],[6]],tabela_registros[REGISTRO],DADOS!$N$6,tabela_registros[TIPO],DADOS!$AJ$4,tabela_registros[CATEGORIA],reservavariáveisconsolidadodez[[#This Row],[ATUAL]])</f>
        <v>0</v>
      </c>
      <c r="K189" s="119" t="n">
        <f aca="false">SUMIFS(tabela_registros[VALOR],tabela_registros[MÊS],$AE$1,tabela_registros[DIA],reservavariáveisconsolidadodez[[#Headers],[7]],tabela_registros[REGISTRO],DADOS!$N$6,tabela_registros[TIPO],DADOS!$AJ$4,tabela_registros[CATEGORIA],reservavariáveisconsolidadodez[[#This Row],[ATUAL]])</f>
        <v>0</v>
      </c>
      <c r="L189" s="119" t="n">
        <f aca="false">SUMIFS(tabela_registros[VALOR],tabela_registros[MÊS],$AE$1,tabela_registros[DIA],reservavariáveisconsolidadodez[[#Headers],[8]],tabela_registros[REGISTRO],DADOS!$N$6,tabela_registros[TIPO],DADOS!$AJ$4,tabela_registros[CATEGORIA],reservavariáveisconsolidadodez[[#This Row],[ATUAL]])</f>
        <v>0</v>
      </c>
      <c r="M189" s="119" t="n">
        <f aca="false">SUMIFS(tabela_registros[VALOR],tabela_registros[MÊS],$AE$1,tabela_registros[DIA],reservavariáveisconsolidadodez[[#Headers],[9]],tabela_registros[REGISTRO],DADOS!$N$6,tabela_registros[TIPO],DADOS!$AJ$4,tabela_registros[CATEGORIA],reservavariáveisconsolidadodez[[#This Row],[ATUAL]])</f>
        <v>0</v>
      </c>
      <c r="N189" s="119" t="n">
        <f aca="false">SUMIFS(tabela_registros[VALOR],tabela_registros[MÊS],$AE$1,tabela_registros[DIA],reservavariáveisconsolidadodez[[#Headers],[10]],tabela_registros[REGISTRO],DADOS!$N$6,tabela_registros[TIPO],DADOS!$AJ$4,tabela_registros[CATEGORIA],reservavariáveisconsolidadodez[[#This Row],[ATUAL]])</f>
        <v>0</v>
      </c>
      <c r="O189" s="119" t="n">
        <f aca="false">SUMIFS(tabela_registros[VALOR],tabela_registros[MÊS],$AE$1,tabela_registros[DIA],reservavariáveisconsolidadodez[[#Headers],[11]],tabela_registros[REGISTRO],DADOS!$N$6,tabela_registros[TIPO],DADOS!$AJ$4,tabela_registros[CATEGORIA],reservavariáveisconsolidadodez[[#This Row],[ATUAL]])</f>
        <v>0</v>
      </c>
      <c r="P189" s="119" t="n">
        <f aca="false">SUMIFS(tabela_registros[VALOR],tabela_registros[MÊS],$AE$1,tabela_registros[DIA],reservavariáveisconsolidadodez[[#Headers],[12]],tabela_registros[REGISTRO],DADOS!$N$6,tabela_registros[TIPO],DADOS!$AJ$4,tabela_registros[CATEGORIA],reservavariáveisconsolidadodez[[#This Row],[ATUAL]])</f>
        <v>0</v>
      </c>
      <c r="Q189" s="119" t="n">
        <f aca="false">SUMIFS(tabela_registros[VALOR],tabela_registros[MÊS],$AE$1,tabela_registros[DIA],reservavariáveisconsolidadodez[[#Headers],[13]],tabela_registros[REGISTRO],DADOS!$N$6,tabela_registros[TIPO],DADOS!$AJ$4,tabela_registros[CATEGORIA],reservavariáveisconsolidadodez[[#This Row],[ATUAL]])</f>
        <v>0</v>
      </c>
      <c r="R189" s="119" t="n">
        <f aca="false">SUMIFS(tabela_registros[VALOR],tabela_registros[MÊS],$AE$1,tabela_registros[DIA],reservavariáveisconsolidadodez[[#Headers],[14]],tabela_registros[REGISTRO],DADOS!$N$6,tabela_registros[TIPO],DADOS!$AJ$4,tabela_registros[CATEGORIA],reservavariáveisconsolidadodez[[#This Row],[ATUAL]])</f>
        <v>0</v>
      </c>
      <c r="S189" s="119" t="n">
        <f aca="false">SUMIFS(tabela_registros[VALOR],tabela_registros[MÊS],$AE$1,tabela_registros[DIA],reservavariáveisconsolidadodez[[#Headers],[15]],tabela_registros[REGISTRO],DADOS!$N$6,tabela_registros[TIPO],DADOS!$AJ$4,tabela_registros[CATEGORIA],reservavariáveisconsolidadodez[[#This Row],[ATUAL]])</f>
        <v>0</v>
      </c>
      <c r="T189" s="119" t="n">
        <f aca="false">SUMIFS(tabela_registros[VALOR],tabela_registros[MÊS],$AE$1,tabela_registros[DIA],reservavariáveisconsolidadodez[[#Headers],[16]],tabela_registros[REGISTRO],DADOS!$N$6,tabela_registros[TIPO],DADOS!$AJ$4,tabela_registros[CATEGORIA],reservavariáveisconsolidadodez[[#This Row],[ATUAL]])</f>
        <v>0</v>
      </c>
      <c r="U189" s="119" t="n">
        <f aca="false">SUMIFS(tabela_registros[VALOR],tabela_registros[MÊS],$AE$1,tabela_registros[DIA],reservavariáveisconsolidadodez[[#Headers],[17]],tabela_registros[REGISTRO],DADOS!$N$6,tabela_registros[TIPO],DADOS!$AJ$4,tabela_registros[CATEGORIA],reservavariáveisconsolidadodez[[#This Row],[ATUAL]])</f>
        <v>0</v>
      </c>
      <c r="V189" s="119" t="n">
        <f aca="false">SUMIFS(tabela_registros[VALOR],tabela_registros[MÊS],$AE$1,tabela_registros[DIA],reservavariáveisconsolidadodez[[#Headers],[18]],tabela_registros[REGISTRO],DADOS!$N$6,tabela_registros[TIPO],DADOS!$AJ$4,tabela_registros[CATEGORIA],reservavariáveisconsolidadodez[[#This Row],[ATUAL]])</f>
        <v>0</v>
      </c>
      <c r="W189" s="119" t="n">
        <f aca="false">SUMIFS(tabela_registros[VALOR],tabela_registros[MÊS],$AE$1,tabela_registros[DIA],reservavariáveisconsolidadodez[[#Headers],[19]],tabela_registros[REGISTRO],DADOS!$N$6,tabela_registros[TIPO],DADOS!$AJ$4,tabela_registros[CATEGORIA],reservavariáveisconsolidadodez[[#This Row],[ATUAL]])</f>
        <v>0</v>
      </c>
      <c r="X189" s="119" t="n">
        <f aca="false">SUMIFS(tabela_registros[VALOR],tabela_registros[MÊS],$AE$1,tabela_registros[DIA],reservavariáveisconsolidadodez[[#Headers],[20]],tabela_registros[REGISTRO],DADOS!$N$6,tabela_registros[TIPO],DADOS!$AJ$4,tabela_registros[CATEGORIA],reservavariáveisconsolidadodez[[#This Row],[ATUAL]])</f>
        <v>0</v>
      </c>
      <c r="Y189" s="119" t="n">
        <f aca="false">SUMIFS(tabela_registros[VALOR],tabela_registros[MÊS],$AE$1,tabela_registros[DIA],reservavariáveisconsolidadodez[[#Headers],[21]],tabela_registros[REGISTRO],DADOS!$N$6,tabela_registros[TIPO],DADOS!$AJ$4,tabela_registros[CATEGORIA],reservavariáveisconsolidadodez[[#This Row],[ATUAL]])</f>
        <v>0</v>
      </c>
      <c r="Z189" s="119" t="n">
        <f aca="false">SUMIFS(tabela_registros[VALOR],tabela_registros[MÊS],$AE$1,tabela_registros[DIA],reservavariáveisconsolidadodez[[#Headers],[22]],tabela_registros[REGISTRO],DADOS!$N$6,tabela_registros[TIPO],DADOS!$AJ$4,tabela_registros[CATEGORIA],reservavariáveisconsolidadodez[[#This Row],[ATUAL]])</f>
        <v>0</v>
      </c>
      <c r="AA189" s="119" t="n">
        <f aca="false">SUMIFS(tabela_registros[VALOR],tabela_registros[MÊS],$AE$1,tabela_registros[DIA],reservavariáveisconsolidadodez[[#Headers],[23]],tabela_registros[REGISTRO],DADOS!$N$6,tabela_registros[TIPO],DADOS!$AJ$4,tabela_registros[CATEGORIA],reservavariáveisconsolidadodez[[#This Row],[ATUAL]])</f>
        <v>0</v>
      </c>
      <c r="AB189" s="119" t="n">
        <f aca="false">SUMIFS(tabela_registros[VALOR],tabela_registros[MÊS],$AE$1,tabela_registros[DIA],reservavariáveisconsolidadodez[[#Headers],[24]],tabela_registros[REGISTRO],DADOS!$N$6,tabela_registros[TIPO],DADOS!$AJ$4,tabela_registros[CATEGORIA],reservavariáveisconsolidadodez[[#This Row],[ATUAL]])</f>
        <v>0</v>
      </c>
      <c r="AC189" s="119" t="n">
        <f aca="false">SUMIFS(tabela_registros[VALOR],tabela_registros[MÊS],$AE$1,tabela_registros[DIA],reservavariáveisconsolidadodez[[#Headers],[25]],tabela_registros[REGISTRO],DADOS!$N$6,tabela_registros[TIPO],DADOS!$AJ$4,tabela_registros[CATEGORIA],reservavariáveisconsolidadodez[[#This Row],[ATUAL]])</f>
        <v>0</v>
      </c>
      <c r="AD189" s="119" t="n">
        <f aca="false">SUMIFS(tabela_registros[VALOR],tabela_registros[MÊS],$AE$1,tabela_registros[DIA],reservavariáveisconsolidadodez[[#Headers],[26]],tabela_registros[REGISTRO],DADOS!$N$6,tabela_registros[TIPO],DADOS!$AJ$4,tabela_registros[CATEGORIA],reservavariáveisconsolidadodez[[#This Row],[ATUAL]])</f>
        <v>0</v>
      </c>
      <c r="AE189" s="119" t="n">
        <f aca="false">SUMIFS(tabela_registros[VALOR],tabela_registros[MÊS],$AE$1,tabela_registros[DIA],reservavariáveisconsolidadodez[[#Headers],[27]],tabela_registros[REGISTRO],DADOS!$N$6,tabela_registros[TIPO],DADOS!$AJ$4,tabela_registros[CATEGORIA],reservavariáveisconsolidadodez[[#This Row],[ATUAL]])</f>
        <v>0</v>
      </c>
      <c r="AF189" s="119" t="n">
        <f aca="false">SUMIFS(tabela_registros[VALOR],tabela_registros[MÊS],$AE$1,tabela_registros[DIA],reservavariáveisconsolidadodez[[#Headers],[28]],tabela_registros[REGISTRO],DADOS!$N$6,tabela_registros[TIPO],DADOS!$AJ$4,tabela_registros[CATEGORIA],reservavariáveisconsolidadodez[[#This Row],[ATUAL]])</f>
        <v>0</v>
      </c>
      <c r="AG189" s="119" t="n">
        <f aca="false">SUMIFS(tabela_registros[VALOR],tabela_registros[MÊS],$AE$1,tabela_registros[DIA],reservavariáveisconsolidadodez[[#Headers],[29]],tabela_registros[REGISTRO],DADOS!$N$6,tabela_registros[TIPO],DADOS!$AJ$4,tabela_registros[CATEGORIA],reservavariáveisconsolidadodez[[#This Row],[ATUAL]])</f>
        <v>0</v>
      </c>
      <c r="AH189" s="119" t="n">
        <f aca="false">SUMIFS(tabela_registros[VALOR],tabela_registros[MÊS],$AE$1,tabela_registros[DIA],reservavariáveisconsolidadodez[[#Headers],[30]],tabela_registros[REGISTRO],DADOS!$N$6,tabela_registros[TIPO],DADOS!$AJ$4,tabela_registros[CATEGORIA],reservavariáveisconsolidadodez[[#This Row],[ATUAL]])</f>
        <v>0</v>
      </c>
      <c r="AI189" s="217" t="n">
        <f aca="false">SUMIFS(tabela_registros[VALOR],tabela_registros[MÊS],$AE$1,tabela_registros[DIA],reservavariáveisconsolidadodez[[#Headers],[31]],tabela_registros[REGISTRO],DADOS!$N$6,tabela_registros[TIPO],DADOS!$AJ$4,tabela_registros[CATEGORIA],reservavariáveisconsolidadodez[[#This Row],[ATUAL]])</f>
        <v>0</v>
      </c>
      <c r="AJ189" s="149" t="n">
        <f aca="false">SUM(reservavariáveisconsolidadodez[[#This Row],[1]:[31]])</f>
        <v>0</v>
      </c>
      <c r="AK189" s="165"/>
    </row>
    <row r="190" customFormat="false" ht="19.5" hidden="false" customHeight="true" outlineLevel="0" collapsed="false">
      <c r="B190" s="143"/>
      <c r="C190" s="144" t="str">
        <f aca="false">DADOS!$AN$6</f>
        <v>📝 CONTRATO DE OPÇÕES</v>
      </c>
      <c r="D190" s="145" t="str">
        <f aca="false">IF(reservavariáveisconsolidadodez[[#This Row],[TOTAL (R$)]]=0,"",IF(OR(reservavariáveisconsolidadodez[[#This Row],[TOTAL (R$)]]=LARGE($AJ$187:$AJ$196,1),reservavariáveisconsolidadodez[[#This Row],[TOTAL (R$)]]=LARGE($AJ$187:$AJ$196,2)),DADOS!$I$11,""))</f>
        <v/>
      </c>
      <c r="E190" s="148" t="n">
        <f aca="false">SUMIFS(tabela_registros[VALOR],tabela_registros[MÊS],$AE$1,tabela_registros[DIA],reservavariáveisconsolidadodez[[#Headers],[1]],tabela_registros[REGISTRO],DADOS!$N$6,tabela_registros[TIPO],DADOS!$AJ$4,tabela_registros[CATEGORIA],reservavariáveisconsolidadodez[[#This Row],[ATUAL]])</f>
        <v>0</v>
      </c>
      <c r="F190" s="119" t="n">
        <f aca="false">SUMIFS(tabela_registros[VALOR],tabela_registros[MÊS],$AE$1,tabela_registros[DIA],reservavariáveisconsolidadodez[[#Headers],[2]],tabela_registros[REGISTRO],DADOS!$N$6,tabela_registros[TIPO],DADOS!$AJ$4,tabela_registros[CATEGORIA],reservavariáveisconsolidadodez[[#This Row],[ATUAL]])</f>
        <v>0</v>
      </c>
      <c r="G190" s="119" t="n">
        <f aca="false">SUMIFS(tabela_registros[VALOR],tabela_registros[MÊS],$AE$1,tabela_registros[DIA],reservavariáveisconsolidadodez[[#Headers],[3]],tabela_registros[REGISTRO],DADOS!$N$6,tabela_registros[TIPO],DADOS!$AJ$4,tabela_registros[CATEGORIA],reservavariáveisconsolidadodez[[#This Row],[ATUAL]])</f>
        <v>0</v>
      </c>
      <c r="H190" s="119" t="n">
        <f aca="false">SUMIFS(tabela_registros[VALOR],tabela_registros[MÊS],$AE$1,tabela_registros[DIA],reservavariáveisconsolidadodez[[#Headers],[4]],tabela_registros[REGISTRO],DADOS!$N$6,tabela_registros[TIPO],DADOS!$AJ$4,tabela_registros[CATEGORIA],reservavariáveisconsolidadodez[[#This Row],[ATUAL]])</f>
        <v>0</v>
      </c>
      <c r="I190" s="119" t="n">
        <f aca="false">SUMIFS(tabela_registros[VALOR],tabela_registros[MÊS],$AE$1,tabela_registros[DIA],reservavariáveisconsolidadodez[[#Headers],[5]],tabela_registros[REGISTRO],DADOS!$N$6,tabela_registros[TIPO],DADOS!$AJ$4,tabela_registros[CATEGORIA],reservavariáveisconsolidadodez[[#This Row],[ATUAL]])</f>
        <v>0</v>
      </c>
      <c r="J190" s="119" t="n">
        <f aca="false">SUMIFS(tabela_registros[VALOR],tabela_registros[MÊS],$AE$1,tabela_registros[DIA],reservavariáveisconsolidadodez[[#Headers],[6]],tabela_registros[REGISTRO],DADOS!$N$6,tabela_registros[TIPO],DADOS!$AJ$4,tabela_registros[CATEGORIA],reservavariáveisconsolidadodez[[#This Row],[ATUAL]])</f>
        <v>0</v>
      </c>
      <c r="K190" s="119" t="n">
        <f aca="false">SUMIFS(tabela_registros[VALOR],tabela_registros[MÊS],$AE$1,tabela_registros[DIA],reservavariáveisconsolidadodez[[#Headers],[7]],tabela_registros[REGISTRO],DADOS!$N$6,tabela_registros[TIPO],DADOS!$AJ$4,tabela_registros[CATEGORIA],reservavariáveisconsolidadodez[[#This Row],[ATUAL]])</f>
        <v>0</v>
      </c>
      <c r="L190" s="119" t="n">
        <f aca="false">SUMIFS(tabela_registros[VALOR],tabela_registros[MÊS],$AE$1,tabela_registros[DIA],reservavariáveisconsolidadodez[[#Headers],[8]],tabela_registros[REGISTRO],DADOS!$N$6,tabela_registros[TIPO],DADOS!$AJ$4,tabela_registros[CATEGORIA],reservavariáveisconsolidadodez[[#This Row],[ATUAL]])</f>
        <v>0</v>
      </c>
      <c r="M190" s="119" t="n">
        <f aca="false">SUMIFS(tabela_registros[VALOR],tabela_registros[MÊS],$AE$1,tabela_registros[DIA],reservavariáveisconsolidadodez[[#Headers],[9]],tabela_registros[REGISTRO],DADOS!$N$6,tabela_registros[TIPO],DADOS!$AJ$4,tabela_registros[CATEGORIA],reservavariáveisconsolidadodez[[#This Row],[ATUAL]])</f>
        <v>0</v>
      </c>
      <c r="N190" s="119" t="n">
        <f aca="false">SUMIFS(tabela_registros[VALOR],tabela_registros[MÊS],$AE$1,tabela_registros[DIA],reservavariáveisconsolidadodez[[#Headers],[10]],tabela_registros[REGISTRO],DADOS!$N$6,tabela_registros[TIPO],DADOS!$AJ$4,tabela_registros[CATEGORIA],reservavariáveisconsolidadodez[[#This Row],[ATUAL]])</f>
        <v>0</v>
      </c>
      <c r="O190" s="119" t="n">
        <f aca="false">SUMIFS(tabela_registros[VALOR],tabela_registros[MÊS],$AE$1,tabela_registros[DIA],reservavariáveisconsolidadodez[[#Headers],[11]],tabela_registros[REGISTRO],DADOS!$N$6,tabela_registros[TIPO],DADOS!$AJ$4,tabela_registros[CATEGORIA],reservavariáveisconsolidadodez[[#This Row],[ATUAL]])</f>
        <v>0</v>
      </c>
      <c r="P190" s="119" t="n">
        <f aca="false">SUMIFS(tabela_registros[VALOR],tabela_registros[MÊS],$AE$1,tabela_registros[DIA],reservavariáveisconsolidadodez[[#Headers],[12]],tabela_registros[REGISTRO],DADOS!$N$6,tabela_registros[TIPO],DADOS!$AJ$4,tabela_registros[CATEGORIA],reservavariáveisconsolidadodez[[#This Row],[ATUAL]])</f>
        <v>0</v>
      </c>
      <c r="Q190" s="119" t="n">
        <f aca="false">SUMIFS(tabela_registros[VALOR],tabela_registros[MÊS],$AE$1,tabela_registros[DIA],reservavariáveisconsolidadodez[[#Headers],[13]],tabela_registros[REGISTRO],DADOS!$N$6,tabela_registros[TIPO],DADOS!$AJ$4,tabela_registros[CATEGORIA],reservavariáveisconsolidadodez[[#This Row],[ATUAL]])</f>
        <v>0</v>
      </c>
      <c r="R190" s="119" t="n">
        <f aca="false">SUMIFS(tabela_registros[VALOR],tabela_registros[MÊS],$AE$1,tabela_registros[DIA],reservavariáveisconsolidadodez[[#Headers],[14]],tabela_registros[REGISTRO],DADOS!$N$6,tabela_registros[TIPO],DADOS!$AJ$4,tabela_registros[CATEGORIA],reservavariáveisconsolidadodez[[#This Row],[ATUAL]])</f>
        <v>0</v>
      </c>
      <c r="S190" s="119" t="n">
        <f aca="false">SUMIFS(tabela_registros[VALOR],tabela_registros[MÊS],$AE$1,tabela_registros[DIA],reservavariáveisconsolidadodez[[#Headers],[15]],tabela_registros[REGISTRO],DADOS!$N$6,tabela_registros[TIPO],DADOS!$AJ$4,tabela_registros[CATEGORIA],reservavariáveisconsolidadodez[[#This Row],[ATUAL]])</f>
        <v>0</v>
      </c>
      <c r="T190" s="119" t="n">
        <f aca="false">SUMIFS(tabela_registros[VALOR],tabela_registros[MÊS],$AE$1,tabela_registros[DIA],reservavariáveisconsolidadodez[[#Headers],[16]],tabela_registros[REGISTRO],DADOS!$N$6,tabela_registros[TIPO],DADOS!$AJ$4,tabela_registros[CATEGORIA],reservavariáveisconsolidadodez[[#This Row],[ATUAL]])</f>
        <v>0</v>
      </c>
      <c r="U190" s="119" t="n">
        <f aca="false">SUMIFS(tabela_registros[VALOR],tabela_registros[MÊS],$AE$1,tabela_registros[DIA],reservavariáveisconsolidadodez[[#Headers],[17]],tabela_registros[REGISTRO],DADOS!$N$6,tabela_registros[TIPO],DADOS!$AJ$4,tabela_registros[CATEGORIA],reservavariáveisconsolidadodez[[#This Row],[ATUAL]])</f>
        <v>0</v>
      </c>
      <c r="V190" s="119" t="n">
        <f aca="false">SUMIFS(tabela_registros[VALOR],tabela_registros[MÊS],$AE$1,tabela_registros[DIA],reservavariáveisconsolidadodez[[#Headers],[18]],tabela_registros[REGISTRO],DADOS!$N$6,tabela_registros[TIPO],DADOS!$AJ$4,tabela_registros[CATEGORIA],reservavariáveisconsolidadodez[[#This Row],[ATUAL]])</f>
        <v>0</v>
      </c>
      <c r="W190" s="119" t="n">
        <f aca="false">SUMIFS(tabela_registros[VALOR],tabela_registros[MÊS],$AE$1,tabela_registros[DIA],reservavariáveisconsolidadodez[[#Headers],[19]],tabela_registros[REGISTRO],DADOS!$N$6,tabela_registros[TIPO],DADOS!$AJ$4,tabela_registros[CATEGORIA],reservavariáveisconsolidadodez[[#This Row],[ATUAL]])</f>
        <v>0</v>
      </c>
      <c r="X190" s="119" t="n">
        <f aca="false">SUMIFS(tabela_registros[VALOR],tabela_registros[MÊS],$AE$1,tabela_registros[DIA],reservavariáveisconsolidadodez[[#Headers],[20]],tabela_registros[REGISTRO],DADOS!$N$6,tabela_registros[TIPO],DADOS!$AJ$4,tabela_registros[CATEGORIA],reservavariáveisconsolidadodez[[#This Row],[ATUAL]])</f>
        <v>0</v>
      </c>
      <c r="Y190" s="119" t="n">
        <f aca="false">SUMIFS(tabela_registros[VALOR],tabela_registros[MÊS],$AE$1,tabela_registros[DIA],reservavariáveisconsolidadodez[[#Headers],[21]],tabela_registros[REGISTRO],DADOS!$N$6,tabela_registros[TIPO],DADOS!$AJ$4,tabela_registros[CATEGORIA],reservavariáveisconsolidadodez[[#This Row],[ATUAL]])</f>
        <v>0</v>
      </c>
      <c r="Z190" s="119" t="n">
        <f aca="false">SUMIFS(tabela_registros[VALOR],tabela_registros[MÊS],$AE$1,tabela_registros[DIA],reservavariáveisconsolidadodez[[#Headers],[22]],tabela_registros[REGISTRO],DADOS!$N$6,tabela_registros[TIPO],DADOS!$AJ$4,tabela_registros[CATEGORIA],reservavariáveisconsolidadodez[[#This Row],[ATUAL]])</f>
        <v>0</v>
      </c>
      <c r="AA190" s="119" t="n">
        <f aca="false">SUMIFS(tabela_registros[VALOR],tabela_registros[MÊS],$AE$1,tabela_registros[DIA],reservavariáveisconsolidadodez[[#Headers],[23]],tabela_registros[REGISTRO],DADOS!$N$6,tabela_registros[TIPO],DADOS!$AJ$4,tabela_registros[CATEGORIA],reservavariáveisconsolidadodez[[#This Row],[ATUAL]])</f>
        <v>0</v>
      </c>
      <c r="AB190" s="119" t="n">
        <f aca="false">SUMIFS(tabela_registros[VALOR],tabela_registros[MÊS],$AE$1,tabela_registros[DIA],reservavariáveisconsolidadodez[[#Headers],[24]],tabela_registros[REGISTRO],DADOS!$N$6,tabela_registros[TIPO],DADOS!$AJ$4,tabela_registros[CATEGORIA],reservavariáveisconsolidadodez[[#This Row],[ATUAL]])</f>
        <v>0</v>
      </c>
      <c r="AC190" s="119" t="n">
        <f aca="false">SUMIFS(tabela_registros[VALOR],tabela_registros[MÊS],$AE$1,tabela_registros[DIA],reservavariáveisconsolidadodez[[#Headers],[25]],tabela_registros[REGISTRO],DADOS!$N$6,tabela_registros[TIPO],DADOS!$AJ$4,tabela_registros[CATEGORIA],reservavariáveisconsolidadodez[[#This Row],[ATUAL]])</f>
        <v>0</v>
      </c>
      <c r="AD190" s="119" t="n">
        <f aca="false">SUMIFS(tabela_registros[VALOR],tabela_registros[MÊS],$AE$1,tabela_registros[DIA],reservavariáveisconsolidadodez[[#Headers],[26]],tabela_registros[REGISTRO],DADOS!$N$6,tabela_registros[TIPO],DADOS!$AJ$4,tabela_registros[CATEGORIA],reservavariáveisconsolidadodez[[#This Row],[ATUAL]])</f>
        <v>0</v>
      </c>
      <c r="AE190" s="119" t="n">
        <f aca="false">SUMIFS(tabela_registros[VALOR],tabela_registros[MÊS],$AE$1,tabela_registros[DIA],reservavariáveisconsolidadodez[[#Headers],[27]],tabela_registros[REGISTRO],DADOS!$N$6,tabela_registros[TIPO],DADOS!$AJ$4,tabela_registros[CATEGORIA],reservavariáveisconsolidadodez[[#This Row],[ATUAL]])</f>
        <v>0</v>
      </c>
      <c r="AF190" s="119" t="n">
        <f aca="false">SUMIFS(tabela_registros[VALOR],tabela_registros[MÊS],$AE$1,tabela_registros[DIA],reservavariáveisconsolidadodez[[#Headers],[28]],tabela_registros[REGISTRO],DADOS!$N$6,tabela_registros[TIPO],DADOS!$AJ$4,tabela_registros[CATEGORIA],reservavariáveisconsolidadodez[[#This Row],[ATUAL]])</f>
        <v>0</v>
      </c>
      <c r="AG190" s="119" t="n">
        <f aca="false">SUMIFS(tabela_registros[VALOR],tabela_registros[MÊS],$AE$1,tabela_registros[DIA],reservavariáveisconsolidadodez[[#Headers],[29]],tabela_registros[REGISTRO],DADOS!$N$6,tabela_registros[TIPO],DADOS!$AJ$4,tabela_registros[CATEGORIA],reservavariáveisconsolidadodez[[#This Row],[ATUAL]])</f>
        <v>0</v>
      </c>
      <c r="AH190" s="119" t="n">
        <f aca="false">SUMIFS(tabela_registros[VALOR],tabela_registros[MÊS],$AE$1,tabela_registros[DIA],reservavariáveisconsolidadodez[[#Headers],[30]],tabela_registros[REGISTRO],DADOS!$N$6,tabela_registros[TIPO],DADOS!$AJ$4,tabela_registros[CATEGORIA],reservavariáveisconsolidadodez[[#This Row],[ATUAL]])</f>
        <v>0</v>
      </c>
      <c r="AI190" s="217" t="n">
        <f aca="false">SUMIFS(tabela_registros[VALOR],tabela_registros[MÊS],$AE$1,tabela_registros[DIA],reservavariáveisconsolidadodez[[#Headers],[31]],tabela_registros[REGISTRO],DADOS!$N$6,tabela_registros[TIPO],DADOS!$AJ$4,tabela_registros[CATEGORIA],reservavariáveisconsolidadodez[[#This Row],[ATUAL]])</f>
        <v>0</v>
      </c>
      <c r="AJ190" s="149" t="n">
        <f aca="false">SUM(reservavariáveisconsolidadodez[[#This Row],[1]:[31]])</f>
        <v>0</v>
      </c>
      <c r="AK190" s="165"/>
    </row>
    <row r="191" customFormat="false" ht="19.5" hidden="false" customHeight="true" outlineLevel="0" collapsed="false">
      <c r="B191" s="143"/>
      <c r="C191" s="144" t="str">
        <f aca="false">DADOS!$AN$7</f>
        <v>📝 CRIPTOMOEDA</v>
      </c>
      <c r="D191" s="145" t="str">
        <f aca="false">IF(reservavariáveisconsolidadodez[[#This Row],[TOTAL (R$)]]=0,"",IF(OR(reservavariáveisconsolidadodez[[#This Row],[TOTAL (R$)]]=LARGE($AJ$187:$AJ$196,1),reservavariáveisconsolidadodez[[#This Row],[TOTAL (R$)]]=LARGE($AJ$187:$AJ$196,2)),DADOS!$I$11,""))</f>
        <v/>
      </c>
      <c r="E191" s="148" t="n">
        <f aca="false">SUMIFS(tabela_registros[VALOR],tabela_registros[MÊS],$AE$1,tabela_registros[DIA],reservavariáveisconsolidadodez[[#Headers],[1]],tabela_registros[REGISTRO],DADOS!$N$6,tabela_registros[TIPO],DADOS!$AJ$4,tabela_registros[CATEGORIA],reservavariáveisconsolidadodez[[#This Row],[ATUAL]])</f>
        <v>0</v>
      </c>
      <c r="F191" s="119" t="n">
        <f aca="false">SUMIFS(tabela_registros[VALOR],tabela_registros[MÊS],$AE$1,tabela_registros[DIA],reservavariáveisconsolidadodez[[#Headers],[2]],tabela_registros[REGISTRO],DADOS!$N$6,tabela_registros[TIPO],DADOS!$AJ$4,tabela_registros[CATEGORIA],reservavariáveisconsolidadodez[[#This Row],[ATUAL]])</f>
        <v>0</v>
      </c>
      <c r="G191" s="119" t="n">
        <f aca="false">SUMIFS(tabela_registros[VALOR],tabela_registros[MÊS],$AE$1,tabela_registros[DIA],reservavariáveisconsolidadodez[[#Headers],[3]],tabela_registros[REGISTRO],DADOS!$N$6,tabela_registros[TIPO],DADOS!$AJ$4,tabela_registros[CATEGORIA],reservavariáveisconsolidadodez[[#This Row],[ATUAL]])</f>
        <v>0</v>
      </c>
      <c r="H191" s="119" t="n">
        <f aca="false">SUMIFS(tabela_registros[VALOR],tabela_registros[MÊS],$AE$1,tabela_registros[DIA],reservavariáveisconsolidadodez[[#Headers],[4]],tabela_registros[REGISTRO],DADOS!$N$6,tabela_registros[TIPO],DADOS!$AJ$4,tabela_registros[CATEGORIA],reservavariáveisconsolidadodez[[#This Row],[ATUAL]])</f>
        <v>0</v>
      </c>
      <c r="I191" s="119" t="n">
        <f aca="false">SUMIFS(tabela_registros[VALOR],tabela_registros[MÊS],$AE$1,tabela_registros[DIA],reservavariáveisconsolidadodez[[#Headers],[5]],tabela_registros[REGISTRO],DADOS!$N$6,tabela_registros[TIPO],DADOS!$AJ$4,tabela_registros[CATEGORIA],reservavariáveisconsolidadodez[[#This Row],[ATUAL]])</f>
        <v>0</v>
      </c>
      <c r="J191" s="119" t="n">
        <f aca="false">SUMIFS(tabela_registros[VALOR],tabela_registros[MÊS],$AE$1,tabela_registros[DIA],reservavariáveisconsolidadodez[[#Headers],[6]],tabela_registros[REGISTRO],DADOS!$N$6,tabela_registros[TIPO],DADOS!$AJ$4,tabela_registros[CATEGORIA],reservavariáveisconsolidadodez[[#This Row],[ATUAL]])</f>
        <v>0</v>
      </c>
      <c r="K191" s="119" t="n">
        <f aca="false">SUMIFS(tabela_registros[VALOR],tabela_registros[MÊS],$AE$1,tabela_registros[DIA],reservavariáveisconsolidadodez[[#Headers],[7]],tabela_registros[REGISTRO],DADOS!$N$6,tabela_registros[TIPO],DADOS!$AJ$4,tabela_registros[CATEGORIA],reservavariáveisconsolidadodez[[#This Row],[ATUAL]])</f>
        <v>0</v>
      </c>
      <c r="L191" s="119" t="n">
        <f aca="false">SUMIFS(tabela_registros[VALOR],tabela_registros[MÊS],$AE$1,tabela_registros[DIA],reservavariáveisconsolidadodez[[#Headers],[8]],tabela_registros[REGISTRO],DADOS!$N$6,tabela_registros[TIPO],DADOS!$AJ$4,tabela_registros[CATEGORIA],reservavariáveisconsolidadodez[[#This Row],[ATUAL]])</f>
        <v>0</v>
      </c>
      <c r="M191" s="119" t="n">
        <f aca="false">SUMIFS(tabela_registros[VALOR],tabela_registros[MÊS],$AE$1,tabela_registros[DIA],reservavariáveisconsolidadodez[[#Headers],[9]],tabela_registros[REGISTRO],DADOS!$N$6,tabela_registros[TIPO],DADOS!$AJ$4,tabela_registros[CATEGORIA],reservavariáveisconsolidadodez[[#This Row],[ATUAL]])</f>
        <v>0</v>
      </c>
      <c r="N191" s="119" t="n">
        <f aca="false">SUMIFS(tabela_registros[VALOR],tabela_registros[MÊS],$AE$1,tabela_registros[DIA],reservavariáveisconsolidadodez[[#Headers],[10]],tabela_registros[REGISTRO],DADOS!$N$6,tabela_registros[TIPO],DADOS!$AJ$4,tabela_registros[CATEGORIA],reservavariáveisconsolidadodez[[#This Row],[ATUAL]])</f>
        <v>0</v>
      </c>
      <c r="O191" s="119" t="n">
        <f aca="false">SUMIFS(tabela_registros[VALOR],tabela_registros[MÊS],$AE$1,tabela_registros[DIA],reservavariáveisconsolidadodez[[#Headers],[11]],tabela_registros[REGISTRO],DADOS!$N$6,tabela_registros[TIPO],DADOS!$AJ$4,tabela_registros[CATEGORIA],reservavariáveisconsolidadodez[[#This Row],[ATUAL]])</f>
        <v>0</v>
      </c>
      <c r="P191" s="119" t="n">
        <f aca="false">SUMIFS(tabela_registros[VALOR],tabela_registros[MÊS],$AE$1,tabela_registros[DIA],reservavariáveisconsolidadodez[[#Headers],[12]],tabela_registros[REGISTRO],DADOS!$N$6,tabela_registros[TIPO],DADOS!$AJ$4,tabela_registros[CATEGORIA],reservavariáveisconsolidadodez[[#This Row],[ATUAL]])</f>
        <v>0</v>
      </c>
      <c r="Q191" s="119" t="n">
        <f aca="false">SUMIFS(tabela_registros[VALOR],tabela_registros[MÊS],$AE$1,tabela_registros[DIA],reservavariáveisconsolidadodez[[#Headers],[13]],tabela_registros[REGISTRO],DADOS!$N$6,tabela_registros[TIPO],DADOS!$AJ$4,tabela_registros[CATEGORIA],reservavariáveisconsolidadodez[[#This Row],[ATUAL]])</f>
        <v>0</v>
      </c>
      <c r="R191" s="119" t="n">
        <f aca="false">SUMIFS(tabela_registros[VALOR],tabela_registros[MÊS],$AE$1,tabela_registros[DIA],reservavariáveisconsolidadodez[[#Headers],[14]],tabela_registros[REGISTRO],DADOS!$N$6,tabela_registros[TIPO],DADOS!$AJ$4,tabela_registros[CATEGORIA],reservavariáveisconsolidadodez[[#This Row],[ATUAL]])</f>
        <v>0</v>
      </c>
      <c r="S191" s="119" t="n">
        <f aca="false">SUMIFS(tabela_registros[VALOR],tabela_registros[MÊS],$AE$1,tabela_registros[DIA],reservavariáveisconsolidadodez[[#Headers],[15]],tabela_registros[REGISTRO],DADOS!$N$6,tabela_registros[TIPO],DADOS!$AJ$4,tabela_registros[CATEGORIA],reservavariáveisconsolidadodez[[#This Row],[ATUAL]])</f>
        <v>0</v>
      </c>
      <c r="T191" s="119" t="n">
        <f aca="false">SUMIFS(tabela_registros[VALOR],tabela_registros[MÊS],$AE$1,tabela_registros[DIA],reservavariáveisconsolidadodez[[#Headers],[16]],tabela_registros[REGISTRO],DADOS!$N$6,tabela_registros[TIPO],DADOS!$AJ$4,tabela_registros[CATEGORIA],reservavariáveisconsolidadodez[[#This Row],[ATUAL]])</f>
        <v>0</v>
      </c>
      <c r="U191" s="119" t="n">
        <f aca="false">SUMIFS(tabela_registros[VALOR],tabela_registros[MÊS],$AE$1,tabela_registros[DIA],reservavariáveisconsolidadodez[[#Headers],[17]],tabela_registros[REGISTRO],DADOS!$N$6,tabela_registros[TIPO],DADOS!$AJ$4,tabela_registros[CATEGORIA],reservavariáveisconsolidadodez[[#This Row],[ATUAL]])</f>
        <v>0</v>
      </c>
      <c r="V191" s="119" t="n">
        <f aca="false">SUMIFS(tabela_registros[VALOR],tabela_registros[MÊS],$AE$1,tabela_registros[DIA],reservavariáveisconsolidadodez[[#Headers],[18]],tabela_registros[REGISTRO],DADOS!$N$6,tabela_registros[TIPO],DADOS!$AJ$4,tabela_registros[CATEGORIA],reservavariáveisconsolidadodez[[#This Row],[ATUAL]])</f>
        <v>0</v>
      </c>
      <c r="W191" s="119" t="n">
        <f aca="false">SUMIFS(tabela_registros[VALOR],tabela_registros[MÊS],$AE$1,tabela_registros[DIA],reservavariáveisconsolidadodez[[#Headers],[19]],tabela_registros[REGISTRO],DADOS!$N$6,tabela_registros[TIPO],DADOS!$AJ$4,tabela_registros[CATEGORIA],reservavariáveisconsolidadodez[[#This Row],[ATUAL]])</f>
        <v>0</v>
      </c>
      <c r="X191" s="119" t="n">
        <f aca="false">SUMIFS(tabela_registros[VALOR],tabela_registros[MÊS],$AE$1,tabela_registros[DIA],reservavariáveisconsolidadodez[[#Headers],[20]],tabela_registros[REGISTRO],DADOS!$N$6,tabela_registros[TIPO],DADOS!$AJ$4,tabela_registros[CATEGORIA],reservavariáveisconsolidadodez[[#This Row],[ATUAL]])</f>
        <v>0</v>
      </c>
      <c r="Y191" s="119" t="n">
        <f aca="false">SUMIFS(tabela_registros[VALOR],tabela_registros[MÊS],$AE$1,tabela_registros[DIA],reservavariáveisconsolidadodez[[#Headers],[21]],tabela_registros[REGISTRO],DADOS!$N$6,tabela_registros[TIPO],DADOS!$AJ$4,tabela_registros[CATEGORIA],reservavariáveisconsolidadodez[[#This Row],[ATUAL]])</f>
        <v>0</v>
      </c>
      <c r="Z191" s="119" t="n">
        <f aca="false">SUMIFS(tabela_registros[VALOR],tabela_registros[MÊS],$AE$1,tabela_registros[DIA],reservavariáveisconsolidadodez[[#Headers],[22]],tabela_registros[REGISTRO],DADOS!$N$6,tabela_registros[TIPO],DADOS!$AJ$4,tabela_registros[CATEGORIA],reservavariáveisconsolidadodez[[#This Row],[ATUAL]])</f>
        <v>0</v>
      </c>
      <c r="AA191" s="119" t="n">
        <f aca="false">SUMIFS(tabela_registros[VALOR],tabela_registros[MÊS],$AE$1,tabela_registros[DIA],reservavariáveisconsolidadodez[[#Headers],[23]],tabela_registros[REGISTRO],DADOS!$N$6,tabela_registros[TIPO],DADOS!$AJ$4,tabela_registros[CATEGORIA],reservavariáveisconsolidadodez[[#This Row],[ATUAL]])</f>
        <v>0</v>
      </c>
      <c r="AB191" s="119" t="n">
        <f aca="false">SUMIFS(tabela_registros[VALOR],tabela_registros[MÊS],$AE$1,tabela_registros[DIA],reservavariáveisconsolidadodez[[#Headers],[24]],tabela_registros[REGISTRO],DADOS!$N$6,tabela_registros[TIPO],DADOS!$AJ$4,tabela_registros[CATEGORIA],reservavariáveisconsolidadodez[[#This Row],[ATUAL]])</f>
        <v>0</v>
      </c>
      <c r="AC191" s="119" t="n">
        <f aca="false">SUMIFS(tabela_registros[VALOR],tabela_registros[MÊS],$AE$1,tabela_registros[DIA],reservavariáveisconsolidadodez[[#Headers],[25]],tabela_registros[REGISTRO],DADOS!$N$6,tabela_registros[TIPO],DADOS!$AJ$4,tabela_registros[CATEGORIA],reservavariáveisconsolidadodez[[#This Row],[ATUAL]])</f>
        <v>0</v>
      </c>
      <c r="AD191" s="119" t="n">
        <f aca="false">SUMIFS(tabela_registros[VALOR],tabela_registros[MÊS],$AE$1,tabela_registros[DIA],reservavariáveisconsolidadodez[[#Headers],[26]],tabela_registros[REGISTRO],DADOS!$N$6,tabela_registros[TIPO],DADOS!$AJ$4,tabela_registros[CATEGORIA],reservavariáveisconsolidadodez[[#This Row],[ATUAL]])</f>
        <v>0</v>
      </c>
      <c r="AE191" s="119" t="n">
        <f aca="false">SUMIFS(tabela_registros[VALOR],tabela_registros[MÊS],$AE$1,tabela_registros[DIA],reservavariáveisconsolidadodez[[#Headers],[27]],tabela_registros[REGISTRO],DADOS!$N$6,tabela_registros[TIPO],DADOS!$AJ$4,tabela_registros[CATEGORIA],reservavariáveisconsolidadodez[[#This Row],[ATUAL]])</f>
        <v>0</v>
      </c>
      <c r="AF191" s="119" t="n">
        <f aca="false">SUMIFS(tabela_registros[VALOR],tabela_registros[MÊS],$AE$1,tabela_registros[DIA],reservavariáveisconsolidadodez[[#Headers],[28]],tabela_registros[REGISTRO],DADOS!$N$6,tabela_registros[TIPO],DADOS!$AJ$4,tabela_registros[CATEGORIA],reservavariáveisconsolidadodez[[#This Row],[ATUAL]])</f>
        <v>0</v>
      </c>
      <c r="AG191" s="119" t="n">
        <f aca="false">SUMIFS(tabela_registros[VALOR],tabela_registros[MÊS],$AE$1,tabela_registros[DIA],reservavariáveisconsolidadodez[[#Headers],[29]],tabela_registros[REGISTRO],DADOS!$N$6,tabela_registros[TIPO],DADOS!$AJ$4,tabela_registros[CATEGORIA],reservavariáveisconsolidadodez[[#This Row],[ATUAL]])</f>
        <v>0</v>
      </c>
      <c r="AH191" s="119" t="n">
        <f aca="false">SUMIFS(tabela_registros[VALOR],tabela_registros[MÊS],$AE$1,tabela_registros[DIA],reservavariáveisconsolidadodez[[#Headers],[30]],tabela_registros[REGISTRO],DADOS!$N$6,tabela_registros[TIPO],DADOS!$AJ$4,tabela_registros[CATEGORIA],reservavariáveisconsolidadodez[[#This Row],[ATUAL]])</f>
        <v>0</v>
      </c>
      <c r="AI191" s="217" t="n">
        <f aca="false">SUMIFS(tabela_registros[VALOR],tabela_registros[MÊS],$AE$1,tabela_registros[DIA],reservavariáveisconsolidadodez[[#Headers],[31]],tabela_registros[REGISTRO],DADOS!$N$6,tabela_registros[TIPO],DADOS!$AJ$4,tabela_registros[CATEGORIA],reservavariáveisconsolidadodez[[#This Row],[ATUAL]])</f>
        <v>0</v>
      </c>
      <c r="AJ191" s="149" t="n">
        <f aca="false">SUM(reservavariáveisconsolidadodez[[#This Row],[1]:[31]])</f>
        <v>0</v>
      </c>
      <c r="AK191" s="165"/>
    </row>
    <row r="192" customFormat="false" ht="19.5" hidden="false" customHeight="true" outlineLevel="0" collapsed="false">
      <c r="B192" s="143"/>
      <c r="C192" s="144" t="str">
        <f aca="false">DADOS!$AN$8</f>
        <v>📝 ETF</v>
      </c>
      <c r="D192" s="145" t="str">
        <f aca="false">IF(reservavariáveisconsolidadodez[[#This Row],[TOTAL (R$)]]=0,"",IF(OR(reservavariáveisconsolidadodez[[#This Row],[TOTAL (R$)]]=LARGE($AJ$187:$AJ$196,1),reservavariáveisconsolidadodez[[#This Row],[TOTAL (R$)]]=LARGE($AJ$187:$AJ$196,2)),DADOS!$I$11,""))</f>
        <v/>
      </c>
      <c r="E192" s="148" t="n">
        <f aca="false">SUMIFS(tabela_registros[VALOR],tabela_registros[MÊS],$AE$1,tabela_registros[DIA],reservavariáveisconsolidadodez[[#Headers],[1]],tabela_registros[REGISTRO],DADOS!$N$6,tabela_registros[TIPO],DADOS!$AJ$4,tabela_registros[CATEGORIA],reservavariáveisconsolidadodez[[#This Row],[ATUAL]])</f>
        <v>0</v>
      </c>
      <c r="F192" s="119" t="n">
        <f aca="false">SUMIFS(tabela_registros[VALOR],tabela_registros[MÊS],$AE$1,tabela_registros[DIA],reservavariáveisconsolidadodez[[#Headers],[2]],tabela_registros[REGISTRO],DADOS!$N$6,tabela_registros[TIPO],DADOS!$AJ$4,tabela_registros[CATEGORIA],reservavariáveisconsolidadodez[[#This Row],[ATUAL]])</f>
        <v>0</v>
      </c>
      <c r="G192" s="119" t="n">
        <f aca="false">SUMIFS(tabela_registros[VALOR],tabela_registros[MÊS],$AE$1,tabela_registros[DIA],reservavariáveisconsolidadodez[[#Headers],[3]],tabela_registros[REGISTRO],DADOS!$N$6,tabela_registros[TIPO],DADOS!$AJ$4,tabela_registros[CATEGORIA],reservavariáveisconsolidadodez[[#This Row],[ATUAL]])</f>
        <v>0</v>
      </c>
      <c r="H192" s="119" t="n">
        <f aca="false">SUMIFS(tabela_registros[VALOR],tabela_registros[MÊS],$AE$1,tabela_registros[DIA],reservavariáveisconsolidadodez[[#Headers],[4]],tabela_registros[REGISTRO],DADOS!$N$6,tabela_registros[TIPO],DADOS!$AJ$4,tabela_registros[CATEGORIA],reservavariáveisconsolidadodez[[#This Row],[ATUAL]])</f>
        <v>0</v>
      </c>
      <c r="I192" s="119" t="n">
        <f aca="false">SUMIFS(tabela_registros[VALOR],tabela_registros[MÊS],$AE$1,tabela_registros[DIA],reservavariáveisconsolidadodez[[#Headers],[5]],tabela_registros[REGISTRO],DADOS!$N$6,tabela_registros[TIPO],DADOS!$AJ$4,tabela_registros[CATEGORIA],reservavariáveisconsolidadodez[[#This Row],[ATUAL]])</f>
        <v>0</v>
      </c>
      <c r="J192" s="119" t="n">
        <f aca="false">SUMIFS(tabela_registros[VALOR],tabela_registros[MÊS],$AE$1,tabela_registros[DIA],reservavariáveisconsolidadodez[[#Headers],[6]],tabela_registros[REGISTRO],DADOS!$N$6,tabela_registros[TIPO],DADOS!$AJ$4,tabela_registros[CATEGORIA],reservavariáveisconsolidadodez[[#This Row],[ATUAL]])</f>
        <v>0</v>
      </c>
      <c r="K192" s="119" t="n">
        <f aca="false">SUMIFS(tabela_registros[VALOR],tabela_registros[MÊS],$AE$1,tabela_registros[DIA],reservavariáveisconsolidadodez[[#Headers],[7]],tabela_registros[REGISTRO],DADOS!$N$6,tabela_registros[TIPO],DADOS!$AJ$4,tabela_registros[CATEGORIA],reservavariáveisconsolidadodez[[#This Row],[ATUAL]])</f>
        <v>0</v>
      </c>
      <c r="L192" s="119" t="n">
        <f aca="false">SUMIFS(tabela_registros[VALOR],tabela_registros[MÊS],$AE$1,tabela_registros[DIA],reservavariáveisconsolidadodez[[#Headers],[8]],tabela_registros[REGISTRO],DADOS!$N$6,tabela_registros[TIPO],DADOS!$AJ$4,tabela_registros[CATEGORIA],reservavariáveisconsolidadodez[[#This Row],[ATUAL]])</f>
        <v>0</v>
      </c>
      <c r="M192" s="119" t="n">
        <f aca="false">SUMIFS(tabela_registros[VALOR],tabela_registros[MÊS],$AE$1,tabela_registros[DIA],reservavariáveisconsolidadodez[[#Headers],[9]],tabela_registros[REGISTRO],DADOS!$N$6,tabela_registros[TIPO],DADOS!$AJ$4,tabela_registros[CATEGORIA],reservavariáveisconsolidadodez[[#This Row],[ATUAL]])</f>
        <v>0</v>
      </c>
      <c r="N192" s="119" t="n">
        <f aca="false">SUMIFS(tabela_registros[VALOR],tabela_registros[MÊS],$AE$1,tabela_registros[DIA],reservavariáveisconsolidadodez[[#Headers],[10]],tabela_registros[REGISTRO],DADOS!$N$6,tabela_registros[TIPO],DADOS!$AJ$4,tabela_registros[CATEGORIA],reservavariáveisconsolidadodez[[#This Row],[ATUAL]])</f>
        <v>0</v>
      </c>
      <c r="O192" s="119" t="n">
        <f aca="false">SUMIFS(tabela_registros[VALOR],tabela_registros[MÊS],$AE$1,tabela_registros[DIA],reservavariáveisconsolidadodez[[#Headers],[11]],tabela_registros[REGISTRO],DADOS!$N$6,tabela_registros[TIPO],DADOS!$AJ$4,tabela_registros[CATEGORIA],reservavariáveisconsolidadodez[[#This Row],[ATUAL]])</f>
        <v>0</v>
      </c>
      <c r="P192" s="119" t="n">
        <f aca="false">SUMIFS(tabela_registros[VALOR],tabela_registros[MÊS],$AE$1,tabela_registros[DIA],reservavariáveisconsolidadodez[[#Headers],[12]],tabela_registros[REGISTRO],DADOS!$N$6,tabela_registros[TIPO],DADOS!$AJ$4,tabela_registros[CATEGORIA],reservavariáveisconsolidadodez[[#This Row],[ATUAL]])</f>
        <v>0</v>
      </c>
      <c r="Q192" s="119" t="n">
        <f aca="false">SUMIFS(tabela_registros[VALOR],tabela_registros[MÊS],$AE$1,tabela_registros[DIA],reservavariáveisconsolidadodez[[#Headers],[13]],tabela_registros[REGISTRO],DADOS!$N$6,tabela_registros[TIPO],DADOS!$AJ$4,tabela_registros[CATEGORIA],reservavariáveisconsolidadodez[[#This Row],[ATUAL]])</f>
        <v>0</v>
      </c>
      <c r="R192" s="119" t="n">
        <f aca="false">SUMIFS(tabela_registros[VALOR],tabela_registros[MÊS],$AE$1,tabela_registros[DIA],reservavariáveisconsolidadodez[[#Headers],[14]],tabela_registros[REGISTRO],DADOS!$N$6,tabela_registros[TIPO],DADOS!$AJ$4,tabela_registros[CATEGORIA],reservavariáveisconsolidadodez[[#This Row],[ATUAL]])</f>
        <v>0</v>
      </c>
      <c r="S192" s="119" t="n">
        <f aca="false">SUMIFS(tabela_registros[VALOR],tabela_registros[MÊS],$AE$1,tabela_registros[DIA],reservavariáveisconsolidadodez[[#Headers],[15]],tabela_registros[REGISTRO],DADOS!$N$6,tabela_registros[TIPO],DADOS!$AJ$4,tabela_registros[CATEGORIA],reservavariáveisconsolidadodez[[#This Row],[ATUAL]])</f>
        <v>0</v>
      </c>
      <c r="T192" s="119" t="n">
        <f aca="false">SUMIFS(tabela_registros[VALOR],tabela_registros[MÊS],$AE$1,tabela_registros[DIA],reservavariáveisconsolidadodez[[#Headers],[16]],tabela_registros[REGISTRO],DADOS!$N$6,tabela_registros[TIPO],DADOS!$AJ$4,tabela_registros[CATEGORIA],reservavariáveisconsolidadodez[[#This Row],[ATUAL]])</f>
        <v>0</v>
      </c>
      <c r="U192" s="119" t="n">
        <f aca="false">SUMIFS(tabela_registros[VALOR],tabela_registros[MÊS],$AE$1,tabela_registros[DIA],reservavariáveisconsolidadodez[[#Headers],[17]],tabela_registros[REGISTRO],DADOS!$N$6,tabela_registros[TIPO],DADOS!$AJ$4,tabela_registros[CATEGORIA],reservavariáveisconsolidadodez[[#This Row],[ATUAL]])</f>
        <v>0</v>
      </c>
      <c r="V192" s="119" t="n">
        <f aca="false">SUMIFS(tabela_registros[VALOR],tabela_registros[MÊS],$AE$1,tabela_registros[DIA],reservavariáveisconsolidadodez[[#Headers],[18]],tabela_registros[REGISTRO],DADOS!$N$6,tabela_registros[TIPO],DADOS!$AJ$4,tabela_registros[CATEGORIA],reservavariáveisconsolidadodez[[#This Row],[ATUAL]])</f>
        <v>0</v>
      </c>
      <c r="W192" s="119" t="n">
        <f aca="false">SUMIFS(tabela_registros[VALOR],tabela_registros[MÊS],$AE$1,tabela_registros[DIA],reservavariáveisconsolidadodez[[#Headers],[19]],tabela_registros[REGISTRO],DADOS!$N$6,tabela_registros[TIPO],DADOS!$AJ$4,tabela_registros[CATEGORIA],reservavariáveisconsolidadodez[[#This Row],[ATUAL]])</f>
        <v>0</v>
      </c>
      <c r="X192" s="119" t="n">
        <f aca="false">SUMIFS(tabela_registros[VALOR],tabela_registros[MÊS],$AE$1,tabela_registros[DIA],reservavariáveisconsolidadodez[[#Headers],[20]],tabela_registros[REGISTRO],DADOS!$N$6,tabela_registros[TIPO],DADOS!$AJ$4,tabela_registros[CATEGORIA],reservavariáveisconsolidadodez[[#This Row],[ATUAL]])</f>
        <v>0</v>
      </c>
      <c r="Y192" s="119" t="n">
        <f aca="false">SUMIFS(tabela_registros[VALOR],tabela_registros[MÊS],$AE$1,tabela_registros[DIA],reservavariáveisconsolidadodez[[#Headers],[21]],tabela_registros[REGISTRO],DADOS!$N$6,tabela_registros[TIPO],DADOS!$AJ$4,tabela_registros[CATEGORIA],reservavariáveisconsolidadodez[[#This Row],[ATUAL]])</f>
        <v>0</v>
      </c>
      <c r="Z192" s="119" t="n">
        <f aca="false">SUMIFS(tabela_registros[VALOR],tabela_registros[MÊS],$AE$1,tabela_registros[DIA],reservavariáveisconsolidadodez[[#Headers],[22]],tabela_registros[REGISTRO],DADOS!$N$6,tabela_registros[TIPO],DADOS!$AJ$4,tabela_registros[CATEGORIA],reservavariáveisconsolidadodez[[#This Row],[ATUAL]])</f>
        <v>0</v>
      </c>
      <c r="AA192" s="119" t="n">
        <f aca="false">SUMIFS(tabela_registros[VALOR],tabela_registros[MÊS],$AE$1,tabela_registros[DIA],reservavariáveisconsolidadodez[[#Headers],[23]],tabela_registros[REGISTRO],DADOS!$N$6,tabela_registros[TIPO],DADOS!$AJ$4,tabela_registros[CATEGORIA],reservavariáveisconsolidadodez[[#This Row],[ATUAL]])</f>
        <v>0</v>
      </c>
      <c r="AB192" s="119" t="n">
        <f aca="false">SUMIFS(tabela_registros[VALOR],tabela_registros[MÊS],$AE$1,tabela_registros[DIA],reservavariáveisconsolidadodez[[#Headers],[24]],tabela_registros[REGISTRO],DADOS!$N$6,tabela_registros[TIPO],DADOS!$AJ$4,tabela_registros[CATEGORIA],reservavariáveisconsolidadodez[[#This Row],[ATUAL]])</f>
        <v>0</v>
      </c>
      <c r="AC192" s="119" t="n">
        <f aca="false">SUMIFS(tabela_registros[VALOR],tabela_registros[MÊS],$AE$1,tabela_registros[DIA],reservavariáveisconsolidadodez[[#Headers],[25]],tabela_registros[REGISTRO],DADOS!$N$6,tabela_registros[TIPO],DADOS!$AJ$4,tabela_registros[CATEGORIA],reservavariáveisconsolidadodez[[#This Row],[ATUAL]])</f>
        <v>0</v>
      </c>
      <c r="AD192" s="119" t="n">
        <f aca="false">SUMIFS(tabela_registros[VALOR],tabela_registros[MÊS],$AE$1,tabela_registros[DIA],reservavariáveisconsolidadodez[[#Headers],[26]],tabela_registros[REGISTRO],DADOS!$N$6,tabela_registros[TIPO],DADOS!$AJ$4,tabela_registros[CATEGORIA],reservavariáveisconsolidadodez[[#This Row],[ATUAL]])</f>
        <v>0</v>
      </c>
      <c r="AE192" s="119" t="n">
        <f aca="false">SUMIFS(tabela_registros[VALOR],tabela_registros[MÊS],$AE$1,tabela_registros[DIA],reservavariáveisconsolidadodez[[#Headers],[27]],tabela_registros[REGISTRO],DADOS!$N$6,tabela_registros[TIPO],DADOS!$AJ$4,tabela_registros[CATEGORIA],reservavariáveisconsolidadodez[[#This Row],[ATUAL]])</f>
        <v>0</v>
      </c>
      <c r="AF192" s="119" t="n">
        <f aca="false">SUMIFS(tabela_registros[VALOR],tabela_registros[MÊS],$AE$1,tabela_registros[DIA],reservavariáveisconsolidadodez[[#Headers],[28]],tabela_registros[REGISTRO],DADOS!$N$6,tabela_registros[TIPO],DADOS!$AJ$4,tabela_registros[CATEGORIA],reservavariáveisconsolidadodez[[#This Row],[ATUAL]])</f>
        <v>0</v>
      </c>
      <c r="AG192" s="119" t="n">
        <f aca="false">SUMIFS(tabela_registros[VALOR],tabela_registros[MÊS],$AE$1,tabela_registros[DIA],reservavariáveisconsolidadodez[[#Headers],[29]],tabela_registros[REGISTRO],DADOS!$N$6,tabela_registros[TIPO],DADOS!$AJ$4,tabela_registros[CATEGORIA],reservavariáveisconsolidadodez[[#This Row],[ATUAL]])</f>
        <v>0</v>
      </c>
      <c r="AH192" s="119" t="n">
        <f aca="false">SUMIFS(tabela_registros[VALOR],tabela_registros[MÊS],$AE$1,tabela_registros[DIA],reservavariáveisconsolidadodez[[#Headers],[30]],tabela_registros[REGISTRO],DADOS!$N$6,tabela_registros[TIPO],DADOS!$AJ$4,tabela_registros[CATEGORIA],reservavariáveisconsolidadodez[[#This Row],[ATUAL]])</f>
        <v>0</v>
      </c>
      <c r="AI192" s="217" t="n">
        <f aca="false">SUMIFS(tabela_registros[VALOR],tabela_registros[MÊS],$AE$1,tabela_registros[DIA],reservavariáveisconsolidadodez[[#Headers],[31]],tabela_registros[REGISTRO],DADOS!$N$6,tabela_registros[TIPO],DADOS!$AJ$4,tabela_registros[CATEGORIA],reservavariáveisconsolidadodez[[#This Row],[ATUAL]])</f>
        <v>0</v>
      </c>
      <c r="AJ192" s="149" t="n">
        <f aca="false">SUM(reservavariáveisconsolidadodez[[#This Row],[1]:[31]])</f>
        <v>0</v>
      </c>
      <c r="AK192" s="165"/>
    </row>
    <row r="193" customFormat="false" ht="19.5" hidden="false" customHeight="true" outlineLevel="0" collapsed="false">
      <c r="B193" s="143"/>
      <c r="C193" s="144" t="str">
        <f aca="false">DADOS!$AN$9</f>
        <v>📝 EXTERIOR</v>
      </c>
      <c r="D193" s="145" t="str">
        <f aca="false">IF(reservavariáveisconsolidadodez[[#This Row],[TOTAL (R$)]]=0,"",IF(OR(reservavariáveisconsolidadodez[[#This Row],[TOTAL (R$)]]=LARGE($AJ$187:$AJ$196,1),reservavariáveisconsolidadodez[[#This Row],[TOTAL (R$)]]=LARGE($AJ$187:$AJ$196,2)),DADOS!$I$11,""))</f>
        <v/>
      </c>
      <c r="E193" s="148" t="n">
        <f aca="false">SUMIFS(tabela_registros[VALOR],tabela_registros[MÊS],$AE$1,tabela_registros[DIA],reservavariáveisconsolidadodez[[#Headers],[1]],tabela_registros[REGISTRO],DADOS!$N$6,tabela_registros[TIPO],DADOS!$AJ$4,tabela_registros[CATEGORIA],reservavariáveisconsolidadodez[[#This Row],[ATUAL]])</f>
        <v>0</v>
      </c>
      <c r="F193" s="119" t="n">
        <f aca="false">SUMIFS(tabela_registros[VALOR],tabela_registros[MÊS],$AE$1,tabela_registros[DIA],reservavariáveisconsolidadodez[[#Headers],[2]],tabela_registros[REGISTRO],DADOS!$N$6,tabela_registros[TIPO],DADOS!$AJ$4,tabela_registros[CATEGORIA],reservavariáveisconsolidadodez[[#This Row],[ATUAL]])</f>
        <v>0</v>
      </c>
      <c r="G193" s="119" t="n">
        <f aca="false">SUMIFS(tabela_registros[VALOR],tabela_registros[MÊS],$AE$1,tabela_registros[DIA],reservavariáveisconsolidadodez[[#Headers],[3]],tabela_registros[REGISTRO],DADOS!$N$6,tabela_registros[TIPO],DADOS!$AJ$4,tabela_registros[CATEGORIA],reservavariáveisconsolidadodez[[#This Row],[ATUAL]])</f>
        <v>0</v>
      </c>
      <c r="H193" s="119" t="n">
        <f aca="false">SUMIFS(tabela_registros[VALOR],tabela_registros[MÊS],$AE$1,tabela_registros[DIA],reservavariáveisconsolidadodez[[#Headers],[4]],tabela_registros[REGISTRO],DADOS!$N$6,tabela_registros[TIPO],DADOS!$AJ$4,tabela_registros[CATEGORIA],reservavariáveisconsolidadodez[[#This Row],[ATUAL]])</f>
        <v>0</v>
      </c>
      <c r="I193" s="119" t="n">
        <f aca="false">SUMIFS(tabela_registros[VALOR],tabela_registros[MÊS],$AE$1,tabela_registros[DIA],reservavariáveisconsolidadodez[[#Headers],[5]],tabela_registros[REGISTRO],DADOS!$N$6,tabela_registros[TIPO],DADOS!$AJ$4,tabela_registros[CATEGORIA],reservavariáveisconsolidadodez[[#This Row],[ATUAL]])</f>
        <v>0</v>
      </c>
      <c r="J193" s="119" t="n">
        <f aca="false">SUMIFS(tabela_registros[VALOR],tabela_registros[MÊS],$AE$1,tabela_registros[DIA],reservavariáveisconsolidadodez[[#Headers],[6]],tabela_registros[REGISTRO],DADOS!$N$6,tabela_registros[TIPO],DADOS!$AJ$4,tabela_registros[CATEGORIA],reservavariáveisconsolidadodez[[#This Row],[ATUAL]])</f>
        <v>0</v>
      </c>
      <c r="K193" s="119" t="n">
        <f aca="false">SUMIFS(tabela_registros[VALOR],tabela_registros[MÊS],$AE$1,tabela_registros[DIA],reservavariáveisconsolidadodez[[#Headers],[7]],tabela_registros[REGISTRO],DADOS!$N$6,tabela_registros[TIPO],DADOS!$AJ$4,tabela_registros[CATEGORIA],reservavariáveisconsolidadodez[[#This Row],[ATUAL]])</f>
        <v>0</v>
      </c>
      <c r="L193" s="119" t="n">
        <f aca="false">SUMIFS(tabela_registros[VALOR],tabela_registros[MÊS],$AE$1,tabela_registros[DIA],reservavariáveisconsolidadodez[[#Headers],[8]],tabela_registros[REGISTRO],DADOS!$N$6,tabela_registros[TIPO],DADOS!$AJ$4,tabela_registros[CATEGORIA],reservavariáveisconsolidadodez[[#This Row],[ATUAL]])</f>
        <v>0</v>
      </c>
      <c r="M193" s="119" t="n">
        <f aca="false">SUMIFS(tabela_registros[VALOR],tabela_registros[MÊS],$AE$1,tabela_registros[DIA],reservavariáveisconsolidadodez[[#Headers],[9]],tabela_registros[REGISTRO],DADOS!$N$6,tabela_registros[TIPO],DADOS!$AJ$4,tabela_registros[CATEGORIA],reservavariáveisconsolidadodez[[#This Row],[ATUAL]])</f>
        <v>0</v>
      </c>
      <c r="N193" s="119" t="n">
        <f aca="false">SUMIFS(tabela_registros[VALOR],tabela_registros[MÊS],$AE$1,tabela_registros[DIA],reservavariáveisconsolidadodez[[#Headers],[10]],tabela_registros[REGISTRO],DADOS!$N$6,tabela_registros[TIPO],DADOS!$AJ$4,tabela_registros[CATEGORIA],reservavariáveisconsolidadodez[[#This Row],[ATUAL]])</f>
        <v>0</v>
      </c>
      <c r="O193" s="119" t="n">
        <f aca="false">SUMIFS(tabela_registros[VALOR],tabela_registros[MÊS],$AE$1,tabela_registros[DIA],reservavariáveisconsolidadodez[[#Headers],[11]],tabela_registros[REGISTRO],DADOS!$N$6,tabela_registros[TIPO],DADOS!$AJ$4,tabela_registros[CATEGORIA],reservavariáveisconsolidadodez[[#This Row],[ATUAL]])</f>
        <v>0</v>
      </c>
      <c r="P193" s="119" t="n">
        <f aca="false">SUMIFS(tabela_registros[VALOR],tabela_registros[MÊS],$AE$1,tabela_registros[DIA],reservavariáveisconsolidadodez[[#Headers],[12]],tabela_registros[REGISTRO],DADOS!$N$6,tabela_registros[TIPO],DADOS!$AJ$4,tabela_registros[CATEGORIA],reservavariáveisconsolidadodez[[#This Row],[ATUAL]])</f>
        <v>0</v>
      </c>
      <c r="Q193" s="119" t="n">
        <f aca="false">SUMIFS(tabela_registros[VALOR],tabela_registros[MÊS],$AE$1,tabela_registros[DIA],reservavariáveisconsolidadodez[[#Headers],[13]],tabela_registros[REGISTRO],DADOS!$N$6,tabela_registros[TIPO],DADOS!$AJ$4,tabela_registros[CATEGORIA],reservavariáveisconsolidadodez[[#This Row],[ATUAL]])</f>
        <v>0</v>
      </c>
      <c r="R193" s="119" t="n">
        <f aca="false">SUMIFS(tabela_registros[VALOR],tabela_registros[MÊS],$AE$1,tabela_registros[DIA],reservavariáveisconsolidadodez[[#Headers],[14]],tabela_registros[REGISTRO],DADOS!$N$6,tabela_registros[TIPO],DADOS!$AJ$4,tabela_registros[CATEGORIA],reservavariáveisconsolidadodez[[#This Row],[ATUAL]])</f>
        <v>0</v>
      </c>
      <c r="S193" s="119" t="n">
        <f aca="false">SUMIFS(tabela_registros[VALOR],tabela_registros[MÊS],$AE$1,tabela_registros[DIA],reservavariáveisconsolidadodez[[#Headers],[15]],tabela_registros[REGISTRO],DADOS!$N$6,tabela_registros[TIPO],DADOS!$AJ$4,tabela_registros[CATEGORIA],reservavariáveisconsolidadodez[[#This Row],[ATUAL]])</f>
        <v>0</v>
      </c>
      <c r="T193" s="119" t="n">
        <f aca="false">SUMIFS(tabela_registros[VALOR],tabela_registros[MÊS],$AE$1,tabela_registros[DIA],reservavariáveisconsolidadodez[[#Headers],[16]],tabela_registros[REGISTRO],DADOS!$N$6,tabela_registros[TIPO],DADOS!$AJ$4,tabela_registros[CATEGORIA],reservavariáveisconsolidadodez[[#This Row],[ATUAL]])</f>
        <v>0</v>
      </c>
      <c r="U193" s="119" t="n">
        <f aca="false">SUMIFS(tabela_registros[VALOR],tabela_registros[MÊS],$AE$1,tabela_registros[DIA],reservavariáveisconsolidadodez[[#Headers],[17]],tabela_registros[REGISTRO],DADOS!$N$6,tabela_registros[TIPO],DADOS!$AJ$4,tabela_registros[CATEGORIA],reservavariáveisconsolidadodez[[#This Row],[ATUAL]])</f>
        <v>0</v>
      </c>
      <c r="V193" s="119" t="n">
        <f aca="false">SUMIFS(tabela_registros[VALOR],tabela_registros[MÊS],$AE$1,tabela_registros[DIA],reservavariáveisconsolidadodez[[#Headers],[18]],tabela_registros[REGISTRO],DADOS!$N$6,tabela_registros[TIPO],DADOS!$AJ$4,tabela_registros[CATEGORIA],reservavariáveisconsolidadodez[[#This Row],[ATUAL]])</f>
        <v>0</v>
      </c>
      <c r="W193" s="119" t="n">
        <f aca="false">SUMIFS(tabela_registros[VALOR],tabela_registros[MÊS],$AE$1,tabela_registros[DIA],reservavariáveisconsolidadodez[[#Headers],[19]],tabela_registros[REGISTRO],DADOS!$N$6,tabela_registros[TIPO],DADOS!$AJ$4,tabela_registros[CATEGORIA],reservavariáveisconsolidadodez[[#This Row],[ATUAL]])</f>
        <v>0</v>
      </c>
      <c r="X193" s="119" t="n">
        <f aca="false">SUMIFS(tabela_registros[VALOR],tabela_registros[MÊS],$AE$1,tabela_registros[DIA],reservavariáveisconsolidadodez[[#Headers],[20]],tabela_registros[REGISTRO],DADOS!$N$6,tabela_registros[TIPO],DADOS!$AJ$4,tabela_registros[CATEGORIA],reservavariáveisconsolidadodez[[#This Row],[ATUAL]])</f>
        <v>0</v>
      </c>
      <c r="Y193" s="119" t="n">
        <f aca="false">SUMIFS(tabela_registros[VALOR],tabela_registros[MÊS],$AE$1,tabela_registros[DIA],reservavariáveisconsolidadodez[[#Headers],[21]],tabela_registros[REGISTRO],DADOS!$N$6,tabela_registros[TIPO],DADOS!$AJ$4,tabela_registros[CATEGORIA],reservavariáveisconsolidadodez[[#This Row],[ATUAL]])</f>
        <v>0</v>
      </c>
      <c r="Z193" s="119" t="n">
        <f aca="false">SUMIFS(tabela_registros[VALOR],tabela_registros[MÊS],$AE$1,tabela_registros[DIA],reservavariáveisconsolidadodez[[#Headers],[22]],tabela_registros[REGISTRO],DADOS!$N$6,tabela_registros[TIPO],DADOS!$AJ$4,tabela_registros[CATEGORIA],reservavariáveisconsolidadodez[[#This Row],[ATUAL]])</f>
        <v>0</v>
      </c>
      <c r="AA193" s="119" t="n">
        <f aca="false">SUMIFS(tabela_registros[VALOR],tabela_registros[MÊS],$AE$1,tabela_registros[DIA],reservavariáveisconsolidadodez[[#Headers],[23]],tabela_registros[REGISTRO],DADOS!$N$6,tabela_registros[TIPO],DADOS!$AJ$4,tabela_registros[CATEGORIA],reservavariáveisconsolidadodez[[#This Row],[ATUAL]])</f>
        <v>0</v>
      </c>
      <c r="AB193" s="119" t="n">
        <f aca="false">SUMIFS(tabela_registros[VALOR],tabela_registros[MÊS],$AE$1,tabela_registros[DIA],reservavariáveisconsolidadodez[[#Headers],[24]],tabela_registros[REGISTRO],DADOS!$N$6,tabela_registros[TIPO],DADOS!$AJ$4,tabela_registros[CATEGORIA],reservavariáveisconsolidadodez[[#This Row],[ATUAL]])</f>
        <v>0</v>
      </c>
      <c r="AC193" s="119" t="n">
        <f aca="false">SUMIFS(tabela_registros[VALOR],tabela_registros[MÊS],$AE$1,tabela_registros[DIA],reservavariáveisconsolidadodez[[#Headers],[25]],tabela_registros[REGISTRO],DADOS!$N$6,tabela_registros[TIPO],DADOS!$AJ$4,tabela_registros[CATEGORIA],reservavariáveisconsolidadodez[[#This Row],[ATUAL]])</f>
        <v>0</v>
      </c>
      <c r="AD193" s="119" t="n">
        <f aca="false">SUMIFS(tabela_registros[VALOR],tabela_registros[MÊS],$AE$1,tabela_registros[DIA],reservavariáveisconsolidadodez[[#Headers],[26]],tabela_registros[REGISTRO],DADOS!$N$6,tabela_registros[TIPO],DADOS!$AJ$4,tabela_registros[CATEGORIA],reservavariáveisconsolidadodez[[#This Row],[ATUAL]])</f>
        <v>0</v>
      </c>
      <c r="AE193" s="119" t="n">
        <f aca="false">SUMIFS(tabela_registros[VALOR],tabela_registros[MÊS],$AE$1,tabela_registros[DIA],reservavariáveisconsolidadodez[[#Headers],[27]],tabela_registros[REGISTRO],DADOS!$N$6,tabela_registros[TIPO],DADOS!$AJ$4,tabela_registros[CATEGORIA],reservavariáveisconsolidadodez[[#This Row],[ATUAL]])</f>
        <v>0</v>
      </c>
      <c r="AF193" s="119" t="n">
        <f aca="false">SUMIFS(tabela_registros[VALOR],tabela_registros[MÊS],$AE$1,tabela_registros[DIA],reservavariáveisconsolidadodez[[#Headers],[28]],tabela_registros[REGISTRO],DADOS!$N$6,tabela_registros[TIPO],DADOS!$AJ$4,tabela_registros[CATEGORIA],reservavariáveisconsolidadodez[[#This Row],[ATUAL]])</f>
        <v>0</v>
      </c>
      <c r="AG193" s="119" t="n">
        <f aca="false">SUMIFS(tabela_registros[VALOR],tabela_registros[MÊS],$AE$1,tabela_registros[DIA],reservavariáveisconsolidadodez[[#Headers],[29]],tabela_registros[REGISTRO],DADOS!$N$6,tabela_registros[TIPO],DADOS!$AJ$4,tabela_registros[CATEGORIA],reservavariáveisconsolidadodez[[#This Row],[ATUAL]])</f>
        <v>0</v>
      </c>
      <c r="AH193" s="119" t="n">
        <f aca="false">SUMIFS(tabela_registros[VALOR],tabela_registros[MÊS],$AE$1,tabela_registros[DIA],reservavariáveisconsolidadodez[[#Headers],[30]],tabela_registros[REGISTRO],DADOS!$N$6,tabela_registros[TIPO],DADOS!$AJ$4,tabela_registros[CATEGORIA],reservavariáveisconsolidadodez[[#This Row],[ATUAL]])</f>
        <v>0</v>
      </c>
      <c r="AI193" s="217" t="n">
        <f aca="false">SUMIFS(tabela_registros[VALOR],tabela_registros[MÊS],$AE$1,tabela_registros[DIA],reservavariáveisconsolidadodez[[#Headers],[31]],tabela_registros[REGISTRO],DADOS!$N$6,tabela_registros[TIPO],DADOS!$AJ$4,tabela_registros[CATEGORIA],reservavariáveisconsolidadodez[[#This Row],[ATUAL]])</f>
        <v>0</v>
      </c>
      <c r="AJ193" s="149" t="n">
        <f aca="false">SUM(reservavariáveisconsolidadodez[[#This Row],[1]:[31]])</f>
        <v>0</v>
      </c>
      <c r="AK193" s="165"/>
    </row>
    <row r="194" customFormat="false" ht="19.5" hidden="false" customHeight="true" outlineLevel="0" collapsed="false">
      <c r="B194" s="143"/>
      <c r="C194" s="144" t="str">
        <f aca="false">DADOS!$AN$10</f>
        <v>📝 FII</v>
      </c>
      <c r="D194" s="145" t="str">
        <f aca="false">IF(reservavariáveisconsolidadodez[[#This Row],[TOTAL (R$)]]=0,"",IF(OR(reservavariáveisconsolidadodez[[#This Row],[TOTAL (R$)]]=LARGE($AJ$187:$AJ$196,1),reservavariáveisconsolidadodez[[#This Row],[TOTAL (R$)]]=LARGE($AJ$187:$AJ$196,2)),DADOS!$I$11,""))</f>
        <v/>
      </c>
      <c r="E194" s="148" t="n">
        <f aca="false">SUMIFS(tabela_registros[VALOR],tabela_registros[MÊS],$AE$1,tabela_registros[DIA],reservavariáveisconsolidadodez[[#Headers],[1]],tabela_registros[REGISTRO],DADOS!$N$6,tabela_registros[TIPO],DADOS!$AJ$4,tabela_registros[CATEGORIA],reservavariáveisconsolidadodez[[#This Row],[ATUAL]])</f>
        <v>0</v>
      </c>
      <c r="F194" s="119" t="n">
        <f aca="false">SUMIFS(tabela_registros[VALOR],tabela_registros[MÊS],$AE$1,tabela_registros[DIA],reservavariáveisconsolidadodez[[#Headers],[2]],tabela_registros[REGISTRO],DADOS!$N$6,tabela_registros[TIPO],DADOS!$AJ$4,tabela_registros[CATEGORIA],reservavariáveisconsolidadodez[[#This Row],[ATUAL]])</f>
        <v>0</v>
      </c>
      <c r="G194" s="119" t="n">
        <f aca="false">SUMIFS(tabela_registros[VALOR],tabela_registros[MÊS],$AE$1,tabela_registros[DIA],reservavariáveisconsolidadodez[[#Headers],[3]],tabela_registros[REGISTRO],DADOS!$N$6,tabela_registros[TIPO],DADOS!$AJ$4,tabela_registros[CATEGORIA],reservavariáveisconsolidadodez[[#This Row],[ATUAL]])</f>
        <v>0</v>
      </c>
      <c r="H194" s="119" t="n">
        <f aca="false">SUMIFS(tabela_registros[VALOR],tabela_registros[MÊS],$AE$1,tabela_registros[DIA],reservavariáveisconsolidadodez[[#Headers],[4]],tabela_registros[REGISTRO],DADOS!$N$6,tabela_registros[TIPO],DADOS!$AJ$4,tabela_registros[CATEGORIA],reservavariáveisconsolidadodez[[#This Row],[ATUAL]])</f>
        <v>0</v>
      </c>
      <c r="I194" s="119" t="n">
        <f aca="false">SUMIFS(tabela_registros[VALOR],tabela_registros[MÊS],$AE$1,tabela_registros[DIA],reservavariáveisconsolidadodez[[#Headers],[5]],tabela_registros[REGISTRO],DADOS!$N$6,tabela_registros[TIPO],DADOS!$AJ$4,tabela_registros[CATEGORIA],reservavariáveisconsolidadodez[[#This Row],[ATUAL]])</f>
        <v>0</v>
      </c>
      <c r="J194" s="119" t="n">
        <f aca="false">SUMIFS(tabela_registros[VALOR],tabela_registros[MÊS],$AE$1,tabela_registros[DIA],reservavariáveisconsolidadodez[[#Headers],[6]],tabela_registros[REGISTRO],DADOS!$N$6,tabela_registros[TIPO],DADOS!$AJ$4,tabela_registros[CATEGORIA],reservavariáveisconsolidadodez[[#This Row],[ATUAL]])</f>
        <v>0</v>
      </c>
      <c r="K194" s="119" t="n">
        <f aca="false">SUMIFS(tabela_registros[VALOR],tabela_registros[MÊS],$AE$1,tabela_registros[DIA],reservavariáveisconsolidadodez[[#Headers],[7]],tabela_registros[REGISTRO],DADOS!$N$6,tabela_registros[TIPO],DADOS!$AJ$4,tabela_registros[CATEGORIA],reservavariáveisconsolidadodez[[#This Row],[ATUAL]])</f>
        <v>0</v>
      </c>
      <c r="L194" s="119" t="n">
        <f aca="false">SUMIFS(tabela_registros[VALOR],tabela_registros[MÊS],$AE$1,tabela_registros[DIA],reservavariáveisconsolidadodez[[#Headers],[8]],tabela_registros[REGISTRO],DADOS!$N$6,tabela_registros[TIPO],DADOS!$AJ$4,tabela_registros[CATEGORIA],reservavariáveisconsolidadodez[[#This Row],[ATUAL]])</f>
        <v>0</v>
      </c>
      <c r="M194" s="119" t="n">
        <f aca="false">SUMIFS(tabela_registros[VALOR],tabela_registros[MÊS],$AE$1,tabela_registros[DIA],reservavariáveisconsolidadodez[[#Headers],[9]],tabela_registros[REGISTRO],DADOS!$N$6,tabela_registros[TIPO],DADOS!$AJ$4,tabela_registros[CATEGORIA],reservavariáveisconsolidadodez[[#This Row],[ATUAL]])</f>
        <v>0</v>
      </c>
      <c r="N194" s="119" t="n">
        <f aca="false">SUMIFS(tabela_registros[VALOR],tabela_registros[MÊS],$AE$1,tabela_registros[DIA],reservavariáveisconsolidadodez[[#Headers],[10]],tabela_registros[REGISTRO],DADOS!$N$6,tabela_registros[TIPO],DADOS!$AJ$4,tabela_registros[CATEGORIA],reservavariáveisconsolidadodez[[#This Row],[ATUAL]])</f>
        <v>0</v>
      </c>
      <c r="O194" s="119" t="n">
        <f aca="false">SUMIFS(tabela_registros[VALOR],tabela_registros[MÊS],$AE$1,tabela_registros[DIA],reservavariáveisconsolidadodez[[#Headers],[11]],tabela_registros[REGISTRO],DADOS!$N$6,tabela_registros[TIPO],DADOS!$AJ$4,tabela_registros[CATEGORIA],reservavariáveisconsolidadodez[[#This Row],[ATUAL]])</f>
        <v>0</v>
      </c>
      <c r="P194" s="119" t="n">
        <f aca="false">SUMIFS(tabela_registros[VALOR],tabela_registros[MÊS],$AE$1,tabela_registros[DIA],reservavariáveisconsolidadodez[[#Headers],[12]],tabela_registros[REGISTRO],DADOS!$N$6,tabela_registros[TIPO],DADOS!$AJ$4,tabela_registros[CATEGORIA],reservavariáveisconsolidadodez[[#This Row],[ATUAL]])</f>
        <v>0</v>
      </c>
      <c r="Q194" s="119" t="n">
        <f aca="false">SUMIFS(tabela_registros[VALOR],tabela_registros[MÊS],$AE$1,tabela_registros[DIA],reservavariáveisconsolidadodez[[#Headers],[13]],tabela_registros[REGISTRO],DADOS!$N$6,tabela_registros[TIPO],DADOS!$AJ$4,tabela_registros[CATEGORIA],reservavariáveisconsolidadodez[[#This Row],[ATUAL]])</f>
        <v>0</v>
      </c>
      <c r="R194" s="119" t="n">
        <f aca="false">SUMIFS(tabela_registros[VALOR],tabela_registros[MÊS],$AE$1,tabela_registros[DIA],reservavariáveisconsolidadodez[[#Headers],[14]],tabela_registros[REGISTRO],DADOS!$N$6,tabela_registros[TIPO],DADOS!$AJ$4,tabela_registros[CATEGORIA],reservavariáveisconsolidadodez[[#This Row],[ATUAL]])</f>
        <v>0</v>
      </c>
      <c r="S194" s="119" t="n">
        <f aca="false">SUMIFS(tabela_registros[VALOR],tabela_registros[MÊS],$AE$1,tabela_registros[DIA],reservavariáveisconsolidadodez[[#Headers],[15]],tabela_registros[REGISTRO],DADOS!$N$6,tabela_registros[TIPO],DADOS!$AJ$4,tabela_registros[CATEGORIA],reservavariáveisconsolidadodez[[#This Row],[ATUAL]])</f>
        <v>0</v>
      </c>
      <c r="T194" s="119" t="n">
        <f aca="false">SUMIFS(tabela_registros[VALOR],tabela_registros[MÊS],$AE$1,tabela_registros[DIA],reservavariáveisconsolidadodez[[#Headers],[16]],tabela_registros[REGISTRO],DADOS!$N$6,tabela_registros[TIPO],DADOS!$AJ$4,tabela_registros[CATEGORIA],reservavariáveisconsolidadodez[[#This Row],[ATUAL]])</f>
        <v>0</v>
      </c>
      <c r="U194" s="119" t="n">
        <f aca="false">SUMIFS(tabela_registros[VALOR],tabela_registros[MÊS],$AE$1,tabela_registros[DIA],reservavariáveisconsolidadodez[[#Headers],[17]],tabela_registros[REGISTRO],DADOS!$N$6,tabela_registros[TIPO],DADOS!$AJ$4,tabela_registros[CATEGORIA],reservavariáveisconsolidadodez[[#This Row],[ATUAL]])</f>
        <v>0</v>
      </c>
      <c r="V194" s="119" t="n">
        <f aca="false">SUMIFS(tabela_registros[VALOR],tabela_registros[MÊS],$AE$1,tabela_registros[DIA],reservavariáveisconsolidadodez[[#Headers],[18]],tabela_registros[REGISTRO],DADOS!$N$6,tabela_registros[TIPO],DADOS!$AJ$4,tabela_registros[CATEGORIA],reservavariáveisconsolidadodez[[#This Row],[ATUAL]])</f>
        <v>0</v>
      </c>
      <c r="W194" s="119" t="n">
        <f aca="false">SUMIFS(tabela_registros[VALOR],tabela_registros[MÊS],$AE$1,tabela_registros[DIA],reservavariáveisconsolidadodez[[#Headers],[19]],tabela_registros[REGISTRO],DADOS!$N$6,tabela_registros[TIPO],DADOS!$AJ$4,tabela_registros[CATEGORIA],reservavariáveisconsolidadodez[[#This Row],[ATUAL]])</f>
        <v>0</v>
      </c>
      <c r="X194" s="119" t="n">
        <f aca="false">SUMIFS(tabela_registros[VALOR],tabela_registros[MÊS],$AE$1,tabela_registros[DIA],reservavariáveisconsolidadodez[[#Headers],[20]],tabela_registros[REGISTRO],DADOS!$N$6,tabela_registros[TIPO],DADOS!$AJ$4,tabela_registros[CATEGORIA],reservavariáveisconsolidadodez[[#This Row],[ATUAL]])</f>
        <v>0</v>
      </c>
      <c r="Y194" s="119" t="n">
        <f aca="false">SUMIFS(tabela_registros[VALOR],tabela_registros[MÊS],$AE$1,tabela_registros[DIA],reservavariáveisconsolidadodez[[#Headers],[21]],tabela_registros[REGISTRO],DADOS!$N$6,tabela_registros[TIPO],DADOS!$AJ$4,tabela_registros[CATEGORIA],reservavariáveisconsolidadodez[[#This Row],[ATUAL]])</f>
        <v>0</v>
      </c>
      <c r="Z194" s="119" t="n">
        <f aca="false">SUMIFS(tabela_registros[VALOR],tabela_registros[MÊS],$AE$1,tabela_registros[DIA],reservavariáveisconsolidadodez[[#Headers],[22]],tabela_registros[REGISTRO],DADOS!$N$6,tabela_registros[TIPO],DADOS!$AJ$4,tabela_registros[CATEGORIA],reservavariáveisconsolidadodez[[#This Row],[ATUAL]])</f>
        <v>0</v>
      </c>
      <c r="AA194" s="119" t="n">
        <f aca="false">SUMIFS(tabela_registros[VALOR],tabela_registros[MÊS],$AE$1,tabela_registros[DIA],reservavariáveisconsolidadodez[[#Headers],[23]],tabela_registros[REGISTRO],DADOS!$N$6,tabela_registros[TIPO],DADOS!$AJ$4,tabela_registros[CATEGORIA],reservavariáveisconsolidadodez[[#This Row],[ATUAL]])</f>
        <v>0</v>
      </c>
      <c r="AB194" s="119" t="n">
        <f aca="false">SUMIFS(tabela_registros[VALOR],tabela_registros[MÊS],$AE$1,tabela_registros[DIA],reservavariáveisconsolidadodez[[#Headers],[24]],tabela_registros[REGISTRO],DADOS!$N$6,tabela_registros[TIPO],DADOS!$AJ$4,tabela_registros[CATEGORIA],reservavariáveisconsolidadodez[[#This Row],[ATUAL]])</f>
        <v>0</v>
      </c>
      <c r="AC194" s="119" t="n">
        <f aca="false">SUMIFS(tabela_registros[VALOR],tabela_registros[MÊS],$AE$1,tabela_registros[DIA],reservavariáveisconsolidadodez[[#Headers],[25]],tabela_registros[REGISTRO],DADOS!$N$6,tabela_registros[TIPO],DADOS!$AJ$4,tabela_registros[CATEGORIA],reservavariáveisconsolidadodez[[#This Row],[ATUAL]])</f>
        <v>0</v>
      </c>
      <c r="AD194" s="119" t="n">
        <f aca="false">SUMIFS(tabela_registros[VALOR],tabela_registros[MÊS],$AE$1,tabela_registros[DIA],reservavariáveisconsolidadodez[[#Headers],[26]],tabela_registros[REGISTRO],DADOS!$N$6,tabela_registros[TIPO],DADOS!$AJ$4,tabela_registros[CATEGORIA],reservavariáveisconsolidadodez[[#This Row],[ATUAL]])</f>
        <v>0</v>
      </c>
      <c r="AE194" s="119" t="n">
        <f aca="false">SUMIFS(tabela_registros[VALOR],tabela_registros[MÊS],$AE$1,tabela_registros[DIA],reservavariáveisconsolidadodez[[#Headers],[27]],tabela_registros[REGISTRO],DADOS!$N$6,tabela_registros[TIPO],DADOS!$AJ$4,tabela_registros[CATEGORIA],reservavariáveisconsolidadodez[[#This Row],[ATUAL]])</f>
        <v>0</v>
      </c>
      <c r="AF194" s="119" t="n">
        <f aca="false">SUMIFS(tabela_registros[VALOR],tabela_registros[MÊS],$AE$1,tabela_registros[DIA],reservavariáveisconsolidadodez[[#Headers],[28]],tabela_registros[REGISTRO],DADOS!$N$6,tabela_registros[TIPO],DADOS!$AJ$4,tabela_registros[CATEGORIA],reservavariáveisconsolidadodez[[#This Row],[ATUAL]])</f>
        <v>0</v>
      </c>
      <c r="AG194" s="119" t="n">
        <f aca="false">SUMIFS(tabela_registros[VALOR],tabela_registros[MÊS],$AE$1,tabela_registros[DIA],reservavariáveisconsolidadodez[[#Headers],[29]],tabela_registros[REGISTRO],DADOS!$N$6,tabela_registros[TIPO],DADOS!$AJ$4,tabela_registros[CATEGORIA],reservavariáveisconsolidadodez[[#This Row],[ATUAL]])</f>
        <v>0</v>
      </c>
      <c r="AH194" s="119" t="n">
        <f aca="false">SUMIFS(tabela_registros[VALOR],tabela_registros[MÊS],$AE$1,tabela_registros[DIA],reservavariáveisconsolidadodez[[#Headers],[30]],tabela_registros[REGISTRO],DADOS!$N$6,tabela_registros[TIPO],DADOS!$AJ$4,tabela_registros[CATEGORIA],reservavariáveisconsolidadodez[[#This Row],[ATUAL]])</f>
        <v>0</v>
      </c>
      <c r="AI194" s="217" t="n">
        <f aca="false">SUMIFS(tabela_registros[VALOR],tabela_registros[MÊS],$AE$1,tabela_registros[DIA],reservavariáveisconsolidadodez[[#Headers],[31]],tabela_registros[REGISTRO],DADOS!$N$6,tabela_registros[TIPO],DADOS!$AJ$4,tabela_registros[CATEGORIA],reservavariáveisconsolidadodez[[#This Row],[ATUAL]])</f>
        <v>0</v>
      </c>
      <c r="AJ194" s="149" t="n">
        <f aca="false">SUM(reservavariáveisconsolidadodez[[#This Row],[1]:[31]])</f>
        <v>0</v>
      </c>
      <c r="AK194" s="165"/>
    </row>
    <row r="195" customFormat="false" ht="19.5" hidden="false" customHeight="true" outlineLevel="0" collapsed="false">
      <c r="B195" s="143"/>
      <c r="C195" s="144" t="str">
        <f aca="false">DADOS!$AN$11</f>
        <v>📝 MOEDA</v>
      </c>
      <c r="D195" s="145" t="str">
        <f aca="false">IF(reservavariáveisconsolidadodez[[#This Row],[TOTAL (R$)]]=0,"",IF(OR(reservavariáveisconsolidadodez[[#This Row],[TOTAL (R$)]]=LARGE($AJ$187:$AJ$196,1),reservavariáveisconsolidadodez[[#This Row],[TOTAL (R$)]]=LARGE($AJ$187:$AJ$196,2)),DADOS!$I$11,""))</f>
        <v/>
      </c>
      <c r="E195" s="148" t="n">
        <f aca="false">SUMIFS(tabela_registros[VALOR],tabela_registros[MÊS],$AE$1,tabela_registros[DIA],reservavariáveisconsolidadodez[[#Headers],[1]],tabela_registros[REGISTRO],DADOS!$N$6,tabela_registros[TIPO],DADOS!$AJ$4,tabela_registros[CATEGORIA],reservavariáveisconsolidadodez[[#This Row],[ATUAL]])</f>
        <v>0</v>
      </c>
      <c r="F195" s="119" t="n">
        <f aca="false">SUMIFS(tabela_registros[VALOR],tabela_registros[MÊS],$AE$1,tabela_registros[DIA],reservavariáveisconsolidadodez[[#Headers],[2]],tabela_registros[REGISTRO],DADOS!$N$6,tabela_registros[TIPO],DADOS!$AJ$4,tabela_registros[CATEGORIA],reservavariáveisconsolidadodez[[#This Row],[ATUAL]])</f>
        <v>0</v>
      </c>
      <c r="G195" s="119" t="n">
        <f aca="false">SUMIFS(tabela_registros[VALOR],tabela_registros[MÊS],$AE$1,tabela_registros[DIA],reservavariáveisconsolidadodez[[#Headers],[3]],tabela_registros[REGISTRO],DADOS!$N$6,tabela_registros[TIPO],DADOS!$AJ$4,tabela_registros[CATEGORIA],reservavariáveisconsolidadodez[[#This Row],[ATUAL]])</f>
        <v>0</v>
      </c>
      <c r="H195" s="119" t="n">
        <f aca="false">SUMIFS(tabela_registros[VALOR],tabela_registros[MÊS],$AE$1,tabela_registros[DIA],reservavariáveisconsolidadodez[[#Headers],[4]],tabela_registros[REGISTRO],DADOS!$N$6,tabela_registros[TIPO],DADOS!$AJ$4,tabela_registros[CATEGORIA],reservavariáveisconsolidadodez[[#This Row],[ATUAL]])</f>
        <v>0</v>
      </c>
      <c r="I195" s="119" t="n">
        <f aca="false">SUMIFS(tabela_registros[VALOR],tabela_registros[MÊS],$AE$1,tabela_registros[DIA],reservavariáveisconsolidadodez[[#Headers],[5]],tabela_registros[REGISTRO],DADOS!$N$6,tabela_registros[TIPO],DADOS!$AJ$4,tabela_registros[CATEGORIA],reservavariáveisconsolidadodez[[#This Row],[ATUAL]])</f>
        <v>0</v>
      </c>
      <c r="J195" s="119" t="n">
        <f aca="false">SUMIFS(tabela_registros[VALOR],tabela_registros[MÊS],$AE$1,tabela_registros[DIA],reservavariáveisconsolidadodez[[#Headers],[6]],tabela_registros[REGISTRO],DADOS!$N$6,tabela_registros[TIPO],DADOS!$AJ$4,tabela_registros[CATEGORIA],reservavariáveisconsolidadodez[[#This Row],[ATUAL]])</f>
        <v>0</v>
      </c>
      <c r="K195" s="119" t="n">
        <f aca="false">SUMIFS(tabela_registros[VALOR],tabela_registros[MÊS],$AE$1,tabela_registros[DIA],reservavariáveisconsolidadodez[[#Headers],[7]],tabela_registros[REGISTRO],DADOS!$N$6,tabela_registros[TIPO],DADOS!$AJ$4,tabela_registros[CATEGORIA],reservavariáveisconsolidadodez[[#This Row],[ATUAL]])</f>
        <v>0</v>
      </c>
      <c r="L195" s="119" t="n">
        <f aca="false">SUMIFS(tabela_registros[VALOR],tabela_registros[MÊS],$AE$1,tabela_registros[DIA],reservavariáveisconsolidadodez[[#Headers],[8]],tabela_registros[REGISTRO],DADOS!$N$6,tabela_registros[TIPO],DADOS!$AJ$4,tabela_registros[CATEGORIA],reservavariáveisconsolidadodez[[#This Row],[ATUAL]])</f>
        <v>0</v>
      </c>
      <c r="M195" s="119" t="n">
        <f aca="false">SUMIFS(tabela_registros[VALOR],tabela_registros[MÊS],$AE$1,tabela_registros[DIA],reservavariáveisconsolidadodez[[#Headers],[9]],tabela_registros[REGISTRO],DADOS!$N$6,tabela_registros[TIPO],DADOS!$AJ$4,tabela_registros[CATEGORIA],reservavariáveisconsolidadodez[[#This Row],[ATUAL]])</f>
        <v>0</v>
      </c>
      <c r="N195" s="119" t="n">
        <f aca="false">SUMIFS(tabela_registros[VALOR],tabela_registros[MÊS],$AE$1,tabela_registros[DIA],reservavariáveisconsolidadodez[[#Headers],[10]],tabela_registros[REGISTRO],DADOS!$N$6,tabela_registros[TIPO],DADOS!$AJ$4,tabela_registros[CATEGORIA],reservavariáveisconsolidadodez[[#This Row],[ATUAL]])</f>
        <v>0</v>
      </c>
      <c r="O195" s="119" t="n">
        <f aca="false">SUMIFS(tabela_registros[VALOR],tabela_registros[MÊS],$AE$1,tabela_registros[DIA],reservavariáveisconsolidadodez[[#Headers],[11]],tabela_registros[REGISTRO],DADOS!$N$6,tabela_registros[TIPO],DADOS!$AJ$4,tabela_registros[CATEGORIA],reservavariáveisconsolidadodez[[#This Row],[ATUAL]])</f>
        <v>0</v>
      </c>
      <c r="P195" s="119" t="n">
        <f aca="false">SUMIFS(tabela_registros[VALOR],tabela_registros[MÊS],$AE$1,tabela_registros[DIA],reservavariáveisconsolidadodez[[#Headers],[12]],tabela_registros[REGISTRO],DADOS!$N$6,tabela_registros[TIPO],DADOS!$AJ$4,tabela_registros[CATEGORIA],reservavariáveisconsolidadodez[[#This Row],[ATUAL]])</f>
        <v>0</v>
      </c>
      <c r="Q195" s="119" t="n">
        <f aca="false">SUMIFS(tabela_registros[VALOR],tabela_registros[MÊS],$AE$1,tabela_registros[DIA],reservavariáveisconsolidadodez[[#Headers],[13]],tabela_registros[REGISTRO],DADOS!$N$6,tabela_registros[TIPO],DADOS!$AJ$4,tabela_registros[CATEGORIA],reservavariáveisconsolidadodez[[#This Row],[ATUAL]])</f>
        <v>0</v>
      </c>
      <c r="R195" s="119" t="n">
        <f aca="false">SUMIFS(tabela_registros[VALOR],tabela_registros[MÊS],$AE$1,tabela_registros[DIA],reservavariáveisconsolidadodez[[#Headers],[14]],tabela_registros[REGISTRO],DADOS!$N$6,tabela_registros[TIPO],DADOS!$AJ$4,tabela_registros[CATEGORIA],reservavariáveisconsolidadodez[[#This Row],[ATUAL]])</f>
        <v>0</v>
      </c>
      <c r="S195" s="119" t="n">
        <f aca="false">SUMIFS(tabela_registros[VALOR],tabela_registros[MÊS],$AE$1,tabela_registros[DIA],reservavariáveisconsolidadodez[[#Headers],[15]],tabela_registros[REGISTRO],DADOS!$N$6,tabela_registros[TIPO],DADOS!$AJ$4,tabela_registros[CATEGORIA],reservavariáveisconsolidadodez[[#This Row],[ATUAL]])</f>
        <v>0</v>
      </c>
      <c r="T195" s="119" t="n">
        <f aca="false">SUMIFS(tabela_registros[VALOR],tabela_registros[MÊS],$AE$1,tabela_registros[DIA],reservavariáveisconsolidadodez[[#Headers],[16]],tabela_registros[REGISTRO],DADOS!$N$6,tabela_registros[TIPO],DADOS!$AJ$4,tabela_registros[CATEGORIA],reservavariáveisconsolidadodez[[#This Row],[ATUAL]])</f>
        <v>0</v>
      </c>
      <c r="U195" s="119" t="n">
        <f aca="false">SUMIFS(tabela_registros[VALOR],tabela_registros[MÊS],$AE$1,tabela_registros[DIA],reservavariáveisconsolidadodez[[#Headers],[17]],tabela_registros[REGISTRO],DADOS!$N$6,tabela_registros[TIPO],DADOS!$AJ$4,tabela_registros[CATEGORIA],reservavariáveisconsolidadodez[[#This Row],[ATUAL]])</f>
        <v>0</v>
      </c>
      <c r="V195" s="119" t="n">
        <f aca="false">SUMIFS(tabela_registros[VALOR],tabela_registros[MÊS],$AE$1,tabela_registros[DIA],reservavariáveisconsolidadodez[[#Headers],[18]],tabela_registros[REGISTRO],DADOS!$N$6,tabela_registros[TIPO],DADOS!$AJ$4,tabela_registros[CATEGORIA],reservavariáveisconsolidadodez[[#This Row],[ATUAL]])</f>
        <v>0</v>
      </c>
      <c r="W195" s="119" t="n">
        <f aca="false">SUMIFS(tabela_registros[VALOR],tabela_registros[MÊS],$AE$1,tabela_registros[DIA],reservavariáveisconsolidadodez[[#Headers],[19]],tabela_registros[REGISTRO],DADOS!$N$6,tabela_registros[TIPO],DADOS!$AJ$4,tabela_registros[CATEGORIA],reservavariáveisconsolidadodez[[#This Row],[ATUAL]])</f>
        <v>0</v>
      </c>
      <c r="X195" s="119" t="n">
        <f aca="false">SUMIFS(tabela_registros[VALOR],tabela_registros[MÊS],$AE$1,tabela_registros[DIA],reservavariáveisconsolidadodez[[#Headers],[20]],tabela_registros[REGISTRO],DADOS!$N$6,tabela_registros[TIPO],DADOS!$AJ$4,tabela_registros[CATEGORIA],reservavariáveisconsolidadodez[[#This Row],[ATUAL]])</f>
        <v>0</v>
      </c>
      <c r="Y195" s="119" t="n">
        <f aca="false">SUMIFS(tabela_registros[VALOR],tabela_registros[MÊS],$AE$1,tabela_registros[DIA],reservavariáveisconsolidadodez[[#Headers],[21]],tabela_registros[REGISTRO],DADOS!$N$6,tabela_registros[TIPO],DADOS!$AJ$4,tabela_registros[CATEGORIA],reservavariáveisconsolidadodez[[#This Row],[ATUAL]])</f>
        <v>0</v>
      </c>
      <c r="Z195" s="119" t="n">
        <f aca="false">SUMIFS(tabela_registros[VALOR],tabela_registros[MÊS],$AE$1,tabela_registros[DIA],reservavariáveisconsolidadodez[[#Headers],[22]],tabela_registros[REGISTRO],DADOS!$N$6,tabela_registros[TIPO],DADOS!$AJ$4,tabela_registros[CATEGORIA],reservavariáveisconsolidadodez[[#This Row],[ATUAL]])</f>
        <v>0</v>
      </c>
      <c r="AA195" s="119" t="n">
        <f aca="false">SUMIFS(tabela_registros[VALOR],tabela_registros[MÊS],$AE$1,tabela_registros[DIA],reservavariáveisconsolidadodez[[#Headers],[23]],tabela_registros[REGISTRO],DADOS!$N$6,tabela_registros[TIPO],DADOS!$AJ$4,tabela_registros[CATEGORIA],reservavariáveisconsolidadodez[[#This Row],[ATUAL]])</f>
        <v>0</v>
      </c>
      <c r="AB195" s="119" t="n">
        <f aca="false">SUMIFS(tabela_registros[VALOR],tabela_registros[MÊS],$AE$1,tabela_registros[DIA],reservavariáveisconsolidadodez[[#Headers],[24]],tabela_registros[REGISTRO],DADOS!$N$6,tabela_registros[TIPO],DADOS!$AJ$4,tabela_registros[CATEGORIA],reservavariáveisconsolidadodez[[#This Row],[ATUAL]])</f>
        <v>0</v>
      </c>
      <c r="AC195" s="119" t="n">
        <f aca="false">SUMIFS(tabela_registros[VALOR],tabela_registros[MÊS],$AE$1,tabela_registros[DIA],reservavariáveisconsolidadodez[[#Headers],[25]],tabela_registros[REGISTRO],DADOS!$N$6,tabela_registros[TIPO],DADOS!$AJ$4,tabela_registros[CATEGORIA],reservavariáveisconsolidadodez[[#This Row],[ATUAL]])</f>
        <v>0</v>
      </c>
      <c r="AD195" s="119" t="n">
        <f aca="false">SUMIFS(tabela_registros[VALOR],tabela_registros[MÊS],$AE$1,tabela_registros[DIA],reservavariáveisconsolidadodez[[#Headers],[26]],tabela_registros[REGISTRO],DADOS!$N$6,tabela_registros[TIPO],DADOS!$AJ$4,tabela_registros[CATEGORIA],reservavariáveisconsolidadodez[[#This Row],[ATUAL]])</f>
        <v>0</v>
      </c>
      <c r="AE195" s="119" t="n">
        <f aca="false">SUMIFS(tabela_registros[VALOR],tabela_registros[MÊS],$AE$1,tabela_registros[DIA],reservavariáveisconsolidadodez[[#Headers],[27]],tabela_registros[REGISTRO],DADOS!$N$6,tabela_registros[TIPO],DADOS!$AJ$4,tabela_registros[CATEGORIA],reservavariáveisconsolidadodez[[#This Row],[ATUAL]])</f>
        <v>0</v>
      </c>
      <c r="AF195" s="119" t="n">
        <f aca="false">SUMIFS(tabela_registros[VALOR],tabela_registros[MÊS],$AE$1,tabela_registros[DIA],reservavariáveisconsolidadodez[[#Headers],[28]],tabela_registros[REGISTRO],DADOS!$N$6,tabela_registros[TIPO],DADOS!$AJ$4,tabela_registros[CATEGORIA],reservavariáveisconsolidadodez[[#This Row],[ATUAL]])</f>
        <v>0</v>
      </c>
      <c r="AG195" s="119" t="n">
        <f aca="false">SUMIFS(tabela_registros[VALOR],tabela_registros[MÊS],$AE$1,tabela_registros[DIA],reservavariáveisconsolidadodez[[#Headers],[29]],tabela_registros[REGISTRO],DADOS!$N$6,tabela_registros[TIPO],DADOS!$AJ$4,tabela_registros[CATEGORIA],reservavariáveisconsolidadodez[[#This Row],[ATUAL]])</f>
        <v>0</v>
      </c>
      <c r="AH195" s="119" t="n">
        <f aca="false">SUMIFS(tabela_registros[VALOR],tabela_registros[MÊS],$AE$1,tabela_registros[DIA],reservavariáveisconsolidadodez[[#Headers],[30]],tabela_registros[REGISTRO],DADOS!$N$6,tabela_registros[TIPO],DADOS!$AJ$4,tabela_registros[CATEGORIA],reservavariáveisconsolidadodez[[#This Row],[ATUAL]])</f>
        <v>0</v>
      </c>
      <c r="AI195" s="217" t="n">
        <f aca="false">SUMIFS(tabela_registros[VALOR],tabela_registros[MÊS],$AE$1,tabela_registros[DIA],reservavariáveisconsolidadodez[[#Headers],[31]],tabela_registros[REGISTRO],DADOS!$N$6,tabela_registros[TIPO],DADOS!$AJ$4,tabela_registros[CATEGORIA],reservavariáveisconsolidadodez[[#This Row],[ATUAL]])</f>
        <v>0</v>
      </c>
      <c r="AJ195" s="149" t="n">
        <f aca="false">SUM(reservavariáveisconsolidadodez[[#This Row],[1]:[31]])</f>
        <v>0</v>
      </c>
      <c r="AK195" s="165"/>
    </row>
    <row r="196" customFormat="false" ht="19.5" hidden="false" customHeight="true" outlineLevel="0" collapsed="false">
      <c r="B196" s="143"/>
      <c r="C196" s="144" t="str">
        <f aca="false">DADOS!$AN$12</f>
        <v>📎 OUTROS</v>
      </c>
      <c r="D196" s="145" t="str">
        <f aca="false">IF(reservavariáveisconsolidadodez[[#This Row],[TOTAL (R$)]]=0,"",IF(OR(reservavariáveisconsolidadodez[[#This Row],[TOTAL (R$)]]=LARGE($AJ$187:$AJ$196,1),reservavariáveisconsolidadodez[[#This Row],[TOTAL (R$)]]=LARGE($AJ$187:$AJ$196,2)),DADOS!$I$11,""))</f>
        <v/>
      </c>
      <c r="E196" s="148" t="n">
        <f aca="false">SUMIFS(tabela_registros[VALOR],tabela_registros[MÊS],$AE$1,tabela_registros[DIA],reservavariáveisconsolidadodez[[#Headers],[1]],tabela_registros[REGISTRO],DADOS!$N$6,tabela_registros[TIPO],DADOS!$AJ$4,tabela_registros[CATEGORIA],reservavariáveisconsolidadodez[[#This Row],[ATUAL]])</f>
        <v>0</v>
      </c>
      <c r="F196" s="119" t="n">
        <f aca="false">SUMIFS(tabela_registros[VALOR],tabela_registros[MÊS],$AE$1,tabela_registros[DIA],reservavariáveisconsolidadodez[[#Headers],[2]],tabela_registros[REGISTRO],DADOS!$N$6,tabela_registros[TIPO],DADOS!$AJ$4,tabela_registros[CATEGORIA],reservavariáveisconsolidadodez[[#This Row],[ATUAL]])</f>
        <v>0</v>
      </c>
      <c r="G196" s="119" t="n">
        <f aca="false">SUMIFS(tabela_registros[VALOR],tabela_registros[MÊS],$AE$1,tabela_registros[DIA],reservavariáveisconsolidadodez[[#Headers],[3]],tabela_registros[REGISTRO],DADOS!$N$6,tabela_registros[TIPO],DADOS!$AJ$4,tabela_registros[CATEGORIA],reservavariáveisconsolidadodez[[#This Row],[ATUAL]])</f>
        <v>0</v>
      </c>
      <c r="H196" s="119" t="n">
        <f aca="false">SUMIFS(tabela_registros[VALOR],tabela_registros[MÊS],$AE$1,tabela_registros[DIA],reservavariáveisconsolidadodez[[#Headers],[4]],tabela_registros[REGISTRO],DADOS!$N$6,tabela_registros[TIPO],DADOS!$AJ$4,tabela_registros[CATEGORIA],reservavariáveisconsolidadodez[[#This Row],[ATUAL]])</f>
        <v>0</v>
      </c>
      <c r="I196" s="119" t="n">
        <f aca="false">SUMIFS(tabela_registros[VALOR],tabela_registros[MÊS],$AE$1,tabela_registros[DIA],reservavariáveisconsolidadodez[[#Headers],[5]],tabela_registros[REGISTRO],DADOS!$N$6,tabela_registros[TIPO],DADOS!$AJ$4,tabela_registros[CATEGORIA],reservavariáveisconsolidadodez[[#This Row],[ATUAL]])</f>
        <v>0</v>
      </c>
      <c r="J196" s="119" t="n">
        <f aca="false">SUMIFS(tabela_registros[VALOR],tabela_registros[MÊS],$AE$1,tabela_registros[DIA],reservavariáveisconsolidadodez[[#Headers],[6]],tabela_registros[REGISTRO],DADOS!$N$6,tabela_registros[TIPO],DADOS!$AJ$4,tabela_registros[CATEGORIA],reservavariáveisconsolidadodez[[#This Row],[ATUAL]])</f>
        <v>0</v>
      </c>
      <c r="K196" s="119" t="n">
        <f aca="false">SUMIFS(tabela_registros[VALOR],tabela_registros[MÊS],$AE$1,tabela_registros[DIA],reservavariáveisconsolidadodez[[#Headers],[7]],tabela_registros[REGISTRO],DADOS!$N$6,tabela_registros[TIPO],DADOS!$AJ$4,tabela_registros[CATEGORIA],reservavariáveisconsolidadodez[[#This Row],[ATUAL]])</f>
        <v>0</v>
      </c>
      <c r="L196" s="119" t="n">
        <f aca="false">SUMIFS(tabela_registros[VALOR],tabela_registros[MÊS],$AE$1,tabela_registros[DIA],reservavariáveisconsolidadodez[[#Headers],[8]],tabela_registros[REGISTRO],DADOS!$N$6,tabela_registros[TIPO],DADOS!$AJ$4,tabela_registros[CATEGORIA],reservavariáveisconsolidadodez[[#This Row],[ATUAL]])</f>
        <v>0</v>
      </c>
      <c r="M196" s="119" t="n">
        <f aca="false">SUMIFS(tabela_registros[VALOR],tabela_registros[MÊS],$AE$1,tabela_registros[DIA],reservavariáveisconsolidadodez[[#Headers],[9]],tabela_registros[REGISTRO],DADOS!$N$6,tabela_registros[TIPO],DADOS!$AJ$4,tabela_registros[CATEGORIA],reservavariáveisconsolidadodez[[#This Row],[ATUAL]])</f>
        <v>0</v>
      </c>
      <c r="N196" s="119" t="n">
        <f aca="false">SUMIFS(tabela_registros[VALOR],tabela_registros[MÊS],$AE$1,tabela_registros[DIA],reservavariáveisconsolidadodez[[#Headers],[10]],tabela_registros[REGISTRO],DADOS!$N$6,tabela_registros[TIPO],DADOS!$AJ$4,tabela_registros[CATEGORIA],reservavariáveisconsolidadodez[[#This Row],[ATUAL]])</f>
        <v>0</v>
      </c>
      <c r="O196" s="119" t="n">
        <f aca="false">SUMIFS(tabela_registros[VALOR],tabela_registros[MÊS],$AE$1,tabela_registros[DIA],reservavariáveisconsolidadodez[[#Headers],[11]],tabela_registros[REGISTRO],DADOS!$N$6,tabela_registros[TIPO],DADOS!$AJ$4,tabela_registros[CATEGORIA],reservavariáveisconsolidadodez[[#This Row],[ATUAL]])</f>
        <v>0</v>
      </c>
      <c r="P196" s="119" t="n">
        <f aca="false">SUMIFS(tabela_registros[VALOR],tabela_registros[MÊS],$AE$1,tabela_registros[DIA],reservavariáveisconsolidadodez[[#Headers],[12]],tabela_registros[REGISTRO],DADOS!$N$6,tabela_registros[TIPO],DADOS!$AJ$4,tabela_registros[CATEGORIA],reservavariáveisconsolidadodez[[#This Row],[ATUAL]])</f>
        <v>0</v>
      </c>
      <c r="Q196" s="119" t="n">
        <f aca="false">SUMIFS(tabela_registros[VALOR],tabela_registros[MÊS],$AE$1,tabela_registros[DIA],reservavariáveisconsolidadodez[[#Headers],[13]],tabela_registros[REGISTRO],DADOS!$N$6,tabela_registros[TIPO],DADOS!$AJ$4,tabela_registros[CATEGORIA],reservavariáveisconsolidadodez[[#This Row],[ATUAL]])</f>
        <v>0</v>
      </c>
      <c r="R196" s="119" t="n">
        <f aca="false">SUMIFS(tabela_registros[VALOR],tabela_registros[MÊS],$AE$1,tabela_registros[DIA],reservavariáveisconsolidadodez[[#Headers],[14]],tabela_registros[REGISTRO],DADOS!$N$6,tabela_registros[TIPO],DADOS!$AJ$4,tabela_registros[CATEGORIA],reservavariáveisconsolidadodez[[#This Row],[ATUAL]])</f>
        <v>0</v>
      </c>
      <c r="S196" s="119" t="n">
        <f aca="false">SUMIFS(tabela_registros[VALOR],tabela_registros[MÊS],$AE$1,tabela_registros[DIA],reservavariáveisconsolidadodez[[#Headers],[15]],tabela_registros[REGISTRO],DADOS!$N$6,tabela_registros[TIPO],DADOS!$AJ$4,tabela_registros[CATEGORIA],reservavariáveisconsolidadodez[[#This Row],[ATUAL]])</f>
        <v>0</v>
      </c>
      <c r="T196" s="119" t="n">
        <f aca="false">SUMIFS(tabela_registros[VALOR],tabela_registros[MÊS],$AE$1,tabela_registros[DIA],reservavariáveisconsolidadodez[[#Headers],[16]],tabela_registros[REGISTRO],DADOS!$N$6,tabela_registros[TIPO],DADOS!$AJ$4,tabela_registros[CATEGORIA],reservavariáveisconsolidadodez[[#This Row],[ATUAL]])</f>
        <v>0</v>
      </c>
      <c r="U196" s="119" t="n">
        <f aca="false">SUMIFS(tabela_registros[VALOR],tabela_registros[MÊS],$AE$1,tabela_registros[DIA],reservavariáveisconsolidadodez[[#Headers],[17]],tabela_registros[REGISTRO],DADOS!$N$6,tabela_registros[TIPO],DADOS!$AJ$4,tabela_registros[CATEGORIA],reservavariáveisconsolidadodez[[#This Row],[ATUAL]])</f>
        <v>0</v>
      </c>
      <c r="V196" s="119" t="n">
        <f aca="false">SUMIFS(tabela_registros[VALOR],tabela_registros[MÊS],$AE$1,tabela_registros[DIA],reservavariáveisconsolidadodez[[#Headers],[18]],tabela_registros[REGISTRO],DADOS!$N$6,tabela_registros[TIPO],DADOS!$AJ$4,tabela_registros[CATEGORIA],reservavariáveisconsolidadodez[[#This Row],[ATUAL]])</f>
        <v>0</v>
      </c>
      <c r="W196" s="119" t="n">
        <f aca="false">SUMIFS(tabela_registros[VALOR],tabela_registros[MÊS],$AE$1,tabela_registros[DIA],reservavariáveisconsolidadodez[[#Headers],[19]],tabela_registros[REGISTRO],DADOS!$N$6,tabela_registros[TIPO],DADOS!$AJ$4,tabela_registros[CATEGORIA],reservavariáveisconsolidadodez[[#This Row],[ATUAL]])</f>
        <v>0</v>
      </c>
      <c r="X196" s="119" t="n">
        <f aca="false">SUMIFS(tabela_registros[VALOR],tabela_registros[MÊS],$AE$1,tabela_registros[DIA],reservavariáveisconsolidadodez[[#Headers],[20]],tabela_registros[REGISTRO],DADOS!$N$6,tabela_registros[TIPO],DADOS!$AJ$4,tabela_registros[CATEGORIA],reservavariáveisconsolidadodez[[#This Row],[ATUAL]])</f>
        <v>0</v>
      </c>
      <c r="Y196" s="119" t="n">
        <f aca="false">SUMIFS(tabela_registros[VALOR],tabela_registros[MÊS],$AE$1,tabela_registros[DIA],reservavariáveisconsolidadodez[[#Headers],[21]],tabela_registros[REGISTRO],DADOS!$N$6,tabela_registros[TIPO],DADOS!$AJ$4,tabela_registros[CATEGORIA],reservavariáveisconsolidadodez[[#This Row],[ATUAL]])</f>
        <v>0</v>
      </c>
      <c r="Z196" s="119" t="n">
        <f aca="false">SUMIFS(tabela_registros[VALOR],tabela_registros[MÊS],$AE$1,tabela_registros[DIA],reservavariáveisconsolidadodez[[#Headers],[22]],tabela_registros[REGISTRO],DADOS!$N$6,tabela_registros[TIPO],DADOS!$AJ$4,tabela_registros[CATEGORIA],reservavariáveisconsolidadodez[[#This Row],[ATUAL]])</f>
        <v>0</v>
      </c>
      <c r="AA196" s="119" t="n">
        <f aca="false">SUMIFS(tabela_registros[VALOR],tabela_registros[MÊS],$AE$1,tabela_registros[DIA],reservavariáveisconsolidadodez[[#Headers],[23]],tabela_registros[REGISTRO],DADOS!$N$6,tabela_registros[TIPO],DADOS!$AJ$4,tabela_registros[CATEGORIA],reservavariáveisconsolidadodez[[#This Row],[ATUAL]])</f>
        <v>0</v>
      </c>
      <c r="AB196" s="119" t="n">
        <f aca="false">SUMIFS(tabela_registros[VALOR],tabela_registros[MÊS],$AE$1,tabela_registros[DIA],reservavariáveisconsolidadodez[[#Headers],[24]],tabela_registros[REGISTRO],DADOS!$N$6,tabela_registros[TIPO],DADOS!$AJ$4,tabela_registros[CATEGORIA],reservavariáveisconsolidadodez[[#This Row],[ATUAL]])</f>
        <v>0</v>
      </c>
      <c r="AC196" s="119" t="n">
        <f aca="false">SUMIFS(tabela_registros[VALOR],tabela_registros[MÊS],$AE$1,tabela_registros[DIA],reservavariáveisconsolidadodez[[#Headers],[25]],tabela_registros[REGISTRO],DADOS!$N$6,tabela_registros[TIPO],DADOS!$AJ$4,tabela_registros[CATEGORIA],reservavariáveisconsolidadodez[[#This Row],[ATUAL]])</f>
        <v>0</v>
      </c>
      <c r="AD196" s="119" t="n">
        <f aca="false">SUMIFS(tabela_registros[VALOR],tabela_registros[MÊS],$AE$1,tabela_registros[DIA],reservavariáveisconsolidadodez[[#Headers],[26]],tabela_registros[REGISTRO],DADOS!$N$6,tabela_registros[TIPO],DADOS!$AJ$4,tabela_registros[CATEGORIA],reservavariáveisconsolidadodez[[#This Row],[ATUAL]])</f>
        <v>0</v>
      </c>
      <c r="AE196" s="119" t="n">
        <f aca="false">SUMIFS(tabela_registros[VALOR],tabela_registros[MÊS],$AE$1,tabela_registros[DIA],reservavariáveisconsolidadodez[[#Headers],[27]],tabela_registros[REGISTRO],DADOS!$N$6,tabela_registros[TIPO],DADOS!$AJ$4,tabela_registros[CATEGORIA],reservavariáveisconsolidadodez[[#This Row],[ATUAL]])</f>
        <v>0</v>
      </c>
      <c r="AF196" s="119" t="n">
        <f aca="false">SUMIFS(tabela_registros[VALOR],tabela_registros[MÊS],$AE$1,tabela_registros[DIA],reservavariáveisconsolidadodez[[#Headers],[28]],tabela_registros[REGISTRO],DADOS!$N$6,tabela_registros[TIPO],DADOS!$AJ$4,tabela_registros[CATEGORIA],reservavariáveisconsolidadodez[[#This Row],[ATUAL]])</f>
        <v>0</v>
      </c>
      <c r="AG196" s="119" t="n">
        <f aca="false">SUMIFS(tabela_registros[VALOR],tabela_registros[MÊS],$AE$1,tabela_registros[DIA],reservavariáveisconsolidadodez[[#Headers],[29]],tabela_registros[REGISTRO],DADOS!$N$6,tabela_registros[TIPO],DADOS!$AJ$4,tabela_registros[CATEGORIA],reservavariáveisconsolidadodez[[#This Row],[ATUAL]])</f>
        <v>0</v>
      </c>
      <c r="AH196" s="119" t="n">
        <f aca="false">SUMIFS(tabela_registros[VALOR],tabela_registros[MÊS],$AE$1,tabela_registros[DIA],reservavariáveisconsolidadodez[[#Headers],[30]],tabela_registros[REGISTRO],DADOS!$N$6,tabela_registros[TIPO],DADOS!$AJ$4,tabela_registros[CATEGORIA],reservavariáveisconsolidadodez[[#This Row],[ATUAL]])</f>
        <v>0</v>
      </c>
      <c r="AI196" s="218" t="n">
        <f aca="false">SUMIFS(tabela_registros[VALOR],tabela_registros[MÊS],$AE$1,tabela_registros[DIA],reservavariáveisconsolidadodez[[#Headers],[31]],tabela_registros[REGISTRO],DADOS!$N$6,tabela_registros[TIPO],DADOS!$AJ$4,tabela_registros[CATEGORIA],reservavariáveisconsolidadodez[[#This Row],[ATUAL]])</f>
        <v>0</v>
      </c>
      <c r="AJ196" s="149" t="n">
        <f aca="false">SUM(reservavariáveisconsolidadodez[[#This Row],[1]:[31]])</f>
        <v>0</v>
      </c>
      <c r="AK196" s="165"/>
    </row>
    <row r="197" s="122" customFormat="true" ht="21" hidden="false" customHeight="true" outlineLevel="0" collapsed="false">
      <c r="B197" s="152"/>
      <c r="C197" s="153" t="s">
        <v>2</v>
      </c>
      <c r="D197" s="166"/>
      <c r="E197" s="155" t="n">
        <f aca="false">SUM(E187:E196)</f>
        <v>0</v>
      </c>
      <c r="F197" s="156" t="n">
        <f aca="false">SUM(F187:F196)+reservavariáveisconsolidadodez[[#This Row],[1]]</f>
        <v>0</v>
      </c>
      <c r="G197" s="156" t="n">
        <f aca="false">SUM(G187:G196)+reservavariáveisconsolidadodez[[#This Row],[2]]</f>
        <v>0</v>
      </c>
      <c r="H197" s="156" t="n">
        <f aca="false">SUM(H187:H196)+reservavariáveisconsolidadodez[[#This Row],[3]]</f>
        <v>0</v>
      </c>
      <c r="I197" s="156" t="n">
        <f aca="false">SUM(I187:I196)+reservavariáveisconsolidadodez[[#This Row],[4]]</f>
        <v>0</v>
      </c>
      <c r="J197" s="156" t="n">
        <f aca="false">SUM(J187:J196)+reservavariáveisconsolidadodez[[#This Row],[5]]</f>
        <v>0</v>
      </c>
      <c r="K197" s="156" t="n">
        <f aca="false">SUM(K187:K196)+reservavariáveisconsolidadodez[[#This Row],[6]]</f>
        <v>0</v>
      </c>
      <c r="L197" s="156" t="n">
        <f aca="false">SUM(L187:L196)+reservavariáveisconsolidadodez[[#This Row],[7]]</f>
        <v>0</v>
      </c>
      <c r="M197" s="156" t="n">
        <f aca="false">SUM(M187:M196)+reservavariáveisconsolidadodez[[#This Row],[8]]</f>
        <v>0</v>
      </c>
      <c r="N197" s="156" t="n">
        <f aca="false">SUM(N187:N196)+reservavariáveisconsolidadodez[[#This Row],[9]]</f>
        <v>0</v>
      </c>
      <c r="O197" s="156" t="n">
        <f aca="false">SUM(O187:O196)+reservavariáveisconsolidadodez[[#This Row],[10]]</f>
        <v>0</v>
      </c>
      <c r="P197" s="156" t="n">
        <f aca="false">SUM(P187:P196)+reservavariáveisconsolidadodez[[#This Row],[11]]</f>
        <v>0</v>
      </c>
      <c r="Q197" s="156" t="n">
        <f aca="false">SUM(Q187:Q196)+reservavariáveisconsolidadodez[[#This Row],[12]]</f>
        <v>0</v>
      </c>
      <c r="R197" s="156" t="n">
        <f aca="false">SUM(R187:R196)+reservavariáveisconsolidadodez[[#This Row],[13]]</f>
        <v>0</v>
      </c>
      <c r="S197" s="156" t="n">
        <f aca="false">SUM(S187:S196)+reservavariáveisconsolidadodez[[#This Row],[14]]</f>
        <v>0</v>
      </c>
      <c r="T197" s="156" t="n">
        <f aca="false">SUM(T187:T196)+reservavariáveisconsolidadodez[[#This Row],[15]]</f>
        <v>0</v>
      </c>
      <c r="U197" s="156" t="n">
        <f aca="false">SUM(U187:U196)+reservavariáveisconsolidadodez[[#This Row],[16]]</f>
        <v>0</v>
      </c>
      <c r="V197" s="156" t="n">
        <f aca="false">SUM(V187:V196)+reservavariáveisconsolidadodez[[#This Row],[17]]</f>
        <v>0</v>
      </c>
      <c r="W197" s="156" t="n">
        <f aca="false">SUM(W187:W196)+reservavariáveisconsolidadodez[[#This Row],[18]]</f>
        <v>0</v>
      </c>
      <c r="X197" s="156" t="n">
        <f aca="false">SUM(X187:X196)+reservavariáveisconsolidadodez[[#This Row],[19]]</f>
        <v>0</v>
      </c>
      <c r="Y197" s="156" t="n">
        <f aca="false">SUM(Y187:Y196)+reservavariáveisconsolidadodez[[#This Row],[20]]</f>
        <v>0</v>
      </c>
      <c r="Z197" s="156" t="n">
        <f aca="false">SUM(Z187:Z196)+reservavariáveisconsolidadodez[[#This Row],[21]]</f>
        <v>0</v>
      </c>
      <c r="AA197" s="156" t="n">
        <f aca="false">SUM(AA187:AA196)+reservavariáveisconsolidadodez[[#This Row],[22]]</f>
        <v>0</v>
      </c>
      <c r="AB197" s="156" t="n">
        <f aca="false">SUM(AB187:AB196)+reservavariáveisconsolidadodez[[#This Row],[23]]</f>
        <v>0</v>
      </c>
      <c r="AC197" s="156" t="n">
        <f aca="false">SUM(AC187:AC196)+reservavariáveisconsolidadodez[[#This Row],[24]]</f>
        <v>0</v>
      </c>
      <c r="AD197" s="156" t="n">
        <f aca="false">SUM(AD187:AD196)+reservavariáveisconsolidadodez[[#This Row],[25]]</f>
        <v>0</v>
      </c>
      <c r="AE197" s="156" t="n">
        <f aca="false">SUM(AE187:AE196)+reservavariáveisconsolidadodez[[#This Row],[26]]</f>
        <v>0</v>
      </c>
      <c r="AF197" s="156" t="n">
        <f aca="false">SUM(AF187:AF196)+reservavariáveisconsolidadodez[[#This Row],[27]]</f>
        <v>0</v>
      </c>
      <c r="AG197" s="156" t="n">
        <f aca="false">SUM(AG187:AG196)+reservavariáveisconsolidadodez[[#This Row],[28]]</f>
        <v>0</v>
      </c>
      <c r="AH197" s="156" t="n">
        <f aca="false">SUM(AH187:AH196)+reservavariáveisconsolidadodez[[#This Row],[29]]</f>
        <v>0</v>
      </c>
      <c r="AI197" s="223" t="n">
        <f aca="false">SUM(AI187:AI196)+reservavariáveisconsolidadodez[[#This Row],[30]]</f>
        <v>0</v>
      </c>
      <c r="AJ197" s="157" t="n">
        <f aca="false">reservavariáveisconsolidadodez[[#This Row],[31]]</f>
        <v>0</v>
      </c>
      <c r="AK197" s="158"/>
    </row>
    <row r="198" customFormat="false" ht="6.75" hidden="false" customHeight="true" outlineLevel="0" collapsed="false">
      <c r="B198" s="97"/>
      <c r="C198" s="162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233"/>
      <c r="AJ198" s="164"/>
      <c r="AK198" s="244"/>
    </row>
    <row r="199" s="78" customFormat="true" ht="12.75" hidden="false" customHeight="false" outlineLevel="0" collapsed="false">
      <c r="E199" s="100"/>
    </row>
    <row r="200" s="78" customFormat="true" ht="12" hidden="false" customHeight="false" outlineLevel="0" collapsed="false"/>
    <row r="201" s="78" customFormat="true" ht="12" hidden="false" customHeight="false" outlineLevel="0" collapsed="false"/>
    <row r="202" customFormat="false" ht="39.75" hidden="false" customHeight="true" outlineLevel="0" collapsed="false">
      <c r="C202" s="101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3" t="s">
        <v>2</v>
      </c>
    </row>
    <row r="203" s="78" customFormat="true" ht="12.75" hidden="false" customHeight="false" outlineLevel="0" collapsed="false">
      <c r="B203" s="161"/>
      <c r="AJ203" s="106" t="s">
        <v>64</v>
      </c>
    </row>
    <row r="204" customFormat="false" ht="6.75" hidden="false" customHeight="true" outlineLevel="0" collapsed="false">
      <c r="B204" s="86"/>
      <c r="C204" s="162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233"/>
      <c r="AK204" s="139"/>
    </row>
    <row r="205" customFormat="false" ht="13.5" hidden="true" customHeight="false" outlineLevel="0" collapsed="false">
      <c r="B205" s="86"/>
      <c r="C205" s="109" t="s">
        <v>68</v>
      </c>
      <c r="D205" s="110" t="s">
        <v>69</v>
      </c>
      <c r="E205" s="110" t="s">
        <v>30</v>
      </c>
      <c r="F205" s="110" t="s">
        <v>31</v>
      </c>
      <c r="G205" s="110" t="s">
        <v>32</v>
      </c>
      <c r="H205" s="110" t="s">
        <v>33</v>
      </c>
      <c r="I205" s="110" t="s">
        <v>34</v>
      </c>
      <c r="J205" s="110" t="s">
        <v>35</v>
      </c>
      <c r="K205" s="110" t="s">
        <v>36</v>
      </c>
      <c r="L205" s="110" t="s">
        <v>37</v>
      </c>
      <c r="M205" s="110" t="s">
        <v>38</v>
      </c>
      <c r="N205" s="110" t="s">
        <v>39</v>
      </c>
      <c r="O205" s="110" t="s">
        <v>40</v>
      </c>
      <c r="P205" s="110" t="s">
        <v>41</v>
      </c>
      <c r="Q205" s="110" t="s">
        <v>81</v>
      </c>
      <c r="R205" s="110" t="s">
        <v>82</v>
      </c>
      <c r="S205" s="110" t="s">
        <v>83</v>
      </c>
      <c r="T205" s="110" t="s">
        <v>84</v>
      </c>
      <c r="U205" s="110" t="s">
        <v>85</v>
      </c>
      <c r="V205" s="110" t="s">
        <v>86</v>
      </c>
      <c r="W205" s="110" t="s">
        <v>87</v>
      </c>
      <c r="X205" s="110" t="s">
        <v>88</v>
      </c>
      <c r="Y205" s="110" t="s">
        <v>89</v>
      </c>
      <c r="Z205" s="110" t="s">
        <v>90</v>
      </c>
      <c r="AA205" s="110" t="s">
        <v>91</v>
      </c>
      <c r="AB205" s="110" t="s">
        <v>92</v>
      </c>
      <c r="AC205" s="110" t="s">
        <v>93</v>
      </c>
      <c r="AD205" s="110" t="s">
        <v>94</v>
      </c>
      <c r="AE205" s="110" t="s">
        <v>95</v>
      </c>
      <c r="AF205" s="110" t="s">
        <v>96</v>
      </c>
      <c r="AG205" s="110" t="s">
        <v>97</v>
      </c>
      <c r="AH205" s="110" t="s">
        <v>98</v>
      </c>
      <c r="AI205" s="110" t="s">
        <v>99</v>
      </c>
      <c r="AJ205" s="111" t="s">
        <v>70</v>
      </c>
      <c r="AK205" s="86"/>
    </row>
    <row r="206" customFormat="false" ht="19.5" hidden="false" customHeight="true" outlineLevel="0" collapsed="false">
      <c r="B206" s="143"/>
      <c r="C206" s="144" t="str">
        <f aca="false">DADOS!$AP$3</f>
        <v>📝 COE</v>
      </c>
      <c r="D206" s="145" t="str">
        <f aca="false">IF(reservaoutrosconsolidadodez[[#This Row],[TOTAL (R$)]]=0,"",IF(OR(reservaoutrosconsolidadodez[[#This Row],[TOTAL (R$)]]=LARGE($AJ$206:$AJ$213,1),reservaoutrosconsolidadodez[[#This Row],[TOTAL (R$)]]=LARGE($AJ$206:$AJ$213,2)),DADOS!$I$11,""))</f>
        <v/>
      </c>
      <c r="E206" s="148" t="n">
        <f aca="false">SUMIFS(tabela_registros[VALOR],tabela_registros[MÊS],$AE$1,tabela_registros[DIA],reservaoutrosconsolidadodez[[#Headers],[1]],tabela_registros[REGISTRO],DADOS!$N$6,tabela_registros[TIPO],DADOS!$AJ$5,tabela_registros[CATEGORIA],reservaoutrosconsolidadodez[[#This Row],[ATUAL]])</f>
        <v>0</v>
      </c>
      <c r="F206" s="119" t="n">
        <f aca="false">SUMIFS(tabela_registros[VALOR],tabela_registros[MÊS],$AE$1,tabela_registros[DIA],reservaoutrosconsolidadodez[[#Headers],[2]],tabela_registros[REGISTRO],DADOS!$N$6,tabela_registros[TIPO],DADOS!$AJ$5,tabela_registros[CATEGORIA],reservaoutrosconsolidadodez[[#This Row],[ATUAL]])</f>
        <v>0</v>
      </c>
      <c r="G206" s="119" t="n">
        <f aca="false">SUMIFS(tabela_registros[VALOR],tabela_registros[MÊS],$AE$1,tabela_registros[DIA],reservaoutrosconsolidadodez[[#Headers],[3]],tabela_registros[REGISTRO],DADOS!$N$6,tabela_registros[TIPO],DADOS!$AJ$5,tabela_registros[CATEGORIA],reservaoutrosconsolidadodez[[#This Row],[ATUAL]])</f>
        <v>0</v>
      </c>
      <c r="H206" s="119" t="n">
        <f aca="false">SUMIFS(tabela_registros[VALOR],tabela_registros[MÊS],$AE$1,tabela_registros[DIA],reservaoutrosconsolidadodez[[#Headers],[4]],tabela_registros[REGISTRO],DADOS!$N$6,tabela_registros[TIPO],DADOS!$AJ$5,tabela_registros[CATEGORIA],reservaoutrosconsolidadodez[[#This Row],[ATUAL]])</f>
        <v>0</v>
      </c>
      <c r="I206" s="119" t="n">
        <f aca="false">SUMIFS(tabela_registros[VALOR],tabela_registros[MÊS],$AE$1,tabela_registros[DIA],reservaoutrosconsolidadodez[[#Headers],[5]],tabela_registros[REGISTRO],DADOS!$N$6,tabela_registros[TIPO],DADOS!$AJ$5,tabela_registros[CATEGORIA],reservaoutrosconsolidadodez[[#This Row],[ATUAL]])</f>
        <v>0</v>
      </c>
      <c r="J206" s="119" t="n">
        <f aca="false">SUMIFS(tabela_registros[VALOR],tabela_registros[MÊS],$AE$1,tabela_registros[DIA],reservaoutrosconsolidadodez[[#Headers],[6]],tabela_registros[REGISTRO],DADOS!$N$6,tabela_registros[TIPO],DADOS!$AJ$5,tabela_registros[CATEGORIA],reservaoutrosconsolidadodez[[#This Row],[ATUAL]])</f>
        <v>0</v>
      </c>
      <c r="K206" s="119" t="n">
        <f aca="false">SUMIFS(tabela_registros[VALOR],tabela_registros[MÊS],$AE$1,tabela_registros[DIA],reservaoutrosconsolidadodez[[#Headers],[7]],tabela_registros[REGISTRO],DADOS!$N$6,tabela_registros[TIPO],DADOS!$AJ$5,tabela_registros[CATEGORIA],reservaoutrosconsolidadodez[[#This Row],[ATUAL]])</f>
        <v>0</v>
      </c>
      <c r="L206" s="119" t="n">
        <f aca="false">SUMIFS(tabela_registros[VALOR],tabela_registros[MÊS],$AE$1,tabela_registros[DIA],reservaoutrosconsolidadodez[[#Headers],[8]],tabela_registros[REGISTRO],DADOS!$N$6,tabela_registros[TIPO],DADOS!$AJ$5,tabela_registros[CATEGORIA],reservaoutrosconsolidadodez[[#This Row],[ATUAL]])</f>
        <v>0</v>
      </c>
      <c r="M206" s="119" t="n">
        <f aca="false">SUMIFS(tabela_registros[VALOR],tabela_registros[MÊS],$AE$1,tabela_registros[DIA],reservaoutrosconsolidadodez[[#Headers],[9]],tabela_registros[REGISTRO],DADOS!$N$6,tabela_registros[TIPO],DADOS!$AJ$5,tabela_registros[CATEGORIA],reservaoutrosconsolidadodez[[#This Row],[ATUAL]])</f>
        <v>0</v>
      </c>
      <c r="N206" s="119" t="n">
        <f aca="false">SUMIFS(tabela_registros[VALOR],tabela_registros[MÊS],$AE$1,tabela_registros[DIA],reservaoutrosconsolidadodez[[#Headers],[10]],tabela_registros[REGISTRO],DADOS!$N$6,tabela_registros[TIPO],DADOS!$AJ$5,tabela_registros[CATEGORIA],reservaoutrosconsolidadodez[[#This Row],[ATUAL]])</f>
        <v>0</v>
      </c>
      <c r="O206" s="119" t="n">
        <f aca="false">SUMIFS(tabela_registros[VALOR],tabela_registros[MÊS],$AE$1,tabela_registros[DIA],reservaoutrosconsolidadodez[[#Headers],[11]],tabela_registros[REGISTRO],DADOS!$N$6,tabela_registros[TIPO],DADOS!$AJ$5,tabela_registros[CATEGORIA],reservaoutrosconsolidadodez[[#This Row],[ATUAL]])</f>
        <v>0</v>
      </c>
      <c r="P206" s="119" t="n">
        <f aca="false">SUMIFS(tabela_registros[VALOR],tabela_registros[MÊS],$AE$1,tabela_registros[DIA],reservaoutrosconsolidadodez[[#Headers],[12]],tabela_registros[REGISTRO],DADOS!$N$6,tabela_registros[TIPO],DADOS!$AJ$5,tabela_registros[CATEGORIA],reservaoutrosconsolidadodez[[#This Row],[ATUAL]])</f>
        <v>0</v>
      </c>
      <c r="Q206" s="119" t="n">
        <f aca="false">SUMIFS(tabela_registros[VALOR],tabela_registros[MÊS],$AE$1,tabela_registros[DIA],reservaoutrosconsolidadodez[[#Headers],[13]],tabela_registros[REGISTRO],DADOS!$N$6,tabela_registros[TIPO],DADOS!$AJ$5,tabela_registros[CATEGORIA],reservaoutrosconsolidadodez[[#This Row],[ATUAL]])</f>
        <v>0</v>
      </c>
      <c r="R206" s="119" t="n">
        <f aca="false">SUMIFS(tabela_registros[VALOR],tabela_registros[MÊS],$AE$1,tabela_registros[DIA],reservaoutrosconsolidadodez[[#Headers],[14]],tabela_registros[REGISTRO],DADOS!$N$6,tabela_registros[TIPO],DADOS!$AJ$5,tabela_registros[CATEGORIA],reservaoutrosconsolidadodez[[#This Row],[ATUAL]])</f>
        <v>0</v>
      </c>
      <c r="S206" s="119" t="n">
        <f aca="false">SUMIFS(tabela_registros[VALOR],tabela_registros[MÊS],$AE$1,tabela_registros[DIA],reservaoutrosconsolidadodez[[#Headers],[15]],tabela_registros[REGISTRO],DADOS!$N$6,tabela_registros[TIPO],DADOS!$AJ$5,tabela_registros[CATEGORIA],reservaoutrosconsolidadodez[[#This Row],[ATUAL]])</f>
        <v>0</v>
      </c>
      <c r="T206" s="119" t="n">
        <f aca="false">SUMIFS(tabela_registros[VALOR],tabela_registros[MÊS],$AE$1,tabela_registros[DIA],reservaoutrosconsolidadodez[[#Headers],[16]],tabela_registros[REGISTRO],DADOS!$N$6,tabela_registros[TIPO],DADOS!$AJ$5,tabela_registros[CATEGORIA],reservaoutrosconsolidadodez[[#This Row],[ATUAL]])</f>
        <v>0</v>
      </c>
      <c r="U206" s="119" t="n">
        <f aca="false">SUMIFS(tabela_registros[VALOR],tabela_registros[MÊS],$AE$1,tabela_registros[DIA],reservaoutrosconsolidadodez[[#Headers],[17]],tabela_registros[REGISTRO],DADOS!$N$6,tabela_registros[TIPO],DADOS!$AJ$5,tabela_registros[CATEGORIA],reservaoutrosconsolidadodez[[#This Row],[ATUAL]])</f>
        <v>0</v>
      </c>
      <c r="V206" s="119" t="n">
        <f aca="false">SUMIFS(tabela_registros[VALOR],tabela_registros[MÊS],$AE$1,tabela_registros[DIA],reservaoutrosconsolidadodez[[#Headers],[18]],tabela_registros[REGISTRO],DADOS!$N$6,tabela_registros[TIPO],DADOS!$AJ$5,tabela_registros[CATEGORIA],reservaoutrosconsolidadodez[[#This Row],[ATUAL]])</f>
        <v>0</v>
      </c>
      <c r="W206" s="119" t="n">
        <f aca="false">SUMIFS(tabela_registros[VALOR],tabela_registros[MÊS],$AE$1,tabela_registros[DIA],reservaoutrosconsolidadodez[[#Headers],[19]],tabela_registros[REGISTRO],DADOS!$N$6,tabela_registros[TIPO],DADOS!$AJ$5,tabela_registros[CATEGORIA],reservaoutrosconsolidadodez[[#This Row],[ATUAL]])</f>
        <v>0</v>
      </c>
      <c r="X206" s="119" t="n">
        <f aca="false">SUMIFS(tabela_registros[VALOR],tabela_registros[MÊS],$AE$1,tabela_registros[DIA],reservaoutrosconsolidadodez[[#Headers],[20]],tabela_registros[REGISTRO],DADOS!$N$6,tabela_registros[TIPO],DADOS!$AJ$5,tabela_registros[CATEGORIA],reservaoutrosconsolidadodez[[#This Row],[ATUAL]])</f>
        <v>0</v>
      </c>
      <c r="Y206" s="119" t="n">
        <f aca="false">SUMIFS(tabela_registros[VALOR],tabela_registros[MÊS],$AE$1,tabela_registros[DIA],reservaoutrosconsolidadodez[[#Headers],[21]],tabela_registros[REGISTRO],DADOS!$N$6,tabela_registros[TIPO],DADOS!$AJ$5,tabela_registros[CATEGORIA],reservaoutrosconsolidadodez[[#This Row],[ATUAL]])</f>
        <v>0</v>
      </c>
      <c r="Z206" s="119" t="n">
        <f aca="false">SUMIFS(tabela_registros[VALOR],tabela_registros[MÊS],$AE$1,tabela_registros[DIA],reservaoutrosconsolidadodez[[#Headers],[22]],tabela_registros[REGISTRO],DADOS!$N$6,tabela_registros[TIPO],DADOS!$AJ$5,tabela_registros[CATEGORIA],reservaoutrosconsolidadodez[[#This Row],[ATUAL]])</f>
        <v>0</v>
      </c>
      <c r="AA206" s="119" t="n">
        <f aca="false">SUMIFS(tabela_registros[VALOR],tabela_registros[MÊS],$AE$1,tabela_registros[DIA],reservaoutrosconsolidadodez[[#Headers],[23]],tabela_registros[REGISTRO],DADOS!$N$6,tabela_registros[TIPO],DADOS!$AJ$5,tabela_registros[CATEGORIA],reservaoutrosconsolidadodez[[#This Row],[ATUAL]])</f>
        <v>0</v>
      </c>
      <c r="AB206" s="119" t="n">
        <f aca="false">SUMIFS(tabela_registros[VALOR],tabela_registros[MÊS],$AE$1,tabela_registros[DIA],reservaoutrosconsolidadodez[[#Headers],[24]],tabela_registros[REGISTRO],DADOS!$N$6,tabela_registros[TIPO],DADOS!$AJ$5,tabela_registros[CATEGORIA],reservaoutrosconsolidadodez[[#This Row],[ATUAL]])</f>
        <v>0</v>
      </c>
      <c r="AC206" s="119" t="n">
        <f aca="false">SUMIFS(tabela_registros[VALOR],tabela_registros[MÊS],$AE$1,tabela_registros[DIA],reservaoutrosconsolidadodez[[#Headers],[25]],tabela_registros[REGISTRO],DADOS!$N$6,tabela_registros[TIPO],DADOS!$AJ$5,tabela_registros[CATEGORIA],reservaoutrosconsolidadodez[[#This Row],[ATUAL]])</f>
        <v>0</v>
      </c>
      <c r="AD206" s="119" t="n">
        <f aca="false">SUMIFS(tabela_registros[VALOR],tabela_registros[MÊS],$AE$1,tabela_registros[DIA],reservaoutrosconsolidadodez[[#Headers],[26]],tabela_registros[REGISTRO],DADOS!$N$6,tabela_registros[TIPO],DADOS!$AJ$5,tabela_registros[CATEGORIA],reservaoutrosconsolidadodez[[#This Row],[ATUAL]])</f>
        <v>0</v>
      </c>
      <c r="AE206" s="119" t="n">
        <f aca="false">SUMIFS(tabela_registros[VALOR],tabela_registros[MÊS],$AE$1,tabela_registros[DIA],reservaoutrosconsolidadodez[[#Headers],[27]],tabela_registros[REGISTRO],DADOS!$N$6,tabela_registros[TIPO],DADOS!$AJ$5,tabela_registros[CATEGORIA],reservaoutrosconsolidadodez[[#This Row],[ATUAL]])</f>
        <v>0</v>
      </c>
      <c r="AF206" s="119" t="n">
        <f aca="false">SUMIFS(tabela_registros[VALOR],tabela_registros[MÊS],$AE$1,tabela_registros[DIA],reservaoutrosconsolidadodez[[#Headers],[28]],tabela_registros[REGISTRO],DADOS!$N$6,tabela_registros[TIPO],DADOS!$AJ$5,tabela_registros[CATEGORIA],reservaoutrosconsolidadodez[[#This Row],[ATUAL]])</f>
        <v>0</v>
      </c>
      <c r="AG206" s="119" t="n">
        <f aca="false">SUMIFS(tabela_registros[VALOR],tabela_registros[MÊS],$AE$1,tabela_registros[DIA],reservaoutrosconsolidadodez[[#Headers],[29]],tabela_registros[REGISTRO],DADOS!$N$6,tabela_registros[TIPO],DADOS!$AJ$5,tabela_registros[CATEGORIA],reservaoutrosconsolidadodez[[#This Row],[ATUAL]])</f>
        <v>0</v>
      </c>
      <c r="AH206" s="119" t="n">
        <f aca="false">SUMIFS(tabela_registros[VALOR],tabela_registros[MÊS],$AE$1,tabela_registros[DIA],reservaoutrosconsolidadodez[[#Headers],[30]],tabela_registros[REGISTRO],DADOS!$N$6,tabela_registros[TIPO],DADOS!$AJ$5,tabela_registros[CATEGORIA],reservaoutrosconsolidadodez[[#This Row],[ATUAL]])</f>
        <v>0</v>
      </c>
      <c r="AI206" s="217" t="n">
        <f aca="false">SUMIFS(tabela_registros[VALOR],tabela_registros[MÊS],$AE$1,tabela_registros[DIA],reservaoutrosconsolidadodez[[#Headers],[31]],tabela_registros[REGISTRO],DADOS!$N$6,tabela_registros[TIPO],DADOS!$AJ$5,tabela_registros[CATEGORIA],reservaoutrosconsolidadodez[[#This Row],[ATUAL]])</f>
        <v>0</v>
      </c>
      <c r="AJ206" s="149" t="n">
        <f aca="false">SUM(reservaoutrosconsolidadodez[[#This Row],[1]:[31]])</f>
        <v>0</v>
      </c>
      <c r="AK206" s="165"/>
    </row>
    <row r="207" customFormat="false" ht="19.5" hidden="false" customHeight="true" outlineLevel="0" collapsed="false">
      <c r="B207" s="143"/>
      <c r="C207" s="144" t="str">
        <f aca="false">DADOS!$AP$4</f>
        <v>📝 FOREX</v>
      </c>
      <c r="D207" s="145" t="str">
        <f aca="false">IF(reservaoutrosconsolidadodez[[#This Row],[TOTAL (R$)]]=0,"",IF(OR(reservaoutrosconsolidadodez[[#This Row],[TOTAL (R$)]]=LARGE($AJ$206:$AJ$213,1),reservaoutrosconsolidadodez[[#This Row],[TOTAL (R$)]]=LARGE($AJ$206:$AJ$213,2)),DADOS!$I$11,""))</f>
        <v/>
      </c>
      <c r="E207" s="148" t="n">
        <f aca="false">SUMIFS(tabela_registros[VALOR],tabela_registros[MÊS],$AE$1,tabela_registros[DIA],reservaoutrosconsolidadodez[[#Headers],[1]],tabela_registros[REGISTRO],DADOS!$N$6,tabela_registros[TIPO],DADOS!$AJ$5,tabela_registros[CATEGORIA],reservaoutrosconsolidadodez[[#This Row],[ATUAL]])</f>
        <v>0</v>
      </c>
      <c r="F207" s="119" t="n">
        <f aca="false">SUMIFS(tabela_registros[VALOR],tabela_registros[MÊS],$AE$1,tabela_registros[DIA],reservaoutrosconsolidadodez[[#Headers],[2]],tabela_registros[REGISTRO],DADOS!$N$6,tabela_registros[TIPO],DADOS!$AJ$5,tabela_registros[CATEGORIA],reservaoutrosconsolidadodez[[#This Row],[ATUAL]])</f>
        <v>0</v>
      </c>
      <c r="G207" s="119" t="n">
        <f aca="false">SUMIFS(tabela_registros[VALOR],tabela_registros[MÊS],$AE$1,tabela_registros[DIA],reservaoutrosconsolidadodez[[#Headers],[3]],tabela_registros[REGISTRO],DADOS!$N$6,tabela_registros[TIPO],DADOS!$AJ$5,tabela_registros[CATEGORIA],reservaoutrosconsolidadodez[[#This Row],[ATUAL]])</f>
        <v>0</v>
      </c>
      <c r="H207" s="119" t="n">
        <f aca="false">SUMIFS(tabela_registros[VALOR],tabela_registros[MÊS],$AE$1,tabela_registros[DIA],reservaoutrosconsolidadodez[[#Headers],[4]],tabela_registros[REGISTRO],DADOS!$N$6,tabela_registros[TIPO],DADOS!$AJ$5,tabela_registros[CATEGORIA],reservaoutrosconsolidadodez[[#This Row],[ATUAL]])</f>
        <v>0</v>
      </c>
      <c r="I207" s="119" t="n">
        <f aca="false">SUMIFS(tabela_registros[VALOR],tabela_registros[MÊS],$AE$1,tabela_registros[DIA],reservaoutrosconsolidadodez[[#Headers],[5]],tabela_registros[REGISTRO],DADOS!$N$6,tabela_registros[TIPO],DADOS!$AJ$5,tabela_registros[CATEGORIA],reservaoutrosconsolidadodez[[#This Row],[ATUAL]])</f>
        <v>0</v>
      </c>
      <c r="J207" s="119" t="n">
        <f aca="false">SUMIFS(tabela_registros[VALOR],tabela_registros[MÊS],$AE$1,tabela_registros[DIA],reservaoutrosconsolidadodez[[#Headers],[6]],tabela_registros[REGISTRO],DADOS!$N$6,tabela_registros[TIPO],DADOS!$AJ$5,tabela_registros[CATEGORIA],reservaoutrosconsolidadodez[[#This Row],[ATUAL]])</f>
        <v>0</v>
      </c>
      <c r="K207" s="119" t="n">
        <f aca="false">SUMIFS(tabela_registros[VALOR],tabela_registros[MÊS],$AE$1,tabela_registros[DIA],reservaoutrosconsolidadodez[[#Headers],[7]],tabela_registros[REGISTRO],DADOS!$N$6,tabela_registros[TIPO],DADOS!$AJ$5,tabela_registros[CATEGORIA],reservaoutrosconsolidadodez[[#This Row],[ATUAL]])</f>
        <v>0</v>
      </c>
      <c r="L207" s="119" t="n">
        <f aca="false">SUMIFS(tabela_registros[VALOR],tabela_registros[MÊS],$AE$1,tabela_registros[DIA],reservaoutrosconsolidadodez[[#Headers],[8]],tabela_registros[REGISTRO],DADOS!$N$6,tabela_registros[TIPO],DADOS!$AJ$5,tabela_registros[CATEGORIA],reservaoutrosconsolidadodez[[#This Row],[ATUAL]])</f>
        <v>0</v>
      </c>
      <c r="M207" s="119" t="n">
        <f aca="false">SUMIFS(tabela_registros[VALOR],tabela_registros[MÊS],$AE$1,tabela_registros[DIA],reservaoutrosconsolidadodez[[#Headers],[9]],tabela_registros[REGISTRO],DADOS!$N$6,tabela_registros[TIPO],DADOS!$AJ$5,tabela_registros[CATEGORIA],reservaoutrosconsolidadodez[[#This Row],[ATUAL]])</f>
        <v>0</v>
      </c>
      <c r="N207" s="119" t="n">
        <f aca="false">SUMIFS(tabela_registros[VALOR],tabela_registros[MÊS],$AE$1,tabela_registros[DIA],reservaoutrosconsolidadodez[[#Headers],[10]],tabela_registros[REGISTRO],DADOS!$N$6,tabela_registros[TIPO],DADOS!$AJ$5,tabela_registros[CATEGORIA],reservaoutrosconsolidadodez[[#This Row],[ATUAL]])</f>
        <v>0</v>
      </c>
      <c r="O207" s="119" t="n">
        <f aca="false">SUMIFS(tabela_registros[VALOR],tabela_registros[MÊS],$AE$1,tabela_registros[DIA],reservaoutrosconsolidadodez[[#Headers],[11]],tabela_registros[REGISTRO],DADOS!$N$6,tabela_registros[TIPO],DADOS!$AJ$5,tabela_registros[CATEGORIA],reservaoutrosconsolidadodez[[#This Row],[ATUAL]])</f>
        <v>0</v>
      </c>
      <c r="P207" s="119" t="n">
        <f aca="false">SUMIFS(tabela_registros[VALOR],tabela_registros[MÊS],$AE$1,tabela_registros[DIA],reservaoutrosconsolidadodez[[#Headers],[12]],tabela_registros[REGISTRO],DADOS!$N$6,tabela_registros[TIPO],DADOS!$AJ$5,tabela_registros[CATEGORIA],reservaoutrosconsolidadodez[[#This Row],[ATUAL]])</f>
        <v>0</v>
      </c>
      <c r="Q207" s="119" t="n">
        <f aca="false">SUMIFS(tabela_registros[VALOR],tabela_registros[MÊS],$AE$1,tabela_registros[DIA],reservaoutrosconsolidadodez[[#Headers],[13]],tabela_registros[REGISTRO],DADOS!$N$6,tabela_registros[TIPO],DADOS!$AJ$5,tabela_registros[CATEGORIA],reservaoutrosconsolidadodez[[#This Row],[ATUAL]])</f>
        <v>0</v>
      </c>
      <c r="R207" s="119" t="n">
        <f aca="false">SUMIFS(tabela_registros[VALOR],tabela_registros[MÊS],$AE$1,tabela_registros[DIA],reservaoutrosconsolidadodez[[#Headers],[14]],tabela_registros[REGISTRO],DADOS!$N$6,tabela_registros[TIPO],DADOS!$AJ$5,tabela_registros[CATEGORIA],reservaoutrosconsolidadodez[[#This Row],[ATUAL]])</f>
        <v>0</v>
      </c>
      <c r="S207" s="119" t="n">
        <f aca="false">SUMIFS(tabela_registros[VALOR],tabela_registros[MÊS],$AE$1,tabela_registros[DIA],reservaoutrosconsolidadodez[[#Headers],[15]],tabela_registros[REGISTRO],DADOS!$N$6,tabela_registros[TIPO],DADOS!$AJ$5,tabela_registros[CATEGORIA],reservaoutrosconsolidadodez[[#This Row],[ATUAL]])</f>
        <v>0</v>
      </c>
      <c r="T207" s="119" t="n">
        <f aca="false">SUMIFS(tabela_registros[VALOR],tabela_registros[MÊS],$AE$1,tabela_registros[DIA],reservaoutrosconsolidadodez[[#Headers],[16]],tabela_registros[REGISTRO],DADOS!$N$6,tabela_registros[TIPO],DADOS!$AJ$5,tabela_registros[CATEGORIA],reservaoutrosconsolidadodez[[#This Row],[ATUAL]])</f>
        <v>0</v>
      </c>
      <c r="U207" s="119" t="n">
        <f aca="false">SUMIFS(tabela_registros[VALOR],tabela_registros[MÊS],$AE$1,tabela_registros[DIA],reservaoutrosconsolidadodez[[#Headers],[17]],tabela_registros[REGISTRO],DADOS!$N$6,tabela_registros[TIPO],DADOS!$AJ$5,tabela_registros[CATEGORIA],reservaoutrosconsolidadodez[[#This Row],[ATUAL]])</f>
        <v>0</v>
      </c>
      <c r="V207" s="119" t="n">
        <f aca="false">SUMIFS(tabela_registros[VALOR],tabela_registros[MÊS],$AE$1,tabela_registros[DIA],reservaoutrosconsolidadodez[[#Headers],[18]],tabela_registros[REGISTRO],DADOS!$N$6,tabela_registros[TIPO],DADOS!$AJ$5,tabela_registros[CATEGORIA],reservaoutrosconsolidadodez[[#This Row],[ATUAL]])</f>
        <v>0</v>
      </c>
      <c r="W207" s="119" t="n">
        <f aca="false">SUMIFS(tabela_registros[VALOR],tabela_registros[MÊS],$AE$1,tabela_registros[DIA],reservaoutrosconsolidadodez[[#Headers],[19]],tabela_registros[REGISTRO],DADOS!$N$6,tabela_registros[TIPO],DADOS!$AJ$5,tabela_registros[CATEGORIA],reservaoutrosconsolidadodez[[#This Row],[ATUAL]])</f>
        <v>0</v>
      </c>
      <c r="X207" s="119" t="n">
        <f aca="false">SUMIFS(tabela_registros[VALOR],tabela_registros[MÊS],$AE$1,tabela_registros[DIA],reservaoutrosconsolidadodez[[#Headers],[20]],tabela_registros[REGISTRO],DADOS!$N$6,tabela_registros[TIPO],DADOS!$AJ$5,tabela_registros[CATEGORIA],reservaoutrosconsolidadodez[[#This Row],[ATUAL]])</f>
        <v>0</v>
      </c>
      <c r="Y207" s="119" t="n">
        <f aca="false">SUMIFS(tabela_registros[VALOR],tabela_registros[MÊS],$AE$1,tabela_registros[DIA],reservaoutrosconsolidadodez[[#Headers],[21]],tabela_registros[REGISTRO],DADOS!$N$6,tabela_registros[TIPO],DADOS!$AJ$5,tabela_registros[CATEGORIA],reservaoutrosconsolidadodez[[#This Row],[ATUAL]])</f>
        <v>0</v>
      </c>
      <c r="Z207" s="119" t="n">
        <f aca="false">SUMIFS(tabela_registros[VALOR],tabela_registros[MÊS],$AE$1,tabela_registros[DIA],reservaoutrosconsolidadodez[[#Headers],[22]],tabela_registros[REGISTRO],DADOS!$N$6,tabela_registros[TIPO],DADOS!$AJ$5,tabela_registros[CATEGORIA],reservaoutrosconsolidadodez[[#This Row],[ATUAL]])</f>
        <v>0</v>
      </c>
      <c r="AA207" s="119" t="n">
        <f aca="false">SUMIFS(tabela_registros[VALOR],tabela_registros[MÊS],$AE$1,tabela_registros[DIA],reservaoutrosconsolidadodez[[#Headers],[23]],tabela_registros[REGISTRO],DADOS!$N$6,tabela_registros[TIPO],DADOS!$AJ$5,tabela_registros[CATEGORIA],reservaoutrosconsolidadodez[[#This Row],[ATUAL]])</f>
        <v>0</v>
      </c>
      <c r="AB207" s="119" t="n">
        <f aca="false">SUMIFS(tabela_registros[VALOR],tabela_registros[MÊS],$AE$1,tabela_registros[DIA],reservaoutrosconsolidadodez[[#Headers],[24]],tabela_registros[REGISTRO],DADOS!$N$6,tabela_registros[TIPO],DADOS!$AJ$5,tabela_registros[CATEGORIA],reservaoutrosconsolidadodez[[#This Row],[ATUAL]])</f>
        <v>0</v>
      </c>
      <c r="AC207" s="119" t="n">
        <f aca="false">SUMIFS(tabela_registros[VALOR],tabela_registros[MÊS],$AE$1,tabela_registros[DIA],reservaoutrosconsolidadodez[[#Headers],[25]],tabela_registros[REGISTRO],DADOS!$N$6,tabela_registros[TIPO],DADOS!$AJ$5,tabela_registros[CATEGORIA],reservaoutrosconsolidadodez[[#This Row],[ATUAL]])</f>
        <v>0</v>
      </c>
      <c r="AD207" s="119" t="n">
        <f aca="false">SUMIFS(tabela_registros[VALOR],tabela_registros[MÊS],$AE$1,tabela_registros[DIA],reservaoutrosconsolidadodez[[#Headers],[26]],tabela_registros[REGISTRO],DADOS!$N$6,tabela_registros[TIPO],DADOS!$AJ$5,tabela_registros[CATEGORIA],reservaoutrosconsolidadodez[[#This Row],[ATUAL]])</f>
        <v>0</v>
      </c>
      <c r="AE207" s="119" t="n">
        <f aca="false">SUMIFS(tabela_registros[VALOR],tabela_registros[MÊS],$AE$1,tabela_registros[DIA],reservaoutrosconsolidadodez[[#Headers],[27]],tabela_registros[REGISTRO],DADOS!$N$6,tabela_registros[TIPO],DADOS!$AJ$5,tabela_registros[CATEGORIA],reservaoutrosconsolidadodez[[#This Row],[ATUAL]])</f>
        <v>0</v>
      </c>
      <c r="AF207" s="119" t="n">
        <f aca="false">SUMIFS(tabela_registros[VALOR],tabela_registros[MÊS],$AE$1,tabela_registros[DIA],reservaoutrosconsolidadodez[[#Headers],[28]],tabela_registros[REGISTRO],DADOS!$N$6,tabela_registros[TIPO],DADOS!$AJ$5,tabela_registros[CATEGORIA],reservaoutrosconsolidadodez[[#This Row],[ATUAL]])</f>
        <v>0</v>
      </c>
      <c r="AG207" s="119" t="n">
        <f aca="false">SUMIFS(tabela_registros[VALOR],tabela_registros[MÊS],$AE$1,tabela_registros[DIA],reservaoutrosconsolidadodez[[#Headers],[29]],tabela_registros[REGISTRO],DADOS!$N$6,tabela_registros[TIPO],DADOS!$AJ$5,tabela_registros[CATEGORIA],reservaoutrosconsolidadodez[[#This Row],[ATUAL]])</f>
        <v>0</v>
      </c>
      <c r="AH207" s="119" t="n">
        <f aca="false">SUMIFS(tabela_registros[VALOR],tabela_registros[MÊS],$AE$1,tabela_registros[DIA],reservaoutrosconsolidadodez[[#Headers],[30]],tabela_registros[REGISTRO],DADOS!$N$6,tabela_registros[TIPO],DADOS!$AJ$5,tabela_registros[CATEGORIA],reservaoutrosconsolidadodez[[#This Row],[ATUAL]])</f>
        <v>0</v>
      </c>
      <c r="AI207" s="217" t="n">
        <f aca="false">SUMIFS(tabela_registros[VALOR],tabela_registros[MÊS],$AE$1,tabela_registros[DIA],reservaoutrosconsolidadodez[[#Headers],[31]],tabela_registros[REGISTRO],DADOS!$N$6,tabela_registros[TIPO],DADOS!$AJ$5,tabela_registros[CATEGORIA],reservaoutrosconsolidadodez[[#This Row],[ATUAL]])</f>
        <v>0</v>
      </c>
      <c r="AJ207" s="149" t="n">
        <f aca="false">SUM(reservaoutrosconsolidadodez[[#This Row],[1]:[31]])</f>
        <v>0</v>
      </c>
      <c r="AK207" s="165"/>
    </row>
    <row r="208" customFormat="false" ht="19.5" hidden="false" customHeight="true" outlineLevel="0" collapsed="false">
      <c r="B208" s="143"/>
      <c r="C208" s="144" t="str">
        <f aca="false">DADOS!$AP$5</f>
        <v>📝 FUNDO DE INVESTIMENTO</v>
      </c>
      <c r="D208" s="145" t="str">
        <f aca="false">IF(reservaoutrosconsolidadodez[[#This Row],[TOTAL (R$)]]=0,"",IF(OR(reservaoutrosconsolidadodez[[#This Row],[TOTAL (R$)]]=LARGE($AJ$206:$AJ$213,1),reservaoutrosconsolidadodez[[#This Row],[TOTAL (R$)]]=LARGE($AJ$206:$AJ$213,2)),DADOS!$I$11,""))</f>
        <v/>
      </c>
      <c r="E208" s="148" t="n">
        <f aca="false">SUMIFS(tabela_registros[VALOR],tabela_registros[MÊS],$AE$1,tabela_registros[DIA],reservaoutrosconsolidadodez[[#Headers],[1]],tabela_registros[REGISTRO],DADOS!$N$6,tabela_registros[TIPO],DADOS!$AJ$5,tabela_registros[CATEGORIA],reservaoutrosconsolidadodez[[#This Row],[ATUAL]])</f>
        <v>0</v>
      </c>
      <c r="F208" s="119" t="n">
        <f aca="false">SUMIFS(tabela_registros[VALOR],tabela_registros[MÊS],$AE$1,tabela_registros[DIA],reservaoutrosconsolidadodez[[#Headers],[2]],tabela_registros[REGISTRO],DADOS!$N$6,tabela_registros[TIPO],DADOS!$AJ$5,tabela_registros[CATEGORIA],reservaoutrosconsolidadodez[[#This Row],[ATUAL]])</f>
        <v>0</v>
      </c>
      <c r="G208" s="119" t="n">
        <f aca="false">SUMIFS(tabela_registros[VALOR],tabela_registros[MÊS],$AE$1,tabela_registros[DIA],reservaoutrosconsolidadodez[[#Headers],[3]],tabela_registros[REGISTRO],DADOS!$N$6,tabela_registros[TIPO],DADOS!$AJ$5,tabela_registros[CATEGORIA],reservaoutrosconsolidadodez[[#This Row],[ATUAL]])</f>
        <v>0</v>
      </c>
      <c r="H208" s="119" t="n">
        <f aca="false">SUMIFS(tabela_registros[VALOR],tabela_registros[MÊS],$AE$1,tabela_registros[DIA],reservaoutrosconsolidadodez[[#Headers],[4]],tabela_registros[REGISTRO],DADOS!$N$6,tabela_registros[TIPO],DADOS!$AJ$5,tabela_registros[CATEGORIA],reservaoutrosconsolidadodez[[#This Row],[ATUAL]])</f>
        <v>0</v>
      </c>
      <c r="I208" s="119" t="n">
        <f aca="false">SUMIFS(tabela_registros[VALOR],tabela_registros[MÊS],$AE$1,tabela_registros[DIA],reservaoutrosconsolidadodez[[#Headers],[5]],tabela_registros[REGISTRO],DADOS!$N$6,tabela_registros[TIPO],DADOS!$AJ$5,tabela_registros[CATEGORIA],reservaoutrosconsolidadodez[[#This Row],[ATUAL]])</f>
        <v>0</v>
      </c>
      <c r="J208" s="119" t="n">
        <f aca="false">SUMIFS(tabela_registros[VALOR],tabela_registros[MÊS],$AE$1,tabela_registros[DIA],reservaoutrosconsolidadodez[[#Headers],[6]],tabela_registros[REGISTRO],DADOS!$N$6,tabela_registros[TIPO],DADOS!$AJ$5,tabela_registros[CATEGORIA],reservaoutrosconsolidadodez[[#This Row],[ATUAL]])</f>
        <v>0</v>
      </c>
      <c r="K208" s="119" t="n">
        <f aca="false">SUMIFS(tabela_registros[VALOR],tabela_registros[MÊS],$AE$1,tabela_registros[DIA],reservaoutrosconsolidadodez[[#Headers],[7]],tabela_registros[REGISTRO],DADOS!$N$6,tabela_registros[TIPO],DADOS!$AJ$5,tabela_registros[CATEGORIA],reservaoutrosconsolidadodez[[#This Row],[ATUAL]])</f>
        <v>0</v>
      </c>
      <c r="L208" s="119" t="n">
        <f aca="false">SUMIFS(tabela_registros[VALOR],tabela_registros[MÊS],$AE$1,tabela_registros[DIA],reservaoutrosconsolidadodez[[#Headers],[8]],tabela_registros[REGISTRO],DADOS!$N$6,tabela_registros[TIPO],DADOS!$AJ$5,tabela_registros[CATEGORIA],reservaoutrosconsolidadodez[[#This Row],[ATUAL]])</f>
        <v>0</v>
      </c>
      <c r="M208" s="119" t="n">
        <f aca="false">SUMIFS(tabela_registros[VALOR],tabela_registros[MÊS],$AE$1,tabela_registros[DIA],reservaoutrosconsolidadodez[[#Headers],[9]],tabela_registros[REGISTRO],DADOS!$N$6,tabela_registros[TIPO],DADOS!$AJ$5,tabela_registros[CATEGORIA],reservaoutrosconsolidadodez[[#This Row],[ATUAL]])</f>
        <v>0</v>
      </c>
      <c r="N208" s="119" t="n">
        <f aca="false">SUMIFS(tabela_registros[VALOR],tabela_registros[MÊS],$AE$1,tabela_registros[DIA],reservaoutrosconsolidadodez[[#Headers],[10]],tabela_registros[REGISTRO],DADOS!$N$6,tabela_registros[TIPO],DADOS!$AJ$5,tabela_registros[CATEGORIA],reservaoutrosconsolidadodez[[#This Row],[ATUAL]])</f>
        <v>0</v>
      </c>
      <c r="O208" s="119" t="n">
        <f aca="false">SUMIFS(tabela_registros[VALOR],tabela_registros[MÊS],$AE$1,tabela_registros[DIA],reservaoutrosconsolidadodez[[#Headers],[11]],tabela_registros[REGISTRO],DADOS!$N$6,tabela_registros[TIPO],DADOS!$AJ$5,tabela_registros[CATEGORIA],reservaoutrosconsolidadodez[[#This Row],[ATUAL]])</f>
        <v>0</v>
      </c>
      <c r="P208" s="119" t="n">
        <f aca="false">SUMIFS(tabela_registros[VALOR],tabela_registros[MÊS],$AE$1,tabela_registros[DIA],reservaoutrosconsolidadodez[[#Headers],[12]],tabela_registros[REGISTRO],DADOS!$N$6,tabela_registros[TIPO],DADOS!$AJ$5,tabela_registros[CATEGORIA],reservaoutrosconsolidadodez[[#This Row],[ATUAL]])</f>
        <v>0</v>
      </c>
      <c r="Q208" s="119" t="n">
        <f aca="false">SUMIFS(tabela_registros[VALOR],tabela_registros[MÊS],$AE$1,tabela_registros[DIA],reservaoutrosconsolidadodez[[#Headers],[13]],tabela_registros[REGISTRO],DADOS!$N$6,tabela_registros[TIPO],DADOS!$AJ$5,tabela_registros[CATEGORIA],reservaoutrosconsolidadodez[[#This Row],[ATUAL]])</f>
        <v>0</v>
      </c>
      <c r="R208" s="119" t="n">
        <f aca="false">SUMIFS(tabela_registros[VALOR],tabela_registros[MÊS],$AE$1,tabela_registros[DIA],reservaoutrosconsolidadodez[[#Headers],[14]],tabela_registros[REGISTRO],DADOS!$N$6,tabela_registros[TIPO],DADOS!$AJ$5,tabela_registros[CATEGORIA],reservaoutrosconsolidadodez[[#This Row],[ATUAL]])</f>
        <v>0</v>
      </c>
      <c r="S208" s="119" t="n">
        <f aca="false">SUMIFS(tabela_registros[VALOR],tabela_registros[MÊS],$AE$1,tabela_registros[DIA],reservaoutrosconsolidadodez[[#Headers],[15]],tabela_registros[REGISTRO],DADOS!$N$6,tabela_registros[TIPO],DADOS!$AJ$5,tabela_registros[CATEGORIA],reservaoutrosconsolidadodez[[#This Row],[ATUAL]])</f>
        <v>0</v>
      </c>
      <c r="T208" s="119" t="n">
        <f aca="false">SUMIFS(tabela_registros[VALOR],tabela_registros[MÊS],$AE$1,tabela_registros[DIA],reservaoutrosconsolidadodez[[#Headers],[16]],tabela_registros[REGISTRO],DADOS!$N$6,tabela_registros[TIPO],DADOS!$AJ$5,tabela_registros[CATEGORIA],reservaoutrosconsolidadodez[[#This Row],[ATUAL]])</f>
        <v>0</v>
      </c>
      <c r="U208" s="119" t="n">
        <f aca="false">SUMIFS(tabela_registros[VALOR],tabela_registros[MÊS],$AE$1,tabela_registros[DIA],reservaoutrosconsolidadodez[[#Headers],[17]],tabela_registros[REGISTRO],DADOS!$N$6,tabela_registros[TIPO],DADOS!$AJ$5,tabela_registros[CATEGORIA],reservaoutrosconsolidadodez[[#This Row],[ATUAL]])</f>
        <v>0</v>
      </c>
      <c r="V208" s="119" t="n">
        <f aca="false">SUMIFS(tabela_registros[VALOR],tabela_registros[MÊS],$AE$1,tabela_registros[DIA],reservaoutrosconsolidadodez[[#Headers],[18]],tabela_registros[REGISTRO],DADOS!$N$6,tabela_registros[TIPO],DADOS!$AJ$5,tabela_registros[CATEGORIA],reservaoutrosconsolidadodez[[#This Row],[ATUAL]])</f>
        <v>0</v>
      </c>
      <c r="W208" s="119" t="n">
        <f aca="false">SUMIFS(tabela_registros[VALOR],tabela_registros[MÊS],$AE$1,tabela_registros[DIA],reservaoutrosconsolidadodez[[#Headers],[19]],tabela_registros[REGISTRO],DADOS!$N$6,tabela_registros[TIPO],DADOS!$AJ$5,tabela_registros[CATEGORIA],reservaoutrosconsolidadodez[[#This Row],[ATUAL]])</f>
        <v>0</v>
      </c>
      <c r="X208" s="119" t="n">
        <f aca="false">SUMIFS(tabela_registros[VALOR],tabela_registros[MÊS],$AE$1,tabela_registros[DIA],reservaoutrosconsolidadodez[[#Headers],[20]],tabela_registros[REGISTRO],DADOS!$N$6,tabela_registros[TIPO],DADOS!$AJ$5,tabela_registros[CATEGORIA],reservaoutrosconsolidadodez[[#This Row],[ATUAL]])</f>
        <v>0</v>
      </c>
      <c r="Y208" s="119" t="n">
        <f aca="false">SUMIFS(tabela_registros[VALOR],tabela_registros[MÊS],$AE$1,tabela_registros[DIA],reservaoutrosconsolidadodez[[#Headers],[21]],tabela_registros[REGISTRO],DADOS!$N$6,tabela_registros[TIPO],DADOS!$AJ$5,tabela_registros[CATEGORIA],reservaoutrosconsolidadodez[[#This Row],[ATUAL]])</f>
        <v>0</v>
      </c>
      <c r="Z208" s="119" t="n">
        <f aca="false">SUMIFS(tabela_registros[VALOR],tabela_registros[MÊS],$AE$1,tabela_registros[DIA],reservaoutrosconsolidadodez[[#Headers],[22]],tabela_registros[REGISTRO],DADOS!$N$6,tabela_registros[TIPO],DADOS!$AJ$5,tabela_registros[CATEGORIA],reservaoutrosconsolidadodez[[#This Row],[ATUAL]])</f>
        <v>0</v>
      </c>
      <c r="AA208" s="119" t="n">
        <f aca="false">SUMIFS(tabela_registros[VALOR],tabela_registros[MÊS],$AE$1,tabela_registros[DIA],reservaoutrosconsolidadodez[[#Headers],[23]],tabela_registros[REGISTRO],DADOS!$N$6,tabela_registros[TIPO],DADOS!$AJ$5,tabela_registros[CATEGORIA],reservaoutrosconsolidadodez[[#This Row],[ATUAL]])</f>
        <v>0</v>
      </c>
      <c r="AB208" s="119" t="n">
        <f aca="false">SUMIFS(tabela_registros[VALOR],tabela_registros[MÊS],$AE$1,tabela_registros[DIA],reservaoutrosconsolidadodez[[#Headers],[24]],tabela_registros[REGISTRO],DADOS!$N$6,tabela_registros[TIPO],DADOS!$AJ$5,tabela_registros[CATEGORIA],reservaoutrosconsolidadodez[[#This Row],[ATUAL]])</f>
        <v>0</v>
      </c>
      <c r="AC208" s="119" t="n">
        <f aca="false">SUMIFS(tabela_registros[VALOR],tabela_registros[MÊS],$AE$1,tabela_registros[DIA],reservaoutrosconsolidadodez[[#Headers],[25]],tabela_registros[REGISTRO],DADOS!$N$6,tabela_registros[TIPO],DADOS!$AJ$5,tabela_registros[CATEGORIA],reservaoutrosconsolidadodez[[#This Row],[ATUAL]])</f>
        <v>0</v>
      </c>
      <c r="AD208" s="119" t="n">
        <f aca="false">SUMIFS(tabela_registros[VALOR],tabela_registros[MÊS],$AE$1,tabela_registros[DIA],reservaoutrosconsolidadodez[[#Headers],[26]],tabela_registros[REGISTRO],DADOS!$N$6,tabela_registros[TIPO],DADOS!$AJ$5,tabela_registros[CATEGORIA],reservaoutrosconsolidadodez[[#This Row],[ATUAL]])</f>
        <v>0</v>
      </c>
      <c r="AE208" s="119" t="n">
        <f aca="false">SUMIFS(tabela_registros[VALOR],tabela_registros[MÊS],$AE$1,tabela_registros[DIA],reservaoutrosconsolidadodez[[#Headers],[27]],tabela_registros[REGISTRO],DADOS!$N$6,tabela_registros[TIPO],DADOS!$AJ$5,tabela_registros[CATEGORIA],reservaoutrosconsolidadodez[[#This Row],[ATUAL]])</f>
        <v>0</v>
      </c>
      <c r="AF208" s="119" t="n">
        <f aca="false">SUMIFS(tabela_registros[VALOR],tabela_registros[MÊS],$AE$1,tabela_registros[DIA],reservaoutrosconsolidadodez[[#Headers],[28]],tabela_registros[REGISTRO],DADOS!$N$6,tabela_registros[TIPO],DADOS!$AJ$5,tabela_registros[CATEGORIA],reservaoutrosconsolidadodez[[#This Row],[ATUAL]])</f>
        <v>0</v>
      </c>
      <c r="AG208" s="119" t="n">
        <f aca="false">SUMIFS(tabela_registros[VALOR],tabela_registros[MÊS],$AE$1,tabela_registros[DIA],reservaoutrosconsolidadodez[[#Headers],[29]],tabela_registros[REGISTRO],DADOS!$N$6,tabela_registros[TIPO],DADOS!$AJ$5,tabela_registros[CATEGORIA],reservaoutrosconsolidadodez[[#This Row],[ATUAL]])</f>
        <v>0</v>
      </c>
      <c r="AH208" s="119" t="n">
        <f aca="false">SUMIFS(tabela_registros[VALOR],tabela_registros[MÊS],$AE$1,tabela_registros[DIA],reservaoutrosconsolidadodez[[#Headers],[30]],tabela_registros[REGISTRO],DADOS!$N$6,tabela_registros[TIPO],DADOS!$AJ$5,tabela_registros[CATEGORIA],reservaoutrosconsolidadodez[[#This Row],[ATUAL]])</f>
        <v>0</v>
      </c>
      <c r="AI208" s="217" t="n">
        <f aca="false">SUMIFS(tabela_registros[VALOR],tabela_registros[MÊS],$AE$1,tabela_registros[DIA],reservaoutrosconsolidadodez[[#Headers],[31]],tabela_registros[REGISTRO],DADOS!$N$6,tabela_registros[TIPO],DADOS!$AJ$5,tabela_registros[CATEGORIA],reservaoutrosconsolidadodez[[#This Row],[ATUAL]])</f>
        <v>0</v>
      </c>
      <c r="AJ208" s="149" t="n">
        <f aca="false">SUM(reservaoutrosconsolidadodez[[#This Row],[1]:[31]])</f>
        <v>0</v>
      </c>
      <c r="AK208" s="165"/>
    </row>
    <row r="209" customFormat="false" ht="19.5" hidden="false" customHeight="true" outlineLevel="0" collapsed="false">
      <c r="B209" s="143"/>
      <c r="C209" s="144" t="str">
        <f aca="false">DADOS!$AP$6</f>
        <v>📝 NOVA EMPRESA</v>
      </c>
      <c r="D209" s="145" t="str">
        <f aca="false">IF(reservaoutrosconsolidadodez[[#This Row],[TOTAL (R$)]]=0,"",IF(OR(reservaoutrosconsolidadodez[[#This Row],[TOTAL (R$)]]=LARGE($AJ$206:$AJ$213,1),reservaoutrosconsolidadodez[[#This Row],[TOTAL (R$)]]=LARGE($AJ$206:$AJ$213,2)),DADOS!$I$11,""))</f>
        <v/>
      </c>
      <c r="E209" s="148" t="n">
        <f aca="false">SUMIFS(tabela_registros[VALOR],tabela_registros[MÊS],$AE$1,tabela_registros[DIA],reservaoutrosconsolidadodez[[#Headers],[1]],tabela_registros[REGISTRO],DADOS!$N$6,tabela_registros[TIPO],DADOS!$AJ$5,tabela_registros[CATEGORIA],reservaoutrosconsolidadodez[[#This Row],[ATUAL]])</f>
        <v>0</v>
      </c>
      <c r="F209" s="119" t="n">
        <f aca="false">SUMIFS(tabela_registros[VALOR],tabela_registros[MÊS],$AE$1,tabela_registros[DIA],reservaoutrosconsolidadodez[[#Headers],[2]],tabela_registros[REGISTRO],DADOS!$N$6,tabela_registros[TIPO],DADOS!$AJ$5,tabela_registros[CATEGORIA],reservaoutrosconsolidadodez[[#This Row],[ATUAL]])</f>
        <v>0</v>
      </c>
      <c r="G209" s="119" t="n">
        <f aca="false">SUMIFS(tabela_registros[VALOR],tabela_registros[MÊS],$AE$1,tabela_registros[DIA],reservaoutrosconsolidadodez[[#Headers],[3]],tabela_registros[REGISTRO],DADOS!$N$6,tabela_registros[TIPO],DADOS!$AJ$5,tabela_registros[CATEGORIA],reservaoutrosconsolidadodez[[#This Row],[ATUAL]])</f>
        <v>0</v>
      </c>
      <c r="H209" s="119" t="n">
        <f aca="false">SUMIFS(tabela_registros[VALOR],tabela_registros[MÊS],$AE$1,tabela_registros[DIA],reservaoutrosconsolidadodez[[#Headers],[4]],tabela_registros[REGISTRO],DADOS!$N$6,tabela_registros[TIPO],DADOS!$AJ$5,tabela_registros[CATEGORIA],reservaoutrosconsolidadodez[[#This Row],[ATUAL]])</f>
        <v>0</v>
      </c>
      <c r="I209" s="119" t="n">
        <f aca="false">SUMIFS(tabela_registros[VALOR],tabela_registros[MÊS],$AE$1,tabela_registros[DIA],reservaoutrosconsolidadodez[[#Headers],[5]],tabela_registros[REGISTRO],DADOS!$N$6,tabela_registros[TIPO],DADOS!$AJ$5,tabela_registros[CATEGORIA],reservaoutrosconsolidadodez[[#This Row],[ATUAL]])</f>
        <v>0</v>
      </c>
      <c r="J209" s="119" t="n">
        <f aca="false">SUMIFS(tabela_registros[VALOR],tabela_registros[MÊS],$AE$1,tabela_registros[DIA],reservaoutrosconsolidadodez[[#Headers],[6]],tabela_registros[REGISTRO],DADOS!$N$6,tabela_registros[TIPO],DADOS!$AJ$5,tabela_registros[CATEGORIA],reservaoutrosconsolidadodez[[#This Row],[ATUAL]])</f>
        <v>0</v>
      </c>
      <c r="K209" s="119" t="n">
        <f aca="false">SUMIFS(tabela_registros[VALOR],tabela_registros[MÊS],$AE$1,tabela_registros[DIA],reservaoutrosconsolidadodez[[#Headers],[7]],tabela_registros[REGISTRO],DADOS!$N$6,tabela_registros[TIPO],DADOS!$AJ$5,tabela_registros[CATEGORIA],reservaoutrosconsolidadodez[[#This Row],[ATUAL]])</f>
        <v>0</v>
      </c>
      <c r="L209" s="119" t="n">
        <f aca="false">SUMIFS(tabela_registros[VALOR],tabela_registros[MÊS],$AE$1,tabela_registros[DIA],reservaoutrosconsolidadodez[[#Headers],[8]],tabela_registros[REGISTRO],DADOS!$N$6,tabela_registros[TIPO],DADOS!$AJ$5,tabela_registros[CATEGORIA],reservaoutrosconsolidadodez[[#This Row],[ATUAL]])</f>
        <v>0</v>
      </c>
      <c r="M209" s="119" t="n">
        <f aca="false">SUMIFS(tabela_registros[VALOR],tabela_registros[MÊS],$AE$1,tabela_registros[DIA],reservaoutrosconsolidadodez[[#Headers],[9]],tabela_registros[REGISTRO],DADOS!$N$6,tabela_registros[TIPO],DADOS!$AJ$5,tabela_registros[CATEGORIA],reservaoutrosconsolidadodez[[#This Row],[ATUAL]])</f>
        <v>0</v>
      </c>
      <c r="N209" s="119" t="n">
        <f aca="false">SUMIFS(tabela_registros[VALOR],tabela_registros[MÊS],$AE$1,tabela_registros[DIA],reservaoutrosconsolidadodez[[#Headers],[10]],tabela_registros[REGISTRO],DADOS!$N$6,tabela_registros[TIPO],DADOS!$AJ$5,tabela_registros[CATEGORIA],reservaoutrosconsolidadodez[[#This Row],[ATUAL]])</f>
        <v>0</v>
      </c>
      <c r="O209" s="119" t="n">
        <f aca="false">SUMIFS(tabela_registros[VALOR],tabela_registros[MÊS],$AE$1,tabela_registros[DIA],reservaoutrosconsolidadodez[[#Headers],[11]],tabela_registros[REGISTRO],DADOS!$N$6,tabela_registros[TIPO],DADOS!$AJ$5,tabela_registros[CATEGORIA],reservaoutrosconsolidadodez[[#This Row],[ATUAL]])</f>
        <v>0</v>
      </c>
      <c r="P209" s="119" t="n">
        <f aca="false">SUMIFS(tabela_registros[VALOR],tabela_registros[MÊS],$AE$1,tabela_registros[DIA],reservaoutrosconsolidadodez[[#Headers],[12]],tabela_registros[REGISTRO],DADOS!$N$6,tabela_registros[TIPO],DADOS!$AJ$5,tabela_registros[CATEGORIA],reservaoutrosconsolidadodez[[#This Row],[ATUAL]])</f>
        <v>0</v>
      </c>
      <c r="Q209" s="119" t="n">
        <f aca="false">SUMIFS(tabela_registros[VALOR],tabela_registros[MÊS],$AE$1,tabela_registros[DIA],reservaoutrosconsolidadodez[[#Headers],[13]],tabela_registros[REGISTRO],DADOS!$N$6,tabela_registros[TIPO],DADOS!$AJ$5,tabela_registros[CATEGORIA],reservaoutrosconsolidadodez[[#This Row],[ATUAL]])</f>
        <v>0</v>
      </c>
      <c r="R209" s="119" t="n">
        <f aca="false">SUMIFS(tabela_registros[VALOR],tabela_registros[MÊS],$AE$1,tabela_registros[DIA],reservaoutrosconsolidadodez[[#Headers],[14]],tabela_registros[REGISTRO],DADOS!$N$6,tabela_registros[TIPO],DADOS!$AJ$5,tabela_registros[CATEGORIA],reservaoutrosconsolidadodez[[#This Row],[ATUAL]])</f>
        <v>0</v>
      </c>
      <c r="S209" s="119" t="n">
        <f aca="false">SUMIFS(tabela_registros[VALOR],tabela_registros[MÊS],$AE$1,tabela_registros[DIA],reservaoutrosconsolidadodez[[#Headers],[15]],tabela_registros[REGISTRO],DADOS!$N$6,tabela_registros[TIPO],DADOS!$AJ$5,tabela_registros[CATEGORIA],reservaoutrosconsolidadodez[[#This Row],[ATUAL]])</f>
        <v>0</v>
      </c>
      <c r="T209" s="119" t="n">
        <f aca="false">SUMIFS(tabela_registros[VALOR],tabela_registros[MÊS],$AE$1,tabela_registros[DIA],reservaoutrosconsolidadodez[[#Headers],[16]],tabela_registros[REGISTRO],DADOS!$N$6,tabela_registros[TIPO],DADOS!$AJ$5,tabela_registros[CATEGORIA],reservaoutrosconsolidadodez[[#This Row],[ATUAL]])</f>
        <v>0</v>
      </c>
      <c r="U209" s="119" t="n">
        <f aca="false">SUMIFS(tabela_registros[VALOR],tabela_registros[MÊS],$AE$1,tabela_registros[DIA],reservaoutrosconsolidadodez[[#Headers],[17]],tabela_registros[REGISTRO],DADOS!$N$6,tabela_registros[TIPO],DADOS!$AJ$5,tabela_registros[CATEGORIA],reservaoutrosconsolidadodez[[#This Row],[ATUAL]])</f>
        <v>0</v>
      </c>
      <c r="V209" s="119" t="n">
        <f aca="false">SUMIFS(tabela_registros[VALOR],tabela_registros[MÊS],$AE$1,tabela_registros[DIA],reservaoutrosconsolidadodez[[#Headers],[18]],tabela_registros[REGISTRO],DADOS!$N$6,tabela_registros[TIPO],DADOS!$AJ$5,tabela_registros[CATEGORIA],reservaoutrosconsolidadodez[[#This Row],[ATUAL]])</f>
        <v>0</v>
      </c>
      <c r="W209" s="119" t="n">
        <f aca="false">SUMIFS(tabela_registros[VALOR],tabela_registros[MÊS],$AE$1,tabela_registros[DIA],reservaoutrosconsolidadodez[[#Headers],[19]],tabela_registros[REGISTRO],DADOS!$N$6,tabela_registros[TIPO],DADOS!$AJ$5,tabela_registros[CATEGORIA],reservaoutrosconsolidadodez[[#This Row],[ATUAL]])</f>
        <v>0</v>
      </c>
      <c r="X209" s="119" t="n">
        <f aca="false">SUMIFS(tabela_registros[VALOR],tabela_registros[MÊS],$AE$1,tabela_registros[DIA],reservaoutrosconsolidadodez[[#Headers],[20]],tabela_registros[REGISTRO],DADOS!$N$6,tabela_registros[TIPO],DADOS!$AJ$5,tabela_registros[CATEGORIA],reservaoutrosconsolidadodez[[#This Row],[ATUAL]])</f>
        <v>0</v>
      </c>
      <c r="Y209" s="119" t="n">
        <f aca="false">SUMIFS(tabela_registros[VALOR],tabela_registros[MÊS],$AE$1,tabela_registros[DIA],reservaoutrosconsolidadodez[[#Headers],[21]],tabela_registros[REGISTRO],DADOS!$N$6,tabela_registros[TIPO],DADOS!$AJ$5,tabela_registros[CATEGORIA],reservaoutrosconsolidadodez[[#This Row],[ATUAL]])</f>
        <v>0</v>
      </c>
      <c r="Z209" s="119" t="n">
        <f aca="false">SUMIFS(tabela_registros[VALOR],tabela_registros[MÊS],$AE$1,tabela_registros[DIA],reservaoutrosconsolidadodez[[#Headers],[22]],tabela_registros[REGISTRO],DADOS!$N$6,tabela_registros[TIPO],DADOS!$AJ$5,tabela_registros[CATEGORIA],reservaoutrosconsolidadodez[[#This Row],[ATUAL]])</f>
        <v>0</v>
      </c>
      <c r="AA209" s="119" t="n">
        <f aca="false">SUMIFS(tabela_registros[VALOR],tabela_registros[MÊS],$AE$1,tabela_registros[DIA],reservaoutrosconsolidadodez[[#Headers],[23]],tabela_registros[REGISTRO],DADOS!$N$6,tabela_registros[TIPO],DADOS!$AJ$5,tabela_registros[CATEGORIA],reservaoutrosconsolidadodez[[#This Row],[ATUAL]])</f>
        <v>0</v>
      </c>
      <c r="AB209" s="119" t="n">
        <f aca="false">SUMIFS(tabela_registros[VALOR],tabela_registros[MÊS],$AE$1,tabela_registros[DIA],reservaoutrosconsolidadodez[[#Headers],[24]],tabela_registros[REGISTRO],DADOS!$N$6,tabela_registros[TIPO],DADOS!$AJ$5,tabela_registros[CATEGORIA],reservaoutrosconsolidadodez[[#This Row],[ATUAL]])</f>
        <v>0</v>
      </c>
      <c r="AC209" s="119" t="n">
        <f aca="false">SUMIFS(tabela_registros[VALOR],tabela_registros[MÊS],$AE$1,tabela_registros[DIA],reservaoutrosconsolidadodez[[#Headers],[25]],tabela_registros[REGISTRO],DADOS!$N$6,tabela_registros[TIPO],DADOS!$AJ$5,tabela_registros[CATEGORIA],reservaoutrosconsolidadodez[[#This Row],[ATUAL]])</f>
        <v>0</v>
      </c>
      <c r="AD209" s="119" t="n">
        <f aca="false">SUMIFS(tabela_registros[VALOR],tabela_registros[MÊS],$AE$1,tabela_registros[DIA],reservaoutrosconsolidadodez[[#Headers],[26]],tabela_registros[REGISTRO],DADOS!$N$6,tabela_registros[TIPO],DADOS!$AJ$5,tabela_registros[CATEGORIA],reservaoutrosconsolidadodez[[#This Row],[ATUAL]])</f>
        <v>0</v>
      </c>
      <c r="AE209" s="119" t="n">
        <f aca="false">SUMIFS(tabela_registros[VALOR],tabela_registros[MÊS],$AE$1,tabela_registros[DIA],reservaoutrosconsolidadodez[[#Headers],[27]],tabela_registros[REGISTRO],DADOS!$N$6,tabela_registros[TIPO],DADOS!$AJ$5,tabela_registros[CATEGORIA],reservaoutrosconsolidadodez[[#This Row],[ATUAL]])</f>
        <v>0</v>
      </c>
      <c r="AF209" s="119" t="n">
        <f aca="false">SUMIFS(tabela_registros[VALOR],tabela_registros[MÊS],$AE$1,tabela_registros[DIA],reservaoutrosconsolidadodez[[#Headers],[28]],tabela_registros[REGISTRO],DADOS!$N$6,tabela_registros[TIPO],DADOS!$AJ$5,tabela_registros[CATEGORIA],reservaoutrosconsolidadodez[[#This Row],[ATUAL]])</f>
        <v>0</v>
      </c>
      <c r="AG209" s="119" t="n">
        <f aca="false">SUMIFS(tabela_registros[VALOR],tabela_registros[MÊS],$AE$1,tabela_registros[DIA],reservaoutrosconsolidadodez[[#Headers],[29]],tabela_registros[REGISTRO],DADOS!$N$6,tabela_registros[TIPO],DADOS!$AJ$5,tabela_registros[CATEGORIA],reservaoutrosconsolidadodez[[#This Row],[ATUAL]])</f>
        <v>0</v>
      </c>
      <c r="AH209" s="119" t="n">
        <f aca="false">SUMIFS(tabela_registros[VALOR],tabela_registros[MÊS],$AE$1,tabela_registros[DIA],reservaoutrosconsolidadodez[[#Headers],[30]],tabela_registros[REGISTRO],DADOS!$N$6,tabela_registros[TIPO],DADOS!$AJ$5,tabela_registros[CATEGORIA],reservaoutrosconsolidadodez[[#This Row],[ATUAL]])</f>
        <v>0</v>
      </c>
      <c r="AI209" s="217" t="n">
        <f aca="false">SUMIFS(tabela_registros[VALOR],tabela_registros[MÊS],$AE$1,tabela_registros[DIA],reservaoutrosconsolidadodez[[#Headers],[31]],tabela_registros[REGISTRO],DADOS!$N$6,tabela_registros[TIPO],DADOS!$AJ$5,tabela_registros[CATEGORIA],reservaoutrosconsolidadodez[[#This Row],[ATUAL]])</f>
        <v>0</v>
      </c>
      <c r="AJ209" s="149" t="n">
        <f aca="false">SUM(reservaoutrosconsolidadodez[[#This Row],[1]:[31]])</f>
        <v>0</v>
      </c>
      <c r="AK209" s="165"/>
    </row>
    <row r="210" customFormat="false" ht="19.5" hidden="false" customHeight="true" outlineLevel="0" collapsed="false">
      <c r="B210" s="143"/>
      <c r="C210" s="144" t="str">
        <f aca="false">DADOS!$AP$7</f>
        <v>📝 PEER TO COMPANY</v>
      </c>
      <c r="D210" s="145" t="str">
        <f aca="false">IF(reservaoutrosconsolidadodez[[#This Row],[TOTAL (R$)]]=0,"",IF(OR(reservaoutrosconsolidadodez[[#This Row],[TOTAL (R$)]]=LARGE($AJ$206:$AJ$213,1),reservaoutrosconsolidadodez[[#This Row],[TOTAL (R$)]]=LARGE($AJ$206:$AJ$213,2)),DADOS!$I$11,""))</f>
        <v/>
      </c>
      <c r="E210" s="148" t="n">
        <f aca="false">SUMIFS(tabela_registros[VALOR],tabela_registros[MÊS],$AE$1,tabela_registros[DIA],reservaoutrosconsolidadodez[[#Headers],[1]],tabela_registros[REGISTRO],DADOS!$N$6,tabela_registros[TIPO],DADOS!$AJ$5,tabela_registros[CATEGORIA],reservaoutrosconsolidadodez[[#This Row],[ATUAL]])</f>
        <v>0</v>
      </c>
      <c r="F210" s="119" t="n">
        <f aca="false">SUMIFS(tabela_registros[VALOR],tabela_registros[MÊS],$AE$1,tabela_registros[DIA],reservaoutrosconsolidadodez[[#Headers],[2]],tabela_registros[REGISTRO],DADOS!$N$6,tabela_registros[TIPO],DADOS!$AJ$5,tabela_registros[CATEGORIA],reservaoutrosconsolidadodez[[#This Row],[ATUAL]])</f>
        <v>0</v>
      </c>
      <c r="G210" s="119" t="n">
        <f aca="false">SUMIFS(tabela_registros[VALOR],tabela_registros[MÊS],$AE$1,tabela_registros[DIA],reservaoutrosconsolidadodez[[#Headers],[3]],tabela_registros[REGISTRO],DADOS!$N$6,tabela_registros[TIPO],DADOS!$AJ$5,tabela_registros[CATEGORIA],reservaoutrosconsolidadodez[[#This Row],[ATUAL]])</f>
        <v>0</v>
      </c>
      <c r="H210" s="119" t="n">
        <f aca="false">SUMIFS(tabela_registros[VALOR],tabela_registros[MÊS],$AE$1,tabela_registros[DIA],reservaoutrosconsolidadodez[[#Headers],[4]],tabela_registros[REGISTRO],DADOS!$N$6,tabela_registros[TIPO],DADOS!$AJ$5,tabela_registros[CATEGORIA],reservaoutrosconsolidadodez[[#This Row],[ATUAL]])</f>
        <v>0</v>
      </c>
      <c r="I210" s="119" t="n">
        <f aca="false">SUMIFS(tabela_registros[VALOR],tabela_registros[MÊS],$AE$1,tabela_registros[DIA],reservaoutrosconsolidadodez[[#Headers],[5]],tabela_registros[REGISTRO],DADOS!$N$6,tabela_registros[TIPO],DADOS!$AJ$5,tabela_registros[CATEGORIA],reservaoutrosconsolidadodez[[#This Row],[ATUAL]])</f>
        <v>0</v>
      </c>
      <c r="J210" s="119" t="n">
        <f aca="false">SUMIFS(tabela_registros[VALOR],tabela_registros[MÊS],$AE$1,tabela_registros[DIA],reservaoutrosconsolidadodez[[#Headers],[6]],tabela_registros[REGISTRO],DADOS!$N$6,tabela_registros[TIPO],DADOS!$AJ$5,tabela_registros[CATEGORIA],reservaoutrosconsolidadodez[[#This Row],[ATUAL]])</f>
        <v>0</v>
      </c>
      <c r="K210" s="119" t="n">
        <f aca="false">SUMIFS(tabela_registros[VALOR],tabela_registros[MÊS],$AE$1,tabela_registros[DIA],reservaoutrosconsolidadodez[[#Headers],[7]],tabela_registros[REGISTRO],DADOS!$N$6,tabela_registros[TIPO],DADOS!$AJ$5,tabela_registros[CATEGORIA],reservaoutrosconsolidadodez[[#This Row],[ATUAL]])</f>
        <v>0</v>
      </c>
      <c r="L210" s="119" t="n">
        <f aca="false">SUMIFS(tabela_registros[VALOR],tabela_registros[MÊS],$AE$1,tabela_registros[DIA],reservaoutrosconsolidadodez[[#Headers],[8]],tabela_registros[REGISTRO],DADOS!$N$6,tabela_registros[TIPO],DADOS!$AJ$5,tabela_registros[CATEGORIA],reservaoutrosconsolidadodez[[#This Row],[ATUAL]])</f>
        <v>0</v>
      </c>
      <c r="M210" s="119" t="n">
        <f aca="false">SUMIFS(tabela_registros[VALOR],tabela_registros[MÊS],$AE$1,tabela_registros[DIA],reservaoutrosconsolidadodez[[#Headers],[9]],tabela_registros[REGISTRO],DADOS!$N$6,tabela_registros[TIPO],DADOS!$AJ$5,tabela_registros[CATEGORIA],reservaoutrosconsolidadodez[[#This Row],[ATUAL]])</f>
        <v>0</v>
      </c>
      <c r="N210" s="119" t="n">
        <f aca="false">SUMIFS(tabela_registros[VALOR],tabela_registros[MÊS],$AE$1,tabela_registros[DIA],reservaoutrosconsolidadodez[[#Headers],[10]],tabela_registros[REGISTRO],DADOS!$N$6,tabela_registros[TIPO],DADOS!$AJ$5,tabela_registros[CATEGORIA],reservaoutrosconsolidadodez[[#This Row],[ATUAL]])</f>
        <v>0</v>
      </c>
      <c r="O210" s="119" t="n">
        <f aca="false">SUMIFS(tabela_registros[VALOR],tabela_registros[MÊS],$AE$1,tabela_registros[DIA],reservaoutrosconsolidadodez[[#Headers],[11]],tabela_registros[REGISTRO],DADOS!$N$6,tabela_registros[TIPO],DADOS!$AJ$5,tabela_registros[CATEGORIA],reservaoutrosconsolidadodez[[#This Row],[ATUAL]])</f>
        <v>0</v>
      </c>
      <c r="P210" s="119" t="n">
        <f aca="false">SUMIFS(tabela_registros[VALOR],tabela_registros[MÊS],$AE$1,tabela_registros[DIA],reservaoutrosconsolidadodez[[#Headers],[12]],tabela_registros[REGISTRO],DADOS!$N$6,tabela_registros[TIPO],DADOS!$AJ$5,tabela_registros[CATEGORIA],reservaoutrosconsolidadodez[[#This Row],[ATUAL]])</f>
        <v>0</v>
      </c>
      <c r="Q210" s="119" t="n">
        <f aca="false">SUMIFS(tabela_registros[VALOR],tabela_registros[MÊS],$AE$1,tabela_registros[DIA],reservaoutrosconsolidadodez[[#Headers],[13]],tabela_registros[REGISTRO],DADOS!$N$6,tabela_registros[TIPO],DADOS!$AJ$5,tabela_registros[CATEGORIA],reservaoutrosconsolidadodez[[#This Row],[ATUAL]])</f>
        <v>0</v>
      </c>
      <c r="R210" s="119" t="n">
        <f aca="false">SUMIFS(tabela_registros[VALOR],tabela_registros[MÊS],$AE$1,tabela_registros[DIA],reservaoutrosconsolidadodez[[#Headers],[14]],tabela_registros[REGISTRO],DADOS!$N$6,tabela_registros[TIPO],DADOS!$AJ$5,tabela_registros[CATEGORIA],reservaoutrosconsolidadodez[[#This Row],[ATUAL]])</f>
        <v>0</v>
      </c>
      <c r="S210" s="119" t="n">
        <f aca="false">SUMIFS(tabela_registros[VALOR],tabela_registros[MÊS],$AE$1,tabela_registros[DIA],reservaoutrosconsolidadodez[[#Headers],[15]],tabela_registros[REGISTRO],DADOS!$N$6,tabela_registros[TIPO],DADOS!$AJ$5,tabela_registros[CATEGORIA],reservaoutrosconsolidadodez[[#This Row],[ATUAL]])</f>
        <v>0</v>
      </c>
      <c r="T210" s="119" t="n">
        <f aca="false">SUMIFS(tabela_registros[VALOR],tabela_registros[MÊS],$AE$1,tabela_registros[DIA],reservaoutrosconsolidadodez[[#Headers],[16]],tabela_registros[REGISTRO],DADOS!$N$6,tabela_registros[TIPO],DADOS!$AJ$5,tabela_registros[CATEGORIA],reservaoutrosconsolidadodez[[#This Row],[ATUAL]])</f>
        <v>0</v>
      </c>
      <c r="U210" s="119" t="n">
        <f aca="false">SUMIFS(tabela_registros[VALOR],tabela_registros[MÊS],$AE$1,tabela_registros[DIA],reservaoutrosconsolidadodez[[#Headers],[17]],tabela_registros[REGISTRO],DADOS!$N$6,tabela_registros[TIPO],DADOS!$AJ$5,tabela_registros[CATEGORIA],reservaoutrosconsolidadodez[[#This Row],[ATUAL]])</f>
        <v>0</v>
      </c>
      <c r="V210" s="119" t="n">
        <f aca="false">SUMIFS(tabela_registros[VALOR],tabela_registros[MÊS],$AE$1,tabela_registros[DIA],reservaoutrosconsolidadodez[[#Headers],[18]],tabela_registros[REGISTRO],DADOS!$N$6,tabela_registros[TIPO],DADOS!$AJ$5,tabela_registros[CATEGORIA],reservaoutrosconsolidadodez[[#This Row],[ATUAL]])</f>
        <v>0</v>
      </c>
      <c r="W210" s="119" t="n">
        <f aca="false">SUMIFS(tabela_registros[VALOR],tabela_registros[MÊS],$AE$1,tabela_registros[DIA],reservaoutrosconsolidadodez[[#Headers],[19]],tabela_registros[REGISTRO],DADOS!$N$6,tabela_registros[TIPO],DADOS!$AJ$5,tabela_registros[CATEGORIA],reservaoutrosconsolidadodez[[#This Row],[ATUAL]])</f>
        <v>0</v>
      </c>
      <c r="X210" s="119" t="n">
        <f aca="false">SUMIFS(tabela_registros[VALOR],tabela_registros[MÊS],$AE$1,tabela_registros[DIA],reservaoutrosconsolidadodez[[#Headers],[20]],tabela_registros[REGISTRO],DADOS!$N$6,tabela_registros[TIPO],DADOS!$AJ$5,tabela_registros[CATEGORIA],reservaoutrosconsolidadodez[[#This Row],[ATUAL]])</f>
        <v>0</v>
      </c>
      <c r="Y210" s="119" t="n">
        <f aca="false">SUMIFS(tabela_registros[VALOR],tabela_registros[MÊS],$AE$1,tabela_registros[DIA],reservaoutrosconsolidadodez[[#Headers],[21]],tabela_registros[REGISTRO],DADOS!$N$6,tabela_registros[TIPO],DADOS!$AJ$5,tabela_registros[CATEGORIA],reservaoutrosconsolidadodez[[#This Row],[ATUAL]])</f>
        <v>0</v>
      </c>
      <c r="Z210" s="119" t="n">
        <f aca="false">SUMIFS(tabela_registros[VALOR],tabela_registros[MÊS],$AE$1,tabela_registros[DIA],reservaoutrosconsolidadodez[[#Headers],[22]],tabela_registros[REGISTRO],DADOS!$N$6,tabela_registros[TIPO],DADOS!$AJ$5,tabela_registros[CATEGORIA],reservaoutrosconsolidadodez[[#This Row],[ATUAL]])</f>
        <v>0</v>
      </c>
      <c r="AA210" s="119" t="n">
        <f aca="false">SUMIFS(tabela_registros[VALOR],tabela_registros[MÊS],$AE$1,tabela_registros[DIA],reservaoutrosconsolidadodez[[#Headers],[23]],tabela_registros[REGISTRO],DADOS!$N$6,tabela_registros[TIPO],DADOS!$AJ$5,tabela_registros[CATEGORIA],reservaoutrosconsolidadodez[[#This Row],[ATUAL]])</f>
        <v>0</v>
      </c>
      <c r="AB210" s="119" t="n">
        <f aca="false">SUMIFS(tabela_registros[VALOR],tabela_registros[MÊS],$AE$1,tabela_registros[DIA],reservaoutrosconsolidadodez[[#Headers],[24]],tabela_registros[REGISTRO],DADOS!$N$6,tabela_registros[TIPO],DADOS!$AJ$5,tabela_registros[CATEGORIA],reservaoutrosconsolidadodez[[#This Row],[ATUAL]])</f>
        <v>0</v>
      </c>
      <c r="AC210" s="119" t="n">
        <f aca="false">SUMIFS(tabela_registros[VALOR],tabela_registros[MÊS],$AE$1,tabela_registros[DIA],reservaoutrosconsolidadodez[[#Headers],[25]],tabela_registros[REGISTRO],DADOS!$N$6,tabela_registros[TIPO],DADOS!$AJ$5,tabela_registros[CATEGORIA],reservaoutrosconsolidadodez[[#This Row],[ATUAL]])</f>
        <v>0</v>
      </c>
      <c r="AD210" s="119" t="n">
        <f aca="false">SUMIFS(tabela_registros[VALOR],tabela_registros[MÊS],$AE$1,tabela_registros[DIA],reservaoutrosconsolidadodez[[#Headers],[26]],tabela_registros[REGISTRO],DADOS!$N$6,tabela_registros[TIPO],DADOS!$AJ$5,tabela_registros[CATEGORIA],reservaoutrosconsolidadodez[[#This Row],[ATUAL]])</f>
        <v>0</v>
      </c>
      <c r="AE210" s="119" t="n">
        <f aca="false">SUMIFS(tabela_registros[VALOR],tabela_registros[MÊS],$AE$1,tabela_registros[DIA],reservaoutrosconsolidadodez[[#Headers],[27]],tabela_registros[REGISTRO],DADOS!$N$6,tabela_registros[TIPO],DADOS!$AJ$5,tabela_registros[CATEGORIA],reservaoutrosconsolidadodez[[#This Row],[ATUAL]])</f>
        <v>0</v>
      </c>
      <c r="AF210" s="119" t="n">
        <f aca="false">SUMIFS(tabela_registros[VALOR],tabela_registros[MÊS],$AE$1,tabela_registros[DIA],reservaoutrosconsolidadodez[[#Headers],[28]],tabela_registros[REGISTRO],DADOS!$N$6,tabela_registros[TIPO],DADOS!$AJ$5,tabela_registros[CATEGORIA],reservaoutrosconsolidadodez[[#This Row],[ATUAL]])</f>
        <v>0</v>
      </c>
      <c r="AG210" s="119" t="n">
        <f aca="false">SUMIFS(tabela_registros[VALOR],tabela_registros[MÊS],$AE$1,tabela_registros[DIA],reservaoutrosconsolidadodez[[#Headers],[29]],tabela_registros[REGISTRO],DADOS!$N$6,tabela_registros[TIPO],DADOS!$AJ$5,tabela_registros[CATEGORIA],reservaoutrosconsolidadodez[[#This Row],[ATUAL]])</f>
        <v>0</v>
      </c>
      <c r="AH210" s="119" t="n">
        <f aca="false">SUMIFS(tabela_registros[VALOR],tabela_registros[MÊS],$AE$1,tabela_registros[DIA],reservaoutrosconsolidadodez[[#Headers],[30]],tabela_registros[REGISTRO],DADOS!$N$6,tabela_registros[TIPO],DADOS!$AJ$5,tabela_registros[CATEGORIA],reservaoutrosconsolidadodez[[#This Row],[ATUAL]])</f>
        <v>0</v>
      </c>
      <c r="AI210" s="217" t="n">
        <f aca="false">SUMIFS(tabela_registros[VALOR],tabela_registros[MÊS],$AE$1,tabela_registros[DIA],reservaoutrosconsolidadodez[[#Headers],[31]],tabela_registros[REGISTRO],DADOS!$N$6,tabela_registros[TIPO],DADOS!$AJ$5,tabela_registros[CATEGORIA],reservaoutrosconsolidadodez[[#This Row],[ATUAL]])</f>
        <v>0</v>
      </c>
      <c r="AJ210" s="149" t="n">
        <f aca="false">SUM(reservaoutrosconsolidadodez[[#This Row],[1]:[31]])</f>
        <v>0</v>
      </c>
      <c r="AK210" s="165"/>
    </row>
    <row r="211" customFormat="false" ht="19.5" hidden="false" customHeight="true" outlineLevel="0" collapsed="false">
      <c r="B211" s="143"/>
      <c r="C211" s="144" t="str">
        <f aca="false">DADOS!$AP$8</f>
        <v>📝 PEER TO PEER</v>
      </c>
      <c r="D211" s="145" t="str">
        <f aca="false">IF(reservaoutrosconsolidadodez[[#This Row],[TOTAL (R$)]]=0,"",IF(OR(reservaoutrosconsolidadodez[[#This Row],[TOTAL (R$)]]=LARGE($AJ$206:$AJ$213,1),reservaoutrosconsolidadodez[[#This Row],[TOTAL (R$)]]=LARGE($AJ$206:$AJ$213,2)),DADOS!$I$11,""))</f>
        <v/>
      </c>
      <c r="E211" s="148" t="n">
        <f aca="false">SUMIFS(tabela_registros[VALOR],tabela_registros[MÊS],$AE$1,tabela_registros[DIA],reservaoutrosconsolidadodez[[#Headers],[1]],tabela_registros[REGISTRO],DADOS!$N$6,tabela_registros[TIPO],DADOS!$AJ$5,tabela_registros[CATEGORIA],reservaoutrosconsolidadodez[[#This Row],[ATUAL]])</f>
        <v>0</v>
      </c>
      <c r="F211" s="119" t="n">
        <f aca="false">SUMIFS(tabela_registros[VALOR],tabela_registros[MÊS],$AE$1,tabela_registros[DIA],reservaoutrosconsolidadodez[[#Headers],[2]],tabela_registros[REGISTRO],DADOS!$N$6,tabela_registros[TIPO],DADOS!$AJ$5,tabela_registros[CATEGORIA],reservaoutrosconsolidadodez[[#This Row],[ATUAL]])</f>
        <v>0</v>
      </c>
      <c r="G211" s="119" t="n">
        <f aca="false">SUMIFS(tabela_registros[VALOR],tabela_registros[MÊS],$AE$1,tabela_registros[DIA],reservaoutrosconsolidadodez[[#Headers],[3]],tabela_registros[REGISTRO],DADOS!$N$6,tabela_registros[TIPO],DADOS!$AJ$5,tabela_registros[CATEGORIA],reservaoutrosconsolidadodez[[#This Row],[ATUAL]])</f>
        <v>0</v>
      </c>
      <c r="H211" s="119" t="n">
        <f aca="false">SUMIFS(tabela_registros[VALOR],tabela_registros[MÊS],$AE$1,tabela_registros[DIA],reservaoutrosconsolidadodez[[#Headers],[4]],tabela_registros[REGISTRO],DADOS!$N$6,tabela_registros[TIPO],DADOS!$AJ$5,tabela_registros[CATEGORIA],reservaoutrosconsolidadodez[[#This Row],[ATUAL]])</f>
        <v>0</v>
      </c>
      <c r="I211" s="119" t="n">
        <f aca="false">SUMIFS(tabela_registros[VALOR],tabela_registros[MÊS],$AE$1,tabela_registros[DIA],reservaoutrosconsolidadodez[[#Headers],[5]],tabela_registros[REGISTRO],DADOS!$N$6,tabela_registros[TIPO],DADOS!$AJ$5,tabela_registros[CATEGORIA],reservaoutrosconsolidadodez[[#This Row],[ATUAL]])</f>
        <v>0</v>
      </c>
      <c r="J211" s="119" t="n">
        <f aca="false">SUMIFS(tabela_registros[VALOR],tabela_registros[MÊS],$AE$1,tabela_registros[DIA],reservaoutrosconsolidadodez[[#Headers],[6]],tabela_registros[REGISTRO],DADOS!$N$6,tabela_registros[TIPO],DADOS!$AJ$5,tabela_registros[CATEGORIA],reservaoutrosconsolidadodez[[#This Row],[ATUAL]])</f>
        <v>0</v>
      </c>
      <c r="K211" s="119" t="n">
        <f aca="false">SUMIFS(tabela_registros[VALOR],tabela_registros[MÊS],$AE$1,tabela_registros[DIA],reservaoutrosconsolidadodez[[#Headers],[7]],tabela_registros[REGISTRO],DADOS!$N$6,tabela_registros[TIPO],DADOS!$AJ$5,tabela_registros[CATEGORIA],reservaoutrosconsolidadodez[[#This Row],[ATUAL]])</f>
        <v>0</v>
      </c>
      <c r="L211" s="119" t="n">
        <f aca="false">SUMIFS(tabela_registros[VALOR],tabela_registros[MÊS],$AE$1,tabela_registros[DIA],reservaoutrosconsolidadodez[[#Headers],[8]],tabela_registros[REGISTRO],DADOS!$N$6,tabela_registros[TIPO],DADOS!$AJ$5,tabela_registros[CATEGORIA],reservaoutrosconsolidadodez[[#This Row],[ATUAL]])</f>
        <v>0</v>
      </c>
      <c r="M211" s="119" t="n">
        <f aca="false">SUMIFS(tabela_registros[VALOR],tabela_registros[MÊS],$AE$1,tabela_registros[DIA],reservaoutrosconsolidadodez[[#Headers],[9]],tabela_registros[REGISTRO],DADOS!$N$6,tabela_registros[TIPO],DADOS!$AJ$5,tabela_registros[CATEGORIA],reservaoutrosconsolidadodez[[#This Row],[ATUAL]])</f>
        <v>0</v>
      </c>
      <c r="N211" s="119" t="n">
        <f aca="false">SUMIFS(tabela_registros[VALOR],tabela_registros[MÊS],$AE$1,tabela_registros[DIA],reservaoutrosconsolidadodez[[#Headers],[10]],tabela_registros[REGISTRO],DADOS!$N$6,tabela_registros[TIPO],DADOS!$AJ$5,tabela_registros[CATEGORIA],reservaoutrosconsolidadodez[[#This Row],[ATUAL]])</f>
        <v>0</v>
      </c>
      <c r="O211" s="119" t="n">
        <f aca="false">SUMIFS(tabela_registros[VALOR],tabela_registros[MÊS],$AE$1,tabela_registros[DIA],reservaoutrosconsolidadodez[[#Headers],[11]],tabela_registros[REGISTRO],DADOS!$N$6,tabela_registros[TIPO],DADOS!$AJ$5,tabela_registros[CATEGORIA],reservaoutrosconsolidadodez[[#This Row],[ATUAL]])</f>
        <v>0</v>
      </c>
      <c r="P211" s="119" t="n">
        <f aca="false">SUMIFS(tabela_registros[VALOR],tabela_registros[MÊS],$AE$1,tabela_registros[DIA],reservaoutrosconsolidadodez[[#Headers],[12]],tabela_registros[REGISTRO],DADOS!$N$6,tabela_registros[TIPO],DADOS!$AJ$5,tabela_registros[CATEGORIA],reservaoutrosconsolidadodez[[#This Row],[ATUAL]])</f>
        <v>0</v>
      </c>
      <c r="Q211" s="119" t="n">
        <f aca="false">SUMIFS(tabela_registros[VALOR],tabela_registros[MÊS],$AE$1,tabela_registros[DIA],reservaoutrosconsolidadodez[[#Headers],[13]],tabela_registros[REGISTRO],DADOS!$N$6,tabela_registros[TIPO],DADOS!$AJ$5,tabela_registros[CATEGORIA],reservaoutrosconsolidadodez[[#This Row],[ATUAL]])</f>
        <v>0</v>
      </c>
      <c r="R211" s="119" t="n">
        <f aca="false">SUMIFS(tabela_registros[VALOR],tabela_registros[MÊS],$AE$1,tabela_registros[DIA],reservaoutrosconsolidadodez[[#Headers],[14]],tabela_registros[REGISTRO],DADOS!$N$6,tabela_registros[TIPO],DADOS!$AJ$5,tabela_registros[CATEGORIA],reservaoutrosconsolidadodez[[#This Row],[ATUAL]])</f>
        <v>0</v>
      </c>
      <c r="S211" s="119" t="n">
        <f aca="false">SUMIFS(tabela_registros[VALOR],tabela_registros[MÊS],$AE$1,tabela_registros[DIA],reservaoutrosconsolidadodez[[#Headers],[15]],tabela_registros[REGISTRO],DADOS!$N$6,tabela_registros[TIPO],DADOS!$AJ$5,tabela_registros[CATEGORIA],reservaoutrosconsolidadodez[[#This Row],[ATUAL]])</f>
        <v>0</v>
      </c>
      <c r="T211" s="119" t="n">
        <f aca="false">SUMIFS(tabela_registros[VALOR],tabela_registros[MÊS],$AE$1,tabela_registros[DIA],reservaoutrosconsolidadodez[[#Headers],[16]],tabela_registros[REGISTRO],DADOS!$N$6,tabela_registros[TIPO],DADOS!$AJ$5,tabela_registros[CATEGORIA],reservaoutrosconsolidadodez[[#This Row],[ATUAL]])</f>
        <v>0</v>
      </c>
      <c r="U211" s="119" t="n">
        <f aca="false">SUMIFS(tabela_registros[VALOR],tabela_registros[MÊS],$AE$1,tabela_registros[DIA],reservaoutrosconsolidadodez[[#Headers],[17]],tabela_registros[REGISTRO],DADOS!$N$6,tabela_registros[TIPO],DADOS!$AJ$5,tabela_registros[CATEGORIA],reservaoutrosconsolidadodez[[#This Row],[ATUAL]])</f>
        <v>0</v>
      </c>
      <c r="V211" s="119" t="n">
        <f aca="false">SUMIFS(tabela_registros[VALOR],tabela_registros[MÊS],$AE$1,tabela_registros[DIA],reservaoutrosconsolidadodez[[#Headers],[18]],tabela_registros[REGISTRO],DADOS!$N$6,tabela_registros[TIPO],DADOS!$AJ$5,tabela_registros[CATEGORIA],reservaoutrosconsolidadodez[[#This Row],[ATUAL]])</f>
        <v>0</v>
      </c>
      <c r="W211" s="119" t="n">
        <f aca="false">SUMIFS(tabela_registros[VALOR],tabela_registros[MÊS],$AE$1,tabela_registros[DIA],reservaoutrosconsolidadodez[[#Headers],[19]],tabela_registros[REGISTRO],DADOS!$N$6,tabela_registros[TIPO],DADOS!$AJ$5,tabela_registros[CATEGORIA],reservaoutrosconsolidadodez[[#This Row],[ATUAL]])</f>
        <v>0</v>
      </c>
      <c r="X211" s="119" t="n">
        <f aca="false">SUMIFS(tabela_registros[VALOR],tabela_registros[MÊS],$AE$1,tabela_registros[DIA],reservaoutrosconsolidadodez[[#Headers],[20]],tabela_registros[REGISTRO],DADOS!$N$6,tabela_registros[TIPO],DADOS!$AJ$5,tabela_registros[CATEGORIA],reservaoutrosconsolidadodez[[#This Row],[ATUAL]])</f>
        <v>0</v>
      </c>
      <c r="Y211" s="119" t="n">
        <f aca="false">SUMIFS(tabela_registros[VALOR],tabela_registros[MÊS],$AE$1,tabela_registros[DIA],reservaoutrosconsolidadodez[[#Headers],[21]],tabela_registros[REGISTRO],DADOS!$N$6,tabela_registros[TIPO],DADOS!$AJ$5,tabela_registros[CATEGORIA],reservaoutrosconsolidadodez[[#This Row],[ATUAL]])</f>
        <v>0</v>
      </c>
      <c r="Z211" s="119" t="n">
        <f aca="false">SUMIFS(tabela_registros[VALOR],tabela_registros[MÊS],$AE$1,tabela_registros[DIA],reservaoutrosconsolidadodez[[#Headers],[22]],tabela_registros[REGISTRO],DADOS!$N$6,tabela_registros[TIPO],DADOS!$AJ$5,tabela_registros[CATEGORIA],reservaoutrosconsolidadodez[[#This Row],[ATUAL]])</f>
        <v>0</v>
      </c>
      <c r="AA211" s="119" t="n">
        <f aca="false">SUMIFS(tabela_registros[VALOR],tabela_registros[MÊS],$AE$1,tabela_registros[DIA],reservaoutrosconsolidadodez[[#Headers],[23]],tabela_registros[REGISTRO],DADOS!$N$6,tabela_registros[TIPO],DADOS!$AJ$5,tabela_registros[CATEGORIA],reservaoutrosconsolidadodez[[#This Row],[ATUAL]])</f>
        <v>0</v>
      </c>
      <c r="AB211" s="119" t="n">
        <f aca="false">SUMIFS(tabela_registros[VALOR],tabela_registros[MÊS],$AE$1,tabela_registros[DIA],reservaoutrosconsolidadodez[[#Headers],[24]],tabela_registros[REGISTRO],DADOS!$N$6,tabela_registros[TIPO],DADOS!$AJ$5,tabela_registros[CATEGORIA],reservaoutrosconsolidadodez[[#This Row],[ATUAL]])</f>
        <v>0</v>
      </c>
      <c r="AC211" s="119" t="n">
        <f aca="false">SUMIFS(tabela_registros[VALOR],tabela_registros[MÊS],$AE$1,tabela_registros[DIA],reservaoutrosconsolidadodez[[#Headers],[25]],tabela_registros[REGISTRO],DADOS!$N$6,tabela_registros[TIPO],DADOS!$AJ$5,tabela_registros[CATEGORIA],reservaoutrosconsolidadodez[[#This Row],[ATUAL]])</f>
        <v>0</v>
      </c>
      <c r="AD211" s="119" t="n">
        <f aca="false">SUMIFS(tabela_registros[VALOR],tabela_registros[MÊS],$AE$1,tabela_registros[DIA],reservaoutrosconsolidadodez[[#Headers],[26]],tabela_registros[REGISTRO],DADOS!$N$6,tabela_registros[TIPO],DADOS!$AJ$5,tabela_registros[CATEGORIA],reservaoutrosconsolidadodez[[#This Row],[ATUAL]])</f>
        <v>0</v>
      </c>
      <c r="AE211" s="119" t="n">
        <f aca="false">SUMIFS(tabela_registros[VALOR],tabela_registros[MÊS],$AE$1,tabela_registros[DIA],reservaoutrosconsolidadodez[[#Headers],[27]],tabela_registros[REGISTRO],DADOS!$N$6,tabela_registros[TIPO],DADOS!$AJ$5,tabela_registros[CATEGORIA],reservaoutrosconsolidadodez[[#This Row],[ATUAL]])</f>
        <v>0</v>
      </c>
      <c r="AF211" s="119" t="n">
        <f aca="false">SUMIFS(tabela_registros[VALOR],tabela_registros[MÊS],$AE$1,tabela_registros[DIA],reservaoutrosconsolidadodez[[#Headers],[28]],tabela_registros[REGISTRO],DADOS!$N$6,tabela_registros[TIPO],DADOS!$AJ$5,tabela_registros[CATEGORIA],reservaoutrosconsolidadodez[[#This Row],[ATUAL]])</f>
        <v>0</v>
      </c>
      <c r="AG211" s="119" t="n">
        <f aca="false">SUMIFS(tabela_registros[VALOR],tabela_registros[MÊS],$AE$1,tabela_registros[DIA],reservaoutrosconsolidadodez[[#Headers],[29]],tabela_registros[REGISTRO],DADOS!$N$6,tabela_registros[TIPO],DADOS!$AJ$5,tabela_registros[CATEGORIA],reservaoutrosconsolidadodez[[#This Row],[ATUAL]])</f>
        <v>0</v>
      </c>
      <c r="AH211" s="119" t="n">
        <f aca="false">SUMIFS(tabela_registros[VALOR],tabela_registros[MÊS],$AE$1,tabela_registros[DIA],reservaoutrosconsolidadodez[[#Headers],[30]],tabela_registros[REGISTRO],DADOS!$N$6,tabela_registros[TIPO],DADOS!$AJ$5,tabela_registros[CATEGORIA],reservaoutrosconsolidadodez[[#This Row],[ATUAL]])</f>
        <v>0</v>
      </c>
      <c r="AI211" s="217" t="n">
        <f aca="false">SUMIFS(tabela_registros[VALOR],tabela_registros[MÊS],$AE$1,tabela_registros[DIA],reservaoutrosconsolidadodez[[#Headers],[31]],tabela_registros[REGISTRO],DADOS!$N$6,tabela_registros[TIPO],DADOS!$AJ$5,tabela_registros[CATEGORIA],reservaoutrosconsolidadodez[[#This Row],[ATUAL]])</f>
        <v>0</v>
      </c>
      <c r="AJ211" s="149" t="n">
        <f aca="false">SUM(reservaoutrosconsolidadodez[[#This Row],[1]:[31]])</f>
        <v>0</v>
      </c>
      <c r="AK211" s="165"/>
    </row>
    <row r="212" customFormat="false" ht="19.5" hidden="false" customHeight="true" outlineLevel="0" collapsed="false">
      <c r="B212" s="143"/>
      <c r="C212" s="144" t="str">
        <f aca="false">DADOS!$AP$9</f>
        <v>📝 PREVIDÊNCIA PRIVADA</v>
      </c>
      <c r="D212" s="145" t="str">
        <f aca="false">IF(reservaoutrosconsolidadodez[[#This Row],[TOTAL (R$)]]=0,"",IF(OR(reservaoutrosconsolidadodez[[#This Row],[TOTAL (R$)]]=LARGE($AJ$206:$AJ$213,1),reservaoutrosconsolidadodez[[#This Row],[TOTAL (R$)]]=LARGE($AJ$206:$AJ$213,2)),DADOS!$I$11,""))</f>
        <v/>
      </c>
      <c r="E212" s="148" t="n">
        <f aca="false">SUMIFS(tabela_registros[VALOR],tabela_registros[MÊS],$AE$1,tabela_registros[DIA],reservaoutrosconsolidadodez[[#Headers],[1]],tabela_registros[REGISTRO],DADOS!$N$6,tabela_registros[TIPO],DADOS!$AJ$5,tabela_registros[CATEGORIA],reservaoutrosconsolidadodez[[#This Row],[ATUAL]])</f>
        <v>0</v>
      </c>
      <c r="F212" s="119" t="n">
        <f aca="false">SUMIFS(tabela_registros[VALOR],tabela_registros[MÊS],$AE$1,tabela_registros[DIA],reservaoutrosconsolidadodez[[#Headers],[2]],tabela_registros[REGISTRO],DADOS!$N$6,tabela_registros[TIPO],DADOS!$AJ$5,tabela_registros[CATEGORIA],reservaoutrosconsolidadodez[[#This Row],[ATUAL]])</f>
        <v>0</v>
      </c>
      <c r="G212" s="119" t="n">
        <f aca="false">SUMIFS(tabela_registros[VALOR],tabela_registros[MÊS],$AE$1,tabela_registros[DIA],reservaoutrosconsolidadodez[[#Headers],[3]],tabela_registros[REGISTRO],DADOS!$N$6,tabela_registros[TIPO],DADOS!$AJ$5,tabela_registros[CATEGORIA],reservaoutrosconsolidadodez[[#This Row],[ATUAL]])</f>
        <v>0</v>
      </c>
      <c r="H212" s="119" t="n">
        <f aca="false">SUMIFS(tabela_registros[VALOR],tabela_registros[MÊS],$AE$1,tabela_registros[DIA],reservaoutrosconsolidadodez[[#Headers],[4]],tabela_registros[REGISTRO],DADOS!$N$6,tabela_registros[TIPO],DADOS!$AJ$5,tabela_registros[CATEGORIA],reservaoutrosconsolidadodez[[#This Row],[ATUAL]])</f>
        <v>0</v>
      </c>
      <c r="I212" s="119" t="n">
        <f aca="false">SUMIFS(tabela_registros[VALOR],tabela_registros[MÊS],$AE$1,tabela_registros[DIA],reservaoutrosconsolidadodez[[#Headers],[5]],tabela_registros[REGISTRO],DADOS!$N$6,tabela_registros[TIPO],DADOS!$AJ$5,tabela_registros[CATEGORIA],reservaoutrosconsolidadodez[[#This Row],[ATUAL]])</f>
        <v>0</v>
      </c>
      <c r="J212" s="119" t="n">
        <f aca="false">SUMIFS(tabela_registros[VALOR],tabela_registros[MÊS],$AE$1,tabela_registros[DIA],reservaoutrosconsolidadodez[[#Headers],[6]],tabela_registros[REGISTRO],DADOS!$N$6,tabela_registros[TIPO],DADOS!$AJ$5,tabela_registros[CATEGORIA],reservaoutrosconsolidadodez[[#This Row],[ATUAL]])</f>
        <v>0</v>
      </c>
      <c r="K212" s="119" t="n">
        <f aca="false">SUMIFS(tabela_registros[VALOR],tabela_registros[MÊS],$AE$1,tabela_registros[DIA],reservaoutrosconsolidadodez[[#Headers],[7]],tabela_registros[REGISTRO],DADOS!$N$6,tabela_registros[TIPO],DADOS!$AJ$5,tabela_registros[CATEGORIA],reservaoutrosconsolidadodez[[#This Row],[ATUAL]])</f>
        <v>0</v>
      </c>
      <c r="L212" s="119" t="n">
        <f aca="false">SUMIFS(tabela_registros[VALOR],tabela_registros[MÊS],$AE$1,tabela_registros[DIA],reservaoutrosconsolidadodez[[#Headers],[8]],tabela_registros[REGISTRO],DADOS!$N$6,tabela_registros[TIPO],DADOS!$AJ$5,tabela_registros[CATEGORIA],reservaoutrosconsolidadodez[[#This Row],[ATUAL]])</f>
        <v>0</v>
      </c>
      <c r="M212" s="119" t="n">
        <f aca="false">SUMIFS(tabela_registros[VALOR],tabela_registros[MÊS],$AE$1,tabela_registros[DIA],reservaoutrosconsolidadodez[[#Headers],[9]],tabela_registros[REGISTRO],DADOS!$N$6,tabela_registros[TIPO],DADOS!$AJ$5,tabela_registros[CATEGORIA],reservaoutrosconsolidadodez[[#This Row],[ATUAL]])</f>
        <v>0</v>
      </c>
      <c r="N212" s="119" t="n">
        <f aca="false">SUMIFS(tabela_registros[VALOR],tabela_registros[MÊS],$AE$1,tabela_registros[DIA],reservaoutrosconsolidadodez[[#Headers],[10]],tabela_registros[REGISTRO],DADOS!$N$6,tabela_registros[TIPO],DADOS!$AJ$5,tabela_registros[CATEGORIA],reservaoutrosconsolidadodez[[#This Row],[ATUAL]])</f>
        <v>0</v>
      </c>
      <c r="O212" s="119" t="n">
        <f aca="false">SUMIFS(tabela_registros[VALOR],tabela_registros[MÊS],$AE$1,tabela_registros[DIA],reservaoutrosconsolidadodez[[#Headers],[11]],tabela_registros[REGISTRO],DADOS!$N$6,tabela_registros[TIPO],DADOS!$AJ$5,tabela_registros[CATEGORIA],reservaoutrosconsolidadodez[[#This Row],[ATUAL]])</f>
        <v>0</v>
      </c>
      <c r="P212" s="119" t="n">
        <f aca="false">SUMIFS(tabela_registros[VALOR],tabela_registros[MÊS],$AE$1,tabela_registros[DIA],reservaoutrosconsolidadodez[[#Headers],[12]],tabela_registros[REGISTRO],DADOS!$N$6,tabela_registros[TIPO],DADOS!$AJ$5,tabela_registros[CATEGORIA],reservaoutrosconsolidadodez[[#This Row],[ATUAL]])</f>
        <v>0</v>
      </c>
      <c r="Q212" s="119" t="n">
        <f aca="false">SUMIFS(tabela_registros[VALOR],tabela_registros[MÊS],$AE$1,tabela_registros[DIA],reservaoutrosconsolidadodez[[#Headers],[13]],tabela_registros[REGISTRO],DADOS!$N$6,tabela_registros[TIPO],DADOS!$AJ$5,tabela_registros[CATEGORIA],reservaoutrosconsolidadodez[[#This Row],[ATUAL]])</f>
        <v>0</v>
      </c>
      <c r="R212" s="119" t="n">
        <f aca="false">SUMIFS(tabela_registros[VALOR],tabela_registros[MÊS],$AE$1,tabela_registros[DIA],reservaoutrosconsolidadodez[[#Headers],[14]],tabela_registros[REGISTRO],DADOS!$N$6,tabela_registros[TIPO],DADOS!$AJ$5,tabela_registros[CATEGORIA],reservaoutrosconsolidadodez[[#This Row],[ATUAL]])</f>
        <v>0</v>
      </c>
      <c r="S212" s="119" t="n">
        <f aca="false">SUMIFS(tabela_registros[VALOR],tabela_registros[MÊS],$AE$1,tabela_registros[DIA],reservaoutrosconsolidadodez[[#Headers],[15]],tabela_registros[REGISTRO],DADOS!$N$6,tabela_registros[TIPO],DADOS!$AJ$5,tabela_registros[CATEGORIA],reservaoutrosconsolidadodez[[#This Row],[ATUAL]])</f>
        <v>0</v>
      </c>
      <c r="T212" s="119" t="n">
        <f aca="false">SUMIFS(tabela_registros[VALOR],tabela_registros[MÊS],$AE$1,tabela_registros[DIA],reservaoutrosconsolidadodez[[#Headers],[16]],tabela_registros[REGISTRO],DADOS!$N$6,tabela_registros[TIPO],DADOS!$AJ$5,tabela_registros[CATEGORIA],reservaoutrosconsolidadodez[[#This Row],[ATUAL]])</f>
        <v>0</v>
      </c>
      <c r="U212" s="119" t="n">
        <f aca="false">SUMIFS(tabela_registros[VALOR],tabela_registros[MÊS],$AE$1,tabela_registros[DIA],reservaoutrosconsolidadodez[[#Headers],[17]],tabela_registros[REGISTRO],DADOS!$N$6,tabela_registros[TIPO],DADOS!$AJ$5,tabela_registros[CATEGORIA],reservaoutrosconsolidadodez[[#This Row],[ATUAL]])</f>
        <v>0</v>
      </c>
      <c r="V212" s="119" t="n">
        <f aca="false">SUMIFS(tabela_registros[VALOR],tabela_registros[MÊS],$AE$1,tabela_registros[DIA],reservaoutrosconsolidadodez[[#Headers],[18]],tabela_registros[REGISTRO],DADOS!$N$6,tabela_registros[TIPO],DADOS!$AJ$5,tabela_registros[CATEGORIA],reservaoutrosconsolidadodez[[#This Row],[ATUAL]])</f>
        <v>0</v>
      </c>
      <c r="W212" s="119" t="n">
        <f aca="false">SUMIFS(tabela_registros[VALOR],tabela_registros[MÊS],$AE$1,tabela_registros[DIA],reservaoutrosconsolidadodez[[#Headers],[19]],tabela_registros[REGISTRO],DADOS!$N$6,tabela_registros[TIPO],DADOS!$AJ$5,tabela_registros[CATEGORIA],reservaoutrosconsolidadodez[[#This Row],[ATUAL]])</f>
        <v>0</v>
      </c>
      <c r="X212" s="119" t="n">
        <f aca="false">SUMIFS(tabela_registros[VALOR],tabela_registros[MÊS],$AE$1,tabela_registros[DIA],reservaoutrosconsolidadodez[[#Headers],[20]],tabela_registros[REGISTRO],DADOS!$N$6,tabela_registros[TIPO],DADOS!$AJ$5,tabela_registros[CATEGORIA],reservaoutrosconsolidadodez[[#This Row],[ATUAL]])</f>
        <v>0</v>
      </c>
      <c r="Y212" s="119" t="n">
        <f aca="false">SUMIFS(tabela_registros[VALOR],tabela_registros[MÊS],$AE$1,tabela_registros[DIA],reservaoutrosconsolidadodez[[#Headers],[21]],tabela_registros[REGISTRO],DADOS!$N$6,tabela_registros[TIPO],DADOS!$AJ$5,tabela_registros[CATEGORIA],reservaoutrosconsolidadodez[[#This Row],[ATUAL]])</f>
        <v>0</v>
      </c>
      <c r="Z212" s="119" t="n">
        <f aca="false">SUMIFS(tabela_registros[VALOR],tabela_registros[MÊS],$AE$1,tabela_registros[DIA],reservaoutrosconsolidadodez[[#Headers],[22]],tabela_registros[REGISTRO],DADOS!$N$6,tabela_registros[TIPO],DADOS!$AJ$5,tabela_registros[CATEGORIA],reservaoutrosconsolidadodez[[#This Row],[ATUAL]])</f>
        <v>0</v>
      </c>
      <c r="AA212" s="119" t="n">
        <f aca="false">SUMIFS(tabela_registros[VALOR],tabela_registros[MÊS],$AE$1,tabela_registros[DIA],reservaoutrosconsolidadodez[[#Headers],[23]],tabela_registros[REGISTRO],DADOS!$N$6,tabela_registros[TIPO],DADOS!$AJ$5,tabela_registros[CATEGORIA],reservaoutrosconsolidadodez[[#This Row],[ATUAL]])</f>
        <v>0</v>
      </c>
      <c r="AB212" s="119" t="n">
        <f aca="false">SUMIFS(tabela_registros[VALOR],tabela_registros[MÊS],$AE$1,tabela_registros[DIA],reservaoutrosconsolidadodez[[#Headers],[24]],tabela_registros[REGISTRO],DADOS!$N$6,tabela_registros[TIPO],DADOS!$AJ$5,tabela_registros[CATEGORIA],reservaoutrosconsolidadodez[[#This Row],[ATUAL]])</f>
        <v>0</v>
      </c>
      <c r="AC212" s="119" t="n">
        <f aca="false">SUMIFS(tabela_registros[VALOR],tabela_registros[MÊS],$AE$1,tabela_registros[DIA],reservaoutrosconsolidadodez[[#Headers],[25]],tabela_registros[REGISTRO],DADOS!$N$6,tabela_registros[TIPO],DADOS!$AJ$5,tabela_registros[CATEGORIA],reservaoutrosconsolidadodez[[#This Row],[ATUAL]])</f>
        <v>0</v>
      </c>
      <c r="AD212" s="119" t="n">
        <f aca="false">SUMIFS(tabela_registros[VALOR],tabela_registros[MÊS],$AE$1,tabela_registros[DIA],reservaoutrosconsolidadodez[[#Headers],[26]],tabela_registros[REGISTRO],DADOS!$N$6,tabela_registros[TIPO],DADOS!$AJ$5,tabela_registros[CATEGORIA],reservaoutrosconsolidadodez[[#This Row],[ATUAL]])</f>
        <v>0</v>
      </c>
      <c r="AE212" s="119" t="n">
        <f aca="false">SUMIFS(tabela_registros[VALOR],tabela_registros[MÊS],$AE$1,tabela_registros[DIA],reservaoutrosconsolidadodez[[#Headers],[27]],tabela_registros[REGISTRO],DADOS!$N$6,tabela_registros[TIPO],DADOS!$AJ$5,tabela_registros[CATEGORIA],reservaoutrosconsolidadodez[[#This Row],[ATUAL]])</f>
        <v>0</v>
      </c>
      <c r="AF212" s="119" t="n">
        <f aca="false">SUMIFS(tabela_registros[VALOR],tabela_registros[MÊS],$AE$1,tabela_registros[DIA],reservaoutrosconsolidadodez[[#Headers],[28]],tabela_registros[REGISTRO],DADOS!$N$6,tabela_registros[TIPO],DADOS!$AJ$5,tabela_registros[CATEGORIA],reservaoutrosconsolidadodez[[#This Row],[ATUAL]])</f>
        <v>0</v>
      </c>
      <c r="AG212" s="119" t="n">
        <f aca="false">SUMIFS(tabela_registros[VALOR],tabela_registros[MÊS],$AE$1,tabela_registros[DIA],reservaoutrosconsolidadodez[[#Headers],[29]],tabela_registros[REGISTRO],DADOS!$N$6,tabela_registros[TIPO],DADOS!$AJ$5,tabela_registros[CATEGORIA],reservaoutrosconsolidadodez[[#This Row],[ATUAL]])</f>
        <v>0</v>
      </c>
      <c r="AH212" s="119" t="n">
        <f aca="false">SUMIFS(tabela_registros[VALOR],tabela_registros[MÊS],$AE$1,tabela_registros[DIA],reservaoutrosconsolidadodez[[#Headers],[30]],tabela_registros[REGISTRO],DADOS!$N$6,tabela_registros[TIPO],DADOS!$AJ$5,tabela_registros[CATEGORIA],reservaoutrosconsolidadodez[[#This Row],[ATUAL]])</f>
        <v>0</v>
      </c>
      <c r="AI212" s="217" t="n">
        <f aca="false">SUMIFS(tabela_registros[VALOR],tabela_registros[MÊS],$AE$1,tabela_registros[DIA],reservaoutrosconsolidadodez[[#Headers],[31]],tabela_registros[REGISTRO],DADOS!$N$6,tabela_registros[TIPO],DADOS!$AJ$5,tabela_registros[CATEGORIA],reservaoutrosconsolidadodez[[#This Row],[ATUAL]])</f>
        <v>0</v>
      </c>
      <c r="AJ212" s="149" t="n">
        <f aca="false">SUM(reservaoutrosconsolidadodez[[#This Row],[1]:[31]])</f>
        <v>0</v>
      </c>
      <c r="AK212" s="165"/>
    </row>
    <row r="213" customFormat="false" ht="19.5" hidden="false" customHeight="true" outlineLevel="0" collapsed="false">
      <c r="B213" s="143"/>
      <c r="C213" s="144" t="str">
        <f aca="false">DADOS!$AP$10</f>
        <v>📎 OUTROS</v>
      </c>
      <c r="D213" s="145" t="str">
        <f aca="false">IF(reservaoutrosconsolidadodez[[#This Row],[TOTAL (R$)]]=0,"",IF(OR(reservaoutrosconsolidadodez[[#This Row],[TOTAL (R$)]]=LARGE($AJ$206:$AJ$213,1),reservaoutrosconsolidadodez[[#This Row],[TOTAL (R$)]]=LARGE($AJ$206:$AJ$213,2)),DADOS!$I$11,""))</f>
        <v/>
      </c>
      <c r="E213" s="148" t="n">
        <f aca="false">SUMIFS(tabela_registros[VALOR],tabela_registros[MÊS],$AE$1,tabela_registros[DIA],reservaoutrosconsolidadodez[[#Headers],[1]],tabela_registros[REGISTRO],DADOS!$N$6,tabela_registros[TIPO],DADOS!$AJ$5,tabela_registros[CATEGORIA],reservaoutrosconsolidadodez[[#This Row],[ATUAL]])</f>
        <v>0</v>
      </c>
      <c r="F213" s="119" t="n">
        <f aca="false">SUMIFS(tabela_registros[VALOR],tabela_registros[MÊS],$AE$1,tabela_registros[DIA],reservaoutrosconsolidadodez[[#Headers],[2]],tabela_registros[REGISTRO],DADOS!$N$6,tabela_registros[TIPO],DADOS!$AJ$5,tabela_registros[CATEGORIA],reservaoutrosconsolidadodez[[#This Row],[ATUAL]])</f>
        <v>0</v>
      </c>
      <c r="G213" s="119" t="n">
        <f aca="false">SUMIFS(tabela_registros[VALOR],tabela_registros[MÊS],$AE$1,tabela_registros[DIA],reservaoutrosconsolidadodez[[#Headers],[3]],tabela_registros[REGISTRO],DADOS!$N$6,tabela_registros[TIPO],DADOS!$AJ$5,tabela_registros[CATEGORIA],reservaoutrosconsolidadodez[[#This Row],[ATUAL]])</f>
        <v>0</v>
      </c>
      <c r="H213" s="119" t="n">
        <f aca="false">SUMIFS(tabela_registros[VALOR],tabela_registros[MÊS],$AE$1,tabela_registros[DIA],reservaoutrosconsolidadodez[[#Headers],[4]],tabela_registros[REGISTRO],DADOS!$N$6,tabela_registros[TIPO],DADOS!$AJ$5,tabela_registros[CATEGORIA],reservaoutrosconsolidadodez[[#This Row],[ATUAL]])</f>
        <v>0</v>
      </c>
      <c r="I213" s="119" t="n">
        <f aca="false">SUMIFS(tabela_registros[VALOR],tabela_registros[MÊS],$AE$1,tabela_registros[DIA],reservaoutrosconsolidadodez[[#Headers],[5]],tabela_registros[REGISTRO],DADOS!$N$6,tabela_registros[TIPO],DADOS!$AJ$5,tabela_registros[CATEGORIA],reservaoutrosconsolidadodez[[#This Row],[ATUAL]])</f>
        <v>0</v>
      </c>
      <c r="J213" s="119" t="n">
        <f aca="false">SUMIFS(tabela_registros[VALOR],tabela_registros[MÊS],$AE$1,tabela_registros[DIA],reservaoutrosconsolidadodez[[#Headers],[6]],tabela_registros[REGISTRO],DADOS!$N$6,tabela_registros[TIPO],DADOS!$AJ$5,tabela_registros[CATEGORIA],reservaoutrosconsolidadodez[[#This Row],[ATUAL]])</f>
        <v>0</v>
      </c>
      <c r="K213" s="119" t="n">
        <f aca="false">SUMIFS(tabela_registros[VALOR],tabela_registros[MÊS],$AE$1,tabela_registros[DIA],reservaoutrosconsolidadodez[[#Headers],[7]],tabela_registros[REGISTRO],DADOS!$N$6,tabela_registros[TIPO],DADOS!$AJ$5,tabela_registros[CATEGORIA],reservaoutrosconsolidadodez[[#This Row],[ATUAL]])</f>
        <v>0</v>
      </c>
      <c r="L213" s="119" t="n">
        <f aca="false">SUMIFS(tabela_registros[VALOR],tabela_registros[MÊS],$AE$1,tabela_registros[DIA],reservaoutrosconsolidadodez[[#Headers],[8]],tabela_registros[REGISTRO],DADOS!$N$6,tabela_registros[TIPO],DADOS!$AJ$5,tabela_registros[CATEGORIA],reservaoutrosconsolidadodez[[#This Row],[ATUAL]])</f>
        <v>0</v>
      </c>
      <c r="M213" s="119" t="n">
        <f aca="false">SUMIFS(tabela_registros[VALOR],tabela_registros[MÊS],$AE$1,tabela_registros[DIA],reservaoutrosconsolidadodez[[#Headers],[9]],tabela_registros[REGISTRO],DADOS!$N$6,tabela_registros[TIPO],DADOS!$AJ$5,tabela_registros[CATEGORIA],reservaoutrosconsolidadodez[[#This Row],[ATUAL]])</f>
        <v>0</v>
      </c>
      <c r="N213" s="119" t="n">
        <f aca="false">SUMIFS(tabela_registros[VALOR],tabela_registros[MÊS],$AE$1,tabela_registros[DIA],reservaoutrosconsolidadodez[[#Headers],[10]],tabela_registros[REGISTRO],DADOS!$N$6,tabela_registros[TIPO],DADOS!$AJ$5,tabela_registros[CATEGORIA],reservaoutrosconsolidadodez[[#This Row],[ATUAL]])</f>
        <v>0</v>
      </c>
      <c r="O213" s="119" t="n">
        <f aca="false">SUMIFS(tabela_registros[VALOR],tabela_registros[MÊS],$AE$1,tabela_registros[DIA],reservaoutrosconsolidadodez[[#Headers],[11]],tabela_registros[REGISTRO],DADOS!$N$6,tabela_registros[TIPO],DADOS!$AJ$5,tabela_registros[CATEGORIA],reservaoutrosconsolidadodez[[#This Row],[ATUAL]])</f>
        <v>0</v>
      </c>
      <c r="P213" s="119" t="n">
        <f aca="false">SUMIFS(tabela_registros[VALOR],tabela_registros[MÊS],$AE$1,tabela_registros[DIA],reservaoutrosconsolidadodez[[#Headers],[12]],tabela_registros[REGISTRO],DADOS!$N$6,tabela_registros[TIPO],DADOS!$AJ$5,tabela_registros[CATEGORIA],reservaoutrosconsolidadodez[[#This Row],[ATUAL]])</f>
        <v>0</v>
      </c>
      <c r="Q213" s="119" t="n">
        <f aca="false">SUMIFS(tabela_registros[VALOR],tabela_registros[MÊS],$AE$1,tabela_registros[DIA],reservaoutrosconsolidadodez[[#Headers],[13]],tabela_registros[REGISTRO],DADOS!$N$6,tabela_registros[TIPO],DADOS!$AJ$5,tabela_registros[CATEGORIA],reservaoutrosconsolidadodez[[#This Row],[ATUAL]])</f>
        <v>0</v>
      </c>
      <c r="R213" s="119" t="n">
        <f aca="false">SUMIFS(tabela_registros[VALOR],tabela_registros[MÊS],$AE$1,tabela_registros[DIA],reservaoutrosconsolidadodez[[#Headers],[14]],tabela_registros[REGISTRO],DADOS!$N$6,tabela_registros[TIPO],DADOS!$AJ$5,tabela_registros[CATEGORIA],reservaoutrosconsolidadodez[[#This Row],[ATUAL]])</f>
        <v>0</v>
      </c>
      <c r="S213" s="119" t="n">
        <f aca="false">SUMIFS(tabela_registros[VALOR],tabela_registros[MÊS],$AE$1,tabela_registros[DIA],reservaoutrosconsolidadodez[[#Headers],[15]],tabela_registros[REGISTRO],DADOS!$N$6,tabela_registros[TIPO],DADOS!$AJ$5,tabela_registros[CATEGORIA],reservaoutrosconsolidadodez[[#This Row],[ATUAL]])</f>
        <v>0</v>
      </c>
      <c r="T213" s="119" t="n">
        <f aca="false">SUMIFS(tabela_registros[VALOR],tabela_registros[MÊS],$AE$1,tabela_registros[DIA],reservaoutrosconsolidadodez[[#Headers],[16]],tabela_registros[REGISTRO],DADOS!$N$6,tabela_registros[TIPO],DADOS!$AJ$5,tabela_registros[CATEGORIA],reservaoutrosconsolidadodez[[#This Row],[ATUAL]])</f>
        <v>0</v>
      </c>
      <c r="U213" s="119" t="n">
        <f aca="false">SUMIFS(tabela_registros[VALOR],tabela_registros[MÊS],$AE$1,tabela_registros[DIA],reservaoutrosconsolidadodez[[#Headers],[17]],tabela_registros[REGISTRO],DADOS!$N$6,tabela_registros[TIPO],DADOS!$AJ$5,tabela_registros[CATEGORIA],reservaoutrosconsolidadodez[[#This Row],[ATUAL]])</f>
        <v>0</v>
      </c>
      <c r="V213" s="119" t="n">
        <f aca="false">SUMIFS(tabela_registros[VALOR],tabela_registros[MÊS],$AE$1,tabela_registros[DIA],reservaoutrosconsolidadodez[[#Headers],[18]],tabela_registros[REGISTRO],DADOS!$N$6,tabela_registros[TIPO],DADOS!$AJ$5,tabela_registros[CATEGORIA],reservaoutrosconsolidadodez[[#This Row],[ATUAL]])</f>
        <v>0</v>
      </c>
      <c r="W213" s="119" t="n">
        <f aca="false">SUMIFS(tabela_registros[VALOR],tabela_registros[MÊS],$AE$1,tabela_registros[DIA],reservaoutrosconsolidadodez[[#Headers],[19]],tabela_registros[REGISTRO],DADOS!$N$6,tabela_registros[TIPO],DADOS!$AJ$5,tabela_registros[CATEGORIA],reservaoutrosconsolidadodez[[#This Row],[ATUAL]])</f>
        <v>0</v>
      </c>
      <c r="X213" s="119" t="n">
        <f aca="false">SUMIFS(tabela_registros[VALOR],tabela_registros[MÊS],$AE$1,tabela_registros[DIA],reservaoutrosconsolidadodez[[#Headers],[20]],tabela_registros[REGISTRO],DADOS!$N$6,tabela_registros[TIPO],DADOS!$AJ$5,tabela_registros[CATEGORIA],reservaoutrosconsolidadodez[[#This Row],[ATUAL]])</f>
        <v>0</v>
      </c>
      <c r="Y213" s="119" t="n">
        <f aca="false">SUMIFS(tabela_registros[VALOR],tabela_registros[MÊS],$AE$1,tabela_registros[DIA],reservaoutrosconsolidadodez[[#Headers],[21]],tabela_registros[REGISTRO],DADOS!$N$6,tabela_registros[TIPO],DADOS!$AJ$5,tabela_registros[CATEGORIA],reservaoutrosconsolidadodez[[#This Row],[ATUAL]])</f>
        <v>0</v>
      </c>
      <c r="Z213" s="119" t="n">
        <f aca="false">SUMIFS(tabela_registros[VALOR],tabela_registros[MÊS],$AE$1,tabela_registros[DIA],reservaoutrosconsolidadodez[[#Headers],[22]],tabela_registros[REGISTRO],DADOS!$N$6,tabela_registros[TIPO],DADOS!$AJ$5,tabela_registros[CATEGORIA],reservaoutrosconsolidadodez[[#This Row],[ATUAL]])</f>
        <v>0</v>
      </c>
      <c r="AA213" s="119" t="n">
        <f aca="false">SUMIFS(tabela_registros[VALOR],tabela_registros[MÊS],$AE$1,tabela_registros[DIA],reservaoutrosconsolidadodez[[#Headers],[23]],tabela_registros[REGISTRO],DADOS!$N$6,tabela_registros[TIPO],DADOS!$AJ$5,tabela_registros[CATEGORIA],reservaoutrosconsolidadodez[[#This Row],[ATUAL]])</f>
        <v>0</v>
      </c>
      <c r="AB213" s="119" t="n">
        <f aca="false">SUMIFS(tabela_registros[VALOR],tabela_registros[MÊS],$AE$1,tabela_registros[DIA],reservaoutrosconsolidadodez[[#Headers],[24]],tabela_registros[REGISTRO],DADOS!$N$6,tabela_registros[TIPO],DADOS!$AJ$5,tabela_registros[CATEGORIA],reservaoutrosconsolidadodez[[#This Row],[ATUAL]])</f>
        <v>0</v>
      </c>
      <c r="AC213" s="119" t="n">
        <f aca="false">SUMIFS(tabela_registros[VALOR],tabela_registros[MÊS],$AE$1,tabela_registros[DIA],reservaoutrosconsolidadodez[[#Headers],[25]],tabela_registros[REGISTRO],DADOS!$N$6,tabela_registros[TIPO],DADOS!$AJ$5,tabela_registros[CATEGORIA],reservaoutrosconsolidadodez[[#This Row],[ATUAL]])</f>
        <v>0</v>
      </c>
      <c r="AD213" s="119" t="n">
        <f aca="false">SUMIFS(tabela_registros[VALOR],tabela_registros[MÊS],$AE$1,tabela_registros[DIA],reservaoutrosconsolidadodez[[#Headers],[26]],tabela_registros[REGISTRO],DADOS!$N$6,tabela_registros[TIPO],DADOS!$AJ$5,tabela_registros[CATEGORIA],reservaoutrosconsolidadodez[[#This Row],[ATUAL]])</f>
        <v>0</v>
      </c>
      <c r="AE213" s="119" t="n">
        <f aca="false">SUMIFS(tabela_registros[VALOR],tabela_registros[MÊS],$AE$1,tabela_registros[DIA],reservaoutrosconsolidadodez[[#Headers],[27]],tabela_registros[REGISTRO],DADOS!$N$6,tabela_registros[TIPO],DADOS!$AJ$5,tabela_registros[CATEGORIA],reservaoutrosconsolidadodez[[#This Row],[ATUAL]])</f>
        <v>0</v>
      </c>
      <c r="AF213" s="119" t="n">
        <f aca="false">SUMIFS(tabela_registros[VALOR],tabela_registros[MÊS],$AE$1,tabela_registros[DIA],reservaoutrosconsolidadodez[[#Headers],[28]],tabela_registros[REGISTRO],DADOS!$N$6,tabela_registros[TIPO],DADOS!$AJ$5,tabela_registros[CATEGORIA],reservaoutrosconsolidadodez[[#This Row],[ATUAL]])</f>
        <v>0</v>
      </c>
      <c r="AG213" s="119" t="n">
        <f aca="false">SUMIFS(tabela_registros[VALOR],tabela_registros[MÊS],$AE$1,tabela_registros[DIA],reservaoutrosconsolidadodez[[#Headers],[29]],tabela_registros[REGISTRO],DADOS!$N$6,tabela_registros[TIPO],DADOS!$AJ$5,tabela_registros[CATEGORIA],reservaoutrosconsolidadodez[[#This Row],[ATUAL]])</f>
        <v>0</v>
      </c>
      <c r="AH213" s="119" t="n">
        <f aca="false">SUMIFS(tabela_registros[VALOR],tabela_registros[MÊS],$AE$1,tabela_registros[DIA],reservaoutrosconsolidadodez[[#Headers],[30]],tabela_registros[REGISTRO],DADOS!$N$6,tabela_registros[TIPO],DADOS!$AJ$5,tabela_registros[CATEGORIA],reservaoutrosconsolidadodez[[#This Row],[ATUAL]])</f>
        <v>0</v>
      </c>
      <c r="AI213" s="218" t="n">
        <f aca="false">SUMIFS(tabela_registros[VALOR],tabela_registros[MÊS],$AE$1,tabela_registros[DIA],reservaoutrosconsolidadodez[[#Headers],[31]],tabela_registros[REGISTRO],DADOS!$N$6,tabela_registros[TIPO],DADOS!$AJ$5,tabela_registros[CATEGORIA],reservaoutrosconsolidadodez[[#This Row],[ATUAL]])</f>
        <v>0</v>
      </c>
      <c r="AJ213" s="149" t="n">
        <f aca="false">SUM(reservaoutrosconsolidadodez[[#This Row],[1]:[31]])</f>
        <v>0</v>
      </c>
      <c r="AK213" s="165"/>
    </row>
    <row r="214" s="122" customFormat="true" ht="21" hidden="false" customHeight="true" outlineLevel="0" collapsed="false">
      <c r="B214" s="152"/>
      <c r="C214" s="153" t="s">
        <v>2</v>
      </c>
      <c r="D214" s="166"/>
      <c r="E214" s="155" t="n">
        <f aca="false">SUM(E206:E213)</f>
        <v>0</v>
      </c>
      <c r="F214" s="156" t="n">
        <f aca="false">SUM(F206:F213)+reservaoutrosconsolidadodez[[#This Row],[1]]</f>
        <v>0</v>
      </c>
      <c r="G214" s="156" t="n">
        <f aca="false">SUM(G206:G213)+reservaoutrosconsolidadodez[[#This Row],[2]]</f>
        <v>0</v>
      </c>
      <c r="H214" s="156" t="n">
        <f aca="false">SUM(H206:H213)+reservaoutrosconsolidadodez[[#This Row],[3]]</f>
        <v>0</v>
      </c>
      <c r="I214" s="156" t="n">
        <f aca="false">SUM(I206:I213)+reservaoutrosconsolidadodez[[#This Row],[4]]</f>
        <v>0</v>
      </c>
      <c r="J214" s="156" t="n">
        <f aca="false">SUM(J206:J213)+reservaoutrosconsolidadodez[[#This Row],[5]]</f>
        <v>0</v>
      </c>
      <c r="K214" s="156" t="n">
        <f aca="false">SUM(K206:K213)+reservaoutrosconsolidadodez[[#This Row],[6]]</f>
        <v>0</v>
      </c>
      <c r="L214" s="156" t="n">
        <f aca="false">SUM(L206:L213)+reservaoutrosconsolidadodez[[#This Row],[7]]</f>
        <v>0</v>
      </c>
      <c r="M214" s="156" t="n">
        <f aca="false">SUM(M206:M213)+reservaoutrosconsolidadodez[[#This Row],[8]]</f>
        <v>0</v>
      </c>
      <c r="N214" s="156" t="n">
        <f aca="false">SUM(N206:N213)+reservaoutrosconsolidadodez[[#This Row],[9]]</f>
        <v>0</v>
      </c>
      <c r="O214" s="156" t="n">
        <f aca="false">SUM(O206:O213)+reservaoutrosconsolidadodez[[#This Row],[10]]</f>
        <v>0</v>
      </c>
      <c r="P214" s="156" t="n">
        <f aca="false">SUM(P206:P213)+reservaoutrosconsolidadodez[[#This Row],[11]]</f>
        <v>0</v>
      </c>
      <c r="Q214" s="156" t="n">
        <f aca="false">SUM(Q206:Q213)+reservaoutrosconsolidadodez[[#This Row],[12]]</f>
        <v>0</v>
      </c>
      <c r="R214" s="156" t="n">
        <f aca="false">SUM(R206:R213)+reservaoutrosconsolidadodez[[#This Row],[13]]</f>
        <v>0</v>
      </c>
      <c r="S214" s="156" t="n">
        <f aca="false">SUM(S206:S213)+reservaoutrosconsolidadodez[[#This Row],[14]]</f>
        <v>0</v>
      </c>
      <c r="T214" s="156" t="n">
        <f aca="false">SUM(T206:T213)+reservaoutrosconsolidadodez[[#This Row],[15]]</f>
        <v>0</v>
      </c>
      <c r="U214" s="156" t="n">
        <f aca="false">SUM(U206:U213)+reservaoutrosconsolidadodez[[#This Row],[16]]</f>
        <v>0</v>
      </c>
      <c r="V214" s="156" t="n">
        <f aca="false">SUM(V206:V213)+reservaoutrosconsolidadodez[[#This Row],[17]]</f>
        <v>0</v>
      </c>
      <c r="W214" s="156" t="n">
        <f aca="false">SUM(W206:W213)+reservaoutrosconsolidadodez[[#This Row],[18]]</f>
        <v>0</v>
      </c>
      <c r="X214" s="156" t="n">
        <f aca="false">SUM(X206:X213)+reservaoutrosconsolidadodez[[#This Row],[19]]</f>
        <v>0</v>
      </c>
      <c r="Y214" s="156" t="n">
        <f aca="false">SUM(Y206:Y213)+reservaoutrosconsolidadodez[[#This Row],[20]]</f>
        <v>0</v>
      </c>
      <c r="Z214" s="156" t="n">
        <f aca="false">SUM(Z206:Z213)+reservaoutrosconsolidadodez[[#This Row],[21]]</f>
        <v>0</v>
      </c>
      <c r="AA214" s="156" t="n">
        <f aca="false">SUM(AA206:AA213)+reservaoutrosconsolidadodez[[#This Row],[22]]</f>
        <v>0</v>
      </c>
      <c r="AB214" s="156" t="n">
        <f aca="false">SUM(AB206:AB213)+reservaoutrosconsolidadodez[[#This Row],[23]]</f>
        <v>0</v>
      </c>
      <c r="AC214" s="156" t="n">
        <f aca="false">SUM(AC206:AC213)+reservaoutrosconsolidadodez[[#This Row],[24]]</f>
        <v>0</v>
      </c>
      <c r="AD214" s="156" t="n">
        <f aca="false">SUM(AD206:AD213)+reservaoutrosconsolidadodez[[#This Row],[25]]</f>
        <v>0</v>
      </c>
      <c r="AE214" s="156" t="n">
        <f aca="false">SUM(AE206:AE213)+reservaoutrosconsolidadodez[[#This Row],[26]]</f>
        <v>0</v>
      </c>
      <c r="AF214" s="156" t="n">
        <f aca="false">SUM(AF206:AF213)+reservaoutrosconsolidadodez[[#This Row],[27]]</f>
        <v>0</v>
      </c>
      <c r="AG214" s="156" t="n">
        <f aca="false">SUM(AG206:AG213)+reservaoutrosconsolidadodez[[#This Row],[28]]</f>
        <v>0</v>
      </c>
      <c r="AH214" s="156" t="n">
        <f aca="false">SUM(AH206:AH213)+reservaoutrosconsolidadodez[[#This Row],[29]]</f>
        <v>0</v>
      </c>
      <c r="AI214" s="223" t="n">
        <f aca="false">SUM(AI206:AI213)+reservaoutrosconsolidadodez[[#This Row],[30]]</f>
        <v>0</v>
      </c>
      <c r="AJ214" s="157" t="n">
        <f aca="false">reservaoutrosconsolidadodez[[#This Row],[31]]</f>
        <v>0</v>
      </c>
      <c r="AK214" s="158"/>
    </row>
    <row r="215" customFormat="false" ht="6.75" hidden="false" customHeight="true" outlineLevel="0" collapsed="false">
      <c r="B215" s="97"/>
      <c r="C215" s="162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233"/>
      <c r="AJ215" s="164"/>
      <c r="AK215" s="244"/>
    </row>
    <row r="216" customFormat="false" ht="12.75" hidden="false" customHeight="false" outlineLevel="0" collapsed="false"/>
    <row r="217" customFormat="false" ht="12" hidden="false" customHeight="false" outlineLevel="0" collapsed="false"/>
  </sheetData>
  <sheetProtection algorithmName="SHA-512" hashValue="IzlIcjC1EIguxSM7jsXABkh18fti3WnAI34JT+0FsWiFKSSDKo3qZH956sUX4iY6r38E+vcSgbwPS7dMNfOS8w==" saltValue="A2aEd49OWuUjmesihUsKkw==" spinCount="100000" sheet="true" objects="true" scenarios="true" selectLockedCells="true" selectUnlockedCells="true"/>
  <mergeCells count="26">
    <mergeCell ref="C2:C6"/>
    <mergeCell ref="E3:G3"/>
    <mergeCell ref="I3:K3"/>
    <mergeCell ref="M3:O3"/>
    <mergeCell ref="Q3:S3"/>
    <mergeCell ref="U3:W3"/>
    <mergeCell ref="Z3:AA4"/>
    <mergeCell ref="AC3:AD4"/>
    <mergeCell ref="AF3:AG4"/>
    <mergeCell ref="E4:G4"/>
    <mergeCell ref="I4:K4"/>
    <mergeCell ref="M4:O4"/>
    <mergeCell ref="Q4:S4"/>
    <mergeCell ref="U4:W4"/>
    <mergeCell ref="E10:AI10"/>
    <mergeCell ref="E21:AI21"/>
    <mergeCell ref="E33:AI33"/>
    <mergeCell ref="E56:AI56"/>
    <mergeCell ref="E78:AI78"/>
    <mergeCell ref="E92:AI92"/>
    <mergeCell ref="E109:AI109"/>
    <mergeCell ref="E128:AI128"/>
    <mergeCell ref="E147:AI147"/>
    <mergeCell ref="E164:AI164"/>
    <mergeCell ref="E183:AI183"/>
    <mergeCell ref="E202:AI202"/>
  </mergeCells>
  <hyperlinks>
    <hyperlink ref="Z3" location="'🔒'!A1" display="REGISTROS"/>
    <hyperlink ref="AC3" location="'📈'!A1" display="RADAR"/>
    <hyperlink ref="AF3" location="ANUAL!A1" display="ANUA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1:BJ183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4" activeCellId="0" sqref="D24"/>
    </sheetView>
  </sheetViews>
  <sheetFormatPr defaultColWidth="9.15625" defaultRowHeight="15" zeroHeight="true" outlineLevelRow="0" outlineLevelCol="0"/>
  <cols>
    <col collapsed="false" customWidth="true" hidden="false" outlineLevel="0" max="1" min="1" style="86" width="5.43"/>
    <col collapsed="false" customWidth="false" hidden="false" outlineLevel="0" max="19" min="2" style="86" width="9.14"/>
    <col collapsed="false" customWidth="false" hidden="false" outlineLevel="0" max="24" min="20" style="245" width="9.14"/>
    <col collapsed="false" customWidth="true" hidden="false" outlineLevel="0" max="25" min="25" style="86" width="36.14"/>
    <col collapsed="false" customWidth="false" hidden="false" outlineLevel="0" max="29" min="26" style="246" width="9.14"/>
    <col collapsed="false" customWidth="true" hidden="false" outlineLevel="0" max="30" min="30" style="246" width="36.14"/>
    <col collapsed="false" customWidth="false" hidden="false" outlineLevel="0" max="45" min="31" style="246" width="9.14"/>
    <col collapsed="false" customWidth="true" hidden="false" outlineLevel="0" max="46" min="46" style="246" width="31.43"/>
    <col collapsed="false" customWidth="false" hidden="false" outlineLevel="0" max="50" min="47" style="246" width="9.14"/>
    <col collapsed="false" customWidth="true" hidden="false" outlineLevel="0" max="51" min="51" style="246" width="31.43"/>
    <col collapsed="false" customWidth="false" hidden="false" outlineLevel="0" max="1024" min="52" style="246" width="9.14"/>
  </cols>
  <sheetData>
    <row r="1" customFormat="false" ht="15" hidden="false" customHeight="false" outlineLevel="0" collapsed="false">
      <c r="T1" s="86"/>
      <c r="U1" s="86"/>
      <c r="V1" s="86"/>
      <c r="W1" s="86"/>
      <c r="X1" s="86"/>
    </row>
    <row r="2" customFormat="false" ht="18.75" hidden="false" customHeight="true" outlineLevel="0" collapsed="false">
      <c r="T2" s="86"/>
      <c r="U2" s="86"/>
      <c r="V2" s="86"/>
      <c r="W2" s="86"/>
      <c r="X2" s="86"/>
    </row>
    <row r="3" customFormat="false" ht="32.25" hidden="false" customHeight="false" outlineLevel="0" collapsed="false">
      <c r="L3" s="247" t="s">
        <v>51</v>
      </c>
      <c r="R3" s="178" t="s">
        <v>50</v>
      </c>
      <c r="S3" s="178"/>
      <c r="T3" s="178" t="s">
        <v>17</v>
      </c>
      <c r="U3" s="178"/>
      <c r="V3" s="248"/>
      <c r="W3" s="248"/>
      <c r="X3" s="86"/>
    </row>
    <row r="4" customFormat="false" ht="22.5" hidden="false" customHeight="true" outlineLevel="0" collapsed="false">
      <c r="L4" s="249" t="s">
        <v>17</v>
      </c>
      <c r="R4" s="178"/>
      <c r="S4" s="178"/>
      <c r="T4" s="178"/>
      <c r="U4" s="178"/>
      <c r="V4" s="248"/>
      <c r="W4" s="248"/>
      <c r="X4" s="86"/>
      <c r="AU4" s="250" t="s">
        <v>111</v>
      </c>
      <c r="AV4" s="250" t="s">
        <v>6</v>
      </c>
      <c r="AW4" s="246" t="s">
        <v>2</v>
      </c>
      <c r="AZ4" s="246" t="s">
        <v>2</v>
      </c>
    </row>
    <row r="5" customFormat="false" ht="21.95" hidden="false" customHeight="true" outlineLevel="0" collapsed="false">
      <c r="T5" s="86"/>
      <c r="U5" s="86"/>
      <c r="V5" s="86"/>
      <c r="W5" s="86"/>
      <c r="X5" s="86"/>
      <c r="AU5" s="250"/>
      <c r="AV5" s="250"/>
      <c r="BB5" s="251"/>
    </row>
    <row r="6" customFormat="false" ht="15" hidden="false" customHeight="false" outlineLevel="0" collapsed="false">
      <c r="T6" s="86"/>
      <c r="U6" s="86"/>
      <c r="V6" s="86"/>
      <c r="W6" s="86"/>
      <c r="X6" s="86"/>
      <c r="AU6" s="250"/>
      <c r="AV6" s="250"/>
    </row>
    <row r="7" customFormat="false" ht="15" hidden="false" customHeight="false" outlineLevel="0" collapsed="false">
      <c r="T7" s="86"/>
      <c r="U7" s="86"/>
      <c r="V7" s="86"/>
      <c r="W7" s="86"/>
      <c r="X7" s="86"/>
      <c r="AT7" s="246" t="s">
        <v>5</v>
      </c>
      <c r="AU7" s="252" t="n">
        <f aca="false">ANUAL!$Q$51</f>
        <v>0</v>
      </c>
      <c r="AV7" s="253" t="e">
        <f aca="false">($AU$7*$AV$13)/$AU$13</f>
        <v>#DIV/0!</v>
      </c>
      <c r="AW7" s="253" t="e">
        <f aca="false">$AV$7</f>
        <v>#DIV/0!</v>
      </c>
      <c r="AX7" s="254" t="e">
        <f aca="false">AW7/100</f>
        <v>#DIV/0!</v>
      </c>
      <c r="BC7" s="253"/>
      <c r="BD7" s="254"/>
    </row>
    <row r="8" customFormat="false" ht="15" hidden="false" customHeight="false" outlineLevel="0" collapsed="false">
      <c r="T8" s="86"/>
      <c r="U8" s="86"/>
      <c r="V8" s="86"/>
      <c r="W8" s="86"/>
      <c r="X8" s="86"/>
      <c r="AT8" s="246" t="s">
        <v>9</v>
      </c>
      <c r="AU8" s="252" t="n">
        <f aca="false">SUM(ANUAL!$Q$64,ANUAL!$Q$68)</f>
        <v>0</v>
      </c>
      <c r="AV8" s="253" t="e">
        <f aca="false">($AU$8*$AV$13)/$AU$13</f>
        <v>#DIV/0!</v>
      </c>
      <c r="AW8" s="253" t="e">
        <f aca="false">$AV$8</f>
        <v>#DIV/0!</v>
      </c>
      <c r="AX8" s="254" t="e">
        <f aca="false">AW8/100</f>
        <v>#DIV/0!</v>
      </c>
      <c r="BC8" s="253"/>
      <c r="BD8" s="254"/>
    </row>
    <row r="9" customFormat="false" ht="15" hidden="false" customHeight="false" outlineLevel="0" collapsed="false">
      <c r="T9" s="86"/>
      <c r="U9" s="86"/>
      <c r="V9" s="86"/>
      <c r="W9" s="86"/>
      <c r="X9" s="86"/>
      <c r="AT9" s="246" t="s">
        <v>12</v>
      </c>
      <c r="AU9" s="252" t="n">
        <f aca="false">ANUAL!$Q$66</f>
        <v>0</v>
      </c>
      <c r="AV9" s="253" t="e">
        <f aca="false">($AU$9*$AV$13)/$AU$13</f>
        <v>#DIV/0!</v>
      </c>
      <c r="AW9" s="253" t="e">
        <f aca="false">$AV$9</f>
        <v>#DIV/0!</v>
      </c>
      <c r="AX9" s="254" t="e">
        <f aca="false">AW9/100</f>
        <v>#DIV/0!</v>
      </c>
      <c r="BC9" s="253"/>
      <c r="BD9" s="254"/>
    </row>
    <row r="10" customFormat="false" ht="15" hidden="false" customHeight="false" outlineLevel="0" collapsed="false">
      <c r="T10" s="86"/>
      <c r="U10" s="86"/>
      <c r="V10" s="86"/>
      <c r="W10" s="86"/>
      <c r="X10" s="86"/>
      <c r="AT10" s="246" t="s">
        <v>13</v>
      </c>
      <c r="AU10" s="252" t="n">
        <f aca="false">ANUAL!$Q$65</f>
        <v>0</v>
      </c>
      <c r="AV10" s="253" t="e">
        <f aca="false">($AU$10*$AV$13)/$AU$13</f>
        <v>#DIV/0!</v>
      </c>
      <c r="AW10" s="253" t="e">
        <f aca="false">$AV$10</f>
        <v>#DIV/0!</v>
      </c>
      <c r="AX10" s="254" t="e">
        <f aca="false">AW10/100</f>
        <v>#DIV/0!</v>
      </c>
      <c r="BC10" s="253"/>
      <c r="BD10" s="254"/>
    </row>
    <row r="11" customFormat="false" ht="15" hidden="false" customHeight="false" outlineLevel="0" collapsed="false">
      <c r="T11" s="86"/>
      <c r="U11" s="86"/>
      <c r="V11" s="86"/>
      <c r="W11" s="86"/>
      <c r="X11" s="86"/>
      <c r="AT11" s="246" t="s">
        <v>14</v>
      </c>
      <c r="AU11" s="252" t="n">
        <f aca="false">ANUAL!$Q$26</f>
        <v>0</v>
      </c>
      <c r="AV11" s="253" t="e">
        <f aca="false">($AU$11*$AV$13)/$AU$13</f>
        <v>#DIV/0!</v>
      </c>
      <c r="AW11" s="253" t="e">
        <f aca="false">$AV$11</f>
        <v>#DIV/0!</v>
      </c>
      <c r="AX11" s="254" t="e">
        <f aca="false">AW11/100</f>
        <v>#DIV/0!</v>
      </c>
      <c r="BC11" s="253"/>
      <c r="BD11" s="254"/>
    </row>
    <row r="12" customFormat="false" ht="15" hidden="false" customHeight="false" outlineLevel="0" collapsed="false">
      <c r="T12" s="86"/>
      <c r="U12" s="86"/>
      <c r="V12" s="86"/>
      <c r="W12" s="86"/>
      <c r="X12" s="86"/>
      <c r="AT12" s="246" t="s">
        <v>15</v>
      </c>
      <c r="AU12" s="252" t="n">
        <f aca="false">ANUAL!$Q$25</f>
        <v>0</v>
      </c>
      <c r="AV12" s="253" t="e">
        <f aca="false">($AU$12*$AV$13)/$AU$13</f>
        <v>#DIV/0!</v>
      </c>
      <c r="AW12" s="253" t="e">
        <f aca="false">$AV$12</f>
        <v>#DIV/0!</v>
      </c>
      <c r="AX12" s="254" t="e">
        <f aca="false">AW12/100</f>
        <v>#DIV/0!</v>
      </c>
      <c r="BC12" s="253"/>
      <c r="BD12" s="254"/>
    </row>
    <row r="13" customFormat="false" ht="15" hidden="false" customHeight="false" outlineLevel="0" collapsed="false">
      <c r="T13" s="86"/>
      <c r="U13" s="86"/>
      <c r="V13" s="86"/>
      <c r="W13" s="86"/>
      <c r="X13" s="86"/>
      <c r="AU13" s="252" t="n">
        <f aca="false">SUM($AU$7:$AU$12)</f>
        <v>0</v>
      </c>
      <c r="AV13" s="253" t="n">
        <v>100</v>
      </c>
      <c r="AW13" s="253" t="n">
        <v>120</v>
      </c>
      <c r="AX13" s="254" t="n">
        <f aca="false">AW13/100</f>
        <v>1.2</v>
      </c>
      <c r="BC13" s="255"/>
      <c r="BD13" s="254"/>
    </row>
    <row r="14" customFormat="false" ht="15" hidden="false" customHeight="false" outlineLevel="0" collapsed="false">
      <c r="T14" s="86"/>
      <c r="U14" s="86"/>
      <c r="V14" s="86"/>
      <c r="W14" s="86"/>
      <c r="X14" s="86"/>
    </row>
    <row r="15" customFormat="false" ht="15" hidden="false" customHeight="false" outlineLevel="0" collapsed="false">
      <c r="T15" s="86"/>
      <c r="U15" s="86"/>
      <c r="V15" s="86"/>
      <c r="W15" s="86"/>
      <c r="X15" s="86"/>
      <c r="AK15" s="256"/>
      <c r="AL15" s="257"/>
      <c r="AM15" s="258"/>
      <c r="AN15" s="259"/>
      <c r="AO15" s="259"/>
      <c r="AP15" s="259"/>
    </row>
    <row r="16" customFormat="false" ht="15" hidden="false" customHeight="false" outlineLevel="0" collapsed="false">
      <c r="T16" s="86"/>
      <c r="U16" s="86"/>
      <c r="V16" s="86"/>
      <c r="W16" s="86"/>
      <c r="X16" s="86"/>
      <c r="AK16" s="259"/>
      <c r="AL16" s="257"/>
      <c r="AM16" s="258"/>
      <c r="AN16" s="259"/>
      <c r="AO16" s="259"/>
      <c r="AP16" s="259"/>
    </row>
    <row r="17" customFormat="false" ht="15" hidden="false" customHeight="false" outlineLevel="0" collapsed="false">
      <c r="T17" s="86"/>
      <c r="U17" s="86"/>
      <c r="V17" s="86"/>
      <c r="W17" s="86"/>
      <c r="X17" s="86"/>
      <c r="AK17" s="259"/>
      <c r="AL17" s="257"/>
      <c r="AM17" s="258"/>
      <c r="AN17" s="259"/>
      <c r="AO17" s="259"/>
      <c r="AP17" s="259"/>
    </row>
    <row r="18" customFormat="false" ht="15" hidden="false" customHeight="false" outlineLevel="0" collapsed="false">
      <c r="T18" s="86"/>
      <c r="U18" s="86"/>
      <c r="V18" s="86"/>
      <c r="W18" s="86"/>
      <c r="X18" s="86"/>
      <c r="AK18" s="259"/>
      <c r="AL18" s="260"/>
      <c r="AM18" s="259"/>
      <c r="AN18" s="259"/>
      <c r="AO18" s="259"/>
      <c r="AP18" s="259"/>
    </row>
    <row r="19" customFormat="false" ht="15" hidden="false" customHeight="false" outlineLevel="0" collapsed="false">
      <c r="T19" s="86"/>
      <c r="U19" s="86"/>
      <c r="V19" s="86"/>
      <c r="W19" s="86"/>
      <c r="X19" s="86"/>
      <c r="AK19" s="259"/>
      <c r="AL19" s="260"/>
      <c r="AM19" s="259"/>
      <c r="AN19" s="259"/>
      <c r="AO19" s="259"/>
      <c r="AP19" s="259"/>
    </row>
    <row r="20" customFormat="false" ht="15" hidden="false" customHeight="false" outlineLevel="0" collapsed="false">
      <c r="T20" s="86"/>
      <c r="U20" s="86"/>
      <c r="V20" s="86"/>
      <c r="W20" s="86"/>
      <c r="X20" s="86"/>
    </row>
    <row r="21" customFormat="false" ht="15" hidden="false" customHeight="false" outlineLevel="0" collapsed="false">
      <c r="T21" s="86"/>
      <c r="U21" s="86"/>
      <c r="V21" s="86"/>
      <c r="W21" s="86"/>
      <c r="X21" s="86"/>
      <c r="AE21" s="261"/>
      <c r="AF21" s="261"/>
      <c r="AG21" s="261"/>
      <c r="AH21" s="261"/>
      <c r="AI21" s="261"/>
      <c r="AJ21" s="261"/>
      <c r="AK21" s="261"/>
      <c r="AL21" s="261"/>
      <c r="AM21" s="261"/>
      <c r="AN21" s="261"/>
      <c r="AO21" s="261"/>
      <c r="AP21" s="261"/>
      <c r="AQ21" s="261"/>
      <c r="AR21" s="261"/>
      <c r="AS21" s="261"/>
      <c r="AT21" s="261"/>
      <c r="AU21" s="261"/>
      <c r="AV21" s="261"/>
      <c r="AW21" s="261"/>
      <c r="AX21" s="261"/>
      <c r="AY21" s="261"/>
    </row>
    <row r="22" customFormat="false" ht="15" hidden="false" customHeight="false" outlineLevel="0" collapsed="false">
      <c r="T22" s="86"/>
      <c r="U22" s="86"/>
      <c r="V22" s="86"/>
      <c r="W22" s="86"/>
      <c r="X22" s="86"/>
      <c r="AE22" s="261"/>
      <c r="AF22" s="261"/>
      <c r="AG22" s="261"/>
      <c r="AH22" s="261"/>
      <c r="AI22" s="261"/>
      <c r="AJ22" s="261"/>
      <c r="AK22" s="261"/>
      <c r="AL22" s="261"/>
      <c r="AM22" s="261"/>
      <c r="AN22" s="261"/>
      <c r="AO22" s="261"/>
      <c r="AP22" s="261"/>
      <c r="AQ22" s="261"/>
      <c r="AR22" s="261"/>
      <c r="AS22" s="261"/>
      <c r="AT22" s="261"/>
      <c r="AU22" s="261"/>
      <c r="AV22" s="261"/>
      <c r="AW22" s="261"/>
      <c r="AX22" s="261"/>
      <c r="AY22" s="261"/>
    </row>
    <row r="23" customFormat="false" ht="15" hidden="false" customHeight="false" outlineLevel="0" collapsed="false">
      <c r="T23" s="86"/>
      <c r="U23" s="86"/>
      <c r="V23" s="86"/>
      <c r="W23" s="86"/>
      <c r="X23" s="86"/>
      <c r="AE23" s="261"/>
      <c r="AF23" s="261"/>
      <c r="AG23" s="261"/>
      <c r="AH23" s="261"/>
      <c r="AI23" s="261"/>
      <c r="AJ23" s="261"/>
      <c r="AK23" s="261"/>
      <c r="AL23" s="261"/>
      <c r="AM23" s="261"/>
      <c r="AN23" s="261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61"/>
      <c r="BD23" s="261"/>
      <c r="BE23" s="261"/>
      <c r="BF23" s="261"/>
      <c r="BG23" s="261"/>
      <c r="BH23" s="261"/>
      <c r="BI23" s="261"/>
      <c r="BJ23" s="261"/>
    </row>
    <row r="24" customFormat="false" ht="15" hidden="false" customHeight="false" outlineLevel="0" collapsed="false">
      <c r="T24" s="86"/>
      <c r="U24" s="86"/>
      <c r="V24" s="86"/>
      <c r="W24" s="86"/>
      <c r="X24" s="86"/>
      <c r="AE24" s="261"/>
      <c r="AF24" s="261"/>
      <c r="AG24" s="261"/>
      <c r="AH24" s="261"/>
      <c r="AI24" s="261"/>
      <c r="AJ24" s="261"/>
      <c r="AK24" s="261"/>
      <c r="AL24" s="261"/>
      <c r="AM24" s="261"/>
      <c r="AN24" s="261"/>
      <c r="AO24" s="261"/>
      <c r="AP24" s="261"/>
      <c r="AQ24" s="261"/>
      <c r="AR24" s="261"/>
      <c r="AS24" s="261"/>
      <c r="AT24" s="261"/>
      <c r="AU24" s="261"/>
      <c r="AV24" s="261"/>
      <c r="AW24" s="261"/>
      <c r="AX24" s="261"/>
      <c r="AY24" s="261"/>
      <c r="AZ24" s="261"/>
      <c r="BA24" s="261"/>
      <c r="BB24" s="261"/>
      <c r="BC24" s="261"/>
      <c r="BD24" s="261"/>
      <c r="BE24" s="261"/>
      <c r="BF24" s="261"/>
      <c r="BG24" s="261"/>
      <c r="BH24" s="261"/>
      <c r="BI24" s="261"/>
      <c r="BJ24" s="261"/>
    </row>
    <row r="25" customFormat="false" ht="15" hidden="false" customHeight="false" outlineLevel="0" collapsed="false">
      <c r="T25" s="86"/>
      <c r="U25" s="86"/>
      <c r="V25" s="86"/>
      <c r="W25" s="86"/>
      <c r="X25" s="86"/>
      <c r="AE25" s="261"/>
      <c r="AF25" s="261"/>
      <c r="AG25" s="261"/>
      <c r="AH25" s="261"/>
      <c r="AI25" s="261"/>
      <c r="BJ25" s="261"/>
    </row>
    <row r="26" customFormat="false" ht="15" hidden="false" customHeight="false" outlineLevel="0" collapsed="false">
      <c r="T26" s="86"/>
      <c r="U26" s="86"/>
      <c r="V26" s="86"/>
      <c r="W26" s="86"/>
      <c r="X26" s="86"/>
      <c r="AE26" s="261"/>
      <c r="AF26" s="261"/>
      <c r="AG26" s="261"/>
      <c r="AH26" s="261"/>
      <c r="AI26" s="261"/>
      <c r="BJ26" s="261"/>
    </row>
    <row r="27" customFormat="false" ht="15" hidden="false" customHeight="false" outlineLevel="0" collapsed="false">
      <c r="T27" s="86"/>
      <c r="U27" s="86"/>
      <c r="V27" s="86"/>
      <c r="W27" s="86"/>
      <c r="X27" s="86"/>
      <c r="AE27" s="261"/>
      <c r="AF27" s="261"/>
      <c r="AG27" s="261"/>
      <c r="AH27" s="261"/>
      <c r="AI27" s="261"/>
      <c r="AK27" s="262" t="s">
        <v>112</v>
      </c>
      <c r="AL27" s="262" t="s">
        <v>113</v>
      </c>
      <c r="AO27" s="262" t="s">
        <v>112</v>
      </c>
      <c r="AP27" s="262" t="s">
        <v>113</v>
      </c>
      <c r="AS27" s="262" t="s">
        <v>112</v>
      </c>
      <c r="AT27" s="262" t="s">
        <v>113</v>
      </c>
      <c r="AW27" s="262" t="s">
        <v>112</v>
      </c>
      <c r="AX27" s="262" t="s">
        <v>113</v>
      </c>
      <c r="BA27" s="262" t="s">
        <v>112</v>
      </c>
      <c r="BB27" s="262" t="s">
        <v>113</v>
      </c>
      <c r="BE27" s="262" t="s">
        <v>112</v>
      </c>
      <c r="BF27" s="262" t="s">
        <v>113</v>
      </c>
      <c r="BJ27" s="261"/>
    </row>
    <row r="28" customFormat="false" ht="15" hidden="false" customHeight="false" outlineLevel="0" collapsed="false">
      <c r="T28" s="86"/>
      <c r="U28" s="86"/>
      <c r="V28" s="86"/>
      <c r="W28" s="86"/>
      <c r="X28" s="86"/>
      <c r="AE28" s="261"/>
      <c r="AF28" s="261"/>
      <c r="AG28" s="261"/>
      <c r="AH28" s="261"/>
      <c r="AI28" s="261"/>
      <c r="AK28" s="263" t="s">
        <v>114</v>
      </c>
      <c r="AL28" s="264" t="e">
        <f aca="false">$AL$34-($AL$29/2)</f>
        <v>#DIV/0!</v>
      </c>
      <c r="AO28" s="263" t="s">
        <v>114</v>
      </c>
      <c r="AP28" s="264" t="e">
        <f aca="false">$AP$34-($AP$29/2)</f>
        <v>#DIV/0!</v>
      </c>
      <c r="AS28" s="263" t="s">
        <v>114</v>
      </c>
      <c r="AT28" s="264" t="e">
        <f aca="false">$AT$34-($AT$29/2)</f>
        <v>#DIV/0!</v>
      </c>
      <c r="AW28" s="263" t="s">
        <v>114</v>
      </c>
      <c r="AX28" s="264" t="e">
        <f aca="false">$AX$34-($AX$29/2)</f>
        <v>#DIV/0!</v>
      </c>
      <c r="BA28" s="263" t="s">
        <v>114</v>
      </c>
      <c r="BB28" s="264" t="e">
        <f aca="false">$BB$34-($BB$29/2)</f>
        <v>#DIV/0!</v>
      </c>
      <c r="BE28" s="263" t="s">
        <v>114</v>
      </c>
      <c r="BF28" s="264" t="e">
        <f aca="false">$BF$34-($BF$29/2)</f>
        <v>#DIV/0!</v>
      </c>
      <c r="BJ28" s="261"/>
    </row>
    <row r="29" customFormat="false" ht="15" hidden="false" customHeight="false" outlineLevel="0" collapsed="false">
      <c r="T29" s="86"/>
      <c r="U29" s="86"/>
      <c r="V29" s="86"/>
      <c r="W29" s="86"/>
      <c r="X29" s="86"/>
      <c r="AE29" s="261"/>
      <c r="AF29" s="261"/>
      <c r="AG29" s="261"/>
      <c r="AH29" s="261"/>
      <c r="AI29" s="261"/>
      <c r="AK29" s="263" t="s">
        <v>112</v>
      </c>
      <c r="AL29" s="265" t="n">
        <v>3</v>
      </c>
      <c r="AO29" s="263" t="s">
        <v>112</v>
      </c>
      <c r="AP29" s="265" t="n">
        <v>3</v>
      </c>
      <c r="AS29" s="263" t="s">
        <v>112</v>
      </c>
      <c r="AT29" s="265" t="n">
        <v>3</v>
      </c>
      <c r="AW29" s="263" t="s">
        <v>112</v>
      </c>
      <c r="AX29" s="265" t="n">
        <v>3</v>
      </c>
      <c r="BA29" s="263" t="s">
        <v>112</v>
      </c>
      <c r="BB29" s="265" t="n">
        <v>3</v>
      </c>
      <c r="BE29" s="263" t="s">
        <v>112</v>
      </c>
      <c r="BF29" s="265" t="n">
        <v>3</v>
      </c>
      <c r="BJ29" s="261"/>
    </row>
    <row r="30" customFormat="false" ht="15" hidden="false" customHeight="false" outlineLevel="0" collapsed="false">
      <c r="T30" s="86"/>
      <c r="U30" s="86"/>
      <c r="V30" s="86"/>
      <c r="W30" s="86"/>
      <c r="X30" s="86"/>
      <c r="AE30" s="261"/>
      <c r="AF30" s="261"/>
      <c r="AG30" s="261"/>
      <c r="AH30" s="261"/>
      <c r="AI30" s="261"/>
      <c r="AK30" s="263" t="s">
        <v>115</v>
      </c>
      <c r="AL30" s="265" t="e">
        <f aca="false">SUM($AL$37:$AL$40)-$AL$28-$AL$29</f>
        <v>#DIV/0!</v>
      </c>
      <c r="AO30" s="263" t="s">
        <v>115</v>
      </c>
      <c r="AP30" s="265" t="e">
        <f aca="false">SUM($AP$37:$AP$41)-$AP$28-$AP$29</f>
        <v>#DIV/0!</v>
      </c>
      <c r="AS30" s="263" t="s">
        <v>115</v>
      </c>
      <c r="AT30" s="265" t="e">
        <f aca="false">SUM($AT$37:$AT$41)-$AT$28-$AT$29</f>
        <v>#DIV/0!</v>
      </c>
      <c r="AW30" s="263" t="s">
        <v>115</v>
      </c>
      <c r="AX30" s="265" t="e">
        <f aca="false">SUM($AX$37:$AX$41)-$AX$28-$AX$29</f>
        <v>#DIV/0!</v>
      </c>
      <c r="BA30" s="263" t="s">
        <v>115</v>
      </c>
      <c r="BB30" s="265" t="e">
        <f aca="false">SUM($BB$37:$BB$41)-$BB$28-$BB$29</f>
        <v>#DIV/0!</v>
      </c>
      <c r="BE30" s="263" t="s">
        <v>115</v>
      </c>
      <c r="BF30" s="265" t="e">
        <f aca="false">SUM($BF$37:$BF$41)-$BF$28-$BF$29</f>
        <v>#DIV/0!</v>
      </c>
      <c r="BJ30" s="261"/>
    </row>
    <row r="31" customFormat="false" ht="15" hidden="false" customHeight="false" outlineLevel="0" collapsed="false">
      <c r="T31" s="86"/>
      <c r="U31" s="86"/>
      <c r="V31" s="86"/>
      <c r="W31" s="86"/>
      <c r="X31" s="86"/>
      <c r="AE31" s="261"/>
      <c r="AF31" s="261"/>
      <c r="AG31" s="261"/>
      <c r="AH31" s="261"/>
      <c r="AI31" s="261"/>
      <c r="BJ31" s="261"/>
    </row>
    <row r="32" customFormat="false" ht="15" hidden="false" customHeight="false" outlineLevel="0" collapsed="false">
      <c r="T32" s="86"/>
      <c r="U32" s="86"/>
      <c r="V32" s="86"/>
      <c r="W32" s="86"/>
      <c r="X32" s="86"/>
      <c r="AE32" s="261"/>
      <c r="AF32" s="261"/>
      <c r="AG32" s="261"/>
      <c r="AH32" s="261"/>
      <c r="AI32" s="261"/>
      <c r="BJ32" s="261"/>
    </row>
    <row r="33" customFormat="false" ht="15" hidden="false" customHeight="false" outlineLevel="0" collapsed="false">
      <c r="T33" s="86"/>
      <c r="U33" s="86"/>
      <c r="V33" s="86"/>
      <c r="W33" s="86"/>
      <c r="X33" s="86"/>
      <c r="AE33" s="261"/>
      <c r="AF33" s="261"/>
      <c r="AG33" s="261"/>
      <c r="AH33" s="261"/>
      <c r="AI33" s="261"/>
      <c r="AK33" s="246" t="s">
        <v>5</v>
      </c>
      <c r="AO33" s="246" t="s">
        <v>116</v>
      </c>
      <c r="AS33" s="246" t="s">
        <v>117</v>
      </c>
      <c r="AW33" s="246" t="s">
        <v>118</v>
      </c>
      <c r="BA33" s="246" t="s">
        <v>14</v>
      </c>
      <c r="BE33" s="246" t="s">
        <v>15</v>
      </c>
      <c r="BJ33" s="261"/>
    </row>
    <row r="34" customFormat="false" ht="15" hidden="false" customHeight="false" outlineLevel="0" collapsed="false">
      <c r="T34" s="86"/>
      <c r="U34" s="86"/>
      <c r="V34" s="86"/>
      <c r="W34" s="86"/>
      <c r="X34" s="86"/>
      <c r="AE34" s="261"/>
      <c r="AF34" s="261"/>
      <c r="AG34" s="261"/>
      <c r="AH34" s="261"/>
      <c r="AI34" s="261"/>
      <c r="AK34" s="266" t="s">
        <v>119</v>
      </c>
      <c r="AL34" s="267" t="e">
        <f aca="false">$AV$7</f>
        <v>#DIV/0!</v>
      </c>
      <c r="AM34" s="246" t="e">
        <f aca="false">IF(AL34&lt;=AL37,AK37,IF(AND(AL34&gt;AL37,AL34&lt;=(AL38+AL37)),AK38,IF(AND(AL34&gt;(AL38+AL37),AL34&lt;AL40),AK39,"erro")))</f>
        <v>#DIV/0!</v>
      </c>
      <c r="AN34" s="266"/>
      <c r="AO34" s="266" t="s">
        <v>119</v>
      </c>
      <c r="AP34" s="267" t="e">
        <f aca="false">$AV$8</f>
        <v>#DIV/0!</v>
      </c>
      <c r="AQ34" s="246" t="e">
        <f aca="false">IF(AP34&lt;=AP37,AO37,IF(AND(AP34&gt;AP37,AP34&lt;=(AP38+AP37)),AO38,IF(AND(AP34&gt;(AP38+AP37),AP34&lt;AP40),AO39,"erro")))</f>
        <v>#DIV/0!</v>
      </c>
      <c r="AS34" s="266" t="s">
        <v>119</v>
      </c>
      <c r="AT34" s="267" t="e">
        <f aca="false">$AV$9</f>
        <v>#DIV/0!</v>
      </c>
      <c r="AU34" s="246" t="e">
        <f aca="false">IF(AT34&lt;=AT37,AS37,IF(AND(AT34&gt;AT37,AT34&lt;=(AT38+AT37)),AS38,IF(AND(AT34&gt;(AT38+AT37),AT34&lt;AT40),AS39,"erro")))</f>
        <v>#DIV/0!</v>
      </c>
      <c r="AW34" s="266" t="s">
        <v>119</v>
      </c>
      <c r="AX34" s="267" t="e">
        <f aca="false">$AV$10</f>
        <v>#DIV/0!</v>
      </c>
      <c r="AY34" s="246" t="e">
        <f aca="false">IF(AX34&lt;=AX37,AW37,IF(AND(AX34&gt;AX37,AX34&lt;=(AX38+AX37)),AW38,IF(AND(AX34&gt;(AX38+AX37),AX34&lt;AX40),AW39,"erro")))</f>
        <v>#DIV/0!</v>
      </c>
      <c r="BA34" s="266" t="s">
        <v>119</v>
      </c>
      <c r="BB34" s="267" t="e">
        <f aca="false">$AV$11</f>
        <v>#DIV/0!</v>
      </c>
      <c r="BC34" s="246" t="e">
        <f aca="false">IF(BB34&lt;=BB37,BA37,IF(AND(BB34&gt;BB37,BB34&lt;=(BB38+BB37)),BA38,IF(AND(BB34&gt;(BB38+BB37),BB34&lt;BB40),BA39,"erro")))</f>
        <v>#DIV/0!</v>
      </c>
      <c r="BE34" s="266" t="s">
        <v>119</v>
      </c>
      <c r="BF34" s="267" t="e">
        <f aca="false">$AV$12</f>
        <v>#DIV/0!</v>
      </c>
      <c r="BG34" s="246" t="e">
        <f aca="false">IF(BF34&lt;=BF37,BE37,IF(AND(BF34&gt;BF37,BF34&lt;=(BF38+BF37)),BE38,IF(AND(BF34&gt;(BF38+BF37),BF34&lt;BF40),BE39,"erro")))</f>
        <v>#DIV/0!</v>
      </c>
      <c r="BJ34" s="261"/>
    </row>
    <row r="35" customFormat="false" ht="15" hidden="false" customHeight="false" outlineLevel="0" collapsed="false">
      <c r="T35" s="86"/>
      <c r="U35" s="86"/>
      <c r="V35" s="86"/>
      <c r="W35" s="86"/>
      <c r="X35" s="86"/>
      <c r="AE35" s="261"/>
      <c r="AF35" s="261"/>
      <c r="AG35" s="261"/>
      <c r="AH35" s="261"/>
      <c r="AI35" s="261"/>
      <c r="BJ35" s="261"/>
    </row>
    <row r="36" customFormat="false" ht="15" hidden="false" customHeight="false" outlineLevel="0" collapsed="false">
      <c r="T36" s="86"/>
      <c r="U36" s="86"/>
      <c r="V36" s="86"/>
      <c r="W36" s="86"/>
      <c r="X36" s="86"/>
      <c r="AE36" s="261"/>
      <c r="AF36" s="261"/>
      <c r="AG36" s="261"/>
      <c r="AH36" s="261"/>
      <c r="AI36" s="261"/>
      <c r="AK36" s="262" t="s">
        <v>120</v>
      </c>
      <c r="AL36" s="262" t="s">
        <v>113</v>
      </c>
      <c r="AO36" s="262" t="s">
        <v>120</v>
      </c>
      <c r="AP36" s="262" t="s">
        <v>113</v>
      </c>
      <c r="AS36" s="262" t="s">
        <v>120</v>
      </c>
      <c r="AT36" s="262" t="s">
        <v>113</v>
      </c>
      <c r="AW36" s="262" t="s">
        <v>120</v>
      </c>
      <c r="AX36" s="262" t="s">
        <v>113</v>
      </c>
      <c r="BA36" s="262" t="s">
        <v>120</v>
      </c>
      <c r="BB36" s="262" t="s">
        <v>113</v>
      </c>
      <c r="BE36" s="262" t="s">
        <v>120</v>
      </c>
      <c r="BF36" s="262" t="s">
        <v>113</v>
      </c>
      <c r="BJ36" s="261"/>
    </row>
    <row r="37" customFormat="false" ht="15" hidden="false" customHeight="false" outlineLevel="0" collapsed="false">
      <c r="T37" s="86"/>
      <c r="U37" s="86"/>
      <c r="V37" s="86"/>
      <c r="W37" s="86"/>
      <c r="X37" s="86"/>
      <c r="AE37" s="261"/>
      <c r="AF37" s="261"/>
      <c r="AG37" s="261"/>
      <c r="AH37" s="261"/>
      <c r="AI37" s="261"/>
      <c r="AK37" s="266" t="s">
        <v>121</v>
      </c>
      <c r="AL37" s="265" t="n">
        <f aca="false">IF('⚙️'!$F$17="","",IF('⚙️'!$F$17=DADOS!$I$3,DADOS!$H$15,IF('⚙️'!$F$17=DADOS!$I$2,'⚙️'!$N$13,"erro")))</f>
        <v>40</v>
      </c>
      <c r="AO37" s="266" t="s">
        <v>121</v>
      </c>
      <c r="AP37" s="265" t="n">
        <f aca="false">IF('⚙️'!$F$17="","",IF('⚙️'!$F$17=DADOS!$I$3,DADOS!$H$16,IF('⚙️'!$F$17=DADOS!$I$2,'⚙️'!$N$15,"erro")))</f>
        <v>20</v>
      </c>
      <c r="AS37" s="266" t="s">
        <v>121</v>
      </c>
      <c r="AT37" s="265" t="n">
        <f aca="false">IF('⚙️'!$F$17="","",IF('⚙️'!$F$17=DADOS!$I$3,DADOS!$H$17,IF('⚙️'!$F$17=DADOS!$I$2,'⚙️'!$N$17,"erro")))</f>
        <v>20</v>
      </c>
      <c r="AW37" s="266" t="s">
        <v>121</v>
      </c>
      <c r="AX37" s="265" t="n">
        <f aca="false">IF('⚙️'!$F$17="","",IF('⚙️'!$F$17=DADOS!$I$3,DADOS!$H$18,IF('⚙️'!$F$17=DADOS!$I$2,'⚙️'!$N$19,"erro")))</f>
        <v>15</v>
      </c>
      <c r="BA37" s="266" t="s">
        <v>122</v>
      </c>
      <c r="BB37" s="265" t="n">
        <f aca="false">IF('⚙️'!$F$17="","",IF('⚙️'!$F$17=DADOS!$I$3,DADOS!$H$19,IF('⚙️'!$F$17=DADOS!$I$2,'⚙️'!$N$21,"erro")))</f>
        <v>10</v>
      </c>
      <c r="BE37" s="266" t="s">
        <v>122</v>
      </c>
      <c r="BF37" s="265" t="n">
        <f aca="false">IF('⚙️'!$F$17="","",IF('⚙️'!$F$17=DADOS!$I$3,DADOS!$H$20,IF('⚙️'!$F$17=DADOS!$I$2,'⚙️'!$N$23,"erro")))</f>
        <v>10</v>
      </c>
      <c r="BJ37" s="261"/>
    </row>
    <row r="38" customFormat="false" ht="15" hidden="false" customHeight="false" outlineLevel="0" collapsed="false">
      <c r="T38" s="86"/>
      <c r="U38" s="86"/>
      <c r="V38" s="86"/>
      <c r="W38" s="86"/>
      <c r="X38" s="86"/>
      <c r="AE38" s="261"/>
      <c r="AF38" s="261"/>
      <c r="AG38" s="261"/>
      <c r="AH38" s="261"/>
      <c r="AI38" s="261"/>
      <c r="AK38" s="266" t="s">
        <v>123</v>
      </c>
      <c r="AL38" s="265" t="n">
        <f aca="false">(AL40-AL37)/2</f>
        <v>30</v>
      </c>
      <c r="AO38" s="266" t="s">
        <v>123</v>
      </c>
      <c r="AP38" s="265" t="n">
        <f aca="false">(AP40-AP37)/2</f>
        <v>40</v>
      </c>
      <c r="AS38" s="266" t="s">
        <v>123</v>
      </c>
      <c r="AT38" s="265" t="n">
        <f aca="false">(AT40-AT37)/2</f>
        <v>40</v>
      </c>
      <c r="AW38" s="266" t="s">
        <v>123</v>
      </c>
      <c r="AX38" s="265" t="n">
        <f aca="false">(AX40-AX37)/2</f>
        <v>42.5</v>
      </c>
      <c r="BA38" s="266" t="s">
        <v>123</v>
      </c>
      <c r="BB38" s="265" t="n">
        <f aca="false">(BB40-BB37)/2</f>
        <v>45</v>
      </c>
      <c r="BE38" s="266" t="s">
        <v>123</v>
      </c>
      <c r="BF38" s="265" t="n">
        <f aca="false">(BF40-BF37)/2</f>
        <v>45</v>
      </c>
      <c r="BJ38" s="261"/>
    </row>
    <row r="39" customFormat="false" ht="15" hidden="false" customHeight="false" outlineLevel="0" collapsed="false">
      <c r="T39" s="86"/>
      <c r="U39" s="86"/>
      <c r="V39" s="86"/>
      <c r="W39" s="86"/>
      <c r="X39" s="86"/>
      <c r="AE39" s="261"/>
      <c r="AF39" s="261"/>
      <c r="AG39" s="261"/>
      <c r="AH39" s="261"/>
      <c r="AI39" s="261"/>
      <c r="AK39" s="266" t="s">
        <v>122</v>
      </c>
      <c r="AL39" s="265" t="n">
        <f aca="false">(AL40-AL37)/2</f>
        <v>30</v>
      </c>
      <c r="AO39" s="266" t="s">
        <v>122</v>
      </c>
      <c r="AP39" s="265" t="n">
        <f aca="false">(AP40-AP37)/2</f>
        <v>40</v>
      </c>
      <c r="AS39" s="266" t="s">
        <v>122</v>
      </c>
      <c r="AT39" s="265" t="n">
        <f aca="false">(AT40-AT37)/2</f>
        <v>40</v>
      </c>
      <c r="AW39" s="266" t="s">
        <v>122</v>
      </c>
      <c r="AX39" s="265" t="n">
        <f aca="false">(AX40-AX37)/2</f>
        <v>42.5</v>
      </c>
      <c r="BA39" s="266" t="s">
        <v>121</v>
      </c>
      <c r="BB39" s="265" t="n">
        <f aca="false">(BB40-BB37)/2</f>
        <v>45</v>
      </c>
      <c r="BE39" s="266" t="s">
        <v>121</v>
      </c>
      <c r="BF39" s="265" t="n">
        <f aca="false">(BF40-BF37)/2</f>
        <v>45</v>
      </c>
      <c r="BJ39" s="261"/>
    </row>
    <row r="40" customFormat="false" ht="15" hidden="false" customHeight="false" outlineLevel="0" collapsed="false">
      <c r="T40" s="86"/>
      <c r="U40" s="86"/>
      <c r="V40" s="86"/>
      <c r="W40" s="86"/>
      <c r="X40" s="86"/>
      <c r="AE40" s="261"/>
      <c r="AF40" s="261"/>
      <c r="AG40" s="261"/>
      <c r="AH40" s="261"/>
      <c r="AI40" s="261"/>
      <c r="AK40" s="266"/>
      <c r="AL40" s="265" t="n">
        <v>100</v>
      </c>
      <c r="AO40" s="266"/>
      <c r="AP40" s="265" t="n">
        <v>100</v>
      </c>
      <c r="AS40" s="266"/>
      <c r="AT40" s="265" t="n">
        <v>100</v>
      </c>
      <c r="AW40" s="266"/>
      <c r="AX40" s="265" t="n">
        <v>100</v>
      </c>
      <c r="BA40" s="266"/>
      <c r="BB40" s="265" t="n">
        <v>100</v>
      </c>
      <c r="BE40" s="266"/>
      <c r="BF40" s="265" t="n">
        <v>100</v>
      </c>
      <c r="BJ40" s="261"/>
    </row>
    <row r="41" customFormat="false" ht="15" hidden="false" customHeight="false" outlineLevel="0" collapsed="false">
      <c r="T41" s="86"/>
      <c r="U41" s="86"/>
      <c r="V41" s="86"/>
      <c r="W41" s="86"/>
      <c r="X41" s="86"/>
      <c r="AE41" s="261"/>
      <c r="AF41" s="261"/>
      <c r="AG41" s="261"/>
      <c r="AH41" s="261"/>
      <c r="AI41" s="261"/>
      <c r="AO41" s="266"/>
      <c r="AP41" s="265"/>
      <c r="AS41" s="266"/>
      <c r="AT41" s="265"/>
      <c r="AW41" s="266"/>
      <c r="AX41" s="265"/>
      <c r="BA41" s="266"/>
      <c r="BB41" s="265"/>
      <c r="BE41" s="266"/>
      <c r="BF41" s="265"/>
      <c r="BJ41" s="261"/>
    </row>
    <row r="42" customFormat="false" ht="15" hidden="false" customHeight="false" outlineLevel="0" collapsed="false">
      <c r="T42" s="86"/>
      <c r="U42" s="86"/>
      <c r="V42" s="86"/>
      <c r="W42" s="86"/>
      <c r="X42" s="86"/>
      <c r="AE42" s="261"/>
      <c r="AF42" s="261"/>
      <c r="AG42" s="261"/>
      <c r="AH42" s="261"/>
      <c r="AI42" s="261"/>
      <c r="BJ42" s="261"/>
    </row>
    <row r="43" customFormat="false" ht="15" hidden="false" customHeight="false" outlineLevel="0" collapsed="false">
      <c r="T43" s="86"/>
      <c r="U43" s="86"/>
      <c r="V43" s="86"/>
      <c r="W43" s="86"/>
      <c r="X43" s="86"/>
      <c r="AE43" s="261"/>
      <c r="AF43" s="261"/>
      <c r="AG43" s="261"/>
      <c r="AH43" s="261"/>
      <c r="AI43" s="261"/>
      <c r="BJ43" s="261"/>
    </row>
    <row r="44" customFormat="false" ht="15" hidden="false" customHeight="false" outlineLevel="0" collapsed="false">
      <c r="T44" s="86"/>
      <c r="U44" s="86"/>
      <c r="V44" s="86"/>
      <c r="W44" s="86"/>
      <c r="X44" s="86"/>
      <c r="AE44" s="261"/>
      <c r="AF44" s="261"/>
      <c r="AG44" s="261"/>
      <c r="AH44" s="261"/>
      <c r="AI44" s="261"/>
      <c r="BJ44" s="261"/>
    </row>
    <row r="45" customFormat="false" ht="15" hidden="false" customHeight="false" outlineLevel="0" collapsed="false">
      <c r="F45" s="268"/>
      <c r="T45" s="86"/>
      <c r="U45" s="86"/>
      <c r="V45" s="86"/>
      <c r="W45" s="86"/>
      <c r="X45" s="86"/>
      <c r="AE45" s="261"/>
      <c r="AF45" s="261"/>
      <c r="AG45" s="261"/>
      <c r="AH45" s="261"/>
      <c r="AI45" s="261"/>
      <c r="BJ45" s="261"/>
    </row>
    <row r="46" customFormat="false" ht="15" hidden="false" customHeight="false" outlineLevel="0" collapsed="false">
      <c r="F46" s="268"/>
      <c r="T46" s="86"/>
      <c r="U46" s="86"/>
      <c r="V46" s="86"/>
      <c r="W46" s="86"/>
      <c r="X46" s="86"/>
      <c r="AE46" s="261"/>
      <c r="AF46" s="261"/>
      <c r="AG46" s="261"/>
      <c r="AH46" s="261"/>
      <c r="AI46" s="261"/>
      <c r="AJ46" s="261"/>
      <c r="AK46" s="261"/>
      <c r="AL46" s="261"/>
      <c r="AM46" s="261"/>
      <c r="AN46" s="261"/>
      <c r="AO46" s="261"/>
      <c r="AP46" s="261"/>
      <c r="AQ46" s="261"/>
      <c r="AR46" s="261"/>
      <c r="AS46" s="261"/>
      <c r="AT46" s="261"/>
      <c r="AU46" s="261"/>
      <c r="AV46" s="261"/>
      <c r="AW46" s="261"/>
      <c r="AX46" s="261"/>
      <c r="AY46" s="261"/>
    </row>
    <row r="47" customFormat="false" ht="15" hidden="false" customHeight="false" outlineLevel="0" collapsed="false">
      <c r="T47" s="86"/>
      <c r="U47" s="86"/>
      <c r="V47" s="86"/>
      <c r="W47" s="86"/>
      <c r="X47" s="86"/>
      <c r="AE47" s="261"/>
      <c r="AF47" s="261"/>
      <c r="AG47" s="261"/>
      <c r="AH47" s="261"/>
      <c r="AI47" s="26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261"/>
      <c r="AV47" s="261"/>
      <c r="AW47" s="261"/>
      <c r="AX47" s="261"/>
      <c r="AY47" s="261"/>
    </row>
    <row r="48" customFormat="false" ht="15" hidden="false" customHeight="false" outlineLevel="0" collapsed="false">
      <c r="T48" s="86"/>
      <c r="U48" s="86"/>
      <c r="V48" s="86"/>
      <c r="W48" s="86"/>
      <c r="X48" s="86"/>
      <c r="AE48" s="261"/>
      <c r="AF48" s="261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61"/>
      <c r="AV48" s="261"/>
      <c r="AW48" s="261"/>
      <c r="AX48" s="261"/>
      <c r="AY48" s="261"/>
    </row>
    <row r="49" customFormat="false" ht="15" hidden="false" customHeight="false" outlineLevel="0" collapsed="false">
      <c r="T49" s="86"/>
      <c r="U49" s="86"/>
      <c r="V49" s="86"/>
      <c r="W49" s="86"/>
      <c r="X49" s="86"/>
      <c r="AE49" s="261"/>
      <c r="AF49" s="261"/>
      <c r="AG49" s="261"/>
      <c r="AH49" s="261"/>
      <c r="AI49" s="26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261"/>
      <c r="AV49" s="261"/>
      <c r="AW49" s="261"/>
      <c r="AX49" s="261"/>
      <c r="AY49" s="261"/>
    </row>
    <row r="50" customFormat="false" ht="15" hidden="false" customHeight="false" outlineLevel="0" collapsed="false">
      <c r="T50" s="86"/>
      <c r="U50" s="86"/>
      <c r="V50" s="86"/>
      <c r="W50" s="86"/>
      <c r="X50" s="86"/>
    </row>
    <row r="51" customFormat="false" ht="15" hidden="false" customHeight="false" outlineLevel="0" collapsed="false">
      <c r="T51" s="86"/>
      <c r="U51" s="86"/>
      <c r="V51" s="86"/>
      <c r="W51" s="86"/>
      <c r="X51" s="86"/>
      <c r="AE51" s="246" t="s">
        <v>124</v>
      </c>
    </row>
    <row r="52" customFormat="false" ht="15" hidden="false" customHeight="false" outlineLevel="0" collapsed="false">
      <c r="T52" s="86"/>
      <c r="U52" s="86"/>
      <c r="V52" s="86"/>
      <c r="W52" s="86"/>
      <c r="X52" s="86"/>
    </row>
    <row r="53" customFormat="false" ht="15" hidden="false" customHeight="false" outlineLevel="0" collapsed="false">
      <c r="T53" s="86"/>
      <c r="U53" s="86"/>
      <c r="V53" s="86"/>
      <c r="W53" s="86"/>
      <c r="X53" s="86"/>
    </row>
    <row r="54" customFormat="false" ht="15" hidden="false" customHeight="false" outlineLevel="0" collapsed="false">
      <c r="T54" s="86"/>
      <c r="U54" s="86"/>
      <c r="V54" s="86"/>
      <c r="W54" s="86"/>
      <c r="X54" s="86"/>
    </row>
    <row r="55" customFormat="false" ht="15" hidden="false" customHeight="false" outlineLevel="0" collapsed="false">
      <c r="T55" s="86"/>
      <c r="U55" s="86"/>
      <c r="V55" s="86"/>
      <c r="W55" s="86"/>
      <c r="X55" s="86"/>
    </row>
    <row r="56" customFormat="false" ht="15" hidden="false" customHeight="false" outlineLevel="0" collapsed="false">
      <c r="T56" s="86"/>
      <c r="U56" s="86"/>
      <c r="V56" s="86"/>
      <c r="W56" s="86"/>
      <c r="X56" s="86"/>
    </row>
    <row r="57" customFormat="false" ht="15" hidden="false" customHeight="false" outlineLevel="0" collapsed="false">
      <c r="T57" s="86"/>
      <c r="U57" s="86"/>
      <c r="V57" s="86"/>
      <c r="W57" s="86"/>
      <c r="X57" s="86"/>
    </row>
    <row r="58" customFormat="false" ht="15" hidden="false" customHeight="false" outlineLevel="0" collapsed="false">
      <c r="T58" s="86"/>
      <c r="U58" s="86"/>
      <c r="V58" s="86"/>
      <c r="W58" s="86"/>
      <c r="X58" s="86"/>
    </row>
    <row r="59" customFormat="false" ht="15" hidden="false" customHeight="false" outlineLevel="0" collapsed="false">
      <c r="T59" s="86"/>
      <c r="U59" s="86"/>
      <c r="V59" s="86"/>
      <c r="W59" s="86"/>
      <c r="X59" s="86"/>
    </row>
    <row r="60" customFormat="false" ht="15" hidden="false" customHeight="false" outlineLevel="0" collapsed="false">
      <c r="T60" s="86"/>
      <c r="U60" s="86"/>
      <c r="V60" s="86"/>
      <c r="W60" s="86"/>
      <c r="X60" s="86"/>
    </row>
    <row r="61" customFormat="false" ht="15" hidden="false" customHeight="false" outlineLevel="0" collapsed="false">
      <c r="T61" s="86"/>
      <c r="U61" s="86"/>
      <c r="V61" s="86"/>
      <c r="W61" s="86"/>
      <c r="X61" s="86"/>
    </row>
    <row r="62" customFormat="false" ht="15" hidden="false" customHeight="false" outlineLevel="0" collapsed="false">
      <c r="T62" s="86"/>
      <c r="U62" s="86"/>
      <c r="V62" s="86"/>
      <c r="W62" s="86"/>
      <c r="X62" s="86"/>
    </row>
    <row r="63" customFormat="false" ht="15" hidden="false" customHeight="false" outlineLevel="0" collapsed="false">
      <c r="T63" s="86"/>
      <c r="U63" s="86"/>
      <c r="V63" s="86"/>
      <c r="W63" s="86"/>
      <c r="X63" s="86"/>
      <c r="AP63" s="269"/>
      <c r="AS63" s="270"/>
    </row>
    <row r="64" customFormat="false" ht="15" hidden="false" customHeight="false" outlineLevel="0" collapsed="false">
      <c r="T64" s="86"/>
      <c r="U64" s="86"/>
      <c r="V64" s="86"/>
      <c r="W64" s="86"/>
      <c r="X64" s="86"/>
      <c r="AP64" s="269"/>
    </row>
    <row r="65" customFormat="false" ht="15" hidden="false" customHeight="false" outlineLevel="0" collapsed="false">
      <c r="T65" s="86"/>
      <c r="U65" s="86"/>
      <c r="V65" s="86"/>
      <c r="W65" s="86"/>
      <c r="X65" s="86"/>
      <c r="AP65" s="269"/>
    </row>
    <row r="66" customFormat="false" ht="15" hidden="false" customHeight="false" outlineLevel="0" collapsed="false">
      <c r="T66" s="86"/>
      <c r="U66" s="86"/>
      <c r="V66" s="86"/>
      <c r="W66" s="86"/>
      <c r="X66" s="86"/>
      <c r="AP66" s="269"/>
    </row>
    <row r="67" customFormat="false" ht="15" hidden="false" customHeight="false" outlineLevel="0" collapsed="false">
      <c r="T67" s="86"/>
      <c r="U67" s="86"/>
      <c r="V67" s="86"/>
      <c r="W67" s="86"/>
      <c r="X67" s="86"/>
      <c r="AP67" s="269"/>
    </row>
    <row r="68" customFormat="false" ht="15" hidden="false" customHeight="false" outlineLevel="0" collapsed="false">
      <c r="T68" s="86"/>
      <c r="U68" s="86"/>
      <c r="V68" s="86"/>
      <c r="W68" s="86"/>
      <c r="X68" s="86"/>
      <c r="AP68" s="269"/>
    </row>
    <row r="69" customFormat="false" ht="15" hidden="false" customHeight="false" outlineLevel="0" collapsed="false">
      <c r="T69" s="86"/>
      <c r="U69" s="86"/>
      <c r="V69" s="86"/>
      <c r="W69" s="86"/>
      <c r="X69" s="86"/>
      <c r="AP69" s="269"/>
    </row>
    <row r="70" customFormat="false" ht="15" hidden="false" customHeight="false" outlineLevel="0" collapsed="false">
      <c r="T70" s="86"/>
      <c r="U70" s="268"/>
      <c r="V70" s="86"/>
      <c r="W70" s="86"/>
      <c r="X70" s="86"/>
    </row>
    <row r="71" customFormat="false" ht="15" hidden="false" customHeight="false" outlineLevel="0" collapsed="false">
      <c r="T71" s="86"/>
      <c r="U71" s="86"/>
      <c r="V71" s="86"/>
      <c r="W71" s="86"/>
      <c r="X71" s="86"/>
    </row>
    <row r="72" customFormat="false" ht="15" hidden="false" customHeight="false" outlineLevel="0" collapsed="false">
      <c r="T72" s="86"/>
      <c r="U72" s="86"/>
      <c r="V72" s="86"/>
      <c r="W72" s="86"/>
      <c r="X72" s="86"/>
    </row>
    <row r="73" customFormat="false" ht="15" hidden="false" customHeight="false" outlineLevel="0" collapsed="false">
      <c r="T73" s="86"/>
      <c r="U73" s="86"/>
      <c r="V73" s="86"/>
      <c r="W73" s="86"/>
      <c r="X73" s="86"/>
    </row>
    <row r="74" customFormat="false" ht="15" hidden="false" customHeight="false" outlineLevel="0" collapsed="false">
      <c r="T74" s="86"/>
      <c r="U74" s="86"/>
      <c r="V74" s="86"/>
      <c r="W74" s="86"/>
      <c r="X74" s="86"/>
    </row>
    <row r="75" customFormat="false" ht="15" hidden="false" customHeight="false" outlineLevel="0" collapsed="false">
      <c r="T75" s="86"/>
      <c r="U75" s="86"/>
      <c r="V75" s="86"/>
      <c r="W75" s="86"/>
      <c r="X75" s="86"/>
    </row>
    <row r="76" customFormat="false" ht="15" hidden="false" customHeight="false" outlineLevel="0" collapsed="false">
      <c r="T76" s="86"/>
      <c r="U76" s="86"/>
      <c r="V76" s="86"/>
      <c r="W76" s="86"/>
      <c r="X76" s="86"/>
    </row>
    <row r="77" customFormat="false" ht="15" hidden="false" customHeight="false" outlineLevel="0" collapsed="false">
      <c r="T77" s="86"/>
      <c r="U77" s="86"/>
      <c r="V77" s="86"/>
      <c r="W77" s="86"/>
      <c r="X77" s="86"/>
    </row>
    <row r="78" customFormat="false" ht="15" hidden="false" customHeight="false" outlineLevel="0" collapsed="false">
      <c r="T78" s="86"/>
      <c r="U78" s="86"/>
      <c r="V78" s="86"/>
      <c r="W78" s="86"/>
      <c r="X78" s="86"/>
    </row>
    <row r="79" customFormat="false" ht="15" hidden="false" customHeight="false" outlineLevel="0" collapsed="false">
      <c r="T79" s="86"/>
      <c r="U79" s="86"/>
      <c r="V79" s="86"/>
      <c r="W79" s="86"/>
      <c r="X79" s="86"/>
    </row>
    <row r="80" customFormat="false" ht="15" hidden="false" customHeight="false" outlineLevel="0" collapsed="false">
      <c r="T80" s="86"/>
      <c r="U80" s="86"/>
      <c r="V80" s="86"/>
      <c r="W80" s="86"/>
      <c r="X80" s="86"/>
    </row>
    <row r="81" customFormat="false" ht="15" hidden="false" customHeight="false" outlineLevel="0" collapsed="false">
      <c r="T81" s="86"/>
      <c r="U81" s="86"/>
      <c r="V81" s="86"/>
      <c r="W81" s="86"/>
      <c r="X81" s="86"/>
    </row>
    <row r="82" customFormat="false" ht="15" hidden="false" customHeight="false" outlineLevel="0" collapsed="false">
      <c r="T82" s="86"/>
      <c r="U82" s="86"/>
      <c r="V82" s="86"/>
      <c r="W82" s="86"/>
      <c r="X82" s="86"/>
    </row>
    <row r="83" customFormat="false" ht="15" hidden="false" customHeight="false" outlineLevel="0" collapsed="false">
      <c r="T83" s="86"/>
      <c r="U83" s="86"/>
      <c r="V83" s="86"/>
      <c r="W83" s="86"/>
      <c r="X83" s="86"/>
    </row>
    <row r="84" customFormat="false" ht="15" hidden="false" customHeight="false" outlineLevel="0" collapsed="false">
      <c r="T84" s="86"/>
      <c r="U84" s="86"/>
      <c r="V84" s="86"/>
      <c r="W84" s="86"/>
      <c r="X84" s="86"/>
    </row>
    <row r="85" customFormat="false" ht="15" hidden="false" customHeight="false" outlineLevel="0" collapsed="false">
      <c r="T85" s="86"/>
      <c r="U85" s="86"/>
      <c r="V85" s="86"/>
      <c r="W85" s="86"/>
      <c r="X85" s="86"/>
    </row>
    <row r="86" customFormat="false" ht="15" hidden="false" customHeight="false" outlineLevel="0" collapsed="false">
      <c r="T86" s="86"/>
      <c r="U86" s="86"/>
      <c r="V86" s="86"/>
      <c r="W86" s="86"/>
      <c r="X86" s="86"/>
    </row>
    <row r="87" customFormat="false" ht="15" hidden="false" customHeight="false" outlineLevel="0" collapsed="false">
      <c r="T87" s="86"/>
      <c r="U87" s="86"/>
      <c r="V87" s="86"/>
      <c r="W87" s="86"/>
      <c r="X87" s="86"/>
    </row>
    <row r="88" customFormat="false" ht="15" hidden="false" customHeight="false" outlineLevel="0" collapsed="false">
      <c r="T88" s="86"/>
      <c r="U88" s="86"/>
      <c r="V88" s="86"/>
      <c r="W88" s="86"/>
      <c r="X88" s="86"/>
    </row>
    <row r="89" customFormat="false" ht="15" hidden="false" customHeight="false" outlineLevel="0" collapsed="false">
      <c r="T89" s="86"/>
      <c r="U89" s="86"/>
      <c r="V89" s="86"/>
      <c r="W89" s="86"/>
      <c r="X89" s="86"/>
    </row>
    <row r="90" customFormat="false" ht="15" hidden="false" customHeight="false" outlineLevel="0" collapsed="false">
      <c r="T90" s="86"/>
      <c r="U90" s="86"/>
      <c r="V90" s="86"/>
      <c r="W90" s="86"/>
      <c r="X90" s="86"/>
    </row>
    <row r="91" customFormat="false" ht="15" hidden="false" customHeight="false" outlineLevel="0" collapsed="false">
      <c r="T91" s="86"/>
      <c r="U91" s="86"/>
      <c r="V91" s="86"/>
      <c r="W91" s="86"/>
      <c r="X91" s="86"/>
    </row>
    <row r="92" customFormat="false" ht="15" hidden="false" customHeight="false" outlineLevel="0" collapsed="false">
      <c r="T92" s="86"/>
      <c r="U92" s="86"/>
      <c r="V92" s="86"/>
      <c r="W92" s="86"/>
      <c r="X92" s="86"/>
    </row>
    <row r="93" customFormat="false" ht="15" hidden="false" customHeight="false" outlineLevel="0" collapsed="false">
      <c r="T93" s="86"/>
      <c r="U93" s="86"/>
      <c r="V93" s="86"/>
      <c r="W93" s="86"/>
      <c r="X93" s="86"/>
    </row>
    <row r="94" customFormat="false" ht="15" hidden="false" customHeight="false" outlineLevel="0" collapsed="false">
      <c r="T94" s="86"/>
      <c r="U94" s="86"/>
      <c r="V94" s="86"/>
      <c r="W94" s="86"/>
      <c r="X94" s="86"/>
    </row>
    <row r="95" customFormat="false" ht="15" hidden="false" customHeight="false" outlineLevel="0" collapsed="false">
      <c r="T95" s="86"/>
      <c r="U95" s="86"/>
      <c r="V95" s="86"/>
      <c r="W95" s="86"/>
      <c r="X95" s="86"/>
    </row>
    <row r="96" customFormat="false" ht="15" hidden="false" customHeight="false" outlineLevel="0" collapsed="false">
      <c r="T96" s="86"/>
      <c r="U96" s="86"/>
      <c r="V96" s="86"/>
      <c r="W96" s="86"/>
      <c r="X96" s="86"/>
    </row>
    <row r="97" customFormat="false" ht="15" hidden="false" customHeight="false" outlineLevel="0" collapsed="false">
      <c r="T97" s="86"/>
      <c r="U97" s="86"/>
      <c r="V97" s="86"/>
      <c r="W97" s="86"/>
      <c r="X97" s="86"/>
    </row>
    <row r="98" customFormat="false" ht="15" hidden="false" customHeight="false" outlineLevel="0" collapsed="false">
      <c r="T98" s="86"/>
      <c r="U98" s="86"/>
      <c r="V98" s="86"/>
      <c r="W98" s="86"/>
      <c r="X98" s="86"/>
    </row>
    <row r="99" customFormat="false" ht="15" hidden="false" customHeight="false" outlineLevel="0" collapsed="false">
      <c r="T99" s="86"/>
      <c r="U99" s="86"/>
      <c r="V99" s="86"/>
      <c r="W99" s="86"/>
      <c r="X99" s="86"/>
    </row>
    <row r="100" customFormat="false" ht="15" hidden="false" customHeight="false" outlineLevel="0" collapsed="false">
      <c r="T100" s="86"/>
      <c r="U100" s="86"/>
      <c r="V100" s="86"/>
      <c r="W100" s="86"/>
      <c r="X100" s="86"/>
    </row>
    <row r="101" customFormat="false" ht="15" hidden="false" customHeight="false" outlineLevel="0" collapsed="false">
      <c r="T101" s="86"/>
      <c r="U101" s="86"/>
      <c r="V101" s="86"/>
      <c r="W101" s="86"/>
      <c r="X101" s="86"/>
    </row>
    <row r="102" customFormat="false" ht="15" hidden="false" customHeight="false" outlineLevel="0" collapsed="false">
      <c r="T102" s="86"/>
      <c r="U102" s="86"/>
      <c r="V102" s="86"/>
      <c r="W102" s="86"/>
      <c r="X102" s="86"/>
    </row>
    <row r="103" customFormat="false" ht="15" hidden="false" customHeight="false" outlineLevel="0" collapsed="false">
      <c r="T103" s="86"/>
      <c r="U103" s="86"/>
      <c r="V103" s="86"/>
      <c r="W103" s="86"/>
      <c r="X103" s="86"/>
    </row>
    <row r="104" customFormat="false" ht="15" hidden="false" customHeight="false" outlineLevel="0" collapsed="false">
      <c r="T104" s="86"/>
      <c r="U104" s="86"/>
      <c r="V104" s="86"/>
      <c r="W104" s="86"/>
      <c r="X104" s="86"/>
    </row>
    <row r="105" customFormat="false" ht="15" hidden="false" customHeight="false" outlineLevel="0" collapsed="false">
      <c r="T105" s="86"/>
      <c r="U105" s="86"/>
      <c r="V105" s="86"/>
      <c r="W105" s="86"/>
      <c r="X105" s="86"/>
    </row>
    <row r="106" customFormat="false" ht="15" hidden="false" customHeight="false" outlineLevel="0" collapsed="false">
      <c r="T106" s="86"/>
      <c r="U106" s="86"/>
      <c r="V106" s="86"/>
      <c r="W106" s="86"/>
      <c r="X106" s="86"/>
    </row>
    <row r="107" customFormat="false" ht="15" hidden="false" customHeight="false" outlineLevel="0" collapsed="false">
      <c r="T107" s="86"/>
      <c r="U107" s="86"/>
      <c r="V107" s="86"/>
      <c r="W107" s="86"/>
      <c r="X107" s="86"/>
    </row>
    <row r="108" customFormat="false" ht="15" hidden="false" customHeight="false" outlineLevel="0" collapsed="false">
      <c r="T108" s="86"/>
      <c r="U108" s="86"/>
      <c r="V108" s="86"/>
      <c r="W108" s="86"/>
      <c r="X108" s="86"/>
    </row>
    <row r="109" customFormat="false" ht="15" hidden="false" customHeight="false" outlineLevel="0" collapsed="false">
      <c r="T109" s="86"/>
      <c r="U109" s="86"/>
      <c r="V109" s="86"/>
      <c r="W109" s="86"/>
      <c r="X109" s="86"/>
    </row>
    <row r="110" customFormat="false" ht="15" hidden="false" customHeight="false" outlineLevel="0" collapsed="false">
      <c r="T110" s="86"/>
      <c r="U110" s="86"/>
      <c r="V110" s="86"/>
      <c r="W110" s="86"/>
      <c r="X110" s="86"/>
    </row>
    <row r="111" customFormat="false" ht="15" hidden="false" customHeight="false" outlineLevel="0" collapsed="false">
      <c r="T111" s="86"/>
      <c r="U111" s="86"/>
      <c r="V111" s="86"/>
      <c r="W111" s="86"/>
      <c r="X111" s="86"/>
    </row>
    <row r="112" customFormat="false" ht="15" hidden="false" customHeight="false" outlineLevel="0" collapsed="false">
      <c r="T112" s="86"/>
      <c r="U112" s="86"/>
      <c r="V112" s="86"/>
      <c r="W112" s="86"/>
      <c r="X112" s="86"/>
    </row>
    <row r="113" customFormat="false" ht="15" hidden="false" customHeight="false" outlineLevel="0" collapsed="false">
      <c r="T113" s="86"/>
      <c r="U113" s="86"/>
      <c r="V113" s="86"/>
      <c r="W113" s="86"/>
      <c r="X113" s="86"/>
    </row>
    <row r="114" customFormat="false" ht="15" hidden="false" customHeight="false" outlineLevel="0" collapsed="false">
      <c r="T114" s="86"/>
      <c r="U114" s="86"/>
      <c r="V114" s="86"/>
      <c r="W114" s="86"/>
      <c r="X114" s="86"/>
    </row>
    <row r="115" customFormat="false" ht="15" hidden="false" customHeight="false" outlineLevel="0" collapsed="false">
      <c r="T115" s="86"/>
      <c r="U115" s="86"/>
      <c r="V115" s="86"/>
      <c r="W115" s="86"/>
      <c r="X115" s="86"/>
    </row>
    <row r="116" customFormat="false" ht="15" hidden="false" customHeight="false" outlineLevel="0" collapsed="false">
      <c r="T116" s="86"/>
      <c r="U116" s="86"/>
      <c r="V116" s="86"/>
      <c r="W116" s="86"/>
      <c r="X116" s="86"/>
    </row>
    <row r="117" customFormat="false" ht="15" hidden="false" customHeight="false" outlineLevel="0" collapsed="false">
      <c r="T117" s="86"/>
      <c r="U117" s="86"/>
      <c r="V117" s="86"/>
      <c r="W117" s="86"/>
      <c r="X117" s="86"/>
    </row>
    <row r="118" customFormat="false" ht="15" hidden="false" customHeight="false" outlineLevel="0" collapsed="false">
      <c r="T118" s="86"/>
      <c r="U118" s="86"/>
      <c r="V118" s="86"/>
      <c r="W118" s="86"/>
      <c r="X118" s="86"/>
    </row>
    <row r="119" customFormat="false" ht="15" hidden="false" customHeight="false" outlineLevel="0" collapsed="false">
      <c r="T119" s="86"/>
      <c r="U119" s="86"/>
      <c r="V119" s="86"/>
      <c r="W119" s="86"/>
      <c r="X119" s="86"/>
    </row>
    <row r="120" customFormat="false" ht="15" hidden="false" customHeight="false" outlineLevel="0" collapsed="false">
      <c r="T120" s="86"/>
      <c r="U120" s="86"/>
      <c r="V120" s="86"/>
      <c r="W120" s="86"/>
      <c r="X120" s="86"/>
    </row>
    <row r="121" customFormat="false" ht="15" hidden="false" customHeight="false" outlineLevel="0" collapsed="false">
      <c r="T121" s="86"/>
      <c r="U121" s="86"/>
      <c r="V121" s="86"/>
      <c r="W121" s="86"/>
      <c r="X121" s="86"/>
    </row>
    <row r="122" customFormat="false" ht="102.75" hidden="false" customHeight="true" outlineLevel="0" collapsed="false">
      <c r="T122" s="86"/>
      <c r="U122" s="86"/>
      <c r="V122" s="86"/>
      <c r="W122" s="86"/>
      <c r="X122" s="86"/>
    </row>
    <row r="123" customFormat="false" ht="15" hidden="false" customHeight="false" outlineLevel="0" collapsed="false">
      <c r="T123" s="86"/>
      <c r="U123" s="86"/>
      <c r="V123" s="86"/>
      <c r="W123" s="86"/>
      <c r="X123" s="86"/>
    </row>
    <row r="124" customFormat="false" ht="15" hidden="false" customHeight="false" outlineLevel="0" collapsed="false">
      <c r="T124" s="86"/>
      <c r="U124" s="86"/>
      <c r="V124" s="86"/>
      <c r="W124" s="86"/>
      <c r="X124" s="86"/>
    </row>
    <row r="125" customFormat="false" ht="15" hidden="false" customHeight="false" outlineLevel="0" collapsed="false">
      <c r="T125" s="86"/>
      <c r="U125" s="86"/>
      <c r="V125" s="86"/>
      <c r="W125" s="86"/>
      <c r="X125" s="86"/>
    </row>
    <row r="126" customFormat="false" ht="15" hidden="false" customHeight="false" outlineLevel="0" collapsed="false">
      <c r="T126" s="86"/>
      <c r="U126" s="86"/>
      <c r="V126" s="86"/>
      <c r="W126" s="86"/>
      <c r="X126" s="86"/>
    </row>
    <row r="127" customFormat="false" ht="15" hidden="false" customHeight="false" outlineLevel="0" collapsed="false">
      <c r="T127" s="86"/>
      <c r="U127" s="86"/>
      <c r="V127" s="86"/>
      <c r="W127" s="86"/>
      <c r="X127" s="86"/>
    </row>
    <row r="128" customFormat="false" ht="15" hidden="false" customHeight="false" outlineLevel="0" collapsed="false">
      <c r="T128" s="86"/>
      <c r="U128" s="86"/>
      <c r="V128" s="86"/>
      <c r="W128" s="86"/>
      <c r="X128" s="86"/>
    </row>
    <row r="129" customFormat="false" ht="15" hidden="false" customHeight="false" outlineLevel="0" collapsed="false">
      <c r="T129" s="86"/>
      <c r="U129" s="86"/>
      <c r="V129" s="86"/>
      <c r="W129" s="86"/>
      <c r="X129" s="86"/>
    </row>
    <row r="130" customFormat="false" ht="15" hidden="false" customHeight="false" outlineLevel="0" collapsed="false">
      <c r="T130" s="86"/>
      <c r="U130" s="86"/>
      <c r="V130" s="86"/>
      <c r="W130" s="86"/>
      <c r="X130" s="86"/>
    </row>
    <row r="131" customFormat="false" ht="15" hidden="false" customHeight="false" outlineLevel="0" collapsed="false">
      <c r="T131" s="86"/>
      <c r="U131" s="86"/>
      <c r="V131" s="86"/>
      <c r="W131" s="86"/>
      <c r="X131" s="86"/>
    </row>
    <row r="132" customFormat="false" ht="15" hidden="false" customHeight="false" outlineLevel="0" collapsed="false">
      <c r="T132" s="86"/>
      <c r="U132" s="86"/>
      <c r="V132" s="86"/>
      <c r="W132" s="86"/>
      <c r="X132" s="86"/>
    </row>
    <row r="133" customFormat="false" ht="15" hidden="false" customHeight="false" outlineLevel="0" collapsed="false">
      <c r="T133" s="86"/>
      <c r="U133" s="86"/>
      <c r="V133" s="86"/>
      <c r="W133" s="86"/>
      <c r="X133" s="86"/>
    </row>
    <row r="134" customFormat="false" ht="15" hidden="false" customHeight="false" outlineLevel="0" collapsed="false">
      <c r="T134" s="86"/>
      <c r="U134" s="86"/>
      <c r="V134" s="86"/>
      <c r="W134" s="86"/>
      <c r="X134" s="86"/>
    </row>
    <row r="135" customFormat="false" ht="15" hidden="false" customHeight="false" outlineLevel="0" collapsed="false">
      <c r="T135" s="86"/>
      <c r="U135" s="86"/>
      <c r="V135" s="86"/>
      <c r="W135" s="86"/>
      <c r="X135" s="86"/>
    </row>
    <row r="136" customFormat="false" ht="15" hidden="false" customHeight="false" outlineLevel="0" collapsed="false">
      <c r="T136" s="86"/>
      <c r="U136" s="86"/>
      <c r="V136" s="86"/>
      <c r="W136" s="86"/>
      <c r="X136" s="86"/>
    </row>
    <row r="137" customFormat="false" ht="15" hidden="false" customHeight="false" outlineLevel="0" collapsed="false">
      <c r="T137" s="86"/>
      <c r="U137" s="86"/>
      <c r="V137" s="86"/>
      <c r="W137" s="86"/>
      <c r="X137" s="86"/>
    </row>
    <row r="138" customFormat="false" ht="15" hidden="false" customHeight="false" outlineLevel="0" collapsed="false">
      <c r="T138" s="86"/>
      <c r="U138" s="86"/>
      <c r="V138" s="86"/>
      <c r="W138" s="86"/>
      <c r="X138" s="86"/>
    </row>
    <row r="139" customFormat="false" ht="15" hidden="false" customHeight="false" outlineLevel="0" collapsed="false">
      <c r="T139" s="86"/>
      <c r="U139" s="86"/>
      <c r="V139" s="86"/>
      <c r="W139" s="86"/>
      <c r="X139" s="86"/>
    </row>
    <row r="140" customFormat="false" ht="15" hidden="false" customHeight="false" outlineLevel="0" collapsed="false">
      <c r="T140" s="86"/>
      <c r="U140" s="86"/>
      <c r="V140" s="86"/>
      <c r="W140" s="86"/>
      <c r="X140" s="86"/>
    </row>
    <row r="141" customFormat="false" ht="15" hidden="false" customHeight="false" outlineLevel="0" collapsed="false">
      <c r="T141" s="86"/>
      <c r="U141" s="86"/>
      <c r="V141" s="86"/>
      <c r="W141" s="86"/>
      <c r="X141" s="86"/>
    </row>
    <row r="142" customFormat="false" ht="15" hidden="false" customHeight="false" outlineLevel="0" collapsed="false">
      <c r="T142" s="86"/>
      <c r="U142" s="86"/>
      <c r="V142" s="86"/>
      <c r="W142" s="86"/>
      <c r="X142" s="86"/>
    </row>
    <row r="143" customFormat="false" ht="15" hidden="false" customHeight="false" outlineLevel="0" collapsed="false">
      <c r="T143" s="86"/>
      <c r="U143" s="86"/>
      <c r="V143" s="86"/>
      <c r="W143" s="86"/>
      <c r="X143" s="86"/>
    </row>
    <row r="144" customFormat="false" ht="15" hidden="false" customHeight="false" outlineLevel="0" collapsed="false">
      <c r="T144" s="86"/>
      <c r="U144" s="86"/>
      <c r="V144" s="86"/>
      <c r="W144" s="86"/>
      <c r="X144" s="86"/>
    </row>
    <row r="145" customFormat="false" ht="15" hidden="false" customHeight="false" outlineLevel="0" collapsed="false">
      <c r="T145" s="86"/>
      <c r="U145" s="86"/>
      <c r="V145" s="86"/>
      <c r="W145" s="86"/>
      <c r="X145" s="86"/>
    </row>
    <row r="146" customFormat="false" ht="15" hidden="false" customHeight="false" outlineLevel="0" collapsed="false">
      <c r="T146" s="86"/>
      <c r="U146" s="86"/>
      <c r="V146" s="86"/>
      <c r="W146" s="86"/>
      <c r="X146" s="86"/>
    </row>
    <row r="147" customFormat="false" ht="15" hidden="false" customHeight="false" outlineLevel="0" collapsed="false">
      <c r="T147" s="86"/>
      <c r="U147" s="86"/>
      <c r="V147" s="86"/>
      <c r="W147" s="86"/>
      <c r="X147" s="86"/>
    </row>
    <row r="148" customFormat="false" ht="15" hidden="false" customHeight="false" outlineLevel="0" collapsed="false">
      <c r="T148" s="86"/>
      <c r="U148" s="86"/>
      <c r="V148" s="86"/>
      <c r="W148" s="86"/>
      <c r="X148" s="86"/>
    </row>
    <row r="149" customFormat="false" ht="15" hidden="false" customHeight="false" outlineLevel="0" collapsed="false">
      <c r="T149" s="86"/>
      <c r="U149" s="86"/>
      <c r="V149" s="86"/>
      <c r="W149" s="86"/>
      <c r="X149" s="86"/>
    </row>
    <row r="150" customFormat="false" ht="15" hidden="false" customHeight="false" outlineLevel="0" collapsed="false">
      <c r="T150" s="86"/>
      <c r="U150" s="86"/>
      <c r="V150" s="86"/>
      <c r="W150" s="86"/>
      <c r="X150" s="86"/>
    </row>
    <row r="151" customFormat="false" ht="15" hidden="false" customHeight="false" outlineLevel="0" collapsed="false">
      <c r="T151" s="86"/>
      <c r="U151" s="86"/>
      <c r="V151" s="86"/>
      <c r="W151" s="86"/>
      <c r="X151" s="86"/>
    </row>
    <row r="152" customFormat="false" ht="15" hidden="false" customHeight="false" outlineLevel="0" collapsed="false">
      <c r="T152" s="86"/>
      <c r="U152" s="86"/>
      <c r="V152" s="86"/>
      <c r="W152" s="86"/>
      <c r="X152" s="86"/>
    </row>
    <row r="153" customFormat="false" ht="15" hidden="false" customHeight="false" outlineLevel="0" collapsed="false">
      <c r="T153" s="86"/>
      <c r="U153" s="86"/>
      <c r="V153" s="86"/>
      <c r="W153" s="86"/>
      <c r="X153" s="86"/>
    </row>
    <row r="154" customFormat="false" ht="15" hidden="false" customHeight="false" outlineLevel="0" collapsed="false">
      <c r="T154" s="86"/>
      <c r="U154" s="86"/>
      <c r="V154" s="86"/>
      <c r="W154" s="86"/>
      <c r="X154" s="86"/>
    </row>
    <row r="155" customFormat="false" ht="15" hidden="false" customHeight="false" outlineLevel="0" collapsed="false">
      <c r="T155" s="86"/>
      <c r="U155" s="86"/>
      <c r="V155" s="86"/>
      <c r="W155" s="86"/>
      <c r="X155" s="86"/>
    </row>
    <row r="156" customFormat="false" ht="15" hidden="false" customHeight="false" outlineLevel="0" collapsed="false">
      <c r="T156" s="86"/>
      <c r="U156" s="86"/>
      <c r="V156" s="86"/>
      <c r="W156" s="86"/>
      <c r="X156" s="86"/>
    </row>
    <row r="157" customFormat="false" ht="15" hidden="false" customHeight="false" outlineLevel="0" collapsed="false">
      <c r="T157" s="86"/>
      <c r="U157" s="86"/>
      <c r="V157" s="86"/>
      <c r="W157" s="86"/>
      <c r="X157" s="86"/>
    </row>
    <row r="158" customFormat="false" ht="15" hidden="false" customHeight="false" outlineLevel="0" collapsed="false">
      <c r="T158" s="86"/>
      <c r="U158" s="86"/>
      <c r="V158" s="86"/>
      <c r="W158" s="86"/>
      <c r="X158" s="86"/>
    </row>
    <row r="159" customFormat="false" ht="15" hidden="false" customHeight="false" outlineLevel="0" collapsed="false">
      <c r="T159" s="86"/>
      <c r="U159" s="86"/>
      <c r="V159" s="86"/>
      <c r="W159" s="86"/>
      <c r="X159" s="86"/>
    </row>
    <row r="160" customFormat="false" ht="15" hidden="false" customHeight="false" outlineLevel="0" collapsed="false">
      <c r="T160" s="86"/>
      <c r="U160" s="86"/>
      <c r="V160" s="86"/>
      <c r="W160" s="86"/>
      <c r="X160" s="86"/>
    </row>
    <row r="161" customFormat="false" ht="15" hidden="false" customHeight="false" outlineLevel="0" collapsed="false">
      <c r="T161" s="86"/>
      <c r="U161" s="86"/>
      <c r="V161" s="86"/>
      <c r="W161" s="86"/>
      <c r="X161" s="86"/>
    </row>
    <row r="162" customFormat="false" ht="15" hidden="false" customHeight="false" outlineLevel="0" collapsed="false">
      <c r="T162" s="86"/>
      <c r="U162" s="86"/>
      <c r="V162" s="86"/>
      <c r="W162" s="86"/>
      <c r="X162" s="86"/>
    </row>
    <row r="163" customFormat="false" ht="15" hidden="false" customHeight="false" outlineLevel="0" collapsed="false">
      <c r="T163" s="86"/>
      <c r="U163" s="86"/>
      <c r="V163" s="86"/>
      <c r="W163" s="86"/>
      <c r="X163" s="86"/>
    </row>
    <row r="164" customFormat="false" ht="15" hidden="false" customHeight="false" outlineLevel="0" collapsed="false">
      <c r="T164" s="86"/>
      <c r="U164" s="86"/>
      <c r="V164" s="86"/>
      <c r="W164" s="86"/>
      <c r="X164" s="86"/>
    </row>
    <row r="165" customFormat="false" ht="15" hidden="false" customHeight="false" outlineLevel="0" collapsed="false">
      <c r="T165" s="86"/>
      <c r="U165" s="86"/>
      <c r="V165" s="86"/>
      <c r="W165" s="86"/>
      <c r="X165" s="86"/>
    </row>
    <row r="166" customFormat="false" ht="15" hidden="false" customHeight="false" outlineLevel="0" collapsed="false">
      <c r="T166" s="86"/>
      <c r="U166" s="86"/>
      <c r="V166" s="86"/>
      <c r="W166" s="86"/>
      <c r="X166" s="86"/>
    </row>
    <row r="167" customFormat="false" ht="15" hidden="false" customHeight="false" outlineLevel="0" collapsed="false">
      <c r="T167" s="86"/>
      <c r="U167" s="86"/>
      <c r="V167" s="86"/>
      <c r="W167" s="86"/>
      <c r="X167" s="86"/>
    </row>
    <row r="168" customFormat="false" ht="15" hidden="false" customHeight="false" outlineLevel="0" collapsed="false">
      <c r="T168" s="86"/>
      <c r="U168" s="86"/>
      <c r="V168" s="86"/>
      <c r="W168" s="86"/>
      <c r="X168" s="86"/>
    </row>
    <row r="169" customFormat="false" ht="15" hidden="false" customHeight="false" outlineLevel="0" collapsed="false">
      <c r="T169" s="86"/>
      <c r="U169" s="86"/>
      <c r="V169" s="86"/>
      <c r="W169" s="86"/>
      <c r="X169" s="86"/>
    </row>
    <row r="170" customFormat="false" ht="15" hidden="false" customHeight="false" outlineLevel="0" collapsed="false">
      <c r="T170" s="86"/>
      <c r="U170" s="86"/>
      <c r="V170" s="86"/>
      <c r="W170" s="86"/>
      <c r="X170" s="86"/>
    </row>
    <row r="171" customFormat="false" ht="15" hidden="false" customHeight="false" outlineLevel="0" collapsed="false">
      <c r="T171" s="86"/>
      <c r="U171" s="86"/>
      <c r="V171" s="86"/>
      <c r="W171" s="86"/>
      <c r="X171" s="86"/>
    </row>
    <row r="172" customFormat="false" ht="15" hidden="false" customHeight="false" outlineLevel="0" collapsed="false">
      <c r="T172" s="86"/>
      <c r="U172" s="86"/>
      <c r="V172" s="86"/>
      <c r="W172" s="86"/>
      <c r="X172" s="86"/>
    </row>
    <row r="173" customFormat="false" ht="15" hidden="false" customHeight="false" outlineLevel="0" collapsed="false">
      <c r="T173" s="86"/>
      <c r="U173" s="86"/>
      <c r="V173" s="86"/>
      <c r="W173" s="86"/>
      <c r="X173" s="86"/>
    </row>
    <row r="174" customFormat="false" ht="15" hidden="false" customHeight="false" outlineLevel="0" collapsed="false">
      <c r="T174" s="86"/>
      <c r="U174" s="86"/>
      <c r="V174" s="86"/>
      <c r="W174" s="86"/>
      <c r="X174" s="86"/>
    </row>
    <row r="175" customFormat="false" ht="15" hidden="false" customHeight="false" outlineLevel="0" collapsed="false">
      <c r="T175" s="86"/>
      <c r="U175" s="86"/>
      <c r="V175" s="86"/>
      <c r="W175" s="86"/>
      <c r="X175" s="86"/>
    </row>
    <row r="176" customFormat="false" ht="15" hidden="false" customHeight="false" outlineLevel="0" collapsed="false">
      <c r="T176" s="86"/>
      <c r="U176" s="86"/>
      <c r="V176" s="86"/>
      <c r="W176" s="86"/>
      <c r="X176" s="86"/>
    </row>
    <row r="177" customFormat="false" ht="15" hidden="false" customHeight="false" outlineLevel="0" collapsed="false">
      <c r="T177" s="86"/>
      <c r="U177" s="86"/>
      <c r="V177" s="86"/>
      <c r="W177" s="86"/>
      <c r="X177" s="86"/>
    </row>
    <row r="178" customFormat="false" ht="15" hidden="false" customHeight="false" outlineLevel="0" collapsed="false">
      <c r="T178" s="86"/>
      <c r="U178" s="86"/>
      <c r="V178" s="86"/>
      <c r="W178" s="86"/>
      <c r="X178" s="86"/>
    </row>
    <row r="179" customFormat="false" ht="44.25" hidden="false" customHeight="true" outlineLevel="0" collapsed="false">
      <c r="T179" s="86"/>
      <c r="U179" s="86"/>
      <c r="V179" s="86"/>
      <c r="W179" s="86"/>
      <c r="X179" s="86"/>
    </row>
    <row r="180" customFormat="false" ht="15" hidden="false" customHeight="false" outlineLevel="0" collapsed="false">
      <c r="T180" s="86"/>
      <c r="U180" s="86"/>
      <c r="V180" s="86"/>
      <c r="W180" s="86"/>
      <c r="X180" s="86"/>
    </row>
    <row r="181" customFormat="false" ht="15" hidden="false" customHeight="false" outlineLevel="0" collapsed="false">
      <c r="T181" s="86"/>
      <c r="U181" s="86"/>
      <c r="V181" s="86"/>
      <c r="W181" s="86"/>
      <c r="X181" s="86"/>
    </row>
    <row r="182" customFormat="false" ht="30" hidden="false" customHeight="true" outlineLevel="0" collapsed="false">
      <c r="T182" s="86"/>
      <c r="U182" s="86"/>
      <c r="V182" s="86"/>
      <c r="W182" s="86"/>
      <c r="X182" s="86"/>
    </row>
    <row r="183" customFormat="false" ht="41.25" hidden="false" customHeight="true" outlineLevel="0" collapsed="false">
      <c r="T183" s="86"/>
      <c r="U183" s="86"/>
      <c r="V183" s="86"/>
      <c r="W183" s="86"/>
      <c r="X183" s="86"/>
    </row>
  </sheetData>
  <sheetProtection algorithmName="SHA-512" hashValue="6SsIeSEJL8Ip5P8GfzkLMUu3KNrWaaxpnGdeG85Zfek/ek7xNPsky+k4hxpo941k0PlgRlkV32/3TPX9UDkXjA==" saltValue="hKhMR90q2q8ZcVMt00Mcmw==" spinCount="100000" sheet="true" objects="true" scenarios="true" selectLockedCells="true" selectUnlockedCells="true"/>
  <mergeCells count="3">
    <mergeCell ref="R3:S4"/>
    <mergeCell ref="T3:U4"/>
    <mergeCell ref="V3:W4"/>
  </mergeCells>
  <conditionalFormatting sqref="E26:K26 E29:F29">
    <cfRule type="expression" priority="2" aboveAverage="0" equalAverage="0" bottom="0" percent="0" rank="0" text="" dxfId="34">
      <formula>AND(DAY(E26)&gt;=1,DAY(E26)&lt;=15)</formula>
    </cfRule>
  </conditionalFormatting>
  <conditionalFormatting sqref="E13:J13">
    <cfRule type="expression" priority="3" aboveAverage="0" equalAverage="0" bottom="0" percent="0" rank="0" text="" dxfId="35">
      <formula>DAY(E13)&gt;8</formula>
    </cfRule>
  </conditionalFormatting>
  <dataValidations count="11">
    <dataValidation allowBlank="true" errorStyle="stop" operator="between" prompt="Inserir Anotações na célula à direita" showDropDown="false" showErrorMessage="true" showInputMessage="true" sqref="G29:G30" type="none">
      <formula1>0</formula1>
      <formula2>0</formula2>
    </dataValidation>
    <dataValidation allowBlank="true" errorStyle="stop" operator="between" prompt="Inserir Anotações nesta célula" showDropDown="false" showErrorMessage="true" showInputMessage="true" sqref="H29:K30" type="none">
      <formula1>0</formula1>
      <formula2>0</formula2>
    </dataValidation>
    <dataValidation allowBlank="true" errorStyle="stop" operator="between" prompt="Esta linha e as linhas 6, 8, 10, 12 e 14 são células para inserir anotações diárias relacionadas ao dia do calendário na célula acima." showDropDown="false" showErrorMessage="true" showInputMessage="true" sqref="E14" type="none">
      <formula1>0</formula1>
      <formula2>0</formula2>
    </dataValidation>
    <dataValidation allowBlank="true" errorStyle="stop" operator="between" prompt="Dia da semana determinado automaticamente" showDropDown="false" showErrorMessage="true" showInputMessage="true" sqref="F12:K12" type="none">
      <formula1>0</formula1>
      <formula2>0</formula2>
    </dataValidation>
    <dataValidation allowBlank="true" errorStyle="stop" operator="between" prompt="O ano nesta célula é atualizado automaticamente com base no ano inserido na célula K2. O calendário abaixo tem as datas dos meses anterior e seguinte com sombreamento de fonte mais claro." showDropDown="false" showErrorMessage="true" showInputMessage="true" sqref="E11" type="none">
      <formula1>0</formula1>
      <formula2>0</formula2>
    </dataValidation>
    <dataValidation allowBlank="true" errorStyle="stop" operator="between" prompt="Esta linha e as linhas 5, 7, 9, 11 e 13 contêm dias da semana do calendário. Se esta célula não contém o número 1, é um dia do mês anterior. Inserir anotações na célula E13" showDropDown="false" showErrorMessage="true" showInputMessage="true" sqref="E13" type="none">
      <formula1>0</formula1>
      <formula2>0</formula2>
    </dataValidation>
    <dataValidation allowBlank="true" errorStyle="stop" operator="between" prompt="Esta linha contém os nomes dos dias da semana para este calendário. Esta célula contém o dia de início da semana. Para alterar o dia de início, insira um novo dia da semana na célula K3." showDropDown="false" showErrorMessage="true" showInputMessage="true" sqref="E12" type="none">
      <formula1>0</formula1>
      <formula2>0</formula2>
    </dataValidation>
    <dataValidation allowBlank="true" errorStyle="stop" operator="between" prompt="Selecione o dia de início da semana na célula à direita." showDropDown="false" showErrorMessage="true" showInputMessage="true" sqref="Q4:Q6" type="none">
      <formula1>0</formula1>
      <formula2>0</formula2>
    </dataValidation>
    <dataValidation allowBlank="true" errorStyle="stop" operator="between" prompt="Insira o ano na célula à direita." showDropDown="false" showErrorMessage="true" showInputMessage="true" sqref="Q3" type="none">
      <formula1>0</formula1>
      <formula2>0</formula2>
    </dataValidation>
    <dataValidation allowBlank="true" errorStyle="stop" operator="between" prompt="Insira o ano e selecione o dia de início do calendário nas células abaixo. Estas células de Configurações de Calendário não serão impressas." showDropDown="false" showErrorMessage="true" showInputMessage="true" sqref="Q2" type="none">
      <formula1>0</formula1>
      <formula2>0</formula2>
    </dataValidation>
    <dataValidation allowBlank="true" errorStyle="stop" operator="between" prompt="O ano nesta célula é atualizado automaticamente. Selecione outro ano na célula K2 para alterar o ano." showDropDown="false" showErrorMessage="true" showInputMessage="true" sqref="F11:G11" type="none">
      <formula1>0</formula1>
      <formula2>0</formula2>
    </dataValidation>
  </dataValidations>
  <hyperlinks>
    <hyperlink ref="R3" location="'🔒'!A1" display="REGISTROS"/>
    <hyperlink ref="T3" location="ANUAL!A1" display="ANUA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21"/>
  <sheetViews>
    <sheetView showFormulas="false" showGridLines="true" showRowColHeaders="fals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L5" activeCellId="0" sqref="L5"/>
    </sheetView>
  </sheetViews>
  <sheetFormatPr defaultColWidth="8.6875" defaultRowHeight="15" zeroHeight="false" outlineLevelRow="0" outlineLevelCol="0"/>
  <cols>
    <col collapsed="false" customWidth="true" hidden="false" outlineLevel="0" max="7" min="7" style="0" width="31.01"/>
    <col collapsed="false" customWidth="true" hidden="false" outlineLevel="0" max="10" min="10" style="0" width="12.29"/>
    <col collapsed="false" customWidth="true" hidden="false" outlineLevel="0" max="11" min="11" style="0" width="3.86"/>
    <col collapsed="false" customWidth="true" hidden="false" outlineLevel="0" max="12" min="12" style="0" width="15.57"/>
    <col collapsed="false" customWidth="true" hidden="false" outlineLevel="0" max="13" min="13" style="0" width="3.86"/>
    <col collapsed="false" customWidth="true" hidden="false" outlineLevel="0" max="14" min="14" style="0" width="15.57"/>
    <col collapsed="false" customWidth="true" hidden="false" outlineLevel="0" max="15" min="15" style="0" width="3.86"/>
    <col collapsed="false" customWidth="true" hidden="false" outlineLevel="0" max="16" min="16" style="0" width="18.14"/>
    <col collapsed="false" customWidth="true" hidden="false" outlineLevel="0" max="17" min="17" style="0" width="4.14"/>
    <col collapsed="false" customWidth="true" hidden="false" outlineLevel="0" max="18" min="18" style="0" width="29.42"/>
    <col collapsed="false" customWidth="true" hidden="false" outlineLevel="0" max="19" min="19" style="0" width="3.29"/>
    <col collapsed="false" customWidth="true" hidden="false" outlineLevel="0" max="20" min="20" style="0" width="22.86"/>
    <col collapsed="false" customWidth="true" hidden="false" outlineLevel="0" max="21" min="21" style="0" width="7.29"/>
    <col collapsed="false" customWidth="true" hidden="false" outlineLevel="0" max="22" min="22" style="0" width="17.58"/>
    <col collapsed="false" customWidth="true" hidden="false" outlineLevel="0" max="23" min="23" style="0" width="4.71"/>
    <col collapsed="false" customWidth="true" hidden="false" outlineLevel="0" max="24" min="24" style="0" width="19.29"/>
    <col collapsed="false" customWidth="true" hidden="false" outlineLevel="0" max="25" min="25" style="0" width="4.71"/>
    <col collapsed="false" customWidth="true" hidden="false" outlineLevel="0" max="26" min="26" style="0" width="23.15"/>
    <col collapsed="false" customWidth="true" hidden="false" outlineLevel="0" max="27" min="27" style="0" width="6.01"/>
    <col collapsed="false" customWidth="true" hidden="false" outlineLevel="0" max="28" min="28" style="0" width="16.42"/>
    <col collapsed="false" customWidth="true" hidden="false" outlineLevel="0" max="29" min="29" style="0" width="4.29"/>
    <col collapsed="false" customWidth="true" hidden="false" outlineLevel="0" max="30" min="30" style="0" width="19.85"/>
    <col collapsed="false" customWidth="true" hidden="false" outlineLevel="0" max="31" min="31" style="0" width="4.29"/>
    <col collapsed="false" customWidth="true" hidden="false" outlineLevel="0" max="32" min="32" style="0" width="26.14"/>
    <col collapsed="false" customWidth="true" hidden="false" outlineLevel="0" max="33" min="33" style="0" width="4.29"/>
    <col collapsed="false" customWidth="true" hidden="false" outlineLevel="0" max="34" min="34" style="0" width="27.99"/>
    <col collapsed="false" customWidth="true" hidden="false" outlineLevel="0" max="35" min="35" style="0" width="9.29"/>
    <col collapsed="false" customWidth="true" hidden="false" outlineLevel="0" max="36" min="36" style="0" width="16.42"/>
    <col collapsed="false" customWidth="true" hidden="false" outlineLevel="0" max="37" min="37" style="0" width="3.99"/>
    <col collapsed="false" customWidth="true" hidden="false" outlineLevel="0" max="38" min="38" style="0" width="19.85"/>
    <col collapsed="false" customWidth="true" hidden="false" outlineLevel="0" max="39" min="39" style="0" width="3.99"/>
    <col collapsed="false" customWidth="true" hidden="false" outlineLevel="0" max="40" min="40" style="0" width="26.14"/>
    <col collapsed="false" customWidth="true" hidden="false" outlineLevel="0" max="41" min="41" style="0" width="3.99"/>
    <col collapsed="false" customWidth="true" hidden="false" outlineLevel="0" max="42" min="42" style="0" width="27.99"/>
  </cols>
  <sheetData>
    <row r="1" customFormat="false" ht="15" hidden="false" customHeight="false" outlineLevel="0" collapsed="false">
      <c r="B1" s="0" t="s">
        <v>125</v>
      </c>
      <c r="E1" s="0" t="s">
        <v>22</v>
      </c>
      <c r="F1" s="0" t="s">
        <v>126</v>
      </c>
      <c r="G1" s="0" t="s">
        <v>127</v>
      </c>
      <c r="H1" s="0" t="s">
        <v>128</v>
      </c>
      <c r="I1" s="0" t="s">
        <v>129</v>
      </c>
      <c r="P1" s="0" t="s">
        <v>130</v>
      </c>
      <c r="AT1" s="0" t="s">
        <v>131</v>
      </c>
      <c r="AX1" s="0" t="s">
        <v>132</v>
      </c>
      <c r="BB1" s="0" t="s">
        <v>133</v>
      </c>
      <c r="BF1" s="0" t="s">
        <v>134</v>
      </c>
      <c r="BJ1" s="0" t="s">
        <v>135</v>
      </c>
      <c r="BN1" s="0" t="s">
        <v>130</v>
      </c>
      <c r="BR1" s="0" t="s">
        <v>131</v>
      </c>
      <c r="BV1" s="0" t="s">
        <v>132</v>
      </c>
      <c r="BZ1" s="0" t="s">
        <v>133</v>
      </c>
      <c r="CD1" s="0" t="s">
        <v>134</v>
      </c>
      <c r="CH1" s="0" t="s">
        <v>135</v>
      </c>
    </row>
    <row r="2" customFormat="false" ht="15" hidden="false" customHeight="false" outlineLevel="0" collapsed="false">
      <c r="B2" s="0" t="s">
        <v>17</v>
      </c>
      <c r="E2" s="0" t="s">
        <v>136</v>
      </c>
      <c r="F2" s="0" t="s">
        <v>135</v>
      </c>
      <c r="G2" s="0" t="s">
        <v>137</v>
      </c>
      <c r="H2" s="0" t="s">
        <v>6</v>
      </c>
      <c r="I2" s="0" t="s">
        <v>11</v>
      </c>
      <c r="J2" s="271" t="s">
        <v>27</v>
      </c>
      <c r="L2" s="271" t="s">
        <v>26</v>
      </c>
      <c r="N2" s="271" t="s">
        <v>21</v>
      </c>
      <c r="P2" s="271" t="s">
        <v>138</v>
      </c>
      <c r="R2" s="271" t="s">
        <v>74</v>
      </c>
      <c r="T2" s="271" t="s">
        <v>79</v>
      </c>
      <c r="V2" s="271" t="s">
        <v>139</v>
      </c>
      <c r="X2" s="271" t="s">
        <v>140</v>
      </c>
      <c r="Z2" s="271" t="s">
        <v>141</v>
      </c>
      <c r="AB2" s="271" t="s">
        <v>142</v>
      </c>
      <c r="AD2" s="271" t="s">
        <v>143</v>
      </c>
      <c r="AF2" s="271" t="s">
        <v>144</v>
      </c>
      <c r="AH2" s="271" t="s">
        <v>145</v>
      </c>
      <c r="AJ2" s="271" t="s">
        <v>146</v>
      </c>
      <c r="AL2" s="271" t="s">
        <v>147</v>
      </c>
      <c r="AN2" s="271" t="s">
        <v>148</v>
      </c>
      <c r="AP2" s="271" t="s">
        <v>149</v>
      </c>
      <c r="AS2" s="0" t="s">
        <v>150</v>
      </c>
      <c r="AT2" s="0" t="s">
        <v>23</v>
      </c>
      <c r="AU2" s="0" t="s">
        <v>151</v>
      </c>
      <c r="AW2" s="0" t="s">
        <v>150</v>
      </c>
      <c r="AX2" s="0" t="s">
        <v>23</v>
      </c>
      <c r="AY2" s="0" t="s">
        <v>151</v>
      </c>
      <c r="BA2" s="0" t="s">
        <v>150</v>
      </c>
      <c r="BB2" s="0" t="s">
        <v>23</v>
      </c>
      <c r="BC2" s="0" t="s">
        <v>151</v>
      </c>
      <c r="BE2" s="0" t="s">
        <v>150</v>
      </c>
      <c r="BF2" s="0" t="s">
        <v>23</v>
      </c>
      <c r="BG2" s="0" t="s">
        <v>151</v>
      </c>
      <c r="BI2" s="0" t="s">
        <v>150</v>
      </c>
      <c r="BJ2" s="0" t="s">
        <v>23</v>
      </c>
      <c r="BK2" s="0" t="s">
        <v>151</v>
      </c>
      <c r="BM2" s="0" t="s">
        <v>152</v>
      </c>
      <c r="BN2" s="0" t="s">
        <v>23</v>
      </c>
      <c r="BO2" s="0" t="s">
        <v>151</v>
      </c>
      <c r="BQ2" s="0" t="s">
        <v>152</v>
      </c>
      <c r="BR2" s="0" t="s">
        <v>23</v>
      </c>
      <c r="BS2" s="0" t="s">
        <v>151</v>
      </c>
      <c r="BU2" s="0" t="s">
        <v>152</v>
      </c>
      <c r="BV2" s="0" t="s">
        <v>23</v>
      </c>
      <c r="BW2" s="0" t="s">
        <v>151</v>
      </c>
      <c r="BY2" s="0" t="s">
        <v>152</v>
      </c>
      <c r="BZ2" s="0" t="s">
        <v>23</v>
      </c>
      <c r="CA2" s="0" t="s">
        <v>151</v>
      </c>
      <c r="CC2" s="0" t="s">
        <v>152</v>
      </c>
      <c r="CD2" s="0" t="s">
        <v>23</v>
      </c>
      <c r="CE2" s="0" t="s">
        <v>151</v>
      </c>
      <c r="CG2" s="0" t="s">
        <v>152</v>
      </c>
      <c r="CH2" s="0" t="s">
        <v>23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1</v>
      </c>
      <c r="D3" s="0" t="s">
        <v>153</v>
      </c>
      <c r="E3" s="0" t="s">
        <v>154</v>
      </c>
      <c r="F3" s="0" t="s">
        <v>132</v>
      </c>
      <c r="G3" s="0" t="s">
        <v>155</v>
      </c>
      <c r="H3" s="0" t="s">
        <v>111</v>
      </c>
      <c r="I3" s="0" t="s">
        <v>156</v>
      </c>
      <c r="J3" s="0" t="s">
        <v>157</v>
      </c>
      <c r="L3" s="0" t="s">
        <v>158</v>
      </c>
      <c r="N3" s="0" t="s">
        <v>159</v>
      </c>
      <c r="P3" s="0" t="s">
        <v>74</v>
      </c>
      <c r="Q3" s="0" t="str">
        <f aca="false">LEFT(despesafixa[[#This Row],[DESPESA FIXA]],1)</f>
        <v>💧</v>
      </c>
      <c r="R3" s="0" t="s">
        <v>160</v>
      </c>
      <c r="S3" s="0" t="str">
        <f aca="false">LEFT(despesavariável[[#This Row],[DESPESA VARIÁVEL]],1)</f>
        <v>🍕</v>
      </c>
      <c r="T3" s="0" t="s">
        <v>161</v>
      </c>
      <c r="V3" s="0" t="s">
        <v>140</v>
      </c>
      <c r="W3" s="0" t="str">
        <f aca="false">LEFT(receitafixa[[#This Row],[RECEITA FIXA]],1)</f>
        <v>💵</v>
      </c>
      <c r="X3" s="0" t="s">
        <v>162</v>
      </c>
      <c r="Y3" s="0" t="str">
        <f aca="false">LEFT(receitavariável[[#This Row],[RECEITA VARIÁVEL]],1)</f>
        <v>🏅</v>
      </c>
      <c r="Z3" s="0" t="s">
        <v>163</v>
      </c>
      <c r="AB3" s="0" t="s">
        <v>143</v>
      </c>
      <c r="AC3" s="0" t="str">
        <f aca="false">LEFT(rendafixa[[#This Row],[RENDA FIXA]],1)</f>
        <v>📝</v>
      </c>
      <c r="AD3" s="0" t="s">
        <v>164</v>
      </c>
      <c r="AE3" s="0" t="str">
        <f aca="false">LEFT(rendavariável[[#This Row],[RENDA VARIÁVEL]],1)</f>
        <v>📝</v>
      </c>
      <c r="AF3" s="0" t="s">
        <v>165</v>
      </c>
      <c r="AG3" s="0" t="str">
        <f aca="false">LEFT(outros[[#This Row],[OUTROS INVESTIMENTOS]],1)</f>
        <v>📝</v>
      </c>
      <c r="AH3" s="0" t="s">
        <v>166</v>
      </c>
      <c r="AJ3" s="0" t="s">
        <v>143</v>
      </c>
      <c r="AK3" s="0" t="str">
        <f aca="false">LEFT(reservarendafixa[[#This Row],[RESERVA RENDA FIXA]],1)</f>
        <v>📝</v>
      </c>
      <c r="AL3" s="0" t="s">
        <v>164</v>
      </c>
      <c r="AM3" s="0" t="str">
        <f aca="false">LEFT(reservarendavariável[[#This Row],[RESERVA RENDA VARIÁVEL]],1)</f>
        <v>📝</v>
      </c>
      <c r="AN3" s="0" t="s">
        <v>165</v>
      </c>
      <c r="AO3" s="0" t="str">
        <f aca="false">LEFT(reservaoutros[[#This Row],[RESERVA OUTROS INVESTIMENTOS]],1)</f>
        <v>📝</v>
      </c>
      <c r="AP3" s="0" t="s">
        <v>166</v>
      </c>
      <c r="AS3" s="0" t="s">
        <v>167</v>
      </c>
      <c r="AT3" s="0" t="s">
        <v>168</v>
      </c>
      <c r="AU3" s="0" t="s">
        <v>169</v>
      </c>
      <c r="AW3" s="0" t="s">
        <v>167</v>
      </c>
      <c r="AX3" s="0" t="s">
        <v>168</v>
      </c>
      <c r="AY3" s="0" t="s">
        <v>169</v>
      </c>
      <c r="BA3" s="0" t="s">
        <v>167</v>
      </c>
      <c r="BB3" s="0" t="s">
        <v>168</v>
      </c>
      <c r="BC3" s="0" t="s">
        <v>169</v>
      </c>
      <c r="BE3" s="0" t="s">
        <v>167</v>
      </c>
      <c r="BF3" s="0" t="s">
        <v>168</v>
      </c>
      <c r="BG3" s="0" t="s">
        <v>169</v>
      </c>
      <c r="BI3" s="0" t="s">
        <v>167</v>
      </c>
      <c r="BJ3" s="0" t="s">
        <v>168</v>
      </c>
      <c r="BK3" s="0" t="s">
        <v>169</v>
      </c>
      <c r="BM3" s="0" t="s">
        <v>167</v>
      </c>
      <c r="BN3" s="0" t="s">
        <v>168</v>
      </c>
      <c r="BO3" s="0" t="s">
        <v>169</v>
      </c>
      <c r="BQ3" s="0" t="s">
        <v>167</v>
      </c>
      <c r="BR3" s="0" t="s">
        <v>168</v>
      </c>
      <c r="BS3" s="0" t="s">
        <v>169</v>
      </c>
      <c r="BU3" s="0" t="s">
        <v>167</v>
      </c>
      <c r="BV3" s="0" t="s">
        <v>168</v>
      </c>
      <c r="BW3" s="0" t="s">
        <v>169</v>
      </c>
      <c r="BY3" s="0" t="s">
        <v>167</v>
      </c>
      <c r="BZ3" s="0" t="s">
        <v>168</v>
      </c>
      <c r="CA3" s="0" t="s">
        <v>169</v>
      </c>
      <c r="CC3" s="0" t="s">
        <v>167</v>
      </c>
      <c r="CD3" s="0" t="s">
        <v>168</v>
      </c>
      <c r="CE3" s="0" t="s">
        <v>169</v>
      </c>
      <c r="CG3" s="0" t="s">
        <v>167</v>
      </c>
      <c r="CH3" s="0" t="s">
        <v>168</v>
      </c>
    </row>
    <row r="4" customFormat="false" ht="15" hidden="false" customHeight="false" outlineLevel="0" collapsed="false">
      <c r="A4" s="0" t="n">
        <v>2</v>
      </c>
      <c r="B4" s="0" t="s">
        <v>100</v>
      </c>
      <c r="C4" s="0" t="n">
        <v>2</v>
      </c>
      <c r="F4" s="0" t="s">
        <v>134</v>
      </c>
      <c r="J4" s="0" t="s">
        <v>65</v>
      </c>
      <c r="L4" s="0" t="s">
        <v>170</v>
      </c>
      <c r="N4" s="0" t="s">
        <v>29</v>
      </c>
      <c r="P4" s="0" t="s">
        <v>79</v>
      </c>
      <c r="Q4" s="0" t="str">
        <f aca="false">LEFT(despesafixa[[#This Row],[DESPESA FIXA]],1)</f>
        <v>🐶</v>
      </c>
      <c r="R4" s="0" t="s">
        <v>171</v>
      </c>
      <c r="S4" s="0" t="str">
        <f aca="false">LEFT(despesavariável[[#This Row],[DESPESA VARIÁVEL]],1)</f>
        <v>💳</v>
      </c>
      <c r="T4" s="0" t="s">
        <v>172</v>
      </c>
      <c r="V4" s="0" t="s">
        <v>141</v>
      </c>
      <c r="W4" s="0" t="str">
        <f aca="false">LEFT(receitafixa[[#This Row],[RECEITA FIXA]],1)</f>
        <v>💸</v>
      </c>
      <c r="X4" s="0" t="s">
        <v>173</v>
      </c>
      <c r="Y4" s="0" t="str">
        <f aca="false">LEFT(receitavariável[[#This Row],[RECEITA VARIÁVEL]],1)</f>
        <v>🤑</v>
      </c>
      <c r="Z4" s="0" t="s">
        <v>174</v>
      </c>
      <c r="AB4" s="0" t="s">
        <v>144</v>
      </c>
      <c r="AC4" s="0" t="str">
        <f aca="false">LEFT(rendafixa[[#This Row],[RENDA FIXA]],1)</f>
        <v>📝</v>
      </c>
      <c r="AD4" s="0" t="s">
        <v>175</v>
      </c>
      <c r="AE4" s="0" t="str">
        <f aca="false">LEFT(rendavariável[[#This Row],[RENDA VARIÁVEL]],1)</f>
        <v>📝</v>
      </c>
      <c r="AF4" s="0" t="s">
        <v>176</v>
      </c>
      <c r="AG4" s="0" t="str">
        <f aca="false">LEFT(outros[[#This Row],[OUTROS INVESTIMENTOS]],1)</f>
        <v>📝</v>
      </c>
      <c r="AH4" s="0" t="s">
        <v>177</v>
      </c>
      <c r="AJ4" s="0" t="s">
        <v>144</v>
      </c>
      <c r="AK4" s="0" t="str">
        <f aca="false">LEFT(reservarendafixa[[#This Row],[RESERVA RENDA FIXA]],1)</f>
        <v>📝</v>
      </c>
      <c r="AL4" s="0" t="s">
        <v>175</v>
      </c>
      <c r="AM4" s="0" t="str">
        <f aca="false">LEFT(reservarendavariável[[#This Row],[RESERVA RENDA VARIÁVEL]],1)</f>
        <v>📝</v>
      </c>
      <c r="AN4" s="0" t="s">
        <v>176</v>
      </c>
      <c r="AO4" s="0" t="str">
        <f aca="false">LEFT(reservaoutros[[#This Row],[RESERVA OUTROS INVESTIMENTOS]],1)</f>
        <v>📝</v>
      </c>
      <c r="AP4" s="0" t="s">
        <v>177</v>
      </c>
      <c r="AS4" s="0" t="s">
        <v>167</v>
      </c>
      <c r="AT4" s="0" t="s">
        <v>178</v>
      </c>
      <c r="AU4" s="0" t="s">
        <v>179</v>
      </c>
      <c r="AW4" s="0" t="s">
        <v>167</v>
      </c>
      <c r="AX4" s="0" t="s">
        <v>178</v>
      </c>
      <c r="AY4" s="0" t="s">
        <v>179</v>
      </c>
      <c r="BA4" s="0" t="s">
        <v>167</v>
      </c>
      <c r="BB4" s="0" t="s">
        <v>178</v>
      </c>
      <c r="BC4" s="0" t="s">
        <v>179</v>
      </c>
      <c r="BE4" s="0" t="s">
        <v>167</v>
      </c>
      <c r="BF4" s="0" t="s">
        <v>178</v>
      </c>
      <c r="BG4" s="0" t="s">
        <v>179</v>
      </c>
      <c r="BI4" s="0" t="s">
        <v>167</v>
      </c>
      <c r="BJ4" s="0" t="s">
        <v>178</v>
      </c>
      <c r="BK4" s="0" t="s">
        <v>179</v>
      </c>
      <c r="BM4" s="0" t="s">
        <v>167</v>
      </c>
      <c r="BN4" s="0" t="s">
        <v>178</v>
      </c>
      <c r="BO4" s="0" t="s">
        <v>179</v>
      </c>
      <c r="BQ4" s="0" t="s">
        <v>167</v>
      </c>
      <c r="BR4" s="0" t="s">
        <v>178</v>
      </c>
      <c r="BS4" s="0" t="s">
        <v>179</v>
      </c>
      <c r="BU4" s="0" t="s">
        <v>167</v>
      </c>
      <c r="BV4" s="0" t="s">
        <v>178</v>
      </c>
      <c r="BW4" s="0" t="s">
        <v>179</v>
      </c>
      <c r="BY4" s="0" t="s">
        <v>167</v>
      </c>
      <c r="BZ4" s="0" t="s">
        <v>178</v>
      </c>
      <c r="CA4" s="0" t="s">
        <v>179</v>
      </c>
      <c r="CC4" s="0" t="s">
        <v>167</v>
      </c>
      <c r="CD4" s="0" t="s">
        <v>178</v>
      </c>
      <c r="CE4" s="0" t="s">
        <v>179</v>
      </c>
      <c r="CG4" s="0" t="s">
        <v>167</v>
      </c>
      <c r="CH4" s="0" t="s">
        <v>178</v>
      </c>
    </row>
    <row r="5" customFormat="false" ht="15" hidden="false" customHeight="false" outlineLevel="0" collapsed="false">
      <c r="A5" s="0" t="n">
        <v>3</v>
      </c>
      <c r="B5" s="0" t="s">
        <v>101</v>
      </c>
      <c r="C5" s="0" t="n">
        <v>3</v>
      </c>
      <c r="F5" s="0" t="s">
        <v>131</v>
      </c>
      <c r="L5" s="0" t="s">
        <v>180</v>
      </c>
      <c r="N5" s="0" t="s">
        <v>142</v>
      </c>
      <c r="Q5" s="0" t="str">
        <f aca="false">LEFT(despesafixa[[#This Row],[DESPESA FIXA]],1)</f>
        <v>🔖</v>
      </c>
      <c r="R5" s="0" t="s">
        <v>181</v>
      </c>
      <c r="S5" s="0" t="str">
        <f aca="false">LEFT(despesavariável[[#This Row],[DESPESA VARIÁVEL]],1)</f>
        <v>✍</v>
      </c>
      <c r="T5" s="0" t="s">
        <v>182</v>
      </c>
      <c r="W5" s="0" t="str">
        <f aca="false">LEFT(receitafixa[[#This Row],[RECEITA FIXA]],1)</f>
        <v>🎀</v>
      </c>
      <c r="X5" s="0" t="s">
        <v>183</v>
      </c>
      <c r="Y5" s="0" t="str">
        <f aca="false">LEFT(receitavariável[[#This Row],[RECEITA VARIÁVEL]],1)</f>
        <v>🎗</v>
      </c>
      <c r="Z5" s="0" t="s">
        <v>184</v>
      </c>
      <c r="AB5" s="0" t="s">
        <v>185</v>
      </c>
      <c r="AC5" s="0" t="str">
        <f aca="false">LEFT(rendafixa[[#This Row],[RENDA FIXA]],1)</f>
        <v>📝</v>
      </c>
      <c r="AD5" s="0" t="s">
        <v>186</v>
      </c>
      <c r="AE5" s="0" t="str">
        <f aca="false">LEFT(rendavariável[[#This Row],[RENDA VARIÁVEL]],1)</f>
        <v>📝</v>
      </c>
      <c r="AF5" s="0" t="s">
        <v>187</v>
      </c>
      <c r="AG5" s="0" t="str">
        <f aca="false">LEFT(outros[[#This Row],[OUTROS INVESTIMENTOS]],1)</f>
        <v>📝</v>
      </c>
      <c r="AH5" s="0" t="s">
        <v>188</v>
      </c>
      <c r="AJ5" s="0" t="s">
        <v>185</v>
      </c>
      <c r="AK5" s="0" t="str">
        <f aca="false">LEFT(reservarendafixa[[#This Row],[RESERVA RENDA FIXA]],1)</f>
        <v>📝</v>
      </c>
      <c r="AL5" s="0" t="s">
        <v>186</v>
      </c>
      <c r="AM5" s="0" t="str">
        <f aca="false">LEFT(reservarendavariável[[#This Row],[RESERVA RENDA VARIÁVEL]],1)</f>
        <v>📝</v>
      </c>
      <c r="AN5" s="0" t="s">
        <v>187</v>
      </c>
      <c r="AO5" s="0" t="str">
        <f aca="false">LEFT(reservaoutros[[#This Row],[RESERVA OUTROS INVESTIMENTOS]],1)</f>
        <v>📝</v>
      </c>
      <c r="AP5" s="0" t="s">
        <v>188</v>
      </c>
      <c r="AS5" s="0" t="s">
        <v>167</v>
      </c>
      <c r="AT5" s="0" t="s">
        <v>189</v>
      </c>
      <c r="AW5" s="0" t="s">
        <v>167</v>
      </c>
      <c r="AX5" s="0" t="s">
        <v>189</v>
      </c>
      <c r="BA5" s="0" t="s">
        <v>167</v>
      </c>
      <c r="BB5" s="0" t="s">
        <v>189</v>
      </c>
      <c r="BE5" s="0" t="s">
        <v>167</v>
      </c>
      <c r="BF5" s="0" t="s">
        <v>189</v>
      </c>
      <c r="BI5" s="0" t="s">
        <v>167</v>
      </c>
      <c r="BJ5" s="0" t="s">
        <v>189</v>
      </c>
      <c r="BM5" s="0" t="s">
        <v>167</v>
      </c>
      <c r="BN5" s="0" t="s">
        <v>189</v>
      </c>
      <c r="BQ5" s="0" t="s">
        <v>167</v>
      </c>
      <c r="BR5" s="0" t="s">
        <v>189</v>
      </c>
      <c r="BU5" s="0" t="s">
        <v>167</v>
      </c>
      <c r="BV5" s="0" t="s">
        <v>189</v>
      </c>
      <c r="BY5" s="0" t="s">
        <v>167</v>
      </c>
      <c r="BZ5" s="0" t="s">
        <v>189</v>
      </c>
      <c r="CC5" s="0" t="s">
        <v>167</v>
      </c>
      <c r="CD5" s="0" t="s">
        <v>189</v>
      </c>
      <c r="CG5" s="0" t="s">
        <v>167</v>
      </c>
      <c r="CH5" s="0" t="s">
        <v>189</v>
      </c>
    </row>
    <row r="6" customFormat="false" ht="15" hidden="false" customHeight="false" outlineLevel="0" collapsed="false">
      <c r="A6" s="0" t="n">
        <v>4</v>
      </c>
      <c r="B6" s="0" t="s">
        <v>102</v>
      </c>
      <c r="C6" s="0" t="n">
        <v>4</v>
      </c>
      <c r="F6" s="0" t="s">
        <v>190</v>
      </c>
      <c r="L6" s="0" t="s">
        <v>191</v>
      </c>
      <c r="N6" s="0" t="s">
        <v>146</v>
      </c>
      <c r="Q6" s="0" t="str">
        <f aca="false">LEFT(despesafixa[[#This Row],[DESPESA FIXA]],1)</f>
        <v>📱</v>
      </c>
      <c r="R6" s="0" t="s">
        <v>192</v>
      </c>
      <c r="S6" s="0" t="str">
        <f aca="false">LEFT(despesavariável[[#This Row],[DESPESA VARIÁVEL]],1)</f>
        <v>💄</v>
      </c>
      <c r="T6" s="0" t="s">
        <v>193</v>
      </c>
      <c r="W6" s="0" t="str">
        <f aca="false">LEFT(receitafixa[[#This Row],[RECEITA FIXA]],1)</f>
        <v>💰</v>
      </c>
      <c r="X6" s="0" t="s">
        <v>194</v>
      </c>
      <c r="Y6" s="0" t="str">
        <f aca="false">LEFT(receitavariável[[#This Row],[RECEITA VARIÁVEL]],1)</f>
        <v>💲</v>
      </c>
      <c r="Z6" s="0" t="s">
        <v>195</v>
      </c>
      <c r="AC6" s="0" t="str">
        <f aca="false">LEFT(rendafixa[[#This Row],[RENDA FIXA]],1)</f>
        <v>📝</v>
      </c>
      <c r="AD6" s="0" t="s">
        <v>196</v>
      </c>
      <c r="AE6" s="0" t="str">
        <f aca="false">LEFT(rendavariável[[#This Row],[RENDA VARIÁVEL]],1)</f>
        <v>📝</v>
      </c>
      <c r="AF6" s="0" t="s">
        <v>197</v>
      </c>
      <c r="AG6" s="0" t="str">
        <f aca="false">LEFT(outros[[#This Row],[OUTROS INVESTIMENTOS]],1)</f>
        <v>📝</v>
      </c>
      <c r="AH6" s="0" t="s">
        <v>198</v>
      </c>
      <c r="AK6" s="0" t="str">
        <f aca="false">LEFT(reservarendafixa[[#This Row],[RESERVA RENDA FIXA]],1)</f>
        <v>📝</v>
      </c>
      <c r="AL6" s="0" t="s">
        <v>196</v>
      </c>
      <c r="AM6" s="0" t="str">
        <f aca="false">LEFT(reservarendavariável[[#This Row],[RESERVA RENDA VARIÁVEL]],1)</f>
        <v>📝</v>
      </c>
      <c r="AN6" s="0" t="s">
        <v>197</v>
      </c>
      <c r="AO6" s="0" t="str">
        <f aca="false">LEFT(reservaoutros[[#This Row],[RESERVA OUTROS INVESTIMENTOS]],1)</f>
        <v>📝</v>
      </c>
      <c r="AP6" s="0" t="s">
        <v>198</v>
      </c>
      <c r="AS6" s="0" t="s">
        <v>167</v>
      </c>
      <c r="AT6" s="0" t="s">
        <v>199</v>
      </c>
      <c r="AW6" s="0" t="s">
        <v>167</v>
      </c>
      <c r="AX6" s="0" t="s">
        <v>199</v>
      </c>
      <c r="BA6" s="0" t="s">
        <v>167</v>
      </c>
      <c r="BB6" s="0" t="s">
        <v>199</v>
      </c>
      <c r="BE6" s="0" t="s">
        <v>167</v>
      </c>
      <c r="BF6" s="0" t="s">
        <v>199</v>
      </c>
      <c r="BI6" s="0" t="s">
        <v>167</v>
      </c>
      <c r="BJ6" s="0" t="s">
        <v>199</v>
      </c>
      <c r="BM6" s="0" t="s">
        <v>167</v>
      </c>
      <c r="BN6" s="0" t="s">
        <v>199</v>
      </c>
      <c r="BQ6" s="0" t="s">
        <v>167</v>
      </c>
      <c r="BR6" s="0" t="s">
        <v>199</v>
      </c>
      <c r="BU6" s="0" t="s">
        <v>167</v>
      </c>
      <c r="BV6" s="0" t="s">
        <v>199</v>
      </c>
      <c r="BY6" s="0" t="s">
        <v>167</v>
      </c>
      <c r="BZ6" s="0" t="s">
        <v>199</v>
      </c>
      <c r="CC6" s="0" t="s">
        <v>167</v>
      </c>
      <c r="CD6" s="0" t="s">
        <v>199</v>
      </c>
      <c r="CG6" s="0" t="s">
        <v>167</v>
      </c>
      <c r="CH6" s="0" t="s">
        <v>199</v>
      </c>
    </row>
    <row r="7" customFormat="false" ht="15" hidden="false" customHeight="false" outlineLevel="0" collapsed="false">
      <c r="A7" s="0" t="n">
        <v>5</v>
      </c>
      <c r="B7" s="0" t="s">
        <v>103</v>
      </c>
      <c r="C7" s="0" t="n">
        <v>5</v>
      </c>
      <c r="F7" s="0" t="s">
        <v>130</v>
      </c>
      <c r="I7" s="0" t="s">
        <v>200</v>
      </c>
      <c r="L7" s="0" t="s">
        <v>201</v>
      </c>
      <c r="Q7" s="0" t="str">
        <f aca="false">LEFT(despesafixa[[#This Row],[DESPESA FIXA]],1)</f>
        <v>📖</v>
      </c>
      <c r="R7" s="0" t="s">
        <v>202</v>
      </c>
      <c r="S7" s="0" t="str">
        <f aca="false">LEFT(despesavariável[[#This Row],[DESPESA VARIÁVEL]],1)</f>
        <v>🤝</v>
      </c>
      <c r="T7" s="0" t="s">
        <v>203</v>
      </c>
      <c r="W7" s="0" t="str">
        <f aca="false">LEFT(receitafixa[[#This Row],[RECEITA FIXA]],1)</f>
        <v>📎</v>
      </c>
      <c r="X7" s="0" t="s">
        <v>204</v>
      </c>
      <c r="Y7" s="0" t="str">
        <f aca="false">LEFT(receitavariável[[#This Row],[RECEITA VARIÁVEL]],1)</f>
        <v>🧾</v>
      </c>
      <c r="Z7" s="0" t="s">
        <v>205</v>
      </c>
      <c r="AC7" s="0" t="str">
        <f aca="false">LEFT(rendafixa[[#This Row],[RENDA FIXA]],1)</f>
        <v>📝</v>
      </c>
      <c r="AD7" s="0" t="s">
        <v>206</v>
      </c>
      <c r="AE7" s="0" t="str">
        <f aca="false">LEFT(rendavariável[[#This Row],[RENDA VARIÁVEL]],1)</f>
        <v>📝</v>
      </c>
      <c r="AF7" s="0" t="s">
        <v>207</v>
      </c>
      <c r="AG7" s="0" t="str">
        <f aca="false">LEFT(outros[[#This Row],[OUTROS INVESTIMENTOS]],1)</f>
        <v>📝</v>
      </c>
      <c r="AH7" s="0" t="s">
        <v>208</v>
      </c>
      <c r="AK7" s="0" t="str">
        <f aca="false">LEFT(reservarendafixa[[#This Row],[RESERVA RENDA FIXA]],1)</f>
        <v>📝</v>
      </c>
      <c r="AL7" s="0" t="s">
        <v>206</v>
      </c>
      <c r="AM7" s="0" t="str">
        <f aca="false">LEFT(reservarendavariável[[#This Row],[RESERVA RENDA VARIÁVEL]],1)</f>
        <v>📝</v>
      </c>
      <c r="AN7" s="0" t="s">
        <v>207</v>
      </c>
      <c r="AO7" s="0" t="str">
        <f aca="false">LEFT(reservaoutros[[#This Row],[RESERVA OUTROS INVESTIMENTOS]],1)</f>
        <v>📝</v>
      </c>
      <c r="AP7" s="0" t="s">
        <v>208</v>
      </c>
      <c r="AS7" s="0" t="s">
        <v>209</v>
      </c>
      <c r="AT7" s="0" t="s">
        <v>210</v>
      </c>
      <c r="AU7" s="0" t="s">
        <v>211</v>
      </c>
      <c r="AW7" s="0" t="s">
        <v>209</v>
      </c>
      <c r="AX7" s="0" t="s">
        <v>210</v>
      </c>
      <c r="AY7" s="0" t="s">
        <v>211</v>
      </c>
      <c r="BA7" s="0" t="s">
        <v>209</v>
      </c>
      <c r="BB7" s="0" t="s">
        <v>210</v>
      </c>
      <c r="BC7" s="0" t="s">
        <v>211</v>
      </c>
      <c r="BE7" s="0" t="s">
        <v>209</v>
      </c>
      <c r="BF7" s="0" t="s">
        <v>210</v>
      </c>
      <c r="BG7" s="0" t="s">
        <v>211</v>
      </c>
      <c r="BI7" s="0" t="s">
        <v>209</v>
      </c>
      <c r="BJ7" s="0" t="s">
        <v>210</v>
      </c>
      <c r="BK7" s="0" t="s">
        <v>211</v>
      </c>
      <c r="BM7" s="0" t="s">
        <v>209</v>
      </c>
      <c r="BN7" s="0" t="s">
        <v>210</v>
      </c>
      <c r="BO7" s="0" t="s">
        <v>211</v>
      </c>
      <c r="BQ7" s="0" t="s">
        <v>209</v>
      </c>
      <c r="BR7" s="0" t="s">
        <v>210</v>
      </c>
      <c r="BS7" s="0" t="s">
        <v>211</v>
      </c>
      <c r="BU7" s="0" t="s">
        <v>209</v>
      </c>
      <c r="BV7" s="0" t="s">
        <v>210</v>
      </c>
      <c r="BW7" s="0" t="s">
        <v>211</v>
      </c>
      <c r="BY7" s="0" t="s">
        <v>209</v>
      </c>
      <c r="BZ7" s="0" t="s">
        <v>210</v>
      </c>
      <c r="CA7" s="0" t="s">
        <v>211</v>
      </c>
      <c r="CC7" s="0" t="s">
        <v>209</v>
      </c>
      <c r="CD7" s="0" t="s">
        <v>210</v>
      </c>
      <c r="CE7" s="0" t="s">
        <v>211</v>
      </c>
      <c r="CG7" s="0" t="s">
        <v>209</v>
      </c>
      <c r="CH7" s="0" t="s">
        <v>210</v>
      </c>
    </row>
    <row r="8" customFormat="false" ht="15" hidden="false" customHeight="false" outlineLevel="0" collapsed="false">
      <c r="A8" s="0" t="n">
        <v>6</v>
      </c>
      <c r="B8" s="0" t="s">
        <v>104</v>
      </c>
      <c r="C8" s="0" t="n">
        <v>6</v>
      </c>
      <c r="F8" s="0" t="s">
        <v>133</v>
      </c>
      <c r="I8" s="0" t="s">
        <v>212</v>
      </c>
      <c r="L8" s="0" t="s">
        <v>213</v>
      </c>
      <c r="Q8" s="0" t="str">
        <f aca="false">LEFT(despesafixa[[#This Row],[DESPESA FIXA]],1)</f>
        <v>🏦</v>
      </c>
      <c r="R8" s="0" t="s">
        <v>214</v>
      </c>
      <c r="S8" s="0" t="str">
        <f aca="false">LEFT(despesavariável[[#This Row],[DESPESA VARIÁVEL]],1)</f>
        <v>📖</v>
      </c>
      <c r="T8" s="0" t="s">
        <v>202</v>
      </c>
      <c r="Y8" s="0" t="str">
        <f aca="false">LEFT(receitavariável[[#This Row],[RECEITA VARIÁVEL]],1)</f>
        <v>🎁</v>
      </c>
      <c r="Z8" s="0" t="s">
        <v>215</v>
      </c>
      <c r="AC8" s="0" t="str">
        <f aca="false">LEFT(rendafixa[[#This Row],[RENDA FIXA]],1)</f>
        <v>📝</v>
      </c>
      <c r="AD8" s="0" t="s">
        <v>216</v>
      </c>
      <c r="AE8" s="0" t="str">
        <f aca="false">LEFT(rendavariável[[#This Row],[RENDA VARIÁVEL]],1)</f>
        <v>📝</v>
      </c>
      <c r="AF8" s="0" t="s">
        <v>217</v>
      </c>
      <c r="AG8" s="0" t="str">
        <f aca="false">LEFT(outros[[#This Row],[OUTROS INVESTIMENTOS]],1)</f>
        <v>📝</v>
      </c>
      <c r="AH8" s="0" t="s">
        <v>218</v>
      </c>
      <c r="AK8" s="0" t="str">
        <f aca="false">LEFT(reservarendafixa[[#This Row],[RESERVA RENDA FIXA]],1)</f>
        <v>📝</v>
      </c>
      <c r="AL8" s="0" t="s">
        <v>216</v>
      </c>
      <c r="AM8" s="0" t="str">
        <f aca="false">LEFT(reservarendavariável[[#This Row],[RESERVA RENDA VARIÁVEL]],1)</f>
        <v>📝</v>
      </c>
      <c r="AN8" s="0" t="s">
        <v>217</v>
      </c>
      <c r="AO8" s="0" t="str">
        <f aca="false">LEFT(reservaoutros[[#This Row],[RESERVA OUTROS INVESTIMENTOS]],1)</f>
        <v>📝</v>
      </c>
      <c r="AP8" s="0" t="s">
        <v>218</v>
      </c>
      <c r="AS8" s="0" t="s">
        <v>209</v>
      </c>
      <c r="AT8" s="0" t="s">
        <v>219</v>
      </c>
      <c r="AU8" s="0" t="s">
        <v>220</v>
      </c>
      <c r="AW8" s="0" t="s">
        <v>209</v>
      </c>
      <c r="AX8" s="0" t="s">
        <v>219</v>
      </c>
      <c r="AY8" s="0" t="s">
        <v>220</v>
      </c>
      <c r="BA8" s="0" t="s">
        <v>209</v>
      </c>
      <c r="BB8" s="0" t="s">
        <v>219</v>
      </c>
      <c r="BC8" s="0" t="s">
        <v>220</v>
      </c>
      <c r="BE8" s="0" t="s">
        <v>209</v>
      </c>
      <c r="BF8" s="0" t="s">
        <v>219</v>
      </c>
      <c r="BG8" s="0" t="s">
        <v>220</v>
      </c>
      <c r="BI8" s="0" t="s">
        <v>209</v>
      </c>
      <c r="BJ8" s="0" t="s">
        <v>219</v>
      </c>
      <c r="BK8" s="0" t="s">
        <v>220</v>
      </c>
      <c r="BM8" s="0" t="s">
        <v>209</v>
      </c>
      <c r="BN8" s="0" t="s">
        <v>219</v>
      </c>
      <c r="BO8" s="0" t="s">
        <v>220</v>
      </c>
      <c r="BQ8" s="0" t="s">
        <v>209</v>
      </c>
      <c r="BR8" s="0" t="s">
        <v>219</v>
      </c>
      <c r="BS8" s="0" t="s">
        <v>220</v>
      </c>
      <c r="BU8" s="0" t="s">
        <v>209</v>
      </c>
      <c r="BV8" s="0" t="s">
        <v>219</v>
      </c>
      <c r="BW8" s="0" t="s">
        <v>220</v>
      </c>
      <c r="BY8" s="0" t="s">
        <v>209</v>
      </c>
      <c r="BZ8" s="0" t="s">
        <v>219</v>
      </c>
      <c r="CA8" s="0" t="s">
        <v>220</v>
      </c>
      <c r="CC8" s="0" t="s">
        <v>209</v>
      </c>
      <c r="CD8" s="0" t="s">
        <v>219</v>
      </c>
      <c r="CE8" s="0" t="s">
        <v>220</v>
      </c>
      <c r="CG8" s="0" t="s">
        <v>209</v>
      </c>
      <c r="CH8" s="0" t="s">
        <v>219</v>
      </c>
    </row>
    <row r="9" customFormat="false" ht="15" hidden="false" customHeight="false" outlineLevel="0" collapsed="false">
      <c r="A9" s="0" t="n">
        <v>7</v>
      </c>
      <c r="B9" s="0" t="s">
        <v>105</v>
      </c>
      <c r="C9" s="0" t="n">
        <v>7</v>
      </c>
      <c r="I9" s="0" t="s">
        <v>221</v>
      </c>
      <c r="Q9" s="0" t="str">
        <f aca="false">LEFT(despesafixa[[#This Row],[DESPESA FIXA]],1)</f>
        <v>💡</v>
      </c>
      <c r="R9" s="0" t="s">
        <v>222</v>
      </c>
      <c r="S9" s="0" t="str">
        <f aca="false">LEFT(despesavariável[[#This Row],[DESPESA VARIÁVEL]],1)</f>
        <v>🎭</v>
      </c>
      <c r="T9" s="0" t="s">
        <v>223</v>
      </c>
      <c r="Y9" s="0" t="str">
        <f aca="false">LEFT(receitavariável[[#This Row],[RECEITA VARIÁVEL]],1)</f>
        <v>👷</v>
      </c>
      <c r="Z9" s="0" t="s">
        <v>224</v>
      </c>
      <c r="AC9" s="0" t="str">
        <f aca="false">LEFT(rendafixa[[#This Row],[RENDA FIXA]],1)</f>
        <v>📝</v>
      </c>
      <c r="AD9" s="0" t="s">
        <v>225</v>
      </c>
      <c r="AE9" s="0" t="str">
        <f aca="false">LEFT(rendavariável[[#This Row],[RENDA VARIÁVEL]],1)</f>
        <v>📝</v>
      </c>
      <c r="AF9" s="0" t="s">
        <v>206</v>
      </c>
      <c r="AG9" s="0" t="str">
        <f aca="false">LEFT(outros[[#This Row],[OUTROS INVESTIMENTOS]],1)</f>
        <v>📝</v>
      </c>
      <c r="AH9" s="0" t="s">
        <v>226</v>
      </c>
      <c r="AK9" s="0" t="str">
        <f aca="false">LEFT(reservarendafixa[[#This Row],[RESERVA RENDA FIXA]],1)</f>
        <v>📝</v>
      </c>
      <c r="AL9" s="0" t="s">
        <v>225</v>
      </c>
      <c r="AM9" s="0" t="str">
        <f aca="false">LEFT(reservarendavariável[[#This Row],[RESERVA RENDA VARIÁVEL]],1)</f>
        <v>📝</v>
      </c>
      <c r="AN9" s="0" t="s">
        <v>206</v>
      </c>
      <c r="AO9" s="0" t="str">
        <f aca="false">LEFT(reservaoutros[[#This Row],[RESERVA OUTROS INVESTIMENTOS]],1)</f>
        <v>📝</v>
      </c>
      <c r="AP9" s="0" t="s">
        <v>226</v>
      </c>
      <c r="AS9" s="0" t="s">
        <v>209</v>
      </c>
      <c r="AT9" s="0" t="s">
        <v>227</v>
      </c>
      <c r="AU9" s="0" t="s">
        <v>228</v>
      </c>
      <c r="AW9" s="0" t="s">
        <v>209</v>
      </c>
      <c r="AX9" s="0" t="s">
        <v>227</v>
      </c>
      <c r="AY9" s="0" t="s">
        <v>228</v>
      </c>
      <c r="BA9" s="0" t="s">
        <v>209</v>
      </c>
      <c r="BB9" s="0" t="s">
        <v>227</v>
      </c>
      <c r="BC9" s="0" t="s">
        <v>228</v>
      </c>
      <c r="BE9" s="0" t="s">
        <v>209</v>
      </c>
      <c r="BF9" s="0" t="s">
        <v>227</v>
      </c>
      <c r="BG9" s="0" t="s">
        <v>228</v>
      </c>
      <c r="BI9" s="0" t="s">
        <v>209</v>
      </c>
      <c r="BJ9" s="0" t="s">
        <v>227</v>
      </c>
      <c r="BK9" s="0" t="s">
        <v>228</v>
      </c>
      <c r="BM9" s="0" t="s">
        <v>209</v>
      </c>
      <c r="BN9" s="0" t="s">
        <v>227</v>
      </c>
      <c r="BO9" s="0" t="s">
        <v>228</v>
      </c>
      <c r="BQ9" s="0" t="s">
        <v>209</v>
      </c>
      <c r="BR9" s="0" t="s">
        <v>227</v>
      </c>
      <c r="BS9" s="0" t="s">
        <v>228</v>
      </c>
      <c r="BU9" s="0" t="s">
        <v>209</v>
      </c>
      <c r="BV9" s="0" t="s">
        <v>227</v>
      </c>
      <c r="BW9" s="0" t="s">
        <v>228</v>
      </c>
      <c r="BY9" s="0" t="s">
        <v>209</v>
      </c>
      <c r="BZ9" s="0" t="s">
        <v>227</v>
      </c>
      <c r="CA9" s="0" t="s">
        <v>228</v>
      </c>
      <c r="CC9" s="0" t="s">
        <v>209</v>
      </c>
      <c r="CD9" s="0" t="s">
        <v>227</v>
      </c>
      <c r="CE9" s="0" t="s">
        <v>228</v>
      </c>
      <c r="CG9" s="0" t="s">
        <v>209</v>
      </c>
      <c r="CH9" s="0" t="s">
        <v>227</v>
      </c>
    </row>
    <row r="10" customFormat="false" ht="15" hidden="false" customHeight="false" outlineLevel="0" collapsed="false">
      <c r="A10" s="0" t="n">
        <v>8</v>
      </c>
      <c r="B10" s="0" t="s">
        <v>106</v>
      </c>
      <c r="C10" s="0" t="n">
        <v>8</v>
      </c>
      <c r="I10" s="0" t="s">
        <v>229</v>
      </c>
      <c r="Q10" s="0" t="str">
        <f aca="false">LEFT(despesafixa[[#This Row],[DESPESA FIXA]],1)</f>
        <v>👨</v>
      </c>
      <c r="R10" s="0" t="s">
        <v>230</v>
      </c>
      <c r="S10" s="0" t="str">
        <f aca="false">LEFT(despesavariável[[#This Row],[DESPESA VARIÁVEL]],1)</f>
        <v>🛒</v>
      </c>
      <c r="T10" s="0" t="s">
        <v>231</v>
      </c>
      <c r="Y10" s="0" t="str">
        <f aca="false">LEFT(receitavariável[[#This Row],[RECEITA VARIÁVEL]],1)</f>
        <v>📎</v>
      </c>
      <c r="Z10" s="0" t="s">
        <v>204</v>
      </c>
      <c r="AC10" s="0" t="str">
        <f aca="false">LEFT(rendafixa[[#This Row],[RENDA FIXA]],1)</f>
        <v>📝</v>
      </c>
      <c r="AD10" s="0" t="s">
        <v>232</v>
      </c>
      <c r="AE10" s="0" t="str">
        <f aca="false">LEFT(rendavariável[[#This Row],[RENDA VARIÁVEL]],1)</f>
        <v>📝</v>
      </c>
      <c r="AF10" s="0" t="s">
        <v>233</v>
      </c>
      <c r="AG10" s="0" t="str">
        <f aca="false">LEFT(outros[[#This Row],[OUTROS INVESTIMENTOS]],1)</f>
        <v>📎</v>
      </c>
      <c r="AH10" s="0" t="s">
        <v>204</v>
      </c>
      <c r="AK10" s="0" t="str">
        <f aca="false">LEFT(reservarendafixa[[#This Row],[RESERVA RENDA FIXA]],1)</f>
        <v>📝</v>
      </c>
      <c r="AL10" s="0" t="s">
        <v>232</v>
      </c>
      <c r="AM10" s="0" t="str">
        <f aca="false">LEFT(reservarendavariável[[#This Row],[RESERVA RENDA VARIÁVEL]],1)</f>
        <v>📝</v>
      </c>
      <c r="AN10" s="0" t="s">
        <v>233</v>
      </c>
      <c r="AO10" s="0" t="str">
        <f aca="false">LEFT(reservaoutros[[#This Row],[RESERVA OUTROS INVESTIMENTOS]],1)</f>
        <v>📎</v>
      </c>
      <c r="AP10" s="0" t="s">
        <v>204</v>
      </c>
    </row>
    <row r="11" customFormat="false" ht="15" hidden="false" customHeight="false" outlineLevel="0" collapsed="false">
      <c r="A11" s="0" t="n">
        <v>9</v>
      </c>
      <c r="B11" s="0" t="s">
        <v>107</v>
      </c>
      <c r="C11" s="0" t="n">
        <v>9</v>
      </c>
      <c r="I11" s="0" t="s">
        <v>234</v>
      </c>
      <c r="Q11" s="0" t="str">
        <f aca="false">LEFT(despesafixa[[#This Row],[DESPESA FIXA]],1)</f>
        <v>🔢</v>
      </c>
      <c r="R11" s="0" t="s">
        <v>235</v>
      </c>
      <c r="S11" s="0" t="str">
        <f aca="false">LEFT(despesavariável[[#This Row],[DESPESA VARIÁVEL]],1)</f>
        <v>🎁</v>
      </c>
      <c r="T11" s="0" t="s">
        <v>236</v>
      </c>
      <c r="AC11" s="0" t="str">
        <f aca="false">LEFT(rendafixa[[#This Row],[RENDA FIXA]],1)</f>
        <v>📝</v>
      </c>
      <c r="AD11" s="0" t="s">
        <v>237</v>
      </c>
      <c r="AE11" s="0" t="str">
        <f aca="false">LEFT(rendavariável[[#This Row],[RENDA VARIÁVEL]],1)</f>
        <v>📝</v>
      </c>
      <c r="AF11" s="0" t="s">
        <v>238</v>
      </c>
      <c r="AK11" s="0" t="str">
        <f aca="false">LEFT(reservarendafixa[[#This Row],[RESERVA RENDA FIXA]],1)</f>
        <v>📝</v>
      </c>
      <c r="AL11" s="0" t="s">
        <v>237</v>
      </c>
      <c r="AM11" s="0" t="str">
        <f aca="false">LEFT(reservarendavariável[[#This Row],[RESERVA RENDA VARIÁVEL]],1)</f>
        <v>📝</v>
      </c>
      <c r="AN11" s="0" t="s">
        <v>238</v>
      </c>
    </row>
    <row r="12" customFormat="false" ht="15" hidden="false" customHeight="false" outlineLevel="0" collapsed="false">
      <c r="A12" s="0" t="n">
        <v>10</v>
      </c>
      <c r="B12" s="0" t="s">
        <v>108</v>
      </c>
      <c r="C12" s="0" t="n">
        <v>10</v>
      </c>
      <c r="Q12" s="0" t="str">
        <f aca="false">LEFT(despesafixa[[#This Row],[DESPESA FIXA]],1)</f>
        <v>🖱</v>
      </c>
      <c r="R12" s="0" t="s">
        <v>239</v>
      </c>
      <c r="S12" s="0" t="str">
        <f aca="false">LEFT(despesavariável[[#This Row],[DESPESA VARIÁVEL]],1)</f>
        <v>💊</v>
      </c>
      <c r="T12" s="0" t="s">
        <v>240</v>
      </c>
      <c r="AC12" s="0" t="str">
        <f aca="false">LEFT(rendafixa[[#This Row],[RENDA FIXA]],1)</f>
        <v>📎</v>
      </c>
      <c r="AD12" s="0" t="s">
        <v>204</v>
      </c>
      <c r="AE12" s="0" t="str">
        <f aca="false">LEFT(rendavariável[[#This Row],[RENDA VARIÁVEL]],1)</f>
        <v>📎</v>
      </c>
      <c r="AF12" s="0" t="s">
        <v>204</v>
      </c>
      <c r="AK12" s="0" t="str">
        <f aca="false">LEFT(reservarendafixa[[#This Row],[RESERVA RENDA FIXA]],1)</f>
        <v>📎</v>
      </c>
      <c r="AL12" s="0" t="s">
        <v>204</v>
      </c>
      <c r="AM12" s="0" t="str">
        <f aca="false">LEFT(reservarendavariável[[#This Row],[RESERVA RENDA VARIÁVEL]],1)</f>
        <v>📎</v>
      </c>
      <c r="AN12" s="0" t="s">
        <v>204</v>
      </c>
    </row>
    <row r="13" customFormat="false" ht="15" hidden="false" customHeight="false" outlineLevel="0" collapsed="false">
      <c r="A13" s="0" t="n">
        <v>11</v>
      </c>
      <c r="B13" s="0" t="s">
        <v>109</v>
      </c>
      <c r="C13" s="0" t="n">
        <v>11</v>
      </c>
      <c r="Q13" s="0" t="str">
        <f aca="false">LEFT(despesafixa[[#This Row],[DESPESA FIXA]],1)</f>
        <v>🏠</v>
      </c>
      <c r="R13" s="0" t="s">
        <v>241</v>
      </c>
      <c r="S13" s="0" t="str">
        <f aca="false">LEFT(despesavariável[[#This Row],[DESPESA VARIÁVEL]],1)</f>
        <v>🚍</v>
      </c>
      <c r="T13" s="0" t="s">
        <v>242</v>
      </c>
    </row>
    <row r="14" customFormat="false" ht="15" hidden="false" customHeight="false" outlineLevel="0" collapsed="false">
      <c r="A14" s="0" t="n">
        <v>12</v>
      </c>
      <c r="B14" s="0" t="s">
        <v>110</v>
      </c>
      <c r="C14" s="0" t="n">
        <v>12</v>
      </c>
      <c r="G14" s="0" t="s">
        <v>243</v>
      </c>
      <c r="Q14" s="0" t="str">
        <f aca="false">LEFT(despesafixa[[#This Row],[DESPESA FIXA]],1)</f>
        <v>💊</v>
      </c>
      <c r="R14" s="0" t="s">
        <v>240</v>
      </c>
      <c r="S14" s="0" t="str">
        <f aca="false">LEFT(despesavariável[[#This Row],[DESPESA VARIÁVEL]],1)</f>
        <v>🛍</v>
      </c>
      <c r="T14" s="0" t="s">
        <v>244</v>
      </c>
    </row>
    <row r="15" customFormat="false" ht="15" hidden="false" customHeight="false" outlineLevel="0" collapsed="false">
      <c r="G15" s="0" t="s">
        <v>5</v>
      </c>
      <c r="H15" s="272" t="n">
        <v>55</v>
      </c>
      <c r="Q15" s="0" t="str">
        <f aca="false">LEFT(despesafixa[[#This Row],[DESPESA FIXA]],1)</f>
        <v>📞</v>
      </c>
      <c r="R15" s="0" t="s">
        <v>245</v>
      </c>
      <c r="S15" s="0" t="str">
        <f aca="false">LEFT(despesavariável[[#This Row],[DESPESA VARIÁVEL]],1)</f>
        <v>📎</v>
      </c>
      <c r="T15" s="0" t="s">
        <v>204</v>
      </c>
    </row>
    <row r="16" customFormat="false" ht="15" hidden="false" customHeight="false" outlineLevel="0" collapsed="false">
      <c r="G16" s="0" t="s">
        <v>9</v>
      </c>
      <c r="H16" s="272" t="n">
        <v>5</v>
      </c>
      <c r="Q16" s="0" t="str">
        <f aca="false">LEFT(despesafixa[[#This Row],[DESPESA FIXA]],1)</f>
        <v>📎</v>
      </c>
      <c r="R16" s="0" t="s">
        <v>204</v>
      </c>
    </row>
    <row r="17" customFormat="false" ht="15" hidden="false" customHeight="false" outlineLevel="0" collapsed="false">
      <c r="G17" s="0" t="s">
        <v>12</v>
      </c>
      <c r="H17" s="272" t="n">
        <v>10</v>
      </c>
    </row>
    <row r="18" customFormat="false" ht="15" hidden="false" customHeight="false" outlineLevel="0" collapsed="false">
      <c r="G18" s="0" t="s">
        <v>13</v>
      </c>
      <c r="H18" s="272" t="n">
        <v>10</v>
      </c>
    </row>
    <row r="19" customFormat="false" ht="15" hidden="false" customHeight="false" outlineLevel="0" collapsed="false">
      <c r="G19" s="0" t="s">
        <v>14</v>
      </c>
      <c r="H19" s="272" t="n">
        <v>10</v>
      </c>
    </row>
    <row r="20" customFormat="false" ht="15" hidden="false" customHeight="false" outlineLevel="0" collapsed="false">
      <c r="G20" s="0" t="s">
        <v>15</v>
      </c>
      <c r="H20" s="272" t="n">
        <v>10</v>
      </c>
    </row>
    <row r="21" customFormat="false" ht="15" hidden="false" customHeight="false" outlineLevel="0" collapsed="false">
      <c r="G21" s="245" t="s">
        <v>2</v>
      </c>
      <c r="H21" s="273" t="n">
        <v>120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62626"/>
    <pageSetUpPr fitToPage="false"/>
  </sheetPr>
  <dimension ref="B1:R31"/>
  <sheetViews>
    <sheetView showFormulas="false" showGridLines="false" showRowColHeaders="fals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N17" activeCellId="0" sqref="N17"/>
    </sheetView>
  </sheetViews>
  <sheetFormatPr defaultColWidth="15.164062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3.29"/>
    <col collapsed="false" customWidth="true" hidden="false" outlineLevel="0" max="3" min="3" style="1" width="3.86"/>
    <col collapsed="false" customWidth="true" hidden="false" outlineLevel="0" max="4" min="4" style="1" width="36.29"/>
    <col collapsed="false" customWidth="true" hidden="false" outlineLevel="0" max="5" min="5" style="1" width="3.29"/>
    <col collapsed="false" customWidth="false" hidden="false" outlineLevel="0" max="6" min="6" style="1" width="15.15"/>
    <col collapsed="false" customWidth="true" hidden="false" outlineLevel="0" max="7" min="7" style="1" width="3.29"/>
    <col collapsed="false" customWidth="true" hidden="false" outlineLevel="0" max="9" min="8" style="1" width="3.86"/>
    <col collapsed="false" customWidth="true" hidden="false" outlineLevel="0" max="10" min="10" style="1" width="34.42"/>
    <col collapsed="false" customWidth="true" hidden="false" outlineLevel="0" max="11" min="11" style="1" width="2.57"/>
    <col collapsed="false" customWidth="true" hidden="false" outlineLevel="0" max="12" min="12" style="1" width="7.42"/>
    <col collapsed="false" customWidth="true" hidden="false" outlineLevel="0" max="13" min="13" style="1" width="2.57"/>
    <col collapsed="false" customWidth="true" hidden="false" outlineLevel="0" max="14" min="14" style="1" width="7.42"/>
    <col collapsed="false" customWidth="true" hidden="false" outlineLevel="0" max="15" min="15" style="1" width="3.86"/>
    <col collapsed="false" customWidth="false" hidden="false" outlineLevel="0" max="1024" min="16" style="1" width="15.15"/>
  </cols>
  <sheetData>
    <row r="1" customFormat="false" ht="15" hidden="false" customHeight="false" outlineLevel="0" collapsed="false">
      <c r="Q1" s="5"/>
      <c r="R1" s="5"/>
    </row>
    <row r="2" customFormat="false" ht="15" hidden="false" customHeight="true" outlineLevel="0" collapsed="false">
      <c r="B2" s="6"/>
      <c r="C2" s="6"/>
      <c r="D2" s="6"/>
      <c r="H2" s="6"/>
      <c r="I2" s="6"/>
      <c r="Q2" s="7"/>
      <c r="R2" s="7"/>
    </row>
    <row r="3" customFormat="false" ht="15" hidden="false" customHeight="true" outlineLevel="0" collapsed="false">
      <c r="B3" s="6"/>
      <c r="C3" s="6"/>
      <c r="D3" s="8" t="s">
        <v>1</v>
      </c>
      <c r="E3" s="8"/>
      <c r="F3" s="8"/>
      <c r="G3" s="8"/>
      <c r="H3" s="8"/>
      <c r="I3" s="8"/>
      <c r="J3" s="9"/>
      <c r="Q3" s="7" t="n">
        <f aca="false">IFERROR(VLOOKUP($F$15,DADOS!$B$3:$C$14,2,FALSE()),0)</f>
        <v>1</v>
      </c>
      <c r="R3" s="7"/>
    </row>
    <row r="4" customFormat="false" ht="15" hidden="false" customHeight="true" outlineLevel="0" collapsed="false">
      <c r="B4" s="6"/>
      <c r="C4" s="6"/>
      <c r="D4" s="8"/>
      <c r="E4" s="8"/>
      <c r="F4" s="8"/>
      <c r="G4" s="8"/>
      <c r="H4" s="8"/>
      <c r="I4" s="8"/>
      <c r="J4" s="9"/>
      <c r="Q4" s="7" t="n">
        <v>1.2</v>
      </c>
      <c r="R4" s="7"/>
    </row>
    <row r="5" customFormat="false" ht="15" hidden="false" customHeight="true" outlineLevel="0" collapsed="false">
      <c r="B5" s="6"/>
      <c r="C5" s="6"/>
      <c r="D5" s="8"/>
      <c r="E5" s="8"/>
      <c r="F5" s="8"/>
      <c r="G5" s="8"/>
      <c r="H5" s="8"/>
      <c r="I5" s="8"/>
      <c r="J5" s="9"/>
      <c r="Q5" s="10" t="n">
        <v>120</v>
      </c>
      <c r="R5" s="7" t="s">
        <v>2</v>
      </c>
    </row>
    <row r="6" customFormat="false" ht="15" hidden="false" customHeight="true" outlineLevel="0" collapsed="false">
      <c r="B6" s="6"/>
      <c r="C6" s="6"/>
      <c r="D6" s="8"/>
      <c r="E6" s="8"/>
      <c r="F6" s="8"/>
      <c r="G6" s="8"/>
      <c r="H6" s="8"/>
      <c r="I6" s="8"/>
      <c r="J6" s="9"/>
      <c r="Q6" s="5"/>
      <c r="R6" s="5"/>
    </row>
    <row r="7" customFormat="false" ht="15" hidden="false" customHeight="true" outlineLevel="0" collapsed="false">
      <c r="B7" s="6"/>
      <c r="C7" s="6"/>
      <c r="D7" s="8"/>
      <c r="E7" s="8"/>
      <c r="F7" s="8"/>
      <c r="G7" s="8"/>
      <c r="H7" s="8"/>
      <c r="I7" s="8"/>
      <c r="J7" s="9"/>
      <c r="Q7" s="5"/>
      <c r="R7" s="5"/>
    </row>
    <row r="8" customFormat="false" ht="15" hidden="false" customHeight="true" outlineLevel="0" collapsed="false">
      <c r="B8" s="6"/>
      <c r="C8" s="6"/>
      <c r="D8" s="6"/>
      <c r="H8" s="6"/>
      <c r="I8" s="6"/>
      <c r="Q8" s="5"/>
      <c r="R8" s="5"/>
    </row>
    <row r="10" customFormat="false" ht="18.75" hidden="false" customHeight="false" outlineLevel="0" collapsed="false">
      <c r="J10" s="11" t="s">
        <v>3</v>
      </c>
      <c r="K10" s="11"/>
      <c r="L10" s="11"/>
      <c r="M10" s="11"/>
      <c r="N10" s="11"/>
    </row>
    <row r="11" customFormat="false" ht="15.75" hidden="false" customHeight="false" outlineLevel="0" collapsed="false"/>
    <row r="12" customFormat="false" ht="15.75" hidden="false" customHeight="false" outlineLevel="0" collapsed="false">
      <c r="B12" s="12"/>
      <c r="C12" s="12"/>
      <c r="D12" s="12"/>
      <c r="E12" s="12"/>
      <c r="F12" s="12"/>
      <c r="G12" s="12"/>
      <c r="I12" s="13"/>
      <c r="J12" s="12"/>
      <c r="K12" s="12"/>
      <c r="L12" s="12"/>
      <c r="M12" s="12"/>
      <c r="N12" s="12"/>
      <c r="O12" s="14"/>
      <c r="Q12" s="15"/>
    </row>
    <row r="13" customFormat="false" ht="27" hidden="false" customHeight="true" outlineLevel="0" collapsed="false">
      <c r="B13" s="16"/>
      <c r="C13" s="17" t="s">
        <v>4</v>
      </c>
      <c r="D13" s="16"/>
      <c r="E13" s="16"/>
      <c r="F13" s="18" t="n">
        <v>2500</v>
      </c>
      <c r="G13" s="19"/>
      <c r="I13" s="19"/>
      <c r="J13" s="20" t="s">
        <v>5</v>
      </c>
      <c r="K13" s="21"/>
      <c r="L13" s="22" t="n">
        <f aca="false">IF('⚙️'!$F$17="","",IF('⚙️'!$F$17=DADOS!$I$3,DADOS!$H$15/100,$N$13/100))</f>
        <v>0.4</v>
      </c>
      <c r="M13" s="23" t="s">
        <v>6</v>
      </c>
      <c r="N13" s="24" t="n">
        <v>40</v>
      </c>
      <c r="O13" s="25"/>
    </row>
    <row r="14" customFormat="false" ht="15.75" hidden="false" customHeight="false" outlineLevel="0" collapsed="false">
      <c r="B14" s="16"/>
      <c r="C14" s="26"/>
      <c r="D14" s="26"/>
      <c r="E14" s="26"/>
      <c r="F14" s="26"/>
      <c r="G14" s="26"/>
      <c r="I14" s="19"/>
      <c r="J14" s="27"/>
      <c r="K14" s="16"/>
      <c r="L14" s="16"/>
      <c r="M14" s="28"/>
      <c r="N14" s="16"/>
      <c r="O14" s="29"/>
    </row>
    <row r="15" customFormat="false" ht="27" hidden="false" customHeight="true" outlineLevel="0" collapsed="false">
      <c r="B15" s="16"/>
      <c r="C15" s="17" t="s">
        <v>7</v>
      </c>
      <c r="D15" s="16"/>
      <c r="E15" s="16"/>
      <c r="F15" s="18" t="s">
        <v>8</v>
      </c>
      <c r="G15" s="19"/>
      <c r="I15" s="19"/>
      <c r="J15" s="20" t="s">
        <v>9</v>
      </c>
      <c r="K15" s="21"/>
      <c r="L15" s="22" t="n">
        <f aca="false">IF('⚙️'!$F$17="","",IF('⚙️'!$F$17=DADOS!$I$3,DADOS!$H$16/100,$N$15/100))</f>
        <v>0.2</v>
      </c>
      <c r="M15" s="23" t="s">
        <v>6</v>
      </c>
      <c r="N15" s="24" t="n">
        <v>20</v>
      </c>
      <c r="O15" s="25"/>
    </row>
    <row r="16" customFormat="false" ht="15.75" hidden="false" customHeight="false" outlineLevel="0" collapsed="false">
      <c r="B16" s="16"/>
      <c r="C16" s="26"/>
      <c r="D16" s="26"/>
      <c r="E16" s="26"/>
      <c r="F16" s="26"/>
      <c r="G16" s="26"/>
      <c r="I16" s="30"/>
      <c r="J16" s="27"/>
      <c r="K16" s="16"/>
      <c r="L16" s="16"/>
      <c r="M16" s="28"/>
      <c r="N16" s="16"/>
      <c r="O16" s="29"/>
    </row>
    <row r="17" customFormat="false" ht="27" hidden="false" customHeight="true" outlineLevel="0" collapsed="false">
      <c r="B17" s="16"/>
      <c r="C17" s="17" t="s">
        <v>10</v>
      </c>
      <c r="D17" s="16"/>
      <c r="E17" s="31"/>
      <c r="F17" s="18" t="s">
        <v>11</v>
      </c>
      <c r="G17" s="30"/>
      <c r="I17" s="30"/>
      <c r="J17" s="20" t="s">
        <v>12</v>
      </c>
      <c r="K17" s="21"/>
      <c r="L17" s="22" t="n">
        <f aca="false">IF('⚙️'!$F$17="","",IF('⚙️'!$F$17=DADOS!$I$3,DADOS!$H$17/100,$N$17/100))</f>
        <v>0.2</v>
      </c>
      <c r="M17" s="23" t="s">
        <v>6</v>
      </c>
      <c r="N17" s="24" t="n">
        <v>20</v>
      </c>
      <c r="O17" s="25"/>
    </row>
    <row r="18" customFormat="false" ht="15.75" hidden="false" customHeight="false" outlineLevel="0" collapsed="false">
      <c r="B18" s="32"/>
      <c r="C18" s="32"/>
      <c r="D18" s="32"/>
      <c r="E18" s="32"/>
      <c r="F18" s="32"/>
      <c r="G18" s="32"/>
      <c r="I18" s="30"/>
      <c r="J18" s="27"/>
      <c r="K18" s="16"/>
      <c r="L18" s="16"/>
      <c r="M18" s="28"/>
      <c r="N18" s="16"/>
      <c r="O18" s="29"/>
    </row>
    <row r="19" customFormat="false" ht="27" hidden="false" customHeight="true" outlineLevel="0" collapsed="false">
      <c r="C19" s="33"/>
      <c r="D19" s="33"/>
      <c r="H19" s="33"/>
      <c r="I19" s="30"/>
      <c r="J19" s="20" t="s">
        <v>13</v>
      </c>
      <c r="K19" s="21"/>
      <c r="L19" s="22" t="n">
        <f aca="false">IF('⚙️'!$F$17="","",IF('⚙️'!$F$17=DADOS!$I$3,DADOS!$H$18/100,$N$19/100))</f>
        <v>0.15</v>
      </c>
      <c r="M19" s="23" t="s">
        <v>6</v>
      </c>
      <c r="N19" s="24" t="n">
        <v>15</v>
      </c>
      <c r="O19" s="25"/>
    </row>
    <row r="20" customFormat="false" ht="15.75" hidden="false" customHeight="false" outlineLevel="0" collapsed="false">
      <c r="C20" s="33"/>
      <c r="D20" s="33"/>
      <c r="H20" s="33"/>
      <c r="I20" s="30"/>
      <c r="J20" s="27"/>
      <c r="K20" s="16"/>
      <c r="L20" s="16"/>
      <c r="M20" s="28"/>
      <c r="N20" s="16"/>
      <c r="O20" s="29"/>
    </row>
    <row r="21" customFormat="false" ht="27" hidden="false" customHeight="true" outlineLevel="0" collapsed="false">
      <c r="C21" s="33"/>
      <c r="D21" s="33"/>
      <c r="H21" s="33"/>
      <c r="I21" s="30"/>
      <c r="J21" s="20" t="s">
        <v>14</v>
      </c>
      <c r="K21" s="21"/>
      <c r="L21" s="22" t="n">
        <f aca="false">IF('⚙️'!$F$17="","",IF('⚙️'!$F$17=DADOS!$I$3,DADOS!$H$19/100,$N$21/100))</f>
        <v>0.1</v>
      </c>
      <c r="M21" s="23" t="s">
        <v>6</v>
      </c>
      <c r="N21" s="24" t="n">
        <v>10</v>
      </c>
      <c r="O21" s="25"/>
    </row>
    <row r="22" customFormat="false" ht="15.75" hidden="false" customHeight="false" outlineLevel="0" collapsed="false">
      <c r="C22" s="33"/>
      <c r="D22" s="33"/>
      <c r="H22" s="33"/>
      <c r="I22" s="30"/>
      <c r="J22" s="27"/>
      <c r="K22" s="16"/>
      <c r="L22" s="16"/>
      <c r="M22" s="28"/>
      <c r="N22" s="16"/>
      <c r="O22" s="29"/>
    </row>
    <row r="23" customFormat="false" ht="27" hidden="false" customHeight="true" outlineLevel="0" collapsed="false">
      <c r="C23" s="33"/>
      <c r="D23" s="33"/>
      <c r="H23" s="33"/>
      <c r="I23" s="30"/>
      <c r="J23" s="20" t="s">
        <v>15</v>
      </c>
      <c r="K23" s="21"/>
      <c r="L23" s="22" t="n">
        <f aca="false">IF('⚙️'!$F$17="","",IF('⚙️'!$F$17=DADOS!$I$3,DADOS!$H$20/100,$N$23/100))</f>
        <v>0.1</v>
      </c>
      <c r="M23" s="23" t="s">
        <v>6</v>
      </c>
      <c r="N23" s="24" t="n">
        <v>10</v>
      </c>
      <c r="O23" s="25"/>
    </row>
    <row r="24" customFormat="false" ht="15.75" hidden="false" customHeight="false" outlineLevel="0" collapsed="false">
      <c r="C24" s="33"/>
      <c r="D24" s="33"/>
      <c r="H24" s="33"/>
      <c r="I24" s="30"/>
      <c r="J24" s="27"/>
      <c r="K24" s="16"/>
      <c r="L24" s="16"/>
      <c r="M24" s="28"/>
      <c r="N24" s="16"/>
      <c r="O24" s="29"/>
    </row>
    <row r="25" customFormat="false" ht="27" hidden="false" customHeight="true" outlineLevel="0" collapsed="false">
      <c r="C25" s="33"/>
      <c r="D25" s="33"/>
      <c r="H25" s="33"/>
      <c r="I25" s="30"/>
      <c r="J25" s="34" t="s">
        <v>2</v>
      </c>
      <c r="K25" s="21"/>
      <c r="L25" s="35" t="n">
        <f aca="false">SUM(L23,L21,L19,L17,L15,L13)</f>
        <v>1.15</v>
      </c>
      <c r="M25" s="23" t="s">
        <v>6</v>
      </c>
      <c r="N25" s="36" t="n">
        <f aca="false">SUM(N23,N21,N19,N17,N15,N13)</f>
        <v>115</v>
      </c>
      <c r="O25" s="25"/>
    </row>
    <row r="26" customFormat="false" ht="15.75" hidden="false" customHeight="false" outlineLevel="0" collapsed="false">
      <c r="C26" s="33"/>
      <c r="D26" s="33"/>
      <c r="E26" s="33"/>
      <c r="F26" s="33"/>
      <c r="G26" s="33"/>
      <c r="H26" s="33"/>
      <c r="I26" s="37"/>
      <c r="J26" s="32"/>
      <c r="K26" s="32"/>
      <c r="L26" s="32"/>
      <c r="M26" s="32"/>
      <c r="N26" s="32"/>
      <c r="O26" s="38"/>
      <c r="P26" s="33"/>
    </row>
    <row r="27" customFormat="false" ht="15" hidden="false" customHeight="false" outlineLevel="0" collapsed="false">
      <c r="C27" s="33"/>
      <c r="D27" s="33"/>
      <c r="E27" s="33"/>
      <c r="F27" s="33"/>
      <c r="G27" s="33"/>
      <c r="H27" s="33"/>
      <c r="I27" s="33"/>
      <c r="O27" s="33"/>
    </row>
    <row r="28" customFormat="false" ht="15" hidden="false" customHeight="false" outlineLevel="0" collapsed="false">
      <c r="O28" s="33"/>
    </row>
    <row r="29" customFormat="false" ht="15" hidden="false" customHeight="false" outlineLevel="0" collapsed="false">
      <c r="O29" s="33"/>
    </row>
    <row r="30" customFormat="false" ht="15" hidden="false" customHeight="false" outlineLevel="0" collapsed="false">
      <c r="O30" s="33"/>
      <c r="P30" s="33"/>
    </row>
    <row r="31" customFormat="false" ht="15" hidden="false" customHeight="false" outlineLevel="0" collapsed="false">
      <c r="O31" s="33"/>
      <c r="P31" s="33"/>
    </row>
  </sheetData>
  <mergeCells count="2">
    <mergeCell ref="D3:I7"/>
    <mergeCell ref="J10:N10"/>
  </mergeCells>
  <dataValidations count="2">
    <dataValidation allowBlank="true" errorStyle="stop" operator="between" showDropDown="false" showErrorMessage="true" showInputMessage="true" sqref="F15" type="list">
      <formula1>DADOS!$B$3:$B$14</formula1>
      <formula2>0</formula2>
    </dataValidation>
    <dataValidation allowBlank="true" errorStyle="stop" operator="between" showDropDown="false" showErrorMessage="true" showInputMessage="true" sqref="F17" type="list">
      <formula1>DADOS!$I$2:$I$3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25A93A1-5848-4CBD-9CA6-27BDEE5B33E3}">
            <xm:f>$F$17=DADOS!$I$2</xm:f>
            <x14:dxf>
              <font>
                <color rgb="FFFFFFFF"/>
              </font>
              <fill>
                <patternFill>
                  <bgColor rgb="FFFFFFFF"/>
                </patternFill>
              </fill>
              <border diagonalUp="false" diagonalDown="false">
                <left style="thin"/>
                <right style="thin"/>
                <top style="thin"/>
                <bottom style="thin"/>
                <diagonal/>
              </border>
            </x14:dxf>
          </x14:cfRule>
          <xm:sqref>L13:L25</xm:sqref>
        </x14:conditionalFormatting>
        <x14:conditionalFormatting xmlns:xm="http://schemas.microsoft.com/office/excel/2006/main">
          <x14:cfRule type="expression" priority="3" id="{953E3843-4D53-4BC9-9AF0-70EC72D257E3}">
            <xm:f>$F$17=DADOS!$I$3</xm:f>
            <x14:dxf>
              <font>
                <color rgb="FFFFFFFF"/>
              </font>
              <fill>
                <patternFill>
                  <bgColor rgb="FFFFFFFF"/>
                </patternFill>
              </fill>
              <border diagonalUp="false" diagonalDown="false">
                <left style="thin"/>
                <right style="thin"/>
                <top style="thin"/>
                <bottom style="thin"/>
                <diagonal/>
              </border>
            </x14:dxf>
          </x14:cfRule>
          <xm:sqref>M13:N25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62626"/>
    <pageSetUpPr fitToPage="false"/>
  </sheetPr>
  <dimension ref="A1:BB80"/>
  <sheetViews>
    <sheetView showFormulas="false" showGridLines="false" showRowColHeaders="false" showZeros="true" rightToLeft="false" tabSelected="false" showOutlineSymbols="true" defaultGridColor="true" view="normal" topLeftCell="A1" colorId="64" zoomScale="90" zoomScaleNormal="90" zoomScalePageLayoutView="100" workbookViewId="0">
      <pane xSplit="0" ySplit="6" topLeftCell="A7" activePane="bottomLeft" state="frozen"/>
      <selection pane="topLeft" activeCell="A1" activeCellId="0" sqref="A1"/>
      <selection pane="bottomLeft" activeCell="D7" activeCellId="0" sqref="D7"/>
    </sheetView>
  </sheetViews>
  <sheetFormatPr defaultColWidth="9.15625" defaultRowHeight="27" zeroHeight="false" outlineLevelRow="0" outlineLevelCol="0"/>
  <cols>
    <col collapsed="false" customWidth="true" hidden="false" outlineLevel="0" max="1" min="1" style="39" width="4.57"/>
    <col collapsed="false" customWidth="true" hidden="true" outlineLevel="0" max="2" min="2" style="40" width="10.14"/>
    <col collapsed="false" customWidth="true" hidden="true" outlineLevel="0" max="3" min="3" style="41" width="18.58"/>
    <col collapsed="false" customWidth="true" hidden="false" outlineLevel="0" max="4" min="4" style="42" width="14.01"/>
    <col collapsed="false" customWidth="true" hidden="false" outlineLevel="0" max="5" min="5" style="41" width="20.29"/>
    <col collapsed="false" customWidth="true" hidden="false" outlineLevel="0" max="6" min="6" style="43" width="20.29"/>
    <col collapsed="false" customWidth="true" hidden="false" outlineLevel="0" max="7" min="7" style="44" width="29.29"/>
    <col collapsed="false" customWidth="true" hidden="false" outlineLevel="0" max="8" min="8" style="45" width="35.29"/>
    <col collapsed="false" customWidth="true" hidden="false" outlineLevel="0" max="9" min="9" style="40" width="18.58"/>
    <col collapsed="false" customWidth="true" hidden="false" outlineLevel="0" max="10" min="10" style="45" width="18.58"/>
    <col collapsed="false" customWidth="true" hidden="false" outlineLevel="0" max="11" min="11" style="46" width="18.58"/>
    <col collapsed="false" customWidth="true" hidden="false" outlineLevel="0" max="12" min="12" style="47" width="18.58"/>
    <col collapsed="false" customWidth="false" hidden="false" outlineLevel="0" max="13" min="13" style="48" width="9.14"/>
    <col collapsed="false" customWidth="false" hidden="true" outlineLevel="0" max="1024" min="14" style="46" width="9.14"/>
  </cols>
  <sheetData>
    <row r="1" s="51" customFormat="true" ht="15" hidden="false" customHeight="false" outlineLevel="0" collapsed="false">
      <c r="A1" s="49"/>
      <c r="B1" s="49"/>
      <c r="C1" s="49"/>
      <c r="D1" s="49"/>
      <c r="E1" s="49"/>
      <c r="F1" s="49"/>
      <c r="G1" s="49"/>
      <c r="H1" s="49"/>
      <c r="I1" s="49"/>
      <c r="J1" s="49"/>
      <c r="K1" s="50"/>
      <c r="L1" s="50"/>
      <c r="M1" s="50"/>
    </row>
    <row r="2" s="51" customFormat="true" ht="18.75" hidden="false" customHeight="true" outlineLevel="0" collapsed="false">
      <c r="A2" s="52"/>
      <c r="B2" s="49"/>
      <c r="C2" s="49"/>
      <c r="D2" s="53" t="s">
        <v>16</v>
      </c>
      <c r="E2" s="53"/>
      <c r="F2" s="49"/>
      <c r="G2" s="49"/>
      <c r="H2" s="54"/>
      <c r="I2" s="49"/>
      <c r="J2" s="49"/>
      <c r="K2" s="50"/>
      <c r="L2" s="50"/>
      <c r="M2" s="50"/>
    </row>
    <row r="3" s="51" customFormat="true" ht="18.75" hidden="false" customHeight="true" outlineLevel="0" collapsed="false">
      <c r="A3" s="52"/>
      <c r="B3" s="49"/>
      <c r="C3" s="49"/>
      <c r="D3" s="53"/>
      <c r="E3" s="53"/>
      <c r="F3" s="49"/>
      <c r="G3" s="49"/>
      <c r="H3" s="54"/>
      <c r="I3" s="49"/>
      <c r="J3" s="49"/>
      <c r="K3" s="50"/>
      <c r="L3" s="50"/>
      <c r="M3" s="50"/>
    </row>
    <row r="4" s="51" customFormat="true" ht="18.75" hidden="false" customHeight="true" outlineLevel="0" collapsed="false">
      <c r="A4" s="52"/>
      <c r="B4" s="49"/>
      <c r="C4" s="49"/>
      <c r="D4" s="53"/>
      <c r="E4" s="53"/>
      <c r="F4" s="49"/>
      <c r="G4" s="49"/>
      <c r="H4" s="54"/>
      <c r="I4" s="49"/>
      <c r="J4" s="49"/>
      <c r="K4" s="50"/>
      <c r="L4" s="55" t="s">
        <v>17</v>
      </c>
      <c r="M4" s="50"/>
    </row>
    <row r="5" s="51" customFormat="true" ht="16.5" hidden="false" customHeight="true" outlineLevel="0" collapsed="false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50"/>
      <c r="M5" s="50"/>
    </row>
    <row r="6" s="61" customFormat="true" ht="36" hidden="false" customHeight="true" outlineLevel="0" collapsed="false">
      <c r="A6" s="56"/>
      <c r="B6" s="57" t="s">
        <v>18</v>
      </c>
      <c r="C6" s="57" t="s">
        <v>19</v>
      </c>
      <c r="D6" s="58" t="s">
        <v>20</v>
      </c>
      <c r="E6" s="59" t="s">
        <v>21</v>
      </c>
      <c r="F6" s="60" t="s">
        <v>22</v>
      </c>
      <c r="G6" s="60" t="s">
        <v>23</v>
      </c>
      <c r="H6" s="60" t="s">
        <v>24</v>
      </c>
      <c r="I6" s="60" t="s">
        <v>25</v>
      </c>
      <c r="J6" s="60" t="s">
        <v>26</v>
      </c>
      <c r="K6" s="60" t="s">
        <v>27</v>
      </c>
      <c r="L6" s="60" t="s">
        <v>28</v>
      </c>
      <c r="M6" s="48"/>
    </row>
    <row r="7" customFormat="false" ht="27" hidden="false" customHeight="true" outlineLevel="0" collapsed="false">
      <c r="B7" s="62" t="n">
        <f aca="false">DAY(tabela_registros[[#This Row],[DATA 
REGISTRO]])</f>
        <v>30</v>
      </c>
      <c r="C7" s="62" t="n">
        <f aca="false">MONTH(tabela_registros[[#This Row],[DATA 
REGISTRO]])</f>
        <v>8</v>
      </c>
      <c r="D7" s="63" t="n">
        <v>44073</v>
      </c>
      <c r="E7" s="64" t="s">
        <v>29</v>
      </c>
      <c r="F7" s="65"/>
      <c r="G7" s="65"/>
      <c r="H7" s="65"/>
      <c r="I7" s="66"/>
      <c r="J7" s="67"/>
      <c r="K7" s="67"/>
      <c r="L7" s="68"/>
    </row>
    <row r="8" customFormat="false" ht="27" hidden="false" customHeight="true" outlineLevel="0" collapsed="false">
      <c r="B8" s="62" t="n">
        <f aca="false">DAY(tabela_registros[[#This Row],[DATA 
REGISTRO]])</f>
        <v>0</v>
      </c>
      <c r="C8" s="62" t="n">
        <f aca="false">MONTH(tabela_registros[[#This Row],[DATA 
REGISTRO]])</f>
        <v>1</v>
      </c>
      <c r="D8" s="63"/>
      <c r="E8" s="64"/>
      <c r="F8" s="65"/>
      <c r="G8" s="65"/>
      <c r="H8" s="65"/>
      <c r="I8" s="66"/>
      <c r="J8" s="67"/>
      <c r="K8" s="67"/>
      <c r="L8" s="68"/>
    </row>
    <row r="9" customFormat="false" ht="27" hidden="false" customHeight="true" outlineLevel="0" collapsed="false">
      <c r="B9" s="62" t="n">
        <f aca="false">DAY(tabela_registros[[#This Row],[DATA 
REGISTRO]])</f>
        <v>0</v>
      </c>
      <c r="C9" s="62" t="n">
        <f aca="false">MONTH(tabela_registros[[#This Row],[DATA 
REGISTRO]])</f>
        <v>1</v>
      </c>
      <c r="D9" s="63"/>
      <c r="E9" s="64"/>
      <c r="F9" s="65"/>
      <c r="G9" s="65"/>
      <c r="H9" s="65"/>
      <c r="I9" s="66"/>
      <c r="J9" s="67"/>
      <c r="K9" s="67"/>
      <c r="L9" s="68"/>
    </row>
    <row r="10" customFormat="false" ht="27" hidden="false" customHeight="true" outlineLevel="0" collapsed="false">
      <c r="B10" s="62" t="n">
        <f aca="false">DAY(tabela_registros[[#This Row],[DATA 
REGISTRO]])</f>
        <v>0</v>
      </c>
      <c r="C10" s="62" t="n">
        <f aca="false">MONTH(tabela_registros[[#This Row],[DATA 
REGISTRO]])</f>
        <v>1</v>
      </c>
      <c r="D10" s="63"/>
      <c r="E10" s="64"/>
      <c r="F10" s="65"/>
      <c r="G10" s="65"/>
      <c r="H10" s="65"/>
      <c r="I10" s="66"/>
      <c r="J10" s="67"/>
      <c r="K10" s="67"/>
      <c r="L10" s="68"/>
    </row>
    <row r="11" customFormat="false" ht="27" hidden="false" customHeight="true" outlineLevel="0" collapsed="false">
      <c r="B11" s="62" t="n">
        <f aca="false">DAY(tabela_registros[[#This Row],[DATA 
REGISTRO]])</f>
        <v>0</v>
      </c>
      <c r="C11" s="62" t="n">
        <f aca="false">MONTH(tabela_registros[[#This Row],[DATA 
REGISTRO]])</f>
        <v>1</v>
      </c>
      <c r="D11" s="63"/>
      <c r="E11" s="64"/>
      <c r="F11" s="65"/>
      <c r="G11" s="65"/>
      <c r="H11" s="65"/>
      <c r="I11" s="66"/>
      <c r="J11" s="67"/>
      <c r="K11" s="67"/>
      <c r="L11" s="68"/>
    </row>
    <row r="12" customFormat="false" ht="27" hidden="false" customHeight="true" outlineLevel="0" collapsed="false">
      <c r="B12" s="62" t="n">
        <f aca="false">DAY(tabela_registros[[#This Row],[DATA 
REGISTRO]])</f>
        <v>0</v>
      </c>
      <c r="C12" s="62" t="n">
        <f aca="false">MONTH(tabela_registros[[#This Row],[DATA 
REGISTRO]])</f>
        <v>1</v>
      </c>
      <c r="D12" s="63"/>
      <c r="E12" s="64"/>
      <c r="F12" s="65"/>
      <c r="G12" s="65"/>
      <c r="H12" s="65"/>
      <c r="I12" s="66"/>
      <c r="J12" s="67"/>
      <c r="K12" s="67"/>
      <c r="L12" s="68"/>
    </row>
    <row r="13" customFormat="false" ht="27" hidden="false" customHeight="true" outlineLevel="0" collapsed="false">
      <c r="B13" s="62" t="n">
        <f aca="false">DAY(tabela_registros[[#This Row],[DATA 
REGISTRO]])</f>
        <v>0</v>
      </c>
      <c r="C13" s="62" t="n">
        <f aca="false">MONTH(tabela_registros[[#This Row],[DATA 
REGISTRO]])</f>
        <v>1</v>
      </c>
      <c r="D13" s="63"/>
      <c r="E13" s="64"/>
      <c r="F13" s="65"/>
      <c r="G13" s="65"/>
      <c r="H13" s="65"/>
      <c r="I13" s="66"/>
      <c r="J13" s="67"/>
      <c r="K13" s="67"/>
      <c r="L13" s="68"/>
    </row>
    <row r="14" customFormat="false" ht="27" hidden="false" customHeight="true" outlineLevel="0" collapsed="false">
      <c r="B14" s="62" t="n">
        <f aca="false">DAY(tabela_registros[[#This Row],[DATA 
REGISTRO]])</f>
        <v>0</v>
      </c>
      <c r="C14" s="62" t="n">
        <f aca="false">MONTH(tabela_registros[[#This Row],[DATA 
REGISTRO]])</f>
        <v>1</v>
      </c>
      <c r="D14" s="63"/>
      <c r="E14" s="64"/>
      <c r="F14" s="65"/>
      <c r="G14" s="65"/>
      <c r="H14" s="65"/>
      <c r="I14" s="66"/>
      <c r="J14" s="67"/>
      <c r="K14" s="67"/>
      <c r="L14" s="68"/>
    </row>
    <row r="15" customFormat="false" ht="27" hidden="false" customHeight="true" outlineLevel="0" collapsed="false">
      <c r="B15" s="62" t="n">
        <f aca="false">DAY(tabela_registros[[#This Row],[DATA 
REGISTRO]])</f>
        <v>0</v>
      </c>
      <c r="C15" s="62" t="n">
        <f aca="false">MONTH(tabela_registros[[#This Row],[DATA 
REGISTRO]])</f>
        <v>1</v>
      </c>
      <c r="D15" s="63"/>
      <c r="E15" s="64"/>
      <c r="F15" s="65"/>
      <c r="G15" s="65"/>
      <c r="H15" s="65"/>
      <c r="I15" s="66"/>
      <c r="J15" s="67"/>
      <c r="K15" s="67"/>
      <c r="L15" s="68"/>
    </row>
    <row r="16" customFormat="false" ht="27" hidden="false" customHeight="true" outlineLevel="0" collapsed="false">
      <c r="B16" s="62" t="n">
        <f aca="false">DAY(tabela_registros[[#This Row],[DATA 
REGISTRO]])</f>
        <v>0</v>
      </c>
      <c r="C16" s="62" t="n">
        <f aca="false">MONTH(tabela_registros[[#This Row],[DATA 
REGISTRO]])</f>
        <v>1</v>
      </c>
      <c r="D16" s="63"/>
      <c r="E16" s="64"/>
      <c r="F16" s="65"/>
      <c r="G16" s="65"/>
      <c r="H16" s="65"/>
      <c r="I16" s="66"/>
      <c r="J16" s="67"/>
      <c r="K16" s="67"/>
      <c r="L16" s="68"/>
    </row>
    <row r="17" customFormat="false" ht="27" hidden="false" customHeight="true" outlineLevel="0" collapsed="false">
      <c r="B17" s="62" t="n">
        <f aca="false">DAY(tabela_registros[[#This Row],[DATA 
REGISTRO]])</f>
        <v>0</v>
      </c>
      <c r="C17" s="62" t="n">
        <f aca="false">MONTH(tabela_registros[[#This Row],[DATA 
REGISTRO]])</f>
        <v>1</v>
      </c>
      <c r="D17" s="63"/>
      <c r="E17" s="64"/>
      <c r="F17" s="65"/>
      <c r="G17" s="65"/>
      <c r="H17" s="65"/>
      <c r="I17" s="66"/>
      <c r="J17" s="67"/>
      <c r="K17" s="67"/>
      <c r="L17" s="68"/>
    </row>
    <row r="18" customFormat="false" ht="27" hidden="false" customHeight="true" outlineLevel="0" collapsed="false">
      <c r="B18" s="62" t="n">
        <f aca="false">DAY(tabela_registros[[#This Row],[DATA 
REGISTRO]])</f>
        <v>0</v>
      </c>
      <c r="C18" s="62" t="n">
        <f aca="false">MONTH(tabela_registros[[#This Row],[DATA 
REGISTRO]])</f>
        <v>1</v>
      </c>
      <c r="D18" s="63"/>
      <c r="E18" s="64"/>
      <c r="F18" s="65"/>
      <c r="G18" s="65"/>
      <c r="H18" s="65"/>
      <c r="I18" s="66"/>
      <c r="J18" s="67"/>
      <c r="K18" s="67"/>
      <c r="L18" s="68"/>
    </row>
    <row r="19" customFormat="false" ht="27" hidden="false" customHeight="true" outlineLevel="0" collapsed="false">
      <c r="B19" s="62" t="n">
        <f aca="false">DAY(tabela_registros[[#This Row],[DATA 
REGISTRO]])</f>
        <v>0</v>
      </c>
      <c r="C19" s="62" t="n">
        <f aca="false">MONTH(tabela_registros[[#This Row],[DATA 
REGISTRO]])</f>
        <v>1</v>
      </c>
      <c r="D19" s="63"/>
      <c r="E19" s="64"/>
      <c r="F19" s="65"/>
      <c r="G19" s="65"/>
      <c r="H19" s="65"/>
      <c r="I19" s="66"/>
      <c r="J19" s="67"/>
      <c r="K19" s="67"/>
      <c r="L19" s="68"/>
    </row>
    <row r="20" customFormat="false" ht="27" hidden="false" customHeight="true" outlineLevel="0" collapsed="false">
      <c r="B20" s="62" t="n">
        <f aca="false">DAY(tabela_registros[[#This Row],[DATA 
REGISTRO]])</f>
        <v>0</v>
      </c>
      <c r="C20" s="62" t="n">
        <f aca="false">MONTH(tabela_registros[[#This Row],[DATA 
REGISTRO]])</f>
        <v>1</v>
      </c>
      <c r="D20" s="63"/>
      <c r="E20" s="64"/>
      <c r="F20" s="65"/>
      <c r="G20" s="65"/>
      <c r="H20" s="65"/>
      <c r="I20" s="66"/>
      <c r="J20" s="67"/>
      <c r="K20" s="67"/>
      <c r="L20" s="68"/>
    </row>
    <row r="21" customFormat="false" ht="27" hidden="false" customHeight="true" outlineLevel="0" collapsed="false">
      <c r="B21" s="62" t="n">
        <f aca="false">DAY(tabela_registros[[#This Row],[DATA 
REGISTRO]])</f>
        <v>0</v>
      </c>
      <c r="C21" s="62" t="n">
        <f aca="false">MONTH(tabela_registros[[#This Row],[DATA 
REGISTRO]])</f>
        <v>1</v>
      </c>
      <c r="D21" s="63"/>
      <c r="E21" s="64"/>
      <c r="F21" s="65"/>
      <c r="G21" s="65"/>
      <c r="H21" s="65"/>
      <c r="I21" s="66"/>
      <c r="J21" s="67"/>
      <c r="K21" s="67"/>
      <c r="L21" s="68"/>
    </row>
    <row r="22" customFormat="false" ht="27" hidden="false" customHeight="true" outlineLevel="0" collapsed="false">
      <c r="B22" s="62" t="n">
        <f aca="false">DAY(tabela_registros[[#This Row],[DATA 
REGISTRO]])</f>
        <v>0</v>
      </c>
      <c r="C22" s="62" t="n">
        <f aca="false">MONTH(tabela_registros[[#This Row],[DATA 
REGISTRO]])</f>
        <v>1</v>
      </c>
      <c r="D22" s="63"/>
      <c r="E22" s="64"/>
      <c r="F22" s="65"/>
      <c r="G22" s="65"/>
      <c r="H22" s="65"/>
      <c r="I22" s="66"/>
      <c r="J22" s="67"/>
      <c r="K22" s="67"/>
      <c r="L22" s="68"/>
    </row>
    <row r="23" customFormat="false" ht="27" hidden="false" customHeight="true" outlineLevel="0" collapsed="false">
      <c r="B23" s="62" t="n">
        <f aca="false">DAY(tabela_registros[[#This Row],[DATA 
REGISTRO]])</f>
        <v>0</v>
      </c>
      <c r="C23" s="62" t="n">
        <f aca="false">MONTH(tabela_registros[[#This Row],[DATA 
REGISTRO]])</f>
        <v>1</v>
      </c>
      <c r="D23" s="63"/>
      <c r="E23" s="64"/>
      <c r="F23" s="65"/>
      <c r="G23" s="65"/>
      <c r="H23" s="65"/>
      <c r="I23" s="66"/>
      <c r="J23" s="67"/>
      <c r="K23" s="67"/>
      <c r="L23" s="68"/>
    </row>
    <row r="24" customFormat="false" ht="27" hidden="false" customHeight="true" outlineLevel="0" collapsed="false">
      <c r="B24" s="62" t="n">
        <f aca="false">DAY(tabela_registros[[#This Row],[DATA 
REGISTRO]])</f>
        <v>0</v>
      </c>
      <c r="C24" s="62" t="n">
        <f aca="false">MONTH(tabela_registros[[#This Row],[DATA 
REGISTRO]])</f>
        <v>1</v>
      </c>
      <c r="D24" s="63"/>
      <c r="E24" s="64"/>
      <c r="F24" s="65"/>
      <c r="G24" s="65"/>
      <c r="H24" s="65"/>
      <c r="I24" s="66"/>
      <c r="J24" s="67"/>
      <c r="K24" s="67"/>
      <c r="L24" s="68"/>
    </row>
    <row r="25" customFormat="false" ht="27" hidden="false" customHeight="true" outlineLevel="0" collapsed="false">
      <c r="B25" s="62" t="n">
        <f aca="false">DAY(tabela_registros[[#This Row],[DATA 
REGISTRO]])</f>
        <v>0</v>
      </c>
      <c r="C25" s="62" t="n">
        <f aca="false">MONTH(tabela_registros[[#This Row],[DATA 
REGISTRO]])</f>
        <v>1</v>
      </c>
      <c r="D25" s="63"/>
      <c r="E25" s="64"/>
      <c r="F25" s="65"/>
      <c r="G25" s="65"/>
      <c r="H25" s="65"/>
      <c r="I25" s="66"/>
      <c r="J25" s="67"/>
      <c r="K25" s="67"/>
      <c r="L25" s="68"/>
    </row>
    <row r="26" customFormat="false" ht="27" hidden="false" customHeight="true" outlineLevel="0" collapsed="false">
      <c r="B26" s="62" t="n">
        <f aca="false">DAY(tabela_registros[[#This Row],[DATA 
REGISTRO]])</f>
        <v>0</v>
      </c>
      <c r="C26" s="62" t="n">
        <f aca="false">MONTH(tabela_registros[[#This Row],[DATA 
REGISTRO]])</f>
        <v>1</v>
      </c>
      <c r="D26" s="63"/>
      <c r="E26" s="64"/>
      <c r="F26" s="65"/>
      <c r="G26" s="65"/>
      <c r="H26" s="65"/>
      <c r="I26" s="66"/>
      <c r="J26" s="67"/>
      <c r="K26" s="67"/>
      <c r="L26" s="68"/>
    </row>
    <row r="27" customFormat="false" ht="27" hidden="false" customHeight="true" outlineLevel="0" collapsed="false">
      <c r="B27" s="62" t="n">
        <f aca="false">DAY(tabela_registros[[#This Row],[DATA 
REGISTRO]])</f>
        <v>0</v>
      </c>
      <c r="C27" s="62" t="n">
        <f aca="false">MONTH(tabela_registros[[#This Row],[DATA 
REGISTRO]])</f>
        <v>1</v>
      </c>
      <c r="D27" s="63"/>
      <c r="E27" s="64"/>
      <c r="F27" s="65"/>
      <c r="G27" s="65"/>
      <c r="H27" s="65"/>
      <c r="I27" s="66"/>
      <c r="J27" s="67"/>
      <c r="K27" s="67"/>
      <c r="L27" s="68"/>
    </row>
    <row r="28" customFormat="false" ht="27" hidden="false" customHeight="true" outlineLevel="0" collapsed="false">
      <c r="B28" s="62" t="n">
        <f aca="false">DAY(tabela_registros[[#This Row],[DATA 
REGISTRO]])</f>
        <v>0</v>
      </c>
      <c r="C28" s="62" t="n">
        <f aca="false">MONTH(tabela_registros[[#This Row],[DATA 
REGISTRO]])</f>
        <v>1</v>
      </c>
      <c r="D28" s="63"/>
      <c r="E28" s="64"/>
      <c r="F28" s="65"/>
      <c r="G28" s="65"/>
      <c r="H28" s="65"/>
      <c r="I28" s="66"/>
      <c r="J28" s="67"/>
      <c r="K28" s="67"/>
      <c r="L28" s="68"/>
    </row>
    <row r="29" customFormat="false" ht="27" hidden="false" customHeight="true" outlineLevel="0" collapsed="false">
      <c r="B29" s="62" t="n">
        <f aca="false">DAY(tabela_registros[[#This Row],[DATA 
REGISTRO]])</f>
        <v>0</v>
      </c>
      <c r="C29" s="62" t="n">
        <f aca="false">MONTH(tabela_registros[[#This Row],[DATA 
REGISTRO]])</f>
        <v>1</v>
      </c>
      <c r="D29" s="63"/>
      <c r="E29" s="64"/>
      <c r="F29" s="65"/>
      <c r="G29" s="65"/>
      <c r="H29" s="65"/>
      <c r="I29" s="66"/>
      <c r="J29" s="67"/>
      <c r="K29" s="67"/>
      <c r="L29" s="68"/>
    </row>
    <row r="30" customFormat="false" ht="27" hidden="false" customHeight="true" outlineLevel="0" collapsed="false">
      <c r="B30" s="62" t="n">
        <f aca="false">DAY(tabela_registros[[#This Row],[DATA 
REGISTRO]])</f>
        <v>0</v>
      </c>
      <c r="C30" s="62" t="n">
        <f aca="false">MONTH(tabela_registros[[#This Row],[DATA 
REGISTRO]])</f>
        <v>1</v>
      </c>
      <c r="D30" s="63"/>
      <c r="E30" s="64"/>
      <c r="F30" s="65"/>
      <c r="G30" s="65"/>
      <c r="H30" s="65"/>
      <c r="I30" s="66"/>
      <c r="J30" s="67"/>
      <c r="K30" s="67"/>
      <c r="L30" s="68"/>
    </row>
    <row r="31" customFormat="false" ht="27" hidden="false" customHeight="true" outlineLevel="0" collapsed="false">
      <c r="B31" s="62" t="n">
        <f aca="false">DAY(tabela_registros[[#This Row],[DATA 
REGISTRO]])</f>
        <v>0</v>
      </c>
      <c r="C31" s="62" t="n">
        <f aca="false">MONTH(tabela_registros[[#This Row],[DATA 
REGISTRO]])</f>
        <v>1</v>
      </c>
      <c r="D31" s="63"/>
      <c r="E31" s="64"/>
      <c r="F31" s="65"/>
      <c r="G31" s="65"/>
      <c r="H31" s="65"/>
      <c r="I31" s="66"/>
      <c r="J31" s="67"/>
      <c r="K31" s="67"/>
      <c r="L31" s="68"/>
    </row>
    <row r="32" customFormat="false" ht="27" hidden="false" customHeight="true" outlineLevel="0" collapsed="false">
      <c r="B32" s="62" t="n">
        <f aca="false">DAY(tabela_registros[[#This Row],[DATA 
REGISTRO]])</f>
        <v>0</v>
      </c>
      <c r="C32" s="62" t="n">
        <f aca="false">MONTH(tabela_registros[[#This Row],[DATA 
REGISTRO]])</f>
        <v>1</v>
      </c>
      <c r="D32" s="63"/>
      <c r="E32" s="64"/>
      <c r="F32" s="65"/>
      <c r="G32" s="65"/>
      <c r="H32" s="65"/>
      <c r="I32" s="66"/>
      <c r="J32" s="67"/>
      <c r="K32" s="67"/>
      <c r="L32" s="68"/>
    </row>
    <row r="33" customFormat="false" ht="27" hidden="false" customHeight="true" outlineLevel="0" collapsed="false">
      <c r="B33" s="62" t="n">
        <f aca="false">DAY(tabela_registros[[#This Row],[DATA 
REGISTRO]])</f>
        <v>0</v>
      </c>
      <c r="C33" s="62" t="n">
        <f aca="false">MONTH(tabela_registros[[#This Row],[DATA 
REGISTRO]])</f>
        <v>1</v>
      </c>
      <c r="D33" s="63"/>
      <c r="E33" s="64"/>
      <c r="F33" s="65"/>
      <c r="G33" s="65"/>
      <c r="H33" s="65"/>
      <c r="I33" s="66"/>
      <c r="J33" s="67"/>
      <c r="K33" s="67"/>
      <c r="L33" s="68"/>
    </row>
    <row r="34" customFormat="false" ht="27" hidden="false" customHeight="true" outlineLevel="0" collapsed="false">
      <c r="B34" s="62" t="n">
        <f aca="false">DAY(tabela_registros[[#This Row],[DATA 
REGISTRO]])</f>
        <v>0</v>
      </c>
      <c r="C34" s="62" t="n">
        <f aca="false">MONTH(tabela_registros[[#This Row],[DATA 
REGISTRO]])</f>
        <v>1</v>
      </c>
      <c r="D34" s="63"/>
      <c r="E34" s="64"/>
      <c r="F34" s="65"/>
      <c r="G34" s="65"/>
      <c r="H34" s="65"/>
      <c r="I34" s="66"/>
      <c r="J34" s="67"/>
      <c r="K34" s="67"/>
      <c r="L34" s="68"/>
    </row>
    <row r="35" customFormat="false" ht="27" hidden="false" customHeight="true" outlineLevel="0" collapsed="false">
      <c r="B35" s="62" t="n">
        <f aca="false">DAY(tabela_registros[[#This Row],[DATA 
REGISTRO]])</f>
        <v>0</v>
      </c>
      <c r="C35" s="62" t="n">
        <f aca="false">MONTH(tabela_registros[[#This Row],[DATA 
REGISTRO]])</f>
        <v>1</v>
      </c>
      <c r="D35" s="63"/>
      <c r="E35" s="64"/>
      <c r="F35" s="65"/>
      <c r="G35" s="65"/>
      <c r="H35" s="65"/>
      <c r="I35" s="66"/>
      <c r="J35" s="67"/>
      <c r="K35" s="67"/>
      <c r="L35" s="68"/>
    </row>
    <row r="36" customFormat="false" ht="27" hidden="false" customHeight="true" outlineLevel="0" collapsed="false">
      <c r="B36" s="62" t="n">
        <f aca="false">DAY(tabela_registros[[#This Row],[DATA 
REGISTRO]])</f>
        <v>0</v>
      </c>
      <c r="C36" s="62" t="n">
        <f aca="false">MONTH(tabela_registros[[#This Row],[DATA 
REGISTRO]])</f>
        <v>1</v>
      </c>
      <c r="D36" s="63"/>
      <c r="E36" s="64"/>
      <c r="F36" s="65"/>
      <c r="G36" s="65"/>
      <c r="H36" s="65"/>
      <c r="I36" s="66"/>
      <c r="J36" s="67"/>
      <c r="K36" s="67"/>
      <c r="L36" s="68"/>
    </row>
    <row r="37" customFormat="false" ht="27" hidden="false" customHeight="true" outlineLevel="0" collapsed="false">
      <c r="B37" s="62" t="n">
        <f aca="false">DAY(tabela_registros[[#This Row],[DATA 
REGISTRO]])</f>
        <v>0</v>
      </c>
      <c r="C37" s="62" t="n">
        <f aca="false">MONTH(tabela_registros[[#This Row],[DATA 
REGISTRO]])</f>
        <v>1</v>
      </c>
      <c r="D37" s="63"/>
      <c r="E37" s="64"/>
      <c r="F37" s="65"/>
      <c r="G37" s="65"/>
      <c r="H37" s="65"/>
      <c r="I37" s="66"/>
      <c r="J37" s="67"/>
      <c r="K37" s="67"/>
      <c r="L37" s="68"/>
    </row>
    <row r="38" customFormat="false" ht="27" hidden="false" customHeight="true" outlineLevel="0" collapsed="false">
      <c r="B38" s="62" t="n">
        <f aca="false">DAY(tabela_registros[[#This Row],[DATA 
REGISTRO]])</f>
        <v>0</v>
      </c>
      <c r="C38" s="62" t="n">
        <f aca="false">MONTH(tabela_registros[[#This Row],[DATA 
REGISTRO]])</f>
        <v>1</v>
      </c>
      <c r="D38" s="63"/>
      <c r="E38" s="64"/>
      <c r="F38" s="65"/>
      <c r="G38" s="65"/>
      <c r="H38" s="65"/>
      <c r="I38" s="66"/>
      <c r="J38" s="67"/>
      <c r="K38" s="67"/>
      <c r="L38" s="68"/>
    </row>
    <row r="39" customFormat="false" ht="27" hidden="false" customHeight="true" outlineLevel="0" collapsed="false">
      <c r="B39" s="62" t="n">
        <f aca="false">DAY(tabela_registros[[#This Row],[DATA 
REGISTRO]])</f>
        <v>0</v>
      </c>
      <c r="C39" s="62" t="n">
        <f aca="false">MONTH(tabela_registros[[#This Row],[DATA 
REGISTRO]])</f>
        <v>1</v>
      </c>
      <c r="D39" s="63"/>
      <c r="E39" s="64"/>
      <c r="F39" s="65"/>
      <c r="G39" s="65"/>
      <c r="H39" s="65"/>
      <c r="I39" s="66"/>
      <c r="J39" s="67"/>
      <c r="K39" s="67"/>
      <c r="L39" s="68"/>
    </row>
    <row r="40" customFormat="false" ht="27" hidden="false" customHeight="true" outlineLevel="0" collapsed="false">
      <c r="B40" s="62" t="n">
        <f aca="false">DAY(tabela_registros[[#This Row],[DATA 
REGISTRO]])</f>
        <v>0</v>
      </c>
      <c r="C40" s="62" t="n">
        <f aca="false">MONTH(tabela_registros[[#This Row],[DATA 
REGISTRO]])</f>
        <v>1</v>
      </c>
      <c r="D40" s="63"/>
      <c r="E40" s="64"/>
      <c r="F40" s="65"/>
      <c r="G40" s="65"/>
      <c r="H40" s="65"/>
      <c r="I40" s="66"/>
      <c r="J40" s="67"/>
      <c r="K40" s="67"/>
      <c r="L40" s="68"/>
    </row>
    <row r="41" customFormat="false" ht="27" hidden="false" customHeight="true" outlineLevel="0" collapsed="false">
      <c r="B41" s="62" t="n">
        <f aca="false">DAY(tabela_registros[[#This Row],[DATA 
REGISTRO]])</f>
        <v>0</v>
      </c>
      <c r="C41" s="62" t="n">
        <f aca="false">MONTH(tabela_registros[[#This Row],[DATA 
REGISTRO]])</f>
        <v>1</v>
      </c>
      <c r="D41" s="63"/>
      <c r="E41" s="64"/>
      <c r="F41" s="65"/>
      <c r="G41" s="65"/>
      <c r="H41" s="65"/>
      <c r="I41" s="66"/>
      <c r="J41" s="67"/>
      <c r="K41" s="67"/>
      <c r="L41" s="68"/>
    </row>
    <row r="42" customFormat="false" ht="27" hidden="false" customHeight="true" outlineLevel="0" collapsed="false">
      <c r="B42" s="62" t="n">
        <f aca="false">DAY(tabela_registros[[#This Row],[DATA 
REGISTRO]])</f>
        <v>0</v>
      </c>
      <c r="C42" s="62" t="n">
        <f aca="false">MONTH(tabela_registros[[#This Row],[DATA 
REGISTRO]])</f>
        <v>1</v>
      </c>
      <c r="D42" s="63"/>
      <c r="E42" s="64"/>
      <c r="F42" s="65"/>
      <c r="G42" s="65"/>
      <c r="H42" s="65"/>
      <c r="I42" s="66"/>
      <c r="J42" s="67"/>
      <c r="K42" s="67"/>
      <c r="L42" s="68"/>
    </row>
    <row r="43" customFormat="false" ht="27" hidden="false" customHeight="true" outlineLevel="0" collapsed="false">
      <c r="B43" s="62" t="n">
        <f aca="false">DAY(tabela_registros[[#This Row],[DATA 
REGISTRO]])</f>
        <v>0</v>
      </c>
      <c r="C43" s="62" t="n">
        <f aca="false">MONTH(tabela_registros[[#This Row],[DATA 
REGISTRO]])</f>
        <v>1</v>
      </c>
      <c r="D43" s="63"/>
      <c r="E43" s="64"/>
      <c r="F43" s="65"/>
      <c r="G43" s="65"/>
      <c r="H43" s="65"/>
      <c r="I43" s="66"/>
      <c r="J43" s="67"/>
      <c r="K43" s="67"/>
      <c r="L43" s="68"/>
    </row>
    <row r="44" customFormat="false" ht="27" hidden="false" customHeight="true" outlineLevel="0" collapsed="false">
      <c r="B44" s="62" t="n">
        <f aca="false">DAY(tabela_registros[[#This Row],[DATA 
REGISTRO]])</f>
        <v>0</v>
      </c>
      <c r="C44" s="62" t="n">
        <f aca="false">MONTH(tabela_registros[[#This Row],[DATA 
REGISTRO]])</f>
        <v>1</v>
      </c>
      <c r="D44" s="63"/>
      <c r="E44" s="64"/>
      <c r="F44" s="65"/>
      <c r="G44" s="65"/>
      <c r="H44" s="65"/>
      <c r="I44" s="66"/>
      <c r="J44" s="67"/>
      <c r="K44" s="67"/>
      <c r="L44" s="68"/>
    </row>
    <row r="45" customFormat="false" ht="27" hidden="false" customHeight="true" outlineLevel="0" collapsed="false">
      <c r="B45" s="62" t="n">
        <f aca="false">DAY(tabela_registros[[#This Row],[DATA 
REGISTRO]])</f>
        <v>0</v>
      </c>
      <c r="C45" s="62" t="n">
        <f aca="false">MONTH(tabela_registros[[#This Row],[DATA 
REGISTRO]])</f>
        <v>1</v>
      </c>
      <c r="D45" s="63"/>
      <c r="E45" s="64"/>
      <c r="F45" s="65"/>
      <c r="G45" s="65"/>
      <c r="H45" s="65"/>
      <c r="I45" s="66"/>
      <c r="J45" s="67"/>
      <c r="K45" s="67"/>
      <c r="L45" s="68"/>
    </row>
    <row r="46" customFormat="false" ht="27" hidden="false" customHeight="true" outlineLevel="0" collapsed="false">
      <c r="B46" s="62" t="n">
        <f aca="false">DAY(tabela_registros[[#This Row],[DATA 
REGISTRO]])</f>
        <v>0</v>
      </c>
      <c r="C46" s="62" t="n">
        <f aca="false">MONTH(tabela_registros[[#This Row],[DATA 
REGISTRO]])</f>
        <v>1</v>
      </c>
      <c r="D46" s="63"/>
      <c r="E46" s="64"/>
      <c r="F46" s="65"/>
      <c r="G46" s="65"/>
      <c r="H46" s="65"/>
      <c r="I46" s="66"/>
      <c r="J46" s="67"/>
      <c r="K46" s="67"/>
      <c r="L46" s="68"/>
    </row>
    <row r="47" customFormat="false" ht="27" hidden="false" customHeight="true" outlineLevel="0" collapsed="false">
      <c r="B47" s="62" t="n">
        <f aca="false">DAY(tabela_registros[[#This Row],[DATA 
REGISTRO]])</f>
        <v>0</v>
      </c>
      <c r="C47" s="62" t="n">
        <f aca="false">MONTH(tabela_registros[[#This Row],[DATA 
REGISTRO]])</f>
        <v>1</v>
      </c>
      <c r="D47" s="63"/>
      <c r="E47" s="64"/>
      <c r="F47" s="65"/>
      <c r="G47" s="65"/>
      <c r="H47" s="65"/>
      <c r="I47" s="66"/>
      <c r="J47" s="67"/>
      <c r="K47" s="67"/>
      <c r="L47" s="68"/>
    </row>
    <row r="48" customFormat="false" ht="27" hidden="false" customHeight="true" outlineLevel="0" collapsed="false">
      <c r="B48" s="62" t="n">
        <f aca="false">DAY(tabela_registros[[#This Row],[DATA 
REGISTRO]])</f>
        <v>0</v>
      </c>
      <c r="C48" s="62" t="n">
        <f aca="false">MONTH(tabela_registros[[#This Row],[DATA 
REGISTRO]])</f>
        <v>1</v>
      </c>
      <c r="D48" s="63"/>
      <c r="E48" s="64"/>
      <c r="F48" s="65"/>
      <c r="G48" s="65"/>
      <c r="H48" s="65"/>
      <c r="I48" s="66"/>
      <c r="J48" s="67"/>
      <c r="K48" s="67"/>
      <c r="L48" s="68"/>
    </row>
    <row r="49" customFormat="false" ht="27" hidden="false" customHeight="true" outlineLevel="0" collapsed="false">
      <c r="B49" s="62" t="n">
        <f aca="false">DAY(tabela_registros[[#This Row],[DATA 
REGISTRO]])</f>
        <v>0</v>
      </c>
      <c r="C49" s="62" t="n">
        <f aca="false">MONTH(tabela_registros[[#This Row],[DATA 
REGISTRO]])</f>
        <v>1</v>
      </c>
      <c r="D49" s="63"/>
      <c r="E49" s="64"/>
      <c r="F49" s="65"/>
      <c r="G49" s="65"/>
      <c r="H49" s="65"/>
      <c r="I49" s="66"/>
      <c r="J49" s="67"/>
      <c r="K49" s="67"/>
      <c r="L49" s="68"/>
    </row>
    <row r="50" customFormat="false" ht="27" hidden="false" customHeight="true" outlineLevel="0" collapsed="false">
      <c r="B50" s="62" t="n">
        <f aca="false">DAY(tabela_registros[[#This Row],[DATA 
REGISTRO]])</f>
        <v>0</v>
      </c>
      <c r="C50" s="62" t="n">
        <f aca="false">MONTH(tabela_registros[[#This Row],[DATA 
REGISTRO]])</f>
        <v>1</v>
      </c>
      <c r="D50" s="63"/>
      <c r="E50" s="64"/>
      <c r="F50" s="65"/>
      <c r="G50" s="65"/>
      <c r="H50" s="65"/>
      <c r="I50" s="66"/>
      <c r="J50" s="67"/>
      <c r="K50" s="67"/>
      <c r="L50" s="68"/>
    </row>
    <row r="51" customFormat="false" ht="27" hidden="false" customHeight="true" outlineLevel="0" collapsed="false">
      <c r="B51" s="62" t="n">
        <f aca="false">DAY(tabela_registros[[#This Row],[DATA 
REGISTRO]])</f>
        <v>0</v>
      </c>
      <c r="C51" s="62" t="n">
        <f aca="false">MONTH(tabela_registros[[#This Row],[DATA 
REGISTRO]])</f>
        <v>1</v>
      </c>
      <c r="D51" s="63"/>
      <c r="E51" s="64"/>
      <c r="F51" s="65"/>
      <c r="G51" s="65"/>
      <c r="H51" s="65"/>
      <c r="I51" s="66"/>
      <c r="J51" s="67"/>
      <c r="K51" s="67"/>
      <c r="L51" s="68"/>
    </row>
    <row r="52" customFormat="false" ht="27" hidden="false" customHeight="true" outlineLevel="0" collapsed="false">
      <c r="B52" s="62" t="n">
        <f aca="false">DAY(tabela_registros[[#This Row],[DATA 
REGISTRO]])</f>
        <v>0</v>
      </c>
      <c r="C52" s="62" t="n">
        <f aca="false">MONTH(tabela_registros[[#This Row],[DATA 
REGISTRO]])</f>
        <v>1</v>
      </c>
      <c r="D52" s="63"/>
      <c r="E52" s="64"/>
      <c r="F52" s="65"/>
      <c r="G52" s="65"/>
      <c r="H52" s="65"/>
      <c r="I52" s="66"/>
      <c r="J52" s="67"/>
      <c r="K52" s="67"/>
      <c r="L52" s="68"/>
    </row>
    <row r="53" customFormat="false" ht="27" hidden="false" customHeight="true" outlineLevel="0" collapsed="false">
      <c r="B53" s="62" t="n">
        <f aca="false">DAY(tabela_registros[[#This Row],[DATA 
REGISTRO]])</f>
        <v>0</v>
      </c>
      <c r="C53" s="62" t="n">
        <f aca="false">MONTH(tabela_registros[[#This Row],[DATA 
REGISTRO]])</f>
        <v>1</v>
      </c>
      <c r="D53" s="63"/>
      <c r="E53" s="64"/>
      <c r="F53" s="65"/>
      <c r="G53" s="65"/>
      <c r="H53" s="65"/>
      <c r="I53" s="66"/>
      <c r="J53" s="67"/>
      <c r="K53" s="67"/>
      <c r="L53" s="68"/>
    </row>
    <row r="54" customFormat="false" ht="27" hidden="false" customHeight="true" outlineLevel="0" collapsed="false">
      <c r="B54" s="62" t="n">
        <f aca="false">DAY(tabela_registros[[#This Row],[DATA 
REGISTRO]])</f>
        <v>0</v>
      </c>
      <c r="C54" s="62" t="n">
        <f aca="false">MONTH(tabela_registros[[#This Row],[DATA 
REGISTRO]])</f>
        <v>1</v>
      </c>
      <c r="D54" s="63"/>
      <c r="E54" s="64"/>
      <c r="F54" s="65"/>
      <c r="G54" s="65"/>
      <c r="H54" s="65"/>
      <c r="I54" s="66"/>
      <c r="J54" s="67"/>
      <c r="K54" s="67"/>
      <c r="L54" s="68"/>
    </row>
    <row r="55" customFormat="false" ht="27" hidden="false" customHeight="true" outlineLevel="0" collapsed="false">
      <c r="B55" s="62" t="n">
        <f aca="false">DAY(tabela_registros[[#This Row],[DATA 
REGISTRO]])</f>
        <v>0</v>
      </c>
      <c r="C55" s="62" t="n">
        <f aca="false">MONTH(tabela_registros[[#This Row],[DATA 
REGISTRO]])</f>
        <v>1</v>
      </c>
      <c r="D55" s="63"/>
      <c r="E55" s="64"/>
      <c r="F55" s="65"/>
      <c r="G55" s="65"/>
      <c r="H55" s="65"/>
      <c r="I55" s="66"/>
      <c r="J55" s="67"/>
      <c r="K55" s="67"/>
      <c r="L55" s="68"/>
    </row>
    <row r="56" customFormat="false" ht="27" hidden="false" customHeight="true" outlineLevel="0" collapsed="false">
      <c r="B56" s="62" t="n">
        <f aca="false">DAY(tabela_registros[[#This Row],[DATA 
REGISTRO]])</f>
        <v>0</v>
      </c>
      <c r="C56" s="62" t="n">
        <f aca="false">MONTH(tabela_registros[[#This Row],[DATA 
REGISTRO]])</f>
        <v>1</v>
      </c>
      <c r="D56" s="63"/>
      <c r="E56" s="64"/>
      <c r="F56" s="65"/>
      <c r="G56" s="65"/>
      <c r="H56" s="65"/>
      <c r="I56" s="66"/>
      <c r="J56" s="67"/>
      <c r="K56" s="67"/>
      <c r="L56" s="68"/>
    </row>
    <row r="57" customFormat="false" ht="27" hidden="false" customHeight="true" outlineLevel="0" collapsed="false">
      <c r="B57" s="62" t="n">
        <f aca="false">DAY(tabela_registros[[#This Row],[DATA 
REGISTRO]])</f>
        <v>0</v>
      </c>
      <c r="C57" s="62" t="n">
        <f aca="false">MONTH(tabela_registros[[#This Row],[DATA 
REGISTRO]])</f>
        <v>1</v>
      </c>
      <c r="D57" s="63"/>
      <c r="E57" s="64"/>
      <c r="F57" s="65"/>
      <c r="G57" s="65"/>
      <c r="H57" s="65"/>
      <c r="I57" s="66"/>
      <c r="J57" s="67"/>
      <c r="K57" s="67"/>
      <c r="L57" s="68"/>
    </row>
    <row r="58" customFormat="false" ht="27" hidden="false" customHeight="true" outlineLevel="0" collapsed="false">
      <c r="B58" s="62" t="n">
        <f aca="false">DAY(tabela_registros[[#This Row],[DATA 
REGISTRO]])</f>
        <v>0</v>
      </c>
      <c r="C58" s="62" t="n">
        <f aca="false">MONTH(tabela_registros[[#This Row],[DATA 
REGISTRO]])</f>
        <v>1</v>
      </c>
      <c r="D58" s="63"/>
      <c r="E58" s="64"/>
      <c r="F58" s="65"/>
      <c r="G58" s="65"/>
      <c r="H58" s="65"/>
      <c r="I58" s="66"/>
      <c r="J58" s="67"/>
      <c r="K58" s="67"/>
      <c r="L58" s="68"/>
    </row>
    <row r="59" customFormat="false" ht="27" hidden="false" customHeight="true" outlineLevel="0" collapsed="false">
      <c r="B59" s="62" t="n">
        <f aca="false">DAY(tabela_registros[[#This Row],[DATA 
REGISTRO]])</f>
        <v>0</v>
      </c>
      <c r="C59" s="62" t="n">
        <f aca="false">MONTH(tabela_registros[[#This Row],[DATA 
REGISTRO]])</f>
        <v>1</v>
      </c>
      <c r="D59" s="63"/>
      <c r="E59" s="64"/>
      <c r="F59" s="65"/>
      <c r="G59" s="65"/>
      <c r="H59" s="65"/>
      <c r="I59" s="66"/>
      <c r="J59" s="67"/>
      <c r="K59" s="67"/>
      <c r="L59" s="68"/>
    </row>
    <row r="60" customFormat="false" ht="27" hidden="false" customHeight="true" outlineLevel="0" collapsed="false">
      <c r="B60" s="62" t="n">
        <f aca="false">DAY(tabela_registros[[#This Row],[DATA 
REGISTRO]])</f>
        <v>0</v>
      </c>
      <c r="C60" s="62" t="n">
        <f aca="false">MONTH(tabela_registros[[#This Row],[DATA 
REGISTRO]])</f>
        <v>1</v>
      </c>
      <c r="D60" s="63"/>
      <c r="E60" s="64"/>
      <c r="F60" s="65"/>
      <c r="G60" s="65"/>
      <c r="H60" s="65"/>
      <c r="I60" s="66"/>
      <c r="J60" s="67"/>
      <c r="K60" s="67"/>
      <c r="L60" s="68"/>
    </row>
    <row r="61" customFormat="false" ht="27" hidden="false" customHeight="true" outlineLevel="0" collapsed="false">
      <c r="B61" s="62" t="n">
        <f aca="false">DAY(tabela_registros[[#This Row],[DATA 
REGISTRO]])</f>
        <v>0</v>
      </c>
      <c r="C61" s="62" t="n">
        <f aca="false">MONTH(tabela_registros[[#This Row],[DATA 
REGISTRO]])</f>
        <v>1</v>
      </c>
      <c r="D61" s="63"/>
      <c r="E61" s="64"/>
      <c r="F61" s="65"/>
      <c r="G61" s="65"/>
      <c r="H61" s="65"/>
      <c r="I61" s="66"/>
      <c r="J61" s="67"/>
      <c r="K61" s="67"/>
      <c r="L61" s="68"/>
    </row>
    <row r="62" customFormat="false" ht="27" hidden="false" customHeight="true" outlineLevel="0" collapsed="false">
      <c r="B62" s="62" t="n">
        <f aca="false">DAY(tabela_registros[[#This Row],[DATA 
REGISTRO]])</f>
        <v>0</v>
      </c>
      <c r="C62" s="62" t="n">
        <f aca="false">MONTH(tabela_registros[[#This Row],[DATA 
REGISTRO]])</f>
        <v>1</v>
      </c>
      <c r="D62" s="63"/>
      <c r="E62" s="64"/>
      <c r="F62" s="65"/>
      <c r="G62" s="65"/>
      <c r="H62" s="65"/>
      <c r="I62" s="66"/>
      <c r="J62" s="67"/>
      <c r="K62" s="67"/>
      <c r="L62" s="68"/>
    </row>
    <row r="63" customFormat="false" ht="27" hidden="false" customHeight="true" outlineLevel="0" collapsed="false">
      <c r="B63" s="62" t="n">
        <f aca="false">DAY(tabela_registros[[#This Row],[DATA 
REGISTRO]])</f>
        <v>0</v>
      </c>
      <c r="C63" s="62" t="n">
        <f aca="false">MONTH(tabela_registros[[#This Row],[DATA 
REGISTRO]])</f>
        <v>1</v>
      </c>
      <c r="D63" s="63"/>
      <c r="E63" s="64"/>
      <c r="F63" s="65"/>
      <c r="G63" s="65"/>
      <c r="H63" s="65"/>
      <c r="I63" s="66"/>
      <c r="J63" s="67"/>
      <c r="K63" s="67"/>
      <c r="L63" s="68"/>
    </row>
    <row r="64" customFormat="false" ht="27" hidden="false" customHeight="true" outlineLevel="0" collapsed="false">
      <c r="B64" s="62" t="n">
        <f aca="false">DAY(tabela_registros[[#This Row],[DATA 
REGISTRO]])</f>
        <v>0</v>
      </c>
      <c r="C64" s="62" t="n">
        <f aca="false">MONTH(tabela_registros[[#This Row],[DATA 
REGISTRO]])</f>
        <v>1</v>
      </c>
      <c r="D64" s="63"/>
      <c r="E64" s="64"/>
      <c r="F64" s="65"/>
      <c r="G64" s="65"/>
      <c r="H64" s="65"/>
      <c r="I64" s="66"/>
      <c r="J64" s="67"/>
      <c r="K64" s="69"/>
      <c r="L64" s="70"/>
    </row>
    <row r="65" customFormat="false" ht="27" hidden="false" customHeight="true" outlineLevel="0" collapsed="false">
      <c r="B65" s="71" t="n">
        <f aca="false">DAY(tabela_registros[[#This Row],[DATA 
REGISTRO]])</f>
        <v>0</v>
      </c>
      <c r="C65" s="71" t="n">
        <f aca="false">MONTH(tabela_registros[[#This Row],[DATA 
REGISTRO]])</f>
        <v>1</v>
      </c>
      <c r="D65" s="72"/>
      <c r="E65" s="73"/>
      <c r="F65" s="73"/>
      <c r="G65" s="74"/>
      <c r="H65" s="73"/>
      <c r="I65" s="66"/>
      <c r="J65" s="69"/>
      <c r="K65" s="69"/>
      <c r="L65" s="70"/>
    </row>
    <row r="66" customFormat="false" ht="27" hidden="false" customHeight="true" outlineLevel="0" collapsed="false">
      <c r="B66" s="71" t="n">
        <f aca="false">DAY(tabela_registros[[#This Row],[DATA 
REGISTRO]])</f>
        <v>0</v>
      </c>
      <c r="C66" s="71" t="n">
        <f aca="false">MONTH(tabela_registros[[#This Row],[DATA 
REGISTRO]])</f>
        <v>1</v>
      </c>
      <c r="D66" s="72"/>
      <c r="E66" s="73"/>
      <c r="F66" s="73"/>
      <c r="G66" s="74"/>
      <c r="H66" s="73"/>
      <c r="I66" s="66"/>
      <c r="J66" s="69"/>
      <c r="K66" s="67"/>
      <c r="L66" s="68"/>
    </row>
    <row r="67" customFormat="false" ht="27" hidden="false" customHeight="true" outlineLevel="0" collapsed="false">
      <c r="B67" s="71" t="n">
        <f aca="false">DAY(tabela_registros[[#This Row],[DATA 
REGISTRO]])</f>
        <v>0</v>
      </c>
      <c r="C67" s="71" t="n">
        <f aca="false">MONTH(tabela_registros[[#This Row],[DATA 
REGISTRO]])</f>
        <v>1</v>
      </c>
      <c r="D67" s="72"/>
      <c r="E67" s="73"/>
      <c r="F67" s="73"/>
      <c r="G67" s="74"/>
      <c r="H67" s="73"/>
      <c r="I67" s="66"/>
      <c r="J67" s="67"/>
      <c r="K67" s="69"/>
      <c r="L67" s="70"/>
    </row>
    <row r="68" customFormat="false" ht="27" hidden="false" customHeight="true" outlineLevel="0" collapsed="false">
      <c r="B68" s="71" t="n">
        <f aca="false">DAY(tabela_registros[[#This Row],[DATA 
REGISTRO]])</f>
        <v>0</v>
      </c>
      <c r="C68" s="71" t="n">
        <f aca="false">MONTH(tabela_registros[[#This Row],[DATA 
REGISTRO]])</f>
        <v>1</v>
      </c>
      <c r="D68" s="72"/>
      <c r="E68" s="73"/>
      <c r="F68" s="73"/>
      <c r="G68" s="74"/>
      <c r="H68" s="73"/>
      <c r="I68" s="66"/>
      <c r="J68" s="69"/>
      <c r="K68" s="69"/>
      <c r="L68" s="70"/>
    </row>
    <row r="69" customFormat="false" ht="27" hidden="false" customHeight="true" outlineLevel="0" collapsed="false">
      <c r="B69" s="71" t="n">
        <f aca="false">DAY(tabela_registros[[#This Row],[DATA 
REGISTRO]])</f>
        <v>0</v>
      </c>
      <c r="C69" s="71" t="n">
        <f aca="false">MONTH(tabela_registros[[#This Row],[DATA 
REGISTRO]])</f>
        <v>1</v>
      </c>
      <c r="D69" s="72"/>
      <c r="E69" s="73"/>
      <c r="F69" s="73"/>
      <c r="G69" s="74"/>
      <c r="H69" s="73"/>
      <c r="I69" s="66"/>
      <c r="J69" s="69"/>
      <c r="K69" s="69"/>
      <c r="L69" s="70"/>
      <c r="X69" s="75"/>
    </row>
    <row r="70" customFormat="false" ht="27" hidden="false" customHeight="true" outlineLevel="0" collapsed="false">
      <c r="B70" s="71" t="n">
        <f aca="false">DAY(tabela_registros[[#This Row],[DATA 
REGISTRO]])</f>
        <v>0</v>
      </c>
      <c r="C70" s="71" t="n">
        <f aca="false">MONTH(tabela_registros[[#This Row],[DATA 
REGISTRO]])</f>
        <v>1</v>
      </c>
      <c r="D70" s="72"/>
      <c r="E70" s="73"/>
      <c r="F70" s="73"/>
      <c r="G70" s="74"/>
      <c r="H70" s="73"/>
      <c r="I70" s="66"/>
      <c r="J70" s="69"/>
      <c r="K70" s="69"/>
      <c r="L70" s="70"/>
    </row>
    <row r="71" customFormat="false" ht="27" hidden="false" customHeight="true" outlineLevel="0" collapsed="false">
      <c r="B71" s="71" t="n">
        <f aca="false">DAY(tabela_registros[[#This Row],[DATA 
REGISTRO]])</f>
        <v>0</v>
      </c>
      <c r="C71" s="71" t="n">
        <f aca="false">MONTH(tabela_registros[[#This Row],[DATA 
REGISTRO]])</f>
        <v>1</v>
      </c>
      <c r="D71" s="72"/>
      <c r="E71" s="73"/>
      <c r="F71" s="73"/>
      <c r="G71" s="74"/>
      <c r="H71" s="73"/>
      <c r="I71" s="66"/>
      <c r="J71" s="69"/>
      <c r="K71" s="69"/>
      <c r="L71" s="70"/>
    </row>
    <row r="72" customFormat="false" ht="27" hidden="false" customHeight="true" outlineLevel="0" collapsed="false">
      <c r="B72" s="71" t="n">
        <f aca="false">DAY(tabela_registros[[#This Row],[DATA 
REGISTRO]])</f>
        <v>0</v>
      </c>
      <c r="C72" s="71" t="n">
        <f aca="false">MONTH(tabela_registros[[#This Row],[DATA 
REGISTRO]])</f>
        <v>1</v>
      </c>
      <c r="D72" s="72"/>
      <c r="E72" s="73"/>
      <c r="F72" s="73"/>
      <c r="G72" s="74"/>
      <c r="H72" s="73"/>
      <c r="I72" s="66"/>
      <c r="J72" s="69"/>
      <c r="K72" s="69"/>
      <c r="L72" s="70"/>
    </row>
    <row r="73" customFormat="false" ht="27" hidden="false" customHeight="true" outlineLevel="0" collapsed="false">
      <c r="B73" s="71" t="n">
        <f aca="false">DAY(tabela_registros[[#This Row],[DATA 
REGISTRO]])</f>
        <v>0</v>
      </c>
      <c r="C73" s="71" t="n">
        <f aca="false">MONTH(tabela_registros[[#This Row],[DATA 
REGISTRO]])</f>
        <v>1</v>
      </c>
      <c r="D73" s="72"/>
      <c r="E73" s="73"/>
      <c r="F73" s="73"/>
      <c r="G73" s="74"/>
      <c r="H73" s="73"/>
      <c r="I73" s="66"/>
      <c r="J73" s="69"/>
      <c r="K73" s="69"/>
      <c r="L73" s="70"/>
    </row>
    <row r="74" customFormat="false" ht="27" hidden="false" customHeight="true" outlineLevel="0" collapsed="false">
      <c r="B74" s="71" t="n">
        <f aca="false">DAY(tabela_registros[[#This Row],[DATA 
REGISTRO]])</f>
        <v>0</v>
      </c>
      <c r="C74" s="71" t="n">
        <f aca="false">MONTH(tabela_registros[[#This Row],[DATA 
REGISTRO]])</f>
        <v>1</v>
      </c>
      <c r="D74" s="72"/>
      <c r="E74" s="73"/>
      <c r="F74" s="73"/>
      <c r="G74" s="74"/>
      <c r="H74" s="73"/>
      <c r="I74" s="66"/>
      <c r="J74" s="69"/>
      <c r="K74" s="69"/>
      <c r="L74" s="70"/>
    </row>
    <row r="75" customFormat="false" ht="27" hidden="false" customHeight="true" outlineLevel="0" collapsed="false">
      <c r="B75" s="71" t="n">
        <f aca="false">DAY(tabela_registros[[#This Row],[DATA 
REGISTRO]])</f>
        <v>0</v>
      </c>
      <c r="C75" s="71" t="n">
        <f aca="false">MONTH(tabela_registros[[#This Row],[DATA 
REGISTRO]])</f>
        <v>1</v>
      </c>
      <c r="D75" s="72"/>
      <c r="E75" s="73"/>
      <c r="F75" s="73"/>
      <c r="G75" s="74"/>
      <c r="H75" s="73"/>
      <c r="I75" s="66"/>
      <c r="J75" s="69"/>
      <c r="K75" s="69"/>
      <c r="L75" s="70"/>
    </row>
    <row r="76" customFormat="false" ht="27" hidden="false" customHeight="true" outlineLevel="0" collapsed="false">
      <c r="B76" s="71" t="n">
        <f aca="false">DAY(tabela_registros[[#This Row],[DATA 
REGISTRO]])</f>
        <v>0</v>
      </c>
      <c r="C76" s="71" t="n">
        <f aca="false">MONTH(tabela_registros[[#This Row],[DATA 
REGISTRO]])</f>
        <v>1</v>
      </c>
      <c r="D76" s="72"/>
      <c r="E76" s="73"/>
      <c r="F76" s="73"/>
      <c r="G76" s="74"/>
      <c r="H76" s="73"/>
      <c r="I76" s="66"/>
      <c r="J76" s="69"/>
      <c r="K76" s="76"/>
      <c r="L76" s="77"/>
    </row>
    <row r="80" customFormat="false" ht="27" hidden="false" customHeight="true" outlineLevel="0" collapsed="false">
      <c r="BB80" s="75"/>
    </row>
  </sheetData>
  <mergeCells count="1">
    <mergeCell ref="D2:E4"/>
  </mergeCells>
  <conditionalFormatting sqref="B6:C6 B76:L1048576 B7:J76">
    <cfRule type="expression" priority="2" aboveAverage="0" equalAverage="0" bottom="0" percent="0" rank="0" text="" dxfId="2">
      <formula>LEN(TRIM(B6))=0</formula>
    </cfRule>
  </conditionalFormatting>
  <conditionalFormatting sqref="K7:K75">
    <cfRule type="expression" priority="7" aboveAverage="0" equalAverage="0" bottom="0" percent="0" rank="0" text="" dxfId="7">
      <formula>LEN(TRIM(K7))=0</formula>
    </cfRule>
  </conditionalFormatting>
  <conditionalFormatting sqref="L7:L75">
    <cfRule type="expression" priority="12" aboveAverage="0" equalAverage="0" bottom="0" percent="0" rank="0" text="" dxfId="12">
      <formula>LEN(TRIM(L7))=0</formula>
    </cfRule>
  </conditionalFormatting>
  <dataValidations count="7">
    <dataValidation allowBlank="true" errorStyle="stop" operator="between" prompt="ESCOLHA O &quot;REGISTRO&quot;" promptTitle="ANTES DE PREENCHER" showDropDown="false" showErrorMessage="true" showInputMessage="true" sqref="F7:F76" type="list">
      <formula1>INDIRECT(SUBSTITUTE(E7," ",""))</formula1>
      <formula2>0</formula2>
    </dataValidation>
    <dataValidation allowBlank="true" errorStyle="stop" operator="between" prompt="ESCOLHA O &quot;TIPO&quot;" promptTitle="ANTES DE PREENCHER" showDropDown="false" showErrorMessage="true" showInputMessage="true" sqref="G7:G76" type="list">
      <formula1>INDIRECT(SUBSTITUTE(F7," ",""))</formula1>
      <formula2>0</formula2>
    </dataValidation>
    <dataValidation allowBlank="true" errorStyle="stop" operator="between" prompt="USAR SEMPRE VALORES POSITIVOS, MESMO PARA DESPESAS." promptTitle="ANTES DE PREENCHER" showDropDown="false" showErrorMessage="true" showInputMessage="true" sqref="I7:I76" type="none">
      <formula1>0</formula1>
      <formula2>0</formula2>
    </dataValidation>
    <dataValidation allowBlank="true" errorStyle="stop" operator="between" prompt="SEMPRE NO FORMATO&#10;DIA / MÊS" promptTitle="COMECE POR AQUI" showDropDown="false" showErrorMessage="true" showInputMessage="true" sqref="D7:D76" type="none">
      <formula1>0</formula1>
      <formula2>0</formula2>
    </dataValidation>
    <dataValidation allowBlank="true" error="Utilize um dos registros da lista ou edite a lista principal de registros." errorStyle="stop" errorTitle="Formato de registro incorreto" operator="between" prompt="PREENCHA A DATA DO REGISTRO" promptTitle="ANTES DE PREENCHER" showDropDown="false" showErrorMessage="true" showInputMessage="true" sqref="E7:E76" type="list">
      <formula1>INDIRECT("registros[REGISTRO]")</formula1>
      <formula2>0</formula2>
    </dataValidation>
    <dataValidation allowBlank="true" errorStyle="stop" operator="between" showDropDown="false" showErrorMessage="true" showInputMessage="true" sqref="J7:J76" type="list">
      <formula1>DADOS!$L$3:$L$8</formula1>
      <formula2>0</formula2>
    </dataValidation>
    <dataValidation allowBlank="true" errorStyle="stop" operator="between" showDropDown="false" showErrorMessage="true" showInputMessage="true" sqref="K7:K76" type="list">
      <formula1>DADOS!$J$3:$J$4</formula1>
      <formula2>0</formula2>
    </dataValidation>
  </dataValidations>
  <hyperlinks>
    <hyperlink ref="L4" location="ANUAL!A1" display="ANUA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F2DD7BC5-D1EE-4E44-B780-4E168919B5C0}">
            <xm:f>$E7=DADOS!$N$6</xm:f>
            <x14:dxf>
              <font>
                <color rgb="FFC00000"/>
              </font>
            </x14:dxf>
          </x14:cfRule>
          <x14:cfRule type="expression" priority="4" id="{AA9D5C30-5A50-4E97-A38D-2D9E117EBB1B}">
            <xm:f>$E7=DADOS!$N$5</xm:f>
            <x14:dxf>
              <font>
                <color rgb="FF70AD47"/>
              </font>
            </x14:dxf>
          </x14:cfRule>
          <x14:cfRule type="expression" priority="5" id="{36706961-94B0-4BBE-974E-EEF26FA3A340}">
            <xm:f>$E7=DADOS!$N$3</xm:f>
            <x14:dxf>
              <font>
                <b val="1"/>
                <i val="0"/>
                <color rgb="FF0070C0"/>
              </font>
            </x14:dxf>
          </x14:cfRule>
          <x14:cfRule type="expression" priority="6" id="{B12DA31C-2069-4D60-9466-66985326EF19}">
            <xm:f>$E7=DADOS!$N$4</xm:f>
            <x14:dxf>
              <font>
                <b val="1"/>
                <i val="0"/>
                <color rgb="FFA825AB"/>
              </font>
            </x14:dxf>
          </x14:cfRule>
          <xm:sqref>K7:K75</xm:sqref>
        </x14:conditionalFormatting>
        <x14:conditionalFormatting xmlns:xm="http://schemas.microsoft.com/office/excel/2006/main">
          <x14:cfRule type="expression" priority="8" id="{77BBCB22-38D2-46A9-BAC4-E58C359A4980}">
            <xm:f>$E7=DADOS!$N$6</xm:f>
            <x14:dxf>
              <font>
                <color rgb="FFC00000"/>
              </font>
            </x14:dxf>
          </x14:cfRule>
          <x14:cfRule type="expression" priority="9" id="{3EB329B7-4024-4516-84E0-F3357C1F6A2C}">
            <xm:f>$E7=DADOS!$N$5</xm:f>
            <x14:dxf>
              <font>
                <color rgb="FF70AD47"/>
              </font>
            </x14:dxf>
          </x14:cfRule>
          <x14:cfRule type="expression" priority="10" id="{50E3B918-2CA8-479C-A57E-7F5C18BCDAD9}">
            <xm:f>$E7=DADOS!$N$3</xm:f>
            <x14:dxf>
              <font>
                <b val="1"/>
                <i val="0"/>
                <color rgb="FF0070C0"/>
              </font>
            </x14:dxf>
          </x14:cfRule>
          <x14:cfRule type="expression" priority="11" id="{E9A35717-CF90-4B25-8BB0-A6D351E8A240}">
            <xm:f>$E7=DADOS!$N$4</xm:f>
            <x14:dxf>
              <font>
                <b val="1"/>
                <i val="0"/>
                <color rgb="FFA825AB"/>
              </font>
            </x14:dxf>
          </x14:cfRule>
          <xm:sqref>L7:L75</xm:sqref>
        </x14:conditionalFormatting>
        <x14:conditionalFormatting xmlns:xm="http://schemas.microsoft.com/office/excel/2006/main">
          <x14:cfRule type="cellIs" priority="13" operator="equal" id="{F892D4E0-EBFD-4D9C-9CB6-F24CE927D2C0}">
            <xm:f>DADOS!$N$5</xm:f>
            <x14:dxf>
              <font>
                <color rgb="FFFFFFFF"/>
              </font>
              <fill>
                <patternFill>
                  <bgColor rgb="FFFFFFFF"/>
                </patternFill>
              </fill>
              <border diagonalUp="false" diagonalDown="false">
                <left style="thin"/>
                <right style="thin"/>
                <top style="thin"/>
                <bottom style="thin"/>
                <diagonal/>
              </border>
            </x14:dxf>
          </x14:cfRule>
          <x14:cfRule type="cellIs" priority="14" operator="equal" id="{C7681EF0-C690-4577-A177-6690D8EE401D}">
            <xm:f>DADOS!$N$3</xm:f>
            <x14:dxf>
              <font>
                <color rgb="FFFFFFFF"/>
              </font>
              <fill>
                <patternFill>
                  <bgColor rgb="FFFFFFFF"/>
                </patternFill>
              </fill>
              <border diagonalUp="false" diagonalDown="false">
                <left style="thin"/>
                <right style="thin"/>
                <top style="thin"/>
                <bottom style="thin"/>
                <diagonal/>
              </border>
            </x14:dxf>
          </x14:cfRule>
          <x14:cfRule type="cellIs" priority="15" operator="equal" id="{C28D3EAE-6328-4236-923D-8FB84A9F8331}">
            <xm:f>DADOS!$N$4</xm:f>
            <x14:dxf>
              <font>
                <b val="1"/>
                <i val="0"/>
                <color rgb="FF0070C0"/>
              </font>
            </x14:dxf>
          </x14:cfRule>
          <xm:sqref>C65:C1048576 E7:E76</xm:sqref>
        </x14:conditionalFormatting>
        <x14:conditionalFormatting xmlns:xm="http://schemas.microsoft.com/office/excel/2006/main">
          <x14:cfRule type="expression" priority="16" id="{7DDD62D9-B9A6-40A5-98CE-E3D96A91DD15}">
            <xm:f>$C65=dados!#ref!</xm:f>
            <x14:dxf>
              <font>
                <b val="1"/>
                <i val="0"/>
                <color rgb="FF00B050"/>
              </font>
            </x14:dxf>
          </x14:cfRule>
          <x14:cfRule type="expression" priority="17" id="{5199DBD1-1637-44E2-8B83-C55BF13CCD63}">
            <xm:f>$C65=dados!#ref!</xm:f>
            <x14:dxf>
              <font>
                <b val="1"/>
                <i val="0"/>
                <color rgb="FFC00000"/>
              </font>
            </x14:dxf>
          </x14:cfRule>
          <x14:cfRule type="expression" priority="18" id="{2ADDB14F-B0E4-4AAF-91B7-4065FA92BD30}">
            <xm:f>$C65=dados!#ref!</xm:f>
            <x14:dxf>
              <font>
                <color rgb="FFA825AB"/>
              </font>
            </x14:dxf>
          </x14:cfRule>
          <x14:cfRule type="expression" priority="19" id="{BC74A0D0-59FD-4338-B944-3350FEF83735}">
            <xm:f>$C65=dados!#ref!</xm:f>
            <x14:dxf>
              <font>
                <color rgb="FF4472C4"/>
              </font>
            </x14:dxf>
          </x14:cfRule>
          <xm:sqref>D65:J1048576</xm:sqref>
        </x14:conditionalFormatting>
        <x14:conditionalFormatting xmlns:xm="http://schemas.microsoft.com/office/excel/2006/main">
          <x14:cfRule type="cellIs" priority="20" operator="equal" id="{D5B6D170-E68B-406D-843F-8F9122C97FA8}">
            <xm:f>dados!#ref!</xm:f>
            <x14:dxf>
              <font>
                <color rgb="FF70AD47"/>
              </font>
            </x14:dxf>
          </x14:cfRule>
          <xm:sqref>L76:L1048576</xm:sqref>
        </x14:conditionalFormatting>
        <x14:conditionalFormatting xmlns:xm="http://schemas.microsoft.com/office/excel/2006/main">
          <x14:cfRule type="cellIs" priority="21" operator="equal" id="{9CAB74A0-83A4-4AE0-BFAA-B04320A8D194}">
            <xm:f>DADOS!$N$6</xm:f>
            <x14:dxf>
              <font>
                <color rgb="FFC00000"/>
              </font>
            </x14:dxf>
          </x14:cfRule>
          <xm:sqref>E7:E1048576</xm:sqref>
        </x14:conditionalFormatting>
        <x14:conditionalFormatting xmlns:xm="http://schemas.microsoft.com/office/excel/2006/main">
          <x14:cfRule type="expression" priority="22" id="{93E74D30-DFA1-4A51-8CB9-87B500ECEB9D}">
            <xm:f>$E7=DADOS!$N$5</xm:f>
            <x14:dxf>
              <font>
                <strike val="1"/>
              </font>
            </x14:dxf>
          </x14:cfRule>
          <xm:sqref>D7:D1048576 F7:J76</xm:sqref>
        </x14:conditionalFormatting>
        <x14:conditionalFormatting xmlns:xm="http://schemas.microsoft.com/office/excel/2006/main">
          <x14:cfRule type="expression" priority="23" id="{9A4EC4CB-A895-488A-93B1-2E3C8D7B4CC6}">
            <xm:f>$E7=DADOS!$N$6</xm:f>
            <x14:dxf>
              <font>
                <b val="1"/>
                <i val="0"/>
                <color rgb="FFA825AB"/>
              </font>
            </x14:dxf>
          </x14:cfRule>
          <x14:cfRule type="expression" priority="24" id="{3A3D31DC-5F2D-40D8-979F-98496686A510}">
            <xm:f>$E7=DADOS!$N$3</xm:f>
            <x14:dxf>
              <font>
                <b val="1"/>
                <i val="0"/>
                <color rgb="FF0070C0"/>
              </font>
            </x14:dxf>
          </x14:cfRule>
          <x14:cfRule type="expression" priority="25" id="{83913170-4A60-43A2-AE7D-1F31AC606976}">
            <xm:f>$E7=DADOS!$N$4</xm:f>
            <x14:dxf>
              <font>
                <b val="1"/>
                <i val="0"/>
                <color rgb="FFA825AB"/>
              </font>
            </x14:dxf>
          </x14:cfRule>
          <xm:sqref>D7:D1048576 F76:L1048576 F7:J76</xm:sqref>
        </x14:conditionalFormatting>
        <x14:conditionalFormatting xmlns:xm="http://schemas.microsoft.com/office/excel/2006/main">
          <x14:cfRule type="expression" priority="26" id="{24D0F748-F9FC-48C6-A7D2-D93FC5EA29D2}">
            <xm:f>$C64=dados!#ref!</xm:f>
            <x14:dxf>
              <font>
                <b val="1"/>
                <i val="0"/>
                <color rgb="FF00B050"/>
              </font>
            </x14:dxf>
          </x14:cfRule>
          <x14:cfRule type="expression" priority="27" id="{F540E9D6-17BA-4460-8BB1-60E0422273C6}">
            <xm:f>$C64=dados!#ref!</xm:f>
            <x14:dxf>
              <font>
                <b val="1"/>
                <i val="0"/>
                <color rgb="FFC00000"/>
              </font>
            </x14:dxf>
          </x14:cfRule>
          <x14:cfRule type="expression" priority="28" id="{107473A5-BF61-40FD-8ADE-E98DFA7E6CD4}">
            <xm:f>$C64=dados!#ref!</xm:f>
            <x14:dxf>
              <font>
                <color rgb="FFA825AB"/>
              </font>
            </x14:dxf>
          </x14:cfRule>
          <x14:cfRule type="expression" priority="29" id="{499B9060-D06B-4A8B-A969-6C982F3F1347}">
            <xm:f>$C64=dados!#ref!</xm:f>
            <x14:dxf>
              <font>
                <color rgb="FF4472C4"/>
              </font>
            </x14:dxf>
          </x14:cfRule>
          <xm:sqref>K64:K75</xm:sqref>
        </x14:conditionalFormatting>
        <x14:conditionalFormatting xmlns:xm="http://schemas.microsoft.com/office/excel/2006/main">
          <x14:cfRule type="expression" priority="30" id="{1CAEA01D-5DEA-4AE4-90F8-E7ADBE30FDFC}">
            <xm:f>$C64=dados!#ref!</xm:f>
            <x14:dxf>
              <font>
                <b val="1"/>
                <i val="0"/>
                <color rgb="FF00B050"/>
              </font>
            </x14:dxf>
          </x14:cfRule>
          <x14:cfRule type="expression" priority="31" id="{107F3F91-369A-4D38-A091-FA89C61CC1F4}">
            <xm:f>$C64=dados!#ref!</xm:f>
            <x14:dxf>
              <font>
                <b val="1"/>
                <i val="0"/>
                <color rgb="FFC00000"/>
              </font>
            </x14:dxf>
          </x14:cfRule>
          <x14:cfRule type="expression" priority="32" id="{DAD864B2-3BB3-4890-8E97-C79A5BA6AEED}">
            <xm:f>$C64=dados!#ref!</xm:f>
            <x14:dxf>
              <font>
                <color rgb="FFA825AB"/>
              </font>
            </x14:dxf>
          </x14:cfRule>
          <x14:cfRule type="expression" priority="33" id="{A4901650-BC72-4F56-874B-C44F76AD4D77}">
            <xm:f>$C64=dados!#ref!</xm:f>
            <x14:dxf>
              <font>
                <color rgb="FF4472C4"/>
              </font>
            </x14:dxf>
          </x14:cfRule>
          <xm:sqref>L64:L75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217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24" activeCellId="0" sqref="D24"/>
    </sheetView>
  </sheetViews>
  <sheetFormatPr defaultColWidth="4.43359375" defaultRowHeight="12" zeroHeight="true" outlineLevelRow="0" outlineLevelCol="0"/>
  <cols>
    <col collapsed="false" customWidth="true" hidden="false" outlineLevel="0" max="1" min="1" style="78" width="2.14"/>
    <col collapsed="false" customWidth="true" hidden="false" outlineLevel="0" max="2" min="2" style="78" width="1.58"/>
    <col collapsed="false" customWidth="true" hidden="false" outlineLevel="0" max="3" min="3" style="78" width="29.29"/>
    <col collapsed="false" customWidth="true" hidden="false" outlineLevel="0" max="4" min="4" style="78" width="4.71"/>
    <col collapsed="false" customWidth="true" hidden="false" outlineLevel="0" max="17" min="5" style="78" width="9.58"/>
    <col collapsed="false" customWidth="true" hidden="false" outlineLevel="0" max="18" min="18" style="78" width="1.58"/>
    <col collapsed="false" customWidth="true" hidden="false" outlineLevel="0" max="19" min="19" style="78" width="6.57"/>
    <col collapsed="false" customWidth="true" hidden="false" outlineLevel="0" max="26" min="20" style="78" width="5.57"/>
    <col collapsed="false" customWidth="true" hidden="false" outlineLevel="0" max="33" min="27" style="79" width="5.57"/>
    <col collapsed="false" customWidth="true" hidden="false" outlineLevel="0" max="34" min="34" style="80" width="5.57"/>
    <col collapsed="false" customWidth="true" hidden="false" outlineLevel="0" max="35" min="35" style="79" width="9.58"/>
    <col collapsed="false" customWidth="true" hidden="false" outlineLevel="0" max="36" min="36" style="79" width="1.42"/>
    <col collapsed="false" customWidth="true" hidden="false" outlineLevel="0" max="37" min="37" style="79" width="11.29"/>
    <col collapsed="false" customWidth="false" hidden="false" outlineLevel="0" max="39" min="38" style="79" width="4.43"/>
    <col collapsed="false" customWidth="true" hidden="false" outlineLevel="0" max="46" min="40" style="79" width="6.57"/>
    <col collapsed="false" customWidth="false" hidden="false" outlineLevel="0" max="1024" min="47" style="79" width="4.43"/>
  </cols>
  <sheetData>
    <row r="1" customFormat="false" ht="8.25" hidden="true" customHeight="true" outlineLevel="0" collapsed="false">
      <c r="A1" s="81" t="s">
        <v>8</v>
      </c>
      <c r="B1" s="81"/>
      <c r="C1" s="81"/>
      <c r="D1" s="82"/>
      <c r="E1" s="78" t="s">
        <v>30</v>
      </c>
      <c r="F1" s="78" t="s">
        <v>31</v>
      </c>
      <c r="G1" s="78" t="s">
        <v>32</v>
      </c>
      <c r="H1" s="78" t="s">
        <v>33</v>
      </c>
      <c r="I1" s="78" t="s">
        <v>34</v>
      </c>
      <c r="J1" s="78" t="s">
        <v>35</v>
      </c>
      <c r="K1" s="78" t="s">
        <v>36</v>
      </c>
      <c r="L1" s="78" t="s">
        <v>37</v>
      </c>
      <c r="M1" s="78" t="s">
        <v>38</v>
      </c>
      <c r="N1" s="78" t="s">
        <v>39</v>
      </c>
      <c r="O1" s="78" t="s">
        <v>40</v>
      </c>
      <c r="P1" s="78" t="s">
        <v>41</v>
      </c>
      <c r="AC1" s="79" t="s">
        <v>19</v>
      </c>
      <c r="AD1" s="79" t="n">
        <v>1</v>
      </c>
      <c r="AG1" s="79" t="s">
        <v>42</v>
      </c>
      <c r="AH1" s="83" t="n">
        <f aca="false">IF('⚙️'!$Q$3=$AD$1,'⚙️'!$F$13,"")</f>
        <v>2500</v>
      </c>
      <c r="AI1" s="79" t="s">
        <v>43</v>
      </c>
      <c r="AJ1" s="83" t="n">
        <f aca="false">IF('⚙️'!$Q$3=$AD$1,'🏠'!$Q$8,"")</f>
        <v>0</v>
      </c>
      <c r="AK1" s="79" t="s">
        <v>44</v>
      </c>
      <c r="AL1" s="83" t="n">
        <f aca="false">IF('⚙️'!$Q$3=$AD$1,'🏠'!$Q$9,"")</f>
        <v>0</v>
      </c>
    </row>
    <row r="2" customFormat="false" ht="15.75" hidden="false" customHeight="true" outlineLevel="0" collapsed="false">
      <c r="A2" s="84"/>
      <c r="B2" s="84"/>
      <c r="C2" s="85" t="s">
        <v>17</v>
      </c>
      <c r="D2" s="86"/>
      <c r="E2" s="86"/>
      <c r="F2" s="86"/>
      <c r="G2" s="87"/>
      <c r="H2" s="86"/>
      <c r="I2" s="86"/>
      <c r="J2" s="87"/>
      <c r="K2" s="86"/>
      <c r="L2" s="86"/>
      <c r="M2" s="87"/>
      <c r="N2" s="86"/>
      <c r="O2" s="86"/>
      <c r="P2" s="86"/>
      <c r="Q2" s="86"/>
      <c r="R2" s="86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8"/>
      <c r="AE2" s="88"/>
      <c r="AF2" s="88"/>
      <c r="AG2" s="88"/>
      <c r="AH2" s="88"/>
      <c r="AI2" s="88"/>
      <c r="AJ2" s="88"/>
      <c r="AK2" s="88"/>
      <c r="AL2" s="83"/>
    </row>
    <row r="3" s="93" customFormat="true" ht="18" hidden="false" customHeight="true" outlineLevel="0" collapsed="false">
      <c r="A3" s="89"/>
      <c r="B3" s="89"/>
      <c r="C3" s="85"/>
      <c r="D3" s="86"/>
      <c r="E3" s="90" t="s">
        <v>45</v>
      </c>
      <c r="F3" s="90"/>
      <c r="G3" s="87"/>
      <c r="H3" s="90" t="s">
        <v>46</v>
      </c>
      <c r="I3" s="90"/>
      <c r="J3" s="87"/>
      <c r="K3" s="90" t="s">
        <v>47</v>
      </c>
      <c r="L3" s="90"/>
      <c r="M3" s="87"/>
      <c r="N3" s="90" t="s">
        <v>48</v>
      </c>
      <c r="O3" s="90"/>
      <c r="P3" s="87"/>
      <c r="Q3" s="90" t="s">
        <v>49</v>
      </c>
      <c r="R3" s="90"/>
      <c r="S3" s="90"/>
      <c r="T3" s="87"/>
      <c r="U3" s="87"/>
      <c r="V3" s="91" t="s">
        <v>50</v>
      </c>
      <c r="W3" s="91"/>
      <c r="X3" s="91" t="s">
        <v>51</v>
      </c>
      <c r="Y3" s="91"/>
      <c r="Z3" s="87"/>
      <c r="AA3" s="87"/>
      <c r="AB3" s="87"/>
      <c r="AC3" s="87"/>
      <c r="AD3" s="88"/>
      <c r="AE3" s="92"/>
      <c r="AF3" s="92"/>
      <c r="AG3" s="92"/>
      <c r="AH3" s="92"/>
      <c r="AI3" s="92"/>
      <c r="AJ3" s="88"/>
      <c r="AK3" s="88"/>
    </row>
    <row r="4" s="93" customFormat="true" ht="18" hidden="false" customHeight="true" outlineLevel="0" collapsed="false">
      <c r="A4" s="89"/>
      <c r="B4" s="89"/>
      <c r="C4" s="85"/>
      <c r="D4" s="86"/>
      <c r="E4" s="94" t="n">
        <f aca="false">$Q$16</f>
        <v>2500</v>
      </c>
      <c r="F4" s="94"/>
      <c r="G4" s="87"/>
      <c r="H4" s="94" t="n">
        <f aca="false">Q14</f>
        <v>0</v>
      </c>
      <c r="I4" s="94"/>
      <c r="J4" s="87"/>
      <c r="K4" s="94" t="n">
        <f aca="false">Q15</f>
        <v>0</v>
      </c>
      <c r="L4" s="94"/>
      <c r="M4" s="87"/>
      <c r="N4" s="94" t="n">
        <f aca="false">Q25</f>
        <v>0</v>
      </c>
      <c r="O4" s="94"/>
      <c r="P4" s="87"/>
      <c r="Q4" s="94" t="n">
        <f aca="false">Q26</f>
        <v>0</v>
      </c>
      <c r="R4" s="94"/>
      <c r="S4" s="94"/>
      <c r="T4" s="87"/>
      <c r="U4" s="95"/>
      <c r="V4" s="91"/>
      <c r="W4" s="91"/>
      <c r="X4" s="91"/>
      <c r="Y4" s="91"/>
      <c r="Z4" s="87"/>
      <c r="AA4" s="87"/>
      <c r="AB4" s="87"/>
      <c r="AC4" s="87"/>
      <c r="AD4" s="88"/>
      <c r="AE4" s="92"/>
      <c r="AF4" s="92"/>
      <c r="AG4" s="92"/>
      <c r="AH4" s="92"/>
      <c r="AI4" s="92"/>
      <c r="AJ4" s="88"/>
      <c r="AK4" s="88"/>
    </row>
    <row r="5" customFormat="false" ht="11.25" hidden="false" customHeight="true" outlineLevel="0" collapsed="false">
      <c r="A5" s="89"/>
      <c r="B5" s="89"/>
      <c r="C5" s="85"/>
      <c r="D5" s="86"/>
      <c r="E5" s="86"/>
      <c r="F5" s="86"/>
      <c r="G5" s="87"/>
      <c r="H5" s="86"/>
      <c r="I5" s="86"/>
      <c r="J5" s="87"/>
      <c r="K5" s="86"/>
      <c r="L5" s="86"/>
      <c r="M5" s="87"/>
      <c r="N5" s="86"/>
      <c r="O5" s="86"/>
      <c r="P5" s="86"/>
      <c r="Q5" s="86"/>
      <c r="R5" s="86"/>
      <c r="S5" s="87"/>
      <c r="T5" s="87"/>
      <c r="U5" s="95"/>
      <c r="V5" s="91"/>
      <c r="W5" s="91"/>
      <c r="X5" s="91"/>
      <c r="Y5" s="91"/>
      <c r="Z5" s="87"/>
      <c r="AA5" s="87"/>
      <c r="AB5" s="87"/>
      <c r="AC5" s="87"/>
      <c r="AD5" s="88"/>
      <c r="AE5" s="88"/>
      <c r="AF5" s="88"/>
      <c r="AG5" s="88"/>
      <c r="AH5" s="88"/>
      <c r="AI5" s="88"/>
      <c r="AJ5" s="88"/>
      <c r="AK5" s="88"/>
    </row>
    <row r="6" customFormat="false" ht="13.5" hidden="false" customHeight="true" outlineLevel="0" collapsed="false">
      <c r="A6" s="96"/>
      <c r="B6" s="96"/>
      <c r="C6" s="85"/>
      <c r="D6" s="97"/>
      <c r="E6" s="98" t="s">
        <v>52</v>
      </c>
      <c r="F6" s="98" t="s">
        <v>53</v>
      </c>
      <c r="G6" s="99" t="s">
        <v>54</v>
      </c>
      <c r="H6" s="99" t="s">
        <v>55</v>
      </c>
      <c r="I6" s="98" t="s">
        <v>56</v>
      </c>
      <c r="J6" s="98" t="s">
        <v>57</v>
      </c>
      <c r="K6" s="99" t="s">
        <v>58</v>
      </c>
      <c r="L6" s="99" t="s">
        <v>59</v>
      </c>
      <c r="M6" s="98" t="s">
        <v>60</v>
      </c>
      <c r="N6" s="98" t="s">
        <v>61</v>
      </c>
      <c r="O6" s="99" t="s">
        <v>62</v>
      </c>
      <c r="P6" s="99" t="s">
        <v>63</v>
      </c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8"/>
      <c r="AE6" s="88"/>
      <c r="AF6" s="88"/>
      <c r="AG6" s="88"/>
      <c r="AH6" s="88"/>
      <c r="AI6" s="88"/>
      <c r="AJ6" s="88"/>
      <c r="AK6" s="88"/>
    </row>
    <row r="7" customFormat="false" ht="12.75" hidden="false" customHeight="false" outlineLevel="0" collapsed="false">
      <c r="E7" s="100"/>
      <c r="AH7" s="79"/>
    </row>
    <row r="8" customFormat="false" ht="12" hidden="false" customHeight="false" outlineLevel="0" collapsed="false">
      <c r="AH8" s="79"/>
    </row>
    <row r="9" customFormat="false" ht="12" hidden="false" customHeight="false" outlineLevel="0" collapsed="false">
      <c r="AH9" s="79"/>
    </row>
    <row r="10" customFormat="false" ht="39.75" hidden="false" customHeight="true" outlineLevel="0" collapsed="false">
      <c r="C10" s="101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3" t="s">
        <v>2</v>
      </c>
      <c r="R10" s="104"/>
      <c r="AH10" s="79"/>
      <c r="AN10" s="105"/>
    </row>
    <row r="11" customFormat="false" ht="12.75" hidden="false" customHeight="false" outlineLevel="0" collapsed="false">
      <c r="Q11" s="106" t="s">
        <v>64</v>
      </c>
      <c r="AH11" s="79"/>
      <c r="AQ11" s="79" t="s">
        <v>65</v>
      </c>
      <c r="AR11" s="79" t="s">
        <v>65</v>
      </c>
    </row>
    <row r="12" customFormat="false" ht="6.75" hidden="false" customHeight="tru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AH12" s="79"/>
      <c r="AO12" s="108" t="s">
        <v>65</v>
      </c>
      <c r="AP12" s="108" t="s">
        <v>66</v>
      </c>
      <c r="AQ12" s="108" t="s">
        <v>67</v>
      </c>
      <c r="AR12" s="108" t="s">
        <v>67</v>
      </c>
    </row>
    <row r="13" customFormat="false" ht="13.5" hidden="true" customHeight="false" outlineLevel="0" collapsed="false">
      <c r="B13" s="86"/>
      <c r="C13" s="109" t="s">
        <v>68</v>
      </c>
      <c r="D13" s="110" t="s">
        <v>69</v>
      </c>
      <c r="E13" s="110" t="s">
        <v>30</v>
      </c>
      <c r="F13" s="110" t="s">
        <v>31</v>
      </c>
      <c r="G13" s="110" t="s">
        <v>32</v>
      </c>
      <c r="H13" s="110" t="s">
        <v>33</v>
      </c>
      <c r="I13" s="110" t="s">
        <v>34</v>
      </c>
      <c r="J13" s="110" t="s">
        <v>35</v>
      </c>
      <c r="K13" s="110" t="s">
        <v>36</v>
      </c>
      <c r="L13" s="110" t="s">
        <v>37</v>
      </c>
      <c r="M13" s="110" t="s">
        <v>38</v>
      </c>
      <c r="N13" s="110" t="s">
        <v>39</v>
      </c>
      <c r="O13" s="110" t="s">
        <v>40</v>
      </c>
      <c r="P13" s="110" t="s">
        <v>41</v>
      </c>
      <c r="Q13" s="111" t="s">
        <v>70</v>
      </c>
      <c r="R13" s="107"/>
      <c r="V13" s="78" t="n">
        <v>5555</v>
      </c>
      <c r="AH13" s="79"/>
    </row>
    <row r="14" customFormat="false" ht="19.5" hidden="false" customHeight="true" outlineLevel="0" collapsed="false">
      <c r="B14" s="107"/>
      <c r="C14" s="112" t="s">
        <v>71</v>
      </c>
      <c r="D14" s="113"/>
      <c r="E14" s="114" t="n">
        <f aca="false">jantotal[[#This Row],[TOTAL (R$)]]</f>
        <v>0</v>
      </c>
      <c r="F14" s="114" t="n">
        <f aca="false">fevtotal30[[#This Row],[TOTAL (R$)]]</f>
        <v>0</v>
      </c>
      <c r="G14" s="114" t="n">
        <f aca="false">martotal3059[[#This Row],[TOTAL (R$)]]</f>
        <v>0</v>
      </c>
      <c r="H14" s="114" t="n">
        <f aca="false">abrtotal305971[[#This Row],[TOTAL (R$)]]</f>
        <v>0</v>
      </c>
      <c r="I14" s="114" t="n">
        <f aca="false">maitotal30597183[[#This Row],[TOTAL (R$)]]</f>
        <v>0</v>
      </c>
      <c r="J14" s="114" t="n">
        <f aca="false">juntotal3059718395[[#This Row],[TOTAL (R$)]]</f>
        <v>0</v>
      </c>
      <c r="K14" s="114" t="n">
        <f aca="false">jultotal3059718395107[[#This Row],[TOTAL (R$)]]</f>
        <v>0</v>
      </c>
      <c r="L14" s="114" t="n">
        <f aca="false">agototal3059718395107119[[#This Row],[TOTAL (R$)]]</f>
        <v>0</v>
      </c>
      <c r="M14" s="114" t="n">
        <f aca="false">settotal3059718395107119131[[#This Row],[TOTAL (R$)]]</f>
        <v>0</v>
      </c>
      <c r="N14" s="114" t="n">
        <f aca="false">outtotal3059718395107119131143[[#This Row],[TOTAL (R$)]]</f>
        <v>0</v>
      </c>
      <c r="O14" s="114" t="n">
        <f aca="false">novtotal3059718395107119131143155[[#This Row],[TOTAL (R$)]]</f>
        <v>0</v>
      </c>
      <c r="P14" s="115" t="n">
        <f aca="false">deztotal3059718395107119131143155167[[#This Row],[TOTAL (R$)]]</f>
        <v>0</v>
      </c>
      <c r="Q14" s="116" t="n">
        <f aca="false">SUM(anualtotal39[[#This Row],[1]:[12]])</f>
        <v>0</v>
      </c>
      <c r="R14" s="107"/>
      <c r="AH14" s="79"/>
      <c r="AO14" s="117" t="e">
        <f aca="false">SUMIFS(tabela_registros[VALOR],tabela_registros[MÊS],$AE$1,tabela_registros[REGISTRO],DADOS!$N$3,#REF!,DADOS!$J$4)</f>
        <v>#VALUE!</v>
      </c>
      <c r="AP14" s="117" t="e">
        <f aca="false">SUMIFS(tabela_registros[VALOR],tabela_registros[MÊS],$AE$1,tabela_registros[REGISTRO],DADOS!$N$3,#REF!,DADOS!$J$3)</f>
        <v>#VALUE!</v>
      </c>
      <c r="AQ14" s="118" t="e">
        <f aca="false">(AO14*$AQ$16)/$AO$16</f>
        <v>#VALUE!</v>
      </c>
      <c r="AR14" s="118" t="e">
        <f aca="false">(AP14*$AQ$16)/$AP$16</f>
        <v>#VALUE!</v>
      </c>
    </row>
    <row r="15" customFormat="false" ht="18" hidden="false" customHeight="true" outlineLevel="0" collapsed="false">
      <c r="B15" s="107"/>
      <c r="C15" s="112" t="s">
        <v>72</v>
      </c>
      <c r="D15" s="113"/>
      <c r="E15" s="119" t="n">
        <f aca="false">jantotal[[#This Row],[TOTAL (R$)]]</f>
        <v>0</v>
      </c>
      <c r="F15" s="119" t="n">
        <f aca="false">fevtotal30[[#This Row],[TOTAL (R$)]]</f>
        <v>0</v>
      </c>
      <c r="G15" s="119" t="n">
        <f aca="false">martotal3059[[#This Row],[TOTAL (R$)]]</f>
        <v>0</v>
      </c>
      <c r="H15" s="119" t="n">
        <f aca="false">abrtotal305971[[#This Row],[TOTAL (R$)]]</f>
        <v>0</v>
      </c>
      <c r="I15" s="119" t="n">
        <f aca="false">maitotal30597183[[#This Row],[TOTAL (R$)]]</f>
        <v>0</v>
      </c>
      <c r="J15" s="119" t="n">
        <f aca="false">juntotal3059718395[[#This Row],[TOTAL (R$)]]</f>
        <v>0</v>
      </c>
      <c r="K15" s="119" t="n">
        <f aca="false">jultotal3059718395107[[#This Row],[TOTAL (R$)]]</f>
        <v>0</v>
      </c>
      <c r="L15" s="119" t="n">
        <f aca="false">agototal3059718395107119[[#This Row],[TOTAL (R$)]]</f>
        <v>0</v>
      </c>
      <c r="M15" s="119" t="n">
        <f aca="false">settotal3059718395107119131[[#This Row],[TOTAL (R$)]]</f>
        <v>0</v>
      </c>
      <c r="N15" s="119" t="n">
        <f aca="false">outtotal3059718395107119131143[[#This Row],[TOTAL (R$)]]</f>
        <v>0</v>
      </c>
      <c r="O15" s="119" t="n">
        <f aca="false">novtotal3059718395107119131143155[[#This Row],[TOTAL (R$)]]</f>
        <v>0</v>
      </c>
      <c r="P15" s="120" t="n">
        <f aca="false">deztotal3059718395107119131143155167[[#This Row],[TOTAL (R$)]]</f>
        <v>0</v>
      </c>
      <c r="Q15" s="121" t="n">
        <f aca="false">SUM(anualtotal39[[#This Row],[1]:[12]])</f>
        <v>0</v>
      </c>
      <c r="R15" s="107"/>
      <c r="AH15" s="79"/>
      <c r="AO15" s="117" t="e">
        <f aca="false">SUMIFS(tabela_registros[VALOR],tabela_registros[MÊS],$AE$1,tabela_registros[REGISTRO],DADOS!$N$4,#REF!,DADOS!$J$4)</f>
        <v>#VALUE!</v>
      </c>
      <c r="AP15" s="117" t="e">
        <f aca="false">SUMIFS(tabela_registros[VALOR],tabela_registros[MÊS],$AE$1,tabela_registros[REGISTRO],DADOS!$N$4,#REF!,DADOS!$J$3)</f>
        <v>#VALUE!</v>
      </c>
      <c r="AQ15" s="118" t="e">
        <f aca="false">(AO15*$AQ$16)/$AO$16</f>
        <v>#VALUE!</v>
      </c>
      <c r="AR15" s="118" t="e">
        <f aca="false">(AP15*$AQ$16)/$AP$16</f>
        <v>#VALUE!</v>
      </c>
    </row>
    <row r="16" s="130" customFormat="true" ht="21" hidden="false" customHeight="true" outlineLevel="0" collapsed="false">
      <c r="A16" s="122"/>
      <c r="B16" s="123"/>
      <c r="C16" s="124" t="s">
        <v>73</v>
      </c>
      <c r="D16" s="125"/>
      <c r="E16" s="126" t="n">
        <f aca="false">jantotal[[#This Row],[TOTAL (R$)]]</f>
        <v>2500</v>
      </c>
      <c r="F16" s="127" t="n">
        <f aca="false">fevtotal30[[#This Row],[TOTAL (R$)]]+anualtotal39[[#This Row],[1]]</f>
        <v>2500</v>
      </c>
      <c r="G16" s="127" t="n">
        <f aca="false">martotal3059[[#This Row],[TOTAL (R$)]]+anualtotal39[[#This Row],[2]]</f>
        <v>2500</v>
      </c>
      <c r="H16" s="127" t="n">
        <f aca="false">abrtotal305971[[#This Row],[TOTAL (R$)]]+anualtotal39[[#This Row],[3]]</f>
        <v>2500</v>
      </c>
      <c r="I16" s="127" t="n">
        <f aca="false">maitotal30597183[[#This Row],[TOTAL (R$)]]+anualtotal39[[#This Row],[4]]</f>
        <v>2500</v>
      </c>
      <c r="J16" s="127" t="n">
        <f aca="false">juntotal3059718395[[#This Row],[TOTAL (R$)]]+anualtotal39[[#This Row],[5]]</f>
        <v>2500</v>
      </c>
      <c r="K16" s="127" t="n">
        <f aca="false">jultotal3059718395107[[#This Row],[TOTAL (R$)]]+anualtotal39[[#This Row],[6]]</f>
        <v>2500</v>
      </c>
      <c r="L16" s="127" t="n">
        <f aca="false">agototal3059718395107119[[#This Row],[TOTAL (R$)]]+anualtotal39[[#This Row],[7]]</f>
        <v>2500</v>
      </c>
      <c r="M16" s="127" t="n">
        <f aca="false">settotal3059718395107119131[[#This Row],[TOTAL (R$)]]+anualtotal39[[#This Row],[8]]</f>
        <v>2500</v>
      </c>
      <c r="N16" s="127" t="n">
        <f aca="false">outtotal3059718395107119131143[[#This Row],[TOTAL (R$)]]+anualtotal39[[#This Row],[9]]</f>
        <v>2500</v>
      </c>
      <c r="O16" s="127" t="n">
        <f aca="false">novtotal3059718395107119131143155[[#This Row],[TOTAL (R$)]]+anualtotal39[[#This Row],[10]]</f>
        <v>2500</v>
      </c>
      <c r="P16" s="128" t="n">
        <f aca="false">deztotal3059718395107119131143155167[[#This Row],[TOTAL (R$)]]+anualtotal39[[#This Row],[11]]</f>
        <v>2500</v>
      </c>
      <c r="Q16" s="129" t="n">
        <f aca="false">anualtotal39[[#This Row],[12]]</f>
        <v>2500</v>
      </c>
      <c r="R16" s="123"/>
      <c r="S16" s="78"/>
      <c r="T16" s="78"/>
      <c r="U16" s="78"/>
      <c r="V16" s="78"/>
      <c r="W16" s="78"/>
      <c r="X16" s="78"/>
      <c r="Y16" s="78"/>
      <c r="Z16" s="78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O16" s="131" t="e">
        <f aca="false">SUM(AO14:AO15)</f>
        <v>#VALUE!</v>
      </c>
      <c r="AP16" s="131" t="e">
        <f aca="false">SUM(AP14:AP15)</f>
        <v>#VALUE!</v>
      </c>
      <c r="AQ16" s="132" t="n">
        <v>1</v>
      </c>
      <c r="AR16" s="132" t="n">
        <v>1</v>
      </c>
    </row>
    <row r="17" customFormat="false" ht="6.75" hidden="false" customHeight="true" outlineLevel="0" collapsed="false"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AH17" s="79"/>
    </row>
    <row r="18" customFormat="false" ht="12.75" hidden="false" customHeight="false" outlineLevel="0" collapsed="false">
      <c r="C18" s="133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AH18" s="79"/>
    </row>
    <row r="19" customFormat="false" ht="12" hidden="false" customHeight="false" outlineLevel="0" collapsed="false">
      <c r="C19" s="133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AH19" s="79"/>
    </row>
    <row r="20" customFormat="false" ht="12" hidden="false" customHeight="false" outlineLevel="0" collapsed="false">
      <c r="A20" s="133"/>
      <c r="B20" s="133"/>
      <c r="C20" s="133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AH20" s="79"/>
    </row>
    <row r="21" customFormat="false" ht="39.75" hidden="false" customHeight="true" outlineLevel="0" collapsed="false">
      <c r="A21" s="133"/>
      <c r="B21" s="133"/>
      <c r="C21" s="133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3" t="s">
        <v>2</v>
      </c>
      <c r="R21" s="104"/>
      <c r="AH21" s="79"/>
    </row>
    <row r="22" customFormat="false" ht="11.25" hidden="false" customHeight="true" outlineLevel="0" collapsed="false">
      <c r="C22" s="101"/>
      <c r="Q22" s="106" t="s">
        <v>64</v>
      </c>
      <c r="AH22" s="79"/>
    </row>
    <row r="23" customFormat="false" ht="6.75" hidden="false" customHeight="true" outlineLevel="0" collapsed="false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AH23" s="79"/>
      <c r="AO23" s="108" t="s">
        <v>65</v>
      </c>
      <c r="AP23" s="108" t="s">
        <v>66</v>
      </c>
      <c r="AQ23" s="108" t="s">
        <v>67</v>
      </c>
    </row>
    <row r="24" customFormat="false" ht="13.5" hidden="true" customHeight="false" outlineLevel="0" collapsed="false">
      <c r="B24" s="86"/>
      <c r="C24" s="110" t="s">
        <v>68</v>
      </c>
      <c r="D24" s="107" t="s">
        <v>69</v>
      </c>
      <c r="E24" s="110" t="s">
        <v>30</v>
      </c>
      <c r="F24" s="110" t="s">
        <v>31</v>
      </c>
      <c r="G24" s="110" t="s">
        <v>32</v>
      </c>
      <c r="H24" s="110" t="s">
        <v>33</v>
      </c>
      <c r="I24" s="110" t="s">
        <v>34</v>
      </c>
      <c r="J24" s="110" t="s">
        <v>35</v>
      </c>
      <c r="K24" s="110" t="s">
        <v>36</v>
      </c>
      <c r="L24" s="110" t="s">
        <v>37</v>
      </c>
      <c r="M24" s="110" t="s">
        <v>38</v>
      </c>
      <c r="N24" s="110" t="s">
        <v>39</v>
      </c>
      <c r="O24" s="110" t="s">
        <v>40</v>
      </c>
      <c r="P24" s="110" t="s">
        <v>41</v>
      </c>
      <c r="Q24" s="111" t="s">
        <v>70</v>
      </c>
      <c r="R24" s="107"/>
      <c r="AC24" s="79" t="s">
        <v>15</v>
      </c>
      <c r="AD24" s="79" t="e">
        <f aca="false">-#REF!</f>
        <v>#REF!</v>
      </c>
      <c r="AH24" s="79"/>
    </row>
    <row r="25" customFormat="false" ht="19.5" hidden="false" customHeight="true" outlineLevel="0" collapsed="false">
      <c r="B25" s="107"/>
      <c r="C25" s="112" t="s">
        <v>15</v>
      </c>
      <c r="D25" s="113"/>
      <c r="E25" s="114" t="n">
        <f aca="false">janinvestir[[#This Row],[TOTAL (R$)]]</f>
        <v>0</v>
      </c>
      <c r="F25" s="114" t="n">
        <f aca="false">fevinvestir21[[#This Row],[TOTAL (R$)]]</f>
        <v>0</v>
      </c>
      <c r="G25" s="114" t="n">
        <f aca="false">marinvestir2158[[#This Row],[TOTAL (R$)]]</f>
        <v>0</v>
      </c>
      <c r="H25" s="114" t="n">
        <f aca="false">abrinvestir215870[[#This Row],[TOTAL (R$)]]</f>
        <v>0</v>
      </c>
      <c r="I25" s="114" t="n">
        <f aca="false">maiinvestir21587082[[#This Row],[TOTAL (R$)]]</f>
        <v>0</v>
      </c>
      <c r="J25" s="114" t="n">
        <f aca="false">juninvestir2158708294[[#This Row],[TOTAL (R$)]]</f>
        <v>0</v>
      </c>
      <c r="K25" s="114" t="n">
        <f aca="false">julinvestir2158708294106[[#This Row],[TOTAL (R$)]]</f>
        <v>0</v>
      </c>
      <c r="L25" s="114" t="n">
        <f aca="false">agoinvestir2158708294106118[[#This Row],[TOTAL (R$)]]</f>
        <v>0</v>
      </c>
      <c r="M25" s="114" t="n">
        <f aca="false">setinvestir2158708294106118130[[#This Row],[TOTAL (R$)]]</f>
        <v>0</v>
      </c>
      <c r="N25" s="114" t="n">
        <f aca="false">outinvestir2158708294106118130142[[#This Row],[TOTAL (R$)]]</f>
        <v>0</v>
      </c>
      <c r="O25" s="114" t="n">
        <f aca="false">novinvestir2158708294106118130142154[[#This Row],[TOTAL (R$)]]</f>
        <v>0</v>
      </c>
      <c r="P25" s="115" t="n">
        <f aca="false">dezinvestir2158708294106118130142154166[[#This Row],[TOTAL (R$)]]</f>
        <v>0</v>
      </c>
      <c r="Q25" s="116" t="n">
        <f aca="false">SUM(E25:P25)</f>
        <v>0</v>
      </c>
      <c r="R25" s="107"/>
      <c r="AH25" s="79"/>
      <c r="AO25" s="117" t="e">
        <f aca="false">SUMIFS(tabela_registros[VALOR],tabela_registros[MÊS],$AE$1,tabela_registros[REGISTRO],DADOS!$N$5,#REF!,DADOS!$J$4)</f>
        <v>#VALUE!</v>
      </c>
      <c r="AP25" s="117" t="e">
        <f aca="false">SUMIFS(tabela_registros[VALOR],tabela_registros[MÊS],$AE$1,tabela_registros[REGISTRO],DADOS!$N$5,#REF!,DADOS!$J$3)</f>
        <v>#VALUE!</v>
      </c>
      <c r="AQ25" s="118" t="e">
        <f aca="false">(anualinvestir38[[#This Row],[TOTAL (R$)]]*$AQ$27)/$Q$27</f>
        <v>#DIV/0!</v>
      </c>
    </row>
    <row r="26" customFormat="false" ht="18" hidden="false" customHeight="true" outlineLevel="0" collapsed="false">
      <c r="B26" s="107"/>
      <c r="C26" s="135" t="s">
        <v>14</v>
      </c>
      <c r="D26" s="136"/>
      <c r="E26" s="119" t="n">
        <f aca="false">janinvestir[[#This Row],[TOTAL (R$)]]</f>
        <v>0</v>
      </c>
      <c r="F26" s="119" t="n">
        <f aca="false">fevinvestir21[[#This Row],[TOTAL (R$)]]</f>
        <v>0</v>
      </c>
      <c r="G26" s="119" t="n">
        <f aca="false">marinvestir2158[[#This Row],[TOTAL (R$)]]</f>
        <v>0</v>
      </c>
      <c r="H26" s="119" t="n">
        <f aca="false">abrinvestir215870[[#This Row],[TOTAL (R$)]]</f>
        <v>0</v>
      </c>
      <c r="I26" s="119" t="n">
        <f aca="false">maiinvestir21587082[[#This Row],[TOTAL (R$)]]</f>
        <v>0</v>
      </c>
      <c r="J26" s="119" t="n">
        <f aca="false">juninvestir2158708294[[#This Row],[TOTAL (R$)]]</f>
        <v>0</v>
      </c>
      <c r="K26" s="119" t="n">
        <f aca="false">julinvestir2158708294106[[#This Row],[TOTAL (R$)]]</f>
        <v>0</v>
      </c>
      <c r="L26" s="119" t="n">
        <f aca="false">agoinvestir2158708294106118[[#This Row],[TOTAL (R$)]]</f>
        <v>0</v>
      </c>
      <c r="M26" s="119" t="n">
        <f aca="false">setinvestir2158708294106118130[[#This Row],[TOTAL (R$)]]</f>
        <v>0</v>
      </c>
      <c r="N26" s="119" t="n">
        <f aca="false">outinvestir2158708294106118130142[[#This Row],[TOTAL (R$)]]</f>
        <v>0</v>
      </c>
      <c r="O26" s="119" t="n">
        <f aca="false">novinvestir2158708294106118130142154[[#This Row],[TOTAL (R$)]]</f>
        <v>0</v>
      </c>
      <c r="P26" s="120" t="n">
        <f aca="false">dezinvestir2158708294106118130142154166[[#This Row],[TOTAL (R$)]]</f>
        <v>0</v>
      </c>
      <c r="Q26" s="121" t="n">
        <f aca="false">SUM(E26:P26)</f>
        <v>0</v>
      </c>
      <c r="R26" s="107"/>
      <c r="AH26" s="79"/>
      <c r="AO26" s="117" t="e">
        <f aca="false">SUMIFS(tabela_registros[VALOR],tabela_registros[MÊS],$AE$1,tabela_registros[REGISTRO],DADOS!$N$6,#REF!,DADOS!$J$4)</f>
        <v>#VALUE!</v>
      </c>
      <c r="AP26" s="117" t="e">
        <f aca="false">SUMIFS(tabela_registros[VALOR],tabela_registros[MÊS],$AE$1,tabela_registros[REGISTRO],DADOS!$N$6,#REF!,DADOS!$J$3)</f>
        <v>#VALUE!</v>
      </c>
      <c r="AQ26" s="118" t="e">
        <f aca="false">(anualinvestir38[[#This Row],[TOTAL (R$)]]*$AQ$27)/$Q$27</f>
        <v>#DIV/0!</v>
      </c>
    </row>
    <row r="27" s="130" customFormat="true" ht="21" hidden="false" customHeight="true" outlineLevel="0" collapsed="false">
      <c r="A27" s="122"/>
      <c r="B27" s="123"/>
      <c r="C27" s="124" t="s">
        <v>2</v>
      </c>
      <c r="D27" s="137"/>
      <c r="E27" s="126" t="n">
        <f aca="false">janinvestir[[#This Row],[TOTAL (R$)]]</f>
        <v>0</v>
      </c>
      <c r="F27" s="127" t="n">
        <f aca="false">fevinvestir21[[#This Row],[TOTAL (R$)]]+anualinvestir38[[#This Row],[1]]</f>
        <v>0</v>
      </c>
      <c r="G27" s="127" t="n">
        <f aca="false">marinvestir2158[[#This Row],[TOTAL (R$)]]+anualinvestir38[[#This Row],[2]]</f>
        <v>0</v>
      </c>
      <c r="H27" s="127" t="n">
        <f aca="false">abrinvestir215870[[#This Row],[TOTAL (R$)]]+anualinvestir38[[#This Row],[3]]</f>
        <v>0</v>
      </c>
      <c r="I27" s="127" t="n">
        <f aca="false">maiinvestir21587082[[#This Row],[TOTAL (R$)]]+anualinvestir38[[#This Row],[4]]</f>
        <v>0</v>
      </c>
      <c r="J27" s="127" t="n">
        <f aca="false">juninvestir2158708294[[#This Row],[TOTAL (R$)]]+anualinvestir38[[#This Row],[5]]</f>
        <v>0</v>
      </c>
      <c r="K27" s="127" t="n">
        <f aca="false">julinvestir2158708294106[[#This Row],[TOTAL (R$)]]+anualinvestir38[[#This Row],[6]]</f>
        <v>0</v>
      </c>
      <c r="L27" s="127" t="n">
        <f aca="false">agoinvestir2158708294106118[[#This Row],[TOTAL (R$)]]+anualinvestir38[[#This Row],[7]]</f>
        <v>0</v>
      </c>
      <c r="M27" s="127" t="n">
        <f aca="false">setinvestir2158708294106118130[[#This Row],[TOTAL (R$)]]+anualinvestir38[[#This Row],[8]]</f>
        <v>0</v>
      </c>
      <c r="N27" s="127" t="n">
        <f aca="false">outinvestir2158708294106118130142[[#This Row],[TOTAL (R$)]]+anualinvestir38[[#This Row],[9]]</f>
        <v>0</v>
      </c>
      <c r="O27" s="127" t="n">
        <f aca="false">novinvestir2158708294106118130142154[[#This Row],[TOTAL (R$)]]+anualinvestir38[[#This Row],[10]]</f>
        <v>0</v>
      </c>
      <c r="P27" s="128" t="n">
        <f aca="false">dezinvestir2158708294106118130142154166[[#This Row],[TOTAL (R$)]]+anualinvestir38[[#This Row],[11]]</f>
        <v>0</v>
      </c>
      <c r="Q27" s="129" t="n">
        <f aca="false">anualinvestir38[[#This Row],[12]]</f>
        <v>0</v>
      </c>
      <c r="R27" s="123"/>
      <c r="S27" s="78"/>
      <c r="T27" s="78"/>
      <c r="U27" s="78"/>
      <c r="V27" s="78"/>
      <c r="W27" s="78"/>
      <c r="X27" s="78"/>
      <c r="Y27" s="78"/>
      <c r="Z27" s="78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O27" s="131" t="e">
        <f aca="false">SUM(AO25:AO26)</f>
        <v>#VALUE!</v>
      </c>
      <c r="AP27" s="131" t="e">
        <f aca="false">SUM(AP25:AP26)</f>
        <v>#VALUE!</v>
      </c>
      <c r="AQ27" s="132" t="n">
        <v>1</v>
      </c>
      <c r="AS27" s="79"/>
      <c r="AT27" s="79"/>
      <c r="AU27" s="79"/>
      <c r="AV27" s="79"/>
      <c r="AW27" s="79"/>
      <c r="AX27" s="79"/>
      <c r="AY27" s="79"/>
    </row>
    <row r="28" customFormat="false" ht="6.75" hidden="true" customHeight="true" outlineLevel="0" collapsed="false">
      <c r="B28" s="107"/>
      <c r="C28" s="78" t="s">
        <v>73</v>
      </c>
      <c r="E28" s="138" t="n">
        <f aca="false">SUBTOTAL(109,anualinvestir38[1])</f>
        <v>0</v>
      </c>
      <c r="F28" s="138" t="n">
        <f aca="false">SUBTOTAL(109,anualinvestir38[2])</f>
        <v>0</v>
      </c>
      <c r="G28" s="138" t="n">
        <f aca="false">SUBTOTAL(109,anualinvestir38[3])</f>
        <v>0</v>
      </c>
      <c r="H28" s="138" t="n">
        <f aca="false">SUBTOTAL(109,anualinvestir38[4])</f>
        <v>0</v>
      </c>
      <c r="I28" s="138" t="n">
        <f aca="false">SUBTOTAL(109,anualinvestir38[5])</f>
        <v>0</v>
      </c>
      <c r="J28" s="138" t="n">
        <f aca="false">SUBTOTAL(109,anualinvestir38[6])</f>
        <v>0</v>
      </c>
      <c r="K28" s="138" t="n">
        <f aca="false">SUBTOTAL(109,anualinvestir38[7])</f>
        <v>0</v>
      </c>
      <c r="L28" s="138" t="n">
        <f aca="false">SUBTOTAL(109,anualinvestir38[8])</f>
        <v>0</v>
      </c>
      <c r="M28" s="138" t="n">
        <f aca="false">SUBTOTAL(109,anualinvestir38[9])</f>
        <v>0</v>
      </c>
      <c r="N28" s="138" t="n">
        <f aca="false">SUBTOTAL(109,anualinvestir38[10])</f>
        <v>0</v>
      </c>
      <c r="O28" s="138" t="n">
        <f aca="false">SUBTOTAL(109,anualinvestir38[11])</f>
        <v>0</v>
      </c>
      <c r="P28" s="138" t="n">
        <f aca="false">SUBTOTAL(109,anualinvestir38[12])</f>
        <v>0</v>
      </c>
      <c r="Q28" s="138" t="n">
        <f aca="false">SUBTOTAL(109,anualinvestir38[TOTAL (R$)])</f>
        <v>0</v>
      </c>
      <c r="R28" s="107"/>
      <c r="AH28" s="79"/>
    </row>
    <row r="29" customFormat="false" ht="6.75" hidden="false" customHeight="true" outlineLevel="0" collapsed="false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AH29" s="79"/>
    </row>
    <row r="30" customFormat="false" ht="12.75" hidden="false" customHeight="false" outlineLevel="0" collapsed="false">
      <c r="C30" s="133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AH30" s="79"/>
    </row>
    <row r="31" customFormat="false" ht="12" hidden="false" customHeight="false" outlineLevel="0" collapsed="false">
      <c r="C31" s="133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AH31" s="79"/>
    </row>
    <row r="32" customFormat="false" ht="12" hidden="false" customHeight="false" outlineLevel="0" collapsed="false">
      <c r="C32" s="133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AH32" s="79"/>
    </row>
    <row r="33" customFormat="false" ht="39.75" hidden="false" customHeight="true" outlineLevel="0" collapsed="false">
      <c r="C33" s="133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3" t="s">
        <v>2</v>
      </c>
      <c r="R33" s="104"/>
      <c r="AH33" s="79"/>
    </row>
    <row r="34" customFormat="false" ht="11.25" hidden="false" customHeight="true" outlineLevel="0" collapsed="false">
      <c r="C34" s="101"/>
      <c r="Q34" s="106" t="s">
        <v>64</v>
      </c>
      <c r="AH34" s="79"/>
    </row>
    <row r="35" customFormat="false" ht="6.75" hidden="false" customHeight="true" outlineLevel="0" collapsed="false">
      <c r="B35" s="139"/>
      <c r="C35" s="140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39"/>
      <c r="AH35" s="79"/>
      <c r="AO35" s="108" t="s">
        <v>65</v>
      </c>
      <c r="AP35" s="108" t="s">
        <v>66</v>
      </c>
      <c r="AQ35" s="108" t="s">
        <v>67</v>
      </c>
    </row>
    <row r="36" customFormat="false" ht="12.75" hidden="true" customHeight="false" outlineLevel="0" collapsed="false">
      <c r="B36" s="86"/>
      <c r="C36" s="109" t="s">
        <v>74</v>
      </c>
      <c r="D36" s="110" t="s">
        <v>69</v>
      </c>
      <c r="E36" s="110" t="s">
        <v>30</v>
      </c>
      <c r="F36" s="110" t="s">
        <v>31</v>
      </c>
      <c r="G36" s="110" t="s">
        <v>32</v>
      </c>
      <c r="H36" s="110" t="s">
        <v>33</v>
      </c>
      <c r="I36" s="110" t="s">
        <v>34</v>
      </c>
      <c r="J36" s="110" t="s">
        <v>35</v>
      </c>
      <c r="K36" s="110" t="s">
        <v>36</v>
      </c>
      <c r="L36" s="110" t="s">
        <v>37</v>
      </c>
      <c r="M36" s="110" t="s">
        <v>38</v>
      </c>
      <c r="N36" s="110" t="s">
        <v>39</v>
      </c>
      <c r="O36" s="110" t="s">
        <v>40</v>
      </c>
      <c r="P36" s="110" t="s">
        <v>41</v>
      </c>
      <c r="Q36" s="142" t="s">
        <v>2</v>
      </c>
      <c r="R36" s="143" t="s">
        <v>75</v>
      </c>
      <c r="S36" s="78" t="s">
        <v>76</v>
      </c>
      <c r="AB36" s="79" t="s">
        <v>77</v>
      </c>
      <c r="AH36" s="79"/>
    </row>
    <row r="37" customFormat="false" ht="19.5" hidden="false" customHeight="true" outlineLevel="0" collapsed="false">
      <c r="B37" s="143"/>
      <c r="C37" s="144" t="str">
        <f aca="false">DADOS!$R$3</f>
        <v>💧 ÁGUA</v>
      </c>
      <c r="D37" s="145" t="str">
        <f aca="false">IF(despesafixaconsolidadoanual[[#This Row],[TOTAL]]=0,"",IF(OR(despesafixaconsolidadoanual[[#This Row],[TOTAL]]=LARGE($Q$37:$Q$50,1),despesafixaconsolidadoanual[[#This Row],[TOTAL]]=LARGE($Q$37:$Q$50,2),despesafixaconsolidadoanual[[#This Row],[TOTAL]]=LARGE($Q$37:$Q$50,3),despesafixaconsolidadoanual[[#This Row],[TOTAL]]=LARGE($Q$37:$Q$50,4),despesafixaconsolidadoanual[[#This Row],[TOTAL]]=LARGE($Q$37:$Q$50,5)),DADOS!$I$8,""))</f>
        <v/>
      </c>
      <c r="E37" s="146" t="n">
        <f aca="false">despesafixaconsolidado[[#This Row],[TOTAL]]</f>
        <v>0</v>
      </c>
      <c r="F37" s="114" t="n">
        <f aca="false">despesafixaconsolidadofev[[#This Row],[TOTAL]]</f>
        <v>0</v>
      </c>
      <c r="G37" s="114" t="n">
        <f aca="false">despesafixaconsolidadomar[[#This Row],[TOTAL]]</f>
        <v>0</v>
      </c>
      <c r="H37" s="114" t="n">
        <f aca="false">despesafixaconsolidadoabr[[#This Row],[TOTAL]]</f>
        <v>0</v>
      </c>
      <c r="I37" s="114" t="n">
        <f aca="false">despesafixaconsolidadomai[[#This Row],[TOTAL]]</f>
        <v>0</v>
      </c>
      <c r="J37" s="114" t="n">
        <f aca="false">despesafixaconsolidadojun[[#This Row],[TOTAL]]</f>
        <v>0</v>
      </c>
      <c r="K37" s="114" t="n">
        <f aca="false">despesafixaconsolidadojul[[#This Row],[TOTAL]]</f>
        <v>0</v>
      </c>
      <c r="L37" s="114" t="n">
        <f aca="false">despesafixaconsolidadoago[[#This Row],[TOTAL]]</f>
        <v>0</v>
      </c>
      <c r="M37" s="114" t="n">
        <f aca="false">despesafixaconsolidadoset[[#This Row],[TOTAL]]</f>
        <v>0</v>
      </c>
      <c r="N37" s="114" t="n">
        <f aca="false">despesafixaconsolidadoout[[#This Row],[TOTAL]]</f>
        <v>0</v>
      </c>
      <c r="O37" s="114" t="n">
        <f aca="false">despesafixaconsolidadonov[[#This Row],[TOTAL]]</f>
        <v>0</v>
      </c>
      <c r="P37" s="114" t="n">
        <f aca="false">despesafixaconsolidadodez[[#This Row],[TOTAL]]</f>
        <v>0</v>
      </c>
      <c r="Q37" s="147" t="n">
        <f aca="false">SUM(despesafixaconsolidadoanual[[#This Row],[1]:[12]])</f>
        <v>0</v>
      </c>
      <c r="R37" s="143"/>
      <c r="AH37" s="79"/>
      <c r="AO37" s="117" t="e">
        <f aca="false">SUMIFS(tabela_registros[VALOR],tabela_registros[MÊS],$AE$1,tabela_registros[REGISTRO],DADOS!$N$4,tabela_registros[TIPO],DADOS!$P$3,tabela_registros[CATEGORIA],despesafixaconsolidadodez[[#This Row],[DESPESA FIXA]],#REF!,DADOS!$J$4)</f>
        <v>#VALUE!</v>
      </c>
      <c r="AP37" s="117" t="e">
        <f aca="false">SUMIFS(tabela_registros[VALOR],tabela_registros[MÊS],$AE$1,tabela_registros[REGISTRO],DADOS!$N$4,tabela_registros[TIPO],DADOS!$P$3,tabela_registros[CATEGORIA],despesafixaconsolidadodez[[#This Row],[DESPESA FIXA]],#REF!,DADOS!$J$3)</f>
        <v>#VALUE!</v>
      </c>
      <c r="AQ37" s="118" t="e">
        <f aca="false">(despesafixaconsolidadoanual[[#This Row],[TOTAL]]*$AQ$51)/$Q$51</f>
        <v>#DIV/0!</v>
      </c>
    </row>
    <row r="38" customFormat="false" ht="18" hidden="false" customHeight="true" outlineLevel="0" collapsed="false">
      <c r="B38" s="143"/>
      <c r="C38" s="144" t="str">
        <f aca="false">DADOS!$R$4</f>
        <v>🐶 ANIMAIS DE ESTIMAÇÃO</v>
      </c>
      <c r="D38" s="145" t="str">
        <f aca="false">IF(despesafixaconsolidadoanual[[#This Row],[TOTAL]]=0,"",IF(OR(despesafixaconsolidadoanual[[#This Row],[TOTAL]]=LARGE($Q$37:$Q$50,1),despesafixaconsolidadoanual[[#This Row],[TOTAL]]=LARGE($Q$37:$Q$50,2),despesafixaconsolidadoanual[[#This Row],[TOTAL]]=LARGE($Q$37:$Q$50,3),despesafixaconsolidadoanual[[#This Row],[TOTAL]]=LARGE($Q$37:$Q$50,4),despesafixaconsolidadoanual[[#This Row],[TOTAL]]=LARGE($Q$37:$Q$50,5)),DADOS!$I$8,""))</f>
        <v/>
      </c>
      <c r="E38" s="148" t="n">
        <f aca="false">despesafixaconsolidado[[#This Row],[TOTAL]]</f>
        <v>0</v>
      </c>
      <c r="F38" s="119" t="n">
        <f aca="false">despesafixaconsolidadofev[[#This Row],[TOTAL]]</f>
        <v>0</v>
      </c>
      <c r="G38" s="119" t="n">
        <f aca="false">despesafixaconsolidadomar[[#This Row],[TOTAL]]</f>
        <v>0</v>
      </c>
      <c r="H38" s="119" t="n">
        <f aca="false">despesafixaconsolidadoabr[[#This Row],[TOTAL]]</f>
        <v>0</v>
      </c>
      <c r="I38" s="119" t="n">
        <f aca="false">despesafixaconsolidadomai[[#This Row],[TOTAL]]</f>
        <v>0</v>
      </c>
      <c r="J38" s="119" t="n">
        <f aca="false">despesafixaconsolidadojun[[#This Row],[TOTAL]]</f>
        <v>0</v>
      </c>
      <c r="K38" s="119" t="n">
        <f aca="false">despesafixaconsolidadojul[[#This Row],[TOTAL]]</f>
        <v>0</v>
      </c>
      <c r="L38" s="119" t="n">
        <f aca="false">despesafixaconsolidadoago[[#This Row],[TOTAL]]</f>
        <v>0</v>
      </c>
      <c r="M38" s="119" t="n">
        <f aca="false">despesafixaconsolidadoset[[#This Row],[TOTAL]]</f>
        <v>0</v>
      </c>
      <c r="N38" s="119" t="n">
        <f aca="false">despesafixaconsolidadoout[[#This Row],[TOTAL]]</f>
        <v>0</v>
      </c>
      <c r="O38" s="119" t="n">
        <f aca="false">despesafixaconsolidadonov[[#This Row],[TOTAL]]</f>
        <v>0</v>
      </c>
      <c r="P38" s="119" t="n">
        <f aca="false">despesafixaconsolidadodez[[#This Row],[TOTAL]]</f>
        <v>0</v>
      </c>
      <c r="Q38" s="149" t="n">
        <f aca="false">SUM(despesafixaconsolidadoanual[[#This Row],[1]:[12]])</f>
        <v>0</v>
      </c>
      <c r="R38" s="143"/>
      <c r="AH38" s="79"/>
      <c r="AO38" s="117" t="e">
        <f aca="false">SUMIFS(tabela_registros[VALOR],tabela_registros[MÊS],$AE$1,tabela_registros[REGISTRO],DADOS!$N$4,tabela_registros[TIPO],DADOS!$P$3,tabela_registros[CATEGORIA],despesafixaconsolidadodez[[#This Row],[DESPESA FIXA]],#REF!,DADOS!$J$4)</f>
        <v>#VALUE!</v>
      </c>
      <c r="AP38" s="117" t="e">
        <f aca="false">SUMIFS(tabela_registros[VALOR],tabela_registros[MÊS],$AE$1,tabela_registros[REGISTRO],DADOS!$N$4,tabela_registros[TIPO],DADOS!$P$3,tabela_registros[CATEGORIA],despesafixaconsolidadodez[[#This Row],[DESPESA FIXA]],#REF!,DADOS!$J$3)</f>
        <v>#VALUE!</v>
      </c>
      <c r="AQ38" s="118" t="e">
        <f aca="false">(despesafixaconsolidadoanual[[#This Row],[TOTAL]]*$AQ$51)/$Q$51</f>
        <v>#DIV/0!</v>
      </c>
    </row>
    <row r="39" customFormat="false" ht="18" hidden="false" customHeight="true" outlineLevel="0" collapsed="false">
      <c r="B39" s="143"/>
      <c r="C39" s="144" t="str">
        <f aca="false">DADOS!$R$5</f>
        <v>🔖 ASSINATURAS E SERVIÇOS</v>
      </c>
      <c r="D39" s="145" t="str">
        <f aca="false">IF(despesafixaconsolidadoanual[[#This Row],[TOTAL]]=0,"",IF(OR(despesafixaconsolidadoanual[[#This Row],[TOTAL]]=LARGE($Q$37:$Q$50,1),despesafixaconsolidadoanual[[#This Row],[TOTAL]]=LARGE($Q$37:$Q$50,2),despesafixaconsolidadoanual[[#This Row],[TOTAL]]=LARGE($Q$37:$Q$50,3),despesafixaconsolidadoanual[[#This Row],[TOTAL]]=LARGE($Q$37:$Q$50,4),despesafixaconsolidadoanual[[#This Row],[TOTAL]]=LARGE($Q$37:$Q$50,5)),DADOS!$I$8,""))</f>
        <v/>
      </c>
      <c r="E39" s="148" t="n">
        <f aca="false">despesafixaconsolidado[[#This Row],[TOTAL]]</f>
        <v>0</v>
      </c>
      <c r="F39" s="119" t="n">
        <f aca="false">despesafixaconsolidadofev[[#This Row],[TOTAL]]</f>
        <v>0</v>
      </c>
      <c r="G39" s="119" t="n">
        <f aca="false">despesafixaconsolidadomar[[#This Row],[TOTAL]]</f>
        <v>0</v>
      </c>
      <c r="H39" s="119" t="n">
        <f aca="false">despesafixaconsolidadoabr[[#This Row],[TOTAL]]</f>
        <v>0</v>
      </c>
      <c r="I39" s="119" t="n">
        <f aca="false">despesafixaconsolidadomai[[#This Row],[TOTAL]]</f>
        <v>0</v>
      </c>
      <c r="J39" s="119" t="n">
        <f aca="false">despesafixaconsolidadojun[[#This Row],[TOTAL]]</f>
        <v>0</v>
      </c>
      <c r="K39" s="119" t="n">
        <f aca="false">despesafixaconsolidadojul[[#This Row],[TOTAL]]</f>
        <v>0</v>
      </c>
      <c r="L39" s="119" t="n">
        <f aca="false">despesafixaconsolidadoago[[#This Row],[TOTAL]]</f>
        <v>0</v>
      </c>
      <c r="M39" s="119" t="n">
        <f aca="false">despesafixaconsolidadoset[[#This Row],[TOTAL]]</f>
        <v>0</v>
      </c>
      <c r="N39" s="119" t="n">
        <f aca="false">despesafixaconsolidadoout[[#This Row],[TOTAL]]</f>
        <v>0</v>
      </c>
      <c r="O39" s="119" t="n">
        <f aca="false">despesafixaconsolidadonov[[#This Row],[TOTAL]]</f>
        <v>0</v>
      </c>
      <c r="P39" s="119" t="n">
        <f aca="false">despesafixaconsolidadodez[[#This Row],[TOTAL]]</f>
        <v>0</v>
      </c>
      <c r="Q39" s="149" t="n">
        <f aca="false">SUM(despesafixaconsolidadoanual[[#This Row],[1]:[12]])</f>
        <v>0</v>
      </c>
      <c r="R39" s="143"/>
      <c r="AH39" s="79"/>
      <c r="AO39" s="117" t="e">
        <f aca="false">SUMIFS(tabela_registros[VALOR],tabela_registros[MÊS],$AE$1,tabela_registros[REGISTRO],DADOS!$N$4,tabela_registros[TIPO],DADOS!$P$3,tabela_registros[CATEGORIA],despesafixaconsolidadodez[[#This Row],[DESPESA FIXA]],#REF!,DADOS!$J$4)</f>
        <v>#VALUE!</v>
      </c>
      <c r="AP39" s="117" t="e">
        <f aca="false">SUMIFS(tabela_registros[VALOR],tabela_registros[MÊS],$AE$1,tabela_registros[REGISTRO],DADOS!$N$4,tabela_registros[TIPO],DADOS!$P$3,tabela_registros[CATEGORIA],despesafixaconsolidadodez[[#This Row],[DESPESA FIXA]],#REF!,DADOS!$J$3)</f>
        <v>#VALUE!</v>
      </c>
      <c r="AQ39" s="118" t="e">
        <f aca="false">(despesafixaconsolidadoanual[[#This Row],[TOTAL]]*$AQ$51)/$Q$51</f>
        <v>#DIV/0!</v>
      </c>
    </row>
    <row r="40" customFormat="false" ht="18" hidden="false" customHeight="true" outlineLevel="0" collapsed="false">
      <c r="B40" s="143"/>
      <c r="C40" s="144" t="str">
        <f aca="false">DADOS!$R$6</f>
        <v>📱 CELULAR</v>
      </c>
      <c r="D40" s="145" t="str">
        <f aca="false">IF(despesafixaconsolidadoanual[[#This Row],[TOTAL]]=0,"",IF(OR(despesafixaconsolidadoanual[[#This Row],[TOTAL]]=LARGE($Q$37:$Q$50,1),despesafixaconsolidadoanual[[#This Row],[TOTAL]]=LARGE($Q$37:$Q$50,2),despesafixaconsolidadoanual[[#This Row],[TOTAL]]=LARGE($Q$37:$Q$50,3),despesafixaconsolidadoanual[[#This Row],[TOTAL]]=LARGE($Q$37:$Q$50,4),despesafixaconsolidadoanual[[#This Row],[TOTAL]]=LARGE($Q$37:$Q$50,5)),DADOS!$I$8,""))</f>
        <v/>
      </c>
      <c r="E40" s="148" t="n">
        <f aca="false">despesafixaconsolidado[[#This Row],[TOTAL]]</f>
        <v>0</v>
      </c>
      <c r="F40" s="119" t="n">
        <f aca="false">despesafixaconsolidadofev[[#This Row],[TOTAL]]</f>
        <v>0</v>
      </c>
      <c r="G40" s="119" t="n">
        <f aca="false">despesafixaconsolidadomar[[#This Row],[TOTAL]]</f>
        <v>0</v>
      </c>
      <c r="H40" s="119" t="n">
        <f aca="false">despesafixaconsolidadoabr[[#This Row],[TOTAL]]</f>
        <v>0</v>
      </c>
      <c r="I40" s="119" t="n">
        <f aca="false">despesafixaconsolidadomai[[#This Row],[TOTAL]]</f>
        <v>0</v>
      </c>
      <c r="J40" s="119" t="n">
        <f aca="false">despesafixaconsolidadojun[[#This Row],[TOTAL]]</f>
        <v>0</v>
      </c>
      <c r="K40" s="119" t="n">
        <f aca="false">despesafixaconsolidadojul[[#This Row],[TOTAL]]</f>
        <v>0</v>
      </c>
      <c r="L40" s="119" t="n">
        <f aca="false">despesafixaconsolidadoago[[#This Row],[TOTAL]]</f>
        <v>0</v>
      </c>
      <c r="M40" s="119" t="n">
        <f aca="false">despesafixaconsolidadoset[[#This Row],[TOTAL]]</f>
        <v>0</v>
      </c>
      <c r="N40" s="119" t="n">
        <f aca="false">despesafixaconsolidadoout[[#This Row],[TOTAL]]</f>
        <v>0</v>
      </c>
      <c r="O40" s="119" t="n">
        <f aca="false">despesafixaconsolidadonov[[#This Row],[TOTAL]]</f>
        <v>0</v>
      </c>
      <c r="P40" s="119" t="n">
        <f aca="false">despesafixaconsolidadodez[[#This Row],[TOTAL]]</f>
        <v>0</v>
      </c>
      <c r="Q40" s="149" t="n">
        <f aca="false">SUM(despesafixaconsolidadoanual[[#This Row],[1]:[12]])</f>
        <v>0</v>
      </c>
      <c r="R40" s="143"/>
      <c r="AH40" s="79"/>
      <c r="AO40" s="117" t="e">
        <f aca="false">SUMIFS(tabela_registros[VALOR],tabela_registros[MÊS],$AE$1,tabela_registros[REGISTRO],DADOS!$N$4,tabela_registros[TIPO],DADOS!$P$3,tabela_registros[CATEGORIA],despesafixaconsolidadodez[[#This Row],[DESPESA FIXA]],#REF!,DADOS!$J$4)</f>
        <v>#VALUE!</v>
      </c>
      <c r="AP40" s="117" t="e">
        <f aca="false">SUMIFS(tabela_registros[VALOR],tabela_registros[MÊS],$AE$1,tabela_registros[REGISTRO],DADOS!$N$4,tabela_registros[TIPO],DADOS!$P$3,tabela_registros[CATEGORIA],despesafixaconsolidadodez[[#This Row],[DESPESA FIXA]],#REF!,DADOS!$J$3)</f>
        <v>#VALUE!</v>
      </c>
      <c r="AQ40" s="118" t="e">
        <f aca="false">(despesafixaconsolidadoanual[[#This Row],[TOTAL]]*$AQ$51)/$Q$51</f>
        <v>#DIV/0!</v>
      </c>
    </row>
    <row r="41" customFormat="false" ht="18" hidden="false" customHeight="true" outlineLevel="0" collapsed="false">
      <c r="B41" s="143"/>
      <c r="C41" s="144" t="str">
        <f aca="false">DADOS!$R$7</f>
        <v>📖 EDUCAÇÃO</v>
      </c>
      <c r="D41" s="145" t="str">
        <f aca="false">IF(despesafixaconsolidadoanual[[#This Row],[TOTAL]]=0,"",IF(OR(despesafixaconsolidadoanual[[#This Row],[TOTAL]]=LARGE($Q$37:$Q$50,1),despesafixaconsolidadoanual[[#This Row],[TOTAL]]=LARGE($Q$37:$Q$50,2),despesafixaconsolidadoanual[[#This Row],[TOTAL]]=LARGE($Q$37:$Q$50,3),despesafixaconsolidadoanual[[#This Row],[TOTAL]]=LARGE($Q$37:$Q$50,4),despesafixaconsolidadoanual[[#This Row],[TOTAL]]=LARGE($Q$37:$Q$50,5)),DADOS!$I$8,""))</f>
        <v/>
      </c>
      <c r="E41" s="148" t="n">
        <f aca="false">despesafixaconsolidado[[#This Row],[TOTAL]]</f>
        <v>0</v>
      </c>
      <c r="F41" s="119" t="n">
        <f aca="false">despesafixaconsolidadofev[[#This Row],[TOTAL]]</f>
        <v>0</v>
      </c>
      <c r="G41" s="119" t="n">
        <f aca="false">despesafixaconsolidadomar[[#This Row],[TOTAL]]</f>
        <v>0</v>
      </c>
      <c r="H41" s="119" t="n">
        <f aca="false">despesafixaconsolidadoabr[[#This Row],[TOTAL]]</f>
        <v>0</v>
      </c>
      <c r="I41" s="119" t="n">
        <f aca="false">despesafixaconsolidadomai[[#This Row],[TOTAL]]</f>
        <v>0</v>
      </c>
      <c r="J41" s="119" t="n">
        <f aca="false">despesafixaconsolidadojun[[#This Row],[TOTAL]]</f>
        <v>0</v>
      </c>
      <c r="K41" s="119" t="n">
        <f aca="false">despesafixaconsolidadojul[[#This Row],[TOTAL]]</f>
        <v>0</v>
      </c>
      <c r="L41" s="119" t="n">
        <f aca="false">despesafixaconsolidadoago[[#This Row],[TOTAL]]</f>
        <v>0</v>
      </c>
      <c r="M41" s="119" t="n">
        <f aca="false">despesafixaconsolidadoset[[#This Row],[TOTAL]]</f>
        <v>0</v>
      </c>
      <c r="N41" s="119" t="n">
        <f aca="false">despesafixaconsolidadoout[[#This Row],[TOTAL]]</f>
        <v>0</v>
      </c>
      <c r="O41" s="119" t="n">
        <f aca="false">despesafixaconsolidadonov[[#This Row],[TOTAL]]</f>
        <v>0</v>
      </c>
      <c r="P41" s="119" t="n">
        <f aca="false">despesafixaconsolidadodez[[#This Row],[TOTAL]]</f>
        <v>0</v>
      </c>
      <c r="Q41" s="149" t="n">
        <f aca="false">SUM(despesafixaconsolidadoanual[[#This Row],[1]:[12]])</f>
        <v>0</v>
      </c>
      <c r="R41" s="143"/>
      <c r="AH41" s="79"/>
      <c r="AO41" s="117" t="e">
        <f aca="false">SUMIFS(tabela_registros[VALOR],tabela_registros[MÊS],$AE$1,tabela_registros[REGISTRO],DADOS!$N$4,tabela_registros[TIPO],DADOS!$P$3,tabela_registros[CATEGORIA],despesafixaconsolidadodez[[#This Row],[DESPESA FIXA]],#REF!,DADOS!$J$4)</f>
        <v>#VALUE!</v>
      </c>
      <c r="AP41" s="117" t="e">
        <f aca="false">SUMIFS(tabela_registros[VALOR],tabela_registros[MÊS],$AE$1,tabela_registros[REGISTRO],DADOS!$N$4,tabela_registros[TIPO],DADOS!$P$3,tabela_registros[CATEGORIA],despesafixaconsolidadodez[[#This Row],[DESPESA FIXA]],#REF!,DADOS!$J$3)</f>
        <v>#VALUE!</v>
      </c>
      <c r="AQ41" s="118" t="e">
        <f aca="false">(despesafixaconsolidadoanual[[#This Row],[TOTAL]]*$AQ$51)/$Q$51</f>
        <v>#DIV/0!</v>
      </c>
    </row>
    <row r="42" customFormat="false" ht="18" hidden="false" customHeight="true" outlineLevel="0" collapsed="false">
      <c r="B42" s="143"/>
      <c r="C42" s="144" t="str">
        <f aca="false">DADOS!$R$8</f>
        <v>🏦 EMPRÉSTIMO</v>
      </c>
      <c r="D42" s="145" t="str">
        <f aca="false">IF(despesafixaconsolidadoanual[[#This Row],[TOTAL]]=0,"",IF(OR(despesafixaconsolidadoanual[[#This Row],[TOTAL]]=LARGE($Q$37:$Q$50,1),despesafixaconsolidadoanual[[#This Row],[TOTAL]]=LARGE($Q$37:$Q$50,2),despesafixaconsolidadoanual[[#This Row],[TOTAL]]=LARGE($Q$37:$Q$50,3),despesafixaconsolidadoanual[[#This Row],[TOTAL]]=LARGE($Q$37:$Q$50,4),despesafixaconsolidadoanual[[#This Row],[TOTAL]]=LARGE($Q$37:$Q$50,5)),DADOS!$I$8,""))</f>
        <v/>
      </c>
      <c r="E42" s="148" t="n">
        <f aca="false">despesafixaconsolidado[[#This Row],[TOTAL]]</f>
        <v>0</v>
      </c>
      <c r="F42" s="119" t="n">
        <f aca="false">despesafixaconsolidadofev[[#This Row],[TOTAL]]</f>
        <v>0</v>
      </c>
      <c r="G42" s="119" t="n">
        <f aca="false">despesafixaconsolidadomar[[#This Row],[TOTAL]]</f>
        <v>0</v>
      </c>
      <c r="H42" s="119" t="n">
        <f aca="false">despesafixaconsolidadoabr[[#This Row],[TOTAL]]</f>
        <v>0</v>
      </c>
      <c r="I42" s="119" t="n">
        <f aca="false">despesafixaconsolidadomai[[#This Row],[TOTAL]]</f>
        <v>0</v>
      </c>
      <c r="J42" s="119" t="n">
        <f aca="false">despesafixaconsolidadojun[[#This Row],[TOTAL]]</f>
        <v>0</v>
      </c>
      <c r="K42" s="119" t="n">
        <f aca="false">despesafixaconsolidadojul[[#This Row],[TOTAL]]</f>
        <v>0</v>
      </c>
      <c r="L42" s="119" t="n">
        <f aca="false">despesafixaconsolidadoago[[#This Row],[TOTAL]]</f>
        <v>0</v>
      </c>
      <c r="M42" s="119" t="n">
        <f aca="false">despesafixaconsolidadoset[[#This Row],[TOTAL]]</f>
        <v>0</v>
      </c>
      <c r="N42" s="119" t="n">
        <f aca="false">despesafixaconsolidadoout[[#This Row],[TOTAL]]</f>
        <v>0</v>
      </c>
      <c r="O42" s="119" t="n">
        <f aca="false">despesafixaconsolidadonov[[#This Row],[TOTAL]]</f>
        <v>0</v>
      </c>
      <c r="P42" s="119" t="n">
        <f aca="false">despesafixaconsolidadodez[[#This Row],[TOTAL]]</f>
        <v>0</v>
      </c>
      <c r="Q42" s="149" t="n">
        <f aca="false">SUM(despesafixaconsolidadoanual[[#This Row],[1]:[12]])</f>
        <v>0</v>
      </c>
      <c r="R42" s="143"/>
      <c r="AH42" s="79"/>
      <c r="AO42" s="117" t="e">
        <f aca="false">SUMIFS(tabela_registros[VALOR],tabela_registros[MÊS],$AE$1,tabela_registros[REGISTRO],DADOS!$N$4,tabela_registros[TIPO],DADOS!$P$3,tabela_registros[CATEGORIA],despesafixaconsolidadodez[[#This Row],[DESPESA FIXA]],#REF!,DADOS!$J$4)</f>
        <v>#VALUE!</v>
      </c>
      <c r="AP42" s="117" t="e">
        <f aca="false">SUMIFS(tabela_registros[VALOR],tabela_registros[MÊS],$AE$1,tabela_registros[REGISTRO],DADOS!$N$4,tabela_registros[TIPO],DADOS!$P$3,tabela_registros[CATEGORIA],despesafixaconsolidadodez[[#This Row],[DESPESA FIXA]],#REF!,DADOS!$J$3)</f>
        <v>#VALUE!</v>
      </c>
      <c r="AQ42" s="118" t="e">
        <f aca="false">(despesafixaconsolidadoanual[[#This Row],[TOTAL]]*$AQ$51)/$Q$51</f>
        <v>#DIV/0!</v>
      </c>
    </row>
    <row r="43" customFormat="false" ht="18" hidden="false" customHeight="true" outlineLevel="0" collapsed="false">
      <c r="B43" s="143"/>
      <c r="C43" s="144" t="str">
        <f aca="false">DADOS!$R$9</f>
        <v>💡 ENERGIA</v>
      </c>
      <c r="D43" s="145" t="str">
        <f aca="false">IF(despesafixaconsolidadoanual[[#This Row],[TOTAL]]=0,"",IF(OR(despesafixaconsolidadoanual[[#This Row],[TOTAL]]=LARGE($Q$37:$Q$50,1),despesafixaconsolidadoanual[[#This Row],[TOTAL]]=LARGE($Q$37:$Q$50,2),despesafixaconsolidadoanual[[#This Row],[TOTAL]]=LARGE($Q$37:$Q$50,3),despesafixaconsolidadoanual[[#This Row],[TOTAL]]=LARGE($Q$37:$Q$50,4),despesafixaconsolidadoanual[[#This Row],[TOTAL]]=LARGE($Q$37:$Q$50,5)),DADOS!$I$8,""))</f>
        <v/>
      </c>
      <c r="E43" s="148" t="n">
        <f aca="false">despesafixaconsolidado[[#This Row],[TOTAL]]</f>
        <v>0</v>
      </c>
      <c r="F43" s="119" t="n">
        <f aca="false">despesafixaconsolidadofev[[#This Row],[TOTAL]]</f>
        <v>0</v>
      </c>
      <c r="G43" s="119" t="n">
        <f aca="false">despesafixaconsolidadomar[[#This Row],[TOTAL]]</f>
        <v>0</v>
      </c>
      <c r="H43" s="119" t="n">
        <f aca="false">despesafixaconsolidadoabr[[#This Row],[TOTAL]]</f>
        <v>0</v>
      </c>
      <c r="I43" s="119" t="n">
        <f aca="false">despesafixaconsolidadomai[[#This Row],[TOTAL]]</f>
        <v>0</v>
      </c>
      <c r="J43" s="119" t="n">
        <f aca="false">despesafixaconsolidadojun[[#This Row],[TOTAL]]</f>
        <v>0</v>
      </c>
      <c r="K43" s="119" t="n">
        <f aca="false">despesafixaconsolidadojul[[#This Row],[TOTAL]]</f>
        <v>0</v>
      </c>
      <c r="L43" s="119" t="n">
        <f aca="false">despesafixaconsolidadoago[[#This Row],[TOTAL]]</f>
        <v>0</v>
      </c>
      <c r="M43" s="119" t="n">
        <f aca="false">despesafixaconsolidadoset[[#This Row],[TOTAL]]</f>
        <v>0</v>
      </c>
      <c r="N43" s="119" t="n">
        <f aca="false">despesafixaconsolidadoout[[#This Row],[TOTAL]]</f>
        <v>0</v>
      </c>
      <c r="O43" s="119" t="n">
        <f aca="false">despesafixaconsolidadonov[[#This Row],[TOTAL]]</f>
        <v>0</v>
      </c>
      <c r="P43" s="119" t="n">
        <f aca="false">despesafixaconsolidadodez[[#This Row],[TOTAL]]</f>
        <v>0</v>
      </c>
      <c r="Q43" s="149" t="n">
        <f aca="false">SUM(despesafixaconsolidadoanual[[#This Row],[1]:[12]])</f>
        <v>0</v>
      </c>
      <c r="R43" s="143"/>
      <c r="AH43" s="79"/>
      <c r="AO43" s="117" t="e">
        <f aca="false">SUMIFS(tabela_registros[VALOR],tabela_registros[MÊS],$AE$1,tabela_registros[REGISTRO],DADOS!$N$4,tabela_registros[TIPO],DADOS!$P$3,tabela_registros[CATEGORIA],despesafixaconsolidadodez[[#This Row],[DESPESA FIXA]],#REF!,DADOS!$J$4)</f>
        <v>#VALUE!</v>
      </c>
      <c r="AP43" s="117" t="e">
        <f aca="false">SUMIFS(tabela_registros[VALOR],tabela_registros[MÊS],$AE$1,tabela_registros[REGISTRO],DADOS!$N$4,tabela_registros[TIPO],DADOS!$P$3,tabela_registros[CATEGORIA],despesafixaconsolidadodez[[#This Row],[DESPESA FIXA]],#REF!,DADOS!$J$3)</f>
        <v>#VALUE!</v>
      </c>
      <c r="AQ43" s="118" t="e">
        <f aca="false">(despesafixaconsolidadoanual[[#This Row],[TOTAL]]*$AQ$51)/$Q$51</f>
        <v>#DIV/0!</v>
      </c>
    </row>
    <row r="44" customFormat="false" ht="18" hidden="false" customHeight="true" outlineLevel="0" collapsed="false">
      <c r="B44" s="143"/>
      <c r="C44" s="144" t="str">
        <f aca="false">DADOS!$R$10</f>
        <v>👨‍👩‍👧 FAMÍLIA</v>
      </c>
      <c r="D44" s="145" t="str">
        <f aca="false">IF(despesafixaconsolidadoanual[[#This Row],[TOTAL]]=0,"",IF(OR(despesafixaconsolidadoanual[[#This Row],[TOTAL]]=LARGE($Q$37:$Q$50,1),despesafixaconsolidadoanual[[#This Row],[TOTAL]]=LARGE($Q$37:$Q$50,2),despesafixaconsolidadoanual[[#This Row],[TOTAL]]=LARGE($Q$37:$Q$50,3),despesafixaconsolidadoanual[[#This Row],[TOTAL]]=LARGE($Q$37:$Q$50,4),despesafixaconsolidadoanual[[#This Row],[TOTAL]]=LARGE($Q$37:$Q$50,5)),DADOS!$I$8,""))</f>
        <v/>
      </c>
      <c r="E44" s="148" t="n">
        <f aca="false">despesafixaconsolidado[[#This Row],[TOTAL]]</f>
        <v>0</v>
      </c>
      <c r="F44" s="119" t="n">
        <f aca="false">despesafixaconsolidadofev[[#This Row],[TOTAL]]</f>
        <v>0</v>
      </c>
      <c r="G44" s="119" t="n">
        <f aca="false">despesafixaconsolidadomar[[#This Row],[TOTAL]]</f>
        <v>0</v>
      </c>
      <c r="H44" s="119" t="n">
        <f aca="false">despesafixaconsolidadoabr[[#This Row],[TOTAL]]</f>
        <v>0</v>
      </c>
      <c r="I44" s="119" t="n">
        <f aca="false">despesafixaconsolidadomai[[#This Row],[TOTAL]]</f>
        <v>0</v>
      </c>
      <c r="J44" s="119" t="n">
        <f aca="false">despesafixaconsolidadojun[[#This Row],[TOTAL]]</f>
        <v>0</v>
      </c>
      <c r="K44" s="119" t="n">
        <f aca="false">despesafixaconsolidadojul[[#This Row],[TOTAL]]</f>
        <v>0</v>
      </c>
      <c r="L44" s="119" t="n">
        <f aca="false">despesafixaconsolidadoago[[#This Row],[TOTAL]]</f>
        <v>0</v>
      </c>
      <c r="M44" s="119" t="n">
        <f aca="false">despesafixaconsolidadoset[[#This Row],[TOTAL]]</f>
        <v>0</v>
      </c>
      <c r="N44" s="119" t="n">
        <f aca="false">despesafixaconsolidadoout[[#This Row],[TOTAL]]</f>
        <v>0</v>
      </c>
      <c r="O44" s="119" t="n">
        <f aca="false">despesafixaconsolidadonov[[#This Row],[TOTAL]]</f>
        <v>0</v>
      </c>
      <c r="P44" s="119" t="n">
        <f aca="false">despesafixaconsolidadodez[[#This Row],[TOTAL]]</f>
        <v>0</v>
      </c>
      <c r="Q44" s="149" t="n">
        <f aca="false">SUM(despesafixaconsolidadoanual[[#This Row],[1]:[12]])</f>
        <v>0</v>
      </c>
      <c r="R44" s="143"/>
      <c r="AH44" s="79"/>
      <c r="AO44" s="117" t="e">
        <f aca="false">SUMIFS(tabela_registros[VALOR],tabela_registros[MÊS],$AE$1,tabela_registros[REGISTRO],DADOS!$N$4,tabela_registros[TIPO],DADOS!$P$3,tabela_registros[CATEGORIA],despesafixaconsolidadodez[[#This Row],[DESPESA FIXA]],#REF!,DADOS!$J$4)</f>
        <v>#VALUE!</v>
      </c>
      <c r="AP44" s="117" t="e">
        <f aca="false">SUMIFS(tabela_registros[VALOR],tabela_registros[MÊS],$AE$1,tabela_registros[REGISTRO],DADOS!$N$4,tabela_registros[TIPO],DADOS!$P$3,tabela_registros[CATEGORIA],despesafixaconsolidadodez[[#This Row],[DESPESA FIXA]],#REF!,DADOS!$J$3)</f>
        <v>#VALUE!</v>
      </c>
      <c r="AQ44" s="118" t="e">
        <f aca="false">(despesafixaconsolidadoanual[[#This Row],[TOTAL]]*$AQ$51)/$Q$51</f>
        <v>#DIV/0!</v>
      </c>
    </row>
    <row r="45" customFormat="false" ht="18" hidden="false" customHeight="true" outlineLevel="0" collapsed="false">
      <c r="B45" s="143"/>
      <c r="C45" s="144" t="str">
        <f aca="false">DADOS!$R$11</f>
        <v>🔢 IMPOSTOS</v>
      </c>
      <c r="D45" s="145" t="str">
        <f aca="false">IF(despesafixaconsolidadoanual[[#This Row],[TOTAL]]=0,"",IF(OR(despesafixaconsolidadoanual[[#This Row],[TOTAL]]=LARGE($Q$37:$Q$50,1),despesafixaconsolidadoanual[[#This Row],[TOTAL]]=LARGE($Q$37:$Q$50,2),despesafixaconsolidadoanual[[#This Row],[TOTAL]]=LARGE($Q$37:$Q$50,3),despesafixaconsolidadoanual[[#This Row],[TOTAL]]=LARGE($Q$37:$Q$50,4),despesafixaconsolidadoanual[[#This Row],[TOTAL]]=LARGE($Q$37:$Q$50,5)),DADOS!$I$8,""))</f>
        <v/>
      </c>
      <c r="E45" s="148" t="n">
        <f aca="false">despesafixaconsolidado[[#This Row],[TOTAL]]</f>
        <v>0</v>
      </c>
      <c r="F45" s="119" t="n">
        <f aca="false">despesafixaconsolidadofev[[#This Row],[TOTAL]]</f>
        <v>0</v>
      </c>
      <c r="G45" s="119" t="n">
        <f aca="false">despesafixaconsolidadomar[[#This Row],[TOTAL]]</f>
        <v>0</v>
      </c>
      <c r="H45" s="119" t="n">
        <f aca="false">despesafixaconsolidadoabr[[#This Row],[TOTAL]]</f>
        <v>0</v>
      </c>
      <c r="I45" s="119" t="n">
        <f aca="false">despesafixaconsolidadomai[[#This Row],[TOTAL]]</f>
        <v>0</v>
      </c>
      <c r="J45" s="119" t="n">
        <f aca="false">despesafixaconsolidadojun[[#This Row],[TOTAL]]</f>
        <v>0</v>
      </c>
      <c r="K45" s="119" t="n">
        <f aca="false">despesafixaconsolidadojul[[#This Row],[TOTAL]]</f>
        <v>0</v>
      </c>
      <c r="L45" s="119" t="n">
        <f aca="false">despesafixaconsolidadoago[[#This Row],[TOTAL]]</f>
        <v>0</v>
      </c>
      <c r="M45" s="119" t="n">
        <f aca="false">despesafixaconsolidadoset[[#This Row],[TOTAL]]</f>
        <v>0</v>
      </c>
      <c r="N45" s="119" t="n">
        <f aca="false">despesafixaconsolidadoout[[#This Row],[TOTAL]]</f>
        <v>0</v>
      </c>
      <c r="O45" s="119" t="n">
        <f aca="false">despesafixaconsolidadonov[[#This Row],[TOTAL]]</f>
        <v>0</v>
      </c>
      <c r="P45" s="119" t="n">
        <f aca="false">despesafixaconsolidadodez[[#This Row],[TOTAL]]</f>
        <v>0</v>
      </c>
      <c r="Q45" s="149" t="n">
        <f aca="false">SUM(despesafixaconsolidadoanual[[#This Row],[1]:[12]])</f>
        <v>0</v>
      </c>
      <c r="R45" s="143"/>
      <c r="AH45" s="79"/>
      <c r="AO45" s="117" t="e">
        <f aca="false">SUMIFS(tabela_registros[VALOR],tabela_registros[MÊS],$AE$1,tabela_registros[REGISTRO],DADOS!$N$4,tabela_registros[TIPO],DADOS!$P$3,tabela_registros[CATEGORIA],despesafixaconsolidadodez[[#This Row],[DESPESA FIXA]],#REF!,DADOS!$J$4)</f>
        <v>#VALUE!</v>
      </c>
      <c r="AP45" s="117" t="e">
        <f aca="false">SUMIFS(tabela_registros[VALOR],tabela_registros[MÊS],$AE$1,tabela_registros[REGISTRO],DADOS!$N$4,tabela_registros[TIPO],DADOS!$P$3,tabela_registros[CATEGORIA],despesafixaconsolidadodez[[#This Row],[DESPESA FIXA]],#REF!,DADOS!$J$3)</f>
        <v>#VALUE!</v>
      </c>
      <c r="AQ45" s="118" t="e">
        <f aca="false">(despesafixaconsolidadoanual[[#This Row],[TOTAL]]*$AQ$51)/$Q$51</f>
        <v>#DIV/0!</v>
      </c>
    </row>
    <row r="46" customFormat="false" ht="18" hidden="false" customHeight="true" outlineLevel="0" collapsed="false">
      <c r="B46" s="143"/>
      <c r="C46" s="144" t="str">
        <f aca="false">DADOS!$R$12</f>
        <v>🖱️ INTERNET</v>
      </c>
      <c r="D46" s="145" t="str">
        <f aca="false">IF(despesafixaconsolidadoanual[[#This Row],[TOTAL]]=0,"",IF(OR(despesafixaconsolidadoanual[[#This Row],[TOTAL]]=LARGE($Q$37:$Q$50,1),despesafixaconsolidadoanual[[#This Row],[TOTAL]]=LARGE($Q$37:$Q$50,2),despesafixaconsolidadoanual[[#This Row],[TOTAL]]=LARGE($Q$37:$Q$50,3),despesafixaconsolidadoanual[[#This Row],[TOTAL]]=LARGE($Q$37:$Q$50,4),despesafixaconsolidadoanual[[#This Row],[TOTAL]]=LARGE($Q$37:$Q$50,5)),DADOS!$I$8,""))</f>
        <v/>
      </c>
      <c r="E46" s="148" t="n">
        <f aca="false">despesafixaconsolidado[[#This Row],[TOTAL]]</f>
        <v>0</v>
      </c>
      <c r="F46" s="119" t="n">
        <f aca="false">despesafixaconsolidadofev[[#This Row],[TOTAL]]</f>
        <v>0</v>
      </c>
      <c r="G46" s="119" t="n">
        <f aca="false">despesafixaconsolidadomar[[#This Row],[TOTAL]]</f>
        <v>0</v>
      </c>
      <c r="H46" s="119" t="n">
        <f aca="false">despesafixaconsolidadoabr[[#This Row],[TOTAL]]</f>
        <v>0</v>
      </c>
      <c r="I46" s="119" t="n">
        <f aca="false">despesafixaconsolidadomai[[#This Row],[TOTAL]]</f>
        <v>0</v>
      </c>
      <c r="J46" s="119" t="n">
        <f aca="false">despesafixaconsolidadojun[[#This Row],[TOTAL]]</f>
        <v>0</v>
      </c>
      <c r="K46" s="119" t="n">
        <f aca="false">despesafixaconsolidadojul[[#This Row],[TOTAL]]</f>
        <v>0</v>
      </c>
      <c r="L46" s="119" t="n">
        <f aca="false">despesafixaconsolidadoago[[#This Row],[TOTAL]]</f>
        <v>0</v>
      </c>
      <c r="M46" s="119" t="n">
        <f aca="false">despesafixaconsolidadoset[[#This Row],[TOTAL]]</f>
        <v>0</v>
      </c>
      <c r="N46" s="119" t="n">
        <f aca="false">despesafixaconsolidadoout[[#This Row],[TOTAL]]</f>
        <v>0</v>
      </c>
      <c r="O46" s="119" t="n">
        <f aca="false">despesafixaconsolidadonov[[#This Row],[TOTAL]]</f>
        <v>0</v>
      </c>
      <c r="P46" s="119" t="n">
        <f aca="false">despesafixaconsolidadodez[[#This Row],[TOTAL]]</f>
        <v>0</v>
      </c>
      <c r="Q46" s="149" t="n">
        <f aca="false">SUM(despesafixaconsolidadoanual[[#This Row],[1]:[12]])</f>
        <v>0</v>
      </c>
      <c r="R46" s="143"/>
      <c r="AH46" s="79"/>
      <c r="AO46" s="117" t="e">
        <f aca="false">SUMIFS(tabela_registros[VALOR],tabela_registros[MÊS],$AE$1,tabela_registros[REGISTRO],DADOS!$N$4,tabela_registros[TIPO],DADOS!$P$3,tabela_registros[CATEGORIA],despesafixaconsolidadodez[[#This Row],[DESPESA FIXA]],#REF!,DADOS!$J$4)</f>
        <v>#VALUE!</v>
      </c>
      <c r="AP46" s="117" t="e">
        <f aca="false">SUMIFS(tabela_registros[VALOR],tabela_registros[MÊS],$AE$1,tabela_registros[REGISTRO],DADOS!$N$4,tabela_registros[TIPO],DADOS!$P$3,tabela_registros[CATEGORIA],despesafixaconsolidadodez[[#This Row],[DESPESA FIXA]],#REF!,DADOS!$J$3)</f>
        <v>#VALUE!</v>
      </c>
      <c r="AQ46" s="118" t="e">
        <f aca="false">(despesafixaconsolidadoanual[[#This Row],[TOTAL]]*$AQ$51)/$Q$51</f>
        <v>#DIV/0!</v>
      </c>
    </row>
    <row r="47" customFormat="false" ht="18" hidden="false" customHeight="true" outlineLevel="0" collapsed="false">
      <c r="B47" s="143"/>
      <c r="C47" s="144" t="str">
        <f aca="false">DADOS!$R$13</f>
        <v>🏠 MORADIA</v>
      </c>
      <c r="D47" s="145" t="str">
        <f aca="false">IF(despesafixaconsolidadoanual[[#This Row],[TOTAL]]=0,"",IF(OR(despesafixaconsolidadoanual[[#This Row],[TOTAL]]=LARGE($Q$37:$Q$50,1),despesafixaconsolidadoanual[[#This Row],[TOTAL]]=LARGE($Q$37:$Q$50,2),despesafixaconsolidadoanual[[#This Row],[TOTAL]]=LARGE($Q$37:$Q$50,3),despesafixaconsolidadoanual[[#This Row],[TOTAL]]=LARGE($Q$37:$Q$50,4),despesafixaconsolidadoanual[[#This Row],[TOTAL]]=LARGE($Q$37:$Q$50,5)),DADOS!$I$8,""))</f>
        <v/>
      </c>
      <c r="E47" s="148" t="n">
        <f aca="false">despesafixaconsolidado[[#This Row],[TOTAL]]</f>
        <v>0</v>
      </c>
      <c r="F47" s="119" t="n">
        <f aca="false">despesafixaconsolidadofev[[#This Row],[TOTAL]]</f>
        <v>0</v>
      </c>
      <c r="G47" s="119" t="n">
        <f aca="false">despesafixaconsolidadomar[[#This Row],[TOTAL]]</f>
        <v>0</v>
      </c>
      <c r="H47" s="119" t="n">
        <f aca="false">despesafixaconsolidadoabr[[#This Row],[TOTAL]]</f>
        <v>0</v>
      </c>
      <c r="I47" s="119" t="n">
        <f aca="false">despesafixaconsolidadomai[[#This Row],[TOTAL]]</f>
        <v>0</v>
      </c>
      <c r="J47" s="119" t="n">
        <f aca="false">despesafixaconsolidadojun[[#This Row],[TOTAL]]</f>
        <v>0</v>
      </c>
      <c r="K47" s="119" t="n">
        <f aca="false">despesafixaconsolidadojul[[#This Row],[TOTAL]]</f>
        <v>0</v>
      </c>
      <c r="L47" s="119" t="n">
        <f aca="false">despesafixaconsolidadoago[[#This Row],[TOTAL]]</f>
        <v>0</v>
      </c>
      <c r="M47" s="119" t="n">
        <f aca="false">despesafixaconsolidadoset[[#This Row],[TOTAL]]</f>
        <v>0</v>
      </c>
      <c r="N47" s="119" t="n">
        <f aca="false">despesafixaconsolidadoout[[#This Row],[TOTAL]]</f>
        <v>0</v>
      </c>
      <c r="O47" s="119" t="n">
        <f aca="false">despesafixaconsolidadonov[[#This Row],[TOTAL]]</f>
        <v>0</v>
      </c>
      <c r="P47" s="119" t="n">
        <f aca="false">despesafixaconsolidadodez[[#This Row],[TOTAL]]</f>
        <v>0</v>
      </c>
      <c r="Q47" s="149" t="n">
        <f aca="false">SUM(despesafixaconsolidadoanual[[#This Row],[1]:[12]])</f>
        <v>0</v>
      </c>
      <c r="R47" s="143"/>
      <c r="AH47" s="79"/>
      <c r="AO47" s="117" t="e">
        <f aca="false">SUMIFS(tabela_registros[VALOR],tabela_registros[MÊS],$AE$1,tabela_registros[REGISTRO],DADOS!$N$4,tabela_registros[TIPO],DADOS!$P$3,tabela_registros[CATEGORIA],despesafixaconsolidadodez[[#This Row],[DESPESA FIXA]],#REF!,DADOS!$J$4)</f>
        <v>#VALUE!</v>
      </c>
      <c r="AP47" s="117" t="e">
        <f aca="false">SUMIFS(tabela_registros[VALOR],tabela_registros[MÊS],$AE$1,tabela_registros[REGISTRO],DADOS!$N$4,tabela_registros[TIPO],DADOS!$P$3,tabela_registros[CATEGORIA],despesafixaconsolidadodez[[#This Row],[DESPESA FIXA]],#REF!,DADOS!$J$3)</f>
        <v>#VALUE!</v>
      </c>
      <c r="AQ47" s="118" t="e">
        <f aca="false">(despesafixaconsolidadoanual[[#This Row],[TOTAL]]*$AQ$51)/$Q$51</f>
        <v>#DIV/0!</v>
      </c>
    </row>
    <row r="48" customFormat="false" ht="18" hidden="false" customHeight="true" outlineLevel="0" collapsed="false">
      <c r="B48" s="143"/>
      <c r="C48" s="144" t="str">
        <f aca="false">DADOS!$R$14</f>
        <v>💊 SAÚDE</v>
      </c>
      <c r="D48" s="145" t="str">
        <f aca="false">IF(despesafixaconsolidadoanual[[#This Row],[TOTAL]]=0,"",IF(OR(despesafixaconsolidadoanual[[#This Row],[TOTAL]]=LARGE($Q$37:$Q$50,1),despesafixaconsolidadoanual[[#This Row],[TOTAL]]=LARGE($Q$37:$Q$50,2),despesafixaconsolidadoanual[[#This Row],[TOTAL]]=LARGE($Q$37:$Q$50,3),despesafixaconsolidadoanual[[#This Row],[TOTAL]]=LARGE($Q$37:$Q$50,4),despesafixaconsolidadoanual[[#This Row],[TOTAL]]=LARGE($Q$37:$Q$50,5)),DADOS!$I$8,""))</f>
        <v/>
      </c>
      <c r="E48" s="148" t="n">
        <f aca="false">despesafixaconsolidado[[#This Row],[TOTAL]]</f>
        <v>0</v>
      </c>
      <c r="F48" s="119" t="n">
        <f aca="false">despesafixaconsolidadofev[[#This Row],[TOTAL]]</f>
        <v>0</v>
      </c>
      <c r="G48" s="119" t="n">
        <f aca="false">despesafixaconsolidadomar[[#This Row],[TOTAL]]</f>
        <v>0</v>
      </c>
      <c r="H48" s="119" t="n">
        <f aca="false">despesafixaconsolidadoabr[[#This Row],[TOTAL]]</f>
        <v>0</v>
      </c>
      <c r="I48" s="119" t="n">
        <f aca="false">despesafixaconsolidadomai[[#This Row],[TOTAL]]</f>
        <v>0</v>
      </c>
      <c r="J48" s="119" t="n">
        <f aca="false">despesafixaconsolidadojun[[#This Row],[TOTAL]]</f>
        <v>0</v>
      </c>
      <c r="K48" s="119" t="n">
        <f aca="false">despesafixaconsolidadojul[[#This Row],[TOTAL]]</f>
        <v>0</v>
      </c>
      <c r="L48" s="119" t="n">
        <f aca="false">despesafixaconsolidadoago[[#This Row],[TOTAL]]</f>
        <v>0</v>
      </c>
      <c r="M48" s="119" t="n">
        <f aca="false">despesafixaconsolidadoset[[#This Row],[TOTAL]]</f>
        <v>0</v>
      </c>
      <c r="N48" s="119" t="n">
        <f aca="false">despesafixaconsolidadoout[[#This Row],[TOTAL]]</f>
        <v>0</v>
      </c>
      <c r="O48" s="119" t="n">
        <f aca="false">despesafixaconsolidadonov[[#This Row],[TOTAL]]</f>
        <v>0</v>
      </c>
      <c r="P48" s="119" t="n">
        <f aca="false">despesafixaconsolidadodez[[#This Row],[TOTAL]]</f>
        <v>0</v>
      </c>
      <c r="Q48" s="149" t="n">
        <f aca="false">SUM(despesafixaconsolidadoanual[[#This Row],[1]:[12]])</f>
        <v>0</v>
      </c>
      <c r="R48" s="143"/>
      <c r="AH48" s="79"/>
      <c r="AO48" s="117" t="e">
        <f aca="false">SUMIFS(tabela_registros[VALOR],tabela_registros[MÊS],$AE$1,tabela_registros[REGISTRO],DADOS!$N$4,tabela_registros[TIPO],DADOS!$P$3,tabela_registros[CATEGORIA],despesafixaconsolidadodez[[#This Row],[DESPESA FIXA]],#REF!,DADOS!$J$4)</f>
        <v>#VALUE!</v>
      </c>
      <c r="AP48" s="117" t="e">
        <f aca="false">SUMIFS(tabela_registros[VALOR],tabela_registros[MÊS],$AE$1,tabela_registros[REGISTRO],DADOS!$N$4,tabela_registros[TIPO],DADOS!$P$3,tabela_registros[CATEGORIA],despesafixaconsolidadodez[[#This Row],[DESPESA FIXA]],#REF!,DADOS!$J$3)</f>
        <v>#VALUE!</v>
      </c>
      <c r="AQ48" s="118" t="e">
        <f aca="false">(despesafixaconsolidadoanual[[#This Row],[TOTAL]]*$AQ$51)/$Q$51</f>
        <v>#DIV/0!</v>
      </c>
    </row>
    <row r="49" customFormat="false" ht="18" hidden="false" customHeight="true" outlineLevel="0" collapsed="false">
      <c r="B49" s="143"/>
      <c r="C49" s="144" t="str">
        <f aca="false">DADOS!$R$15</f>
        <v>📞 TELEFONE</v>
      </c>
      <c r="D49" s="145" t="str">
        <f aca="false">IF(despesafixaconsolidadoanual[[#This Row],[TOTAL]]=0,"",IF(OR(despesafixaconsolidadoanual[[#This Row],[TOTAL]]=LARGE($Q$37:$Q$50,1),despesafixaconsolidadoanual[[#This Row],[TOTAL]]=LARGE($Q$37:$Q$50,2),despesafixaconsolidadoanual[[#This Row],[TOTAL]]=LARGE($Q$37:$Q$50,3),despesafixaconsolidadoanual[[#This Row],[TOTAL]]=LARGE($Q$37:$Q$50,4),despesafixaconsolidadoanual[[#This Row],[TOTAL]]=LARGE($Q$37:$Q$50,5)),DADOS!$I$8,""))</f>
        <v/>
      </c>
      <c r="E49" s="148" t="n">
        <f aca="false">despesafixaconsolidado[[#This Row],[TOTAL]]</f>
        <v>0</v>
      </c>
      <c r="F49" s="119" t="n">
        <f aca="false">despesafixaconsolidadofev[[#This Row],[TOTAL]]</f>
        <v>0</v>
      </c>
      <c r="G49" s="119" t="n">
        <f aca="false">despesafixaconsolidadomar[[#This Row],[TOTAL]]</f>
        <v>0</v>
      </c>
      <c r="H49" s="119" t="n">
        <f aca="false">despesafixaconsolidadoabr[[#This Row],[TOTAL]]</f>
        <v>0</v>
      </c>
      <c r="I49" s="119" t="n">
        <f aca="false">despesafixaconsolidadomai[[#This Row],[TOTAL]]</f>
        <v>0</v>
      </c>
      <c r="J49" s="119" t="n">
        <f aca="false">despesafixaconsolidadojun[[#This Row],[TOTAL]]</f>
        <v>0</v>
      </c>
      <c r="K49" s="119" t="n">
        <f aca="false">despesafixaconsolidadojul[[#This Row],[TOTAL]]</f>
        <v>0</v>
      </c>
      <c r="L49" s="119" t="n">
        <f aca="false">despesafixaconsolidadoago[[#This Row],[TOTAL]]</f>
        <v>0</v>
      </c>
      <c r="M49" s="119" t="n">
        <f aca="false">despesafixaconsolidadoset[[#This Row],[TOTAL]]</f>
        <v>0</v>
      </c>
      <c r="N49" s="119" t="n">
        <f aca="false">despesafixaconsolidadoout[[#This Row],[TOTAL]]</f>
        <v>0</v>
      </c>
      <c r="O49" s="119" t="n">
        <f aca="false">despesafixaconsolidadonov[[#This Row],[TOTAL]]</f>
        <v>0</v>
      </c>
      <c r="P49" s="119" t="n">
        <f aca="false">despesafixaconsolidadodez[[#This Row],[TOTAL]]</f>
        <v>0</v>
      </c>
      <c r="Q49" s="149" t="n">
        <f aca="false">SUM(despesafixaconsolidadoanual[[#This Row],[1]:[12]])</f>
        <v>0</v>
      </c>
      <c r="R49" s="143"/>
      <c r="AH49" s="79"/>
      <c r="AO49" s="117" t="e">
        <f aca="false">SUMIFS(tabela_registros[VALOR],tabela_registros[MÊS],$AE$1,tabela_registros[REGISTRO],DADOS!$N$4,tabela_registros[TIPO],DADOS!$P$3,tabela_registros[CATEGORIA],despesafixaconsolidadodez[[#This Row],[DESPESA FIXA]],#REF!,DADOS!$J$4)</f>
        <v>#VALUE!</v>
      </c>
      <c r="AP49" s="117" t="e">
        <f aca="false">SUMIFS(tabela_registros[VALOR],tabela_registros[MÊS],$AE$1,tabela_registros[REGISTRO],DADOS!$N$4,tabela_registros[TIPO],DADOS!$P$3,tabela_registros[CATEGORIA],despesafixaconsolidadodez[[#This Row],[DESPESA FIXA]],#REF!,DADOS!$J$3)</f>
        <v>#VALUE!</v>
      </c>
      <c r="AQ49" s="118" t="e">
        <f aca="false">(despesafixaconsolidadoanual[[#This Row],[TOTAL]]*$AQ$51)/$Q$51</f>
        <v>#DIV/0!</v>
      </c>
    </row>
    <row r="50" customFormat="false" ht="18" hidden="false" customHeight="true" outlineLevel="0" collapsed="false">
      <c r="B50" s="143"/>
      <c r="C50" s="144" t="str">
        <f aca="false">DADOS!$R$16</f>
        <v>📎 OUTROS</v>
      </c>
      <c r="D50" s="145" t="str">
        <f aca="false">IF(despesafixaconsolidadoanual[[#This Row],[TOTAL]]=0,"",IF(OR(despesafixaconsolidadoanual[[#This Row],[TOTAL]]=LARGE($Q$37:$Q$50,1),despesafixaconsolidadoanual[[#This Row],[TOTAL]]=LARGE($Q$37:$Q$50,2),despesafixaconsolidadoanual[[#This Row],[TOTAL]]=LARGE($Q$37:$Q$50,3),despesafixaconsolidadoanual[[#This Row],[TOTAL]]=LARGE($Q$37:$Q$50,4),despesafixaconsolidadoanual[[#This Row],[TOTAL]]=LARGE($Q$37:$Q$50,5)),DADOS!$I$8,""))</f>
        <v/>
      </c>
      <c r="E50" s="150" t="n">
        <f aca="false">despesafixaconsolidado[[#This Row],[TOTAL]]</f>
        <v>0</v>
      </c>
      <c r="F50" s="151" t="n">
        <f aca="false">despesafixaconsolidadofev[[#This Row],[TOTAL]]</f>
        <v>0</v>
      </c>
      <c r="G50" s="151" t="n">
        <f aca="false">despesafixaconsolidadomar[[#This Row],[TOTAL]]</f>
        <v>0</v>
      </c>
      <c r="H50" s="151" t="n">
        <f aca="false">despesafixaconsolidadoabr[[#This Row],[TOTAL]]</f>
        <v>0</v>
      </c>
      <c r="I50" s="151" t="n">
        <f aca="false">despesafixaconsolidadomai[[#This Row],[TOTAL]]</f>
        <v>0</v>
      </c>
      <c r="J50" s="151" t="n">
        <f aca="false">despesafixaconsolidadojun[[#This Row],[TOTAL]]</f>
        <v>0</v>
      </c>
      <c r="K50" s="151" t="n">
        <f aca="false">despesafixaconsolidadojul[[#This Row],[TOTAL]]</f>
        <v>0</v>
      </c>
      <c r="L50" s="151" t="n">
        <f aca="false">despesafixaconsolidadoago[[#This Row],[TOTAL]]</f>
        <v>0</v>
      </c>
      <c r="M50" s="151" t="n">
        <f aca="false">despesafixaconsolidadoset[[#This Row],[TOTAL]]</f>
        <v>0</v>
      </c>
      <c r="N50" s="151" t="n">
        <f aca="false">despesafixaconsolidadoout[[#This Row],[TOTAL]]</f>
        <v>0</v>
      </c>
      <c r="O50" s="151" t="n">
        <f aca="false">despesafixaconsolidadonov[[#This Row],[TOTAL]]</f>
        <v>0</v>
      </c>
      <c r="P50" s="151" t="n">
        <f aca="false">despesafixaconsolidadodez[[#This Row],[TOTAL]]</f>
        <v>0</v>
      </c>
      <c r="Q50" s="149" t="n">
        <f aca="false">SUM(despesafixaconsolidadoanual[[#This Row],[1]:[12]])</f>
        <v>0</v>
      </c>
      <c r="R50" s="143"/>
      <c r="AH50" s="79"/>
      <c r="AN50" s="79" t="s">
        <v>78</v>
      </c>
      <c r="AO50" s="117" t="e">
        <f aca="false">SUMIFS(tabela_registros[VALOR],tabela_registros[MÊS],$AE$1,tabela_registros[REGISTRO],DADOS!$N$4,tabela_registros[TIPO],DADOS!$P$3,tabela_registros[CATEGORIA],despesafixaconsolidadodez[[#This Row],[DESPESA FIXA]],#REF!,DADOS!$J$4)</f>
        <v>#VALUE!</v>
      </c>
      <c r="AP50" s="117" t="e">
        <f aca="false">SUMIFS(tabela_registros[VALOR],tabela_registros[MÊS],$AE$1,tabela_registros[REGISTRO],DADOS!$N$4,tabela_registros[TIPO],DADOS!$P$3,tabela_registros[CATEGORIA],despesafixaconsolidadodez[[#This Row],[DESPESA FIXA]],#REF!,DADOS!$J$3)</f>
        <v>#VALUE!</v>
      </c>
      <c r="AQ50" s="118" t="e">
        <f aca="false">(despesafixaconsolidadoanual[[#This Row],[TOTAL]]*$AQ$51)/$Q$51</f>
        <v>#DIV/0!</v>
      </c>
    </row>
    <row r="51" s="130" customFormat="true" ht="21" hidden="false" customHeight="true" outlineLevel="0" collapsed="false">
      <c r="A51" s="122"/>
      <c r="B51" s="152"/>
      <c r="C51" s="153" t="s">
        <v>2</v>
      </c>
      <c r="D51" s="154" t="str">
        <f aca="false">IF(despesafixaconsolidadoanual[[#This Row],[TOTAL]]=0,"",IF(OR(despesafixaconsolidadoanual[[#This Row],[TOTAL]]=SMALL($Q$37:$Q$50,1),despesafixaconsolidadoanual[[#This Row],[TOTAL]]=SMALL($Q$37:$Q$50,2),despesafixaconsolidadoanual[[#This Row],[TOTAL]]=SMALL($Q$37:$Q$50,3),despesafixaconsolidadoanual[[#This Row],[TOTAL]]=SMALL($Q$37:$Q$50,4),despesafixaconsolidadoanual[[#This Row],[TOTAL]]=SMALL($Q$37:$Q$50,5)),DADOS!$I$8,""))</f>
        <v/>
      </c>
      <c r="E51" s="155" t="n">
        <f aca="false">despesafixaconsolidado[[#This Row],[TOTAL]]</f>
        <v>0</v>
      </c>
      <c r="F51" s="156" t="n">
        <f aca="false">despesafixaconsolidadofev[[#This Row],[TOTAL]]+despesafixaconsolidadoanual[[#This Row],[1]]</f>
        <v>0</v>
      </c>
      <c r="G51" s="156" t="n">
        <f aca="false">despesafixaconsolidadomar[[#This Row],[TOTAL]]+despesafixaconsolidadoanual[[#This Row],[2]]</f>
        <v>0</v>
      </c>
      <c r="H51" s="156" t="n">
        <f aca="false">despesafixaconsolidadoabr[[#This Row],[TOTAL]]+despesafixaconsolidadoanual[[#This Row],[3]]</f>
        <v>0</v>
      </c>
      <c r="I51" s="156" t="n">
        <f aca="false">despesafixaconsolidadomai[[#This Row],[TOTAL]]+despesafixaconsolidadoanual[[#This Row],[4]]</f>
        <v>0</v>
      </c>
      <c r="J51" s="156" t="n">
        <f aca="false">despesafixaconsolidadojun[[#This Row],[TOTAL]]+despesafixaconsolidadoanual[[#This Row],[5]]</f>
        <v>0</v>
      </c>
      <c r="K51" s="156" t="n">
        <f aca="false">despesafixaconsolidadojul[[#This Row],[TOTAL]]+despesafixaconsolidadoanual[[#This Row],[6]]</f>
        <v>0</v>
      </c>
      <c r="L51" s="156" t="n">
        <f aca="false">despesafixaconsolidadoago[[#This Row],[TOTAL]]+despesafixaconsolidadoanual[[#This Row],[7]]</f>
        <v>0</v>
      </c>
      <c r="M51" s="156" t="n">
        <f aca="false">despesafixaconsolidadoset[[#This Row],[TOTAL]]+despesafixaconsolidadoanual[[#This Row],[8]]</f>
        <v>0</v>
      </c>
      <c r="N51" s="156" t="n">
        <f aca="false">despesafixaconsolidadoout[[#This Row],[TOTAL]]+despesafixaconsolidadoanual[[#This Row],[9]]</f>
        <v>0</v>
      </c>
      <c r="O51" s="156" t="n">
        <f aca="false">despesafixaconsolidadonov[[#This Row],[TOTAL]]+despesafixaconsolidadoanual[[#This Row],[10]]</f>
        <v>0</v>
      </c>
      <c r="P51" s="156" t="n">
        <f aca="false">despesafixaconsolidadodez[[#This Row],[TOTAL]]+despesafixaconsolidadoanual[[#This Row],[11]]</f>
        <v>0</v>
      </c>
      <c r="Q51" s="157" t="n">
        <f aca="false">despesafixaconsolidadoanual[[#This Row],[12]]</f>
        <v>0</v>
      </c>
      <c r="R51" s="158"/>
      <c r="S51" s="78"/>
      <c r="T51" s="78"/>
      <c r="U51" s="78"/>
      <c r="V51" s="78"/>
      <c r="W51" s="78"/>
      <c r="X51" s="78"/>
      <c r="Y51" s="78"/>
      <c r="Z51" s="78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N51" s="132" t="e">
        <f aca="false">despesafixaconsolidadoanual[[#This Row],[TOTAL]]/$Q$15</f>
        <v>#DIV/0!</v>
      </c>
      <c r="AO51" s="131" t="e">
        <f aca="false">SUM(AO37:AO50)</f>
        <v>#VALUE!</v>
      </c>
      <c r="AP51" s="131" t="e">
        <f aca="false">SUM(AP37:AP50)</f>
        <v>#VALUE!</v>
      </c>
      <c r="AQ51" s="118" t="n">
        <f aca="false">1</f>
        <v>1</v>
      </c>
      <c r="AR51" s="79"/>
      <c r="AS51" s="79"/>
      <c r="AT51" s="79"/>
      <c r="AU51" s="79"/>
      <c r="AV51" s="79"/>
      <c r="AW51" s="79"/>
      <c r="AX51" s="79"/>
      <c r="AY51" s="79"/>
      <c r="AZ51" s="79"/>
    </row>
    <row r="52" customFormat="false" ht="6.75" hidden="false" customHeight="true" outlineLevel="0" collapsed="false">
      <c r="B52" s="97"/>
      <c r="C52" s="159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97"/>
      <c r="AH52" s="79"/>
    </row>
    <row r="53" customFormat="false" ht="12.75" hidden="false" customHeight="false" outlineLevel="0" collapsed="false">
      <c r="C53" s="133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AH53" s="79"/>
    </row>
    <row r="54" customFormat="false" ht="12" hidden="false" customHeight="false" outlineLevel="0" collapsed="false">
      <c r="C54" s="133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AH54" s="79"/>
    </row>
    <row r="55" customFormat="false" ht="12" hidden="false" customHeight="false" outlineLevel="0" collapsed="false">
      <c r="C55" s="133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AH55" s="79"/>
    </row>
    <row r="56" customFormat="false" ht="39.75" hidden="false" customHeight="true" outlineLevel="0" collapsed="false">
      <c r="C56" s="133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3" t="s">
        <v>2</v>
      </c>
      <c r="R56" s="104"/>
      <c r="AH56" s="79"/>
    </row>
    <row r="57" customFormat="false" ht="11.25" hidden="false" customHeight="true" outlineLevel="0" collapsed="false">
      <c r="C57" s="101"/>
      <c r="Q57" s="106" t="s">
        <v>64</v>
      </c>
      <c r="AH57" s="79"/>
    </row>
    <row r="58" customFormat="false" ht="6.75" hidden="false" customHeight="true" outlineLevel="0" collapsed="false">
      <c r="B58" s="139"/>
      <c r="C58" s="140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39"/>
      <c r="AH58" s="79"/>
      <c r="AO58" s="108" t="s">
        <v>65</v>
      </c>
      <c r="AP58" s="108" t="s">
        <v>66</v>
      </c>
      <c r="AQ58" s="108" t="s">
        <v>67</v>
      </c>
    </row>
    <row r="59" customFormat="false" ht="12.75" hidden="true" customHeight="false" outlineLevel="0" collapsed="false">
      <c r="B59" s="86"/>
      <c r="C59" s="109" t="s">
        <v>79</v>
      </c>
      <c r="D59" s="110" t="s">
        <v>69</v>
      </c>
      <c r="E59" s="110" t="s">
        <v>30</v>
      </c>
      <c r="F59" s="110" t="s">
        <v>31</v>
      </c>
      <c r="G59" s="110" t="s">
        <v>32</v>
      </c>
      <c r="H59" s="110" t="s">
        <v>33</v>
      </c>
      <c r="I59" s="110" t="s">
        <v>34</v>
      </c>
      <c r="J59" s="110" t="s">
        <v>35</v>
      </c>
      <c r="K59" s="110" t="s">
        <v>36</v>
      </c>
      <c r="L59" s="110" t="s">
        <v>37</v>
      </c>
      <c r="M59" s="110" t="s">
        <v>38</v>
      </c>
      <c r="N59" s="110" t="s">
        <v>39</v>
      </c>
      <c r="O59" s="110" t="s">
        <v>40</v>
      </c>
      <c r="P59" s="110" t="s">
        <v>41</v>
      </c>
      <c r="Q59" s="142" t="s">
        <v>2</v>
      </c>
      <c r="R59" s="143" t="s">
        <v>75</v>
      </c>
      <c r="S59" s="78" t="s">
        <v>80</v>
      </c>
      <c r="AH59" s="79"/>
    </row>
    <row r="60" customFormat="false" ht="19.5" hidden="false" customHeight="true" outlineLevel="0" collapsed="false">
      <c r="B60" s="143"/>
      <c r="C60" s="144" t="str">
        <f aca="false">DADOS!$T$3</f>
        <v>🍕 ALIMENTAÇÃO</v>
      </c>
      <c r="D60" s="145" t="str">
        <f aca="false">IF(despesavariávelconsolidadoanual[[#This Row],[TOTAL]]=0,"",IF(OR(despesavariávelconsolidadoanual[[#This Row],[TOTAL]]=LARGE($Q$60:$Q$72,1),despesavariávelconsolidadoanual[[#This Row],[TOTAL]]=LARGE($Q$60:$Q$72,2),despesavariávelconsolidadoanual[[#This Row],[TOTAL]]=LARGE($Q$60:$Q$72,3),despesavariávelconsolidadoanual[[#This Row],[TOTAL]]=LARGE($Q$60:$Q$72,4),despesavariávelconsolidadoanual[[#This Row],[TOTAL]]=LARGE($Q$60:$Q$72,5)),DADOS!$I$8,""))</f>
        <v/>
      </c>
      <c r="E60" s="146" t="n">
        <f aca="false">despesavariávelconsolidado[[#This Row],[TOTAL]]</f>
        <v>0</v>
      </c>
      <c r="F60" s="114" t="n">
        <f aca="false">despesavariávelconsolidadofev[[#This Row],[TOTAL]]</f>
        <v>0</v>
      </c>
      <c r="G60" s="114" t="n">
        <f aca="false">despesavariávelconsolidadomar[[#This Row],[TOTAL]]</f>
        <v>0</v>
      </c>
      <c r="H60" s="114" t="n">
        <f aca="false">despesavariávelconsolidadoabr[[#This Row],[TOTAL]]</f>
        <v>0</v>
      </c>
      <c r="I60" s="114" t="n">
        <f aca="false">despesavariávelconsolidadomai[[#This Row],[TOTAL]]</f>
        <v>0</v>
      </c>
      <c r="J60" s="114" t="n">
        <f aca="false">despesavariávelconsolidadojun[[#This Row],[TOTAL]]</f>
        <v>0</v>
      </c>
      <c r="K60" s="114" t="n">
        <f aca="false">despesavariávelconsolidadojul[[#This Row],[TOTAL]]</f>
        <v>0</v>
      </c>
      <c r="L60" s="114" t="n">
        <f aca="false">despesavariávelconsolidadoago[[#This Row],[TOTAL]]</f>
        <v>0</v>
      </c>
      <c r="M60" s="114" t="n">
        <f aca="false">despesavariávelconsolidadoset[[#This Row],[TOTAL]]</f>
        <v>0</v>
      </c>
      <c r="N60" s="114" t="n">
        <f aca="false">despesavariávelconsolidadoout[[#This Row],[TOTAL]]</f>
        <v>0</v>
      </c>
      <c r="O60" s="114" t="n">
        <f aca="false">despesavariávelconsolidadonov[[#This Row],[TOTAL]]</f>
        <v>0</v>
      </c>
      <c r="P60" s="114" t="n">
        <f aca="false">despesavariávelconsolidadodez[[#This Row],[TOTAL]]</f>
        <v>0</v>
      </c>
      <c r="Q60" s="147" t="n">
        <f aca="false">SUM(despesavariávelconsolidadoanual[[#This Row],[1]:[12]])</f>
        <v>0</v>
      </c>
      <c r="R60" s="143"/>
      <c r="AH60" s="79"/>
      <c r="AO60" s="117" t="e">
        <f aca="false">SUMIFS(tabela_registros[VALOR],tabela_registros[MÊS],$AE$1,tabela_registros[REGISTRO],DADOS!$N$4,tabela_registros[TIPO],DADOS!$P$4,tabela_registros[CATEGORIA],despesavariávelconsolidadodez[[#This Row],[DESPESA VARIÁVEL]],#REF!,DADOS!$J$4)</f>
        <v>#VALUE!</v>
      </c>
      <c r="AP60" s="117" t="e">
        <f aca="false">SUMIFS(tabela_registros[VALOR],tabela_registros[MÊS],$AE$1,tabela_registros[REGISTRO],DADOS!$N$4,tabela_registros[TIPO],DADOS!$P$4,tabela_registros[CATEGORIA],despesavariávelconsolidadodez[[#This Row],[DESPESA VARIÁVEL]],#REF!,DADOS!$J$3)</f>
        <v>#VALUE!</v>
      </c>
      <c r="AQ60" s="118" t="e">
        <f aca="false">(despesavariávelconsolidadoanual[[#This Row],[TOTAL]]*$AQ$73)/$Q$73</f>
        <v>#DIV/0!</v>
      </c>
    </row>
    <row r="61" customFormat="false" ht="18" hidden="false" customHeight="true" outlineLevel="0" collapsed="false">
      <c r="B61" s="143"/>
      <c r="C61" s="144" t="str">
        <f aca="false">DADOS!$T$4</f>
        <v>💳 CARTÃO DE CRÉDITO</v>
      </c>
      <c r="D61" s="145" t="str">
        <f aca="false">IF(despesavariávelconsolidadoanual[[#This Row],[TOTAL]]=0,"",IF(OR(despesavariávelconsolidadoanual[[#This Row],[TOTAL]]=LARGE($Q$60:$Q$72,1),despesavariávelconsolidadoanual[[#This Row],[TOTAL]]=LARGE($Q$60:$Q$72,2),despesavariávelconsolidadoanual[[#This Row],[TOTAL]]=LARGE($Q$60:$Q$72,3),despesavariávelconsolidadoanual[[#This Row],[TOTAL]]=LARGE($Q$60:$Q$72,4),despesavariávelconsolidadoanual[[#This Row],[TOTAL]]=LARGE($Q$60:$Q$72,5)),DADOS!$I$8,""))</f>
        <v/>
      </c>
      <c r="E61" s="148" t="n">
        <f aca="false">despesavariávelconsolidado[[#This Row],[TOTAL]]</f>
        <v>0</v>
      </c>
      <c r="F61" s="119" t="n">
        <f aca="false">despesavariávelconsolidadofev[[#This Row],[TOTAL]]</f>
        <v>0</v>
      </c>
      <c r="G61" s="119" t="n">
        <f aca="false">despesavariávelconsolidadomar[[#This Row],[TOTAL]]</f>
        <v>0</v>
      </c>
      <c r="H61" s="119" t="n">
        <f aca="false">despesavariávelconsolidadoabr[[#This Row],[TOTAL]]</f>
        <v>0</v>
      </c>
      <c r="I61" s="119" t="n">
        <f aca="false">despesavariávelconsolidadomai[[#This Row],[TOTAL]]</f>
        <v>0</v>
      </c>
      <c r="J61" s="119" t="n">
        <f aca="false">despesavariávelconsolidadojun[[#This Row],[TOTAL]]</f>
        <v>0</v>
      </c>
      <c r="K61" s="119" t="n">
        <f aca="false">despesavariávelconsolidadojul[[#This Row],[TOTAL]]</f>
        <v>0</v>
      </c>
      <c r="L61" s="119" t="n">
        <f aca="false">despesavariávelconsolidadoago[[#This Row],[TOTAL]]</f>
        <v>0</v>
      </c>
      <c r="M61" s="119" t="n">
        <f aca="false">despesavariávelconsolidadoset[[#This Row],[TOTAL]]</f>
        <v>0</v>
      </c>
      <c r="N61" s="119" t="n">
        <f aca="false">despesavariávelconsolidadoout[[#This Row],[TOTAL]]</f>
        <v>0</v>
      </c>
      <c r="O61" s="119" t="n">
        <f aca="false">despesavariávelconsolidadonov[[#This Row],[TOTAL]]</f>
        <v>0</v>
      </c>
      <c r="P61" s="119" t="n">
        <f aca="false">despesavariávelconsolidadodez[[#This Row],[TOTAL]]</f>
        <v>0</v>
      </c>
      <c r="Q61" s="149" t="n">
        <f aca="false">SUM(despesavariávelconsolidadoanual[[#This Row],[1]:[12]])</f>
        <v>0</v>
      </c>
      <c r="R61" s="143"/>
      <c r="AH61" s="79"/>
      <c r="AO61" s="117" t="e">
        <f aca="false">SUMIFS(tabela_registros[VALOR],tabela_registros[MÊS],$AE$1,tabela_registros[REGISTRO],DADOS!$N$4,tabela_registros[TIPO],DADOS!$P$4,tabela_registros[CATEGORIA],despesavariávelconsolidadodez[[#This Row],[DESPESA VARIÁVEL]],#REF!,DADOS!$J$4)</f>
        <v>#VALUE!</v>
      </c>
      <c r="AP61" s="117" t="e">
        <f aca="false">SUMIFS(tabela_registros[VALOR],tabela_registros[MÊS],$AE$1,tabela_registros[REGISTRO],DADOS!$N$4,tabela_registros[TIPO],DADOS!$P$4,tabela_registros[CATEGORIA],despesavariávelconsolidadodez[[#This Row],[DESPESA VARIÁVEL]],#REF!,DADOS!$J$3)</f>
        <v>#VALUE!</v>
      </c>
      <c r="AQ61" s="118" t="e">
        <f aca="false">(despesavariávelconsolidadoanual[[#This Row],[TOTAL]]*$AQ$73)/$Q$73</f>
        <v>#DIV/0!</v>
      </c>
    </row>
    <row r="62" customFormat="false" ht="18" hidden="false" customHeight="true" outlineLevel="0" collapsed="false">
      <c r="B62" s="143"/>
      <c r="C62" s="144" t="str">
        <f aca="false">DADOS!$T$5</f>
        <v>✍️ CHEQUE ESPECIAL</v>
      </c>
      <c r="D62" s="145" t="str">
        <f aca="false">IF(despesavariávelconsolidadoanual[[#This Row],[TOTAL]]=0,"",IF(OR(despesavariávelconsolidadoanual[[#This Row],[TOTAL]]=LARGE($Q$60:$Q$72,1),despesavariávelconsolidadoanual[[#This Row],[TOTAL]]=LARGE($Q$60:$Q$72,2),despesavariávelconsolidadoanual[[#This Row],[TOTAL]]=LARGE($Q$60:$Q$72,3),despesavariávelconsolidadoanual[[#This Row],[TOTAL]]=LARGE($Q$60:$Q$72,4),despesavariávelconsolidadoanual[[#This Row],[TOTAL]]=LARGE($Q$60:$Q$72,5)),DADOS!$I$8,""))</f>
        <v/>
      </c>
      <c r="E62" s="148" t="n">
        <f aca="false">despesavariávelconsolidado[[#This Row],[TOTAL]]</f>
        <v>0</v>
      </c>
      <c r="F62" s="119" t="n">
        <f aca="false">despesavariávelconsolidadofev[[#This Row],[TOTAL]]</f>
        <v>0</v>
      </c>
      <c r="G62" s="119" t="n">
        <f aca="false">despesavariávelconsolidadomar[[#This Row],[TOTAL]]</f>
        <v>0</v>
      </c>
      <c r="H62" s="119" t="n">
        <f aca="false">despesavariávelconsolidadoabr[[#This Row],[TOTAL]]</f>
        <v>0</v>
      </c>
      <c r="I62" s="119" t="n">
        <f aca="false">despesavariávelconsolidadomai[[#This Row],[TOTAL]]</f>
        <v>0</v>
      </c>
      <c r="J62" s="119" t="n">
        <f aca="false">despesavariávelconsolidadojun[[#This Row],[TOTAL]]</f>
        <v>0</v>
      </c>
      <c r="K62" s="119" t="n">
        <f aca="false">despesavariávelconsolidadojul[[#This Row],[TOTAL]]</f>
        <v>0</v>
      </c>
      <c r="L62" s="119" t="n">
        <f aca="false">despesavariávelconsolidadoago[[#This Row],[TOTAL]]</f>
        <v>0</v>
      </c>
      <c r="M62" s="119" t="n">
        <f aca="false">despesavariávelconsolidadoset[[#This Row],[TOTAL]]</f>
        <v>0</v>
      </c>
      <c r="N62" s="119" t="n">
        <f aca="false">despesavariávelconsolidadoout[[#This Row],[TOTAL]]</f>
        <v>0</v>
      </c>
      <c r="O62" s="119" t="n">
        <f aca="false">despesavariávelconsolidadonov[[#This Row],[TOTAL]]</f>
        <v>0</v>
      </c>
      <c r="P62" s="119" t="n">
        <f aca="false">despesavariávelconsolidadodez[[#This Row],[TOTAL]]</f>
        <v>0</v>
      </c>
      <c r="Q62" s="149" t="n">
        <f aca="false">SUM(despesavariávelconsolidadoanual[[#This Row],[1]:[12]])</f>
        <v>0</v>
      </c>
      <c r="R62" s="143"/>
      <c r="AH62" s="79"/>
      <c r="AO62" s="117" t="e">
        <f aca="false">SUMIFS(tabela_registros[VALOR],tabela_registros[MÊS],$AE$1,tabela_registros[REGISTRO],DADOS!$N$4,tabela_registros[TIPO],DADOS!$P$4,tabela_registros[CATEGORIA],despesavariávelconsolidadodez[[#This Row],[DESPESA VARIÁVEL]],#REF!,DADOS!$J$4)</f>
        <v>#VALUE!</v>
      </c>
      <c r="AP62" s="117" t="e">
        <f aca="false">SUMIFS(tabela_registros[VALOR],tabela_registros[MÊS],$AE$1,tabela_registros[REGISTRO],DADOS!$N$4,tabela_registros[TIPO],DADOS!$P$4,tabela_registros[CATEGORIA],despesavariávelconsolidadodez[[#This Row],[DESPESA VARIÁVEL]],#REF!,DADOS!$J$3)</f>
        <v>#VALUE!</v>
      </c>
      <c r="AQ62" s="118" t="e">
        <f aca="false">(despesavariávelconsolidadoanual[[#This Row],[TOTAL]]*$AQ$73)/$Q$73</f>
        <v>#DIV/0!</v>
      </c>
    </row>
    <row r="63" customFormat="false" ht="18" hidden="false" customHeight="true" outlineLevel="0" collapsed="false">
      <c r="B63" s="143"/>
      <c r="C63" s="144" t="str">
        <f aca="false">DADOS!$T$6</f>
        <v>💄 CUIDADOS PESSOAIS</v>
      </c>
      <c r="D63" s="145" t="str">
        <f aca="false">IF(despesavariávelconsolidadoanual[[#This Row],[TOTAL]]=0,"",IF(OR(despesavariávelconsolidadoanual[[#This Row],[TOTAL]]=LARGE($Q$60:$Q$72,1),despesavariávelconsolidadoanual[[#This Row],[TOTAL]]=LARGE($Q$60:$Q$72,2),despesavariávelconsolidadoanual[[#This Row],[TOTAL]]=LARGE($Q$60:$Q$72,3),despesavariávelconsolidadoanual[[#This Row],[TOTAL]]=LARGE($Q$60:$Q$72,4),despesavariávelconsolidadoanual[[#This Row],[TOTAL]]=LARGE($Q$60:$Q$72,5)),DADOS!$I$8,""))</f>
        <v/>
      </c>
      <c r="E63" s="148" t="n">
        <f aca="false">despesavariávelconsolidado[[#This Row],[TOTAL]]</f>
        <v>0</v>
      </c>
      <c r="F63" s="119" t="n">
        <f aca="false">despesavariávelconsolidadofev[[#This Row],[TOTAL]]</f>
        <v>0</v>
      </c>
      <c r="G63" s="119" t="n">
        <f aca="false">despesavariávelconsolidadomar[[#This Row],[TOTAL]]</f>
        <v>0</v>
      </c>
      <c r="H63" s="119" t="n">
        <f aca="false">despesavariávelconsolidadoabr[[#This Row],[TOTAL]]</f>
        <v>0</v>
      </c>
      <c r="I63" s="119" t="n">
        <f aca="false">despesavariávelconsolidadomai[[#This Row],[TOTAL]]</f>
        <v>0</v>
      </c>
      <c r="J63" s="119" t="n">
        <f aca="false">despesavariávelconsolidadojun[[#This Row],[TOTAL]]</f>
        <v>0</v>
      </c>
      <c r="K63" s="119" t="n">
        <f aca="false">despesavariávelconsolidadojul[[#This Row],[TOTAL]]</f>
        <v>0</v>
      </c>
      <c r="L63" s="119" t="n">
        <f aca="false">despesavariávelconsolidadoago[[#This Row],[TOTAL]]</f>
        <v>0</v>
      </c>
      <c r="M63" s="119" t="n">
        <f aca="false">despesavariávelconsolidadoset[[#This Row],[TOTAL]]</f>
        <v>0</v>
      </c>
      <c r="N63" s="119" t="n">
        <f aca="false">despesavariávelconsolidadoout[[#This Row],[TOTAL]]</f>
        <v>0</v>
      </c>
      <c r="O63" s="119" t="n">
        <f aca="false">despesavariávelconsolidadonov[[#This Row],[TOTAL]]</f>
        <v>0</v>
      </c>
      <c r="P63" s="119" t="n">
        <f aca="false">despesavariávelconsolidadodez[[#This Row],[TOTAL]]</f>
        <v>0</v>
      </c>
      <c r="Q63" s="149" t="n">
        <f aca="false">SUM(despesavariávelconsolidadoanual[[#This Row],[1]:[12]])</f>
        <v>0</v>
      </c>
      <c r="R63" s="143"/>
      <c r="AH63" s="79"/>
      <c r="AO63" s="117" t="e">
        <f aca="false">SUMIFS(tabela_registros[VALOR],tabela_registros[MÊS],$AE$1,tabela_registros[REGISTRO],DADOS!$N$4,tabela_registros[TIPO],DADOS!$P$4,tabela_registros[CATEGORIA],despesavariávelconsolidadodez[[#This Row],[DESPESA VARIÁVEL]],#REF!,DADOS!$J$4)</f>
        <v>#VALUE!</v>
      </c>
      <c r="AP63" s="117" t="e">
        <f aca="false">SUMIFS(tabela_registros[VALOR],tabela_registros[MÊS],$AE$1,tabela_registros[REGISTRO],DADOS!$N$4,tabela_registros[TIPO],DADOS!$P$4,tabela_registros[CATEGORIA],despesavariávelconsolidadodez[[#This Row],[DESPESA VARIÁVEL]],#REF!,DADOS!$J$3)</f>
        <v>#VALUE!</v>
      </c>
      <c r="AQ63" s="118" t="e">
        <f aca="false">(despesavariávelconsolidadoanual[[#This Row],[TOTAL]]*$AQ$73)/$Q$73</f>
        <v>#DIV/0!</v>
      </c>
    </row>
    <row r="64" customFormat="false" ht="18" hidden="false" customHeight="true" outlineLevel="0" collapsed="false">
      <c r="B64" s="143"/>
      <c r="C64" s="144" t="str">
        <f aca="false">DADOS!$T$7</f>
        <v>🤝 DOAÇÃO</v>
      </c>
      <c r="D64" s="145" t="str">
        <f aca="false">IF(despesavariávelconsolidadoanual[[#This Row],[TOTAL]]=0,"",IF(OR(despesavariávelconsolidadoanual[[#This Row],[TOTAL]]=LARGE($Q$60:$Q$72,1),despesavariávelconsolidadoanual[[#This Row],[TOTAL]]=LARGE($Q$60:$Q$72,2),despesavariávelconsolidadoanual[[#This Row],[TOTAL]]=LARGE($Q$60:$Q$72,3),despesavariávelconsolidadoanual[[#This Row],[TOTAL]]=LARGE($Q$60:$Q$72,4),despesavariávelconsolidadoanual[[#This Row],[TOTAL]]=LARGE($Q$60:$Q$72,5)),DADOS!$I$8,""))</f>
        <v/>
      </c>
      <c r="E64" s="148" t="n">
        <f aca="false">despesavariávelconsolidado[[#This Row],[TOTAL]]</f>
        <v>0</v>
      </c>
      <c r="F64" s="119" t="n">
        <f aca="false">despesavariávelconsolidadofev[[#This Row],[TOTAL]]</f>
        <v>0</v>
      </c>
      <c r="G64" s="119" t="n">
        <f aca="false">despesavariávelconsolidadomar[[#This Row],[TOTAL]]</f>
        <v>0</v>
      </c>
      <c r="H64" s="119" t="n">
        <f aca="false">despesavariávelconsolidadoabr[[#This Row],[TOTAL]]</f>
        <v>0</v>
      </c>
      <c r="I64" s="119" t="n">
        <f aca="false">despesavariávelconsolidadomai[[#This Row],[TOTAL]]</f>
        <v>0</v>
      </c>
      <c r="J64" s="119" t="n">
        <f aca="false">despesavariávelconsolidadojun[[#This Row],[TOTAL]]</f>
        <v>0</v>
      </c>
      <c r="K64" s="119" t="n">
        <f aca="false">despesavariávelconsolidadojul[[#This Row],[TOTAL]]</f>
        <v>0</v>
      </c>
      <c r="L64" s="119" t="n">
        <f aca="false">despesavariávelconsolidadoago[[#This Row],[TOTAL]]</f>
        <v>0</v>
      </c>
      <c r="M64" s="119" t="n">
        <f aca="false">despesavariávelconsolidadoset[[#This Row],[TOTAL]]</f>
        <v>0</v>
      </c>
      <c r="N64" s="119" t="n">
        <f aca="false">despesavariávelconsolidadoout[[#This Row],[TOTAL]]</f>
        <v>0</v>
      </c>
      <c r="O64" s="119" t="n">
        <f aca="false">despesavariávelconsolidadonov[[#This Row],[TOTAL]]</f>
        <v>0</v>
      </c>
      <c r="P64" s="119" t="n">
        <f aca="false">despesavariávelconsolidadodez[[#This Row],[TOTAL]]</f>
        <v>0</v>
      </c>
      <c r="Q64" s="149" t="n">
        <f aca="false">SUM(despesavariávelconsolidadoanual[[#This Row],[1]:[12]])</f>
        <v>0</v>
      </c>
      <c r="R64" s="143"/>
      <c r="AH64" s="79"/>
      <c r="AO64" s="117" t="e">
        <f aca="false">SUMIFS(tabela_registros[VALOR],tabela_registros[MÊS],$AE$1,tabela_registros[REGISTRO],DADOS!$N$4,tabela_registros[TIPO],DADOS!$P$4,tabela_registros[CATEGORIA],despesavariávelconsolidadodez[[#This Row],[DESPESA VARIÁVEL]],#REF!,DADOS!$J$4)</f>
        <v>#VALUE!</v>
      </c>
      <c r="AP64" s="117" t="e">
        <f aca="false">SUMIFS(tabela_registros[VALOR],tabela_registros[MÊS],$AE$1,tabela_registros[REGISTRO],DADOS!$N$4,tabela_registros[TIPO],DADOS!$P$4,tabela_registros[CATEGORIA],despesavariávelconsolidadodez[[#This Row],[DESPESA VARIÁVEL]],#REF!,DADOS!$J$3)</f>
        <v>#VALUE!</v>
      </c>
      <c r="AQ64" s="118" t="e">
        <f aca="false">(despesavariávelconsolidadoanual[[#This Row],[TOTAL]]*$AQ$73)/$Q$73</f>
        <v>#DIV/0!</v>
      </c>
    </row>
    <row r="65" customFormat="false" ht="18" hidden="false" customHeight="true" outlineLevel="0" collapsed="false">
      <c r="B65" s="143"/>
      <c r="C65" s="144" t="str">
        <f aca="false">DADOS!$T$8</f>
        <v>📖 EDUCAÇÃO</v>
      </c>
      <c r="D65" s="145" t="str">
        <f aca="false">IF(despesavariávelconsolidadoanual[[#This Row],[TOTAL]]=0,"",IF(OR(despesavariávelconsolidadoanual[[#This Row],[TOTAL]]=LARGE($Q$60:$Q$72,1),despesavariávelconsolidadoanual[[#This Row],[TOTAL]]=LARGE($Q$60:$Q$72,2),despesavariávelconsolidadoanual[[#This Row],[TOTAL]]=LARGE($Q$60:$Q$72,3),despesavariávelconsolidadoanual[[#This Row],[TOTAL]]=LARGE($Q$60:$Q$72,4),despesavariávelconsolidadoanual[[#This Row],[TOTAL]]=LARGE($Q$60:$Q$72,5)),DADOS!$I$8,""))</f>
        <v/>
      </c>
      <c r="E65" s="148" t="n">
        <f aca="false">despesavariávelconsolidado[[#This Row],[TOTAL]]</f>
        <v>0</v>
      </c>
      <c r="F65" s="119" t="n">
        <f aca="false">despesavariávelconsolidadofev[[#This Row],[TOTAL]]</f>
        <v>0</v>
      </c>
      <c r="G65" s="119" t="n">
        <f aca="false">despesavariávelconsolidadomar[[#This Row],[TOTAL]]</f>
        <v>0</v>
      </c>
      <c r="H65" s="119" t="n">
        <f aca="false">despesavariávelconsolidadoabr[[#This Row],[TOTAL]]</f>
        <v>0</v>
      </c>
      <c r="I65" s="119" t="n">
        <f aca="false">despesavariávelconsolidadomai[[#This Row],[TOTAL]]</f>
        <v>0</v>
      </c>
      <c r="J65" s="119" t="n">
        <f aca="false">despesavariávelconsolidadojun[[#This Row],[TOTAL]]</f>
        <v>0</v>
      </c>
      <c r="K65" s="119" t="n">
        <f aca="false">despesavariávelconsolidadojul[[#This Row],[TOTAL]]</f>
        <v>0</v>
      </c>
      <c r="L65" s="119" t="n">
        <f aca="false">despesavariávelconsolidadoago[[#This Row],[TOTAL]]</f>
        <v>0</v>
      </c>
      <c r="M65" s="119" t="n">
        <f aca="false">despesavariávelconsolidadoset[[#This Row],[TOTAL]]</f>
        <v>0</v>
      </c>
      <c r="N65" s="119" t="n">
        <f aca="false">despesavariávelconsolidadoout[[#This Row],[TOTAL]]</f>
        <v>0</v>
      </c>
      <c r="O65" s="119" t="n">
        <f aca="false">despesavariávelconsolidadonov[[#This Row],[TOTAL]]</f>
        <v>0</v>
      </c>
      <c r="P65" s="119" t="n">
        <f aca="false">despesavariávelconsolidadodez[[#This Row],[TOTAL]]</f>
        <v>0</v>
      </c>
      <c r="Q65" s="149" t="n">
        <f aca="false">SUM(despesavariávelconsolidadoanual[[#This Row],[1]:[12]])</f>
        <v>0</v>
      </c>
      <c r="R65" s="143"/>
      <c r="AH65" s="79"/>
      <c r="AO65" s="117" t="e">
        <f aca="false">SUMIFS(tabela_registros[VALOR],tabela_registros[MÊS],$AE$1,tabela_registros[REGISTRO],DADOS!$N$4,tabela_registros[TIPO],DADOS!$P$4,tabela_registros[CATEGORIA],despesavariávelconsolidadodez[[#This Row],[DESPESA VARIÁVEL]],#REF!,DADOS!$J$4)</f>
        <v>#VALUE!</v>
      </c>
      <c r="AP65" s="117" t="e">
        <f aca="false">SUMIFS(tabela_registros[VALOR],tabela_registros[MÊS],$AE$1,tabela_registros[REGISTRO],DADOS!$N$4,tabela_registros[TIPO],DADOS!$P$4,tabela_registros[CATEGORIA],despesavariávelconsolidadodez[[#This Row],[DESPESA VARIÁVEL]],#REF!,DADOS!$J$3)</f>
        <v>#VALUE!</v>
      </c>
      <c r="AQ65" s="118" t="e">
        <f aca="false">(despesavariávelconsolidadoanual[[#This Row],[TOTAL]]*$AQ$73)/$Q$73</f>
        <v>#DIV/0!</v>
      </c>
    </row>
    <row r="66" customFormat="false" ht="18" hidden="false" customHeight="true" outlineLevel="0" collapsed="false">
      <c r="B66" s="143"/>
      <c r="C66" s="144" t="str">
        <f aca="false">DADOS!$T$9</f>
        <v>🎭 LAZER</v>
      </c>
      <c r="D66" s="145" t="str">
        <f aca="false">IF(despesavariávelconsolidadoanual[[#This Row],[TOTAL]]=0,"",IF(OR(despesavariávelconsolidadoanual[[#This Row],[TOTAL]]=LARGE($Q$60:$Q$72,1),despesavariávelconsolidadoanual[[#This Row],[TOTAL]]=LARGE($Q$60:$Q$72,2),despesavariávelconsolidadoanual[[#This Row],[TOTAL]]=LARGE($Q$60:$Q$72,3),despesavariávelconsolidadoanual[[#This Row],[TOTAL]]=LARGE($Q$60:$Q$72,4),despesavariávelconsolidadoanual[[#This Row],[TOTAL]]=LARGE($Q$60:$Q$72,5)),DADOS!$I$8,""))</f>
        <v/>
      </c>
      <c r="E66" s="148" t="n">
        <f aca="false">despesavariávelconsolidado[[#This Row],[TOTAL]]</f>
        <v>0</v>
      </c>
      <c r="F66" s="119" t="n">
        <f aca="false">despesavariávelconsolidadofev[[#This Row],[TOTAL]]</f>
        <v>0</v>
      </c>
      <c r="G66" s="119" t="n">
        <f aca="false">despesavariávelconsolidadomar[[#This Row],[TOTAL]]</f>
        <v>0</v>
      </c>
      <c r="H66" s="119" t="n">
        <f aca="false">despesavariávelconsolidadoabr[[#This Row],[TOTAL]]</f>
        <v>0</v>
      </c>
      <c r="I66" s="119" t="n">
        <f aca="false">despesavariávelconsolidadomai[[#This Row],[TOTAL]]</f>
        <v>0</v>
      </c>
      <c r="J66" s="119" t="n">
        <f aca="false">despesavariávelconsolidadojun[[#This Row],[TOTAL]]</f>
        <v>0</v>
      </c>
      <c r="K66" s="119" t="n">
        <f aca="false">despesavariávelconsolidadojul[[#This Row],[TOTAL]]</f>
        <v>0</v>
      </c>
      <c r="L66" s="119" t="n">
        <f aca="false">despesavariávelconsolidadoago[[#This Row],[TOTAL]]</f>
        <v>0</v>
      </c>
      <c r="M66" s="119" t="n">
        <f aca="false">despesavariávelconsolidadoset[[#This Row],[TOTAL]]</f>
        <v>0</v>
      </c>
      <c r="N66" s="119" t="n">
        <f aca="false">despesavariávelconsolidadoout[[#This Row],[TOTAL]]</f>
        <v>0</v>
      </c>
      <c r="O66" s="119" t="n">
        <f aca="false">despesavariávelconsolidadonov[[#This Row],[TOTAL]]</f>
        <v>0</v>
      </c>
      <c r="P66" s="119" t="n">
        <f aca="false">despesavariávelconsolidadodez[[#This Row],[TOTAL]]</f>
        <v>0</v>
      </c>
      <c r="Q66" s="149" t="n">
        <f aca="false">SUM(despesavariávelconsolidadoanual[[#This Row],[1]:[12]])</f>
        <v>0</v>
      </c>
      <c r="R66" s="143"/>
      <c r="AH66" s="79"/>
      <c r="AO66" s="117" t="e">
        <f aca="false">SUMIFS(tabela_registros[VALOR],tabela_registros[MÊS],$AE$1,tabela_registros[REGISTRO],DADOS!$N$4,tabela_registros[TIPO],DADOS!$P$4,tabela_registros[CATEGORIA],despesavariávelconsolidadodez[[#This Row],[DESPESA VARIÁVEL]],#REF!,DADOS!$J$4)</f>
        <v>#VALUE!</v>
      </c>
      <c r="AP66" s="117" t="e">
        <f aca="false">SUMIFS(tabela_registros[VALOR],tabela_registros[MÊS],$AE$1,tabela_registros[REGISTRO],DADOS!$N$4,tabela_registros[TIPO],DADOS!$P$4,tabela_registros[CATEGORIA],despesavariávelconsolidadodez[[#This Row],[DESPESA VARIÁVEL]],#REF!,DADOS!$J$3)</f>
        <v>#VALUE!</v>
      </c>
      <c r="AQ66" s="118" t="e">
        <f aca="false">(despesavariávelconsolidadoanual[[#This Row],[TOTAL]]*$AQ$73)/$Q$73</f>
        <v>#DIV/0!</v>
      </c>
    </row>
    <row r="67" customFormat="false" ht="18" hidden="false" customHeight="true" outlineLevel="0" collapsed="false">
      <c r="B67" s="143"/>
      <c r="C67" s="144" t="str">
        <f aca="false">DADOS!$T$10</f>
        <v>🛒 MERCADO</v>
      </c>
      <c r="D67" s="145" t="str">
        <f aca="false">IF(despesavariávelconsolidadoanual[[#This Row],[TOTAL]]=0,"",IF(OR(despesavariávelconsolidadoanual[[#This Row],[TOTAL]]=LARGE($Q$60:$Q$72,1),despesavariávelconsolidadoanual[[#This Row],[TOTAL]]=LARGE($Q$60:$Q$72,2),despesavariávelconsolidadoanual[[#This Row],[TOTAL]]=LARGE($Q$60:$Q$72,3),despesavariávelconsolidadoanual[[#This Row],[TOTAL]]=LARGE($Q$60:$Q$72,4),despesavariávelconsolidadoanual[[#This Row],[TOTAL]]=LARGE($Q$60:$Q$72,5)),DADOS!$I$8,""))</f>
        <v/>
      </c>
      <c r="E67" s="148" t="n">
        <f aca="false">despesavariávelconsolidado[[#This Row],[TOTAL]]</f>
        <v>0</v>
      </c>
      <c r="F67" s="119" t="n">
        <f aca="false">despesavariávelconsolidadofev[[#This Row],[TOTAL]]</f>
        <v>0</v>
      </c>
      <c r="G67" s="119" t="n">
        <f aca="false">despesavariávelconsolidadomar[[#This Row],[TOTAL]]</f>
        <v>0</v>
      </c>
      <c r="H67" s="119" t="n">
        <f aca="false">despesavariávelconsolidadoabr[[#This Row],[TOTAL]]</f>
        <v>0</v>
      </c>
      <c r="I67" s="119" t="n">
        <f aca="false">despesavariávelconsolidadomai[[#This Row],[TOTAL]]</f>
        <v>0</v>
      </c>
      <c r="J67" s="119" t="n">
        <f aca="false">despesavariávelconsolidadojun[[#This Row],[TOTAL]]</f>
        <v>0</v>
      </c>
      <c r="K67" s="119" t="n">
        <f aca="false">despesavariávelconsolidadojul[[#This Row],[TOTAL]]</f>
        <v>0</v>
      </c>
      <c r="L67" s="119" t="n">
        <f aca="false">despesavariávelconsolidadoago[[#This Row],[TOTAL]]</f>
        <v>0</v>
      </c>
      <c r="M67" s="119" t="n">
        <f aca="false">despesavariávelconsolidadoset[[#This Row],[TOTAL]]</f>
        <v>0</v>
      </c>
      <c r="N67" s="119" t="n">
        <f aca="false">despesavariávelconsolidadoout[[#This Row],[TOTAL]]</f>
        <v>0</v>
      </c>
      <c r="O67" s="119" t="n">
        <f aca="false">despesavariávelconsolidadonov[[#This Row],[TOTAL]]</f>
        <v>0</v>
      </c>
      <c r="P67" s="119" t="n">
        <f aca="false">despesavariávelconsolidadodez[[#This Row],[TOTAL]]</f>
        <v>0</v>
      </c>
      <c r="Q67" s="149" t="n">
        <f aca="false">SUM(despesavariávelconsolidadoanual[[#This Row],[1]:[12]])</f>
        <v>0</v>
      </c>
      <c r="R67" s="143"/>
      <c r="AH67" s="79"/>
      <c r="AO67" s="117" t="e">
        <f aca="false">SUMIFS(tabela_registros[VALOR],tabela_registros[MÊS],$AE$1,tabela_registros[REGISTRO],DADOS!$N$4,tabela_registros[TIPO],DADOS!$P$4,tabela_registros[CATEGORIA],despesavariávelconsolidadodez[[#This Row],[DESPESA VARIÁVEL]],#REF!,DADOS!$J$4)</f>
        <v>#VALUE!</v>
      </c>
      <c r="AP67" s="117" t="e">
        <f aca="false">SUMIFS(tabela_registros[VALOR],tabela_registros[MÊS],$AE$1,tabela_registros[REGISTRO],DADOS!$N$4,tabela_registros[TIPO],DADOS!$P$4,tabela_registros[CATEGORIA],despesavariávelconsolidadodez[[#This Row],[DESPESA VARIÁVEL]],#REF!,DADOS!$J$3)</f>
        <v>#VALUE!</v>
      </c>
      <c r="AQ67" s="118" t="e">
        <f aca="false">(despesavariávelconsolidadoanual[[#This Row],[TOTAL]]*$AQ$73)/$Q$73</f>
        <v>#DIV/0!</v>
      </c>
    </row>
    <row r="68" customFormat="false" ht="18" hidden="false" customHeight="true" outlineLevel="0" collapsed="false">
      <c r="B68" s="143"/>
      <c r="C68" s="144" t="str">
        <f aca="false">DADOS!$T$11</f>
        <v>🎁 PRESENTES</v>
      </c>
      <c r="D68" s="145" t="str">
        <f aca="false">IF(despesavariávelconsolidadoanual[[#This Row],[TOTAL]]=0,"",IF(OR(despesavariávelconsolidadoanual[[#This Row],[TOTAL]]=LARGE($Q$60:$Q$72,1),despesavariávelconsolidadoanual[[#This Row],[TOTAL]]=LARGE($Q$60:$Q$72,2),despesavariávelconsolidadoanual[[#This Row],[TOTAL]]=LARGE($Q$60:$Q$72,3),despesavariávelconsolidadoanual[[#This Row],[TOTAL]]=LARGE($Q$60:$Q$72,4),despesavariávelconsolidadoanual[[#This Row],[TOTAL]]=LARGE($Q$60:$Q$72,5)),DADOS!$I$8,""))</f>
        <v/>
      </c>
      <c r="E68" s="148" t="n">
        <f aca="false">despesavariávelconsolidado[[#This Row],[TOTAL]]</f>
        <v>0</v>
      </c>
      <c r="F68" s="119" t="n">
        <f aca="false">despesavariávelconsolidadofev[[#This Row],[TOTAL]]</f>
        <v>0</v>
      </c>
      <c r="G68" s="119" t="n">
        <f aca="false">despesavariávelconsolidadomar[[#This Row],[TOTAL]]</f>
        <v>0</v>
      </c>
      <c r="H68" s="119" t="n">
        <f aca="false">despesavariávelconsolidadoabr[[#This Row],[TOTAL]]</f>
        <v>0</v>
      </c>
      <c r="I68" s="119" t="n">
        <f aca="false">despesavariávelconsolidadomai[[#This Row],[TOTAL]]</f>
        <v>0</v>
      </c>
      <c r="J68" s="119" t="n">
        <f aca="false">despesavariávelconsolidadojun[[#This Row],[TOTAL]]</f>
        <v>0</v>
      </c>
      <c r="K68" s="119" t="n">
        <f aca="false">despesavariávelconsolidadojul[[#This Row],[TOTAL]]</f>
        <v>0</v>
      </c>
      <c r="L68" s="119" t="n">
        <f aca="false">despesavariávelconsolidadoago[[#This Row],[TOTAL]]</f>
        <v>0</v>
      </c>
      <c r="M68" s="119" t="n">
        <f aca="false">despesavariávelconsolidadoset[[#This Row],[TOTAL]]</f>
        <v>0</v>
      </c>
      <c r="N68" s="119" t="n">
        <f aca="false">despesavariávelconsolidadoout[[#This Row],[TOTAL]]</f>
        <v>0</v>
      </c>
      <c r="O68" s="119" t="n">
        <f aca="false">despesavariávelconsolidadonov[[#This Row],[TOTAL]]</f>
        <v>0</v>
      </c>
      <c r="P68" s="119" t="n">
        <f aca="false">despesavariávelconsolidadodez[[#This Row],[TOTAL]]</f>
        <v>0</v>
      </c>
      <c r="Q68" s="149" t="n">
        <f aca="false">SUM(despesavariávelconsolidadoanual[[#This Row],[1]:[12]])</f>
        <v>0</v>
      </c>
      <c r="R68" s="143"/>
      <c r="AH68" s="79"/>
      <c r="AO68" s="117" t="e">
        <f aca="false">SUMIFS(tabela_registros[VALOR],tabela_registros[MÊS],$AE$1,tabela_registros[REGISTRO],DADOS!$N$4,tabela_registros[TIPO],DADOS!$P$4,tabela_registros[CATEGORIA],despesavariávelconsolidadodez[[#This Row],[DESPESA VARIÁVEL]],#REF!,DADOS!$J$4)</f>
        <v>#VALUE!</v>
      </c>
      <c r="AP68" s="117" t="e">
        <f aca="false">SUMIFS(tabela_registros[VALOR],tabela_registros[MÊS],$AE$1,tabela_registros[REGISTRO],DADOS!$N$4,tabela_registros[TIPO],DADOS!$P$4,tabela_registros[CATEGORIA],despesavariávelconsolidadodez[[#This Row],[DESPESA VARIÁVEL]],#REF!,DADOS!$J$3)</f>
        <v>#VALUE!</v>
      </c>
      <c r="AQ68" s="118" t="e">
        <f aca="false">(despesavariávelconsolidadoanual[[#This Row],[TOTAL]]*$AQ$73)/$Q$73</f>
        <v>#DIV/0!</v>
      </c>
    </row>
    <row r="69" customFormat="false" ht="18" hidden="false" customHeight="true" outlineLevel="0" collapsed="false">
      <c r="B69" s="143"/>
      <c r="C69" s="144" t="str">
        <f aca="false">DADOS!$T$12</f>
        <v>💊 SAÚDE</v>
      </c>
      <c r="D69" s="145" t="str">
        <f aca="false">IF(despesavariávelconsolidadoanual[[#This Row],[TOTAL]]=0,"",IF(OR(despesavariávelconsolidadoanual[[#This Row],[TOTAL]]=LARGE($Q$60:$Q$72,1),despesavariávelconsolidadoanual[[#This Row],[TOTAL]]=LARGE($Q$60:$Q$72,2),despesavariávelconsolidadoanual[[#This Row],[TOTAL]]=LARGE($Q$60:$Q$72,3),despesavariávelconsolidadoanual[[#This Row],[TOTAL]]=LARGE($Q$60:$Q$72,4),despesavariávelconsolidadoanual[[#This Row],[TOTAL]]=LARGE($Q$60:$Q$72,5)),DADOS!$I$8,""))</f>
        <v/>
      </c>
      <c r="E69" s="148" t="n">
        <f aca="false">despesavariávelconsolidado[[#This Row],[TOTAL]]</f>
        <v>0</v>
      </c>
      <c r="F69" s="119" t="n">
        <f aca="false">despesavariávelconsolidadofev[[#This Row],[TOTAL]]</f>
        <v>0</v>
      </c>
      <c r="G69" s="119" t="n">
        <f aca="false">despesavariávelconsolidadomar[[#This Row],[TOTAL]]</f>
        <v>0</v>
      </c>
      <c r="H69" s="119" t="n">
        <f aca="false">despesavariávelconsolidadoabr[[#This Row],[TOTAL]]</f>
        <v>0</v>
      </c>
      <c r="I69" s="119" t="n">
        <f aca="false">despesavariávelconsolidadomai[[#This Row],[TOTAL]]</f>
        <v>0</v>
      </c>
      <c r="J69" s="119" t="n">
        <f aca="false">despesavariávelconsolidadojun[[#This Row],[TOTAL]]</f>
        <v>0</v>
      </c>
      <c r="K69" s="119" t="n">
        <f aca="false">despesavariávelconsolidadojul[[#This Row],[TOTAL]]</f>
        <v>0</v>
      </c>
      <c r="L69" s="119" t="n">
        <f aca="false">despesavariávelconsolidadoago[[#This Row],[TOTAL]]</f>
        <v>0</v>
      </c>
      <c r="M69" s="119" t="n">
        <f aca="false">despesavariávelconsolidadoset[[#This Row],[TOTAL]]</f>
        <v>0</v>
      </c>
      <c r="N69" s="119" t="n">
        <f aca="false">despesavariávelconsolidadoout[[#This Row],[TOTAL]]</f>
        <v>0</v>
      </c>
      <c r="O69" s="119" t="n">
        <f aca="false">despesavariávelconsolidadonov[[#This Row],[TOTAL]]</f>
        <v>0</v>
      </c>
      <c r="P69" s="119" t="n">
        <f aca="false">despesavariávelconsolidadodez[[#This Row],[TOTAL]]</f>
        <v>0</v>
      </c>
      <c r="Q69" s="149" t="n">
        <f aca="false">SUM(despesavariávelconsolidadoanual[[#This Row],[1]:[12]])</f>
        <v>0</v>
      </c>
      <c r="R69" s="143"/>
      <c r="AH69" s="79"/>
      <c r="AO69" s="117" t="e">
        <f aca="false">SUMIFS(tabela_registros[VALOR],tabela_registros[MÊS],$AE$1,tabela_registros[REGISTRO],DADOS!$N$4,tabela_registros[TIPO],DADOS!$P$4,tabela_registros[CATEGORIA],despesavariávelconsolidadodez[[#This Row],[DESPESA VARIÁVEL]],#REF!,DADOS!$J$4)</f>
        <v>#VALUE!</v>
      </c>
      <c r="AP69" s="117" t="e">
        <f aca="false">SUMIFS(tabela_registros[VALOR],tabela_registros[MÊS],$AE$1,tabela_registros[REGISTRO],DADOS!$N$4,tabela_registros[TIPO],DADOS!$P$4,tabela_registros[CATEGORIA],despesavariávelconsolidadodez[[#This Row],[DESPESA VARIÁVEL]],#REF!,DADOS!$J$3)</f>
        <v>#VALUE!</v>
      </c>
      <c r="AQ69" s="118" t="e">
        <f aca="false">(despesavariávelconsolidadoanual[[#This Row],[TOTAL]]*$AQ$73)/$Q$73</f>
        <v>#DIV/0!</v>
      </c>
    </row>
    <row r="70" customFormat="false" ht="18" hidden="false" customHeight="true" outlineLevel="0" collapsed="false">
      <c r="B70" s="143"/>
      <c r="C70" s="144" t="str">
        <f aca="false">DADOS!$T$13</f>
        <v>🚍 TRANSPORTE</v>
      </c>
      <c r="D70" s="145" t="str">
        <f aca="false">IF(despesavariávelconsolidadoanual[[#This Row],[TOTAL]]=0,"",IF(OR(despesavariávelconsolidadoanual[[#This Row],[TOTAL]]=LARGE($Q$60:$Q$72,1),despesavariávelconsolidadoanual[[#This Row],[TOTAL]]=LARGE($Q$60:$Q$72,2),despesavariávelconsolidadoanual[[#This Row],[TOTAL]]=LARGE($Q$60:$Q$72,3),despesavariávelconsolidadoanual[[#This Row],[TOTAL]]=LARGE($Q$60:$Q$72,4),despesavariávelconsolidadoanual[[#This Row],[TOTAL]]=LARGE($Q$60:$Q$72,5)),DADOS!$I$8,""))</f>
        <v/>
      </c>
      <c r="E70" s="148" t="n">
        <f aca="false">despesavariávelconsolidado[[#This Row],[TOTAL]]</f>
        <v>0</v>
      </c>
      <c r="F70" s="119" t="n">
        <f aca="false">despesavariávelconsolidadofev[[#This Row],[TOTAL]]</f>
        <v>0</v>
      </c>
      <c r="G70" s="119" t="n">
        <f aca="false">despesavariávelconsolidadomar[[#This Row],[TOTAL]]</f>
        <v>0</v>
      </c>
      <c r="H70" s="119" t="n">
        <f aca="false">despesavariávelconsolidadoabr[[#This Row],[TOTAL]]</f>
        <v>0</v>
      </c>
      <c r="I70" s="119" t="n">
        <f aca="false">despesavariávelconsolidadomai[[#This Row],[TOTAL]]</f>
        <v>0</v>
      </c>
      <c r="J70" s="119" t="n">
        <f aca="false">despesavariávelconsolidadojun[[#This Row],[TOTAL]]</f>
        <v>0</v>
      </c>
      <c r="K70" s="119" t="n">
        <f aca="false">despesavariávelconsolidadojul[[#This Row],[TOTAL]]</f>
        <v>0</v>
      </c>
      <c r="L70" s="119" t="n">
        <f aca="false">despesavariávelconsolidadoago[[#This Row],[TOTAL]]</f>
        <v>0</v>
      </c>
      <c r="M70" s="119" t="n">
        <f aca="false">despesavariávelconsolidadoset[[#This Row],[TOTAL]]</f>
        <v>0</v>
      </c>
      <c r="N70" s="119" t="n">
        <f aca="false">despesavariávelconsolidadoout[[#This Row],[TOTAL]]</f>
        <v>0</v>
      </c>
      <c r="O70" s="119" t="n">
        <f aca="false">despesavariávelconsolidadonov[[#This Row],[TOTAL]]</f>
        <v>0</v>
      </c>
      <c r="P70" s="119" t="n">
        <f aca="false">despesavariávelconsolidadodez[[#This Row],[TOTAL]]</f>
        <v>0</v>
      </c>
      <c r="Q70" s="149" t="n">
        <f aca="false">SUM(despesavariávelconsolidadoanual[[#This Row],[1]:[12]])</f>
        <v>0</v>
      </c>
      <c r="R70" s="143"/>
      <c r="AH70" s="79"/>
      <c r="AO70" s="117" t="e">
        <f aca="false">SUMIFS(tabela_registros[VALOR],tabela_registros[MÊS],$AE$1,tabela_registros[REGISTRO],DADOS!$N$4,tabela_registros[TIPO],DADOS!$P$4,tabela_registros[CATEGORIA],despesavariávelconsolidadodez[[#This Row],[DESPESA VARIÁVEL]],#REF!,DADOS!$J$4)</f>
        <v>#VALUE!</v>
      </c>
      <c r="AP70" s="117" t="e">
        <f aca="false">SUMIFS(tabela_registros[VALOR],tabela_registros[MÊS],$AE$1,tabela_registros[REGISTRO],DADOS!$N$4,tabela_registros[TIPO],DADOS!$P$4,tabela_registros[CATEGORIA],despesavariávelconsolidadodez[[#This Row],[DESPESA VARIÁVEL]],#REF!,DADOS!$J$3)</f>
        <v>#VALUE!</v>
      </c>
      <c r="AQ70" s="118" t="e">
        <f aca="false">(despesavariávelconsolidadoanual[[#This Row],[TOTAL]]*$AQ$73)/$Q$73</f>
        <v>#DIV/0!</v>
      </c>
    </row>
    <row r="71" customFormat="false" ht="18" hidden="false" customHeight="true" outlineLevel="0" collapsed="false">
      <c r="B71" s="143"/>
      <c r="C71" s="144" t="str">
        <f aca="false">DADOS!$T$14</f>
        <v>🛍️ VESTUÁRIO</v>
      </c>
      <c r="D71" s="145" t="str">
        <f aca="false">IF(despesavariávelconsolidadoanual[[#This Row],[TOTAL]]=0,"",IF(OR(despesavariávelconsolidadoanual[[#This Row],[TOTAL]]=LARGE($Q$60:$Q$72,1),despesavariávelconsolidadoanual[[#This Row],[TOTAL]]=LARGE($Q$60:$Q$72,2),despesavariávelconsolidadoanual[[#This Row],[TOTAL]]=LARGE($Q$60:$Q$72,3),despesavariávelconsolidadoanual[[#This Row],[TOTAL]]=LARGE($Q$60:$Q$72,4),despesavariávelconsolidadoanual[[#This Row],[TOTAL]]=LARGE($Q$60:$Q$72,5)),DADOS!$I$8,""))</f>
        <v/>
      </c>
      <c r="E71" s="148" t="n">
        <f aca="false">despesavariávelconsolidado[[#This Row],[TOTAL]]</f>
        <v>0</v>
      </c>
      <c r="F71" s="119" t="n">
        <f aca="false">despesavariávelconsolidadofev[[#This Row],[TOTAL]]</f>
        <v>0</v>
      </c>
      <c r="G71" s="119" t="n">
        <f aca="false">despesavariávelconsolidadomar[[#This Row],[TOTAL]]</f>
        <v>0</v>
      </c>
      <c r="H71" s="119" t="n">
        <f aca="false">despesavariávelconsolidadoabr[[#This Row],[TOTAL]]</f>
        <v>0</v>
      </c>
      <c r="I71" s="119" t="n">
        <f aca="false">despesavariávelconsolidadomai[[#This Row],[TOTAL]]</f>
        <v>0</v>
      </c>
      <c r="J71" s="119" t="n">
        <f aca="false">despesavariávelconsolidadojun[[#This Row],[TOTAL]]</f>
        <v>0</v>
      </c>
      <c r="K71" s="119" t="n">
        <f aca="false">despesavariávelconsolidadojul[[#This Row],[TOTAL]]</f>
        <v>0</v>
      </c>
      <c r="L71" s="119" t="n">
        <f aca="false">despesavariávelconsolidadoago[[#This Row],[TOTAL]]</f>
        <v>0</v>
      </c>
      <c r="M71" s="119" t="n">
        <f aca="false">despesavariávelconsolidadoset[[#This Row],[TOTAL]]</f>
        <v>0</v>
      </c>
      <c r="N71" s="119" t="n">
        <f aca="false">despesavariávelconsolidadoout[[#This Row],[TOTAL]]</f>
        <v>0</v>
      </c>
      <c r="O71" s="119" t="n">
        <f aca="false">despesavariávelconsolidadonov[[#This Row],[TOTAL]]</f>
        <v>0</v>
      </c>
      <c r="P71" s="119" t="n">
        <f aca="false">despesavariávelconsolidadodez[[#This Row],[TOTAL]]</f>
        <v>0</v>
      </c>
      <c r="Q71" s="149" t="n">
        <f aca="false">SUM(despesavariávelconsolidadoanual[[#This Row],[1]:[12]])</f>
        <v>0</v>
      </c>
      <c r="R71" s="143"/>
      <c r="AH71" s="79"/>
      <c r="AO71" s="117" t="e">
        <f aca="false">SUMIFS(tabela_registros[VALOR],tabela_registros[MÊS],$AE$1,tabela_registros[REGISTRO],DADOS!$N$4,tabela_registros[TIPO],DADOS!$P$4,tabela_registros[CATEGORIA],despesavariávelconsolidadodez[[#This Row],[DESPESA VARIÁVEL]],#REF!,DADOS!$J$4)</f>
        <v>#VALUE!</v>
      </c>
      <c r="AP71" s="117" t="e">
        <f aca="false">SUMIFS(tabela_registros[VALOR],tabela_registros[MÊS],$AE$1,tabela_registros[REGISTRO],DADOS!$N$4,tabela_registros[TIPO],DADOS!$P$4,tabela_registros[CATEGORIA],despesavariávelconsolidadodez[[#This Row],[DESPESA VARIÁVEL]],#REF!,DADOS!$J$3)</f>
        <v>#VALUE!</v>
      </c>
      <c r="AQ71" s="118" t="e">
        <f aca="false">(despesavariávelconsolidadoanual[[#This Row],[TOTAL]]*$AQ$73)/$Q$73</f>
        <v>#DIV/0!</v>
      </c>
    </row>
    <row r="72" customFormat="false" ht="18" hidden="false" customHeight="true" outlineLevel="0" collapsed="false">
      <c r="B72" s="143"/>
      <c r="C72" s="144" t="str">
        <f aca="false">DADOS!$T$15</f>
        <v>📎 OUTROS</v>
      </c>
      <c r="D72" s="145" t="str">
        <f aca="false">IF(despesavariávelconsolidadoanual[[#This Row],[TOTAL]]=0,"",IF(OR(despesavariávelconsolidadoanual[[#This Row],[TOTAL]]=LARGE($Q$60:$Q$72,1),despesavariávelconsolidadoanual[[#This Row],[TOTAL]]=LARGE($Q$60:$Q$72,2),despesavariávelconsolidadoanual[[#This Row],[TOTAL]]=LARGE($Q$60:$Q$72,3),despesavariávelconsolidadoanual[[#This Row],[TOTAL]]=LARGE($Q$60:$Q$72,4),despesavariávelconsolidadoanual[[#This Row],[TOTAL]]=LARGE($Q$60:$Q$72,5)),DADOS!$I$8,""))</f>
        <v/>
      </c>
      <c r="E72" s="148" t="n">
        <f aca="false">despesavariávelconsolidado[[#This Row],[TOTAL]]</f>
        <v>0</v>
      </c>
      <c r="F72" s="119" t="n">
        <f aca="false">despesavariávelconsolidadofev[[#This Row],[TOTAL]]</f>
        <v>0</v>
      </c>
      <c r="G72" s="119" t="n">
        <f aca="false">despesavariávelconsolidadomar[[#This Row],[TOTAL]]</f>
        <v>0</v>
      </c>
      <c r="H72" s="119" t="n">
        <f aca="false">despesavariávelconsolidadoabr[[#This Row],[TOTAL]]</f>
        <v>0</v>
      </c>
      <c r="I72" s="119" t="n">
        <f aca="false">despesavariávelconsolidadomai[[#This Row],[TOTAL]]</f>
        <v>0</v>
      </c>
      <c r="J72" s="119" t="n">
        <f aca="false">despesavariávelconsolidadojun[[#This Row],[TOTAL]]</f>
        <v>0</v>
      </c>
      <c r="K72" s="119" t="n">
        <f aca="false">despesavariávelconsolidadojul[[#This Row],[TOTAL]]</f>
        <v>0</v>
      </c>
      <c r="L72" s="119" t="n">
        <f aca="false">despesavariávelconsolidadoago[[#This Row],[TOTAL]]</f>
        <v>0</v>
      </c>
      <c r="M72" s="119" t="n">
        <f aca="false">despesavariávelconsolidadoset[[#This Row],[TOTAL]]</f>
        <v>0</v>
      </c>
      <c r="N72" s="119" t="n">
        <f aca="false">despesavariávelconsolidadoout[[#This Row],[TOTAL]]</f>
        <v>0</v>
      </c>
      <c r="O72" s="119" t="n">
        <f aca="false">despesavariávelconsolidadonov[[#This Row],[TOTAL]]</f>
        <v>0</v>
      </c>
      <c r="P72" s="119" t="n">
        <f aca="false">despesavariávelconsolidadodez[[#This Row],[TOTAL]]</f>
        <v>0</v>
      </c>
      <c r="Q72" s="149" t="n">
        <f aca="false">SUM(despesavariávelconsolidadoanual[[#This Row],[1]:[12]])</f>
        <v>0</v>
      </c>
      <c r="R72" s="143"/>
      <c r="AH72" s="79"/>
      <c r="AN72" s="79" t="s">
        <v>78</v>
      </c>
      <c r="AO72" s="117" t="e">
        <f aca="false">SUMIFS(tabela_registros[VALOR],tabela_registros[MÊS],$AE$1,tabela_registros[REGISTRO],DADOS!$N$4,tabela_registros[TIPO],DADOS!$P$4,tabela_registros[CATEGORIA],despesavariávelconsolidadodez[[#This Row],[DESPESA VARIÁVEL]],#REF!,DADOS!$J$4)</f>
        <v>#VALUE!</v>
      </c>
      <c r="AP72" s="117" t="e">
        <f aca="false">SUMIFS(tabela_registros[VALOR],tabela_registros[MÊS],$AE$1,tabela_registros[REGISTRO],DADOS!$N$4,tabela_registros[TIPO],DADOS!$P$4,tabela_registros[CATEGORIA],despesavariávelconsolidadodez[[#This Row],[DESPESA VARIÁVEL]],#REF!,DADOS!$J$3)</f>
        <v>#VALUE!</v>
      </c>
      <c r="AQ72" s="118" t="e">
        <f aca="false">(despesavariávelconsolidadoanual[[#This Row],[TOTAL]]*$AQ$73)/$Q$73</f>
        <v>#DIV/0!</v>
      </c>
    </row>
    <row r="73" s="130" customFormat="true" ht="21" hidden="false" customHeight="true" outlineLevel="0" collapsed="false">
      <c r="A73" s="122"/>
      <c r="B73" s="152"/>
      <c r="C73" s="153" t="s">
        <v>2</v>
      </c>
      <c r="D73" s="154" t="str">
        <f aca="false">IF(despesavariávelconsolidadoanual[[#This Row],[TOTAL]]=0,"",IF(OR(despesavariávelconsolidadoanual[[#This Row],[TOTAL]]=SMALL(despesavariávelconsolidadoanual[TOTAL],1),despesavariávelconsolidadoanual[[#This Row],[TOTAL]]=SMALL(despesavariávelconsolidadoanual[TOTAL],2),despesavariávelconsolidadoanual[[#This Row],[TOTAL]]=SMALL(despesavariávelconsolidadoanual[TOTAL],3),despesavariávelconsolidadoanual[[#This Row],[TOTAL]]=SMALL(despesavariávelconsolidadoanual[TOTAL],4),despesavariávelconsolidadoanual[[#This Row],[TOTAL]]=SMALL(despesavariávelconsolidadoanual[TOTAL],5)),DADOS!$I$8,""))</f>
        <v/>
      </c>
      <c r="E73" s="155" t="n">
        <f aca="false">despesavariávelconsolidado[[#This Row],[TOTAL]]</f>
        <v>0</v>
      </c>
      <c r="F73" s="156" t="n">
        <f aca="false">despesavariávelconsolidadofev[[#This Row],[TOTAL]]+despesavariávelconsolidadoanual[[#This Row],[1]]</f>
        <v>0</v>
      </c>
      <c r="G73" s="156" t="n">
        <f aca="false">despesavariávelconsolidadomar[[#This Row],[TOTAL]]+despesavariávelconsolidadoanual[[#This Row],[2]]</f>
        <v>0</v>
      </c>
      <c r="H73" s="156" t="n">
        <f aca="false">despesavariávelconsolidadoabr[[#This Row],[TOTAL]]+despesavariávelconsolidadoanual[[#This Row],[3]]</f>
        <v>0</v>
      </c>
      <c r="I73" s="156" t="n">
        <f aca="false">despesavariávelconsolidadomai[[#This Row],[TOTAL]]+despesavariávelconsolidadoanual[[#This Row],[4]]</f>
        <v>0</v>
      </c>
      <c r="J73" s="156" t="n">
        <f aca="false">despesavariávelconsolidadojun[[#This Row],[TOTAL]]+despesavariávelconsolidadoanual[[#This Row],[5]]</f>
        <v>0</v>
      </c>
      <c r="K73" s="156" t="n">
        <f aca="false">despesavariávelconsolidadojul[[#This Row],[TOTAL]]+despesavariávelconsolidadoanual[[#This Row],[6]]</f>
        <v>0</v>
      </c>
      <c r="L73" s="156" t="n">
        <f aca="false">despesavariávelconsolidadoago[[#This Row],[TOTAL]]+despesavariávelconsolidadoanual[[#This Row],[7]]</f>
        <v>0</v>
      </c>
      <c r="M73" s="156" t="n">
        <f aca="false">despesavariávelconsolidadoset[[#This Row],[TOTAL]]+despesavariávelconsolidadoanual[[#This Row],[8]]</f>
        <v>0</v>
      </c>
      <c r="N73" s="156" t="n">
        <f aca="false">despesavariávelconsolidadoout[[#This Row],[TOTAL]]+despesavariávelconsolidadoanual[[#This Row],[9]]</f>
        <v>0</v>
      </c>
      <c r="O73" s="156" t="n">
        <f aca="false">despesavariávelconsolidadonov[[#This Row],[TOTAL]]+despesavariávelconsolidadoanual[[#This Row],[10]]</f>
        <v>0</v>
      </c>
      <c r="P73" s="156" t="n">
        <f aca="false">despesavariávelconsolidadodez[[#This Row],[TOTAL]]+despesavariávelconsolidadoanual[[#This Row],[11]]</f>
        <v>0</v>
      </c>
      <c r="Q73" s="157" t="n">
        <f aca="false">despesavariávelconsolidadoanual[[#This Row],[12]]</f>
        <v>0</v>
      </c>
      <c r="R73" s="158"/>
      <c r="S73" s="78"/>
      <c r="T73" s="78"/>
      <c r="U73" s="78"/>
      <c r="V73" s="78"/>
      <c r="W73" s="78"/>
      <c r="X73" s="78"/>
      <c r="Y73" s="78"/>
      <c r="Z73" s="78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N73" s="132" t="e">
        <f aca="false">despesavariávelconsolidadoanual[[#This Row],[TOTAL]]/$Q$15</f>
        <v>#DIV/0!</v>
      </c>
      <c r="AO73" s="131" t="e">
        <f aca="false">SUM(AO60:AO72)</f>
        <v>#VALUE!</v>
      </c>
      <c r="AP73" s="131" t="e">
        <f aca="false">SUM(AP60:AP72)</f>
        <v>#VALUE!</v>
      </c>
      <c r="AQ73" s="118" t="n">
        <f aca="false">1</f>
        <v>1</v>
      </c>
    </row>
    <row r="74" customFormat="false" ht="6.75" hidden="false" customHeight="true" outlineLevel="0" collapsed="false">
      <c r="B74" s="97"/>
      <c r="C74" s="159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97"/>
      <c r="AH74" s="79"/>
    </row>
    <row r="75" customFormat="false" ht="12.75" hidden="false" customHeight="false" outlineLevel="0" collapsed="false">
      <c r="E75" s="100"/>
      <c r="AH75" s="79"/>
    </row>
    <row r="76" customFormat="false" ht="12" hidden="false" customHeight="false" outlineLevel="0" collapsed="false">
      <c r="AH76" s="79"/>
    </row>
    <row r="77" customFormat="false" ht="12" hidden="false" customHeight="false" outlineLevel="0" collapsed="false">
      <c r="AH77" s="79"/>
    </row>
    <row r="78" customFormat="false" ht="39.75" hidden="false" customHeight="true" outlineLevel="0" collapsed="false">
      <c r="C78" s="101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3" t="s">
        <v>2</v>
      </c>
      <c r="R78" s="104"/>
      <c r="AH78" s="79"/>
    </row>
    <row r="79" customFormat="false" ht="12.75" hidden="false" customHeight="false" outlineLevel="0" collapsed="false">
      <c r="B79" s="161"/>
      <c r="Q79" s="106" t="s">
        <v>64</v>
      </c>
      <c r="AH79" s="79"/>
    </row>
    <row r="80" customFormat="false" ht="6.75" hidden="false" customHeight="true" outlineLevel="0" collapsed="false">
      <c r="B80" s="86"/>
      <c r="C80" s="162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4"/>
      <c r="AH80" s="79"/>
      <c r="AO80" s="108" t="s">
        <v>65</v>
      </c>
      <c r="AP80" s="108" t="s">
        <v>66</v>
      </c>
      <c r="AQ80" s="108" t="s">
        <v>67</v>
      </c>
    </row>
    <row r="81" customFormat="false" ht="13.5" hidden="true" customHeight="false" outlineLevel="0" collapsed="false">
      <c r="B81" s="86"/>
      <c r="C81" s="109" t="s">
        <v>68</v>
      </c>
      <c r="D81" s="110" t="s">
        <v>69</v>
      </c>
      <c r="E81" s="110" t="s">
        <v>30</v>
      </c>
      <c r="F81" s="110" t="s">
        <v>31</v>
      </c>
      <c r="G81" s="110" t="s">
        <v>32</v>
      </c>
      <c r="H81" s="110" t="s">
        <v>33</v>
      </c>
      <c r="I81" s="110" t="s">
        <v>34</v>
      </c>
      <c r="J81" s="110" t="s">
        <v>35</v>
      </c>
      <c r="K81" s="110" t="s">
        <v>36</v>
      </c>
      <c r="L81" s="110" t="s">
        <v>37</v>
      </c>
      <c r="M81" s="110" t="s">
        <v>38</v>
      </c>
      <c r="N81" s="110" t="s">
        <v>39</v>
      </c>
      <c r="O81" s="110" t="s">
        <v>40</v>
      </c>
      <c r="P81" s="110" t="s">
        <v>41</v>
      </c>
      <c r="Q81" s="111" t="s">
        <v>70</v>
      </c>
      <c r="R81" s="143"/>
      <c r="V81" s="78" t="n">
        <v>5555</v>
      </c>
      <c r="AH81" s="79"/>
    </row>
    <row r="82" customFormat="false" ht="19.5" hidden="false" customHeight="true" outlineLevel="0" collapsed="false">
      <c r="B82" s="143"/>
      <c r="C82" s="144" t="str">
        <f aca="false">DADOS!$X$3</f>
        <v>💵 ALUGUEL</v>
      </c>
      <c r="D82" s="145" t="str">
        <f aca="false">IF(receitasfixasconsolidadoanual[[#This Row],[TOTAL (R$)]]=0,"",IF(OR(receitasfixasconsolidadoanual[[#This Row],[TOTAL (R$)]]=LARGE($Q$82:$Q$86,1),receitasfixasconsolidadoanual[[#This Row],[TOTAL (R$)]]=LARGE($Q$82:$Q$86,2)),DADOS!$I$9,""))</f>
        <v/>
      </c>
      <c r="E82" s="146" t="n">
        <f aca="false">receitasfixasconsolidado[[#This Row],[TOTAL (R$)]]</f>
        <v>0</v>
      </c>
      <c r="F82" s="114" t="n">
        <f aca="false">receitasfixasconsolidadofev[[#This Row],[TOTAL (R$)]]</f>
        <v>0</v>
      </c>
      <c r="G82" s="114" t="n">
        <f aca="false">receitasfixasconsolidadomar[[#This Row],[TOTAL (R$)]]</f>
        <v>0</v>
      </c>
      <c r="H82" s="114" t="n">
        <f aca="false">receitasfixasconsolidadoabr[[#This Row],[TOTAL (R$)]]</f>
        <v>0</v>
      </c>
      <c r="I82" s="114" t="n">
        <f aca="false">receitasfixasconsolidadomai[[#This Row],[TOTAL (R$)]]</f>
        <v>0</v>
      </c>
      <c r="J82" s="114" t="n">
        <f aca="false">receitasfixasconsolidadojun[[#This Row],[TOTAL (R$)]]</f>
        <v>0</v>
      </c>
      <c r="K82" s="114" t="n">
        <f aca="false">receitasfixasconsolidadojul[[#This Row],[TOTAL (R$)]]</f>
        <v>0</v>
      </c>
      <c r="L82" s="114" t="n">
        <f aca="false">receitasfixasconsolidadoago[[#This Row],[TOTAL (R$)]]</f>
        <v>0</v>
      </c>
      <c r="M82" s="114" t="n">
        <f aca="false">receitasfixasconsolidadoset[[#This Row],[TOTAL (R$)]]</f>
        <v>0</v>
      </c>
      <c r="N82" s="114" t="n">
        <f aca="false">receitasfixasconsolidadoout[[#This Row],[TOTAL (R$)]]</f>
        <v>0</v>
      </c>
      <c r="O82" s="114" t="n">
        <f aca="false">receitasfixasconsolidadonov[[#This Row],[TOTAL (R$)]]</f>
        <v>0</v>
      </c>
      <c r="P82" s="114" t="n">
        <f aca="false">receitasfixasconsolidadodez[[#This Row],[TOTAL (R$)]]</f>
        <v>0</v>
      </c>
      <c r="Q82" s="149" t="n">
        <f aca="false">SUM(receitasfixasconsolidadoanual[[#This Row],[1]:[12]])</f>
        <v>0</v>
      </c>
      <c r="R82" s="165"/>
      <c r="AH82" s="79"/>
      <c r="AO82" s="117" t="e">
        <f aca="false">SUMIFS(tabela_registros[VALOR],tabela_registros[MÊS],$AE$1,tabela_registros[REGISTRO],DADOS!$N$3,tabela_registros[TIPO],DADOS!$V$3,tabela_registros[CATEGORIA],receitasfixasconsolidadodez[[#This Row],[ATUAL]],#REF!,DADOS!$J$4)</f>
        <v>#VALUE!</v>
      </c>
      <c r="AP82" s="117" t="e">
        <f aca="false">SUMIFS(tabela_registros[VALOR],tabela_registros[MÊS],$AE$1,tabela_registros[REGISTRO],DADOS!$N$3,tabela_registros[TIPO],DADOS!$V$3,tabela_registros[CATEGORIA],receitasfixasconsolidadodez[[#This Row],[ATUAL]],#REF!,DADOS!$J$3)</f>
        <v>#VALUE!</v>
      </c>
      <c r="AQ82" s="118" t="e">
        <f aca="false">(receitasfixasconsolidadoanual[[#This Row],[TOTAL (R$)]]*$AQ$87)/$Q$87</f>
        <v>#DIV/0!</v>
      </c>
    </row>
    <row r="83" customFormat="false" ht="19.5" hidden="false" customHeight="true" outlineLevel="0" collapsed="false">
      <c r="B83" s="143"/>
      <c r="C83" s="144" t="str">
        <f aca="false">DADOS!$X$4</f>
        <v>💸APOSENTADORIA</v>
      </c>
      <c r="D83" s="145" t="str">
        <f aca="false">IF(receitasfixasconsolidadoanual[[#This Row],[TOTAL (R$)]]=0,"",IF(OR(receitasfixasconsolidadoanual[[#This Row],[TOTAL (R$)]]=LARGE($Q$82:$Q$86,1),receitasfixasconsolidadoanual[[#This Row],[TOTAL (R$)]]=LARGE($Q$82:$Q$86,2)),DADOS!$I$9,""))</f>
        <v/>
      </c>
      <c r="E83" s="148" t="n">
        <f aca="false">receitasfixasconsolidado[[#This Row],[TOTAL (R$)]]</f>
        <v>0</v>
      </c>
      <c r="F83" s="119" t="n">
        <f aca="false">receitasfixasconsolidadofev[[#This Row],[TOTAL (R$)]]</f>
        <v>0</v>
      </c>
      <c r="G83" s="119" t="n">
        <f aca="false">receitasfixasconsolidadomar[[#This Row],[TOTAL (R$)]]</f>
        <v>0</v>
      </c>
      <c r="H83" s="119" t="n">
        <f aca="false">receitasfixasconsolidadoabr[[#This Row],[TOTAL (R$)]]</f>
        <v>0</v>
      </c>
      <c r="I83" s="119" t="n">
        <f aca="false">receitasfixasconsolidadomai[[#This Row],[TOTAL (R$)]]</f>
        <v>0</v>
      </c>
      <c r="J83" s="119" t="n">
        <f aca="false">receitasfixasconsolidadojun[[#This Row],[TOTAL (R$)]]</f>
        <v>0</v>
      </c>
      <c r="K83" s="119" t="n">
        <f aca="false">receitasfixasconsolidadojul[[#This Row],[TOTAL (R$)]]</f>
        <v>0</v>
      </c>
      <c r="L83" s="119" t="n">
        <f aca="false">receitasfixasconsolidadoago[[#This Row],[TOTAL (R$)]]</f>
        <v>0</v>
      </c>
      <c r="M83" s="119" t="n">
        <f aca="false">receitasfixasconsolidadoset[[#This Row],[TOTAL (R$)]]</f>
        <v>0</v>
      </c>
      <c r="N83" s="119" t="n">
        <f aca="false">receitasfixasconsolidadoout[[#This Row],[TOTAL (R$)]]</f>
        <v>0</v>
      </c>
      <c r="O83" s="119" t="n">
        <f aca="false">receitasfixasconsolidadonov[[#This Row],[TOTAL (R$)]]</f>
        <v>0</v>
      </c>
      <c r="P83" s="119" t="n">
        <f aca="false">receitasfixasconsolidadodez[[#This Row],[TOTAL (R$)]]</f>
        <v>0</v>
      </c>
      <c r="Q83" s="149" t="n">
        <f aca="false">SUM(receitasfixasconsolidadoanual[[#This Row],[1]:[12]])</f>
        <v>0</v>
      </c>
      <c r="R83" s="165"/>
      <c r="AH83" s="79"/>
      <c r="AO83" s="117" t="e">
        <f aca="false">SUMIFS(tabela_registros[VALOR],tabela_registros[MÊS],$AE$1,tabela_registros[REGISTRO],DADOS!$N$3,tabela_registros[TIPO],DADOS!$V$3,tabela_registros[CATEGORIA],receitasfixasconsolidadodez[[#This Row],[ATUAL]],#REF!,DADOS!$J$4)</f>
        <v>#VALUE!</v>
      </c>
      <c r="AP83" s="117" t="e">
        <f aca="false">SUMIFS(tabela_registros[VALOR],tabela_registros[MÊS],$AE$1,tabela_registros[REGISTRO],DADOS!$N$3,tabela_registros[TIPO],DADOS!$V$3,tabela_registros[CATEGORIA],receitasfixasconsolidadodez[[#This Row],[ATUAL]],#REF!,DADOS!$J$3)</f>
        <v>#VALUE!</v>
      </c>
      <c r="AQ83" s="118" t="e">
        <f aca="false">(receitasfixasconsolidadoanual[[#This Row],[TOTAL (R$)]]*$AQ$87)/$Q$87</f>
        <v>#DIV/0!</v>
      </c>
    </row>
    <row r="84" customFormat="false" ht="19.5" hidden="false" customHeight="true" outlineLevel="0" collapsed="false">
      <c r="B84" s="143"/>
      <c r="C84" s="144" t="str">
        <f aca="false">DADOS!$X$5</f>
        <v>🎀 MESADA</v>
      </c>
      <c r="D84" s="145" t="str">
        <f aca="false">IF(receitasfixasconsolidadoanual[[#This Row],[TOTAL (R$)]]=0,"",IF(OR(receitasfixasconsolidadoanual[[#This Row],[TOTAL (R$)]]=LARGE($Q$82:$Q$86,1),receitasfixasconsolidadoanual[[#This Row],[TOTAL (R$)]]=LARGE($Q$82:$Q$86,2)),DADOS!$I$9,""))</f>
        <v/>
      </c>
      <c r="E84" s="148" t="n">
        <f aca="false">receitasfixasconsolidado[[#This Row],[TOTAL (R$)]]</f>
        <v>0</v>
      </c>
      <c r="F84" s="119" t="n">
        <f aca="false">receitasfixasconsolidadofev[[#This Row],[TOTAL (R$)]]</f>
        <v>0</v>
      </c>
      <c r="G84" s="119" t="n">
        <f aca="false">receitasfixasconsolidadomar[[#This Row],[TOTAL (R$)]]</f>
        <v>0</v>
      </c>
      <c r="H84" s="119" t="n">
        <f aca="false">receitasfixasconsolidadoabr[[#This Row],[TOTAL (R$)]]</f>
        <v>0</v>
      </c>
      <c r="I84" s="119" t="n">
        <f aca="false">receitasfixasconsolidadomai[[#This Row],[TOTAL (R$)]]</f>
        <v>0</v>
      </c>
      <c r="J84" s="119" t="n">
        <f aca="false">receitasfixasconsolidadojun[[#This Row],[TOTAL (R$)]]</f>
        <v>0</v>
      </c>
      <c r="K84" s="119" t="n">
        <f aca="false">receitasfixasconsolidadojul[[#This Row],[TOTAL (R$)]]</f>
        <v>0</v>
      </c>
      <c r="L84" s="119" t="n">
        <f aca="false">receitasfixasconsolidadoago[[#This Row],[TOTAL (R$)]]</f>
        <v>0</v>
      </c>
      <c r="M84" s="119" t="n">
        <f aca="false">receitasfixasconsolidadoset[[#This Row],[TOTAL (R$)]]</f>
        <v>0</v>
      </c>
      <c r="N84" s="119" t="n">
        <f aca="false">receitasfixasconsolidadoout[[#This Row],[TOTAL (R$)]]</f>
        <v>0</v>
      </c>
      <c r="O84" s="119" t="n">
        <f aca="false">receitasfixasconsolidadonov[[#This Row],[TOTAL (R$)]]</f>
        <v>0</v>
      </c>
      <c r="P84" s="119" t="n">
        <f aca="false">receitasfixasconsolidadodez[[#This Row],[TOTAL (R$)]]</f>
        <v>0</v>
      </c>
      <c r="Q84" s="149" t="n">
        <f aca="false">SUM(receitasfixasconsolidadoanual[[#This Row],[1]:[12]])</f>
        <v>0</v>
      </c>
      <c r="R84" s="165"/>
      <c r="AH84" s="79"/>
      <c r="AO84" s="117" t="e">
        <f aca="false">SUMIFS(tabela_registros[VALOR],tabela_registros[MÊS],$AE$1,tabela_registros[REGISTRO],DADOS!$N$3,tabela_registros[TIPO],DADOS!$V$3,tabela_registros[CATEGORIA],receitasfixasconsolidadodez[[#This Row],[ATUAL]],#REF!,DADOS!$J$4)</f>
        <v>#VALUE!</v>
      </c>
      <c r="AP84" s="117" t="e">
        <f aca="false">SUMIFS(tabela_registros[VALOR],tabela_registros[MÊS],$AE$1,tabela_registros[REGISTRO],DADOS!$N$3,tabela_registros[TIPO],DADOS!$V$3,tabela_registros[CATEGORIA],receitasfixasconsolidadodez[[#This Row],[ATUAL]],#REF!,DADOS!$J$3)</f>
        <v>#VALUE!</v>
      </c>
      <c r="AQ84" s="118" t="e">
        <f aca="false">(receitasfixasconsolidadoanual[[#This Row],[TOTAL (R$)]]*$AQ$87)/$Q$87</f>
        <v>#DIV/0!</v>
      </c>
    </row>
    <row r="85" customFormat="false" ht="19.5" hidden="false" customHeight="true" outlineLevel="0" collapsed="false">
      <c r="B85" s="143"/>
      <c r="C85" s="144" t="str">
        <f aca="false">DADOS!$X$6</f>
        <v>💰 SALÁRIO</v>
      </c>
      <c r="D85" s="145" t="str">
        <f aca="false">IF(receitasfixasconsolidadoanual[[#This Row],[TOTAL (R$)]]=0,"",IF(OR(receitasfixasconsolidadoanual[[#This Row],[TOTAL (R$)]]=LARGE($Q$82:$Q$86,1),receitasfixasconsolidadoanual[[#This Row],[TOTAL (R$)]]=LARGE($Q$82:$Q$86,2)),DADOS!$I$9,""))</f>
        <v/>
      </c>
      <c r="E85" s="148" t="n">
        <f aca="false">receitasfixasconsolidado[[#This Row],[TOTAL (R$)]]</f>
        <v>0</v>
      </c>
      <c r="F85" s="119" t="n">
        <f aca="false">receitasfixasconsolidadofev[[#This Row],[TOTAL (R$)]]</f>
        <v>0</v>
      </c>
      <c r="G85" s="119" t="n">
        <f aca="false">receitasfixasconsolidadomar[[#This Row],[TOTAL (R$)]]</f>
        <v>0</v>
      </c>
      <c r="H85" s="119" t="n">
        <f aca="false">receitasfixasconsolidadoabr[[#This Row],[TOTAL (R$)]]</f>
        <v>0</v>
      </c>
      <c r="I85" s="119" t="n">
        <f aca="false">receitasfixasconsolidadomai[[#This Row],[TOTAL (R$)]]</f>
        <v>0</v>
      </c>
      <c r="J85" s="119" t="n">
        <f aca="false">receitasfixasconsolidadojun[[#This Row],[TOTAL (R$)]]</f>
        <v>0</v>
      </c>
      <c r="K85" s="119" t="n">
        <f aca="false">receitasfixasconsolidadojul[[#This Row],[TOTAL (R$)]]</f>
        <v>0</v>
      </c>
      <c r="L85" s="119" t="n">
        <f aca="false">receitasfixasconsolidadoago[[#This Row],[TOTAL (R$)]]</f>
        <v>0</v>
      </c>
      <c r="M85" s="119" t="n">
        <f aca="false">receitasfixasconsolidadoset[[#This Row],[TOTAL (R$)]]</f>
        <v>0</v>
      </c>
      <c r="N85" s="119" t="n">
        <f aca="false">receitasfixasconsolidadoout[[#This Row],[TOTAL (R$)]]</f>
        <v>0</v>
      </c>
      <c r="O85" s="119" t="n">
        <f aca="false">receitasfixasconsolidadonov[[#This Row],[TOTAL (R$)]]</f>
        <v>0</v>
      </c>
      <c r="P85" s="119" t="n">
        <f aca="false">receitasfixasconsolidadodez[[#This Row],[TOTAL (R$)]]</f>
        <v>0</v>
      </c>
      <c r="Q85" s="149" t="n">
        <f aca="false">SUM(receitasfixasconsolidadoanual[[#This Row],[1]:[12]])</f>
        <v>0</v>
      </c>
      <c r="R85" s="165"/>
      <c r="AH85" s="79"/>
      <c r="AO85" s="117" t="e">
        <f aca="false">SUMIFS(tabela_registros[VALOR],tabela_registros[MÊS],$AE$1,tabela_registros[REGISTRO],DADOS!$N$3,tabela_registros[TIPO],DADOS!$V$3,tabela_registros[CATEGORIA],receitasfixasconsolidadodez[[#This Row],[ATUAL]],#REF!,DADOS!$J$4)</f>
        <v>#VALUE!</v>
      </c>
      <c r="AP85" s="117" t="e">
        <f aca="false">SUMIFS(tabela_registros[VALOR],tabela_registros[MÊS],$AE$1,tabela_registros[REGISTRO],DADOS!$N$3,tabela_registros[TIPO],DADOS!$V$3,tabela_registros[CATEGORIA],receitasfixasconsolidadodez[[#This Row],[ATUAL]],#REF!,DADOS!$J$3)</f>
        <v>#VALUE!</v>
      </c>
      <c r="AQ85" s="118" t="e">
        <f aca="false">(receitasfixasconsolidadoanual[[#This Row],[TOTAL (R$)]]*$AQ$87)/$Q$87</f>
        <v>#DIV/0!</v>
      </c>
    </row>
    <row r="86" customFormat="false" ht="18" hidden="false" customHeight="true" outlineLevel="0" collapsed="false">
      <c r="B86" s="143"/>
      <c r="C86" s="144" t="str">
        <f aca="false">DADOS!$X$7</f>
        <v>📎 OUTROS</v>
      </c>
      <c r="D86" s="145" t="str">
        <f aca="false">IF(receitasfixasconsolidadoanual[[#This Row],[TOTAL (R$)]]=0,"",IF(OR(receitasfixasconsolidadoanual[[#This Row],[TOTAL (R$)]]=LARGE($Q$82:$Q$86,1),receitasfixasconsolidadoanual[[#This Row],[TOTAL (R$)]]=LARGE($Q$82:$Q$86,2)),DADOS!$I$9,""))</f>
        <v/>
      </c>
      <c r="E86" s="148" t="n">
        <f aca="false">receitasfixasconsolidado[[#This Row],[TOTAL (R$)]]</f>
        <v>0</v>
      </c>
      <c r="F86" s="119" t="n">
        <f aca="false">receitasfixasconsolidadofev[[#This Row],[TOTAL (R$)]]</f>
        <v>0</v>
      </c>
      <c r="G86" s="119" t="n">
        <f aca="false">receitasfixasconsolidadomar[[#This Row],[TOTAL (R$)]]</f>
        <v>0</v>
      </c>
      <c r="H86" s="119" t="n">
        <f aca="false">receitasfixasconsolidadoabr[[#This Row],[TOTAL (R$)]]</f>
        <v>0</v>
      </c>
      <c r="I86" s="119" t="n">
        <f aca="false">receitasfixasconsolidadomai[[#This Row],[TOTAL (R$)]]</f>
        <v>0</v>
      </c>
      <c r="J86" s="119" t="n">
        <f aca="false">receitasfixasconsolidadojun[[#This Row],[TOTAL (R$)]]</f>
        <v>0</v>
      </c>
      <c r="K86" s="119" t="n">
        <f aca="false">receitasfixasconsolidadojul[[#This Row],[TOTAL (R$)]]</f>
        <v>0</v>
      </c>
      <c r="L86" s="119" t="n">
        <f aca="false">receitasfixasconsolidadoago[[#This Row],[TOTAL (R$)]]</f>
        <v>0</v>
      </c>
      <c r="M86" s="119" t="n">
        <f aca="false">receitasfixasconsolidadoset[[#This Row],[TOTAL (R$)]]</f>
        <v>0</v>
      </c>
      <c r="N86" s="119" t="n">
        <f aca="false">receitasfixasconsolidadoout[[#This Row],[TOTAL (R$)]]</f>
        <v>0</v>
      </c>
      <c r="O86" s="119" t="n">
        <f aca="false">receitasfixasconsolidadonov[[#This Row],[TOTAL (R$)]]</f>
        <v>0</v>
      </c>
      <c r="P86" s="119" t="n">
        <f aca="false">receitasfixasconsolidadodez[[#This Row],[TOTAL (R$)]]</f>
        <v>0</v>
      </c>
      <c r="Q86" s="149" t="n">
        <f aca="false">SUM(receitasfixasconsolidadoanual[[#This Row],[1]:[12]])</f>
        <v>0</v>
      </c>
      <c r="R86" s="165"/>
      <c r="AH86" s="79"/>
      <c r="AN86" s="79" t="s">
        <v>78</v>
      </c>
      <c r="AO86" s="117" t="e">
        <f aca="false">SUMIFS(tabela_registros[VALOR],tabela_registros[MÊS],$AE$1,tabela_registros[REGISTRO],DADOS!$N$3,tabela_registros[TIPO],DADOS!$V$3,tabela_registros[CATEGORIA],receitasfixasconsolidadodez[[#This Row],[ATUAL]],#REF!,DADOS!$J$4)</f>
        <v>#VALUE!</v>
      </c>
      <c r="AP86" s="117" t="e">
        <f aca="false">SUMIFS(tabela_registros[VALOR],tabela_registros[MÊS],$AE$1,tabela_registros[REGISTRO],DADOS!$N$3,tabela_registros[TIPO],DADOS!$V$3,tabela_registros[CATEGORIA],receitasfixasconsolidadodez[[#This Row],[ATUAL]],#REF!,DADOS!$J$3)</f>
        <v>#VALUE!</v>
      </c>
      <c r="AQ86" s="118" t="e">
        <f aca="false">(receitasfixasconsolidadoanual[[#This Row],[TOTAL (R$)]]*$AQ$87)/$Q$87</f>
        <v>#DIV/0!</v>
      </c>
    </row>
    <row r="87" s="130" customFormat="true" ht="21" hidden="false" customHeight="true" outlineLevel="0" collapsed="false">
      <c r="A87" s="122"/>
      <c r="B87" s="152"/>
      <c r="C87" s="153" t="s">
        <v>2</v>
      </c>
      <c r="D87" s="166"/>
      <c r="E87" s="155" t="n">
        <f aca="false">receitasfixasconsolidado[[#This Row],[TOTAL (R$)]]</f>
        <v>0</v>
      </c>
      <c r="F87" s="156" t="n">
        <f aca="false">receitasfixasconsolidadofev[[#This Row],[TOTAL (R$)]]+receitasfixasconsolidadoanual[[#This Row],[1]]</f>
        <v>0</v>
      </c>
      <c r="G87" s="156" t="n">
        <f aca="false">receitasfixasconsolidadomar[[#This Row],[TOTAL (R$)]]+receitasfixasconsolidadoanual[[#This Row],[2]]</f>
        <v>0</v>
      </c>
      <c r="H87" s="156" t="n">
        <f aca="false">receitasfixasconsolidadoabr[[#This Row],[TOTAL (R$)]]+receitasfixasconsolidadoanual[[#This Row],[3]]</f>
        <v>0</v>
      </c>
      <c r="I87" s="156" t="n">
        <f aca="false">receitasfixasconsolidadomai[[#This Row],[TOTAL (R$)]]+receitasfixasconsolidadoanual[[#This Row],[4]]</f>
        <v>0</v>
      </c>
      <c r="J87" s="156" t="n">
        <f aca="false">receitasfixasconsolidadojun[[#This Row],[TOTAL (R$)]]+receitasfixasconsolidadoanual[[#This Row],[5]]</f>
        <v>0</v>
      </c>
      <c r="K87" s="156" t="n">
        <f aca="false">receitasfixasconsolidadojul[[#This Row],[TOTAL (R$)]]+receitasfixasconsolidadoanual[[#This Row],[6]]</f>
        <v>0</v>
      </c>
      <c r="L87" s="156" t="n">
        <f aca="false">receitasfixasconsolidadoago[[#This Row],[TOTAL (R$)]]+receitasfixasconsolidadoanual[[#This Row],[7]]</f>
        <v>0</v>
      </c>
      <c r="M87" s="156" t="n">
        <f aca="false">receitasfixasconsolidadoset[[#This Row],[TOTAL (R$)]]+receitasfixasconsolidadoanual[[#This Row],[8]]</f>
        <v>0</v>
      </c>
      <c r="N87" s="156" t="n">
        <f aca="false">receitasfixasconsolidadoout[[#This Row],[TOTAL (R$)]]+receitasfixasconsolidadoanual[[#This Row],[9]]</f>
        <v>0</v>
      </c>
      <c r="O87" s="156" t="n">
        <f aca="false">receitasfixasconsolidadonov[[#This Row],[TOTAL (R$)]]+receitasfixasconsolidadoanual[[#This Row],[10]]</f>
        <v>0</v>
      </c>
      <c r="P87" s="156" t="n">
        <f aca="false">receitasfixasconsolidadodez[[#This Row],[TOTAL (R$)]]+receitasfixasconsolidadoanual[[#This Row],[11]]</f>
        <v>0</v>
      </c>
      <c r="Q87" s="157" t="n">
        <f aca="false">receitasfixasconsolidadoanual[[#This Row],[12]]</f>
        <v>0</v>
      </c>
      <c r="R87" s="158"/>
      <c r="S87" s="78"/>
      <c r="T87" s="78"/>
      <c r="U87" s="78"/>
      <c r="V87" s="78"/>
      <c r="W87" s="78"/>
      <c r="X87" s="78"/>
      <c r="Y87" s="78"/>
      <c r="Z87" s="78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N87" s="132" t="e">
        <f aca="false">Q87/$Q$14</f>
        <v>#DIV/0!</v>
      </c>
      <c r="AO87" s="131" t="e">
        <f aca="false">SUM(AO82:AO86)</f>
        <v>#VALUE!</v>
      </c>
      <c r="AP87" s="131" t="e">
        <f aca="false">SUM(AP82:AP86)</f>
        <v>#VALUE!</v>
      </c>
      <c r="AQ87" s="118" t="n">
        <f aca="false">1</f>
        <v>1</v>
      </c>
    </row>
    <row r="88" customFormat="false" ht="6.75" hidden="false" customHeight="true" outlineLevel="0" collapsed="false">
      <c r="B88" s="97"/>
      <c r="C88" s="162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4"/>
      <c r="AH88" s="79"/>
    </row>
    <row r="89" customFormat="false" ht="12.75" hidden="false" customHeight="false" outlineLevel="0" collapsed="false">
      <c r="E89" s="100"/>
      <c r="AH89" s="79"/>
    </row>
    <row r="90" customFormat="false" ht="12" hidden="false" customHeight="false" outlineLevel="0" collapsed="false">
      <c r="AH90" s="79"/>
    </row>
    <row r="91" customFormat="false" ht="12" hidden="false" customHeight="false" outlineLevel="0" collapsed="false">
      <c r="AH91" s="79"/>
    </row>
    <row r="92" customFormat="false" ht="39.75" hidden="false" customHeight="true" outlineLevel="0" collapsed="false">
      <c r="C92" s="101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3" t="s">
        <v>2</v>
      </c>
      <c r="R92" s="104"/>
      <c r="AH92" s="79"/>
    </row>
    <row r="93" customFormat="false" ht="12.75" hidden="false" customHeight="false" outlineLevel="0" collapsed="false">
      <c r="B93" s="161"/>
      <c r="Q93" s="106" t="s">
        <v>64</v>
      </c>
      <c r="AH93" s="79"/>
    </row>
    <row r="94" customFormat="false" ht="6.75" hidden="false" customHeight="true" outlineLevel="0" collapsed="false">
      <c r="B94" s="86"/>
      <c r="C94" s="162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4"/>
      <c r="AH94" s="79"/>
      <c r="AO94" s="108" t="s">
        <v>65</v>
      </c>
      <c r="AP94" s="108" t="s">
        <v>66</v>
      </c>
      <c r="AQ94" s="108" t="s">
        <v>67</v>
      </c>
    </row>
    <row r="95" customFormat="false" ht="13.5" hidden="true" customHeight="false" outlineLevel="0" collapsed="false">
      <c r="B95" s="86"/>
      <c r="C95" s="109" t="s">
        <v>68</v>
      </c>
      <c r="D95" s="110" t="s">
        <v>69</v>
      </c>
      <c r="E95" s="110" t="s">
        <v>30</v>
      </c>
      <c r="F95" s="110" t="s">
        <v>31</v>
      </c>
      <c r="G95" s="110" t="s">
        <v>32</v>
      </c>
      <c r="H95" s="110" t="s">
        <v>33</v>
      </c>
      <c r="I95" s="110" t="s">
        <v>34</v>
      </c>
      <c r="J95" s="110" t="s">
        <v>35</v>
      </c>
      <c r="K95" s="110" t="s">
        <v>36</v>
      </c>
      <c r="L95" s="110" t="s">
        <v>37</v>
      </c>
      <c r="M95" s="110" t="s">
        <v>38</v>
      </c>
      <c r="N95" s="110" t="s">
        <v>39</v>
      </c>
      <c r="O95" s="110" t="s">
        <v>40</v>
      </c>
      <c r="P95" s="110" t="s">
        <v>41</v>
      </c>
      <c r="Q95" s="111" t="s">
        <v>70</v>
      </c>
      <c r="R95" s="143"/>
      <c r="V95" s="78" t="n">
        <v>5555</v>
      </c>
      <c r="AH95" s="79"/>
    </row>
    <row r="96" customFormat="false" ht="19.5" hidden="false" customHeight="true" outlineLevel="0" collapsed="false">
      <c r="B96" s="143"/>
      <c r="C96" s="144" t="str">
        <f aca="false">DADOS!$Z$3</f>
        <v>🏅 BÔNUS</v>
      </c>
      <c r="D96" s="145" t="str">
        <f aca="false">IF(receitasvariáveisconsolidadoanual[[#This Row],[TOTAL (R$)]]=0,"",IF(OR(receitasvariáveisconsolidadoanual[[#This Row],[TOTAL (R$)]]=LARGE($Q$96:$Q$103,1),receitasvariáveisconsolidadoanual[[#This Row],[TOTAL (R$)]]=LARGE($Q$96:$Q$103,2)),DADOS!$I$9,""))</f>
        <v/>
      </c>
      <c r="E96" s="148" t="n">
        <f aca="false">receitasvariáveisconsolidado28[[#This Row],[TOTAL (R$)]]</f>
        <v>0</v>
      </c>
      <c r="F96" s="119" t="n">
        <f aca="false">receitasvariáveisconsolidadofev[[#This Row],[TOTAL (R$)]]</f>
        <v>0</v>
      </c>
      <c r="G96" s="119" t="n">
        <f aca="false">receitasvariáveisconsolidadomar[[#This Row],[TOTAL (R$)]]</f>
        <v>0</v>
      </c>
      <c r="H96" s="119" t="n">
        <f aca="false">receitasvariáveisconsolidadoabr[[#This Row],[TOTAL (R$)]]</f>
        <v>0</v>
      </c>
      <c r="I96" s="119" t="n">
        <f aca="false">receitasvariáveisconsolidadomai[[#This Row],[TOTAL (R$)]]</f>
        <v>0</v>
      </c>
      <c r="J96" s="119" t="n">
        <f aca="false">receitasvariáveisconsolidadojun[[#This Row],[TOTAL (R$)]]</f>
        <v>0</v>
      </c>
      <c r="K96" s="119" t="n">
        <f aca="false">receitasvariáveisconsolidadojul[[#This Row],[TOTAL (R$)]]</f>
        <v>0</v>
      </c>
      <c r="L96" s="119" t="n">
        <f aca="false">receitasvariáveisconsolidadoago[[#This Row],[TOTAL (R$)]]</f>
        <v>0</v>
      </c>
      <c r="M96" s="119" t="n">
        <f aca="false">receitasvariáveisconsolidadoset[[#This Row],[TOTAL (R$)]]</f>
        <v>0</v>
      </c>
      <c r="N96" s="119" t="n">
        <f aca="false">receitasvariáveisconsolidadoout[[#This Row],[TOTAL (R$)]]</f>
        <v>0</v>
      </c>
      <c r="O96" s="119" t="n">
        <f aca="false">receitasvariáveisconsolidadonov[[#This Row],[TOTAL (R$)]]</f>
        <v>0</v>
      </c>
      <c r="P96" s="119" t="n">
        <f aca="false">receitasvariáveisconsolidadodez[[#This Row],[TOTAL (R$)]]</f>
        <v>0</v>
      </c>
      <c r="Q96" s="149" t="n">
        <f aca="false">SUM(receitasvariáveisconsolidadoanual[[#This Row],[1]:[12]])</f>
        <v>0</v>
      </c>
      <c r="R96" s="165"/>
      <c r="AH96" s="79"/>
      <c r="AO96" s="117" t="e">
        <f aca="false">SUMIFS(tabela_registros[VALOR],tabela_registros[MÊS],$AE$1,tabela_registros[REGISTRO],DADOS!$N$3,tabela_registros[TIPO],DADOS!$V$4,tabela_registros[CATEGORIA],receitasvariáveisconsolidadodez[[#This Row],[ATUAL]],#REF!,DADOS!$J$4)</f>
        <v>#VALUE!</v>
      </c>
      <c r="AP96" s="117" t="e">
        <f aca="false">SUMIFS(tabela_registros[VALOR],tabela_registros[MÊS],$AE$1,tabela_registros[REGISTRO],DADOS!$N$3,tabela_registros[TIPO],DADOS!$V$4,tabela_registros[CATEGORIA],receitasvariáveisconsolidadodez[[#This Row],[ATUAL]],#REF!,DADOS!$J$3)</f>
        <v>#VALUE!</v>
      </c>
      <c r="AQ96" s="118" t="e">
        <f aca="false">(receitasvariáveisconsolidadoanual[[#This Row],[TOTAL (R$)]]*$AQ$104)/$Q$104</f>
        <v>#DIV/0!</v>
      </c>
    </row>
    <row r="97" customFormat="false" ht="19.5" hidden="false" customHeight="true" outlineLevel="0" collapsed="false">
      <c r="B97" s="143"/>
      <c r="C97" s="144" t="str">
        <f aca="false">DADOS!$Z$4</f>
        <v>🤑 COMISSÃO</v>
      </c>
      <c r="D97" s="145" t="str">
        <f aca="false">IF(receitasvariáveisconsolidadoanual[[#This Row],[TOTAL (R$)]]=0,"",IF(OR(receitasvariáveisconsolidadoanual[[#This Row],[TOTAL (R$)]]=LARGE($Q$96:$Q$103,1),receitasvariáveisconsolidadoanual[[#This Row],[TOTAL (R$)]]=LARGE($Q$96:$Q$103,2)),DADOS!$I$9,""))</f>
        <v/>
      </c>
      <c r="E97" s="148" t="n">
        <f aca="false">receitasvariáveisconsolidado28[[#This Row],[TOTAL (R$)]]</f>
        <v>0</v>
      </c>
      <c r="F97" s="119" t="n">
        <f aca="false">receitasvariáveisconsolidadofev[[#This Row],[TOTAL (R$)]]</f>
        <v>0</v>
      </c>
      <c r="G97" s="119" t="n">
        <f aca="false">receitasvariáveisconsolidadomar[[#This Row],[TOTAL (R$)]]</f>
        <v>0</v>
      </c>
      <c r="H97" s="119" t="n">
        <f aca="false">receitasvariáveisconsolidadoabr[[#This Row],[TOTAL (R$)]]</f>
        <v>0</v>
      </c>
      <c r="I97" s="119" t="n">
        <f aca="false">receitasvariáveisconsolidadomai[[#This Row],[TOTAL (R$)]]</f>
        <v>0</v>
      </c>
      <c r="J97" s="119" t="n">
        <f aca="false">receitasvariáveisconsolidadojun[[#This Row],[TOTAL (R$)]]</f>
        <v>0</v>
      </c>
      <c r="K97" s="119" t="n">
        <f aca="false">receitasvariáveisconsolidadojul[[#This Row],[TOTAL (R$)]]</f>
        <v>0</v>
      </c>
      <c r="L97" s="119" t="n">
        <f aca="false">receitasvariáveisconsolidadoago[[#This Row],[TOTAL (R$)]]</f>
        <v>0</v>
      </c>
      <c r="M97" s="119" t="n">
        <f aca="false">receitasvariáveisconsolidadoset[[#This Row],[TOTAL (R$)]]</f>
        <v>0</v>
      </c>
      <c r="N97" s="119" t="n">
        <f aca="false">receitasvariáveisconsolidadoout[[#This Row],[TOTAL (R$)]]</f>
        <v>0</v>
      </c>
      <c r="O97" s="119" t="n">
        <f aca="false">receitasvariáveisconsolidadonov[[#This Row],[TOTAL (R$)]]</f>
        <v>0</v>
      </c>
      <c r="P97" s="119" t="n">
        <f aca="false">receitasvariáveisconsolidadodez[[#This Row],[TOTAL (R$)]]</f>
        <v>0</v>
      </c>
      <c r="Q97" s="149" t="n">
        <f aca="false">SUM(receitasvariáveisconsolidadoanual[[#This Row],[1]:[12]])</f>
        <v>0</v>
      </c>
      <c r="R97" s="165"/>
      <c r="AH97" s="79"/>
      <c r="AO97" s="117" t="e">
        <f aca="false">SUMIFS(tabela_registros[VALOR],tabela_registros[MÊS],$AE$1,tabela_registros[REGISTRO],DADOS!$N$3,tabela_registros[TIPO],DADOS!$V$4,tabela_registros[CATEGORIA],receitasvariáveisconsolidadodez[[#This Row],[ATUAL]],#REF!,DADOS!$J$4)</f>
        <v>#VALUE!</v>
      </c>
      <c r="AP97" s="117" t="e">
        <f aca="false">SUMIFS(tabela_registros[VALOR],tabela_registros[MÊS],$AE$1,tabela_registros[REGISTRO],DADOS!$N$3,tabela_registros[TIPO],DADOS!$V$4,tabela_registros[CATEGORIA],receitasvariáveisconsolidadodez[[#This Row],[ATUAL]],#REF!,DADOS!$J$3)</f>
        <v>#VALUE!</v>
      </c>
      <c r="AQ97" s="118" t="e">
        <f aca="false">(receitasvariáveisconsolidadoanual[[#This Row],[TOTAL (R$)]]*$AQ$104)/$Q$104</f>
        <v>#DIV/0!</v>
      </c>
    </row>
    <row r="98" customFormat="false" ht="19.5" hidden="false" customHeight="true" outlineLevel="0" collapsed="false">
      <c r="B98" s="143"/>
      <c r="C98" s="144" t="str">
        <f aca="false">DADOS!$Z$5</f>
        <v>🎗️ HERANÇA</v>
      </c>
      <c r="D98" s="145" t="str">
        <f aca="false">IF(receitasvariáveisconsolidadoanual[[#This Row],[TOTAL (R$)]]=0,"",IF(OR(receitasvariáveisconsolidadoanual[[#This Row],[TOTAL (R$)]]=LARGE($Q$96:$Q$103,1),receitasvariáveisconsolidadoanual[[#This Row],[TOTAL (R$)]]=LARGE($Q$96:$Q$103,2)),DADOS!$I$9,""))</f>
        <v/>
      </c>
      <c r="E98" s="148" t="n">
        <f aca="false">receitasvariáveisconsolidado28[[#This Row],[TOTAL (R$)]]</f>
        <v>0</v>
      </c>
      <c r="F98" s="119" t="n">
        <f aca="false">receitasvariáveisconsolidadofev[[#This Row],[TOTAL (R$)]]</f>
        <v>0</v>
      </c>
      <c r="G98" s="119" t="n">
        <f aca="false">receitasvariáveisconsolidadomar[[#This Row],[TOTAL (R$)]]</f>
        <v>0</v>
      </c>
      <c r="H98" s="119" t="n">
        <f aca="false">receitasvariáveisconsolidadoabr[[#This Row],[TOTAL (R$)]]</f>
        <v>0</v>
      </c>
      <c r="I98" s="119" t="n">
        <f aca="false">receitasvariáveisconsolidadomai[[#This Row],[TOTAL (R$)]]</f>
        <v>0</v>
      </c>
      <c r="J98" s="119" t="n">
        <f aca="false">receitasvariáveisconsolidadojun[[#This Row],[TOTAL (R$)]]</f>
        <v>0</v>
      </c>
      <c r="K98" s="119" t="n">
        <f aca="false">receitasvariáveisconsolidadojul[[#This Row],[TOTAL (R$)]]</f>
        <v>0</v>
      </c>
      <c r="L98" s="119" t="n">
        <f aca="false">receitasvariáveisconsolidadoago[[#This Row],[TOTAL (R$)]]</f>
        <v>0</v>
      </c>
      <c r="M98" s="119" t="n">
        <f aca="false">receitasvariáveisconsolidadoset[[#This Row],[TOTAL (R$)]]</f>
        <v>0</v>
      </c>
      <c r="N98" s="119" t="n">
        <f aca="false">receitasvariáveisconsolidadoout[[#This Row],[TOTAL (R$)]]</f>
        <v>0</v>
      </c>
      <c r="O98" s="119" t="n">
        <f aca="false">receitasvariáveisconsolidadonov[[#This Row],[TOTAL (R$)]]</f>
        <v>0</v>
      </c>
      <c r="P98" s="119" t="n">
        <f aca="false">receitasvariáveisconsolidadodez[[#This Row],[TOTAL (R$)]]</f>
        <v>0</v>
      </c>
      <c r="Q98" s="149" t="n">
        <f aca="false">SUM(receitasvariáveisconsolidadoanual[[#This Row],[1]:[12]])</f>
        <v>0</v>
      </c>
      <c r="R98" s="165"/>
      <c r="AH98" s="79"/>
      <c r="AO98" s="117" t="e">
        <f aca="false">SUMIFS(tabela_registros[VALOR],tabela_registros[MÊS],$AE$1,tabela_registros[REGISTRO],DADOS!$N$3,tabela_registros[TIPO],DADOS!$V$4,tabela_registros[CATEGORIA],receitasvariáveisconsolidadodez[[#This Row],[ATUAL]],#REF!,DADOS!$J$4)</f>
        <v>#VALUE!</v>
      </c>
      <c r="AP98" s="117" t="e">
        <f aca="false">SUMIFS(tabela_registros[VALOR],tabela_registros[MÊS],$AE$1,tabela_registros[REGISTRO],DADOS!$N$3,tabela_registros[TIPO],DADOS!$V$4,tabela_registros[CATEGORIA],receitasvariáveisconsolidadodez[[#This Row],[ATUAL]],#REF!,DADOS!$J$3)</f>
        <v>#VALUE!</v>
      </c>
      <c r="AQ98" s="118" t="e">
        <f aca="false">(receitasvariáveisconsolidadoanual[[#This Row],[TOTAL (R$)]]*$AQ$104)/$Q$104</f>
        <v>#DIV/0!</v>
      </c>
    </row>
    <row r="99" customFormat="false" ht="19.5" hidden="false" customHeight="true" outlineLevel="0" collapsed="false">
      <c r="B99" s="143"/>
      <c r="C99" s="144" t="str">
        <f aca="false">DADOS!$Z$6</f>
        <v>💲 INVESTIMENTOS</v>
      </c>
      <c r="D99" s="145" t="str">
        <f aca="false">IF(receitasvariáveisconsolidadoanual[[#This Row],[TOTAL (R$)]]=0,"",IF(OR(receitasvariáveisconsolidadoanual[[#This Row],[TOTAL (R$)]]=LARGE($Q$96:$Q$103,1),receitasvariáveisconsolidadoanual[[#This Row],[TOTAL (R$)]]=LARGE($Q$96:$Q$103,2)),DADOS!$I$9,""))</f>
        <v/>
      </c>
      <c r="E99" s="148" t="n">
        <f aca="false">receitasvariáveisconsolidado28[[#This Row],[TOTAL (R$)]]</f>
        <v>0</v>
      </c>
      <c r="F99" s="119" t="n">
        <f aca="false">receitasvariáveisconsolidadofev[[#This Row],[TOTAL (R$)]]</f>
        <v>0</v>
      </c>
      <c r="G99" s="119" t="n">
        <f aca="false">receitasvariáveisconsolidadomar[[#This Row],[TOTAL (R$)]]</f>
        <v>0</v>
      </c>
      <c r="H99" s="119" t="n">
        <f aca="false">receitasvariáveisconsolidadoabr[[#This Row],[TOTAL (R$)]]</f>
        <v>0</v>
      </c>
      <c r="I99" s="119" t="n">
        <f aca="false">receitasvariáveisconsolidadomai[[#This Row],[TOTAL (R$)]]</f>
        <v>0</v>
      </c>
      <c r="J99" s="119" t="n">
        <f aca="false">receitasvariáveisconsolidadojun[[#This Row],[TOTAL (R$)]]</f>
        <v>0</v>
      </c>
      <c r="K99" s="119" t="n">
        <f aca="false">receitasvariáveisconsolidadojul[[#This Row],[TOTAL (R$)]]</f>
        <v>0</v>
      </c>
      <c r="L99" s="119" t="n">
        <f aca="false">receitasvariáveisconsolidadoago[[#This Row],[TOTAL (R$)]]</f>
        <v>0</v>
      </c>
      <c r="M99" s="119" t="n">
        <f aca="false">receitasvariáveisconsolidadoset[[#This Row],[TOTAL (R$)]]</f>
        <v>0</v>
      </c>
      <c r="N99" s="119" t="n">
        <f aca="false">receitasvariáveisconsolidadoout[[#This Row],[TOTAL (R$)]]</f>
        <v>0</v>
      </c>
      <c r="O99" s="119" t="n">
        <f aca="false">receitasvariáveisconsolidadonov[[#This Row],[TOTAL (R$)]]</f>
        <v>0</v>
      </c>
      <c r="P99" s="119" t="n">
        <f aca="false">receitasvariáveisconsolidadodez[[#This Row],[TOTAL (R$)]]</f>
        <v>0</v>
      </c>
      <c r="Q99" s="149" t="n">
        <f aca="false">SUM(receitasvariáveisconsolidadoanual[[#This Row],[1]:[12]])</f>
        <v>0</v>
      </c>
      <c r="R99" s="165"/>
      <c r="AH99" s="79"/>
      <c r="AO99" s="117" t="e">
        <f aca="false">SUMIFS(tabela_registros[VALOR],tabela_registros[MÊS],$AE$1,tabela_registros[REGISTRO],DADOS!$N$3,tabela_registros[TIPO],DADOS!$V$4,tabela_registros[CATEGORIA],receitasvariáveisconsolidadodez[[#This Row],[ATUAL]],#REF!,DADOS!$J$4)</f>
        <v>#VALUE!</v>
      </c>
      <c r="AP99" s="117" t="e">
        <f aca="false">SUMIFS(tabela_registros[VALOR],tabela_registros[MÊS],$AE$1,tabela_registros[REGISTRO],DADOS!$N$3,tabela_registros[TIPO],DADOS!$V$4,tabela_registros[CATEGORIA],receitasvariáveisconsolidadodez[[#This Row],[ATUAL]],#REF!,DADOS!$J$3)</f>
        <v>#VALUE!</v>
      </c>
      <c r="AQ99" s="118" t="e">
        <f aca="false">(receitasvariáveisconsolidadoanual[[#This Row],[TOTAL (R$)]]*$AQ$104)/$Q$104</f>
        <v>#DIV/0!</v>
      </c>
    </row>
    <row r="100" customFormat="false" ht="19.5" hidden="false" customHeight="true" outlineLevel="0" collapsed="false">
      <c r="B100" s="143"/>
      <c r="C100" s="144" t="str">
        <f aca="false">DADOS!$Z$7</f>
        <v>🧾 NOTA DE SERVIÇO</v>
      </c>
      <c r="D100" s="145" t="str">
        <f aca="false">IF(receitasvariáveisconsolidadoanual[[#This Row],[TOTAL (R$)]]=0,"",IF(OR(receitasvariáveisconsolidadoanual[[#This Row],[TOTAL (R$)]]=LARGE($Q$96:$Q$103,1),receitasvariáveisconsolidadoanual[[#This Row],[TOTAL (R$)]]=LARGE($Q$96:$Q$103,2)),DADOS!$I$9,""))</f>
        <v/>
      </c>
      <c r="E100" s="148" t="n">
        <f aca="false">receitasvariáveisconsolidado28[[#This Row],[TOTAL (R$)]]</f>
        <v>0</v>
      </c>
      <c r="F100" s="119" t="n">
        <f aca="false">receitasvariáveisconsolidadofev[[#This Row],[TOTAL (R$)]]</f>
        <v>0</v>
      </c>
      <c r="G100" s="119" t="n">
        <f aca="false">receitasvariáveisconsolidadomar[[#This Row],[TOTAL (R$)]]</f>
        <v>0</v>
      </c>
      <c r="H100" s="119" t="n">
        <f aca="false">receitasvariáveisconsolidadoabr[[#This Row],[TOTAL (R$)]]</f>
        <v>0</v>
      </c>
      <c r="I100" s="119" t="n">
        <f aca="false">receitasvariáveisconsolidadomai[[#This Row],[TOTAL (R$)]]</f>
        <v>0</v>
      </c>
      <c r="J100" s="119" t="n">
        <f aca="false">receitasvariáveisconsolidadojun[[#This Row],[TOTAL (R$)]]</f>
        <v>0</v>
      </c>
      <c r="K100" s="119" t="n">
        <f aca="false">receitasvariáveisconsolidadojul[[#This Row],[TOTAL (R$)]]</f>
        <v>0</v>
      </c>
      <c r="L100" s="119" t="n">
        <f aca="false">receitasvariáveisconsolidadoago[[#This Row],[TOTAL (R$)]]</f>
        <v>0</v>
      </c>
      <c r="M100" s="119" t="n">
        <f aca="false">receitasvariáveisconsolidadoset[[#This Row],[TOTAL (R$)]]</f>
        <v>0</v>
      </c>
      <c r="N100" s="119" t="n">
        <f aca="false">receitasvariáveisconsolidadoout[[#This Row],[TOTAL (R$)]]</f>
        <v>0</v>
      </c>
      <c r="O100" s="119" t="n">
        <f aca="false">receitasvariáveisconsolidadonov[[#This Row],[TOTAL (R$)]]</f>
        <v>0</v>
      </c>
      <c r="P100" s="119" t="n">
        <f aca="false">receitasvariáveisconsolidadodez[[#This Row],[TOTAL (R$)]]</f>
        <v>0</v>
      </c>
      <c r="Q100" s="149" t="n">
        <f aca="false">SUM(receitasvariáveisconsolidadoanual[[#This Row],[1]:[12]])</f>
        <v>0</v>
      </c>
      <c r="R100" s="165"/>
      <c r="AH100" s="79"/>
      <c r="AO100" s="117" t="e">
        <f aca="false">SUMIFS(tabela_registros[VALOR],tabela_registros[MÊS],$AE$1,tabela_registros[REGISTRO],DADOS!$N$3,tabela_registros[TIPO],DADOS!$V$4,tabela_registros[CATEGORIA],receitasvariáveisconsolidadodez[[#This Row],[ATUAL]],#REF!,DADOS!$J$4)</f>
        <v>#VALUE!</v>
      </c>
      <c r="AP100" s="117" t="e">
        <f aca="false">SUMIFS(tabela_registros[VALOR],tabela_registros[MÊS],$AE$1,tabela_registros[REGISTRO],DADOS!$N$3,tabela_registros[TIPO],DADOS!$V$4,tabela_registros[CATEGORIA],receitasvariáveisconsolidadodez[[#This Row],[ATUAL]],#REF!,DADOS!$J$3)</f>
        <v>#VALUE!</v>
      </c>
      <c r="AQ100" s="118" t="e">
        <f aca="false">(receitasvariáveisconsolidadoanual[[#This Row],[TOTAL (R$)]]*$AQ$104)/$Q$104</f>
        <v>#DIV/0!</v>
      </c>
    </row>
    <row r="101" customFormat="false" ht="19.5" hidden="false" customHeight="true" outlineLevel="0" collapsed="false">
      <c r="B101" s="143"/>
      <c r="C101" s="144" t="str">
        <f aca="false">DADOS!$Z$8</f>
        <v>🎁 PRESENTE</v>
      </c>
      <c r="D101" s="145" t="str">
        <f aca="false">IF(receitasvariáveisconsolidadoanual[[#This Row],[TOTAL (R$)]]=0,"",IF(OR(receitasvariáveisconsolidadoanual[[#This Row],[TOTAL (R$)]]=LARGE($Q$96:$Q$103,1),receitasvariáveisconsolidadoanual[[#This Row],[TOTAL (R$)]]=LARGE($Q$96:$Q$103,2)),DADOS!$I$9,""))</f>
        <v/>
      </c>
      <c r="E101" s="148" t="n">
        <f aca="false">receitasvariáveisconsolidado28[[#This Row],[TOTAL (R$)]]</f>
        <v>0</v>
      </c>
      <c r="F101" s="119" t="n">
        <f aca="false">receitasvariáveisconsolidadofev[[#This Row],[TOTAL (R$)]]</f>
        <v>0</v>
      </c>
      <c r="G101" s="119" t="n">
        <f aca="false">receitasvariáveisconsolidadomar[[#This Row],[TOTAL (R$)]]</f>
        <v>0</v>
      </c>
      <c r="H101" s="119" t="n">
        <f aca="false">receitasvariáveisconsolidadoabr[[#This Row],[TOTAL (R$)]]</f>
        <v>0</v>
      </c>
      <c r="I101" s="119" t="n">
        <f aca="false">receitasvariáveisconsolidadomai[[#This Row],[TOTAL (R$)]]</f>
        <v>0</v>
      </c>
      <c r="J101" s="119" t="n">
        <f aca="false">receitasvariáveisconsolidadojun[[#This Row],[TOTAL (R$)]]</f>
        <v>0</v>
      </c>
      <c r="K101" s="119" t="n">
        <f aca="false">receitasvariáveisconsolidadojul[[#This Row],[TOTAL (R$)]]</f>
        <v>0</v>
      </c>
      <c r="L101" s="119" t="n">
        <f aca="false">receitasvariáveisconsolidadoago[[#This Row],[TOTAL (R$)]]</f>
        <v>0</v>
      </c>
      <c r="M101" s="119" t="n">
        <f aca="false">receitasvariáveisconsolidadoset[[#This Row],[TOTAL (R$)]]</f>
        <v>0</v>
      </c>
      <c r="N101" s="119" t="n">
        <f aca="false">receitasvariáveisconsolidadoout[[#This Row],[TOTAL (R$)]]</f>
        <v>0</v>
      </c>
      <c r="O101" s="119" t="n">
        <f aca="false">receitasvariáveisconsolidadonov[[#This Row],[TOTAL (R$)]]</f>
        <v>0</v>
      </c>
      <c r="P101" s="119" t="n">
        <f aca="false">receitasvariáveisconsolidadodez[[#This Row],[TOTAL (R$)]]</f>
        <v>0</v>
      </c>
      <c r="Q101" s="149" t="n">
        <f aca="false">SUM(receitasvariáveisconsolidadoanual[[#This Row],[1]:[12]])</f>
        <v>0</v>
      </c>
      <c r="R101" s="165"/>
      <c r="AH101" s="79"/>
      <c r="AO101" s="117" t="e">
        <f aca="false">SUMIFS(tabela_registros[VALOR],tabela_registros[MÊS],$AE$1,tabela_registros[REGISTRO],DADOS!$N$3,tabela_registros[TIPO],DADOS!$V$4,tabela_registros[CATEGORIA],receitasvariáveisconsolidadodez[[#This Row],[ATUAL]],#REF!,DADOS!$J$4)</f>
        <v>#VALUE!</v>
      </c>
      <c r="AP101" s="117" t="e">
        <f aca="false">SUMIFS(tabela_registros[VALOR],tabela_registros[MÊS],$AE$1,tabela_registros[REGISTRO],DADOS!$N$3,tabela_registros[TIPO],DADOS!$V$4,tabela_registros[CATEGORIA],receitasvariáveisconsolidadodez[[#This Row],[ATUAL]],#REF!,DADOS!$J$3)</f>
        <v>#VALUE!</v>
      </c>
      <c r="AQ101" s="118" t="e">
        <f aca="false">(receitasvariáveisconsolidadoanual[[#This Row],[TOTAL (R$)]]*$AQ$104)/$Q$104</f>
        <v>#DIV/0!</v>
      </c>
    </row>
    <row r="102" customFormat="false" ht="19.5" hidden="false" customHeight="true" outlineLevel="0" collapsed="false">
      <c r="B102" s="143"/>
      <c r="C102" s="144" t="str">
        <f aca="false">DADOS!$Z$9</f>
        <v>👷‍♀️ TRABALHO TEMPORÁRIO</v>
      </c>
      <c r="D102" s="145" t="str">
        <f aca="false">IF(receitasvariáveisconsolidadoanual[[#This Row],[TOTAL (R$)]]=0,"",IF(OR(receitasvariáveisconsolidadoanual[[#This Row],[TOTAL (R$)]]=LARGE($Q$96:$Q$103,1),receitasvariáveisconsolidadoanual[[#This Row],[TOTAL (R$)]]=LARGE($Q$96:$Q$103,2)),DADOS!$I$9,""))</f>
        <v/>
      </c>
      <c r="E102" s="148" t="n">
        <f aca="false">receitasvariáveisconsolidado28[[#This Row],[TOTAL (R$)]]</f>
        <v>0</v>
      </c>
      <c r="F102" s="119" t="n">
        <f aca="false">receitasvariáveisconsolidadofev[[#This Row],[TOTAL (R$)]]</f>
        <v>0</v>
      </c>
      <c r="G102" s="119" t="n">
        <f aca="false">receitasvariáveisconsolidadomar[[#This Row],[TOTAL (R$)]]</f>
        <v>0</v>
      </c>
      <c r="H102" s="119" t="n">
        <f aca="false">receitasvariáveisconsolidadoabr[[#This Row],[TOTAL (R$)]]</f>
        <v>0</v>
      </c>
      <c r="I102" s="119" t="n">
        <f aca="false">receitasvariáveisconsolidadomai[[#This Row],[TOTAL (R$)]]</f>
        <v>0</v>
      </c>
      <c r="J102" s="119" t="n">
        <f aca="false">receitasvariáveisconsolidadojun[[#This Row],[TOTAL (R$)]]</f>
        <v>0</v>
      </c>
      <c r="K102" s="119" t="n">
        <f aca="false">receitasvariáveisconsolidadojul[[#This Row],[TOTAL (R$)]]</f>
        <v>0</v>
      </c>
      <c r="L102" s="119" t="n">
        <f aca="false">receitasvariáveisconsolidadoago[[#This Row],[TOTAL (R$)]]</f>
        <v>0</v>
      </c>
      <c r="M102" s="119" t="n">
        <f aca="false">receitasvariáveisconsolidadoset[[#This Row],[TOTAL (R$)]]</f>
        <v>0</v>
      </c>
      <c r="N102" s="119" t="n">
        <f aca="false">receitasvariáveisconsolidadoout[[#This Row],[TOTAL (R$)]]</f>
        <v>0</v>
      </c>
      <c r="O102" s="119" t="n">
        <f aca="false">receitasvariáveisconsolidadonov[[#This Row],[TOTAL (R$)]]</f>
        <v>0</v>
      </c>
      <c r="P102" s="119" t="n">
        <f aca="false">receitasvariáveisconsolidadodez[[#This Row],[TOTAL (R$)]]</f>
        <v>0</v>
      </c>
      <c r="Q102" s="149" t="n">
        <f aca="false">SUM(receitasvariáveisconsolidadoanual[[#This Row],[1]:[12]])</f>
        <v>0</v>
      </c>
      <c r="R102" s="165"/>
      <c r="AH102" s="79"/>
      <c r="AO102" s="117" t="e">
        <f aca="false">SUMIFS(tabela_registros[VALOR],tabela_registros[MÊS],$AE$1,tabela_registros[REGISTRO],DADOS!$N$3,tabela_registros[TIPO],DADOS!$V$4,tabela_registros[CATEGORIA],receitasvariáveisconsolidadodez[[#This Row],[ATUAL]],#REF!,DADOS!$J$4)</f>
        <v>#VALUE!</v>
      </c>
      <c r="AP102" s="117" t="e">
        <f aca="false">SUMIFS(tabela_registros[VALOR],tabela_registros[MÊS],$AE$1,tabela_registros[REGISTRO],DADOS!$N$3,tabela_registros[TIPO],DADOS!$V$4,tabela_registros[CATEGORIA],receitasvariáveisconsolidadodez[[#This Row],[ATUAL]],#REF!,DADOS!$J$3)</f>
        <v>#VALUE!</v>
      </c>
      <c r="AQ102" s="118" t="e">
        <f aca="false">(receitasvariáveisconsolidadoanual[[#This Row],[TOTAL (R$)]]*$AQ$104)/$Q$104</f>
        <v>#DIV/0!</v>
      </c>
    </row>
    <row r="103" customFormat="false" ht="18" hidden="false" customHeight="true" outlineLevel="0" collapsed="false">
      <c r="B103" s="143"/>
      <c r="C103" s="144" t="str">
        <f aca="false">DADOS!$Z$10</f>
        <v>📎 OUTROS</v>
      </c>
      <c r="D103" s="145" t="str">
        <f aca="false">IF(receitasvariáveisconsolidadoanual[[#This Row],[TOTAL (R$)]]=0,"",IF(OR(receitasvariáveisconsolidadoanual[[#This Row],[TOTAL (R$)]]=LARGE($Q$96:$Q$103,1),receitasvariáveisconsolidadoanual[[#This Row],[TOTAL (R$)]]=LARGE($Q$96:$Q$103,2)),DADOS!$I$9,""))</f>
        <v/>
      </c>
      <c r="E103" s="148" t="n">
        <f aca="false">receitasvariáveisconsolidado28[[#This Row],[TOTAL (R$)]]</f>
        <v>0</v>
      </c>
      <c r="F103" s="119" t="n">
        <f aca="false">receitasvariáveisconsolidadofev[[#This Row],[TOTAL (R$)]]</f>
        <v>0</v>
      </c>
      <c r="G103" s="119" t="n">
        <f aca="false">receitasvariáveisconsolidadomar[[#This Row],[TOTAL (R$)]]</f>
        <v>0</v>
      </c>
      <c r="H103" s="119" t="n">
        <f aca="false">receitasvariáveisconsolidadoabr[[#This Row],[TOTAL (R$)]]</f>
        <v>0</v>
      </c>
      <c r="I103" s="119" t="n">
        <f aca="false">receitasvariáveisconsolidadomai[[#This Row],[TOTAL (R$)]]</f>
        <v>0</v>
      </c>
      <c r="J103" s="119" t="n">
        <f aca="false">receitasvariáveisconsolidadojun[[#This Row],[TOTAL (R$)]]</f>
        <v>0</v>
      </c>
      <c r="K103" s="119" t="n">
        <f aca="false">receitasvariáveisconsolidadojul[[#This Row],[TOTAL (R$)]]</f>
        <v>0</v>
      </c>
      <c r="L103" s="119" t="n">
        <f aca="false">receitasvariáveisconsolidadoago[[#This Row],[TOTAL (R$)]]</f>
        <v>0</v>
      </c>
      <c r="M103" s="119" t="n">
        <f aca="false">receitasvariáveisconsolidadoset[[#This Row],[TOTAL (R$)]]</f>
        <v>0</v>
      </c>
      <c r="N103" s="119" t="n">
        <f aca="false">receitasvariáveisconsolidadoout[[#This Row],[TOTAL (R$)]]</f>
        <v>0</v>
      </c>
      <c r="O103" s="119" t="n">
        <f aca="false">receitasvariáveisconsolidadonov[[#This Row],[TOTAL (R$)]]</f>
        <v>0</v>
      </c>
      <c r="P103" s="119" t="n">
        <f aca="false">receitasvariáveisconsolidadodez[[#This Row],[TOTAL (R$)]]</f>
        <v>0</v>
      </c>
      <c r="Q103" s="149" t="n">
        <f aca="false">SUM(receitasvariáveisconsolidadoanual[[#This Row],[1]:[12]])</f>
        <v>0</v>
      </c>
      <c r="R103" s="165"/>
      <c r="AH103" s="79"/>
      <c r="AN103" s="79" t="s">
        <v>78</v>
      </c>
      <c r="AO103" s="117" t="e">
        <f aca="false">SUMIFS(tabela_registros[VALOR],tabela_registros[MÊS],$AE$1,tabela_registros[REGISTRO],DADOS!$N$3,tabela_registros[TIPO],DADOS!$V$4,tabela_registros[CATEGORIA],receitasvariáveisconsolidadodez[[#This Row],[ATUAL]],#REF!,DADOS!$J$4)</f>
        <v>#VALUE!</v>
      </c>
      <c r="AP103" s="117" t="e">
        <f aca="false">SUMIFS(tabela_registros[VALOR],tabela_registros[MÊS],$AE$1,tabela_registros[REGISTRO],DADOS!$N$3,tabela_registros[TIPO],DADOS!$V$4,tabela_registros[CATEGORIA],receitasvariáveisconsolidadodez[[#This Row],[ATUAL]],#REF!,DADOS!$J$3)</f>
        <v>#VALUE!</v>
      </c>
      <c r="AQ103" s="118" t="e">
        <f aca="false">(receitasvariáveisconsolidadoanual[[#This Row],[TOTAL (R$)]]*$AQ$104)/$Q$104</f>
        <v>#DIV/0!</v>
      </c>
    </row>
    <row r="104" s="130" customFormat="true" ht="21" hidden="false" customHeight="true" outlineLevel="0" collapsed="false">
      <c r="A104" s="122"/>
      <c r="B104" s="152"/>
      <c r="C104" s="153" t="s">
        <v>2</v>
      </c>
      <c r="D104" s="166"/>
      <c r="E104" s="155" t="n">
        <f aca="false">receitasvariáveisconsolidado28[[#This Row],[TOTAL (R$)]]</f>
        <v>0</v>
      </c>
      <c r="F104" s="156" t="n">
        <f aca="false">receitasvariáveisconsolidadofev[[#This Row],[TOTAL (R$)]]+receitasvariáveisconsolidadoanual[[#This Row],[1]]</f>
        <v>0</v>
      </c>
      <c r="G104" s="156" t="n">
        <f aca="false">receitasvariáveisconsolidadomar[[#This Row],[TOTAL (R$)]]+receitasvariáveisconsolidadoanual[[#This Row],[2]]</f>
        <v>0</v>
      </c>
      <c r="H104" s="156" t="n">
        <f aca="false">receitasvariáveisconsolidadoabr[[#This Row],[TOTAL (R$)]]+receitasvariáveisconsolidadoanual[[#This Row],[3]]</f>
        <v>0</v>
      </c>
      <c r="I104" s="156" t="n">
        <f aca="false">receitasvariáveisconsolidadomai[[#This Row],[TOTAL (R$)]]+receitasvariáveisconsolidadoanual[[#This Row],[4]]</f>
        <v>0</v>
      </c>
      <c r="J104" s="156" t="n">
        <f aca="false">receitasvariáveisconsolidadojun[[#This Row],[TOTAL (R$)]]+receitasvariáveisconsolidadoanual[[#This Row],[5]]</f>
        <v>0</v>
      </c>
      <c r="K104" s="156" t="n">
        <f aca="false">receitasvariáveisconsolidadojul[[#This Row],[TOTAL (R$)]]+receitasvariáveisconsolidadoanual[[#This Row],[6]]</f>
        <v>0</v>
      </c>
      <c r="L104" s="156" t="n">
        <f aca="false">receitasvariáveisconsolidadoago[[#This Row],[TOTAL (R$)]]+receitasvariáveisconsolidadoanual[[#This Row],[7]]</f>
        <v>0</v>
      </c>
      <c r="M104" s="156" t="n">
        <f aca="false">receitasvariáveisconsolidadoset[[#This Row],[TOTAL (R$)]]+receitasvariáveisconsolidadoanual[[#This Row],[8]]</f>
        <v>0</v>
      </c>
      <c r="N104" s="156" t="n">
        <f aca="false">receitasvariáveisconsolidadoout[[#This Row],[TOTAL (R$)]]+receitasvariáveisconsolidadoanual[[#This Row],[9]]</f>
        <v>0</v>
      </c>
      <c r="O104" s="156" t="n">
        <f aca="false">receitasvariáveisconsolidadonov[[#This Row],[TOTAL (R$)]]+receitasvariáveisconsolidadoanual[[#This Row],[10]]</f>
        <v>0</v>
      </c>
      <c r="P104" s="156" t="n">
        <f aca="false">receitasvariáveisconsolidadodez[[#This Row],[TOTAL (R$)]]+receitasvariáveisconsolidadoanual[[#This Row],[11]]</f>
        <v>0</v>
      </c>
      <c r="Q104" s="157" t="n">
        <f aca="false">receitasvariáveisconsolidadoanual[[#This Row],[12]]</f>
        <v>0</v>
      </c>
      <c r="R104" s="158"/>
      <c r="S104" s="78"/>
      <c r="T104" s="78"/>
      <c r="U104" s="78"/>
      <c r="V104" s="78"/>
      <c r="W104" s="78"/>
      <c r="X104" s="78"/>
      <c r="Y104" s="78"/>
      <c r="Z104" s="78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N104" s="132" t="e">
        <f aca="false">Q104/$Q$14</f>
        <v>#DIV/0!</v>
      </c>
      <c r="AO104" s="131" t="e">
        <f aca="false">SUM(AO96:AO103)</f>
        <v>#VALUE!</v>
      </c>
      <c r="AP104" s="131" t="e">
        <f aca="false">SUM(AP96:AP103)</f>
        <v>#VALUE!</v>
      </c>
      <c r="AQ104" s="118" t="n">
        <f aca="false">1</f>
        <v>1</v>
      </c>
    </row>
    <row r="105" customFormat="false" ht="6.75" hidden="false" customHeight="true" outlineLevel="0" collapsed="false">
      <c r="B105" s="97"/>
      <c r="C105" s="162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4"/>
      <c r="AH105" s="79"/>
    </row>
    <row r="106" customFormat="false" ht="12.75" hidden="false" customHeight="false" outlineLevel="0" collapsed="false">
      <c r="E106" s="100"/>
      <c r="AH106" s="79"/>
    </row>
    <row r="107" customFormat="false" ht="12" hidden="false" customHeight="false" outlineLevel="0" collapsed="false">
      <c r="AH107" s="79"/>
    </row>
    <row r="108" customFormat="false" ht="12" hidden="false" customHeight="false" outlineLevel="0" collapsed="false">
      <c r="AH108" s="79"/>
    </row>
    <row r="109" customFormat="false" ht="39.75" hidden="false" customHeight="true" outlineLevel="0" collapsed="false">
      <c r="C109" s="101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3" t="s">
        <v>2</v>
      </c>
      <c r="R109" s="104"/>
      <c r="AH109" s="79"/>
    </row>
    <row r="110" customFormat="false" ht="12.75" hidden="false" customHeight="false" outlineLevel="0" collapsed="false">
      <c r="B110" s="161"/>
      <c r="Q110" s="106" t="s">
        <v>64</v>
      </c>
      <c r="AH110" s="79"/>
    </row>
    <row r="111" customFormat="false" ht="6.75" hidden="false" customHeight="true" outlineLevel="0" collapsed="false">
      <c r="B111" s="86"/>
      <c r="C111" s="162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4"/>
      <c r="AH111" s="79"/>
      <c r="AO111" s="108" t="s">
        <v>65</v>
      </c>
      <c r="AP111" s="108" t="s">
        <v>66</v>
      </c>
      <c r="AQ111" s="108" t="s">
        <v>67</v>
      </c>
    </row>
    <row r="112" customFormat="false" ht="13.5" hidden="true" customHeight="false" outlineLevel="0" collapsed="false">
      <c r="B112" s="86"/>
      <c r="C112" s="109" t="s">
        <v>68</v>
      </c>
      <c r="D112" s="110" t="s">
        <v>69</v>
      </c>
      <c r="E112" s="110" t="s">
        <v>30</v>
      </c>
      <c r="F112" s="110" t="s">
        <v>31</v>
      </c>
      <c r="G112" s="110" t="s">
        <v>32</v>
      </c>
      <c r="H112" s="110" t="s">
        <v>33</v>
      </c>
      <c r="I112" s="110" t="s">
        <v>34</v>
      </c>
      <c r="J112" s="110" t="s">
        <v>35</v>
      </c>
      <c r="K112" s="110" t="s">
        <v>36</v>
      </c>
      <c r="L112" s="110" t="s">
        <v>37</v>
      </c>
      <c r="M112" s="110" t="s">
        <v>38</v>
      </c>
      <c r="N112" s="110" t="s">
        <v>39</v>
      </c>
      <c r="O112" s="110" t="s">
        <v>40</v>
      </c>
      <c r="P112" s="110" t="s">
        <v>41</v>
      </c>
      <c r="Q112" s="111" t="s">
        <v>70</v>
      </c>
      <c r="R112" s="143"/>
      <c r="V112" s="78" t="n">
        <v>5555</v>
      </c>
      <c r="AH112" s="79"/>
    </row>
    <row r="113" customFormat="false" ht="19.5" hidden="false" customHeight="true" outlineLevel="0" collapsed="false">
      <c r="B113" s="143"/>
      <c r="C113" s="144" t="str">
        <f aca="false">DADOS!$AD$3</f>
        <v>📝 CDB</v>
      </c>
      <c r="D113" s="145" t="str">
        <f aca="false">IF(investirrendafixaconsolidadoanual[[#This Row],[TOTAL (R$)]]=0,"",IF(OR(investirrendafixaconsolidadoanual[[#This Row],[TOTAL (R$)]]=LARGE($Q$113:$Q$122,1),investirrendafixaconsolidadoanual[[#This Row],[TOTAL (R$)]]=LARGE($Q$113:$Q$122,2)),DADOS!$I$10,""))</f>
        <v/>
      </c>
      <c r="E113" s="148" t="n">
        <f aca="false">investirrendafixaconsolidado2829[[#This Row],[TOTAL (R$)]]</f>
        <v>0</v>
      </c>
      <c r="F113" s="119" t="n">
        <f aca="false">investirrendafixaconsolidadofev[[#This Row],[TOTAL (R$)]]</f>
        <v>0</v>
      </c>
      <c r="G113" s="119" t="n">
        <f aca="false">investirrendafixaconsolidadomar[[#This Row],[TOTAL (R$)]]</f>
        <v>0</v>
      </c>
      <c r="H113" s="119" t="n">
        <f aca="false">investirrendafixaconsolidadoabr[[#This Row],[TOTAL (R$)]]</f>
        <v>0</v>
      </c>
      <c r="I113" s="119" t="n">
        <f aca="false">investirrendafixaconsolidadomai[[#This Row],[TOTAL (R$)]]</f>
        <v>0</v>
      </c>
      <c r="J113" s="119" t="n">
        <f aca="false">investirrendafixaconsolidadojun[[#This Row],[TOTAL (R$)]]</f>
        <v>0</v>
      </c>
      <c r="K113" s="119" t="n">
        <f aca="false">investirrendafixaconsolidadojul[[#This Row],[TOTAL (R$)]]</f>
        <v>0</v>
      </c>
      <c r="L113" s="119" t="n">
        <f aca="false">investirrendafixaconsolidadoago[[#This Row],[TOTAL (R$)]]</f>
        <v>0</v>
      </c>
      <c r="M113" s="119" t="n">
        <f aca="false">investirrendafixaconsolidadoset[[#This Row],[TOTAL (R$)]]</f>
        <v>0</v>
      </c>
      <c r="N113" s="119" t="n">
        <f aca="false">investirrendafixaconsolidadoout[[#This Row],[TOTAL (R$)]]</f>
        <v>0</v>
      </c>
      <c r="O113" s="119" t="n">
        <f aca="false">investirrendafixaconsolidadonov[[#This Row],[TOTAL (R$)]]</f>
        <v>0</v>
      </c>
      <c r="P113" s="119" t="n">
        <f aca="false">investirrendafixaconsolidadodez[[#This Row],[TOTAL (R$)]]</f>
        <v>0</v>
      </c>
      <c r="Q113" s="149" t="n">
        <f aca="false">SUM(investirrendafixaconsolidadoanual[[#This Row],[1]:[12]])</f>
        <v>0</v>
      </c>
      <c r="R113" s="165"/>
      <c r="AH113" s="79"/>
      <c r="AO113" s="117" t="e">
        <f aca="false">SUMIFS(tabela_registros[VALOR],tabela_registros[MÊS],$AE$1,tabela_registros[REGISTRO],DADOS!$N$5,tabela_registros[TIPO],DADOS!$AB$3,tabela_registros[CATEGORIA],investirrendafixaconsolidadodez[[#This Row],[ATUAL]],#REF!,DADOS!$J$4)</f>
        <v>#VALUE!</v>
      </c>
      <c r="AP113" s="117" t="e">
        <f aca="false">SUMIFS(tabela_registros[VALOR],tabela_registros[MÊS],$AE$1,tabela_registros[REGISTRO],DADOS!$N$5,tabela_registros[TIPO],DADOS!$AB$3,tabela_registros[CATEGORIA],investirrendafixaconsolidadodez[[#This Row],[ATUAL]],#REF!,DADOS!$J$3)</f>
        <v>#VALUE!</v>
      </c>
      <c r="AQ113" s="118" t="e">
        <f aca="false">(investirrendafixaconsolidadoanual[[#This Row],[TOTAL (R$)]]*$AQ$123)/$Q$123</f>
        <v>#DIV/0!</v>
      </c>
    </row>
    <row r="114" customFormat="false" ht="19.5" hidden="false" customHeight="true" outlineLevel="0" collapsed="false">
      <c r="B114" s="143"/>
      <c r="C114" s="144" t="str">
        <f aca="false">DADOS!$AD$4</f>
        <v>📝 CRA</v>
      </c>
      <c r="D114" s="145" t="str">
        <f aca="false">IF(investirrendafixaconsolidadoanual[[#This Row],[TOTAL (R$)]]=0,"",IF(OR(investirrendafixaconsolidadoanual[[#This Row],[TOTAL (R$)]]=LARGE($Q$113:$Q$122,1),investirrendafixaconsolidadoanual[[#This Row],[TOTAL (R$)]]=LARGE($Q$113:$Q$122,2)),DADOS!$I$10,""))</f>
        <v/>
      </c>
      <c r="E114" s="148" t="n">
        <f aca="false">investirrendafixaconsolidado2829[[#This Row],[TOTAL (R$)]]</f>
        <v>0</v>
      </c>
      <c r="F114" s="119" t="n">
        <f aca="false">investirrendafixaconsolidadofev[[#This Row],[TOTAL (R$)]]</f>
        <v>0</v>
      </c>
      <c r="G114" s="119" t="n">
        <f aca="false">investirrendafixaconsolidadomar[[#This Row],[TOTAL (R$)]]</f>
        <v>0</v>
      </c>
      <c r="H114" s="119" t="n">
        <f aca="false">investirrendafixaconsolidadoabr[[#This Row],[TOTAL (R$)]]</f>
        <v>0</v>
      </c>
      <c r="I114" s="119" t="n">
        <f aca="false">investirrendafixaconsolidadomai[[#This Row],[TOTAL (R$)]]</f>
        <v>0</v>
      </c>
      <c r="J114" s="119" t="n">
        <f aca="false">investirrendafixaconsolidadojun[[#This Row],[TOTAL (R$)]]</f>
        <v>0</v>
      </c>
      <c r="K114" s="119" t="n">
        <f aca="false">investirrendafixaconsolidadojul[[#This Row],[TOTAL (R$)]]</f>
        <v>0</v>
      </c>
      <c r="L114" s="119" t="n">
        <f aca="false">investirrendafixaconsolidadoago[[#This Row],[TOTAL (R$)]]</f>
        <v>0</v>
      </c>
      <c r="M114" s="119" t="n">
        <f aca="false">investirrendafixaconsolidadoset[[#This Row],[TOTAL (R$)]]</f>
        <v>0</v>
      </c>
      <c r="N114" s="119" t="n">
        <f aca="false">investirrendafixaconsolidadoout[[#This Row],[TOTAL (R$)]]</f>
        <v>0</v>
      </c>
      <c r="O114" s="119" t="n">
        <f aca="false">investirrendafixaconsolidadonov[[#This Row],[TOTAL (R$)]]</f>
        <v>0</v>
      </c>
      <c r="P114" s="119" t="n">
        <f aca="false">investirrendafixaconsolidadodez[[#This Row],[TOTAL (R$)]]</f>
        <v>0</v>
      </c>
      <c r="Q114" s="149" t="n">
        <f aca="false">SUM(investirrendafixaconsolidadoanual[[#This Row],[1]:[12]])</f>
        <v>0</v>
      </c>
      <c r="R114" s="165"/>
      <c r="AH114" s="79"/>
      <c r="AO114" s="117" t="e">
        <f aca="false">SUMIFS(tabela_registros[VALOR],tabela_registros[MÊS],$AE$1,tabela_registros[REGISTRO],DADOS!$N$5,tabela_registros[TIPO],DADOS!$AB$3,tabela_registros[CATEGORIA],investirrendafixaconsolidadodez[[#This Row],[ATUAL]],#REF!,DADOS!$J$4)</f>
        <v>#VALUE!</v>
      </c>
      <c r="AP114" s="117" t="e">
        <f aca="false">SUMIFS(tabela_registros[VALOR],tabela_registros[MÊS],$AE$1,tabela_registros[REGISTRO],DADOS!$N$5,tabela_registros[TIPO],DADOS!$AB$3,tabela_registros[CATEGORIA],investirrendafixaconsolidadodez[[#This Row],[ATUAL]],#REF!,DADOS!$J$3)</f>
        <v>#VALUE!</v>
      </c>
      <c r="AQ114" s="118" t="e">
        <f aca="false">(investirrendafixaconsolidadoanual[[#This Row],[TOTAL (R$)]]*$AQ$123)/$Q$123</f>
        <v>#DIV/0!</v>
      </c>
    </row>
    <row r="115" customFormat="false" ht="19.5" hidden="false" customHeight="true" outlineLevel="0" collapsed="false">
      <c r="B115" s="143"/>
      <c r="C115" s="144" t="str">
        <f aca="false">DADOS!$AD$5</f>
        <v>📝 CRI</v>
      </c>
      <c r="D115" s="145" t="str">
        <f aca="false">IF(investirrendafixaconsolidadoanual[[#This Row],[TOTAL (R$)]]=0,"",IF(OR(investirrendafixaconsolidadoanual[[#This Row],[TOTAL (R$)]]=LARGE($Q$113:$Q$122,1),investirrendafixaconsolidadoanual[[#This Row],[TOTAL (R$)]]=LARGE($Q$113:$Q$122,2)),DADOS!$I$10,""))</f>
        <v/>
      </c>
      <c r="E115" s="148" t="n">
        <f aca="false">investirrendafixaconsolidado2829[[#This Row],[TOTAL (R$)]]</f>
        <v>0</v>
      </c>
      <c r="F115" s="119" t="n">
        <f aca="false">investirrendafixaconsolidadofev[[#This Row],[TOTAL (R$)]]</f>
        <v>0</v>
      </c>
      <c r="G115" s="119" t="n">
        <f aca="false">investirrendafixaconsolidadomar[[#This Row],[TOTAL (R$)]]</f>
        <v>0</v>
      </c>
      <c r="H115" s="119" t="n">
        <f aca="false">investirrendafixaconsolidadoabr[[#This Row],[TOTAL (R$)]]</f>
        <v>0</v>
      </c>
      <c r="I115" s="119" t="n">
        <f aca="false">investirrendafixaconsolidadomai[[#This Row],[TOTAL (R$)]]</f>
        <v>0</v>
      </c>
      <c r="J115" s="119" t="n">
        <f aca="false">investirrendafixaconsolidadojun[[#This Row],[TOTAL (R$)]]</f>
        <v>0</v>
      </c>
      <c r="K115" s="119" t="n">
        <f aca="false">investirrendafixaconsolidadojul[[#This Row],[TOTAL (R$)]]</f>
        <v>0</v>
      </c>
      <c r="L115" s="119" t="n">
        <f aca="false">investirrendafixaconsolidadoago[[#This Row],[TOTAL (R$)]]</f>
        <v>0</v>
      </c>
      <c r="M115" s="119" t="n">
        <f aca="false">investirrendafixaconsolidadoset[[#This Row],[TOTAL (R$)]]</f>
        <v>0</v>
      </c>
      <c r="N115" s="119" t="n">
        <f aca="false">investirrendafixaconsolidadoout[[#This Row],[TOTAL (R$)]]</f>
        <v>0</v>
      </c>
      <c r="O115" s="119" t="n">
        <f aca="false">investirrendafixaconsolidadonov[[#This Row],[TOTAL (R$)]]</f>
        <v>0</v>
      </c>
      <c r="P115" s="119" t="n">
        <f aca="false">investirrendafixaconsolidadodez[[#This Row],[TOTAL (R$)]]</f>
        <v>0</v>
      </c>
      <c r="Q115" s="149" t="n">
        <f aca="false">SUM(investirrendafixaconsolidadoanual[[#This Row],[1]:[12]])</f>
        <v>0</v>
      </c>
      <c r="R115" s="165"/>
      <c r="AH115" s="79"/>
      <c r="AO115" s="117" t="e">
        <f aca="false">SUMIFS(tabela_registros[VALOR],tabela_registros[MÊS],$AE$1,tabela_registros[REGISTRO],DADOS!$N$5,tabela_registros[TIPO],DADOS!$AB$3,tabela_registros[CATEGORIA],investirrendafixaconsolidadodez[[#This Row],[ATUAL]],#REF!,DADOS!$J$4)</f>
        <v>#VALUE!</v>
      </c>
      <c r="AP115" s="117" t="e">
        <f aca="false">SUMIFS(tabela_registros[VALOR],tabela_registros[MÊS],$AE$1,tabela_registros[REGISTRO],DADOS!$N$5,tabela_registros[TIPO],DADOS!$AB$3,tabela_registros[CATEGORIA],investirrendafixaconsolidadodez[[#This Row],[ATUAL]],#REF!,DADOS!$J$3)</f>
        <v>#VALUE!</v>
      </c>
      <c r="AQ115" s="118" t="e">
        <f aca="false">(investirrendafixaconsolidadoanual[[#This Row],[TOTAL (R$)]]*$AQ$123)/$Q$123</f>
        <v>#DIV/0!</v>
      </c>
    </row>
    <row r="116" customFormat="false" ht="19.5" hidden="false" customHeight="true" outlineLevel="0" collapsed="false">
      <c r="B116" s="143"/>
      <c r="C116" s="144" t="str">
        <f aca="false">DADOS!$AD$6</f>
        <v>📝 DEBÊNTURE</v>
      </c>
      <c r="D116" s="145" t="str">
        <f aca="false">IF(investirrendafixaconsolidadoanual[[#This Row],[TOTAL (R$)]]=0,"",IF(OR(investirrendafixaconsolidadoanual[[#This Row],[TOTAL (R$)]]=LARGE($Q$113:$Q$122,1),investirrendafixaconsolidadoanual[[#This Row],[TOTAL (R$)]]=LARGE($Q$113:$Q$122,2)),DADOS!$I$10,""))</f>
        <v/>
      </c>
      <c r="E116" s="148" t="n">
        <f aca="false">investirrendafixaconsolidado2829[[#This Row],[TOTAL (R$)]]</f>
        <v>0</v>
      </c>
      <c r="F116" s="119" t="n">
        <f aca="false">investirrendafixaconsolidadofev[[#This Row],[TOTAL (R$)]]</f>
        <v>0</v>
      </c>
      <c r="G116" s="119" t="n">
        <f aca="false">investirrendafixaconsolidadomar[[#This Row],[TOTAL (R$)]]</f>
        <v>0</v>
      </c>
      <c r="H116" s="119" t="n">
        <f aca="false">investirrendafixaconsolidadoabr[[#This Row],[TOTAL (R$)]]</f>
        <v>0</v>
      </c>
      <c r="I116" s="119" t="n">
        <f aca="false">investirrendafixaconsolidadomai[[#This Row],[TOTAL (R$)]]</f>
        <v>0</v>
      </c>
      <c r="J116" s="119" t="n">
        <f aca="false">investirrendafixaconsolidadojun[[#This Row],[TOTAL (R$)]]</f>
        <v>0</v>
      </c>
      <c r="K116" s="119" t="n">
        <f aca="false">investirrendafixaconsolidadojul[[#This Row],[TOTAL (R$)]]</f>
        <v>0</v>
      </c>
      <c r="L116" s="119" t="n">
        <f aca="false">investirrendafixaconsolidadoago[[#This Row],[TOTAL (R$)]]</f>
        <v>0</v>
      </c>
      <c r="M116" s="119" t="n">
        <f aca="false">investirrendafixaconsolidadoset[[#This Row],[TOTAL (R$)]]</f>
        <v>0</v>
      </c>
      <c r="N116" s="119" t="n">
        <f aca="false">investirrendafixaconsolidadoout[[#This Row],[TOTAL (R$)]]</f>
        <v>0</v>
      </c>
      <c r="O116" s="119" t="n">
        <f aca="false">investirrendafixaconsolidadonov[[#This Row],[TOTAL (R$)]]</f>
        <v>0</v>
      </c>
      <c r="P116" s="119" t="n">
        <f aca="false">investirrendafixaconsolidadodez[[#This Row],[TOTAL (R$)]]</f>
        <v>0</v>
      </c>
      <c r="Q116" s="149" t="n">
        <f aca="false">SUM(investirrendafixaconsolidadoanual[[#This Row],[1]:[12]])</f>
        <v>0</v>
      </c>
      <c r="R116" s="165"/>
      <c r="AH116" s="79"/>
      <c r="AO116" s="117" t="e">
        <f aca="false">SUMIFS(tabela_registros[VALOR],tabela_registros[MÊS],$AE$1,tabela_registros[REGISTRO],DADOS!$N$5,tabela_registros[TIPO],DADOS!$AB$3,tabela_registros[CATEGORIA],investirrendafixaconsolidadodez[[#This Row],[ATUAL]],#REF!,DADOS!$J$4)</f>
        <v>#VALUE!</v>
      </c>
      <c r="AP116" s="117" t="e">
        <f aca="false">SUMIFS(tabela_registros[VALOR],tabela_registros[MÊS],$AE$1,tabela_registros[REGISTRO],DADOS!$N$5,tabela_registros[TIPO],DADOS!$AB$3,tabela_registros[CATEGORIA],investirrendafixaconsolidadodez[[#This Row],[ATUAL]],#REF!,DADOS!$J$3)</f>
        <v>#VALUE!</v>
      </c>
      <c r="AQ116" s="118" t="e">
        <f aca="false">(investirrendafixaconsolidadoanual[[#This Row],[TOTAL (R$)]]*$AQ$123)/$Q$123</f>
        <v>#DIV/0!</v>
      </c>
    </row>
    <row r="117" customFormat="false" ht="19.5" hidden="false" customHeight="true" outlineLevel="0" collapsed="false">
      <c r="B117" s="143"/>
      <c r="C117" s="144" t="str">
        <f aca="false">DADOS!$AD$7</f>
        <v>📝 EXTERIOR</v>
      </c>
      <c r="D117" s="145" t="str">
        <f aca="false">IF(investirrendafixaconsolidadoanual[[#This Row],[TOTAL (R$)]]=0,"",IF(OR(investirrendafixaconsolidadoanual[[#This Row],[TOTAL (R$)]]=LARGE($Q$113:$Q$122,1),investirrendafixaconsolidadoanual[[#This Row],[TOTAL (R$)]]=LARGE($Q$113:$Q$122,2)),DADOS!$I$10,""))</f>
        <v/>
      </c>
      <c r="E117" s="148" t="n">
        <f aca="false">investirrendafixaconsolidado2829[[#This Row],[TOTAL (R$)]]</f>
        <v>0</v>
      </c>
      <c r="F117" s="119" t="n">
        <f aca="false">investirrendafixaconsolidadofev[[#This Row],[TOTAL (R$)]]</f>
        <v>0</v>
      </c>
      <c r="G117" s="119" t="n">
        <f aca="false">investirrendafixaconsolidadomar[[#This Row],[TOTAL (R$)]]</f>
        <v>0</v>
      </c>
      <c r="H117" s="119" t="n">
        <f aca="false">investirrendafixaconsolidadoabr[[#This Row],[TOTAL (R$)]]</f>
        <v>0</v>
      </c>
      <c r="I117" s="119" t="n">
        <f aca="false">investirrendafixaconsolidadomai[[#This Row],[TOTAL (R$)]]</f>
        <v>0</v>
      </c>
      <c r="J117" s="119" t="n">
        <f aca="false">investirrendafixaconsolidadojun[[#This Row],[TOTAL (R$)]]</f>
        <v>0</v>
      </c>
      <c r="K117" s="119" t="n">
        <f aca="false">investirrendafixaconsolidadojul[[#This Row],[TOTAL (R$)]]</f>
        <v>0</v>
      </c>
      <c r="L117" s="119" t="n">
        <f aca="false">investirrendafixaconsolidadoago[[#This Row],[TOTAL (R$)]]</f>
        <v>0</v>
      </c>
      <c r="M117" s="119" t="n">
        <f aca="false">investirrendafixaconsolidadoset[[#This Row],[TOTAL (R$)]]</f>
        <v>0</v>
      </c>
      <c r="N117" s="119" t="n">
        <f aca="false">investirrendafixaconsolidadoout[[#This Row],[TOTAL (R$)]]</f>
        <v>0</v>
      </c>
      <c r="O117" s="119" t="n">
        <f aca="false">investirrendafixaconsolidadonov[[#This Row],[TOTAL (R$)]]</f>
        <v>0</v>
      </c>
      <c r="P117" s="119" t="n">
        <f aca="false">investirrendafixaconsolidadodez[[#This Row],[TOTAL (R$)]]</f>
        <v>0</v>
      </c>
      <c r="Q117" s="149" t="n">
        <f aca="false">SUM(investirrendafixaconsolidadoanual[[#This Row],[1]:[12]])</f>
        <v>0</v>
      </c>
      <c r="R117" s="165"/>
      <c r="AH117" s="79"/>
      <c r="AO117" s="117" t="e">
        <f aca="false">SUMIFS(tabela_registros[VALOR],tabela_registros[MÊS],$AE$1,tabela_registros[REGISTRO],DADOS!$N$5,tabela_registros[TIPO],DADOS!$AB$3,tabela_registros[CATEGORIA],investirrendafixaconsolidadodez[[#This Row],[ATUAL]],#REF!,DADOS!$J$4)</f>
        <v>#VALUE!</v>
      </c>
      <c r="AP117" s="117" t="e">
        <f aca="false">SUMIFS(tabela_registros[VALOR],tabela_registros[MÊS],$AE$1,tabela_registros[REGISTRO],DADOS!$N$5,tabela_registros[TIPO],DADOS!$AB$3,tabela_registros[CATEGORIA],investirrendafixaconsolidadodez[[#This Row],[ATUAL]],#REF!,DADOS!$J$3)</f>
        <v>#VALUE!</v>
      </c>
      <c r="AQ117" s="118" t="e">
        <f aca="false">(investirrendafixaconsolidadoanual[[#This Row],[TOTAL (R$)]]*$AQ$123)/$Q$123</f>
        <v>#DIV/0!</v>
      </c>
    </row>
    <row r="118" customFormat="false" ht="19.5" hidden="false" customHeight="true" outlineLevel="0" collapsed="false">
      <c r="B118" s="143"/>
      <c r="C118" s="144" t="str">
        <f aca="false">DADOS!$AD$8</f>
        <v>📝 LC</v>
      </c>
      <c r="D118" s="145" t="str">
        <f aca="false">IF(investirrendafixaconsolidadoanual[[#This Row],[TOTAL (R$)]]=0,"",IF(OR(investirrendafixaconsolidadoanual[[#This Row],[TOTAL (R$)]]=LARGE($Q$113:$Q$122,1),investirrendafixaconsolidadoanual[[#This Row],[TOTAL (R$)]]=LARGE($Q$113:$Q$122,2)),DADOS!$I$10,""))</f>
        <v/>
      </c>
      <c r="E118" s="148" t="n">
        <f aca="false">investirrendafixaconsolidado2829[[#This Row],[TOTAL (R$)]]</f>
        <v>0</v>
      </c>
      <c r="F118" s="119" t="n">
        <f aca="false">investirrendafixaconsolidadofev[[#This Row],[TOTAL (R$)]]</f>
        <v>0</v>
      </c>
      <c r="G118" s="119" t="n">
        <f aca="false">investirrendafixaconsolidadomar[[#This Row],[TOTAL (R$)]]</f>
        <v>0</v>
      </c>
      <c r="H118" s="119" t="n">
        <f aca="false">investirrendafixaconsolidadoabr[[#This Row],[TOTAL (R$)]]</f>
        <v>0</v>
      </c>
      <c r="I118" s="119" t="n">
        <f aca="false">investirrendafixaconsolidadomai[[#This Row],[TOTAL (R$)]]</f>
        <v>0</v>
      </c>
      <c r="J118" s="119" t="n">
        <f aca="false">investirrendafixaconsolidadojun[[#This Row],[TOTAL (R$)]]</f>
        <v>0</v>
      </c>
      <c r="K118" s="119" t="n">
        <f aca="false">investirrendafixaconsolidadojul[[#This Row],[TOTAL (R$)]]</f>
        <v>0</v>
      </c>
      <c r="L118" s="119" t="n">
        <f aca="false">investirrendafixaconsolidadoago[[#This Row],[TOTAL (R$)]]</f>
        <v>0</v>
      </c>
      <c r="M118" s="119" t="n">
        <f aca="false">investirrendafixaconsolidadoset[[#This Row],[TOTAL (R$)]]</f>
        <v>0</v>
      </c>
      <c r="N118" s="119" t="n">
        <f aca="false">investirrendafixaconsolidadoout[[#This Row],[TOTAL (R$)]]</f>
        <v>0</v>
      </c>
      <c r="O118" s="119" t="n">
        <f aca="false">investirrendafixaconsolidadonov[[#This Row],[TOTAL (R$)]]</f>
        <v>0</v>
      </c>
      <c r="P118" s="119" t="n">
        <f aca="false">investirrendafixaconsolidadodez[[#This Row],[TOTAL (R$)]]</f>
        <v>0</v>
      </c>
      <c r="Q118" s="149" t="n">
        <f aca="false">SUM(investirrendafixaconsolidadoanual[[#This Row],[1]:[12]])</f>
        <v>0</v>
      </c>
      <c r="R118" s="165"/>
      <c r="AH118" s="79"/>
      <c r="AO118" s="117" t="e">
        <f aca="false">SUMIFS(tabela_registros[VALOR],tabela_registros[MÊS],$AE$1,tabela_registros[REGISTRO],DADOS!$N$5,tabela_registros[TIPO],DADOS!$AB$3,tabela_registros[CATEGORIA],investirrendafixaconsolidadodez[[#This Row],[ATUAL]],#REF!,DADOS!$J$4)</f>
        <v>#VALUE!</v>
      </c>
      <c r="AP118" s="117" t="e">
        <f aca="false">SUMIFS(tabela_registros[VALOR],tabela_registros[MÊS],$AE$1,tabela_registros[REGISTRO],DADOS!$N$5,tabela_registros[TIPO],DADOS!$AB$3,tabela_registros[CATEGORIA],investirrendafixaconsolidadodez[[#This Row],[ATUAL]],#REF!,DADOS!$J$3)</f>
        <v>#VALUE!</v>
      </c>
      <c r="AQ118" s="118" t="e">
        <f aca="false">(investirrendafixaconsolidadoanual[[#This Row],[TOTAL (R$)]]*$AQ$123)/$Q$123</f>
        <v>#DIV/0!</v>
      </c>
    </row>
    <row r="119" customFormat="false" ht="19.5" hidden="false" customHeight="true" outlineLevel="0" collapsed="false">
      <c r="B119" s="143"/>
      <c r="C119" s="144" t="str">
        <f aca="false">DADOS!$AD$9</f>
        <v>📝 LCA</v>
      </c>
      <c r="D119" s="145" t="str">
        <f aca="false">IF(investirrendafixaconsolidadoanual[[#This Row],[TOTAL (R$)]]=0,"",IF(OR(investirrendafixaconsolidadoanual[[#This Row],[TOTAL (R$)]]=LARGE($Q$113:$Q$122,1),investirrendafixaconsolidadoanual[[#This Row],[TOTAL (R$)]]=LARGE($Q$113:$Q$122,2)),DADOS!$I$10,""))</f>
        <v/>
      </c>
      <c r="E119" s="148" t="n">
        <f aca="false">investirrendafixaconsolidado2829[[#This Row],[TOTAL (R$)]]</f>
        <v>0</v>
      </c>
      <c r="F119" s="119" t="n">
        <f aca="false">investirrendafixaconsolidadofev[[#This Row],[TOTAL (R$)]]</f>
        <v>0</v>
      </c>
      <c r="G119" s="119" t="n">
        <f aca="false">investirrendafixaconsolidadomar[[#This Row],[TOTAL (R$)]]</f>
        <v>0</v>
      </c>
      <c r="H119" s="119" t="n">
        <f aca="false">investirrendafixaconsolidadoabr[[#This Row],[TOTAL (R$)]]</f>
        <v>0</v>
      </c>
      <c r="I119" s="119" t="n">
        <f aca="false">investirrendafixaconsolidadomai[[#This Row],[TOTAL (R$)]]</f>
        <v>0</v>
      </c>
      <c r="J119" s="119" t="n">
        <f aca="false">investirrendafixaconsolidadojun[[#This Row],[TOTAL (R$)]]</f>
        <v>0</v>
      </c>
      <c r="K119" s="119" t="n">
        <f aca="false">investirrendafixaconsolidadojul[[#This Row],[TOTAL (R$)]]</f>
        <v>0</v>
      </c>
      <c r="L119" s="119" t="n">
        <f aca="false">investirrendafixaconsolidadoago[[#This Row],[TOTAL (R$)]]</f>
        <v>0</v>
      </c>
      <c r="M119" s="119" t="n">
        <f aca="false">investirrendafixaconsolidadoset[[#This Row],[TOTAL (R$)]]</f>
        <v>0</v>
      </c>
      <c r="N119" s="119" t="n">
        <f aca="false">investirrendafixaconsolidadoout[[#This Row],[TOTAL (R$)]]</f>
        <v>0</v>
      </c>
      <c r="O119" s="119" t="n">
        <f aca="false">investirrendafixaconsolidadonov[[#This Row],[TOTAL (R$)]]</f>
        <v>0</v>
      </c>
      <c r="P119" s="119" t="n">
        <f aca="false">investirrendafixaconsolidadodez[[#This Row],[TOTAL (R$)]]</f>
        <v>0</v>
      </c>
      <c r="Q119" s="149" t="n">
        <f aca="false">SUM(investirrendafixaconsolidadoanual[[#This Row],[1]:[12]])</f>
        <v>0</v>
      </c>
      <c r="R119" s="165"/>
      <c r="AH119" s="79"/>
      <c r="AO119" s="117" t="e">
        <f aca="false">SUMIFS(tabela_registros[VALOR],tabela_registros[MÊS],$AE$1,tabela_registros[REGISTRO],DADOS!$N$5,tabela_registros[TIPO],DADOS!$AB$3,tabela_registros[CATEGORIA],investirrendafixaconsolidadodez[[#This Row],[ATUAL]],#REF!,DADOS!$J$4)</f>
        <v>#VALUE!</v>
      </c>
      <c r="AP119" s="117" t="e">
        <f aca="false">SUMIFS(tabela_registros[VALOR],tabela_registros[MÊS],$AE$1,tabela_registros[REGISTRO],DADOS!$N$5,tabela_registros[TIPO],DADOS!$AB$3,tabela_registros[CATEGORIA],investirrendafixaconsolidadodez[[#This Row],[ATUAL]],#REF!,DADOS!$J$3)</f>
        <v>#VALUE!</v>
      </c>
      <c r="AQ119" s="118" t="e">
        <f aca="false">(investirrendafixaconsolidadoanual[[#This Row],[TOTAL (R$)]]*$AQ$123)/$Q$123</f>
        <v>#DIV/0!</v>
      </c>
    </row>
    <row r="120" customFormat="false" ht="19.5" hidden="false" customHeight="true" outlineLevel="0" collapsed="false">
      <c r="B120" s="143"/>
      <c r="C120" s="144" t="str">
        <f aca="false">DADOS!$AD$10</f>
        <v>📝 LCI</v>
      </c>
      <c r="D120" s="145" t="str">
        <f aca="false">IF(investirrendafixaconsolidadoanual[[#This Row],[TOTAL (R$)]]=0,"",IF(OR(investirrendafixaconsolidadoanual[[#This Row],[TOTAL (R$)]]=LARGE($Q$113:$Q$122,1),investirrendafixaconsolidadoanual[[#This Row],[TOTAL (R$)]]=LARGE($Q$113:$Q$122,2)),DADOS!$I$10,""))</f>
        <v/>
      </c>
      <c r="E120" s="148" t="n">
        <f aca="false">investirrendafixaconsolidado2829[[#This Row],[TOTAL (R$)]]</f>
        <v>0</v>
      </c>
      <c r="F120" s="119" t="n">
        <f aca="false">investirrendafixaconsolidadofev[[#This Row],[TOTAL (R$)]]</f>
        <v>0</v>
      </c>
      <c r="G120" s="119" t="n">
        <f aca="false">investirrendafixaconsolidadomar[[#This Row],[TOTAL (R$)]]</f>
        <v>0</v>
      </c>
      <c r="H120" s="119" t="n">
        <f aca="false">investirrendafixaconsolidadoabr[[#This Row],[TOTAL (R$)]]</f>
        <v>0</v>
      </c>
      <c r="I120" s="119" t="n">
        <f aca="false">investirrendafixaconsolidadomai[[#This Row],[TOTAL (R$)]]</f>
        <v>0</v>
      </c>
      <c r="J120" s="119" t="n">
        <f aca="false">investirrendafixaconsolidadojun[[#This Row],[TOTAL (R$)]]</f>
        <v>0</v>
      </c>
      <c r="K120" s="119" t="n">
        <f aca="false">investirrendafixaconsolidadojul[[#This Row],[TOTAL (R$)]]</f>
        <v>0</v>
      </c>
      <c r="L120" s="119" t="n">
        <f aca="false">investirrendafixaconsolidadoago[[#This Row],[TOTAL (R$)]]</f>
        <v>0</v>
      </c>
      <c r="M120" s="119" t="n">
        <f aca="false">investirrendafixaconsolidadoset[[#This Row],[TOTAL (R$)]]</f>
        <v>0</v>
      </c>
      <c r="N120" s="119" t="n">
        <f aca="false">investirrendafixaconsolidadoout[[#This Row],[TOTAL (R$)]]</f>
        <v>0</v>
      </c>
      <c r="O120" s="119" t="n">
        <f aca="false">investirrendafixaconsolidadonov[[#This Row],[TOTAL (R$)]]</f>
        <v>0</v>
      </c>
      <c r="P120" s="119" t="n">
        <f aca="false">investirrendafixaconsolidadodez[[#This Row],[TOTAL (R$)]]</f>
        <v>0</v>
      </c>
      <c r="Q120" s="149" t="n">
        <f aca="false">SUM(investirrendafixaconsolidadoanual[[#This Row],[1]:[12]])</f>
        <v>0</v>
      </c>
      <c r="R120" s="165"/>
      <c r="AH120" s="79"/>
      <c r="AO120" s="117" t="e">
        <f aca="false">SUMIFS(tabela_registros[VALOR],tabela_registros[MÊS],$AE$1,tabela_registros[REGISTRO],DADOS!$N$5,tabela_registros[TIPO],DADOS!$AB$3,tabela_registros[CATEGORIA],investirrendafixaconsolidadodez[[#This Row],[ATUAL]],#REF!,DADOS!$J$4)</f>
        <v>#VALUE!</v>
      </c>
      <c r="AP120" s="117" t="e">
        <f aca="false">SUMIFS(tabela_registros[VALOR],tabela_registros[MÊS],$AE$1,tabela_registros[REGISTRO],DADOS!$N$5,tabela_registros[TIPO],DADOS!$AB$3,tabela_registros[CATEGORIA],investirrendafixaconsolidadodez[[#This Row],[ATUAL]],#REF!,DADOS!$J$3)</f>
        <v>#VALUE!</v>
      </c>
      <c r="AQ120" s="118" t="e">
        <f aca="false">(investirrendafixaconsolidadoanual[[#This Row],[TOTAL (R$)]]*$AQ$123)/$Q$123</f>
        <v>#DIV/0!</v>
      </c>
    </row>
    <row r="121" customFormat="false" ht="19.5" hidden="false" customHeight="true" outlineLevel="0" collapsed="false">
      <c r="B121" s="143"/>
      <c r="C121" s="144" t="str">
        <f aca="false">DADOS!$AD$11</f>
        <v>📝 TESOURO DIRETO</v>
      </c>
      <c r="D121" s="145" t="str">
        <f aca="false">IF(investirrendafixaconsolidadoanual[[#This Row],[TOTAL (R$)]]=0,"",IF(OR(investirrendafixaconsolidadoanual[[#This Row],[TOTAL (R$)]]=LARGE($Q$113:$Q$122,1),investirrendafixaconsolidadoanual[[#This Row],[TOTAL (R$)]]=LARGE($Q$113:$Q$122,2)),DADOS!$I$10,""))</f>
        <v/>
      </c>
      <c r="E121" s="148" t="n">
        <f aca="false">investirrendafixaconsolidado2829[[#This Row],[TOTAL (R$)]]</f>
        <v>0</v>
      </c>
      <c r="F121" s="119" t="n">
        <f aca="false">investirrendafixaconsolidadofev[[#This Row],[TOTAL (R$)]]</f>
        <v>0</v>
      </c>
      <c r="G121" s="119" t="n">
        <f aca="false">investirrendafixaconsolidadomar[[#This Row],[TOTAL (R$)]]</f>
        <v>0</v>
      </c>
      <c r="H121" s="119" t="n">
        <f aca="false">investirrendafixaconsolidadoabr[[#This Row],[TOTAL (R$)]]</f>
        <v>0</v>
      </c>
      <c r="I121" s="119" t="n">
        <f aca="false">investirrendafixaconsolidadomai[[#This Row],[TOTAL (R$)]]</f>
        <v>0</v>
      </c>
      <c r="J121" s="119" t="n">
        <f aca="false">investirrendafixaconsolidadojun[[#This Row],[TOTAL (R$)]]</f>
        <v>0</v>
      </c>
      <c r="K121" s="119" t="n">
        <f aca="false">investirrendafixaconsolidadojul[[#This Row],[TOTAL (R$)]]</f>
        <v>0</v>
      </c>
      <c r="L121" s="119" t="n">
        <f aca="false">investirrendafixaconsolidadoago[[#This Row],[TOTAL (R$)]]</f>
        <v>0</v>
      </c>
      <c r="M121" s="119" t="n">
        <f aca="false">investirrendafixaconsolidadoset[[#This Row],[TOTAL (R$)]]</f>
        <v>0</v>
      </c>
      <c r="N121" s="119" t="n">
        <f aca="false">investirrendafixaconsolidadoout[[#This Row],[TOTAL (R$)]]</f>
        <v>0</v>
      </c>
      <c r="O121" s="119" t="n">
        <f aca="false">investirrendafixaconsolidadonov[[#This Row],[TOTAL (R$)]]</f>
        <v>0</v>
      </c>
      <c r="P121" s="119" t="n">
        <f aca="false">investirrendafixaconsolidadodez[[#This Row],[TOTAL (R$)]]</f>
        <v>0</v>
      </c>
      <c r="Q121" s="149" t="n">
        <f aca="false">SUM(investirrendafixaconsolidadoanual[[#This Row],[1]:[12]])</f>
        <v>0</v>
      </c>
      <c r="R121" s="165"/>
      <c r="AH121" s="79"/>
      <c r="AO121" s="117" t="e">
        <f aca="false">SUMIFS(tabela_registros[VALOR],tabela_registros[MÊS],$AE$1,tabela_registros[REGISTRO],DADOS!$N$5,tabela_registros[TIPO],DADOS!$AB$3,tabela_registros[CATEGORIA],investirrendafixaconsolidadodez[[#This Row],[ATUAL]],#REF!,DADOS!$J$4)</f>
        <v>#VALUE!</v>
      </c>
      <c r="AP121" s="117" t="e">
        <f aca="false">SUMIFS(tabela_registros[VALOR],tabela_registros[MÊS],$AE$1,tabela_registros[REGISTRO],DADOS!$N$5,tabela_registros[TIPO],DADOS!$AB$3,tabela_registros[CATEGORIA],investirrendafixaconsolidadodez[[#This Row],[ATUAL]],#REF!,DADOS!$J$3)</f>
        <v>#VALUE!</v>
      </c>
      <c r="AQ121" s="118" t="e">
        <f aca="false">(investirrendafixaconsolidadoanual[[#This Row],[TOTAL (R$)]]*$AQ$123)/$Q$123</f>
        <v>#DIV/0!</v>
      </c>
    </row>
    <row r="122" customFormat="false" ht="19.5" hidden="false" customHeight="true" outlineLevel="0" collapsed="false">
      <c r="B122" s="143"/>
      <c r="C122" s="144" t="str">
        <f aca="false">DADOS!$AD$12</f>
        <v>📎 OUTROS</v>
      </c>
      <c r="D122" s="145" t="str">
        <f aca="false">IF(investirrendafixaconsolidadoanual[[#This Row],[TOTAL (R$)]]=0,"",IF(OR(investirrendafixaconsolidadoanual[[#This Row],[TOTAL (R$)]]=LARGE($Q$113:$Q$122,1),investirrendafixaconsolidadoanual[[#This Row],[TOTAL (R$)]]=LARGE($Q$113:$Q$122,2)),DADOS!$I$10,""))</f>
        <v/>
      </c>
      <c r="E122" s="148" t="n">
        <f aca="false">investirrendafixaconsolidado2829[[#This Row],[TOTAL (R$)]]</f>
        <v>0</v>
      </c>
      <c r="F122" s="119" t="n">
        <f aca="false">investirrendafixaconsolidadofev[[#This Row],[TOTAL (R$)]]</f>
        <v>0</v>
      </c>
      <c r="G122" s="119" t="n">
        <f aca="false">investirrendafixaconsolidadomar[[#This Row],[TOTAL (R$)]]</f>
        <v>0</v>
      </c>
      <c r="H122" s="119" t="n">
        <f aca="false">investirrendafixaconsolidadoabr[[#This Row],[TOTAL (R$)]]</f>
        <v>0</v>
      </c>
      <c r="I122" s="119" t="n">
        <f aca="false">investirrendafixaconsolidadomai[[#This Row],[TOTAL (R$)]]</f>
        <v>0</v>
      </c>
      <c r="J122" s="119" t="n">
        <f aca="false">investirrendafixaconsolidadojun[[#This Row],[TOTAL (R$)]]</f>
        <v>0</v>
      </c>
      <c r="K122" s="119" t="n">
        <f aca="false">investirrendafixaconsolidadojul[[#This Row],[TOTAL (R$)]]</f>
        <v>0</v>
      </c>
      <c r="L122" s="119" t="n">
        <f aca="false">investirrendafixaconsolidadoago[[#This Row],[TOTAL (R$)]]</f>
        <v>0</v>
      </c>
      <c r="M122" s="119" t="n">
        <f aca="false">investirrendafixaconsolidadoset[[#This Row],[TOTAL (R$)]]</f>
        <v>0</v>
      </c>
      <c r="N122" s="119" t="n">
        <f aca="false">investirrendafixaconsolidadoout[[#This Row],[TOTAL (R$)]]</f>
        <v>0</v>
      </c>
      <c r="O122" s="119" t="n">
        <f aca="false">investirrendafixaconsolidadonov[[#This Row],[TOTAL (R$)]]</f>
        <v>0</v>
      </c>
      <c r="P122" s="119" t="n">
        <f aca="false">investirrendafixaconsolidadodez[[#This Row],[TOTAL (R$)]]</f>
        <v>0</v>
      </c>
      <c r="Q122" s="149" t="n">
        <f aca="false">SUM(investirrendafixaconsolidadoanual[[#This Row],[1]:[12]])</f>
        <v>0</v>
      </c>
      <c r="R122" s="165"/>
      <c r="AH122" s="79"/>
      <c r="AN122" s="79" t="s">
        <v>78</v>
      </c>
      <c r="AO122" s="117" t="e">
        <f aca="false">SUMIFS(tabela_registros[VALOR],tabela_registros[MÊS],$AE$1,tabela_registros[REGISTRO],DADOS!$N$5,tabela_registros[TIPO],DADOS!$AB$3,tabela_registros[CATEGORIA],investirrendafixaconsolidadodez[[#This Row],[ATUAL]],#REF!,DADOS!$J$4)</f>
        <v>#VALUE!</v>
      </c>
      <c r="AP122" s="117" t="e">
        <f aca="false">SUMIFS(tabela_registros[VALOR],tabela_registros[MÊS],$AE$1,tabela_registros[REGISTRO],DADOS!$N$5,tabela_registros[TIPO],DADOS!$AB$3,tabela_registros[CATEGORIA],investirrendafixaconsolidadodez[[#This Row],[ATUAL]],#REF!,DADOS!$J$3)</f>
        <v>#VALUE!</v>
      </c>
      <c r="AQ122" s="118" t="e">
        <f aca="false">(investirrendafixaconsolidadoanual[[#This Row],[TOTAL (R$)]]*$AQ$123)/$Q$123</f>
        <v>#DIV/0!</v>
      </c>
    </row>
    <row r="123" s="130" customFormat="true" ht="21" hidden="false" customHeight="true" outlineLevel="0" collapsed="false">
      <c r="A123" s="122"/>
      <c r="B123" s="152"/>
      <c r="C123" s="153" t="s">
        <v>2</v>
      </c>
      <c r="D123" s="166"/>
      <c r="E123" s="155" t="n">
        <f aca="false">investirrendafixaconsolidado2829[[#This Row],[TOTAL (R$)]]</f>
        <v>0</v>
      </c>
      <c r="F123" s="156" t="n">
        <f aca="false">investirrendafixaconsolidadofev[[#This Row],[TOTAL (R$)]]+investirrendafixaconsolidadoanual[[#This Row],[1]]</f>
        <v>0</v>
      </c>
      <c r="G123" s="156" t="n">
        <f aca="false">investirrendafixaconsolidadomar[[#This Row],[TOTAL (R$)]]+investirrendafixaconsolidadoanual[[#This Row],[2]]</f>
        <v>0</v>
      </c>
      <c r="H123" s="156" t="n">
        <f aca="false">investirrendafixaconsolidadoabr[[#This Row],[TOTAL (R$)]]+investirrendafixaconsolidadoanual[[#This Row],[3]]</f>
        <v>0</v>
      </c>
      <c r="I123" s="156" t="n">
        <f aca="false">investirrendafixaconsolidadomai[[#This Row],[TOTAL (R$)]]+investirrendafixaconsolidadoanual[[#This Row],[4]]</f>
        <v>0</v>
      </c>
      <c r="J123" s="156" t="n">
        <f aca="false">investirrendafixaconsolidadojun[[#This Row],[TOTAL (R$)]]+investirrendafixaconsolidadoanual[[#This Row],[5]]</f>
        <v>0</v>
      </c>
      <c r="K123" s="156" t="n">
        <f aca="false">investirrendafixaconsolidadojul[[#This Row],[TOTAL (R$)]]+investirrendafixaconsolidadoanual[[#This Row],[6]]</f>
        <v>0</v>
      </c>
      <c r="L123" s="156" t="n">
        <f aca="false">investirrendafixaconsolidadoago[[#This Row],[TOTAL (R$)]]+investirrendafixaconsolidadoanual[[#This Row],[7]]</f>
        <v>0</v>
      </c>
      <c r="M123" s="156" t="n">
        <f aca="false">investirrendafixaconsolidadoset[[#This Row],[TOTAL (R$)]]+investirrendafixaconsolidadoanual[[#This Row],[8]]</f>
        <v>0</v>
      </c>
      <c r="N123" s="156" t="n">
        <f aca="false">investirrendafixaconsolidadoout[[#This Row],[TOTAL (R$)]]+investirrendafixaconsolidadoanual[[#This Row],[9]]</f>
        <v>0</v>
      </c>
      <c r="O123" s="156" t="n">
        <f aca="false">investirrendafixaconsolidadonov[[#This Row],[TOTAL (R$)]]+investirrendafixaconsolidadoanual[[#This Row],[10]]</f>
        <v>0</v>
      </c>
      <c r="P123" s="156" t="n">
        <f aca="false">investirrendafixaconsolidadodez[[#This Row],[TOTAL (R$)]]+investirrendafixaconsolidadoanual[[#This Row],[11]]</f>
        <v>0</v>
      </c>
      <c r="Q123" s="157" t="n">
        <f aca="false">investirrendafixaconsolidadoanual[[#This Row],[12]]</f>
        <v>0</v>
      </c>
      <c r="R123" s="158"/>
      <c r="S123" s="78"/>
      <c r="T123" s="78"/>
      <c r="U123" s="78"/>
      <c r="V123" s="78"/>
      <c r="W123" s="78"/>
      <c r="X123" s="78"/>
      <c r="Y123" s="78"/>
      <c r="Z123" s="78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N123" s="132" t="e">
        <f aca="false">investirrendafixaconsolidadoanual[[#This Row],[TOTAL (R$)]]/$Q$25</f>
        <v>#DIV/0!</v>
      </c>
      <c r="AO123" s="131" t="e">
        <f aca="false">SUM(AO113:AO122)</f>
        <v>#VALUE!</v>
      </c>
      <c r="AP123" s="131" t="e">
        <f aca="false">SUM(AP113:AP122)</f>
        <v>#VALUE!</v>
      </c>
      <c r="AQ123" s="118" t="n">
        <f aca="false">1</f>
        <v>1</v>
      </c>
    </row>
    <row r="124" customFormat="false" ht="6.75" hidden="false" customHeight="true" outlineLevel="0" collapsed="false">
      <c r="B124" s="97"/>
      <c r="C124" s="162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4"/>
      <c r="AH124" s="79"/>
    </row>
    <row r="125" customFormat="false" ht="12.75" hidden="false" customHeight="false" outlineLevel="0" collapsed="false">
      <c r="E125" s="100"/>
      <c r="AH125" s="79"/>
    </row>
    <row r="126" customFormat="false" ht="12" hidden="false" customHeight="false" outlineLevel="0" collapsed="false">
      <c r="AH126" s="79"/>
    </row>
    <row r="127" customFormat="false" ht="12" hidden="false" customHeight="false" outlineLevel="0" collapsed="false">
      <c r="AH127" s="79"/>
    </row>
    <row r="128" customFormat="false" ht="39.75" hidden="false" customHeight="true" outlineLevel="0" collapsed="false">
      <c r="C128" s="101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3" t="s">
        <v>2</v>
      </c>
      <c r="R128" s="104"/>
      <c r="AH128" s="79"/>
    </row>
    <row r="129" customFormat="false" ht="12.75" hidden="false" customHeight="false" outlineLevel="0" collapsed="false">
      <c r="B129" s="161"/>
      <c r="Q129" s="106" t="s">
        <v>64</v>
      </c>
      <c r="AH129" s="79"/>
    </row>
    <row r="130" customFormat="false" ht="6.75" hidden="false" customHeight="true" outlineLevel="0" collapsed="false">
      <c r="B130" s="86"/>
      <c r="C130" s="162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4"/>
      <c r="AH130" s="79"/>
      <c r="AO130" s="108" t="s">
        <v>65</v>
      </c>
      <c r="AP130" s="108" t="s">
        <v>66</v>
      </c>
      <c r="AQ130" s="108" t="s">
        <v>67</v>
      </c>
    </row>
    <row r="131" customFormat="false" ht="13.5" hidden="true" customHeight="false" outlineLevel="0" collapsed="false">
      <c r="B131" s="86"/>
      <c r="C131" s="109" t="s">
        <v>68</v>
      </c>
      <c r="D131" s="110" t="s">
        <v>69</v>
      </c>
      <c r="E131" s="110" t="s">
        <v>30</v>
      </c>
      <c r="F131" s="110" t="s">
        <v>31</v>
      </c>
      <c r="G131" s="110" t="s">
        <v>32</v>
      </c>
      <c r="H131" s="110" t="s">
        <v>33</v>
      </c>
      <c r="I131" s="110" t="s">
        <v>34</v>
      </c>
      <c r="J131" s="110" t="s">
        <v>35</v>
      </c>
      <c r="K131" s="110" t="s">
        <v>36</v>
      </c>
      <c r="L131" s="110" t="s">
        <v>37</v>
      </c>
      <c r="M131" s="110" t="s">
        <v>38</v>
      </c>
      <c r="N131" s="110" t="s">
        <v>39</v>
      </c>
      <c r="O131" s="110" t="s">
        <v>40</v>
      </c>
      <c r="P131" s="110" t="s">
        <v>41</v>
      </c>
      <c r="Q131" s="111" t="s">
        <v>70</v>
      </c>
      <c r="R131" s="143"/>
      <c r="V131" s="78" t="n">
        <v>5555</v>
      </c>
      <c r="AH131" s="79"/>
    </row>
    <row r="132" customFormat="false" ht="19.5" hidden="false" customHeight="true" outlineLevel="0" collapsed="false">
      <c r="B132" s="143"/>
      <c r="C132" s="144" t="str">
        <f aca="false">DADOS!$AF$3</f>
        <v>📝 AÇÃO</v>
      </c>
      <c r="D132" s="145" t="str">
        <f aca="false">IF(investirrendavariávelconsolidadoanual[[#This Row],[TOTAL (R$)]]=0,"",IF(OR(investirrendavariávelconsolidadoanual[[#This Row],[TOTAL (R$)]]=LARGE($Q$132:$Q$141,1),investirrendavariávelconsolidadoanual[[#This Row],[TOTAL (R$)]]=LARGE($Q$132:$Q$141,2)),DADOS!$I$10,""))</f>
        <v/>
      </c>
      <c r="E132" s="148" t="n">
        <f aca="false">investirrendavariávelconsolidado282931[[#This Row],[TOTAL (R$)]]</f>
        <v>0</v>
      </c>
      <c r="F132" s="119" t="n">
        <f aca="false">investirrendavariávelconsolidadofev[[#This Row],[TOTAL (R$)]]</f>
        <v>0</v>
      </c>
      <c r="G132" s="119" t="n">
        <f aca="false">investirrendavariávelconsolidadomar[[#This Row],[TOTAL (R$)]]</f>
        <v>0</v>
      </c>
      <c r="H132" s="119" t="n">
        <f aca="false">investirrendavariávelconsolidadoabr[[#This Row],[TOTAL (R$)]]</f>
        <v>0</v>
      </c>
      <c r="I132" s="119" t="n">
        <f aca="false">investirrendavariávelconsolidadomai[[#This Row],[TOTAL (R$)]]</f>
        <v>0</v>
      </c>
      <c r="J132" s="119" t="n">
        <f aca="false">investirrendavariávelconsolidadojun[[#This Row],[TOTAL (R$)]]</f>
        <v>0</v>
      </c>
      <c r="K132" s="119" t="n">
        <f aca="false">investirrendavariávelconsolidadojul[[#This Row],[TOTAL (R$)]]</f>
        <v>0</v>
      </c>
      <c r="L132" s="119" t="n">
        <f aca="false">investirrendavariávelconsolidadoago[[#This Row],[TOTAL (R$)]]</f>
        <v>0</v>
      </c>
      <c r="M132" s="119" t="n">
        <f aca="false">investirrendavariávelconsolidadoset[[#This Row],[TOTAL (R$)]]</f>
        <v>0</v>
      </c>
      <c r="N132" s="119" t="n">
        <f aca="false">investirrendavariávelconsolidadoout[[#This Row],[TOTAL (R$)]]</f>
        <v>0</v>
      </c>
      <c r="O132" s="119" t="n">
        <f aca="false">investirrendavariávelconsolidadonov[[#This Row],[TOTAL (R$)]]</f>
        <v>0</v>
      </c>
      <c r="P132" s="119" t="n">
        <f aca="false">investirrendavariávelconsolidadodez[[#This Row],[TOTAL (R$)]]</f>
        <v>0</v>
      </c>
      <c r="Q132" s="149" t="n">
        <f aca="false">SUM(investirrendavariávelconsolidadoanual[[#This Row],[1]:[12]])</f>
        <v>0</v>
      </c>
      <c r="R132" s="165"/>
      <c r="AH132" s="79"/>
      <c r="AO132" s="117" t="e">
        <f aca="false">SUMIFS(tabela_registros[VALOR],tabela_registros[MÊS],$AE$1,tabela_registros[REGISTRO],DADOS!$N$5,tabela_registros[TIPO],DADOS!$AB$4,tabela_registros[CATEGORIA],investirrendavariávelconsolidadodez[[#This Row],[ATUAL]],#REF!,DADOS!$J$4)</f>
        <v>#VALUE!</v>
      </c>
      <c r="AP132" s="117" t="e">
        <f aca="false">SUMIFS(tabela_registros[VALOR],tabela_registros[MÊS],$AE$1,tabela_registros[REGISTRO],DADOS!$N$5,tabela_registros[TIPO],DADOS!$AB$4,tabela_registros[CATEGORIA],investirrendavariávelconsolidadodez[[#This Row],[ATUAL]],#REF!,DADOS!$J$3)</f>
        <v>#VALUE!</v>
      </c>
      <c r="AQ132" s="118" t="e">
        <f aca="false">(investirrendavariávelconsolidadoanual[[#This Row],[TOTAL (R$)]]*$AQ$142)/$Q$142</f>
        <v>#DIV/0!</v>
      </c>
    </row>
    <row r="133" customFormat="false" ht="19.5" hidden="false" customHeight="true" outlineLevel="0" collapsed="false">
      <c r="B133" s="143"/>
      <c r="C133" s="144" t="str">
        <f aca="false">DADOS!$AF$4</f>
        <v>📝 COMÓDITE</v>
      </c>
      <c r="D133" s="145" t="str">
        <f aca="false">IF(investirrendavariávelconsolidadoanual[[#This Row],[TOTAL (R$)]]=0,"",IF(OR(investirrendavariávelconsolidadoanual[[#This Row],[TOTAL (R$)]]=LARGE($Q$132:$Q$141,1),investirrendavariávelconsolidadoanual[[#This Row],[TOTAL (R$)]]=LARGE($Q$132:$Q$141,2)),DADOS!$I$10,""))</f>
        <v/>
      </c>
      <c r="E133" s="148" t="n">
        <f aca="false">investirrendavariávelconsolidado282931[[#This Row],[TOTAL (R$)]]</f>
        <v>0</v>
      </c>
      <c r="F133" s="119" t="n">
        <f aca="false">investirrendavariávelconsolidadofev[[#This Row],[TOTAL (R$)]]</f>
        <v>0</v>
      </c>
      <c r="G133" s="119" t="n">
        <f aca="false">investirrendavariávelconsolidadomar[[#This Row],[TOTAL (R$)]]</f>
        <v>0</v>
      </c>
      <c r="H133" s="119" t="n">
        <f aca="false">investirrendavariávelconsolidadoabr[[#This Row],[TOTAL (R$)]]</f>
        <v>0</v>
      </c>
      <c r="I133" s="119" t="n">
        <f aca="false">investirrendavariávelconsolidadomai[[#This Row],[TOTAL (R$)]]</f>
        <v>0</v>
      </c>
      <c r="J133" s="119" t="n">
        <f aca="false">investirrendavariávelconsolidadojun[[#This Row],[TOTAL (R$)]]</f>
        <v>0</v>
      </c>
      <c r="K133" s="119" t="n">
        <f aca="false">investirrendavariávelconsolidadojul[[#This Row],[TOTAL (R$)]]</f>
        <v>0</v>
      </c>
      <c r="L133" s="119" t="n">
        <f aca="false">investirrendavariávelconsolidadoago[[#This Row],[TOTAL (R$)]]</f>
        <v>0</v>
      </c>
      <c r="M133" s="119" t="n">
        <f aca="false">investirrendavariávelconsolidadoset[[#This Row],[TOTAL (R$)]]</f>
        <v>0</v>
      </c>
      <c r="N133" s="119" t="n">
        <f aca="false">investirrendavariávelconsolidadoout[[#This Row],[TOTAL (R$)]]</f>
        <v>0</v>
      </c>
      <c r="O133" s="119" t="n">
        <f aca="false">investirrendavariávelconsolidadonov[[#This Row],[TOTAL (R$)]]</f>
        <v>0</v>
      </c>
      <c r="P133" s="119" t="n">
        <f aca="false">investirrendavariávelconsolidadodez[[#This Row],[TOTAL (R$)]]</f>
        <v>0</v>
      </c>
      <c r="Q133" s="149" t="n">
        <f aca="false">SUM(investirrendavariávelconsolidadoanual[[#This Row],[1]:[12]])</f>
        <v>0</v>
      </c>
      <c r="R133" s="165"/>
      <c r="AH133" s="79"/>
      <c r="AO133" s="117" t="e">
        <f aca="false">SUMIFS(tabela_registros[VALOR],tabela_registros[MÊS],$AE$1,tabela_registros[REGISTRO],DADOS!$N$5,tabela_registros[TIPO],DADOS!$AB$4,tabela_registros[CATEGORIA],investirrendavariávelconsolidadodez[[#This Row],[ATUAL]],#REF!,DADOS!$J$4)</f>
        <v>#VALUE!</v>
      </c>
      <c r="AP133" s="117" t="e">
        <f aca="false">SUMIFS(tabela_registros[VALOR],tabela_registros[MÊS],$AE$1,tabela_registros[REGISTRO],DADOS!$N$5,tabela_registros[TIPO],DADOS!$AB$4,tabela_registros[CATEGORIA],investirrendavariávelconsolidadodez[[#This Row],[ATUAL]],#REF!,DADOS!$J$3)</f>
        <v>#VALUE!</v>
      </c>
      <c r="AQ133" s="118" t="e">
        <f aca="false">(investirrendavariávelconsolidadoanual[[#This Row],[TOTAL (R$)]]*$AQ$142)/$Q$142</f>
        <v>#DIV/0!</v>
      </c>
    </row>
    <row r="134" customFormat="false" ht="19.5" hidden="false" customHeight="true" outlineLevel="0" collapsed="false">
      <c r="B134" s="143"/>
      <c r="C134" s="144" t="str">
        <f aca="false">DADOS!$AF$5</f>
        <v>📝 CONTRATO DE FUTUROS</v>
      </c>
      <c r="D134" s="145" t="str">
        <f aca="false">IF(investirrendavariávelconsolidadoanual[[#This Row],[TOTAL (R$)]]=0,"",IF(OR(investirrendavariávelconsolidadoanual[[#This Row],[TOTAL (R$)]]=LARGE($Q$132:$Q$141,1),investirrendavariávelconsolidadoanual[[#This Row],[TOTAL (R$)]]=LARGE($Q$132:$Q$141,2)),DADOS!$I$10,""))</f>
        <v/>
      </c>
      <c r="E134" s="148" t="n">
        <f aca="false">investirrendavariávelconsolidado282931[[#This Row],[TOTAL (R$)]]</f>
        <v>0</v>
      </c>
      <c r="F134" s="119" t="n">
        <f aca="false">investirrendavariávelconsolidadofev[[#This Row],[TOTAL (R$)]]</f>
        <v>0</v>
      </c>
      <c r="G134" s="119" t="n">
        <f aca="false">investirrendavariávelconsolidadomar[[#This Row],[TOTAL (R$)]]</f>
        <v>0</v>
      </c>
      <c r="H134" s="119" t="n">
        <f aca="false">investirrendavariávelconsolidadoabr[[#This Row],[TOTAL (R$)]]</f>
        <v>0</v>
      </c>
      <c r="I134" s="119" t="n">
        <f aca="false">investirrendavariávelconsolidadomai[[#This Row],[TOTAL (R$)]]</f>
        <v>0</v>
      </c>
      <c r="J134" s="119" t="n">
        <f aca="false">investirrendavariávelconsolidadojun[[#This Row],[TOTAL (R$)]]</f>
        <v>0</v>
      </c>
      <c r="K134" s="119" t="n">
        <f aca="false">investirrendavariávelconsolidadojul[[#This Row],[TOTAL (R$)]]</f>
        <v>0</v>
      </c>
      <c r="L134" s="119" t="n">
        <f aca="false">investirrendavariávelconsolidadoago[[#This Row],[TOTAL (R$)]]</f>
        <v>0</v>
      </c>
      <c r="M134" s="119" t="n">
        <f aca="false">investirrendavariávelconsolidadoset[[#This Row],[TOTAL (R$)]]</f>
        <v>0</v>
      </c>
      <c r="N134" s="119" t="n">
        <f aca="false">investirrendavariávelconsolidadoout[[#This Row],[TOTAL (R$)]]</f>
        <v>0</v>
      </c>
      <c r="O134" s="119" t="n">
        <f aca="false">investirrendavariávelconsolidadonov[[#This Row],[TOTAL (R$)]]</f>
        <v>0</v>
      </c>
      <c r="P134" s="119" t="n">
        <f aca="false">investirrendavariávelconsolidadodez[[#This Row],[TOTAL (R$)]]</f>
        <v>0</v>
      </c>
      <c r="Q134" s="149" t="n">
        <f aca="false">SUM(investirrendavariávelconsolidadoanual[[#This Row],[1]:[12]])</f>
        <v>0</v>
      </c>
      <c r="R134" s="165"/>
      <c r="AH134" s="79"/>
      <c r="AO134" s="117" t="e">
        <f aca="false">SUMIFS(tabela_registros[VALOR],tabela_registros[MÊS],$AE$1,tabela_registros[REGISTRO],DADOS!$N$5,tabela_registros[TIPO],DADOS!$AB$4,tabela_registros[CATEGORIA],investirrendavariávelconsolidadodez[[#This Row],[ATUAL]],#REF!,DADOS!$J$4)</f>
        <v>#VALUE!</v>
      </c>
      <c r="AP134" s="117" t="e">
        <f aca="false">SUMIFS(tabela_registros[VALOR],tabela_registros[MÊS],$AE$1,tabela_registros[REGISTRO],DADOS!$N$5,tabela_registros[TIPO],DADOS!$AB$4,tabela_registros[CATEGORIA],investirrendavariávelconsolidadodez[[#This Row],[ATUAL]],#REF!,DADOS!$J$3)</f>
        <v>#VALUE!</v>
      </c>
      <c r="AQ134" s="118" t="e">
        <f aca="false">(investirrendavariávelconsolidadoanual[[#This Row],[TOTAL (R$)]]*$AQ$142)/$Q$142</f>
        <v>#DIV/0!</v>
      </c>
    </row>
    <row r="135" customFormat="false" ht="19.5" hidden="false" customHeight="true" outlineLevel="0" collapsed="false">
      <c r="B135" s="143"/>
      <c r="C135" s="144" t="str">
        <f aca="false">DADOS!$AF$6</f>
        <v>📝 CONTRATO DE OPÇÕES</v>
      </c>
      <c r="D135" s="145" t="str">
        <f aca="false">IF(investirrendavariávelconsolidadoanual[[#This Row],[TOTAL (R$)]]=0,"",IF(OR(investirrendavariávelconsolidadoanual[[#This Row],[TOTAL (R$)]]=LARGE($Q$132:$Q$141,1),investirrendavariávelconsolidadoanual[[#This Row],[TOTAL (R$)]]=LARGE($Q$132:$Q$141,2)),DADOS!$I$10,""))</f>
        <v/>
      </c>
      <c r="E135" s="148" t="n">
        <f aca="false">investirrendavariávelconsolidado282931[[#This Row],[TOTAL (R$)]]</f>
        <v>0</v>
      </c>
      <c r="F135" s="119" t="n">
        <f aca="false">investirrendavariávelconsolidadofev[[#This Row],[TOTAL (R$)]]</f>
        <v>0</v>
      </c>
      <c r="G135" s="119" t="n">
        <f aca="false">investirrendavariávelconsolidadomar[[#This Row],[TOTAL (R$)]]</f>
        <v>0</v>
      </c>
      <c r="H135" s="119" t="n">
        <f aca="false">investirrendavariávelconsolidadoabr[[#This Row],[TOTAL (R$)]]</f>
        <v>0</v>
      </c>
      <c r="I135" s="119" t="n">
        <f aca="false">investirrendavariávelconsolidadomai[[#This Row],[TOTAL (R$)]]</f>
        <v>0</v>
      </c>
      <c r="J135" s="119" t="n">
        <f aca="false">investirrendavariávelconsolidadojun[[#This Row],[TOTAL (R$)]]</f>
        <v>0</v>
      </c>
      <c r="K135" s="119" t="n">
        <f aca="false">investirrendavariávelconsolidadojul[[#This Row],[TOTAL (R$)]]</f>
        <v>0</v>
      </c>
      <c r="L135" s="119" t="n">
        <f aca="false">investirrendavariávelconsolidadoago[[#This Row],[TOTAL (R$)]]</f>
        <v>0</v>
      </c>
      <c r="M135" s="119" t="n">
        <f aca="false">investirrendavariávelconsolidadoset[[#This Row],[TOTAL (R$)]]</f>
        <v>0</v>
      </c>
      <c r="N135" s="119" t="n">
        <f aca="false">investirrendavariávelconsolidadoout[[#This Row],[TOTAL (R$)]]</f>
        <v>0</v>
      </c>
      <c r="O135" s="119" t="n">
        <f aca="false">investirrendavariávelconsolidadonov[[#This Row],[TOTAL (R$)]]</f>
        <v>0</v>
      </c>
      <c r="P135" s="119" t="n">
        <f aca="false">investirrendavariávelconsolidadodez[[#This Row],[TOTAL (R$)]]</f>
        <v>0</v>
      </c>
      <c r="Q135" s="149" t="n">
        <f aca="false">SUM(investirrendavariávelconsolidadoanual[[#This Row],[1]:[12]])</f>
        <v>0</v>
      </c>
      <c r="R135" s="165"/>
      <c r="AH135" s="79"/>
      <c r="AO135" s="117" t="e">
        <f aca="false">SUMIFS(tabela_registros[VALOR],tabela_registros[MÊS],$AE$1,tabela_registros[REGISTRO],DADOS!$N$5,tabela_registros[TIPO],DADOS!$AB$4,tabela_registros[CATEGORIA],investirrendavariávelconsolidadodez[[#This Row],[ATUAL]],#REF!,DADOS!$J$4)</f>
        <v>#VALUE!</v>
      </c>
      <c r="AP135" s="117" t="e">
        <f aca="false">SUMIFS(tabela_registros[VALOR],tabela_registros[MÊS],$AE$1,tabela_registros[REGISTRO],DADOS!$N$5,tabela_registros[TIPO],DADOS!$AB$4,tabela_registros[CATEGORIA],investirrendavariávelconsolidadodez[[#This Row],[ATUAL]],#REF!,DADOS!$J$3)</f>
        <v>#VALUE!</v>
      </c>
      <c r="AQ135" s="118" t="e">
        <f aca="false">(investirrendavariávelconsolidadoanual[[#This Row],[TOTAL (R$)]]*$AQ$142)/$Q$142</f>
        <v>#DIV/0!</v>
      </c>
    </row>
    <row r="136" customFormat="false" ht="19.5" hidden="false" customHeight="true" outlineLevel="0" collapsed="false">
      <c r="B136" s="143"/>
      <c r="C136" s="144" t="str">
        <f aca="false">DADOS!$AF$7</f>
        <v>📝 CRIPTOMOEDA</v>
      </c>
      <c r="D136" s="145" t="str">
        <f aca="false">IF(investirrendavariávelconsolidadoanual[[#This Row],[TOTAL (R$)]]=0,"",IF(OR(investirrendavariávelconsolidadoanual[[#This Row],[TOTAL (R$)]]=LARGE($Q$132:$Q$141,1),investirrendavariávelconsolidadoanual[[#This Row],[TOTAL (R$)]]=LARGE($Q$132:$Q$141,2)),DADOS!$I$10,""))</f>
        <v/>
      </c>
      <c r="E136" s="148" t="n">
        <f aca="false">investirrendavariávelconsolidado282931[[#This Row],[TOTAL (R$)]]</f>
        <v>0</v>
      </c>
      <c r="F136" s="119" t="n">
        <f aca="false">investirrendavariávelconsolidadofev[[#This Row],[TOTAL (R$)]]</f>
        <v>0</v>
      </c>
      <c r="G136" s="119" t="n">
        <f aca="false">investirrendavariávelconsolidadomar[[#This Row],[TOTAL (R$)]]</f>
        <v>0</v>
      </c>
      <c r="H136" s="119" t="n">
        <f aca="false">investirrendavariávelconsolidadoabr[[#This Row],[TOTAL (R$)]]</f>
        <v>0</v>
      </c>
      <c r="I136" s="119" t="n">
        <f aca="false">investirrendavariávelconsolidadomai[[#This Row],[TOTAL (R$)]]</f>
        <v>0</v>
      </c>
      <c r="J136" s="119" t="n">
        <f aca="false">investirrendavariávelconsolidadojun[[#This Row],[TOTAL (R$)]]</f>
        <v>0</v>
      </c>
      <c r="K136" s="119" t="n">
        <f aca="false">investirrendavariávelconsolidadojul[[#This Row],[TOTAL (R$)]]</f>
        <v>0</v>
      </c>
      <c r="L136" s="119" t="n">
        <f aca="false">investirrendavariávelconsolidadoago[[#This Row],[TOTAL (R$)]]</f>
        <v>0</v>
      </c>
      <c r="M136" s="119" t="n">
        <f aca="false">investirrendavariávelconsolidadoset[[#This Row],[TOTAL (R$)]]</f>
        <v>0</v>
      </c>
      <c r="N136" s="119" t="n">
        <f aca="false">investirrendavariávelconsolidadoout[[#This Row],[TOTAL (R$)]]</f>
        <v>0</v>
      </c>
      <c r="O136" s="119" t="n">
        <f aca="false">investirrendavariávelconsolidadonov[[#This Row],[TOTAL (R$)]]</f>
        <v>0</v>
      </c>
      <c r="P136" s="119" t="n">
        <f aca="false">investirrendavariávelconsolidadodez[[#This Row],[TOTAL (R$)]]</f>
        <v>0</v>
      </c>
      <c r="Q136" s="149" t="n">
        <f aca="false">SUM(investirrendavariávelconsolidadoanual[[#This Row],[1]:[12]])</f>
        <v>0</v>
      </c>
      <c r="R136" s="165"/>
      <c r="AH136" s="79"/>
      <c r="AO136" s="117" t="e">
        <f aca="false">SUMIFS(tabela_registros[VALOR],tabela_registros[MÊS],$AE$1,tabela_registros[REGISTRO],DADOS!$N$5,tabela_registros[TIPO],DADOS!$AB$4,tabela_registros[CATEGORIA],investirrendavariávelconsolidadodez[[#This Row],[ATUAL]],#REF!,DADOS!$J$4)</f>
        <v>#VALUE!</v>
      </c>
      <c r="AP136" s="117" t="e">
        <f aca="false">SUMIFS(tabela_registros[VALOR],tabela_registros[MÊS],$AE$1,tabela_registros[REGISTRO],DADOS!$N$5,tabela_registros[TIPO],DADOS!$AB$4,tabela_registros[CATEGORIA],investirrendavariávelconsolidadodez[[#This Row],[ATUAL]],#REF!,DADOS!$J$3)</f>
        <v>#VALUE!</v>
      </c>
      <c r="AQ136" s="118" t="e">
        <f aca="false">(investirrendavariávelconsolidadoanual[[#This Row],[TOTAL (R$)]]*$AQ$142)/$Q$142</f>
        <v>#DIV/0!</v>
      </c>
    </row>
    <row r="137" customFormat="false" ht="19.5" hidden="false" customHeight="true" outlineLevel="0" collapsed="false">
      <c r="B137" s="143"/>
      <c r="C137" s="144" t="str">
        <f aca="false">DADOS!$AF$8</f>
        <v>📝 ETF</v>
      </c>
      <c r="D137" s="145" t="str">
        <f aca="false">IF(investirrendavariávelconsolidadoanual[[#This Row],[TOTAL (R$)]]=0,"",IF(OR(investirrendavariávelconsolidadoanual[[#This Row],[TOTAL (R$)]]=LARGE($Q$132:$Q$141,1),investirrendavariávelconsolidadoanual[[#This Row],[TOTAL (R$)]]=LARGE($Q$132:$Q$141,2)),DADOS!$I$10,""))</f>
        <v/>
      </c>
      <c r="E137" s="148" t="n">
        <f aca="false">investirrendavariávelconsolidado282931[[#This Row],[TOTAL (R$)]]</f>
        <v>0</v>
      </c>
      <c r="F137" s="119" t="n">
        <f aca="false">investirrendavariávelconsolidadofev[[#This Row],[TOTAL (R$)]]</f>
        <v>0</v>
      </c>
      <c r="G137" s="119" t="n">
        <f aca="false">investirrendavariávelconsolidadomar[[#This Row],[TOTAL (R$)]]</f>
        <v>0</v>
      </c>
      <c r="H137" s="119" t="n">
        <f aca="false">investirrendavariávelconsolidadoabr[[#This Row],[TOTAL (R$)]]</f>
        <v>0</v>
      </c>
      <c r="I137" s="119" t="n">
        <f aca="false">investirrendavariávelconsolidadomai[[#This Row],[TOTAL (R$)]]</f>
        <v>0</v>
      </c>
      <c r="J137" s="119" t="n">
        <f aca="false">investirrendavariávelconsolidadojun[[#This Row],[TOTAL (R$)]]</f>
        <v>0</v>
      </c>
      <c r="K137" s="119" t="n">
        <f aca="false">investirrendavariávelconsolidadojul[[#This Row],[TOTAL (R$)]]</f>
        <v>0</v>
      </c>
      <c r="L137" s="119" t="n">
        <f aca="false">investirrendavariávelconsolidadoago[[#This Row],[TOTAL (R$)]]</f>
        <v>0</v>
      </c>
      <c r="M137" s="119" t="n">
        <f aca="false">investirrendavariávelconsolidadoset[[#This Row],[TOTAL (R$)]]</f>
        <v>0</v>
      </c>
      <c r="N137" s="119" t="n">
        <f aca="false">investirrendavariávelconsolidadoout[[#This Row],[TOTAL (R$)]]</f>
        <v>0</v>
      </c>
      <c r="O137" s="119" t="n">
        <f aca="false">investirrendavariávelconsolidadonov[[#This Row],[TOTAL (R$)]]</f>
        <v>0</v>
      </c>
      <c r="P137" s="119" t="n">
        <f aca="false">investirrendavariávelconsolidadodez[[#This Row],[TOTAL (R$)]]</f>
        <v>0</v>
      </c>
      <c r="Q137" s="149" t="n">
        <f aca="false">SUM(investirrendavariávelconsolidadoanual[[#This Row],[1]:[12]])</f>
        <v>0</v>
      </c>
      <c r="R137" s="165"/>
      <c r="AH137" s="79"/>
      <c r="AO137" s="117" t="e">
        <f aca="false">SUMIFS(tabela_registros[VALOR],tabela_registros[MÊS],$AE$1,tabela_registros[REGISTRO],DADOS!$N$5,tabela_registros[TIPO],DADOS!$AB$4,tabela_registros[CATEGORIA],investirrendavariávelconsolidadodez[[#This Row],[ATUAL]],#REF!,DADOS!$J$4)</f>
        <v>#VALUE!</v>
      </c>
      <c r="AP137" s="117" t="e">
        <f aca="false">SUMIFS(tabela_registros[VALOR],tabela_registros[MÊS],$AE$1,tabela_registros[REGISTRO],DADOS!$N$5,tabela_registros[TIPO],DADOS!$AB$4,tabela_registros[CATEGORIA],investirrendavariávelconsolidadodez[[#This Row],[ATUAL]],#REF!,DADOS!$J$3)</f>
        <v>#VALUE!</v>
      </c>
      <c r="AQ137" s="118" t="e">
        <f aca="false">(investirrendavariávelconsolidadoanual[[#This Row],[TOTAL (R$)]]*$AQ$142)/$Q$142</f>
        <v>#DIV/0!</v>
      </c>
    </row>
    <row r="138" customFormat="false" ht="19.5" hidden="false" customHeight="true" outlineLevel="0" collapsed="false">
      <c r="B138" s="143"/>
      <c r="C138" s="144" t="str">
        <f aca="false">DADOS!$AF$9</f>
        <v>📝 EXTERIOR</v>
      </c>
      <c r="D138" s="145" t="str">
        <f aca="false">IF(investirrendavariávelconsolidadoanual[[#This Row],[TOTAL (R$)]]=0,"",IF(OR(investirrendavariávelconsolidadoanual[[#This Row],[TOTAL (R$)]]=LARGE($Q$132:$Q$141,1),investirrendavariávelconsolidadoanual[[#This Row],[TOTAL (R$)]]=LARGE($Q$132:$Q$141,2)),DADOS!$I$10,""))</f>
        <v/>
      </c>
      <c r="E138" s="148" t="n">
        <f aca="false">investirrendavariávelconsolidado282931[[#This Row],[TOTAL (R$)]]</f>
        <v>0</v>
      </c>
      <c r="F138" s="119" t="n">
        <f aca="false">investirrendavariávelconsolidadofev[[#This Row],[TOTAL (R$)]]</f>
        <v>0</v>
      </c>
      <c r="G138" s="119" t="n">
        <f aca="false">investirrendavariávelconsolidadomar[[#This Row],[TOTAL (R$)]]</f>
        <v>0</v>
      </c>
      <c r="H138" s="119" t="n">
        <f aca="false">investirrendavariávelconsolidadoabr[[#This Row],[TOTAL (R$)]]</f>
        <v>0</v>
      </c>
      <c r="I138" s="119" t="n">
        <f aca="false">investirrendavariávelconsolidadomai[[#This Row],[TOTAL (R$)]]</f>
        <v>0</v>
      </c>
      <c r="J138" s="119" t="n">
        <f aca="false">investirrendavariávelconsolidadojun[[#This Row],[TOTAL (R$)]]</f>
        <v>0</v>
      </c>
      <c r="K138" s="119" t="n">
        <f aca="false">investirrendavariávelconsolidadojul[[#This Row],[TOTAL (R$)]]</f>
        <v>0</v>
      </c>
      <c r="L138" s="119" t="n">
        <f aca="false">investirrendavariávelconsolidadoago[[#This Row],[TOTAL (R$)]]</f>
        <v>0</v>
      </c>
      <c r="M138" s="119" t="n">
        <f aca="false">investirrendavariávelconsolidadoset[[#This Row],[TOTAL (R$)]]</f>
        <v>0</v>
      </c>
      <c r="N138" s="119" t="n">
        <f aca="false">investirrendavariávelconsolidadoout[[#This Row],[TOTAL (R$)]]</f>
        <v>0</v>
      </c>
      <c r="O138" s="119" t="n">
        <f aca="false">investirrendavariávelconsolidadonov[[#This Row],[TOTAL (R$)]]</f>
        <v>0</v>
      </c>
      <c r="P138" s="119" t="n">
        <f aca="false">investirrendavariávelconsolidadodez[[#This Row],[TOTAL (R$)]]</f>
        <v>0</v>
      </c>
      <c r="Q138" s="149" t="n">
        <f aca="false">SUM(investirrendavariávelconsolidadoanual[[#This Row],[1]:[12]])</f>
        <v>0</v>
      </c>
      <c r="R138" s="165"/>
      <c r="AH138" s="79"/>
      <c r="AO138" s="117" t="e">
        <f aca="false">SUMIFS(tabela_registros[VALOR],tabela_registros[MÊS],$AE$1,tabela_registros[REGISTRO],DADOS!$N$5,tabela_registros[TIPO],DADOS!$AB$4,tabela_registros[CATEGORIA],investirrendavariávelconsolidadodez[[#This Row],[ATUAL]],#REF!,DADOS!$J$4)</f>
        <v>#VALUE!</v>
      </c>
      <c r="AP138" s="117" t="e">
        <f aca="false">SUMIFS(tabela_registros[VALOR],tabela_registros[MÊS],$AE$1,tabela_registros[REGISTRO],DADOS!$N$5,tabela_registros[TIPO],DADOS!$AB$4,tabela_registros[CATEGORIA],investirrendavariávelconsolidadodez[[#This Row],[ATUAL]],#REF!,DADOS!$J$3)</f>
        <v>#VALUE!</v>
      </c>
      <c r="AQ138" s="118" t="e">
        <f aca="false">(investirrendavariávelconsolidadoanual[[#This Row],[TOTAL (R$)]]*$AQ$142)/$Q$142</f>
        <v>#DIV/0!</v>
      </c>
    </row>
    <row r="139" customFormat="false" ht="19.5" hidden="false" customHeight="true" outlineLevel="0" collapsed="false">
      <c r="B139" s="143"/>
      <c r="C139" s="144" t="str">
        <f aca="false">DADOS!$AF$10</f>
        <v>📝 FII</v>
      </c>
      <c r="D139" s="145" t="str">
        <f aca="false">IF(investirrendavariávelconsolidadoanual[[#This Row],[TOTAL (R$)]]=0,"",IF(OR(investirrendavariávelconsolidadoanual[[#This Row],[TOTAL (R$)]]=LARGE($Q$132:$Q$141,1),investirrendavariávelconsolidadoanual[[#This Row],[TOTAL (R$)]]=LARGE($Q$132:$Q$141,2)),DADOS!$I$10,""))</f>
        <v/>
      </c>
      <c r="E139" s="148" t="n">
        <f aca="false">investirrendavariávelconsolidado282931[[#This Row],[TOTAL (R$)]]</f>
        <v>0</v>
      </c>
      <c r="F139" s="119" t="n">
        <f aca="false">investirrendavariávelconsolidadofev[[#This Row],[TOTAL (R$)]]</f>
        <v>0</v>
      </c>
      <c r="G139" s="119" t="n">
        <f aca="false">investirrendavariávelconsolidadomar[[#This Row],[TOTAL (R$)]]</f>
        <v>0</v>
      </c>
      <c r="H139" s="119" t="n">
        <f aca="false">investirrendavariávelconsolidadoabr[[#This Row],[TOTAL (R$)]]</f>
        <v>0</v>
      </c>
      <c r="I139" s="119" t="n">
        <f aca="false">investirrendavariávelconsolidadomai[[#This Row],[TOTAL (R$)]]</f>
        <v>0</v>
      </c>
      <c r="J139" s="119" t="n">
        <f aca="false">investirrendavariávelconsolidadojun[[#This Row],[TOTAL (R$)]]</f>
        <v>0</v>
      </c>
      <c r="K139" s="119" t="n">
        <f aca="false">investirrendavariávelconsolidadojul[[#This Row],[TOTAL (R$)]]</f>
        <v>0</v>
      </c>
      <c r="L139" s="119" t="n">
        <f aca="false">investirrendavariávelconsolidadoago[[#This Row],[TOTAL (R$)]]</f>
        <v>0</v>
      </c>
      <c r="M139" s="119" t="n">
        <f aca="false">investirrendavariávelconsolidadoset[[#This Row],[TOTAL (R$)]]</f>
        <v>0</v>
      </c>
      <c r="N139" s="119" t="n">
        <f aca="false">investirrendavariávelconsolidadoout[[#This Row],[TOTAL (R$)]]</f>
        <v>0</v>
      </c>
      <c r="O139" s="119" t="n">
        <f aca="false">investirrendavariávelconsolidadonov[[#This Row],[TOTAL (R$)]]</f>
        <v>0</v>
      </c>
      <c r="P139" s="119" t="n">
        <f aca="false">investirrendavariávelconsolidadodez[[#This Row],[TOTAL (R$)]]</f>
        <v>0</v>
      </c>
      <c r="Q139" s="149" t="n">
        <f aca="false">SUM(investirrendavariávelconsolidadoanual[[#This Row],[1]:[12]])</f>
        <v>0</v>
      </c>
      <c r="R139" s="165"/>
      <c r="AH139" s="79"/>
      <c r="AO139" s="117" t="e">
        <f aca="false">SUMIFS(tabela_registros[VALOR],tabela_registros[MÊS],$AE$1,tabela_registros[REGISTRO],DADOS!$N$5,tabela_registros[TIPO],DADOS!$AB$4,tabela_registros[CATEGORIA],investirrendavariávelconsolidadodez[[#This Row],[ATUAL]],#REF!,DADOS!$J$4)</f>
        <v>#VALUE!</v>
      </c>
      <c r="AP139" s="117" t="e">
        <f aca="false">SUMIFS(tabela_registros[VALOR],tabela_registros[MÊS],$AE$1,tabela_registros[REGISTRO],DADOS!$N$5,tabela_registros[TIPO],DADOS!$AB$4,tabela_registros[CATEGORIA],investirrendavariávelconsolidadodez[[#This Row],[ATUAL]],#REF!,DADOS!$J$3)</f>
        <v>#VALUE!</v>
      </c>
      <c r="AQ139" s="118" t="e">
        <f aca="false">(investirrendavariávelconsolidadoanual[[#This Row],[TOTAL (R$)]]*$AQ$142)/$Q$142</f>
        <v>#DIV/0!</v>
      </c>
    </row>
    <row r="140" customFormat="false" ht="19.5" hidden="false" customHeight="true" outlineLevel="0" collapsed="false">
      <c r="B140" s="143"/>
      <c r="C140" s="144" t="str">
        <f aca="false">DADOS!$AF$11</f>
        <v>📝 MOEDA</v>
      </c>
      <c r="D140" s="145" t="str">
        <f aca="false">IF(investirrendavariávelconsolidadoanual[[#This Row],[TOTAL (R$)]]=0,"",IF(OR(investirrendavariávelconsolidadoanual[[#This Row],[TOTAL (R$)]]=LARGE($Q$132:$Q$141,1),investirrendavariávelconsolidadoanual[[#This Row],[TOTAL (R$)]]=LARGE($Q$132:$Q$141,2)),DADOS!$I$10,""))</f>
        <v/>
      </c>
      <c r="E140" s="148" t="n">
        <f aca="false">investirrendavariávelconsolidado282931[[#This Row],[TOTAL (R$)]]</f>
        <v>0</v>
      </c>
      <c r="F140" s="119" t="n">
        <f aca="false">investirrendavariávelconsolidadofev[[#This Row],[TOTAL (R$)]]</f>
        <v>0</v>
      </c>
      <c r="G140" s="119" t="n">
        <f aca="false">investirrendavariávelconsolidadomar[[#This Row],[TOTAL (R$)]]</f>
        <v>0</v>
      </c>
      <c r="H140" s="119" t="n">
        <f aca="false">investirrendavariávelconsolidadoabr[[#This Row],[TOTAL (R$)]]</f>
        <v>0</v>
      </c>
      <c r="I140" s="119" t="n">
        <f aca="false">investirrendavariávelconsolidadomai[[#This Row],[TOTAL (R$)]]</f>
        <v>0</v>
      </c>
      <c r="J140" s="119" t="n">
        <f aca="false">investirrendavariávelconsolidadojun[[#This Row],[TOTAL (R$)]]</f>
        <v>0</v>
      </c>
      <c r="K140" s="119" t="n">
        <f aca="false">investirrendavariávelconsolidadojul[[#This Row],[TOTAL (R$)]]</f>
        <v>0</v>
      </c>
      <c r="L140" s="119" t="n">
        <f aca="false">investirrendavariávelconsolidadoago[[#This Row],[TOTAL (R$)]]</f>
        <v>0</v>
      </c>
      <c r="M140" s="119" t="n">
        <f aca="false">investirrendavariávelconsolidadoset[[#This Row],[TOTAL (R$)]]</f>
        <v>0</v>
      </c>
      <c r="N140" s="119" t="n">
        <f aca="false">investirrendavariávelconsolidadoout[[#This Row],[TOTAL (R$)]]</f>
        <v>0</v>
      </c>
      <c r="O140" s="119" t="n">
        <f aca="false">investirrendavariávelconsolidadonov[[#This Row],[TOTAL (R$)]]</f>
        <v>0</v>
      </c>
      <c r="P140" s="119" t="n">
        <f aca="false">investirrendavariávelconsolidadodez[[#This Row],[TOTAL (R$)]]</f>
        <v>0</v>
      </c>
      <c r="Q140" s="149" t="n">
        <f aca="false">SUM(investirrendavariávelconsolidadoanual[[#This Row],[1]:[12]])</f>
        <v>0</v>
      </c>
      <c r="R140" s="165"/>
      <c r="AH140" s="79"/>
      <c r="AO140" s="117" t="e">
        <f aca="false">SUMIFS(tabela_registros[VALOR],tabela_registros[MÊS],$AE$1,tabela_registros[REGISTRO],DADOS!$N$5,tabela_registros[TIPO],DADOS!$AB$4,tabela_registros[CATEGORIA],investirrendavariávelconsolidadodez[[#This Row],[ATUAL]],#REF!,DADOS!$J$4)</f>
        <v>#VALUE!</v>
      </c>
      <c r="AP140" s="117" t="e">
        <f aca="false">SUMIFS(tabela_registros[VALOR],tabela_registros[MÊS],$AE$1,tabela_registros[REGISTRO],DADOS!$N$5,tabela_registros[TIPO],DADOS!$AB$4,tabela_registros[CATEGORIA],investirrendavariávelconsolidadodez[[#This Row],[ATUAL]],#REF!,DADOS!$J$3)</f>
        <v>#VALUE!</v>
      </c>
      <c r="AQ140" s="118" t="e">
        <f aca="false">(investirrendavariávelconsolidadoanual[[#This Row],[TOTAL (R$)]]*$AQ$142)/$Q$142</f>
        <v>#DIV/0!</v>
      </c>
    </row>
    <row r="141" customFormat="false" ht="19.5" hidden="false" customHeight="true" outlineLevel="0" collapsed="false">
      <c r="B141" s="143"/>
      <c r="C141" s="144" t="str">
        <f aca="false">DADOS!$AF$12</f>
        <v>📎 OUTROS</v>
      </c>
      <c r="D141" s="145" t="str">
        <f aca="false">IF(investirrendavariávelconsolidadoanual[[#This Row],[TOTAL (R$)]]=0,"",IF(OR(investirrendavariávelconsolidadoanual[[#This Row],[TOTAL (R$)]]=LARGE($Q$132:$Q$141,1),investirrendavariávelconsolidadoanual[[#This Row],[TOTAL (R$)]]=LARGE($Q$132:$Q$141,2)),DADOS!$I$10,""))</f>
        <v/>
      </c>
      <c r="E141" s="148" t="n">
        <f aca="false">investirrendavariávelconsolidado282931[[#This Row],[TOTAL (R$)]]</f>
        <v>0</v>
      </c>
      <c r="F141" s="119" t="n">
        <f aca="false">investirrendavariávelconsolidadofev[[#This Row],[TOTAL (R$)]]</f>
        <v>0</v>
      </c>
      <c r="G141" s="119" t="n">
        <f aca="false">investirrendavariávelconsolidadomar[[#This Row],[TOTAL (R$)]]</f>
        <v>0</v>
      </c>
      <c r="H141" s="119" t="n">
        <f aca="false">investirrendavariávelconsolidadoabr[[#This Row],[TOTAL (R$)]]</f>
        <v>0</v>
      </c>
      <c r="I141" s="119" t="n">
        <f aca="false">investirrendavariávelconsolidadomai[[#This Row],[TOTAL (R$)]]</f>
        <v>0</v>
      </c>
      <c r="J141" s="119" t="n">
        <f aca="false">investirrendavariávelconsolidadojun[[#This Row],[TOTAL (R$)]]</f>
        <v>0</v>
      </c>
      <c r="K141" s="119" t="n">
        <f aca="false">investirrendavariávelconsolidadojul[[#This Row],[TOTAL (R$)]]</f>
        <v>0</v>
      </c>
      <c r="L141" s="119" t="n">
        <f aca="false">investirrendavariávelconsolidadoago[[#This Row],[TOTAL (R$)]]</f>
        <v>0</v>
      </c>
      <c r="M141" s="119" t="n">
        <f aca="false">investirrendavariávelconsolidadoset[[#This Row],[TOTAL (R$)]]</f>
        <v>0</v>
      </c>
      <c r="N141" s="119" t="n">
        <f aca="false">investirrendavariávelconsolidadoout[[#This Row],[TOTAL (R$)]]</f>
        <v>0</v>
      </c>
      <c r="O141" s="119" t="n">
        <f aca="false">investirrendavariávelconsolidadonov[[#This Row],[TOTAL (R$)]]</f>
        <v>0</v>
      </c>
      <c r="P141" s="119" t="n">
        <f aca="false">investirrendavariávelconsolidadodez[[#This Row],[TOTAL (R$)]]</f>
        <v>0</v>
      </c>
      <c r="Q141" s="149" t="n">
        <f aca="false">SUM(investirrendavariávelconsolidadoanual[[#This Row],[1]:[12]])</f>
        <v>0</v>
      </c>
      <c r="R141" s="165"/>
      <c r="AH141" s="79"/>
      <c r="AN141" s="79" t="s">
        <v>78</v>
      </c>
      <c r="AO141" s="117" t="e">
        <f aca="false">SUMIFS(tabela_registros[VALOR],tabela_registros[MÊS],$AE$1,tabela_registros[REGISTRO],DADOS!$N$5,tabela_registros[TIPO],DADOS!$AB$4,tabela_registros[CATEGORIA],investirrendavariávelconsolidadodez[[#This Row],[ATUAL]],#REF!,DADOS!$J$4)</f>
        <v>#VALUE!</v>
      </c>
      <c r="AP141" s="117" t="e">
        <f aca="false">SUMIFS(tabela_registros[VALOR],tabela_registros[MÊS],$AE$1,tabela_registros[REGISTRO],DADOS!$N$5,tabela_registros[TIPO],DADOS!$AB$4,tabela_registros[CATEGORIA],investirrendavariávelconsolidadodez[[#This Row],[ATUAL]],#REF!,DADOS!$J$3)</f>
        <v>#VALUE!</v>
      </c>
      <c r="AQ141" s="118" t="e">
        <f aca="false">(investirrendavariávelconsolidadoanual[[#This Row],[TOTAL (R$)]]*$AQ$142)/$Q$142</f>
        <v>#DIV/0!</v>
      </c>
    </row>
    <row r="142" s="130" customFormat="true" ht="21" hidden="false" customHeight="true" outlineLevel="0" collapsed="false">
      <c r="A142" s="122"/>
      <c r="B142" s="152"/>
      <c r="C142" s="153" t="s">
        <v>2</v>
      </c>
      <c r="D142" s="166"/>
      <c r="E142" s="155" t="n">
        <f aca="false">investirrendavariávelconsolidado282931[[#This Row],[TOTAL (R$)]]</f>
        <v>0</v>
      </c>
      <c r="F142" s="156" t="n">
        <f aca="false">investirrendavariávelconsolidadofev[[#This Row],[TOTAL (R$)]]+investirrendavariávelconsolidadoanual[[#This Row],[1]]</f>
        <v>0</v>
      </c>
      <c r="G142" s="156" t="n">
        <f aca="false">investirrendavariávelconsolidadomar[[#This Row],[TOTAL (R$)]]+investirrendavariávelconsolidadoanual[[#This Row],[2]]</f>
        <v>0</v>
      </c>
      <c r="H142" s="156" t="n">
        <f aca="false">investirrendavariávelconsolidadoabr[[#This Row],[TOTAL (R$)]]+investirrendavariávelconsolidadoanual[[#This Row],[3]]</f>
        <v>0</v>
      </c>
      <c r="I142" s="156" t="n">
        <f aca="false">investirrendavariávelconsolidadomai[[#This Row],[TOTAL (R$)]]+investirrendavariávelconsolidadoanual[[#This Row],[4]]</f>
        <v>0</v>
      </c>
      <c r="J142" s="156" t="n">
        <f aca="false">investirrendavariávelconsolidadojun[[#This Row],[TOTAL (R$)]]+investirrendavariávelconsolidadoanual[[#This Row],[5]]</f>
        <v>0</v>
      </c>
      <c r="K142" s="156" t="n">
        <f aca="false">investirrendavariávelconsolidadojul[[#This Row],[TOTAL (R$)]]+investirrendavariávelconsolidadoanual[[#This Row],[6]]</f>
        <v>0</v>
      </c>
      <c r="L142" s="156" t="n">
        <f aca="false">investirrendavariávelconsolidadoago[[#This Row],[TOTAL (R$)]]+investirrendavariávelconsolidadoanual[[#This Row],[7]]</f>
        <v>0</v>
      </c>
      <c r="M142" s="156" t="n">
        <f aca="false">investirrendavariávelconsolidadoset[[#This Row],[TOTAL (R$)]]+investirrendavariávelconsolidadoanual[[#This Row],[8]]</f>
        <v>0</v>
      </c>
      <c r="N142" s="156" t="n">
        <f aca="false">investirrendavariávelconsolidadoout[[#This Row],[TOTAL (R$)]]+investirrendavariávelconsolidadoanual[[#This Row],[9]]</f>
        <v>0</v>
      </c>
      <c r="O142" s="156" t="n">
        <f aca="false">investirrendavariávelconsolidadonov[[#This Row],[TOTAL (R$)]]+investirrendavariávelconsolidadoanual[[#This Row],[10]]</f>
        <v>0</v>
      </c>
      <c r="P142" s="156" t="n">
        <f aca="false">investirrendavariávelconsolidadodez[[#This Row],[TOTAL (R$)]]+investirrendavariávelconsolidadoanual[[#This Row],[11]]</f>
        <v>0</v>
      </c>
      <c r="Q142" s="157" t="n">
        <f aca="false">investirrendavariávelconsolidadoanual[[#This Row],[12]]</f>
        <v>0</v>
      </c>
      <c r="R142" s="158"/>
      <c r="S142" s="78"/>
      <c r="T142" s="78"/>
      <c r="U142" s="78"/>
      <c r="V142" s="78"/>
      <c r="W142" s="78"/>
      <c r="X142" s="78"/>
      <c r="Y142" s="78"/>
      <c r="Z142" s="78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N142" s="132" t="e">
        <f aca="false">investirrendavariávelconsolidadoanual[[#This Row],[TOTAL (R$)]]/$Q$25</f>
        <v>#DIV/0!</v>
      </c>
      <c r="AO142" s="131" t="e">
        <f aca="false">SUM(AO132:AO141)</f>
        <v>#VALUE!</v>
      </c>
      <c r="AP142" s="131" t="e">
        <f aca="false">SUM(AP132:AP141)</f>
        <v>#VALUE!</v>
      </c>
      <c r="AQ142" s="118" t="n">
        <f aca="false">1</f>
        <v>1</v>
      </c>
    </row>
    <row r="143" customFormat="false" ht="6.75" hidden="false" customHeight="true" outlineLevel="0" collapsed="false">
      <c r="B143" s="97"/>
      <c r="C143" s="162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4"/>
      <c r="AH143" s="79"/>
    </row>
    <row r="144" customFormat="false" ht="12.75" hidden="false" customHeight="false" outlineLevel="0" collapsed="false">
      <c r="E144" s="100"/>
      <c r="AH144" s="79"/>
    </row>
    <row r="145" customFormat="false" ht="12" hidden="false" customHeight="false" outlineLevel="0" collapsed="false">
      <c r="AH145" s="79"/>
    </row>
    <row r="146" customFormat="false" ht="12" hidden="false" customHeight="false" outlineLevel="0" collapsed="false">
      <c r="AH146" s="79"/>
    </row>
    <row r="147" customFormat="false" ht="39.75" hidden="false" customHeight="true" outlineLevel="0" collapsed="false">
      <c r="C147" s="101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3" t="s">
        <v>2</v>
      </c>
      <c r="R147" s="104"/>
      <c r="AH147" s="79"/>
    </row>
    <row r="148" customFormat="false" ht="12.75" hidden="false" customHeight="false" outlineLevel="0" collapsed="false">
      <c r="B148" s="161"/>
      <c r="Q148" s="106" t="s">
        <v>64</v>
      </c>
      <c r="AH148" s="79"/>
    </row>
    <row r="149" customFormat="false" ht="6.75" hidden="false" customHeight="true" outlineLevel="0" collapsed="false">
      <c r="B149" s="86"/>
      <c r="C149" s="162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4"/>
      <c r="AH149" s="79"/>
      <c r="AO149" s="108" t="s">
        <v>65</v>
      </c>
      <c r="AP149" s="108" t="s">
        <v>66</v>
      </c>
      <c r="AQ149" s="108" t="s">
        <v>67</v>
      </c>
    </row>
    <row r="150" customFormat="false" ht="13.5" hidden="true" customHeight="false" outlineLevel="0" collapsed="false">
      <c r="B150" s="86"/>
      <c r="C150" s="109" t="s">
        <v>68</v>
      </c>
      <c r="D150" s="110" t="s">
        <v>69</v>
      </c>
      <c r="E150" s="110" t="s">
        <v>30</v>
      </c>
      <c r="F150" s="110" t="s">
        <v>31</v>
      </c>
      <c r="G150" s="110" t="s">
        <v>32</v>
      </c>
      <c r="H150" s="110" t="s">
        <v>33</v>
      </c>
      <c r="I150" s="110" t="s">
        <v>34</v>
      </c>
      <c r="J150" s="110" t="s">
        <v>35</v>
      </c>
      <c r="K150" s="110" t="s">
        <v>36</v>
      </c>
      <c r="L150" s="110" t="s">
        <v>37</v>
      </c>
      <c r="M150" s="110" t="s">
        <v>38</v>
      </c>
      <c r="N150" s="110" t="s">
        <v>39</v>
      </c>
      <c r="O150" s="110" t="s">
        <v>40</v>
      </c>
      <c r="P150" s="110" t="s">
        <v>41</v>
      </c>
      <c r="Q150" s="111" t="s">
        <v>70</v>
      </c>
      <c r="R150" s="143"/>
      <c r="V150" s="78" t="n">
        <v>5555</v>
      </c>
      <c r="AH150" s="79"/>
    </row>
    <row r="151" customFormat="false" ht="19.5" hidden="false" customHeight="true" outlineLevel="0" collapsed="false">
      <c r="B151" s="143"/>
      <c r="C151" s="144" t="str">
        <f aca="false">DADOS!$AH$3</f>
        <v>📝 COE</v>
      </c>
      <c r="D151" s="145" t="str">
        <f aca="false">IF(investiroutrosconsolidadoanual[[#This Row],[TOTAL (R$)]]=0,"",IF(OR(investiroutrosconsolidadoanual[[#This Row],[TOTAL (R$)]]=LARGE($Q$151:$Q$158,1),investiroutrosconsolidadoanual[[#This Row],[TOTAL (R$)]]=LARGE($Q$151:$Q$158,2)),DADOS!$I$10,""))</f>
        <v/>
      </c>
      <c r="E151" s="148" t="n">
        <f aca="false">investiroutrosconsolidado282932[[#This Row],[TOTAL (R$)]]</f>
        <v>0</v>
      </c>
      <c r="F151" s="119" t="n">
        <f aca="false">investiroutrosconsolidadofev[[#This Row],[TOTAL (R$)]]</f>
        <v>0</v>
      </c>
      <c r="G151" s="119" t="n">
        <f aca="false">investiroutrosconsolidadomar[[#This Row],[TOTAL (R$)]]</f>
        <v>0</v>
      </c>
      <c r="H151" s="119" t="n">
        <f aca="false">investiroutrosconsolidadoabr[[#This Row],[TOTAL (R$)]]</f>
        <v>0</v>
      </c>
      <c r="I151" s="119" t="n">
        <f aca="false">investiroutrosconsolidadomai[[#This Row],[TOTAL (R$)]]</f>
        <v>0</v>
      </c>
      <c r="J151" s="119" t="n">
        <f aca="false">investiroutrosconsolidadojun[[#This Row],[TOTAL (R$)]]</f>
        <v>0</v>
      </c>
      <c r="K151" s="119" t="n">
        <f aca="false">investiroutrosconsolidadojul[[#This Row],[TOTAL (R$)]]</f>
        <v>0</v>
      </c>
      <c r="L151" s="119" t="n">
        <f aca="false">investiroutrosconsolidadoago[[#This Row],[TOTAL (R$)]]</f>
        <v>0</v>
      </c>
      <c r="M151" s="119" t="n">
        <f aca="false">investiroutrosconsolidadoset[[#This Row],[TOTAL (R$)]]</f>
        <v>0</v>
      </c>
      <c r="N151" s="119" t="n">
        <f aca="false">investiroutrosconsolidadoout[[#This Row],[TOTAL (R$)]]</f>
        <v>0</v>
      </c>
      <c r="O151" s="119" t="n">
        <f aca="false">investiroutrosconsolidadonov[[#This Row],[TOTAL (R$)]]</f>
        <v>0</v>
      </c>
      <c r="P151" s="119" t="n">
        <f aca="false">investiroutrosconsolidadodez[[#This Row],[TOTAL (R$)]]</f>
        <v>0</v>
      </c>
      <c r="Q151" s="149" t="n">
        <f aca="false">SUM(investiroutrosconsolidadoanual[[#This Row],[1]:[12]])</f>
        <v>0</v>
      </c>
      <c r="R151" s="165"/>
      <c r="AH151" s="79"/>
      <c r="AO151" s="117" t="e">
        <f aca="false">SUMIFS(tabela_registros[VALOR],tabela_registros[MÊS],$AE$1,tabela_registros[REGISTRO],DADOS!$N$5,tabela_registros[TIPO],DADOS!$AB$5,tabela_registros[CATEGORIA],investiroutrosconsolidadodez[[#This Row],[ATUAL]],#REF!,DADOS!$J$4)</f>
        <v>#VALUE!</v>
      </c>
      <c r="AP151" s="117" t="e">
        <f aca="false">SUMIFS(tabela_registros[VALOR],tabela_registros[MÊS],$AE$1,tabela_registros[REGISTRO],DADOS!$N$5,tabela_registros[TIPO],DADOS!$AB$5,tabela_registros[CATEGORIA],investiroutrosconsolidadodez[[#This Row],[ATUAL]],#REF!,DADOS!$J$3)</f>
        <v>#VALUE!</v>
      </c>
      <c r="AQ151" s="118" t="e">
        <f aca="false">(investiroutrosconsolidadoanual[[#This Row],[TOTAL (R$)]]*$AQ$159)/$Q$159</f>
        <v>#DIV/0!</v>
      </c>
    </row>
    <row r="152" customFormat="false" ht="19.5" hidden="false" customHeight="true" outlineLevel="0" collapsed="false">
      <c r="B152" s="143"/>
      <c r="C152" s="144" t="str">
        <f aca="false">DADOS!$AH$4</f>
        <v>📝 FOREX</v>
      </c>
      <c r="D152" s="145" t="str">
        <f aca="false">IF(investiroutrosconsolidadoanual[[#This Row],[TOTAL (R$)]]=0,"",IF(OR(investiroutrosconsolidadoanual[[#This Row],[TOTAL (R$)]]=LARGE($Q$151:$Q$158,1),investiroutrosconsolidadoanual[[#This Row],[TOTAL (R$)]]=LARGE($Q$151:$Q$158,2)),DADOS!$I$10,""))</f>
        <v/>
      </c>
      <c r="E152" s="148" t="n">
        <f aca="false">investiroutrosconsolidado282932[[#This Row],[TOTAL (R$)]]</f>
        <v>0</v>
      </c>
      <c r="F152" s="119" t="n">
        <f aca="false">investiroutrosconsolidadofev[[#This Row],[TOTAL (R$)]]</f>
        <v>0</v>
      </c>
      <c r="G152" s="119" t="n">
        <f aca="false">investiroutrosconsolidadomar[[#This Row],[TOTAL (R$)]]</f>
        <v>0</v>
      </c>
      <c r="H152" s="119" t="n">
        <f aca="false">investiroutrosconsolidadoabr[[#This Row],[TOTAL (R$)]]</f>
        <v>0</v>
      </c>
      <c r="I152" s="119" t="n">
        <f aca="false">investiroutrosconsolidadomai[[#This Row],[TOTAL (R$)]]</f>
        <v>0</v>
      </c>
      <c r="J152" s="119" t="n">
        <f aca="false">investiroutrosconsolidadojun[[#This Row],[TOTAL (R$)]]</f>
        <v>0</v>
      </c>
      <c r="K152" s="119" t="n">
        <f aca="false">investiroutrosconsolidadojul[[#This Row],[TOTAL (R$)]]</f>
        <v>0</v>
      </c>
      <c r="L152" s="119" t="n">
        <f aca="false">investiroutrosconsolidadoago[[#This Row],[TOTAL (R$)]]</f>
        <v>0</v>
      </c>
      <c r="M152" s="119" t="n">
        <f aca="false">investiroutrosconsolidadoset[[#This Row],[TOTAL (R$)]]</f>
        <v>0</v>
      </c>
      <c r="N152" s="119" t="n">
        <f aca="false">investiroutrosconsolidadoout[[#This Row],[TOTAL (R$)]]</f>
        <v>0</v>
      </c>
      <c r="O152" s="119" t="n">
        <f aca="false">investiroutrosconsolidadonov[[#This Row],[TOTAL (R$)]]</f>
        <v>0</v>
      </c>
      <c r="P152" s="119" t="n">
        <f aca="false">investiroutrosconsolidadodez[[#This Row],[TOTAL (R$)]]</f>
        <v>0</v>
      </c>
      <c r="Q152" s="149" t="n">
        <f aca="false">SUM(investiroutrosconsolidadoanual[[#This Row],[1]:[12]])</f>
        <v>0</v>
      </c>
      <c r="R152" s="165"/>
      <c r="AH152" s="79"/>
      <c r="AO152" s="117" t="e">
        <f aca="false">SUMIFS(tabela_registros[VALOR],tabela_registros[MÊS],$AE$1,tabela_registros[REGISTRO],DADOS!$N$5,tabela_registros[TIPO],DADOS!$AB$5,tabela_registros[CATEGORIA],investiroutrosconsolidadodez[[#This Row],[ATUAL]],#REF!,DADOS!$J$4)</f>
        <v>#VALUE!</v>
      </c>
      <c r="AP152" s="117" t="e">
        <f aca="false">SUMIFS(tabela_registros[VALOR],tabela_registros[MÊS],$AE$1,tabela_registros[REGISTRO],DADOS!$N$5,tabela_registros[TIPO],DADOS!$AB$5,tabela_registros[CATEGORIA],investiroutrosconsolidadodez[[#This Row],[ATUAL]],#REF!,DADOS!$J$3)</f>
        <v>#VALUE!</v>
      </c>
      <c r="AQ152" s="118" t="e">
        <f aca="false">(investiroutrosconsolidadoanual[[#This Row],[TOTAL (R$)]]*$AQ$159)/$Q$159</f>
        <v>#DIV/0!</v>
      </c>
    </row>
    <row r="153" customFormat="false" ht="19.5" hidden="false" customHeight="true" outlineLevel="0" collapsed="false">
      <c r="B153" s="143"/>
      <c r="C153" s="144" t="str">
        <f aca="false">DADOS!$AH$5</f>
        <v>📝 FUNDO DE INVESTIMENTO</v>
      </c>
      <c r="D153" s="145" t="str">
        <f aca="false">IF(investiroutrosconsolidadoanual[[#This Row],[TOTAL (R$)]]=0,"",IF(OR(investiroutrosconsolidadoanual[[#This Row],[TOTAL (R$)]]=LARGE($Q$151:$Q$158,1),investiroutrosconsolidadoanual[[#This Row],[TOTAL (R$)]]=LARGE($Q$151:$Q$158,2)),DADOS!$I$10,""))</f>
        <v/>
      </c>
      <c r="E153" s="148" t="n">
        <f aca="false">investiroutrosconsolidado282932[[#This Row],[TOTAL (R$)]]</f>
        <v>0</v>
      </c>
      <c r="F153" s="119" t="n">
        <f aca="false">investiroutrosconsolidadofev[[#This Row],[TOTAL (R$)]]</f>
        <v>0</v>
      </c>
      <c r="G153" s="119" t="n">
        <f aca="false">investiroutrosconsolidadomar[[#This Row],[TOTAL (R$)]]</f>
        <v>0</v>
      </c>
      <c r="H153" s="119" t="n">
        <f aca="false">investiroutrosconsolidadoabr[[#This Row],[TOTAL (R$)]]</f>
        <v>0</v>
      </c>
      <c r="I153" s="119" t="n">
        <f aca="false">investiroutrosconsolidadomai[[#This Row],[TOTAL (R$)]]</f>
        <v>0</v>
      </c>
      <c r="J153" s="119" t="n">
        <f aca="false">investiroutrosconsolidadojun[[#This Row],[TOTAL (R$)]]</f>
        <v>0</v>
      </c>
      <c r="K153" s="119" t="n">
        <f aca="false">investiroutrosconsolidadojul[[#This Row],[TOTAL (R$)]]</f>
        <v>0</v>
      </c>
      <c r="L153" s="119" t="n">
        <f aca="false">investiroutrosconsolidadoago[[#This Row],[TOTAL (R$)]]</f>
        <v>0</v>
      </c>
      <c r="M153" s="119" t="n">
        <f aca="false">investiroutrosconsolidadoset[[#This Row],[TOTAL (R$)]]</f>
        <v>0</v>
      </c>
      <c r="N153" s="119" t="n">
        <f aca="false">investiroutrosconsolidadoout[[#This Row],[TOTAL (R$)]]</f>
        <v>0</v>
      </c>
      <c r="O153" s="119" t="n">
        <f aca="false">investiroutrosconsolidadonov[[#This Row],[TOTAL (R$)]]</f>
        <v>0</v>
      </c>
      <c r="P153" s="119" t="n">
        <f aca="false">investiroutrosconsolidadodez[[#This Row],[TOTAL (R$)]]</f>
        <v>0</v>
      </c>
      <c r="Q153" s="149" t="n">
        <f aca="false">SUM(investiroutrosconsolidadoanual[[#This Row],[1]:[12]])</f>
        <v>0</v>
      </c>
      <c r="R153" s="165"/>
      <c r="AH153" s="79"/>
      <c r="AO153" s="117" t="e">
        <f aca="false">SUMIFS(tabela_registros[VALOR],tabela_registros[MÊS],$AE$1,tabela_registros[REGISTRO],DADOS!$N$5,tabela_registros[TIPO],DADOS!$AB$5,tabela_registros[CATEGORIA],investiroutrosconsolidadodez[[#This Row],[ATUAL]],#REF!,DADOS!$J$4)</f>
        <v>#VALUE!</v>
      </c>
      <c r="AP153" s="117" t="e">
        <f aca="false">SUMIFS(tabela_registros[VALOR],tabela_registros[MÊS],$AE$1,tabela_registros[REGISTRO],DADOS!$N$5,tabela_registros[TIPO],DADOS!$AB$5,tabela_registros[CATEGORIA],investiroutrosconsolidadodez[[#This Row],[ATUAL]],#REF!,DADOS!$J$3)</f>
        <v>#VALUE!</v>
      </c>
      <c r="AQ153" s="118" t="e">
        <f aca="false">(investiroutrosconsolidadoanual[[#This Row],[TOTAL (R$)]]*$AQ$159)/$Q$159</f>
        <v>#DIV/0!</v>
      </c>
    </row>
    <row r="154" customFormat="false" ht="19.5" hidden="false" customHeight="true" outlineLevel="0" collapsed="false">
      <c r="B154" s="143"/>
      <c r="C154" s="144" t="str">
        <f aca="false">DADOS!$AH$6</f>
        <v>📝 NOVA EMPRESA</v>
      </c>
      <c r="D154" s="145" t="str">
        <f aca="false">IF(investiroutrosconsolidadoanual[[#This Row],[TOTAL (R$)]]=0,"",IF(OR(investiroutrosconsolidadoanual[[#This Row],[TOTAL (R$)]]=LARGE($Q$151:$Q$158,1),investiroutrosconsolidadoanual[[#This Row],[TOTAL (R$)]]=LARGE($Q$151:$Q$158,2)),DADOS!$I$10,""))</f>
        <v/>
      </c>
      <c r="E154" s="148" t="n">
        <f aca="false">investiroutrosconsolidado282932[[#This Row],[TOTAL (R$)]]</f>
        <v>0</v>
      </c>
      <c r="F154" s="119" t="n">
        <f aca="false">investiroutrosconsolidadofev[[#This Row],[TOTAL (R$)]]</f>
        <v>0</v>
      </c>
      <c r="G154" s="119" t="n">
        <f aca="false">investiroutrosconsolidadomar[[#This Row],[TOTAL (R$)]]</f>
        <v>0</v>
      </c>
      <c r="H154" s="119" t="n">
        <f aca="false">investiroutrosconsolidadoabr[[#This Row],[TOTAL (R$)]]</f>
        <v>0</v>
      </c>
      <c r="I154" s="119" t="n">
        <f aca="false">investiroutrosconsolidadomai[[#This Row],[TOTAL (R$)]]</f>
        <v>0</v>
      </c>
      <c r="J154" s="119" t="n">
        <f aca="false">investiroutrosconsolidadojun[[#This Row],[TOTAL (R$)]]</f>
        <v>0</v>
      </c>
      <c r="K154" s="119" t="n">
        <f aca="false">investiroutrosconsolidadojul[[#This Row],[TOTAL (R$)]]</f>
        <v>0</v>
      </c>
      <c r="L154" s="119" t="n">
        <f aca="false">investiroutrosconsolidadoago[[#This Row],[TOTAL (R$)]]</f>
        <v>0</v>
      </c>
      <c r="M154" s="119" t="n">
        <f aca="false">investiroutrosconsolidadoset[[#This Row],[TOTAL (R$)]]</f>
        <v>0</v>
      </c>
      <c r="N154" s="119" t="n">
        <f aca="false">investiroutrosconsolidadoout[[#This Row],[TOTAL (R$)]]</f>
        <v>0</v>
      </c>
      <c r="O154" s="119" t="n">
        <f aca="false">investiroutrosconsolidadonov[[#This Row],[TOTAL (R$)]]</f>
        <v>0</v>
      </c>
      <c r="P154" s="119" t="n">
        <f aca="false">investiroutrosconsolidadodez[[#This Row],[TOTAL (R$)]]</f>
        <v>0</v>
      </c>
      <c r="Q154" s="149" t="n">
        <f aca="false">SUM(investiroutrosconsolidadoanual[[#This Row],[1]:[12]])</f>
        <v>0</v>
      </c>
      <c r="R154" s="165"/>
      <c r="AH154" s="79"/>
      <c r="AO154" s="117" t="e">
        <f aca="false">SUMIFS(tabela_registros[VALOR],tabela_registros[MÊS],$AE$1,tabela_registros[REGISTRO],DADOS!$N$5,tabela_registros[TIPO],DADOS!$AB$5,tabela_registros[CATEGORIA],investiroutrosconsolidadodez[[#This Row],[ATUAL]],#REF!,DADOS!$J$4)</f>
        <v>#VALUE!</v>
      </c>
      <c r="AP154" s="117" t="e">
        <f aca="false">SUMIFS(tabela_registros[VALOR],tabela_registros[MÊS],$AE$1,tabela_registros[REGISTRO],DADOS!$N$5,tabela_registros[TIPO],DADOS!$AB$5,tabela_registros[CATEGORIA],investiroutrosconsolidadodez[[#This Row],[ATUAL]],#REF!,DADOS!$J$3)</f>
        <v>#VALUE!</v>
      </c>
      <c r="AQ154" s="118" t="e">
        <f aca="false">(investiroutrosconsolidadoanual[[#This Row],[TOTAL (R$)]]*$AQ$159)/$Q$159</f>
        <v>#DIV/0!</v>
      </c>
    </row>
    <row r="155" customFormat="false" ht="19.5" hidden="false" customHeight="true" outlineLevel="0" collapsed="false">
      <c r="B155" s="143"/>
      <c r="C155" s="144" t="str">
        <f aca="false">DADOS!$AH$7</f>
        <v>📝 PEER TO COMPANY</v>
      </c>
      <c r="D155" s="145" t="str">
        <f aca="false">IF(investiroutrosconsolidadoanual[[#This Row],[TOTAL (R$)]]=0,"",IF(OR(investiroutrosconsolidadoanual[[#This Row],[TOTAL (R$)]]=LARGE($Q$151:$Q$158,1),investiroutrosconsolidadoanual[[#This Row],[TOTAL (R$)]]=LARGE($Q$151:$Q$158,2)),DADOS!$I$10,""))</f>
        <v/>
      </c>
      <c r="E155" s="148" t="n">
        <f aca="false">investiroutrosconsolidado282932[[#This Row],[TOTAL (R$)]]</f>
        <v>0</v>
      </c>
      <c r="F155" s="119" t="n">
        <f aca="false">investiroutrosconsolidadofev[[#This Row],[TOTAL (R$)]]</f>
        <v>0</v>
      </c>
      <c r="G155" s="119" t="n">
        <f aca="false">investiroutrosconsolidadomar[[#This Row],[TOTAL (R$)]]</f>
        <v>0</v>
      </c>
      <c r="H155" s="119" t="n">
        <f aca="false">investiroutrosconsolidadoabr[[#This Row],[TOTAL (R$)]]</f>
        <v>0</v>
      </c>
      <c r="I155" s="119" t="n">
        <f aca="false">investiroutrosconsolidadomai[[#This Row],[TOTAL (R$)]]</f>
        <v>0</v>
      </c>
      <c r="J155" s="119" t="n">
        <f aca="false">investiroutrosconsolidadojun[[#This Row],[TOTAL (R$)]]</f>
        <v>0</v>
      </c>
      <c r="K155" s="119" t="n">
        <f aca="false">investiroutrosconsolidadojul[[#This Row],[TOTAL (R$)]]</f>
        <v>0</v>
      </c>
      <c r="L155" s="119" t="n">
        <f aca="false">investiroutrosconsolidadoago[[#This Row],[TOTAL (R$)]]</f>
        <v>0</v>
      </c>
      <c r="M155" s="119" t="n">
        <f aca="false">investiroutrosconsolidadoset[[#This Row],[TOTAL (R$)]]</f>
        <v>0</v>
      </c>
      <c r="N155" s="119" t="n">
        <f aca="false">investiroutrosconsolidadoout[[#This Row],[TOTAL (R$)]]</f>
        <v>0</v>
      </c>
      <c r="O155" s="119" t="n">
        <f aca="false">investiroutrosconsolidadonov[[#This Row],[TOTAL (R$)]]</f>
        <v>0</v>
      </c>
      <c r="P155" s="119" t="n">
        <f aca="false">investiroutrosconsolidadodez[[#This Row],[TOTAL (R$)]]</f>
        <v>0</v>
      </c>
      <c r="Q155" s="149" t="n">
        <f aca="false">SUM(investiroutrosconsolidadoanual[[#This Row],[1]:[12]])</f>
        <v>0</v>
      </c>
      <c r="R155" s="165"/>
      <c r="AH155" s="79"/>
      <c r="AO155" s="117" t="e">
        <f aca="false">SUMIFS(tabela_registros[VALOR],tabela_registros[MÊS],$AE$1,tabela_registros[REGISTRO],DADOS!$N$5,tabela_registros[TIPO],DADOS!$AB$5,tabela_registros[CATEGORIA],investiroutrosconsolidadodez[[#This Row],[ATUAL]],#REF!,DADOS!$J$4)</f>
        <v>#VALUE!</v>
      </c>
      <c r="AP155" s="117" t="e">
        <f aca="false">SUMIFS(tabela_registros[VALOR],tabela_registros[MÊS],$AE$1,tabela_registros[REGISTRO],DADOS!$N$5,tabela_registros[TIPO],DADOS!$AB$5,tabela_registros[CATEGORIA],investiroutrosconsolidadodez[[#This Row],[ATUAL]],#REF!,DADOS!$J$3)</f>
        <v>#VALUE!</v>
      </c>
      <c r="AQ155" s="118" t="e">
        <f aca="false">(investiroutrosconsolidadoanual[[#This Row],[TOTAL (R$)]]*$AQ$159)/$Q$159</f>
        <v>#DIV/0!</v>
      </c>
    </row>
    <row r="156" customFormat="false" ht="19.5" hidden="false" customHeight="true" outlineLevel="0" collapsed="false">
      <c r="B156" s="143"/>
      <c r="C156" s="144" t="str">
        <f aca="false">DADOS!$AH$8</f>
        <v>📝 PEER TO PEER</v>
      </c>
      <c r="D156" s="145" t="str">
        <f aca="false">IF(investiroutrosconsolidadoanual[[#This Row],[TOTAL (R$)]]=0,"",IF(OR(investiroutrosconsolidadoanual[[#This Row],[TOTAL (R$)]]=LARGE($Q$151:$Q$158,1),investiroutrosconsolidadoanual[[#This Row],[TOTAL (R$)]]=LARGE($Q$151:$Q$158,2)),DADOS!$I$10,""))</f>
        <v/>
      </c>
      <c r="E156" s="148" t="n">
        <f aca="false">investiroutrosconsolidado282932[[#This Row],[TOTAL (R$)]]</f>
        <v>0</v>
      </c>
      <c r="F156" s="119" t="n">
        <f aca="false">investiroutrosconsolidadofev[[#This Row],[TOTAL (R$)]]</f>
        <v>0</v>
      </c>
      <c r="G156" s="119" t="n">
        <f aca="false">investiroutrosconsolidadomar[[#This Row],[TOTAL (R$)]]</f>
        <v>0</v>
      </c>
      <c r="H156" s="119" t="n">
        <f aca="false">investiroutrosconsolidadoabr[[#This Row],[TOTAL (R$)]]</f>
        <v>0</v>
      </c>
      <c r="I156" s="119" t="n">
        <f aca="false">investiroutrosconsolidadomai[[#This Row],[TOTAL (R$)]]</f>
        <v>0</v>
      </c>
      <c r="J156" s="119" t="n">
        <f aca="false">investiroutrosconsolidadojun[[#This Row],[TOTAL (R$)]]</f>
        <v>0</v>
      </c>
      <c r="K156" s="119" t="n">
        <f aca="false">investiroutrosconsolidadojul[[#This Row],[TOTAL (R$)]]</f>
        <v>0</v>
      </c>
      <c r="L156" s="119" t="n">
        <f aca="false">investiroutrosconsolidadoago[[#This Row],[TOTAL (R$)]]</f>
        <v>0</v>
      </c>
      <c r="M156" s="119" t="n">
        <f aca="false">investiroutrosconsolidadoset[[#This Row],[TOTAL (R$)]]</f>
        <v>0</v>
      </c>
      <c r="N156" s="119" t="n">
        <f aca="false">investiroutrosconsolidadoout[[#This Row],[TOTAL (R$)]]</f>
        <v>0</v>
      </c>
      <c r="O156" s="119" t="n">
        <f aca="false">investiroutrosconsolidadonov[[#This Row],[TOTAL (R$)]]</f>
        <v>0</v>
      </c>
      <c r="P156" s="119" t="n">
        <f aca="false">investiroutrosconsolidadodez[[#This Row],[TOTAL (R$)]]</f>
        <v>0</v>
      </c>
      <c r="Q156" s="149" t="n">
        <f aca="false">SUM(investiroutrosconsolidadoanual[[#This Row],[1]:[12]])</f>
        <v>0</v>
      </c>
      <c r="R156" s="165"/>
      <c r="AH156" s="79"/>
      <c r="AO156" s="117" t="e">
        <f aca="false">SUMIFS(tabela_registros[VALOR],tabela_registros[MÊS],$AE$1,tabela_registros[REGISTRO],DADOS!$N$5,tabela_registros[TIPO],DADOS!$AB$5,tabela_registros[CATEGORIA],investiroutrosconsolidadodez[[#This Row],[ATUAL]],#REF!,DADOS!$J$4)</f>
        <v>#VALUE!</v>
      </c>
      <c r="AP156" s="117" t="e">
        <f aca="false">SUMIFS(tabela_registros[VALOR],tabela_registros[MÊS],$AE$1,tabela_registros[REGISTRO],DADOS!$N$5,tabela_registros[TIPO],DADOS!$AB$5,tabela_registros[CATEGORIA],investiroutrosconsolidadodez[[#This Row],[ATUAL]],#REF!,DADOS!$J$3)</f>
        <v>#VALUE!</v>
      </c>
      <c r="AQ156" s="118" t="e">
        <f aca="false">(investiroutrosconsolidadoanual[[#This Row],[TOTAL (R$)]]*$AQ$159)/$Q$159</f>
        <v>#DIV/0!</v>
      </c>
    </row>
    <row r="157" customFormat="false" ht="19.5" hidden="false" customHeight="true" outlineLevel="0" collapsed="false">
      <c r="B157" s="143"/>
      <c r="C157" s="144" t="str">
        <f aca="false">DADOS!$AH$9</f>
        <v>📝 PREVIDÊNCIA PRIVADA</v>
      </c>
      <c r="D157" s="145" t="str">
        <f aca="false">IF(investiroutrosconsolidadoanual[[#This Row],[TOTAL (R$)]]=0,"",IF(OR(investiroutrosconsolidadoanual[[#This Row],[TOTAL (R$)]]=LARGE($Q$151:$Q$158,1),investiroutrosconsolidadoanual[[#This Row],[TOTAL (R$)]]=LARGE($Q$151:$Q$158,2)),DADOS!$I$10,""))</f>
        <v/>
      </c>
      <c r="E157" s="148" t="n">
        <f aca="false">investiroutrosconsolidado282932[[#This Row],[TOTAL (R$)]]</f>
        <v>0</v>
      </c>
      <c r="F157" s="119" t="n">
        <f aca="false">investiroutrosconsolidadofev[[#This Row],[TOTAL (R$)]]</f>
        <v>0</v>
      </c>
      <c r="G157" s="119" t="n">
        <f aca="false">investiroutrosconsolidadomar[[#This Row],[TOTAL (R$)]]</f>
        <v>0</v>
      </c>
      <c r="H157" s="119" t="n">
        <f aca="false">investiroutrosconsolidadoabr[[#This Row],[TOTAL (R$)]]</f>
        <v>0</v>
      </c>
      <c r="I157" s="119" t="n">
        <f aca="false">investiroutrosconsolidadomai[[#This Row],[TOTAL (R$)]]</f>
        <v>0</v>
      </c>
      <c r="J157" s="119" t="n">
        <f aca="false">investiroutrosconsolidadojun[[#This Row],[TOTAL (R$)]]</f>
        <v>0</v>
      </c>
      <c r="K157" s="119" t="n">
        <f aca="false">investiroutrosconsolidadojul[[#This Row],[TOTAL (R$)]]</f>
        <v>0</v>
      </c>
      <c r="L157" s="119" t="n">
        <f aca="false">investiroutrosconsolidadoago[[#This Row],[TOTAL (R$)]]</f>
        <v>0</v>
      </c>
      <c r="M157" s="119" t="n">
        <f aca="false">investiroutrosconsolidadoset[[#This Row],[TOTAL (R$)]]</f>
        <v>0</v>
      </c>
      <c r="N157" s="119" t="n">
        <f aca="false">investiroutrosconsolidadoout[[#This Row],[TOTAL (R$)]]</f>
        <v>0</v>
      </c>
      <c r="O157" s="119" t="n">
        <f aca="false">investiroutrosconsolidadonov[[#This Row],[TOTAL (R$)]]</f>
        <v>0</v>
      </c>
      <c r="P157" s="119" t="n">
        <f aca="false">investiroutrosconsolidadodez[[#This Row],[TOTAL (R$)]]</f>
        <v>0</v>
      </c>
      <c r="Q157" s="149" t="n">
        <f aca="false">SUM(investiroutrosconsolidadoanual[[#This Row],[1]:[12]])</f>
        <v>0</v>
      </c>
      <c r="R157" s="165"/>
      <c r="AH157" s="79"/>
      <c r="AO157" s="117" t="e">
        <f aca="false">SUMIFS(tabela_registros[VALOR],tabela_registros[MÊS],$AE$1,tabela_registros[REGISTRO],DADOS!$N$5,tabela_registros[TIPO],DADOS!$AB$5,tabela_registros[CATEGORIA],investiroutrosconsolidadodez[[#This Row],[ATUAL]],#REF!,DADOS!$J$4)</f>
        <v>#VALUE!</v>
      </c>
      <c r="AP157" s="117" t="e">
        <f aca="false">SUMIFS(tabela_registros[VALOR],tabela_registros[MÊS],$AE$1,tabela_registros[REGISTRO],DADOS!$N$5,tabela_registros[TIPO],DADOS!$AB$5,tabela_registros[CATEGORIA],investiroutrosconsolidadodez[[#This Row],[ATUAL]],#REF!,DADOS!$J$3)</f>
        <v>#VALUE!</v>
      </c>
      <c r="AQ157" s="118" t="e">
        <f aca="false">(investiroutrosconsolidadoanual[[#This Row],[TOTAL (R$)]]*$AQ$159)/$Q$159</f>
        <v>#DIV/0!</v>
      </c>
    </row>
    <row r="158" customFormat="false" ht="19.5" hidden="false" customHeight="true" outlineLevel="0" collapsed="false">
      <c r="B158" s="143"/>
      <c r="C158" s="144" t="str">
        <f aca="false">DADOS!$AH$10</f>
        <v>📎 OUTROS</v>
      </c>
      <c r="D158" s="145" t="str">
        <f aca="false">IF(investiroutrosconsolidadoanual[[#This Row],[TOTAL (R$)]]=0,"",IF(OR(investiroutrosconsolidadoanual[[#This Row],[TOTAL (R$)]]=LARGE($Q$151:$Q$158,1),investiroutrosconsolidadoanual[[#This Row],[TOTAL (R$)]]=LARGE($Q$151:$Q$158,2)),DADOS!$I$10,""))</f>
        <v/>
      </c>
      <c r="E158" s="148" t="n">
        <f aca="false">investiroutrosconsolidado282932[[#This Row],[TOTAL (R$)]]</f>
        <v>0</v>
      </c>
      <c r="F158" s="119" t="n">
        <f aca="false">investiroutrosconsolidadofev[[#This Row],[TOTAL (R$)]]</f>
        <v>0</v>
      </c>
      <c r="G158" s="119" t="n">
        <f aca="false">investiroutrosconsolidadomar[[#This Row],[TOTAL (R$)]]</f>
        <v>0</v>
      </c>
      <c r="H158" s="119" t="n">
        <f aca="false">investiroutrosconsolidadoabr[[#This Row],[TOTAL (R$)]]</f>
        <v>0</v>
      </c>
      <c r="I158" s="119" t="n">
        <f aca="false">investiroutrosconsolidadomai[[#This Row],[TOTAL (R$)]]</f>
        <v>0</v>
      </c>
      <c r="J158" s="119" t="n">
        <f aca="false">investiroutrosconsolidadojun[[#This Row],[TOTAL (R$)]]</f>
        <v>0</v>
      </c>
      <c r="K158" s="119" t="n">
        <f aca="false">investiroutrosconsolidadojul[[#This Row],[TOTAL (R$)]]</f>
        <v>0</v>
      </c>
      <c r="L158" s="119" t="n">
        <f aca="false">investiroutrosconsolidadoago[[#This Row],[TOTAL (R$)]]</f>
        <v>0</v>
      </c>
      <c r="M158" s="119" t="n">
        <f aca="false">investiroutrosconsolidadoset[[#This Row],[TOTAL (R$)]]</f>
        <v>0</v>
      </c>
      <c r="N158" s="119" t="n">
        <f aca="false">investiroutrosconsolidadoout[[#This Row],[TOTAL (R$)]]</f>
        <v>0</v>
      </c>
      <c r="O158" s="119" t="n">
        <f aca="false">investiroutrosconsolidadonov[[#This Row],[TOTAL (R$)]]</f>
        <v>0</v>
      </c>
      <c r="P158" s="119" t="n">
        <f aca="false">investiroutrosconsolidadodez[[#This Row],[TOTAL (R$)]]</f>
        <v>0</v>
      </c>
      <c r="Q158" s="149" t="n">
        <f aca="false">SUM(investiroutrosconsolidadoanual[[#This Row],[1]:[12]])</f>
        <v>0</v>
      </c>
      <c r="R158" s="165"/>
      <c r="AH158" s="79"/>
      <c r="AN158" s="79" t="s">
        <v>78</v>
      </c>
      <c r="AO158" s="117" t="e">
        <f aca="false">SUMIFS(tabela_registros[VALOR],tabela_registros[MÊS],$AE$1,tabela_registros[REGISTRO],DADOS!$N$5,tabela_registros[TIPO],DADOS!$AB$5,tabela_registros[CATEGORIA],investiroutrosconsolidadodez[[#This Row],[ATUAL]],#REF!,DADOS!$J$4)</f>
        <v>#VALUE!</v>
      </c>
      <c r="AP158" s="117" t="e">
        <f aca="false">SUMIFS(tabela_registros[VALOR],tabela_registros[MÊS],$AE$1,tabela_registros[REGISTRO],DADOS!$N$5,tabela_registros[TIPO],DADOS!$AB$5,tabela_registros[CATEGORIA],investiroutrosconsolidadodez[[#This Row],[ATUAL]],#REF!,DADOS!$J$3)</f>
        <v>#VALUE!</v>
      </c>
      <c r="AQ158" s="118" t="e">
        <f aca="false">(investiroutrosconsolidadoanual[[#This Row],[TOTAL (R$)]]*$AQ$159)/$Q$159</f>
        <v>#DIV/0!</v>
      </c>
    </row>
    <row r="159" s="130" customFormat="true" ht="21" hidden="false" customHeight="true" outlineLevel="0" collapsed="false">
      <c r="A159" s="122"/>
      <c r="B159" s="152"/>
      <c r="C159" s="153" t="s">
        <v>2</v>
      </c>
      <c r="D159" s="166"/>
      <c r="E159" s="155" t="n">
        <f aca="false">investiroutrosconsolidado282932[[#This Row],[TOTAL (R$)]]</f>
        <v>0</v>
      </c>
      <c r="F159" s="156" t="n">
        <f aca="false">investiroutrosconsolidadofev[[#This Row],[TOTAL (R$)]]+investiroutrosconsolidadoanual[[#This Row],[1]]</f>
        <v>0</v>
      </c>
      <c r="G159" s="156" t="n">
        <f aca="false">investiroutrosconsolidadomar[[#This Row],[TOTAL (R$)]]+investiroutrosconsolidadoanual[[#This Row],[2]]</f>
        <v>0</v>
      </c>
      <c r="H159" s="156" t="n">
        <f aca="false">investiroutrosconsolidadoabr[[#This Row],[TOTAL (R$)]]+investiroutrosconsolidadoanual[[#This Row],[3]]</f>
        <v>0</v>
      </c>
      <c r="I159" s="156" t="n">
        <f aca="false">investiroutrosconsolidadomai[[#This Row],[TOTAL (R$)]]+investiroutrosconsolidadoanual[[#This Row],[4]]</f>
        <v>0</v>
      </c>
      <c r="J159" s="156" t="n">
        <f aca="false">investiroutrosconsolidadojun[[#This Row],[TOTAL (R$)]]+investiroutrosconsolidadoanual[[#This Row],[5]]</f>
        <v>0</v>
      </c>
      <c r="K159" s="156" t="n">
        <f aca="false">investiroutrosconsolidadojul[[#This Row],[TOTAL (R$)]]+investiroutrosconsolidadoanual[[#This Row],[6]]</f>
        <v>0</v>
      </c>
      <c r="L159" s="156" t="n">
        <f aca="false">investiroutrosconsolidadoago[[#This Row],[TOTAL (R$)]]+investiroutrosconsolidadoanual[[#This Row],[7]]</f>
        <v>0</v>
      </c>
      <c r="M159" s="156" t="n">
        <f aca="false">investiroutrosconsolidadoset[[#This Row],[TOTAL (R$)]]+investiroutrosconsolidadoanual[[#This Row],[8]]</f>
        <v>0</v>
      </c>
      <c r="N159" s="156" t="n">
        <f aca="false">investiroutrosconsolidadoout[[#This Row],[TOTAL (R$)]]+investiroutrosconsolidadoanual[[#This Row],[9]]</f>
        <v>0</v>
      </c>
      <c r="O159" s="156" t="n">
        <f aca="false">investiroutrosconsolidadonov[[#This Row],[TOTAL (R$)]]+investiroutrosconsolidadoanual[[#This Row],[10]]</f>
        <v>0</v>
      </c>
      <c r="P159" s="156" t="n">
        <f aca="false">investiroutrosconsolidadodez[[#This Row],[TOTAL (R$)]]+investiroutrosconsolidadoanual[[#This Row],[11]]</f>
        <v>0</v>
      </c>
      <c r="Q159" s="157" t="n">
        <f aca="false">investiroutrosconsolidadoanual[[#This Row],[12]]</f>
        <v>0</v>
      </c>
      <c r="R159" s="158"/>
      <c r="S159" s="78"/>
      <c r="T159" s="78"/>
      <c r="U159" s="78"/>
      <c r="V159" s="78"/>
      <c r="W159" s="78"/>
      <c r="X159" s="78"/>
      <c r="Y159" s="78"/>
      <c r="Z159" s="78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N159" s="132" t="e">
        <f aca="false">investiroutrosconsolidadoanual[[#This Row],[TOTAL (R$)]]/$Q$25</f>
        <v>#DIV/0!</v>
      </c>
      <c r="AO159" s="131" t="e">
        <f aca="false">SUM(AO151:AO158)</f>
        <v>#VALUE!</v>
      </c>
      <c r="AP159" s="131" t="e">
        <f aca="false">SUM(AP151:AP158)</f>
        <v>#VALUE!</v>
      </c>
      <c r="AQ159" s="118" t="n">
        <f aca="false">1</f>
        <v>1</v>
      </c>
    </row>
    <row r="160" customFormat="false" ht="6.75" hidden="false" customHeight="true" outlineLevel="0" collapsed="false">
      <c r="B160" s="97"/>
      <c r="C160" s="162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4"/>
      <c r="AH160" s="79"/>
      <c r="AO160" s="117"/>
      <c r="AP160" s="117"/>
      <c r="AQ160" s="118"/>
    </row>
    <row r="161" customFormat="false" ht="12.75" hidden="false" customHeight="false" outlineLevel="0" collapsed="false">
      <c r="E161" s="100"/>
      <c r="AH161" s="79"/>
    </row>
    <row r="162" customFormat="false" ht="12" hidden="false" customHeight="false" outlineLevel="0" collapsed="false">
      <c r="AH162" s="79"/>
    </row>
    <row r="163" customFormat="false" ht="12" hidden="false" customHeight="false" outlineLevel="0" collapsed="false">
      <c r="AH163" s="79"/>
    </row>
    <row r="164" customFormat="false" ht="39.75" hidden="false" customHeight="true" outlineLevel="0" collapsed="false">
      <c r="C164" s="101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3" t="s">
        <v>2</v>
      </c>
      <c r="R164" s="104"/>
      <c r="AH164" s="79"/>
    </row>
    <row r="165" customFormat="false" ht="12.75" hidden="false" customHeight="false" outlineLevel="0" collapsed="false">
      <c r="B165" s="161"/>
      <c r="Q165" s="106" t="s">
        <v>64</v>
      </c>
      <c r="AH165" s="79"/>
    </row>
    <row r="166" customFormat="false" ht="6.75" hidden="false" customHeight="true" outlineLevel="0" collapsed="false">
      <c r="B166" s="86"/>
      <c r="C166" s="162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4"/>
      <c r="AH166" s="79"/>
      <c r="AO166" s="108" t="s">
        <v>65</v>
      </c>
      <c r="AP166" s="108" t="s">
        <v>66</v>
      </c>
      <c r="AQ166" s="108" t="s">
        <v>67</v>
      </c>
    </row>
    <row r="167" customFormat="false" ht="13.5" hidden="true" customHeight="false" outlineLevel="0" collapsed="false">
      <c r="B167" s="86"/>
      <c r="C167" s="109" t="s">
        <v>68</v>
      </c>
      <c r="D167" s="110" t="s">
        <v>69</v>
      </c>
      <c r="E167" s="110" t="s">
        <v>30</v>
      </c>
      <c r="F167" s="110" t="s">
        <v>31</v>
      </c>
      <c r="G167" s="110" t="s">
        <v>32</v>
      </c>
      <c r="H167" s="110" t="s">
        <v>33</v>
      </c>
      <c r="I167" s="110" t="s">
        <v>34</v>
      </c>
      <c r="J167" s="110" t="s">
        <v>35</v>
      </c>
      <c r="K167" s="110" t="s">
        <v>36</v>
      </c>
      <c r="L167" s="110" t="s">
        <v>37</v>
      </c>
      <c r="M167" s="110" t="s">
        <v>38</v>
      </c>
      <c r="N167" s="110" t="s">
        <v>39</v>
      </c>
      <c r="O167" s="110" t="s">
        <v>40</v>
      </c>
      <c r="P167" s="110" t="s">
        <v>41</v>
      </c>
      <c r="Q167" s="111" t="s">
        <v>70</v>
      </c>
      <c r="R167" s="143"/>
      <c r="V167" s="78" t="n">
        <v>5555</v>
      </c>
      <c r="AH167" s="79"/>
    </row>
    <row r="168" customFormat="false" ht="19.5" hidden="false" customHeight="true" outlineLevel="0" collapsed="false">
      <c r="B168" s="143"/>
      <c r="C168" s="144" t="str">
        <f aca="false">DADOS!$AL$3</f>
        <v>📝 CDB</v>
      </c>
      <c r="D168" s="145" t="str">
        <f aca="false">IF(reservafixaconsolidadoanual[[#This Row],[TOTAL (R$)]]=0,"",IF(OR(reservafixaconsolidadoanual[[#This Row],[TOTAL (R$)]]=LARGE($Q$168:$Q$177,1),reservafixaconsolidadoanual[[#This Row],[TOTAL (R$)]]=LARGE($Q$168:$Q$177,2)),DADOS!$I$11,""))</f>
        <v/>
      </c>
      <c r="E168" s="148" t="n">
        <f aca="false">reservafixaconsolidado282933[[#This Row],[TOTAL (R$)]]</f>
        <v>0</v>
      </c>
      <c r="F168" s="119" t="n">
        <f aca="false">reservafixaconsolidadofev[[#This Row],[TOTAL (R$)]]</f>
        <v>0</v>
      </c>
      <c r="G168" s="119" t="n">
        <f aca="false">reservafixaconsolidadomar[[#This Row],[TOTAL (R$)]]</f>
        <v>0</v>
      </c>
      <c r="H168" s="119" t="n">
        <f aca="false">reservafixaconsolidadoabr[[#This Row],[TOTAL (R$)]]</f>
        <v>0</v>
      </c>
      <c r="I168" s="119" t="n">
        <f aca="false">reservafixaconsolidadomai[[#This Row],[TOTAL (R$)]]</f>
        <v>0</v>
      </c>
      <c r="J168" s="119" t="n">
        <f aca="false">reservafixaconsolidadojun[[#This Row],[TOTAL (R$)]]</f>
        <v>0</v>
      </c>
      <c r="K168" s="119" t="n">
        <f aca="false">reservafixaconsolidadojul[[#This Row],[TOTAL (R$)]]</f>
        <v>0</v>
      </c>
      <c r="L168" s="119" t="n">
        <f aca="false">reservafixaconsolidadoago[[#This Row],[TOTAL (R$)]]</f>
        <v>0</v>
      </c>
      <c r="M168" s="119" t="n">
        <f aca="false">reservafixaconsolidadoset[[#This Row],[TOTAL (R$)]]</f>
        <v>0</v>
      </c>
      <c r="N168" s="119" t="n">
        <f aca="false">reservafixaconsolidadoout[[#This Row],[TOTAL (R$)]]</f>
        <v>0</v>
      </c>
      <c r="O168" s="119" t="n">
        <f aca="false">reservafixaconsolidadonov[[#This Row],[TOTAL (R$)]]</f>
        <v>0</v>
      </c>
      <c r="P168" s="119" t="n">
        <f aca="false">reservafixaconsolidadodez[[#This Row],[TOTAL (R$)]]</f>
        <v>0</v>
      </c>
      <c r="Q168" s="149" t="n">
        <f aca="false">SUM(reservafixaconsolidadoanual[[#This Row],[1]:[12]])</f>
        <v>0</v>
      </c>
      <c r="R168" s="165"/>
      <c r="AH168" s="79"/>
      <c r="AO168" s="117" t="e">
        <f aca="false">SUMIFS(tabela_registros[VALOR],tabela_registros[MÊS],$AE$1,tabela_registros[REGISTRO],DADOS!$N$6,tabela_registros[TIPO],DADOS!$AJ$3,tabela_registros[CATEGORIA],reservafixaconsolidadodez[[#This Row],[ATUAL]],#REF!,DADOS!$J$4)</f>
        <v>#VALUE!</v>
      </c>
      <c r="AP168" s="117" t="e">
        <f aca="false">SUMIFS(tabela_registros[VALOR],tabela_registros[MÊS],$AE$1,tabela_registros[REGISTRO],DADOS!$N$6,tabela_registros[TIPO],DADOS!$AJ$3,tabela_registros[CATEGORIA],reservafixaconsolidadodez[[#This Row],[ATUAL]],#REF!,DADOS!$J$3)</f>
        <v>#VALUE!</v>
      </c>
      <c r="AQ168" s="118" t="e">
        <f aca="false">(reservafixaconsolidadoanual[[#This Row],[TOTAL (R$)]]*$AQ$178)/$Q$178</f>
        <v>#DIV/0!</v>
      </c>
    </row>
    <row r="169" customFormat="false" ht="19.5" hidden="false" customHeight="true" outlineLevel="0" collapsed="false">
      <c r="B169" s="143"/>
      <c r="C169" s="144" t="str">
        <f aca="false">DADOS!$AL$4</f>
        <v>📝 CRA</v>
      </c>
      <c r="D169" s="145" t="str">
        <f aca="false">IF(reservafixaconsolidadoanual[[#This Row],[TOTAL (R$)]]=0,"",IF(OR(reservafixaconsolidadoanual[[#This Row],[TOTAL (R$)]]=LARGE($Q$168:$Q$177,1),reservafixaconsolidadoanual[[#This Row],[TOTAL (R$)]]=LARGE($Q$168:$Q$177,2)),DADOS!$I$11,""))</f>
        <v/>
      </c>
      <c r="E169" s="148" t="n">
        <f aca="false">reservafixaconsolidado282933[[#This Row],[TOTAL (R$)]]</f>
        <v>0</v>
      </c>
      <c r="F169" s="119" t="n">
        <f aca="false">reservafixaconsolidadofev[[#This Row],[TOTAL (R$)]]</f>
        <v>0</v>
      </c>
      <c r="G169" s="119" t="n">
        <f aca="false">reservafixaconsolidadomar[[#This Row],[TOTAL (R$)]]</f>
        <v>0</v>
      </c>
      <c r="H169" s="119" t="n">
        <f aca="false">reservafixaconsolidadoabr[[#This Row],[TOTAL (R$)]]</f>
        <v>0</v>
      </c>
      <c r="I169" s="119" t="n">
        <f aca="false">reservafixaconsolidadomai[[#This Row],[TOTAL (R$)]]</f>
        <v>0</v>
      </c>
      <c r="J169" s="119" t="n">
        <f aca="false">reservafixaconsolidadojun[[#This Row],[TOTAL (R$)]]</f>
        <v>0</v>
      </c>
      <c r="K169" s="119" t="n">
        <f aca="false">reservafixaconsolidadojul[[#This Row],[TOTAL (R$)]]</f>
        <v>0</v>
      </c>
      <c r="L169" s="119" t="n">
        <f aca="false">reservafixaconsolidadoago[[#This Row],[TOTAL (R$)]]</f>
        <v>0</v>
      </c>
      <c r="M169" s="119" t="n">
        <f aca="false">reservafixaconsolidadoset[[#This Row],[TOTAL (R$)]]</f>
        <v>0</v>
      </c>
      <c r="N169" s="119" t="n">
        <f aca="false">reservafixaconsolidadoout[[#This Row],[TOTAL (R$)]]</f>
        <v>0</v>
      </c>
      <c r="O169" s="119" t="n">
        <f aca="false">reservafixaconsolidadonov[[#This Row],[TOTAL (R$)]]</f>
        <v>0</v>
      </c>
      <c r="P169" s="119" t="n">
        <f aca="false">reservafixaconsolidadodez[[#This Row],[TOTAL (R$)]]</f>
        <v>0</v>
      </c>
      <c r="Q169" s="149" t="n">
        <f aca="false">SUM(reservafixaconsolidadoanual[[#This Row],[1]:[12]])</f>
        <v>0</v>
      </c>
      <c r="R169" s="165"/>
      <c r="AH169" s="79"/>
      <c r="AO169" s="117" t="e">
        <f aca="false">SUMIFS(tabela_registros[VALOR],tabela_registros[MÊS],$AE$1,tabela_registros[REGISTRO],DADOS!$N$6,tabela_registros[TIPO],DADOS!$AJ$3,tabela_registros[CATEGORIA],reservafixaconsolidadodez[[#This Row],[ATUAL]],#REF!,DADOS!$J$4)</f>
        <v>#VALUE!</v>
      </c>
      <c r="AP169" s="117" t="e">
        <f aca="false">SUMIFS(tabela_registros[VALOR],tabela_registros[MÊS],$AE$1,tabela_registros[REGISTRO],DADOS!$N$6,tabela_registros[TIPO],DADOS!$AJ$3,tabela_registros[CATEGORIA],reservafixaconsolidadodez[[#This Row],[ATUAL]],#REF!,DADOS!$J$3)</f>
        <v>#VALUE!</v>
      </c>
      <c r="AQ169" s="118" t="e">
        <f aca="false">(reservafixaconsolidadoanual[[#This Row],[TOTAL (R$)]]*$AQ$178)/$Q$178</f>
        <v>#DIV/0!</v>
      </c>
    </row>
    <row r="170" customFormat="false" ht="19.5" hidden="false" customHeight="true" outlineLevel="0" collapsed="false">
      <c r="B170" s="143"/>
      <c r="C170" s="144" t="str">
        <f aca="false">DADOS!$AL$5</f>
        <v>📝 CRI</v>
      </c>
      <c r="D170" s="145" t="str">
        <f aca="false">IF(reservafixaconsolidadoanual[[#This Row],[TOTAL (R$)]]=0,"",IF(OR(reservafixaconsolidadoanual[[#This Row],[TOTAL (R$)]]=LARGE($Q$168:$Q$177,1),reservafixaconsolidadoanual[[#This Row],[TOTAL (R$)]]=LARGE($Q$168:$Q$177,2)),DADOS!$I$11,""))</f>
        <v/>
      </c>
      <c r="E170" s="148" t="n">
        <f aca="false">reservafixaconsolidado282933[[#This Row],[TOTAL (R$)]]</f>
        <v>0</v>
      </c>
      <c r="F170" s="119" t="n">
        <f aca="false">reservafixaconsolidadofev[[#This Row],[TOTAL (R$)]]</f>
        <v>0</v>
      </c>
      <c r="G170" s="119" t="n">
        <f aca="false">reservafixaconsolidadomar[[#This Row],[TOTAL (R$)]]</f>
        <v>0</v>
      </c>
      <c r="H170" s="119" t="n">
        <f aca="false">reservafixaconsolidadoabr[[#This Row],[TOTAL (R$)]]</f>
        <v>0</v>
      </c>
      <c r="I170" s="119" t="n">
        <f aca="false">reservafixaconsolidadomai[[#This Row],[TOTAL (R$)]]</f>
        <v>0</v>
      </c>
      <c r="J170" s="119" t="n">
        <f aca="false">reservafixaconsolidadojun[[#This Row],[TOTAL (R$)]]</f>
        <v>0</v>
      </c>
      <c r="K170" s="119" t="n">
        <f aca="false">reservafixaconsolidadojul[[#This Row],[TOTAL (R$)]]</f>
        <v>0</v>
      </c>
      <c r="L170" s="119" t="n">
        <f aca="false">reservafixaconsolidadoago[[#This Row],[TOTAL (R$)]]</f>
        <v>0</v>
      </c>
      <c r="M170" s="119" t="n">
        <f aca="false">reservafixaconsolidadoset[[#This Row],[TOTAL (R$)]]</f>
        <v>0</v>
      </c>
      <c r="N170" s="119" t="n">
        <f aca="false">reservafixaconsolidadoout[[#This Row],[TOTAL (R$)]]</f>
        <v>0</v>
      </c>
      <c r="O170" s="119" t="n">
        <f aca="false">reservafixaconsolidadonov[[#This Row],[TOTAL (R$)]]</f>
        <v>0</v>
      </c>
      <c r="P170" s="119" t="n">
        <f aca="false">reservafixaconsolidadodez[[#This Row],[TOTAL (R$)]]</f>
        <v>0</v>
      </c>
      <c r="Q170" s="149" t="n">
        <f aca="false">SUM(reservafixaconsolidadoanual[[#This Row],[1]:[12]])</f>
        <v>0</v>
      </c>
      <c r="R170" s="165"/>
      <c r="AH170" s="79"/>
      <c r="AO170" s="117" t="e">
        <f aca="false">SUMIFS(tabela_registros[VALOR],tabela_registros[MÊS],$AE$1,tabela_registros[REGISTRO],DADOS!$N$6,tabela_registros[TIPO],DADOS!$AJ$3,tabela_registros[CATEGORIA],reservafixaconsolidadodez[[#This Row],[ATUAL]],#REF!,DADOS!$J$4)</f>
        <v>#VALUE!</v>
      </c>
      <c r="AP170" s="117" t="e">
        <f aca="false">SUMIFS(tabela_registros[VALOR],tabela_registros[MÊS],$AE$1,tabela_registros[REGISTRO],DADOS!$N$6,tabela_registros[TIPO],DADOS!$AJ$3,tabela_registros[CATEGORIA],reservafixaconsolidadodez[[#This Row],[ATUAL]],#REF!,DADOS!$J$3)</f>
        <v>#VALUE!</v>
      </c>
      <c r="AQ170" s="118" t="e">
        <f aca="false">(reservafixaconsolidadoanual[[#This Row],[TOTAL (R$)]]*$AQ$178)/$Q$178</f>
        <v>#DIV/0!</v>
      </c>
    </row>
    <row r="171" customFormat="false" ht="19.5" hidden="false" customHeight="true" outlineLevel="0" collapsed="false">
      <c r="B171" s="143"/>
      <c r="C171" s="144" t="str">
        <f aca="false">DADOS!$AL$6</f>
        <v>📝 DEBÊNTURE</v>
      </c>
      <c r="D171" s="145" t="str">
        <f aca="false">IF(reservafixaconsolidadoanual[[#This Row],[TOTAL (R$)]]=0,"",IF(OR(reservafixaconsolidadoanual[[#This Row],[TOTAL (R$)]]=LARGE($Q$168:$Q$177,1),reservafixaconsolidadoanual[[#This Row],[TOTAL (R$)]]=LARGE($Q$168:$Q$177,2)),DADOS!$I$11,""))</f>
        <v/>
      </c>
      <c r="E171" s="148" t="n">
        <f aca="false">reservafixaconsolidado282933[[#This Row],[TOTAL (R$)]]</f>
        <v>0</v>
      </c>
      <c r="F171" s="119" t="n">
        <f aca="false">reservafixaconsolidadofev[[#This Row],[TOTAL (R$)]]</f>
        <v>0</v>
      </c>
      <c r="G171" s="119" t="n">
        <f aca="false">reservafixaconsolidadomar[[#This Row],[TOTAL (R$)]]</f>
        <v>0</v>
      </c>
      <c r="H171" s="119" t="n">
        <f aca="false">reservafixaconsolidadoabr[[#This Row],[TOTAL (R$)]]</f>
        <v>0</v>
      </c>
      <c r="I171" s="119" t="n">
        <f aca="false">reservafixaconsolidadomai[[#This Row],[TOTAL (R$)]]</f>
        <v>0</v>
      </c>
      <c r="J171" s="119" t="n">
        <f aca="false">reservafixaconsolidadojun[[#This Row],[TOTAL (R$)]]</f>
        <v>0</v>
      </c>
      <c r="K171" s="119" t="n">
        <f aca="false">reservafixaconsolidadojul[[#This Row],[TOTAL (R$)]]</f>
        <v>0</v>
      </c>
      <c r="L171" s="119" t="n">
        <f aca="false">reservafixaconsolidadoago[[#This Row],[TOTAL (R$)]]</f>
        <v>0</v>
      </c>
      <c r="M171" s="119" t="n">
        <f aca="false">reservafixaconsolidadoset[[#This Row],[TOTAL (R$)]]</f>
        <v>0</v>
      </c>
      <c r="N171" s="119" t="n">
        <f aca="false">reservafixaconsolidadoout[[#This Row],[TOTAL (R$)]]</f>
        <v>0</v>
      </c>
      <c r="O171" s="119" t="n">
        <f aca="false">reservafixaconsolidadonov[[#This Row],[TOTAL (R$)]]</f>
        <v>0</v>
      </c>
      <c r="P171" s="119" t="n">
        <f aca="false">reservafixaconsolidadodez[[#This Row],[TOTAL (R$)]]</f>
        <v>0</v>
      </c>
      <c r="Q171" s="149" t="n">
        <f aca="false">SUM(reservafixaconsolidadoanual[[#This Row],[1]:[12]])</f>
        <v>0</v>
      </c>
      <c r="R171" s="165"/>
      <c r="AH171" s="79"/>
      <c r="AO171" s="117" t="e">
        <f aca="false">SUMIFS(tabela_registros[VALOR],tabela_registros[MÊS],$AE$1,tabela_registros[REGISTRO],DADOS!$N$6,tabela_registros[TIPO],DADOS!$AJ$3,tabela_registros[CATEGORIA],reservafixaconsolidadodez[[#This Row],[ATUAL]],#REF!,DADOS!$J$4)</f>
        <v>#VALUE!</v>
      </c>
      <c r="AP171" s="117" t="e">
        <f aca="false">SUMIFS(tabela_registros[VALOR],tabela_registros[MÊS],$AE$1,tabela_registros[REGISTRO],DADOS!$N$6,tabela_registros[TIPO],DADOS!$AJ$3,tabela_registros[CATEGORIA],reservafixaconsolidadodez[[#This Row],[ATUAL]],#REF!,DADOS!$J$3)</f>
        <v>#VALUE!</v>
      </c>
      <c r="AQ171" s="118" t="e">
        <f aca="false">(reservafixaconsolidadoanual[[#This Row],[TOTAL (R$)]]*$AQ$178)/$Q$178</f>
        <v>#DIV/0!</v>
      </c>
    </row>
    <row r="172" customFormat="false" ht="19.5" hidden="false" customHeight="true" outlineLevel="0" collapsed="false">
      <c r="B172" s="143"/>
      <c r="C172" s="144" t="str">
        <f aca="false">DADOS!$AL$7</f>
        <v>📝 EXTERIOR</v>
      </c>
      <c r="D172" s="145" t="str">
        <f aca="false">IF(reservafixaconsolidadoanual[[#This Row],[TOTAL (R$)]]=0,"",IF(OR(reservafixaconsolidadoanual[[#This Row],[TOTAL (R$)]]=LARGE($Q$168:$Q$177,1),reservafixaconsolidadoanual[[#This Row],[TOTAL (R$)]]=LARGE($Q$168:$Q$177,2)),DADOS!$I$11,""))</f>
        <v/>
      </c>
      <c r="E172" s="148" t="n">
        <f aca="false">reservafixaconsolidado282933[[#This Row],[TOTAL (R$)]]</f>
        <v>0</v>
      </c>
      <c r="F172" s="119" t="n">
        <f aca="false">reservafixaconsolidadofev[[#This Row],[TOTAL (R$)]]</f>
        <v>0</v>
      </c>
      <c r="G172" s="119" t="n">
        <f aca="false">reservafixaconsolidadomar[[#This Row],[TOTAL (R$)]]</f>
        <v>0</v>
      </c>
      <c r="H172" s="119" t="n">
        <f aca="false">reservafixaconsolidadoabr[[#This Row],[TOTAL (R$)]]</f>
        <v>0</v>
      </c>
      <c r="I172" s="119" t="n">
        <f aca="false">reservafixaconsolidadomai[[#This Row],[TOTAL (R$)]]</f>
        <v>0</v>
      </c>
      <c r="J172" s="119" t="n">
        <f aca="false">reservafixaconsolidadojun[[#This Row],[TOTAL (R$)]]</f>
        <v>0</v>
      </c>
      <c r="K172" s="119" t="n">
        <f aca="false">reservafixaconsolidadojul[[#This Row],[TOTAL (R$)]]</f>
        <v>0</v>
      </c>
      <c r="L172" s="119" t="n">
        <f aca="false">reservafixaconsolidadoago[[#This Row],[TOTAL (R$)]]</f>
        <v>0</v>
      </c>
      <c r="M172" s="119" t="n">
        <f aca="false">reservafixaconsolidadoset[[#This Row],[TOTAL (R$)]]</f>
        <v>0</v>
      </c>
      <c r="N172" s="119" t="n">
        <f aca="false">reservafixaconsolidadoout[[#This Row],[TOTAL (R$)]]</f>
        <v>0</v>
      </c>
      <c r="O172" s="119" t="n">
        <f aca="false">reservafixaconsolidadonov[[#This Row],[TOTAL (R$)]]</f>
        <v>0</v>
      </c>
      <c r="P172" s="119" t="n">
        <f aca="false">reservafixaconsolidadodez[[#This Row],[TOTAL (R$)]]</f>
        <v>0</v>
      </c>
      <c r="Q172" s="149" t="n">
        <f aca="false">SUM(reservafixaconsolidadoanual[[#This Row],[1]:[12]])</f>
        <v>0</v>
      </c>
      <c r="R172" s="165"/>
      <c r="AH172" s="79"/>
      <c r="AO172" s="117" t="e">
        <f aca="false">SUMIFS(tabela_registros[VALOR],tabela_registros[MÊS],$AE$1,tabela_registros[REGISTRO],DADOS!$N$6,tabela_registros[TIPO],DADOS!$AJ$3,tabela_registros[CATEGORIA],reservafixaconsolidadodez[[#This Row],[ATUAL]],#REF!,DADOS!$J$4)</f>
        <v>#VALUE!</v>
      </c>
      <c r="AP172" s="117" t="e">
        <f aca="false">SUMIFS(tabela_registros[VALOR],tabela_registros[MÊS],$AE$1,tabela_registros[REGISTRO],DADOS!$N$6,tabela_registros[TIPO],DADOS!$AJ$3,tabela_registros[CATEGORIA],reservafixaconsolidadodez[[#This Row],[ATUAL]],#REF!,DADOS!$J$3)</f>
        <v>#VALUE!</v>
      </c>
      <c r="AQ172" s="118" t="e">
        <f aca="false">(reservafixaconsolidadoanual[[#This Row],[TOTAL (R$)]]*$AQ$178)/$Q$178</f>
        <v>#DIV/0!</v>
      </c>
    </row>
    <row r="173" customFormat="false" ht="19.5" hidden="false" customHeight="true" outlineLevel="0" collapsed="false">
      <c r="B173" s="143"/>
      <c r="C173" s="144" t="str">
        <f aca="false">DADOS!$AL$8</f>
        <v>📝 LC</v>
      </c>
      <c r="D173" s="145" t="str">
        <f aca="false">IF(reservafixaconsolidadoanual[[#This Row],[TOTAL (R$)]]=0,"",IF(OR(reservafixaconsolidadoanual[[#This Row],[TOTAL (R$)]]=LARGE($Q$168:$Q$177,1),reservafixaconsolidadoanual[[#This Row],[TOTAL (R$)]]=LARGE($Q$168:$Q$177,2)),DADOS!$I$11,""))</f>
        <v/>
      </c>
      <c r="E173" s="148" t="n">
        <f aca="false">reservafixaconsolidado282933[[#This Row],[TOTAL (R$)]]</f>
        <v>0</v>
      </c>
      <c r="F173" s="119" t="n">
        <f aca="false">reservafixaconsolidadofev[[#This Row],[TOTAL (R$)]]</f>
        <v>0</v>
      </c>
      <c r="G173" s="119" t="n">
        <f aca="false">reservafixaconsolidadomar[[#This Row],[TOTAL (R$)]]</f>
        <v>0</v>
      </c>
      <c r="H173" s="119" t="n">
        <f aca="false">reservafixaconsolidadoabr[[#This Row],[TOTAL (R$)]]</f>
        <v>0</v>
      </c>
      <c r="I173" s="119" t="n">
        <f aca="false">reservafixaconsolidadomai[[#This Row],[TOTAL (R$)]]</f>
        <v>0</v>
      </c>
      <c r="J173" s="119" t="n">
        <f aca="false">reservafixaconsolidadojun[[#This Row],[TOTAL (R$)]]</f>
        <v>0</v>
      </c>
      <c r="K173" s="119" t="n">
        <f aca="false">reservafixaconsolidadojul[[#This Row],[TOTAL (R$)]]</f>
        <v>0</v>
      </c>
      <c r="L173" s="119" t="n">
        <f aca="false">reservafixaconsolidadoago[[#This Row],[TOTAL (R$)]]</f>
        <v>0</v>
      </c>
      <c r="M173" s="119" t="n">
        <f aca="false">reservafixaconsolidadoset[[#This Row],[TOTAL (R$)]]</f>
        <v>0</v>
      </c>
      <c r="N173" s="119" t="n">
        <f aca="false">reservafixaconsolidadoout[[#This Row],[TOTAL (R$)]]</f>
        <v>0</v>
      </c>
      <c r="O173" s="119" t="n">
        <f aca="false">reservafixaconsolidadonov[[#This Row],[TOTAL (R$)]]</f>
        <v>0</v>
      </c>
      <c r="P173" s="119" t="n">
        <f aca="false">reservafixaconsolidadodez[[#This Row],[TOTAL (R$)]]</f>
        <v>0</v>
      </c>
      <c r="Q173" s="149" t="n">
        <f aca="false">SUM(reservafixaconsolidadoanual[[#This Row],[1]:[12]])</f>
        <v>0</v>
      </c>
      <c r="R173" s="165"/>
      <c r="AH173" s="79"/>
      <c r="AO173" s="117" t="e">
        <f aca="false">SUMIFS(tabela_registros[VALOR],tabela_registros[MÊS],$AE$1,tabela_registros[REGISTRO],DADOS!$N$6,tabela_registros[TIPO],DADOS!$AJ$3,tabela_registros[CATEGORIA],reservafixaconsolidadodez[[#This Row],[ATUAL]],#REF!,DADOS!$J$4)</f>
        <v>#VALUE!</v>
      </c>
      <c r="AP173" s="117" t="e">
        <f aca="false">SUMIFS(tabela_registros[VALOR],tabela_registros[MÊS],$AE$1,tabela_registros[REGISTRO],DADOS!$N$6,tabela_registros[TIPO],DADOS!$AJ$3,tabela_registros[CATEGORIA],reservafixaconsolidadodez[[#This Row],[ATUAL]],#REF!,DADOS!$J$3)</f>
        <v>#VALUE!</v>
      </c>
      <c r="AQ173" s="118" t="e">
        <f aca="false">(reservafixaconsolidadoanual[[#This Row],[TOTAL (R$)]]*$AQ$178)/$Q$178</f>
        <v>#DIV/0!</v>
      </c>
    </row>
    <row r="174" customFormat="false" ht="19.5" hidden="false" customHeight="true" outlineLevel="0" collapsed="false">
      <c r="B174" s="143"/>
      <c r="C174" s="144" t="str">
        <f aca="false">DADOS!$AL$9</f>
        <v>📝 LCA</v>
      </c>
      <c r="D174" s="145" t="str">
        <f aca="false">IF(reservafixaconsolidadoanual[[#This Row],[TOTAL (R$)]]=0,"",IF(OR(reservafixaconsolidadoanual[[#This Row],[TOTAL (R$)]]=LARGE($Q$168:$Q$177,1),reservafixaconsolidadoanual[[#This Row],[TOTAL (R$)]]=LARGE($Q$168:$Q$177,2)),DADOS!$I$11,""))</f>
        <v/>
      </c>
      <c r="E174" s="148" t="n">
        <f aca="false">reservafixaconsolidado282933[[#This Row],[TOTAL (R$)]]</f>
        <v>0</v>
      </c>
      <c r="F174" s="119" t="n">
        <f aca="false">reservafixaconsolidadofev[[#This Row],[TOTAL (R$)]]</f>
        <v>0</v>
      </c>
      <c r="G174" s="119" t="n">
        <f aca="false">reservafixaconsolidadomar[[#This Row],[TOTAL (R$)]]</f>
        <v>0</v>
      </c>
      <c r="H174" s="119" t="n">
        <f aca="false">reservafixaconsolidadoabr[[#This Row],[TOTAL (R$)]]</f>
        <v>0</v>
      </c>
      <c r="I174" s="119" t="n">
        <f aca="false">reservafixaconsolidadomai[[#This Row],[TOTAL (R$)]]</f>
        <v>0</v>
      </c>
      <c r="J174" s="119" t="n">
        <f aca="false">reservafixaconsolidadojun[[#This Row],[TOTAL (R$)]]</f>
        <v>0</v>
      </c>
      <c r="K174" s="119" t="n">
        <f aca="false">reservafixaconsolidadojul[[#This Row],[TOTAL (R$)]]</f>
        <v>0</v>
      </c>
      <c r="L174" s="119" t="n">
        <f aca="false">reservafixaconsolidadoago[[#This Row],[TOTAL (R$)]]</f>
        <v>0</v>
      </c>
      <c r="M174" s="119" t="n">
        <f aca="false">reservafixaconsolidadoset[[#This Row],[TOTAL (R$)]]</f>
        <v>0</v>
      </c>
      <c r="N174" s="119" t="n">
        <f aca="false">reservafixaconsolidadoout[[#This Row],[TOTAL (R$)]]</f>
        <v>0</v>
      </c>
      <c r="O174" s="119" t="n">
        <f aca="false">reservafixaconsolidadonov[[#This Row],[TOTAL (R$)]]</f>
        <v>0</v>
      </c>
      <c r="P174" s="119" t="n">
        <f aca="false">reservafixaconsolidadodez[[#This Row],[TOTAL (R$)]]</f>
        <v>0</v>
      </c>
      <c r="Q174" s="149" t="n">
        <f aca="false">SUM(reservafixaconsolidadoanual[[#This Row],[1]:[12]])</f>
        <v>0</v>
      </c>
      <c r="R174" s="165"/>
      <c r="AH174" s="79"/>
      <c r="AO174" s="117" t="e">
        <f aca="false">SUMIFS(tabela_registros[VALOR],tabela_registros[MÊS],$AE$1,tabela_registros[REGISTRO],DADOS!$N$6,tabela_registros[TIPO],DADOS!$AJ$3,tabela_registros[CATEGORIA],reservafixaconsolidadodez[[#This Row],[ATUAL]],#REF!,DADOS!$J$4)</f>
        <v>#VALUE!</v>
      </c>
      <c r="AP174" s="117" t="e">
        <f aca="false">SUMIFS(tabela_registros[VALOR],tabela_registros[MÊS],$AE$1,tabela_registros[REGISTRO],DADOS!$N$6,tabela_registros[TIPO],DADOS!$AJ$3,tabela_registros[CATEGORIA],reservafixaconsolidadodez[[#This Row],[ATUAL]],#REF!,DADOS!$J$3)</f>
        <v>#VALUE!</v>
      </c>
      <c r="AQ174" s="118" t="e">
        <f aca="false">(reservafixaconsolidadoanual[[#This Row],[TOTAL (R$)]]*$AQ$178)/$Q$178</f>
        <v>#DIV/0!</v>
      </c>
    </row>
    <row r="175" customFormat="false" ht="19.5" hidden="false" customHeight="true" outlineLevel="0" collapsed="false">
      <c r="B175" s="143"/>
      <c r="C175" s="144" t="str">
        <f aca="false">DADOS!$AL$10</f>
        <v>📝 LCI</v>
      </c>
      <c r="D175" s="145" t="str">
        <f aca="false">IF(reservafixaconsolidadoanual[[#This Row],[TOTAL (R$)]]=0,"",IF(OR(reservafixaconsolidadoanual[[#This Row],[TOTAL (R$)]]=LARGE($Q$168:$Q$177,1),reservafixaconsolidadoanual[[#This Row],[TOTAL (R$)]]=LARGE($Q$168:$Q$177,2)),DADOS!$I$11,""))</f>
        <v/>
      </c>
      <c r="E175" s="148" t="n">
        <f aca="false">reservafixaconsolidado282933[[#This Row],[TOTAL (R$)]]</f>
        <v>0</v>
      </c>
      <c r="F175" s="119" t="n">
        <f aca="false">reservafixaconsolidadofev[[#This Row],[TOTAL (R$)]]</f>
        <v>0</v>
      </c>
      <c r="G175" s="119" t="n">
        <f aca="false">reservafixaconsolidadomar[[#This Row],[TOTAL (R$)]]</f>
        <v>0</v>
      </c>
      <c r="H175" s="119" t="n">
        <f aca="false">reservafixaconsolidadoabr[[#This Row],[TOTAL (R$)]]</f>
        <v>0</v>
      </c>
      <c r="I175" s="119" t="n">
        <f aca="false">reservafixaconsolidadomai[[#This Row],[TOTAL (R$)]]</f>
        <v>0</v>
      </c>
      <c r="J175" s="119" t="n">
        <f aca="false">reservafixaconsolidadojun[[#This Row],[TOTAL (R$)]]</f>
        <v>0</v>
      </c>
      <c r="K175" s="119" t="n">
        <f aca="false">reservafixaconsolidadojul[[#This Row],[TOTAL (R$)]]</f>
        <v>0</v>
      </c>
      <c r="L175" s="119" t="n">
        <f aca="false">reservafixaconsolidadoago[[#This Row],[TOTAL (R$)]]</f>
        <v>0</v>
      </c>
      <c r="M175" s="119" t="n">
        <f aca="false">reservafixaconsolidadoset[[#This Row],[TOTAL (R$)]]</f>
        <v>0</v>
      </c>
      <c r="N175" s="119" t="n">
        <f aca="false">reservafixaconsolidadoout[[#This Row],[TOTAL (R$)]]</f>
        <v>0</v>
      </c>
      <c r="O175" s="119" t="n">
        <f aca="false">reservafixaconsolidadonov[[#This Row],[TOTAL (R$)]]</f>
        <v>0</v>
      </c>
      <c r="P175" s="119" t="n">
        <f aca="false">reservafixaconsolidadodez[[#This Row],[TOTAL (R$)]]</f>
        <v>0</v>
      </c>
      <c r="Q175" s="149" t="n">
        <f aca="false">SUM(reservafixaconsolidadoanual[[#This Row],[1]:[12]])</f>
        <v>0</v>
      </c>
      <c r="R175" s="165"/>
      <c r="AH175" s="79"/>
      <c r="AO175" s="117" t="e">
        <f aca="false">SUMIFS(tabela_registros[VALOR],tabela_registros[MÊS],$AE$1,tabela_registros[REGISTRO],DADOS!$N$6,tabela_registros[TIPO],DADOS!$AJ$3,tabela_registros[CATEGORIA],reservafixaconsolidadodez[[#This Row],[ATUAL]],#REF!,DADOS!$J$4)</f>
        <v>#VALUE!</v>
      </c>
      <c r="AP175" s="117" t="e">
        <f aca="false">SUMIFS(tabela_registros[VALOR],tabela_registros[MÊS],$AE$1,tabela_registros[REGISTRO],DADOS!$N$6,tabela_registros[TIPO],DADOS!$AJ$3,tabela_registros[CATEGORIA],reservafixaconsolidadodez[[#This Row],[ATUAL]],#REF!,DADOS!$J$3)</f>
        <v>#VALUE!</v>
      </c>
      <c r="AQ175" s="118" t="e">
        <f aca="false">(reservafixaconsolidadoanual[[#This Row],[TOTAL (R$)]]*$AQ$178)/$Q$178</f>
        <v>#DIV/0!</v>
      </c>
    </row>
    <row r="176" customFormat="false" ht="19.5" hidden="false" customHeight="true" outlineLevel="0" collapsed="false">
      <c r="B176" s="143"/>
      <c r="C176" s="144" t="str">
        <f aca="false">DADOS!$AL$11</f>
        <v>📝 TESOURO DIRETO</v>
      </c>
      <c r="D176" s="145" t="str">
        <f aca="false">IF(reservafixaconsolidadoanual[[#This Row],[TOTAL (R$)]]=0,"",IF(OR(reservafixaconsolidadoanual[[#This Row],[TOTAL (R$)]]=LARGE($Q$168:$Q$177,1),reservafixaconsolidadoanual[[#This Row],[TOTAL (R$)]]=LARGE($Q$168:$Q$177,2)),DADOS!$I$11,""))</f>
        <v/>
      </c>
      <c r="E176" s="148" t="n">
        <f aca="false">reservafixaconsolidado282933[[#This Row],[TOTAL (R$)]]</f>
        <v>0</v>
      </c>
      <c r="F176" s="119" t="n">
        <f aca="false">reservafixaconsolidadofev[[#This Row],[TOTAL (R$)]]</f>
        <v>0</v>
      </c>
      <c r="G176" s="119" t="n">
        <f aca="false">reservafixaconsolidadomar[[#This Row],[TOTAL (R$)]]</f>
        <v>0</v>
      </c>
      <c r="H176" s="119" t="n">
        <f aca="false">reservafixaconsolidadoabr[[#This Row],[TOTAL (R$)]]</f>
        <v>0</v>
      </c>
      <c r="I176" s="119" t="n">
        <f aca="false">reservafixaconsolidadomai[[#This Row],[TOTAL (R$)]]</f>
        <v>0</v>
      </c>
      <c r="J176" s="119" t="n">
        <f aca="false">reservafixaconsolidadojun[[#This Row],[TOTAL (R$)]]</f>
        <v>0</v>
      </c>
      <c r="K176" s="119" t="n">
        <f aca="false">reservafixaconsolidadojul[[#This Row],[TOTAL (R$)]]</f>
        <v>0</v>
      </c>
      <c r="L176" s="119" t="n">
        <f aca="false">reservafixaconsolidadoago[[#This Row],[TOTAL (R$)]]</f>
        <v>0</v>
      </c>
      <c r="M176" s="119" t="n">
        <f aca="false">reservafixaconsolidadoset[[#This Row],[TOTAL (R$)]]</f>
        <v>0</v>
      </c>
      <c r="N176" s="119" t="n">
        <f aca="false">reservafixaconsolidadoout[[#This Row],[TOTAL (R$)]]</f>
        <v>0</v>
      </c>
      <c r="O176" s="119" t="n">
        <f aca="false">reservafixaconsolidadonov[[#This Row],[TOTAL (R$)]]</f>
        <v>0</v>
      </c>
      <c r="P176" s="119" t="n">
        <f aca="false">reservafixaconsolidadodez[[#This Row],[TOTAL (R$)]]</f>
        <v>0</v>
      </c>
      <c r="Q176" s="149" t="n">
        <f aca="false">SUM(reservafixaconsolidadoanual[[#This Row],[1]:[12]])</f>
        <v>0</v>
      </c>
      <c r="R176" s="165"/>
      <c r="AH176" s="79"/>
      <c r="AO176" s="117" t="e">
        <f aca="false">SUMIFS(tabela_registros[VALOR],tabela_registros[MÊS],$AE$1,tabela_registros[REGISTRO],DADOS!$N$6,tabela_registros[TIPO],DADOS!$AJ$3,tabela_registros[CATEGORIA],reservafixaconsolidadodez[[#This Row],[ATUAL]],#REF!,DADOS!$J$4)</f>
        <v>#VALUE!</v>
      </c>
      <c r="AP176" s="117" t="e">
        <f aca="false">SUMIFS(tabela_registros[VALOR],tabela_registros[MÊS],$AE$1,tabela_registros[REGISTRO],DADOS!$N$6,tabela_registros[TIPO],DADOS!$AJ$3,tabela_registros[CATEGORIA],reservafixaconsolidadodez[[#This Row],[ATUAL]],#REF!,DADOS!$J$3)</f>
        <v>#VALUE!</v>
      </c>
      <c r="AQ176" s="118" t="e">
        <f aca="false">(reservafixaconsolidadoanual[[#This Row],[TOTAL (R$)]]*$AQ$178)/$Q$178</f>
        <v>#DIV/0!</v>
      </c>
    </row>
    <row r="177" customFormat="false" ht="19.5" hidden="false" customHeight="true" outlineLevel="0" collapsed="false">
      <c r="B177" s="143"/>
      <c r="C177" s="144" t="str">
        <f aca="false">DADOS!$AL$12</f>
        <v>📎 OUTROS</v>
      </c>
      <c r="D177" s="145" t="str">
        <f aca="false">IF(reservafixaconsolidadoanual[[#This Row],[TOTAL (R$)]]=0,"",IF(OR(reservafixaconsolidadoanual[[#This Row],[TOTAL (R$)]]=LARGE($Q$168:$Q$177,1),reservafixaconsolidadoanual[[#This Row],[TOTAL (R$)]]=LARGE($Q$168:$Q$177,2)),DADOS!$I$11,""))</f>
        <v/>
      </c>
      <c r="E177" s="148" t="n">
        <f aca="false">reservafixaconsolidado282933[[#This Row],[TOTAL (R$)]]</f>
        <v>0</v>
      </c>
      <c r="F177" s="119" t="n">
        <f aca="false">reservafixaconsolidadofev[[#This Row],[TOTAL (R$)]]</f>
        <v>0</v>
      </c>
      <c r="G177" s="119" t="n">
        <f aca="false">reservafixaconsolidadomar[[#This Row],[TOTAL (R$)]]</f>
        <v>0</v>
      </c>
      <c r="H177" s="119" t="n">
        <f aca="false">reservafixaconsolidadoabr[[#This Row],[TOTAL (R$)]]</f>
        <v>0</v>
      </c>
      <c r="I177" s="119" t="n">
        <f aca="false">reservafixaconsolidadomai[[#This Row],[TOTAL (R$)]]</f>
        <v>0</v>
      </c>
      <c r="J177" s="119" t="n">
        <f aca="false">reservafixaconsolidadojun[[#This Row],[TOTAL (R$)]]</f>
        <v>0</v>
      </c>
      <c r="K177" s="119" t="n">
        <f aca="false">reservafixaconsolidadojul[[#This Row],[TOTAL (R$)]]</f>
        <v>0</v>
      </c>
      <c r="L177" s="119" t="n">
        <f aca="false">reservafixaconsolidadoago[[#This Row],[TOTAL (R$)]]</f>
        <v>0</v>
      </c>
      <c r="M177" s="119" t="n">
        <f aca="false">reservafixaconsolidadoset[[#This Row],[TOTAL (R$)]]</f>
        <v>0</v>
      </c>
      <c r="N177" s="119" t="n">
        <f aca="false">reservafixaconsolidadoout[[#This Row],[TOTAL (R$)]]</f>
        <v>0</v>
      </c>
      <c r="O177" s="119" t="n">
        <f aca="false">reservafixaconsolidadonov[[#This Row],[TOTAL (R$)]]</f>
        <v>0</v>
      </c>
      <c r="P177" s="119" t="n">
        <f aca="false">reservafixaconsolidadodez[[#This Row],[TOTAL (R$)]]</f>
        <v>0</v>
      </c>
      <c r="Q177" s="149" t="n">
        <f aca="false">SUM(reservafixaconsolidadoanual[[#This Row],[1]:[12]])</f>
        <v>0</v>
      </c>
      <c r="R177" s="165"/>
      <c r="AH177" s="79"/>
      <c r="AN177" s="79" t="s">
        <v>78</v>
      </c>
      <c r="AO177" s="117" t="e">
        <f aca="false">SUMIFS(tabela_registros[VALOR],tabela_registros[MÊS],$AE$1,tabela_registros[REGISTRO],DADOS!$N$6,tabela_registros[TIPO],DADOS!$AJ$3,tabela_registros[CATEGORIA],reservafixaconsolidadodez[[#This Row],[ATUAL]],#REF!,DADOS!$J$4)</f>
        <v>#VALUE!</v>
      </c>
      <c r="AP177" s="117" t="e">
        <f aca="false">SUMIFS(tabela_registros[VALOR],tabela_registros[MÊS],$AE$1,tabela_registros[REGISTRO],DADOS!$N$6,tabela_registros[TIPO],DADOS!$AJ$3,tabela_registros[CATEGORIA],reservafixaconsolidadodez[[#This Row],[ATUAL]],#REF!,DADOS!$J$3)</f>
        <v>#VALUE!</v>
      </c>
      <c r="AQ177" s="118" t="e">
        <f aca="false">(reservafixaconsolidadoanual[[#This Row],[TOTAL (R$)]]*$AQ$178)/$Q$178</f>
        <v>#DIV/0!</v>
      </c>
    </row>
    <row r="178" s="130" customFormat="true" ht="21" hidden="false" customHeight="true" outlineLevel="0" collapsed="false">
      <c r="A178" s="122"/>
      <c r="B178" s="152"/>
      <c r="C178" s="153" t="s">
        <v>2</v>
      </c>
      <c r="D178" s="166"/>
      <c r="E178" s="155" t="n">
        <f aca="false">reservafixaconsolidado282933[[#This Row],[TOTAL (R$)]]</f>
        <v>0</v>
      </c>
      <c r="F178" s="156" t="n">
        <f aca="false">reservafixaconsolidadofev[[#This Row],[TOTAL (R$)]]+reservafixaconsolidadoanual[[#This Row],[1]]</f>
        <v>0</v>
      </c>
      <c r="G178" s="156" t="n">
        <f aca="false">reservafixaconsolidadomar[[#This Row],[TOTAL (R$)]]+reservafixaconsolidadoanual[[#This Row],[2]]</f>
        <v>0</v>
      </c>
      <c r="H178" s="156" t="n">
        <f aca="false">reservafixaconsolidadoabr[[#This Row],[TOTAL (R$)]]+reservafixaconsolidadoanual[[#This Row],[3]]</f>
        <v>0</v>
      </c>
      <c r="I178" s="156" t="n">
        <f aca="false">reservafixaconsolidadomai[[#This Row],[TOTAL (R$)]]+reservafixaconsolidadoanual[[#This Row],[4]]</f>
        <v>0</v>
      </c>
      <c r="J178" s="156" t="n">
        <f aca="false">reservafixaconsolidadojun[[#This Row],[TOTAL (R$)]]+reservafixaconsolidadoanual[[#This Row],[5]]</f>
        <v>0</v>
      </c>
      <c r="K178" s="156" t="n">
        <f aca="false">reservafixaconsolidadojul[[#This Row],[TOTAL (R$)]]+reservafixaconsolidadoanual[[#This Row],[6]]</f>
        <v>0</v>
      </c>
      <c r="L178" s="156" t="n">
        <f aca="false">reservafixaconsolidadoago[[#This Row],[TOTAL (R$)]]+reservafixaconsolidadoanual[[#This Row],[7]]</f>
        <v>0</v>
      </c>
      <c r="M178" s="156" t="n">
        <f aca="false">reservafixaconsolidadoset[[#This Row],[TOTAL (R$)]]+reservafixaconsolidadoanual[[#This Row],[8]]</f>
        <v>0</v>
      </c>
      <c r="N178" s="156" t="n">
        <f aca="false">reservafixaconsolidadoout[[#This Row],[TOTAL (R$)]]+reservafixaconsolidadoanual[[#This Row],[9]]</f>
        <v>0</v>
      </c>
      <c r="O178" s="156" t="n">
        <f aca="false">reservafixaconsolidadonov[[#This Row],[TOTAL (R$)]]+reservafixaconsolidadoanual[[#This Row],[10]]</f>
        <v>0</v>
      </c>
      <c r="P178" s="156" t="n">
        <f aca="false">reservafixaconsolidadodez[[#This Row],[TOTAL (R$)]]+reservafixaconsolidadoanual[[#This Row],[11]]</f>
        <v>0</v>
      </c>
      <c r="Q178" s="157" t="n">
        <f aca="false">reservafixaconsolidadoanual[[#This Row],[12]]</f>
        <v>0</v>
      </c>
      <c r="R178" s="158"/>
      <c r="S178" s="78"/>
      <c r="T178" s="78"/>
      <c r="U178" s="78"/>
      <c r="V178" s="78"/>
      <c r="W178" s="78"/>
      <c r="X178" s="78"/>
      <c r="Y178" s="78"/>
      <c r="Z178" s="78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N178" s="132" t="e">
        <f aca="false">reservafixaconsolidadoanual[[#This Row],[TOTAL (R$)]]/$Q$26</f>
        <v>#DIV/0!</v>
      </c>
      <c r="AO178" s="131" t="e">
        <f aca="false">SUM(AO168:AO177)</f>
        <v>#VALUE!</v>
      </c>
      <c r="AP178" s="131" t="e">
        <f aca="false">SUM(AP168:AP177)</f>
        <v>#VALUE!</v>
      </c>
      <c r="AQ178" s="118" t="n">
        <f aca="false">1</f>
        <v>1</v>
      </c>
    </row>
    <row r="179" customFormat="false" ht="6.75" hidden="false" customHeight="true" outlineLevel="0" collapsed="false">
      <c r="B179" s="97"/>
      <c r="C179" s="162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4"/>
      <c r="AH179" s="79"/>
    </row>
    <row r="180" customFormat="false" ht="12.75" hidden="false" customHeight="false" outlineLevel="0" collapsed="false">
      <c r="E180" s="100"/>
      <c r="AH180" s="79"/>
    </row>
    <row r="181" customFormat="false" ht="12" hidden="false" customHeight="false" outlineLevel="0" collapsed="false">
      <c r="AH181" s="79"/>
    </row>
    <row r="182" customFormat="false" ht="12" hidden="false" customHeight="false" outlineLevel="0" collapsed="false">
      <c r="AH182" s="79"/>
    </row>
    <row r="183" customFormat="false" ht="39.75" hidden="false" customHeight="true" outlineLevel="0" collapsed="false">
      <c r="C183" s="101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3" t="s">
        <v>2</v>
      </c>
      <c r="R183" s="104"/>
      <c r="AH183" s="79"/>
    </row>
    <row r="184" customFormat="false" ht="12.75" hidden="false" customHeight="false" outlineLevel="0" collapsed="false">
      <c r="B184" s="161"/>
      <c r="Q184" s="106" t="s">
        <v>64</v>
      </c>
      <c r="AH184" s="79"/>
    </row>
    <row r="185" customFormat="false" ht="6.75" hidden="false" customHeight="true" outlineLevel="0" collapsed="false">
      <c r="B185" s="86"/>
      <c r="C185" s="162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4"/>
      <c r="AH185" s="79"/>
      <c r="AO185" s="108" t="s">
        <v>65</v>
      </c>
      <c r="AP185" s="108" t="s">
        <v>66</v>
      </c>
      <c r="AQ185" s="108" t="s">
        <v>67</v>
      </c>
    </row>
    <row r="186" customFormat="false" ht="13.5" hidden="true" customHeight="false" outlineLevel="0" collapsed="false">
      <c r="B186" s="86"/>
      <c r="C186" s="109" t="s">
        <v>68</v>
      </c>
      <c r="D186" s="110" t="s">
        <v>69</v>
      </c>
      <c r="E186" s="110" t="s">
        <v>30</v>
      </c>
      <c r="F186" s="110" t="s">
        <v>31</v>
      </c>
      <c r="G186" s="110" t="s">
        <v>32</v>
      </c>
      <c r="H186" s="110" t="s">
        <v>33</v>
      </c>
      <c r="I186" s="110" t="s">
        <v>34</v>
      </c>
      <c r="J186" s="110" t="s">
        <v>35</v>
      </c>
      <c r="K186" s="110" t="s">
        <v>36</v>
      </c>
      <c r="L186" s="110" t="s">
        <v>37</v>
      </c>
      <c r="M186" s="110" t="s">
        <v>38</v>
      </c>
      <c r="N186" s="110" t="s">
        <v>39</v>
      </c>
      <c r="O186" s="110" t="s">
        <v>40</v>
      </c>
      <c r="P186" s="110" t="s">
        <v>41</v>
      </c>
      <c r="Q186" s="111" t="s">
        <v>70</v>
      </c>
      <c r="R186" s="143"/>
      <c r="V186" s="78" t="n">
        <v>5555</v>
      </c>
      <c r="AH186" s="79"/>
    </row>
    <row r="187" customFormat="false" ht="19.5" hidden="false" customHeight="true" outlineLevel="0" collapsed="false">
      <c r="B187" s="143"/>
      <c r="C187" s="144" t="str">
        <f aca="false">DADOS!$AN$3</f>
        <v>📝 AÇÃO</v>
      </c>
      <c r="D187" s="145" t="str">
        <f aca="false">IF(reservavariáveisconsolidadoanual[[#This Row],[TOTAL (R$)]]=0,"",IF(OR(reservavariáveisconsolidadoanual[[#This Row],[TOTAL (R$)]]=LARGE($Q$187:$Q$196,1),reservavariáveisconsolidadoanual[[#This Row],[TOTAL (R$)]]=LARGE($Q$187:$Q$196,2)),DADOS!$I$11,""))</f>
        <v/>
      </c>
      <c r="E187" s="148" t="n">
        <f aca="false">reservavariáveisconsolidado282934[[#This Row],[TOTAL (R$)]]</f>
        <v>0</v>
      </c>
      <c r="F187" s="119" t="n">
        <f aca="false">reservavariáveisconsolidadofev[[#This Row],[TOTAL (R$)]]</f>
        <v>0</v>
      </c>
      <c r="G187" s="119" t="n">
        <f aca="false">reservavariáveisconsolidadomar[[#This Row],[TOTAL (R$)]]</f>
        <v>0</v>
      </c>
      <c r="H187" s="119" t="n">
        <f aca="false">reservavariáveisconsolidadoabr[[#This Row],[TOTAL (R$)]]</f>
        <v>0</v>
      </c>
      <c r="I187" s="119" t="n">
        <f aca="false">reservavariáveisconsolidadomai[[#This Row],[TOTAL (R$)]]</f>
        <v>0</v>
      </c>
      <c r="J187" s="119" t="n">
        <f aca="false">reservavariáveisconsolidadojun[[#This Row],[TOTAL (R$)]]</f>
        <v>0</v>
      </c>
      <c r="K187" s="119" t="n">
        <f aca="false">reservavariáveisconsolidadojul[[#This Row],[TOTAL (R$)]]</f>
        <v>0</v>
      </c>
      <c r="L187" s="119" t="n">
        <f aca="false">reservavariáveisconsolidadoago[[#This Row],[TOTAL (R$)]]</f>
        <v>0</v>
      </c>
      <c r="M187" s="119" t="n">
        <f aca="false">reservavariáveisconsolidadoset[[#This Row],[TOTAL (R$)]]</f>
        <v>0</v>
      </c>
      <c r="N187" s="119" t="n">
        <f aca="false">reservavariáveisconsolidadoout[[#This Row],[TOTAL (R$)]]</f>
        <v>0</v>
      </c>
      <c r="O187" s="119" t="n">
        <f aca="false">reservavariáveisconsolidadonov[[#This Row],[TOTAL (R$)]]</f>
        <v>0</v>
      </c>
      <c r="P187" s="119" t="n">
        <f aca="false">reservavariáveisconsolidadodez[[#This Row],[TOTAL (R$)]]</f>
        <v>0</v>
      </c>
      <c r="Q187" s="149" t="n">
        <f aca="false">SUM(reservavariáveisconsolidadoanual[[#This Row],[1]:[12]])</f>
        <v>0</v>
      </c>
      <c r="R187" s="165"/>
      <c r="AH187" s="79"/>
      <c r="AO187" s="117" t="e">
        <f aca="false">SUMIFS(tabela_registros[VALOR],tabela_registros[MÊS],$AE$1,tabela_registros[REGISTRO],DADOS!$N$6,tabela_registros[TIPO],DADOS!$AJ$4,tabela_registros[CATEGORIA],reservavariáveisconsolidadodez[[#This Row],[ATUAL]],#REF!,DADOS!$J$4)</f>
        <v>#VALUE!</v>
      </c>
      <c r="AP187" s="117" t="e">
        <f aca="false">SUMIFS(tabela_registros[VALOR],tabela_registros[MÊS],$AE$1,tabela_registros[REGISTRO],DADOS!$N$6,tabela_registros[TIPO],DADOS!$AJ$4,tabela_registros[CATEGORIA],reservavariáveisconsolidadodez[[#This Row],[ATUAL]],#REF!,DADOS!$J$3)</f>
        <v>#VALUE!</v>
      </c>
      <c r="AQ187" s="118" t="e">
        <f aca="false">(reservavariáveisconsolidadoanual[[#This Row],[TOTAL (R$)]]*$AQ$197)/$Q$197</f>
        <v>#DIV/0!</v>
      </c>
    </row>
    <row r="188" customFormat="false" ht="19.5" hidden="false" customHeight="true" outlineLevel="0" collapsed="false">
      <c r="B188" s="143"/>
      <c r="C188" s="144" t="str">
        <f aca="false">DADOS!$AN$4</f>
        <v>📝 COMÓDITE</v>
      </c>
      <c r="D188" s="145" t="str">
        <f aca="false">IF(reservavariáveisconsolidadoanual[[#This Row],[TOTAL (R$)]]=0,"",IF(OR(reservavariáveisconsolidadoanual[[#This Row],[TOTAL (R$)]]=LARGE($Q$187:$Q$196,1),reservavariáveisconsolidadoanual[[#This Row],[TOTAL (R$)]]=LARGE($Q$187:$Q$196,2)),DADOS!$I$11,""))</f>
        <v/>
      </c>
      <c r="E188" s="148" t="n">
        <f aca="false">reservavariáveisconsolidado282934[[#This Row],[TOTAL (R$)]]</f>
        <v>0</v>
      </c>
      <c r="F188" s="119" t="n">
        <f aca="false">reservavariáveisconsolidadofev[[#This Row],[TOTAL (R$)]]</f>
        <v>0</v>
      </c>
      <c r="G188" s="119" t="n">
        <f aca="false">reservavariáveisconsolidadomar[[#This Row],[TOTAL (R$)]]</f>
        <v>0</v>
      </c>
      <c r="H188" s="119" t="n">
        <f aca="false">reservavariáveisconsolidadoabr[[#This Row],[TOTAL (R$)]]</f>
        <v>0</v>
      </c>
      <c r="I188" s="119" t="n">
        <f aca="false">reservavariáveisconsolidadomai[[#This Row],[TOTAL (R$)]]</f>
        <v>0</v>
      </c>
      <c r="J188" s="119" t="n">
        <f aca="false">reservavariáveisconsolidadojun[[#This Row],[TOTAL (R$)]]</f>
        <v>0</v>
      </c>
      <c r="K188" s="119" t="n">
        <f aca="false">reservavariáveisconsolidadojul[[#This Row],[TOTAL (R$)]]</f>
        <v>0</v>
      </c>
      <c r="L188" s="119" t="n">
        <f aca="false">reservavariáveisconsolidadoago[[#This Row],[TOTAL (R$)]]</f>
        <v>0</v>
      </c>
      <c r="M188" s="119" t="n">
        <f aca="false">reservavariáveisconsolidadoset[[#This Row],[TOTAL (R$)]]</f>
        <v>0</v>
      </c>
      <c r="N188" s="119" t="n">
        <f aca="false">reservavariáveisconsolidadoout[[#This Row],[TOTAL (R$)]]</f>
        <v>0</v>
      </c>
      <c r="O188" s="119" t="n">
        <f aca="false">reservavariáveisconsolidadonov[[#This Row],[TOTAL (R$)]]</f>
        <v>0</v>
      </c>
      <c r="P188" s="119" t="n">
        <f aca="false">reservavariáveisconsolidadodez[[#This Row],[TOTAL (R$)]]</f>
        <v>0</v>
      </c>
      <c r="Q188" s="149" t="n">
        <f aca="false">SUM(reservavariáveisconsolidadoanual[[#This Row],[1]:[12]])</f>
        <v>0</v>
      </c>
      <c r="R188" s="165"/>
      <c r="AH188" s="79"/>
      <c r="AO188" s="117" t="e">
        <f aca="false">SUMIFS(tabela_registros[VALOR],tabela_registros[MÊS],$AE$1,tabela_registros[REGISTRO],DADOS!$N$6,tabela_registros[TIPO],DADOS!$AJ$4,tabela_registros[CATEGORIA],reservavariáveisconsolidadodez[[#This Row],[ATUAL]],#REF!,DADOS!$J$4)</f>
        <v>#VALUE!</v>
      </c>
      <c r="AP188" s="117" t="e">
        <f aca="false">SUMIFS(tabela_registros[VALOR],tabela_registros[MÊS],$AE$1,tabela_registros[REGISTRO],DADOS!$N$6,tabela_registros[TIPO],DADOS!$AJ$4,tabela_registros[CATEGORIA],reservavariáveisconsolidadodez[[#This Row],[ATUAL]],#REF!,DADOS!$J$3)</f>
        <v>#VALUE!</v>
      </c>
      <c r="AQ188" s="118" t="e">
        <f aca="false">(reservavariáveisconsolidadoanual[[#This Row],[TOTAL (R$)]]*$AQ$197)/$Q$197</f>
        <v>#DIV/0!</v>
      </c>
    </row>
    <row r="189" customFormat="false" ht="19.5" hidden="false" customHeight="true" outlineLevel="0" collapsed="false">
      <c r="B189" s="143"/>
      <c r="C189" s="144" t="str">
        <f aca="false">DADOS!$AN$5</f>
        <v>📝 CONTRATO DE FUTUROS</v>
      </c>
      <c r="D189" s="145" t="str">
        <f aca="false">IF(reservavariáveisconsolidadoanual[[#This Row],[TOTAL (R$)]]=0,"",IF(OR(reservavariáveisconsolidadoanual[[#This Row],[TOTAL (R$)]]=LARGE($Q$187:$Q$196,1),reservavariáveisconsolidadoanual[[#This Row],[TOTAL (R$)]]=LARGE($Q$187:$Q$196,2)),DADOS!$I$11,""))</f>
        <v/>
      </c>
      <c r="E189" s="148" t="n">
        <f aca="false">reservavariáveisconsolidado282934[[#This Row],[TOTAL (R$)]]</f>
        <v>0</v>
      </c>
      <c r="F189" s="119" t="n">
        <f aca="false">reservavariáveisconsolidadofev[[#This Row],[TOTAL (R$)]]</f>
        <v>0</v>
      </c>
      <c r="G189" s="119" t="n">
        <f aca="false">reservavariáveisconsolidadomar[[#This Row],[TOTAL (R$)]]</f>
        <v>0</v>
      </c>
      <c r="H189" s="119" t="n">
        <f aca="false">reservavariáveisconsolidadoabr[[#This Row],[TOTAL (R$)]]</f>
        <v>0</v>
      </c>
      <c r="I189" s="119" t="n">
        <f aca="false">reservavariáveisconsolidadomai[[#This Row],[TOTAL (R$)]]</f>
        <v>0</v>
      </c>
      <c r="J189" s="119" t="n">
        <f aca="false">reservavariáveisconsolidadojun[[#This Row],[TOTAL (R$)]]</f>
        <v>0</v>
      </c>
      <c r="K189" s="119" t="n">
        <f aca="false">reservavariáveisconsolidadojul[[#This Row],[TOTAL (R$)]]</f>
        <v>0</v>
      </c>
      <c r="L189" s="119" t="n">
        <f aca="false">reservavariáveisconsolidadoago[[#This Row],[TOTAL (R$)]]</f>
        <v>0</v>
      </c>
      <c r="M189" s="119" t="n">
        <f aca="false">reservavariáveisconsolidadoset[[#This Row],[TOTAL (R$)]]</f>
        <v>0</v>
      </c>
      <c r="N189" s="119" t="n">
        <f aca="false">reservavariáveisconsolidadoout[[#This Row],[TOTAL (R$)]]</f>
        <v>0</v>
      </c>
      <c r="O189" s="119" t="n">
        <f aca="false">reservavariáveisconsolidadonov[[#This Row],[TOTAL (R$)]]</f>
        <v>0</v>
      </c>
      <c r="P189" s="119" t="n">
        <f aca="false">reservavariáveisconsolidadodez[[#This Row],[TOTAL (R$)]]</f>
        <v>0</v>
      </c>
      <c r="Q189" s="149" t="n">
        <f aca="false">SUM(reservavariáveisconsolidadoanual[[#This Row],[1]:[12]])</f>
        <v>0</v>
      </c>
      <c r="R189" s="165"/>
      <c r="AH189" s="79"/>
      <c r="AO189" s="117" t="e">
        <f aca="false">SUMIFS(tabela_registros[VALOR],tabela_registros[MÊS],$AE$1,tabela_registros[REGISTRO],DADOS!$N$6,tabela_registros[TIPO],DADOS!$AJ$4,tabela_registros[CATEGORIA],reservavariáveisconsolidadodez[[#This Row],[ATUAL]],#REF!,DADOS!$J$4)</f>
        <v>#VALUE!</v>
      </c>
      <c r="AP189" s="117" t="e">
        <f aca="false">SUMIFS(tabela_registros[VALOR],tabela_registros[MÊS],$AE$1,tabela_registros[REGISTRO],DADOS!$N$6,tabela_registros[TIPO],DADOS!$AJ$4,tabela_registros[CATEGORIA],reservavariáveisconsolidadodez[[#This Row],[ATUAL]],#REF!,DADOS!$J$3)</f>
        <v>#VALUE!</v>
      </c>
      <c r="AQ189" s="118" t="e">
        <f aca="false">(reservavariáveisconsolidadoanual[[#This Row],[TOTAL (R$)]]*$AQ$197)/$Q$197</f>
        <v>#DIV/0!</v>
      </c>
    </row>
    <row r="190" customFormat="false" ht="19.5" hidden="false" customHeight="true" outlineLevel="0" collapsed="false">
      <c r="B190" s="143"/>
      <c r="C190" s="144" t="str">
        <f aca="false">DADOS!$AN$6</f>
        <v>📝 CONTRATO DE OPÇÕES</v>
      </c>
      <c r="D190" s="145" t="str">
        <f aca="false">IF(reservavariáveisconsolidadoanual[[#This Row],[TOTAL (R$)]]=0,"",IF(OR(reservavariáveisconsolidadoanual[[#This Row],[TOTAL (R$)]]=LARGE($Q$187:$Q$196,1),reservavariáveisconsolidadoanual[[#This Row],[TOTAL (R$)]]=LARGE($Q$187:$Q$196,2)),DADOS!$I$11,""))</f>
        <v/>
      </c>
      <c r="E190" s="148" t="n">
        <f aca="false">reservavariáveisconsolidado282934[[#This Row],[TOTAL (R$)]]</f>
        <v>0</v>
      </c>
      <c r="F190" s="119" t="n">
        <f aca="false">reservavariáveisconsolidadofev[[#This Row],[TOTAL (R$)]]</f>
        <v>0</v>
      </c>
      <c r="G190" s="119" t="n">
        <f aca="false">reservavariáveisconsolidadomar[[#This Row],[TOTAL (R$)]]</f>
        <v>0</v>
      </c>
      <c r="H190" s="119" t="n">
        <f aca="false">reservavariáveisconsolidadoabr[[#This Row],[TOTAL (R$)]]</f>
        <v>0</v>
      </c>
      <c r="I190" s="119" t="n">
        <f aca="false">reservavariáveisconsolidadomai[[#This Row],[TOTAL (R$)]]</f>
        <v>0</v>
      </c>
      <c r="J190" s="119" t="n">
        <f aca="false">reservavariáveisconsolidadojun[[#This Row],[TOTAL (R$)]]</f>
        <v>0</v>
      </c>
      <c r="K190" s="119" t="n">
        <f aca="false">reservavariáveisconsolidadojul[[#This Row],[TOTAL (R$)]]</f>
        <v>0</v>
      </c>
      <c r="L190" s="119" t="n">
        <f aca="false">reservavariáveisconsolidadoago[[#This Row],[TOTAL (R$)]]</f>
        <v>0</v>
      </c>
      <c r="M190" s="119" t="n">
        <f aca="false">reservavariáveisconsolidadoset[[#This Row],[TOTAL (R$)]]</f>
        <v>0</v>
      </c>
      <c r="N190" s="119" t="n">
        <f aca="false">reservavariáveisconsolidadoout[[#This Row],[TOTAL (R$)]]</f>
        <v>0</v>
      </c>
      <c r="O190" s="119" t="n">
        <f aca="false">reservavariáveisconsolidadonov[[#This Row],[TOTAL (R$)]]</f>
        <v>0</v>
      </c>
      <c r="P190" s="119" t="n">
        <f aca="false">reservavariáveisconsolidadodez[[#This Row],[TOTAL (R$)]]</f>
        <v>0</v>
      </c>
      <c r="Q190" s="149" t="n">
        <f aca="false">SUM(reservavariáveisconsolidadoanual[[#This Row],[1]:[12]])</f>
        <v>0</v>
      </c>
      <c r="R190" s="165"/>
      <c r="AH190" s="79"/>
      <c r="AO190" s="117" t="e">
        <f aca="false">SUMIFS(tabela_registros[VALOR],tabela_registros[MÊS],$AE$1,tabela_registros[REGISTRO],DADOS!$N$6,tabela_registros[TIPO],DADOS!$AJ$4,tabela_registros[CATEGORIA],reservavariáveisconsolidadodez[[#This Row],[ATUAL]],#REF!,DADOS!$J$4)</f>
        <v>#VALUE!</v>
      </c>
      <c r="AP190" s="117" t="e">
        <f aca="false">SUMIFS(tabela_registros[VALOR],tabela_registros[MÊS],$AE$1,tabela_registros[REGISTRO],DADOS!$N$6,tabela_registros[TIPO],DADOS!$AJ$4,tabela_registros[CATEGORIA],reservavariáveisconsolidadodez[[#This Row],[ATUAL]],#REF!,DADOS!$J$3)</f>
        <v>#VALUE!</v>
      </c>
      <c r="AQ190" s="118" t="e">
        <f aca="false">(reservavariáveisconsolidadoanual[[#This Row],[TOTAL (R$)]]*$AQ$197)/$Q$197</f>
        <v>#DIV/0!</v>
      </c>
    </row>
    <row r="191" customFormat="false" ht="19.5" hidden="false" customHeight="true" outlineLevel="0" collapsed="false">
      <c r="B191" s="143"/>
      <c r="C191" s="144" t="str">
        <f aca="false">DADOS!$AN$7</f>
        <v>📝 CRIPTOMOEDA</v>
      </c>
      <c r="D191" s="145" t="str">
        <f aca="false">IF(reservavariáveisconsolidadoanual[[#This Row],[TOTAL (R$)]]=0,"",IF(OR(reservavariáveisconsolidadoanual[[#This Row],[TOTAL (R$)]]=LARGE($Q$187:$Q$196,1),reservavariáveisconsolidadoanual[[#This Row],[TOTAL (R$)]]=LARGE($Q$187:$Q$196,2)),DADOS!$I$11,""))</f>
        <v/>
      </c>
      <c r="E191" s="148" t="n">
        <f aca="false">reservavariáveisconsolidado282934[[#This Row],[TOTAL (R$)]]</f>
        <v>0</v>
      </c>
      <c r="F191" s="119" t="n">
        <f aca="false">reservavariáveisconsolidadofev[[#This Row],[TOTAL (R$)]]</f>
        <v>0</v>
      </c>
      <c r="G191" s="119" t="n">
        <f aca="false">reservavariáveisconsolidadomar[[#This Row],[TOTAL (R$)]]</f>
        <v>0</v>
      </c>
      <c r="H191" s="119" t="n">
        <f aca="false">reservavariáveisconsolidadoabr[[#This Row],[TOTAL (R$)]]</f>
        <v>0</v>
      </c>
      <c r="I191" s="119" t="n">
        <f aca="false">reservavariáveisconsolidadomai[[#This Row],[TOTAL (R$)]]</f>
        <v>0</v>
      </c>
      <c r="J191" s="119" t="n">
        <f aca="false">reservavariáveisconsolidadojun[[#This Row],[TOTAL (R$)]]</f>
        <v>0</v>
      </c>
      <c r="K191" s="119" t="n">
        <f aca="false">reservavariáveisconsolidadojul[[#This Row],[TOTAL (R$)]]</f>
        <v>0</v>
      </c>
      <c r="L191" s="119" t="n">
        <f aca="false">reservavariáveisconsolidadoago[[#This Row],[TOTAL (R$)]]</f>
        <v>0</v>
      </c>
      <c r="M191" s="119" t="n">
        <f aca="false">reservavariáveisconsolidadoset[[#This Row],[TOTAL (R$)]]</f>
        <v>0</v>
      </c>
      <c r="N191" s="119" t="n">
        <f aca="false">reservavariáveisconsolidadoout[[#This Row],[TOTAL (R$)]]</f>
        <v>0</v>
      </c>
      <c r="O191" s="119" t="n">
        <f aca="false">reservavariáveisconsolidadonov[[#This Row],[TOTAL (R$)]]</f>
        <v>0</v>
      </c>
      <c r="P191" s="119" t="n">
        <f aca="false">reservavariáveisconsolidadodez[[#This Row],[TOTAL (R$)]]</f>
        <v>0</v>
      </c>
      <c r="Q191" s="149" t="n">
        <f aca="false">SUM(reservavariáveisconsolidadoanual[[#This Row],[1]:[12]])</f>
        <v>0</v>
      </c>
      <c r="R191" s="165"/>
      <c r="AH191" s="79"/>
      <c r="AO191" s="117" t="e">
        <f aca="false">SUMIFS(tabela_registros[VALOR],tabela_registros[MÊS],$AE$1,tabela_registros[REGISTRO],DADOS!$N$6,tabela_registros[TIPO],DADOS!$AJ$4,tabela_registros[CATEGORIA],reservavariáveisconsolidadodez[[#This Row],[ATUAL]],#REF!,DADOS!$J$4)</f>
        <v>#VALUE!</v>
      </c>
      <c r="AP191" s="117" t="e">
        <f aca="false">SUMIFS(tabela_registros[VALOR],tabela_registros[MÊS],$AE$1,tabela_registros[REGISTRO],DADOS!$N$6,tabela_registros[TIPO],DADOS!$AJ$4,tabela_registros[CATEGORIA],reservavariáveisconsolidadodez[[#This Row],[ATUAL]],#REF!,DADOS!$J$3)</f>
        <v>#VALUE!</v>
      </c>
      <c r="AQ191" s="118" t="e">
        <f aca="false">(reservavariáveisconsolidadoanual[[#This Row],[TOTAL (R$)]]*$AQ$197)/$Q$197</f>
        <v>#DIV/0!</v>
      </c>
    </row>
    <row r="192" customFormat="false" ht="19.5" hidden="false" customHeight="true" outlineLevel="0" collapsed="false">
      <c r="B192" s="143"/>
      <c r="C192" s="144" t="str">
        <f aca="false">DADOS!$AN$8</f>
        <v>📝 ETF</v>
      </c>
      <c r="D192" s="145" t="str">
        <f aca="false">IF(reservavariáveisconsolidadoanual[[#This Row],[TOTAL (R$)]]=0,"",IF(OR(reservavariáveisconsolidadoanual[[#This Row],[TOTAL (R$)]]=LARGE($Q$187:$Q$196,1),reservavariáveisconsolidadoanual[[#This Row],[TOTAL (R$)]]=LARGE($Q$187:$Q$196,2)),DADOS!$I$11,""))</f>
        <v/>
      </c>
      <c r="E192" s="148" t="n">
        <f aca="false">reservavariáveisconsolidado282934[[#This Row],[TOTAL (R$)]]</f>
        <v>0</v>
      </c>
      <c r="F192" s="119" t="n">
        <f aca="false">reservavariáveisconsolidadofev[[#This Row],[TOTAL (R$)]]</f>
        <v>0</v>
      </c>
      <c r="G192" s="119" t="n">
        <f aca="false">reservavariáveisconsolidadomar[[#This Row],[TOTAL (R$)]]</f>
        <v>0</v>
      </c>
      <c r="H192" s="119" t="n">
        <f aca="false">reservavariáveisconsolidadoabr[[#This Row],[TOTAL (R$)]]</f>
        <v>0</v>
      </c>
      <c r="I192" s="119" t="n">
        <f aca="false">reservavariáveisconsolidadomai[[#This Row],[TOTAL (R$)]]</f>
        <v>0</v>
      </c>
      <c r="J192" s="119" t="n">
        <f aca="false">reservavariáveisconsolidadojun[[#This Row],[TOTAL (R$)]]</f>
        <v>0</v>
      </c>
      <c r="K192" s="119" t="n">
        <f aca="false">reservavariáveisconsolidadojul[[#This Row],[TOTAL (R$)]]</f>
        <v>0</v>
      </c>
      <c r="L192" s="119" t="n">
        <f aca="false">reservavariáveisconsolidadoago[[#This Row],[TOTAL (R$)]]</f>
        <v>0</v>
      </c>
      <c r="M192" s="119" t="n">
        <f aca="false">reservavariáveisconsolidadoset[[#This Row],[TOTAL (R$)]]</f>
        <v>0</v>
      </c>
      <c r="N192" s="119" t="n">
        <f aca="false">reservavariáveisconsolidadoout[[#This Row],[TOTAL (R$)]]</f>
        <v>0</v>
      </c>
      <c r="O192" s="119" t="n">
        <f aca="false">reservavariáveisconsolidadonov[[#This Row],[TOTAL (R$)]]</f>
        <v>0</v>
      </c>
      <c r="P192" s="119" t="n">
        <f aca="false">reservavariáveisconsolidadodez[[#This Row],[TOTAL (R$)]]</f>
        <v>0</v>
      </c>
      <c r="Q192" s="149" t="n">
        <f aca="false">SUM(reservavariáveisconsolidadoanual[[#This Row],[1]:[12]])</f>
        <v>0</v>
      </c>
      <c r="R192" s="165"/>
      <c r="AH192" s="79"/>
      <c r="AO192" s="117" t="e">
        <f aca="false">SUMIFS(tabela_registros[VALOR],tabela_registros[MÊS],$AE$1,tabela_registros[REGISTRO],DADOS!$N$6,tabela_registros[TIPO],DADOS!$AJ$4,tabela_registros[CATEGORIA],reservavariáveisconsolidadodez[[#This Row],[ATUAL]],#REF!,DADOS!$J$4)</f>
        <v>#VALUE!</v>
      </c>
      <c r="AP192" s="117" t="e">
        <f aca="false">SUMIFS(tabela_registros[VALOR],tabela_registros[MÊS],$AE$1,tabela_registros[REGISTRO],DADOS!$N$6,tabela_registros[TIPO],DADOS!$AJ$4,tabela_registros[CATEGORIA],reservavariáveisconsolidadodez[[#This Row],[ATUAL]],#REF!,DADOS!$J$3)</f>
        <v>#VALUE!</v>
      </c>
      <c r="AQ192" s="118" t="e">
        <f aca="false">(reservavariáveisconsolidadoanual[[#This Row],[TOTAL (R$)]]*$AQ$197)/$Q$197</f>
        <v>#DIV/0!</v>
      </c>
    </row>
    <row r="193" customFormat="false" ht="19.5" hidden="false" customHeight="true" outlineLevel="0" collapsed="false">
      <c r="B193" s="143"/>
      <c r="C193" s="144" t="str">
        <f aca="false">DADOS!$AN$9</f>
        <v>📝 EXTERIOR</v>
      </c>
      <c r="D193" s="145" t="str">
        <f aca="false">IF(reservavariáveisconsolidadoanual[[#This Row],[TOTAL (R$)]]=0,"",IF(OR(reservavariáveisconsolidadoanual[[#This Row],[TOTAL (R$)]]=LARGE($Q$187:$Q$196,1),reservavariáveisconsolidadoanual[[#This Row],[TOTAL (R$)]]=LARGE($Q$187:$Q$196,2)),DADOS!$I$11,""))</f>
        <v/>
      </c>
      <c r="E193" s="148" t="n">
        <f aca="false">reservavariáveisconsolidado282934[[#This Row],[TOTAL (R$)]]</f>
        <v>0</v>
      </c>
      <c r="F193" s="119" t="n">
        <f aca="false">reservavariáveisconsolidadofev[[#This Row],[TOTAL (R$)]]</f>
        <v>0</v>
      </c>
      <c r="G193" s="119" t="n">
        <f aca="false">reservavariáveisconsolidadomar[[#This Row],[TOTAL (R$)]]</f>
        <v>0</v>
      </c>
      <c r="H193" s="119" t="n">
        <f aca="false">reservavariáveisconsolidadoabr[[#This Row],[TOTAL (R$)]]</f>
        <v>0</v>
      </c>
      <c r="I193" s="119" t="n">
        <f aca="false">reservavariáveisconsolidadomai[[#This Row],[TOTAL (R$)]]</f>
        <v>0</v>
      </c>
      <c r="J193" s="119" t="n">
        <f aca="false">reservavariáveisconsolidadojun[[#This Row],[TOTAL (R$)]]</f>
        <v>0</v>
      </c>
      <c r="K193" s="119" t="n">
        <f aca="false">reservavariáveisconsolidadojul[[#This Row],[TOTAL (R$)]]</f>
        <v>0</v>
      </c>
      <c r="L193" s="119" t="n">
        <f aca="false">reservavariáveisconsolidadoago[[#This Row],[TOTAL (R$)]]</f>
        <v>0</v>
      </c>
      <c r="M193" s="119" t="n">
        <f aca="false">reservavariáveisconsolidadoset[[#This Row],[TOTAL (R$)]]</f>
        <v>0</v>
      </c>
      <c r="N193" s="119" t="n">
        <f aca="false">reservavariáveisconsolidadoout[[#This Row],[TOTAL (R$)]]</f>
        <v>0</v>
      </c>
      <c r="O193" s="119" t="n">
        <f aca="false">reservavariáveisconsolidadonov[[#This Row],[TOTAL (R$)]]</f>
        <v>0</v>
      </c>
      <c r="P193" s="119" t="n">
        <f aca="false">reservavariáveisconsolidadodez[[#This Row],[TOTAL (R$)]]</f>
        <v>0</v>
      </c>
      <c r="Q193" s="149" t="n">
        <f aca="false">SUM(reservavariáveisconsolidadoanual[[#This Row],[1]:[12]])</f>
        <v>0</v>
      </c>
      <c r="R193" s="165"/>
      <c r="AH193" s="79"/>
      <c r="AO193" s="117" t="e">
        <f aca="false">SUMIFS(tabela_registros[VALOR],tabela_registros[MÊS],$AE$1,tabela_registros[REGISTRO],DADOS!$N$6,tabela_registros[TIPO],DADOS!$AJ$4,tabela_registros[CATEGORIA],reservavariáveisconsolidadodez[[#This Row],[ATUAL]],#REF!,DADOS!$J$4)</f>
        <v>#VALUE!</v>
      </c>
      <c r="AP193" s="117" t="e">
        <f aca="false">SUMIFS(tabela_registros[VALOR],tabela_registros[MÊS],$AE$1,tabela_registros[REGISTRO],DADOS!$N$6,tabela_registros[TIPO],DADOS!$AJ$4,tabela_registros[CATEGORIA],reservavariáveisconsolidadodez[[#This Row],[ATUAL]],#REF!,DADOS!$J$3)</f>
        <v>#VALUE!</v>
      </c>
      <c r="AQ193" s="118" t="e">
        <f aca="false">(reservavariáveisconsolidadoanual[[#This Row],[TOTAL (R$)]]*$AQ$197)/$Q$197</f>
        <v>#DIV/0!</v>
      </c>
    </row>
    <row r="194" customFormat="false" ht="19.5" hidden="false" customHeight="true" outlineLevel="0" collapsed="false">
      <c r="B194" s="143"/>
      <c r="C194" s="144" t="str">
        <f aca="false">DADOS!$AN$10</f>
        <v>📝 FII</v>
      </c>
      <c r="D194" s="145" t="str">
        <f aca="false">IF(reservavariáveisconsolidadoanual[[#This Row],[TOTAL (R$)]]=0,"",IF(OR(reservavariáveisconsolidadoanual[[#This Row],[TOTAL (R$)]]=LARGE($Q$187:$Q$196,1),reservavariáveisconsolidadoanual[[#This Row],[TOTAL (R$)]]=LARGE($Q$187:$Q$196,2)),DADOS!$I$11,""))</f>
        <v/>
      </c>
      <c r="E194" s="148" t="n">
        <f aca="false">reservavariáveisconsolidado282934[[#This Row],[TOTAL (R$)]]</f>
        <v>0</v>
      </c>
      <c r="F194" s="119" t="n">
        <f aca="false">reservavariáveisconsolidadofev[[#This Row],[TOTAL (R$)]]</f>
        <v>0</v>
      </c>
      <c r="G194" s="119" t="n">
        <f aca="false">reservavariáveisconsolidadomar[[#This Row],[TOTAL (R$)]]</f>
        <v>0</v>
      </c>
      <c r="H194" s="119" t="n">
        <f aca="false">reservavariáveisconsolidadoabr[[#This Row],[TOTAL (R$)]]</f>
        <v>0</v>
      </c>
      <c r="I194" s="119" t="n">
        <f aca="false">reservavariáveisconsolidadomai[[#This Row],[TOTAL (R$)]]</f>
        <v>0</v>
      </c>
      <c r="J194" s="119" t="n">
        <f aca="false">reservavariáveisconsolidadojun[[#This Row],[TOTAL (R$)]]</f>
        <v>0</v>
      </c>
      <c r="K194" s="119" t="n">
        <f aca="false">reservavariáveisconsolidadojul[[#This Row],[TOTAL (R$)]]</f>
        <v>0</v>
      </c>
      <c r="L194" s="119" t="n">
        <f aca="false">reservavariáveisconsolidadoago[[#This Row],[TOTAL (R$)]]</f>
        <v>0</v>
      </c>
      <c r="M194" s="119" t="n">
        <f aca="false">reservavariáveisconsolidadoset[[#This Row],[TOTAL (R$)]]</f>
        <v>0</v>
      </c>
      <c r="N194" s="119" t="n">
        <f aca="false">reservavariáveisconsolidadoout[[#This Row],[TOTAL (R$)]]</f>
        <v>0</v>
      </c>
      <c r="O194" s="119" t="n">
        <f aca="false">reservavariáveisconsolidadonov[[#This Row],[TOTAL (R$)]]</f>
        <v>0</v>
      </c>
      <c r="P194" s="119" t="n">
        <f aca="false">reservavariáveisconsolidadodez[[#This Row],[TOTAL (R$)]]</f>
        <v>0</v>
      </c>
      <c r="Q194" s="149" t="n">
        <f aca="false">SUM(reservavariáveisconsolidadoanual[[#This Row],[1]:[12]])</f>
        <v>0</v>
      </c>
      <c r="R194" s="165"/>
      <c r="AH194" s="79"/>
      <c r="AO194" s="117" t="e">
        <f aca="false">SUMIFS(tabela_registros[VALOR],tabela_registros[MÊS],$AE$1,tabela_registros[REGISTRO],DADOS!$N$6,tabela_registros[TIPO],DADOS!$AJ$4,tabela_registros[CATEGORIA],reservavariáveisconsolidadodez[[#This Row],[ATUAL]],#REF!,DADOS!$J$4)</f>
        <v>#VALUE!</v>
      </c>
      <c r="AP194" s="117" t="e">
        <f aca="false">SUMIFS(tabela_registros[VALOR],tabela_registros[MÊS],$AE$1,tabela_registros[REGISTRO],DADOS!$N$6,tabela_registros[TIPO],DADOS!$AJ$4,tabela_registros[CATEGORIA],reservavariáveisconsolidadodez[[#This Row],[ATUAL]],#REF!,DADOS!$J$3)</f>
        <v>#VALUE!</v>
      </c>
      <c r="AQ194" s="118" t="e">
        <f aca="false">(reservavariáveisconsolidadoanual[[#This Row],[TOTAL (R$)]]*$AQ$197)/$Q$197</f>
        <v>#DIV/0!</v>
      </c>
    </row>
    <row r="195" customFormat="false" ht="19.5" hidden="false" customHeight="true" outlineLevel="0" collapsed="false">
      <c r="B195" s="143"/>
      <c r="C195" s="144" t="str">
        <f aca="false">DADOS!$AN$11</f>
        <v>📝 MOEDA</v>
      </c>
      <c r="D195" s="145" t="str">
        <f aca="false">IF(reservavariáveisconsolidadoanual[[#This Row],[TOTAL (R$)]]=0,"",IF(OR(reservavariáveisconsolidadoanual[[#This Row],[TOTAL (R$)]]=LARGE($Q$187:$Q$196,1),reservavariáveisconsolidadoanual[[#This Row],[TOTAL (R$)]]=LARGE($Q$187:$Q$196,2)),DADOS!$I$11,""))</f>
        <v/>
      </c>
      <c r="E195" s="148" t="n">
        <f aca="false">reservavariáveisconsolidado282934[[#This Row],[TOTAL (R$)]]</f>
        <v>0</v>
      </c>
      <c r="F195" s="119" t="n">
        <f aca="false">reservavariáveisconsolidadofev[[#This Row],[TOTAL (R$)]]</f>
        <v>0</v>
      </c>
      <c r="G195" s="119" t="n">
        <f aca="false">reservavariáveisconsolidadomar[[#This Row],[TOTAL (R$)]]</f>
        <v>0</v>
      </c>
      <c r="H195" s="119" t="n">
        <f aca="false">reservavariáveisconsolidadoabr[[#This Row],[TOTAL (R$)]]</f>
        <v>0</v>
      </c>
      <c r="I195" s="119" t="n">
        <f aca="false">reservavariáveisconsolidadomai[[#This Row],[TOTAL (R$)]]</f>
        <v>0</v>
      </c>
      <c r="J195" s="119" t="n">
        <f aca="false">reservavariáveisconsolidadojun[[#This Row],[TOTAL (R$)]]</f>
        <v>0</v>
      </c>
      <c r="K195" s="119" t="n">
        <f aca="false">reservavariáveisconsolidadojul[[#This Row],[TOTAL (R$)]]</f>
        <v>0</v>
      </c>
      <c r="L195" s="119" t="n">
        <f aca="false">reservavariáveisconsolidadoago[[#This Row],[TOTAL (R$)]]</f>
        <v>0</v>
      </c>
      <c r="M195" s="119" t="n">
        <f aca="false">reservavariáveisconsolidadoset[[#This Row],[TOTAL (R$)]]</f>
        <v>0</v>
      </c>
      <c r="N195" s="119" t="n">
        <f aca="false">reservavariáveisconsolidadoout[[#This Row],[TOTAL (R$)]]</f>
        <v>0</v>
      </c>
      <c r="O195" s="119" t="n">
        <f aca="false">reservavariáveisconsolidadonov[[#This Row],[TOTAL (R$)]]</f>
        <v>0</v>
      </c>
      <c r="P195" s="119" t="n">
        <f aca="false">reservavariáveisconsolidadodez[[#This Row],[TOTAL (R$)]]</f>
        <v>0</v>
      </c>
      <c r="Q195" s="149" t="n">
        <f aca="false">SUM(reservavariáveisconsolidadoanual[[#This Row],[1]:[12]])</f>
        <v>0</v>
      </c>
      <c r="R195" s="165"/>
      <c r="AH195" s="79"/>
      <c r="AO195" s="117" t="e">
        <f aca="false">SUMIFS(tabela_registros[VALOR],tabela_registros[MÊS],$AE$1,tabela_registros[REGISTRO],DADOS!$N$6,tabela_registros[TIPO],DADOS!$AJ$4,tabela_registros[CATEGORIA],reservavariáveisconsolidadodez[[#This Row],[ATUAL]],#REF!,DADOS!$J$4)</f>
        <v>#VALUE!</v>
      </c>
      <c r="AP195" s="117" t="e">
        <f aca="false">SUMIFS(tabela_registros[VALOR],tabela_registros[MÊS],$AE$1,tabela_registros[REGISTRO],DADOS!$N$6,tabela_registros[TIPO],DADOS!$AJ$4,tabela_registros[CATEGORIA],reservavariáveisconsolidadodez[[#This Row],[ATUAL]],#REF!,DADOS!$J$3)</f>
        <v>#VALUE!</v>
      </c>
      <c r="AQ195" s="118" t="e">
        <f aca="false">(reservavariáveisconsolidadoanual[[#This Row],[TOTAL (R$)]]*$AQ$197)/$Q$197</f>
        <v>#DIV/0!</v>
      </c>
    </row>
    <row r="196" customFormat="false" ht="19.5" hidden="false" customHeight="true" outlineLevel="0" collapsed="false">
      <c r="B196" s="143"/>
      <c r="C196" s="144" t="str">
        <f aca="false">DADOS!$AN$12</f>
        <v>📎 OUTROS</v>
      </c>
      <c r="D196" s="145" t="str">
        <f aca="false">IF(reservavariáveisconsolidadoanual[[#This Row],[TOTAL (R$)]]=0,"",IF(OR(reservavariáveisconsolidadoanual[[#This Row],[TOTAL (R$)]]=LARGE($Q$187:$Q$196,1),reservavariáveisconsolidadoanual[[#This Row],[TOTAL (R$)]]=LARGE($Q$187:$Q$196,2)),DADOS!$I$11,""))</f>
        <v/>
      </c>
      <c r="E196" s="148" t="n">
        <f aca="false">reservavariáveisconsolidado282934[[#This Row],[TOTAL (R$)]]</f>
        <v>0</v>
      </c>
      <c r="F196" s="119" t="n">
        <f aca="false">reservavariáveisconsolidadofev[[#This Row],[TOTAL (R$)]]</f>
        <v>0</v>
      </c>
      <c r="G196" s="119" t="n">
        <f aca="false">reservavariáveisconsolidadomar[[#This Row],[TOTAL (R$)]]</f>
        <v>0</v>
      </c>
      <c r="H196" s="119" t="n">
        <f aca="false">reservavariáveisconsolidadoabr[[#This Row],[TOTAL (R$)]]</f>
        <v>0</v>
      </c>
      <c r="I196" s="119" t="n">
        <f aca="false">reservavariáveisconsolidadomai[[#This Row],[TOTAL (R$)]]</f>
        <v>0</v>
      </c>
      <c r="J196" s="119" t="n">
        <f aca="false">reservavariáveisconsolidadojun[[#This Row],[TOTAL (R$)]]</f>
        <v>0</v>
      </c>
      <c r="K196" s="119" t="n">
        <f aca="false">reservavariáveisconsolidadojul[[#This Row],[TOTAL (R$)]]</f>
        <v>0</v>
      </c>
      <c r="L196" s="119" t="n">
        <f aca="false">reservavariáveisconsolidadoago[[#This Row],[TOTAL (R$)]]</f>
        <v>0</v>
      </c>
      <c r="M196" s="119" t="n">
        <f aca="false">reservavariáveisconsolidadoset[[#This Row],[TOTAL (R$)]]</f>
        <v>0</v>
      </c>
      <c r="N196" s="119" t="n">
        <f aca="false">reservavariáveisconsolidadoout[[#This Row],[TOTAL (R$)]]</f>
        <v>0</v>
      </c>
      <c r="O196" s="119" t="n">
        <f aca="false">reservavariáveisconsolidadonov[[#This Row],[TOTAL (R$)]]</f>
        <v>0</v>
      </c>
      <c r="P196" s="119" t="n">
        <f aca="false">reservavariáveisconsolidadodez[[#This Row],[TOTAL (R$)]]</f>
        <v>0</v>
      </c>
      <c r="Q196" s="149" t="n">
        <f aca="false">SUM(reservavariáveisconsolidadoanual[[#This Row],[1]:[12]])</f>
        <v>0</v>
      </c>
      <c r="R196" s="165"/>
      <c r="AH196" s="79"/>
      <c r="AN196" s="79" t="s">
        <v>78</v>
      </c>
      <c r="AO196" s="117" t="e">
        <f aca="false">SUMIFS(tabela_registros[VALOR],tabela_registros[MÊS],$AE$1,tabela_registros[REGISTRO],DADOS!$N$6,tabela_registros[TIPO],DADOS!$AJ$4,tabela_registros[CATEGORIA],reservavariáveisconsolidadodez[[#This Row],[ATUAL]],#REF!,DADOS!$J$4)</f>
        <v>#VALUE!</v>
      </c>
      <c r="AP196" s="117" t="e">
        <f aca="false">SUMIFS(tabela_registros[VALOR],tabela_registros[MÊS],$AE$1,tabela_registros[REGISTRO],DADOS!$N$6,tabela_registros[TIPO],DADOS!$AJ$4,tabela_registros[CATEGORIA],reservavariáveisconsolidadodez[[#This Row],[ATUAL]],#REF!,DADOS!$J$3)</f>
        <v>#VALUE!</v>
      </c>
      <c r="AQ196" s="118" t="e">
        <f aca="false">(reservavariáveisconsolidadoanual[[#This Row],[TOTAL (R$)]]*$AQ$197)/$Q$197</f>
        <v>#DIV/0!</v>
      </c>
    </row>
    <row r="197" s="130" customFormat="true" ht="21" hidden="false" customHeight="true" outlineLevel="0" collapsed="false">
      <c r="A197" s="122"/>
      <c r="B197" s="152"/>
      <c r="C197" s="153" t="s">
        <v>2</v>
      </c>
      <c r="D197" s="166"/>
      <c r="E197" s="155" t="n">
        <f aca="false">reservavariáveisconsolidado282934[[#This Row],[TOTAL (R$)]]</f>
        <v>0</v>
      </c>
      <c r="F197" s="156" t="n">
        <f aca="false">reservavariáveisconsolidadofev[[#This Row],[TOTAL (R$)]]+reservavariáveisconsolidadoanual[[#This Row],[1]]</f>
        <v>0</v>
      </c>
      <c r="G197" s="156" t="n">
        <f aca="false">reservavariáveisconsolidadomar[[#This Row],[TOTAL (R$)]]+reservavariáveisconsolidadoanual[[#This Row],[2]]</f>
        <v>0</v>
      </c>
      <c r="H197" s="156" t="n">
        <f aca="false">reservavariáveisconsolidadoabr[[#This Row],[TOTAL (R$)]]+reservavariáveisconsolidadoanual[[#This Row],[3]]</f>
        <v>0</v>
      </c>
      <c r="I197" s="156" t="n">
        <f aca="false">reservavariáveisconsolidadomai[[#This Row],[TOTAL (R$)]]+reservavariáveisconsolidadoanual[[#This Row],[4]]</f>
        <v>0</v>
      </c>
      <c r="J197" s="156" t="n">
        <f aca="false">reservavariáveisconsolidadojun[[#This Row],[TOTAL (R$)]]+reservavariáveisconsolidadoanual[[#This Row],[5]]</f>
        <v>0</v>
      </c>
      <c r="K197" s="156" t="n">
        <f aca="false">reservavariáveisconsolidadojul[[#This Row],[TOTAL (R$)]]+reservavariáveisconsolidadoanual[[#This Row],[6]]</f>
        <v>0</v>
      </c>
      <c r="L197" s="156" t="n">
        <f aca="false">reservavariáveisconsolidadoago[[#This Row],[TOTAL (R$)]]+reservavariáveisconsolidadoanual[[#This Row],[7]]</f>
        <v>0</v>
      </c>
      <c r="M197" s="156" t="n">
        <f aca="false">reservavariáveisconsolidadoset[[#This Row],[TOTAL (R$)]]+reservavariáveisconsolidadoanual[[#This Row],[8]]</f>
        <v>0</v>
      </c>
      <c r="N197" s="156" t="n">
        <f aca="false">reservavariáveisconsolidadoout[[#This Row],[TOTAL (R$)]]+reservavariáveisconsolidadoanual[[#This Row],[9]]</f>
        <v>0</v>
      </c>
      <c r="O197" s="156" t="n">
        <f aca="false">reservavariáveisconsolidadonov[[#This Row],[TOTAL (R$)]]+reservavariáveisconsolidadoanual[[#This Row],[10]]</f>
        <v>0</v>
      </c>
      <c r="P197" s="156" t="n">
        <f aca="false">reservavariáveisconsolidadodez[[#This Row],[TOTAL (R$)]]+reservavariáveisconsolidadoanual[[#This Row],[11]]</f>
        <v>0</v>
      </c>
      <c r="Q197" s="157" t="n">
        <f aca="false">reservavariáveisconsolidadoanual[[#This Row],[12]]</f>
        <v>0</v>
      </c>
      <c r="R197" s="158"/>
      <c r="S197" s="78"/>
      <c r="T197" s="78"/>
      <c r="U197" s="78"/>
      <c r="V197" s="78"/>
      <c r="W197" s="78"/>
      <c r="X197" s="78"/>
      <c r="Y197" s="78"/>
      <c r="Z197" s="78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N197" s="132" t="e">
        <f aca="false">reservavariáveisconsolidadoanual[[#This Row],[TOTAL (R$)]]/$Q$26</f>
        <v>#DIV/0!</v>
      </c>
      <c r="AO197" s="131" t="e">
        <f aca="false">SUM(AO187:AO196)</f>
        <v>#VALUE!</v>
      </c>
      <c r="AP197" s="131" t="e">
        <f aca="false">SUM(AP187:AP196)</f>
        <v>#VALUE!</v>
      </c>
      <c r="AQ197" s="118" t="n">
        <f aca="false">1</f>
        <v>1</v>
      </c>
    </row>
    <row r="198" customFormat="false" ht="6.75" hidden="false" customHeight="true" outlineLevel="0" collapsed="false">
      <c r="B198" s="97"/>
      <c r="C198" s="162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4"/>
      <c r="AH198" s="79"/>
    </row>
    <row r="199" customFormat="false" ht="12.75" hidden="false" customHeight="false" outlineLevel="0" collapsed="false">
      <c r="E199" s="100"/>
      <c r="AH199" s="79"/>
    </row>
    <row r="200" customFormat="false" ht="12" hidden="false" customHeight="false" outlineLevel="0" collapsed="false">
      <c r="AH200" s="79"/>
    </row>
    <row r="201" customFormat="false" ht="12" hidden="false" customHeight="false" outlineLevel="0" collapsed="false">
      <c r="AH201" s="79"/>
    </row>
    <row r="202" customFormat="false" ht="39.75" hidden="false" customHeight="true" outlineLevel="0" collapsed="false">
      <c r="C202" s="101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3" t="s">
        <v>2</v>
      </c>
      <c r="R202" s="104"/>
      <c r="AH202" s="79"/>
    </row>
    <row r="203" customFormat="false" ht="12.75" hidden="false" customHeight="false" outlineLevel="0" collapsed="false">
      <c r="B203" s="161"/>
      <c r="Q203" s="106" t="s">
        <v>64</v>
      </c>
      <c r="AH203" s="79"/>
    </row>
    <row r="204" customFormat="false" ht="6.75" hidden="false" customHeight="true" outlineLevel="0" collapsed="false">
      <c r="B204" s="86"/>
      <c r="C204" s="162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4"/>
      <c r="AH204" s="79"/>
      <c r="AO204" s="108" t="s">
        <v>65</v>
      </c>
      <c r="AP204" s="108" t="s">
        <v>66</v>
      </c>
      <c r="AQ204" s="108" t="s">
        <v>67</v>
      </c>
    </row>
    <row r="205" customFormat="false" ht="13.5" hidden="true" customHeight="false" outlineLevel="0" collapsed="false">
      <c r="B205" s="86"/>
      <c r="C205" s="109" t="s">
        <v>68</v>
      </c>
      <c r="D205" s="110" t="s">
        <v>69</v>
      </c>
      <c r="E205" s="110" t="s">
        <v>30</v>
      </c>
      <c r="F205" s="110" t="s">
        <v>31</v>
      </c>
      <c r="G205" s="110" t="s">
        <v>32</v>
      </c>
      <c r="H205" s="110" t="s">
        <v>33</v>
      </c>
      <c r="I205" s="110" t="s">
        <v>34</v>
      </c>
      <c r="J205" s="110" t="s">
        <v>35</v>
      </c>
      <c r="K205" s="110" t="s">
        <v>36</v>
      </c>
      <c r="L205" s="110" t="s">
        <v>37</v>
      </c>
      <c r="M205" s="110" t="s">
        <v>38</v>
      </c>
      <c r="N205" s="110" t="s">
        <v>39</v>
      </c>
      <c r="O205" s="110" t="s">
        <v>40</v>
      </c>
      <c r="P205" s="110" t="s">
        <v>41</v>
      </c>
      <c r="Q205" s="111" t="s">
        <v>70</v>
      </c>
      <c r="R205" s="143"/>
      <c r="V205" s="78" t="n">
        <v>5555</v>
      </c>
      <c r="AH205" s="79"/>
    </row>
    <row r="206" customFormat="false" ht="19.5" hidden="false" customHeight="true" outlineLevel="0" collapsed="false">
      <c r="B206" s="143"/>
      <c r="C206" s="144" t="str">
        <f aca="false">DADOS!$AP$3</f>
        <v>📝 COE</v>
      </c>
      <c r="D206" s="145" t="str">
        <f aca="false">IF(reservaoutrosconsolidadoanual[[#This Row],[TOTAL (R$)]]=0,"",IF(OR(reservaoutrosconsolidadoanual[[#This Row],[TOTAL (R$)]]=LARGE($Q$206:$Q$213,1),reservaoutrosconsolidadoanual[[#This Row],[TOTAL (R$)]]=LARGE($Q$206:$Q$213,2)),DADOS!$I$11,""))</f>
        <v/>
      </c>
      <c r="E206" s="148" t="n">
        <f aca="false">reservaoutrosconsolidado282935[[#This Row],[TOTAL (R$)]]</f>
        <v>0</v>
      </c>
      <c r="F206" s="119" t="n">
        <f aca="false">reservaoutrosconsolidadofev[[#This Row],[TOTAL (R$)]]</f>
        <v>0</v>
      </c>
      <c r="G206" s="119" t="n">
        <f aca="false">reservaoutrosconsolidadomar[[#This Row],[TOTAL (R$)]]</f>
        <v>0</v>
      </c>
      <c r="H206" s="119" t="n">
        <f aca="false">reservaoutrosconsolidadoabr[[#This Row],[TOTAL (R$)]]</f>
        <v>0</v>
      </c>
      <c r="I206" s="119" t="n">
        <f aca="false">reservaoutrosconsolidadomai[[#This Row],[TOTAL (R$)]]</f>
        <v>0</v>
      </c>
      <c r="J206" s="119" t="n">
        <f aca="false">reservaoutrosconsolidadojun[[#This Row],[TOTAL (R$)]]</f>
        <v>0</v>
      </c>
      <c r="K206" s="119" t="n">
        <f aca="false">reservaoutrosconsolidadojul[[#This Row],[TOTAL (R$)]]</f>
        <v>0</v>
      </c>
      <c r="L206" s="119" t="n">
        <f aca="false">reservaoutrosconsolidadoago[[#This Row],[TOTAL (R$)]]</f>
        <v>0</v>
      </c>
      <c r="M206" s="119" t="n">
        <f aca="false">reservaoutrosconsolidadoset[[#This Row],[TOTAL (R$)]]</f>
        <v>0</v>
      </c>
      <c r="N206" s="119" t="n">
        <f aca="false">reservaoutrosconsolidadoout[[#This Row],[TOTAL (R$)]]</f>
        <v>0</v>
      </c>
      <c r="O206" s="119" t="n">
        <f aca="false">reservaoutrosconsolidadonov[[#This Row],[TOTAL (R$)]]</f>
        <v>0</v>
      </c>
      <c r="P206" s="119" t="n">
        <f aca="false">reservaoutrosconsolidadodez[[#This Row],[TOTAL (R$)]]</f>
        <v>0</v>
      </c>
      <c r="Q206" s="149" t="n">
        <f aca="false">SUM(reservaoutrosconsolidadoanual[[#This Row],[1]:[12]])</f>
        <v>0</v>
      </c>
      <c r="R206" s="165"/>
      <c r="AH206" s="79"/>
      <c r="AO206" s="117" t="e">
        <f aca="false">SUMIFS(tabela_registros[VALOR],tabela_registros[MÊS],$AE$1,tabela_registros[REGISTRO],DADOS!$N$6,tabela_registros[TIPO],DADOS!$AJ$5,tabela_registros[CATEGORIA],reservaoutrosconsolidadodez[[#This Row],[ATUAL]],#REF!,DADOS!$J$4)</f>
        <v>#VALUE!</v>
      </c>
      <c r="AP206" s="117" t="e">
        <f aca="false">SUMIFS(tabela_registros[VALOR],tabela_registros[MÊS],$AE$1,tabela_registros[REGISTRO],DADOS!$N$6,tabela_registros[TIPO],DADOS!$AJ$5,tabela_registros[CATEGORIA],reservaoutrosconsolidadodez[[#This Row],[ATUAL]],#REF!,DADOS!$J$3)</f>
        <v>#VALUE!</v>
      </c>
      <c r="AQ206" s="118" t="e">
        <f aca="false">(reservaoutrosconsolidadoanual[[#This Row],[TOTAL (R$)]]*$AQ$214)/$Q$214</f>
        <v>#DIV/0!</v>
      </c>
    </row>
    <row r="207" customFormat="false" ht="19.5" hidden="false" customHeight="true" outlineLevel="0" collapsed="false">
      <c r="B207" s="143"/>
      <c r="C207" s="144" t="str">
        <f aca="false">DADOS!$AP$4</f>
        <v>📝 FOREX</v>
      </c>
      <c r="D207" s="145" t="str">
        <f aca="false">IF(reservaoutrosconsolidadoanual[[#This Row],[TOTAL (R$)]]=0,"",IF(OR(reservaoutrosconsolidadoanual[[#This Row],[TOTAL (R$)]]=LARGE($Q$206:$Q$213,1),reservaoutrosconsolidadoanual[[#This Row],[TOTAL (R$)]]=LARGE($Q$206:$Q$213,2)),DADOS!$I$11,""))</f>
        <v/>
      </c>
      <c r="E207" s="148" t="n">
        <f aca="false">reservaoutrosconsolidado282935[[#This Row],[TOTAL (R$)]]</f>
        <v>0</v>
      </c>
      <c r="F207" s="119" t="n">
        <f aca="false">reservaoutrosconsolidadofev[[#This Row],[TOTAL (R$)]]</f>
        <v>0</v>
      </c>
      <c r="G207" s="119" t="n">
        <f aca="false">reservaoutrosconsolidadomar[[#This Row],[TOTAL (R$)]]</f>
        <v>0</v>
      </c>
      <c r="H207" s="119" t="n">
        <f aca="false">reservaoutrosconsolidadoabr[[#This Row],[TOTAL (R$)]]</f>
        <v>0</v>
      </c>
      <c r="I207" s="119" t="n">
        <f aca="false">reservaoutrosconsolidadomai[[#This Row],[TOTAL (R$)]]</f>
        <v>0</v>
      </c>
      <c r="J207" s="119" t="n">
        <f aca="false">reservaoutrosconsolidadojun[[#This Row],[TOTAL (R$)]]</f>
        <v>0</v>
      </c>
      <c r="K207" s="119" t="n">
        <f aca="false">reservaoutrosconsolidadojul[[#This Row],[TOTAL (R$)]]</f>
        <v>0</v>
      </c>
      <c r="L207" s="119" t="n">
        <f aca="false">reservaoutrosconsolidadoago[[#This Row],[TOTAL (R$)]]</f>
        <v>0</v>
      </c>
      <c r="M207" s="119" t="n">
        <f aca="false">reservaoutrosconsolidadoset[[#This Row],[TOTAL (R$)]]</f>
        <v>0</v>
      </c>
      <c r="N207" s="119" t="n">
        <f aca="false">reservaoutrosconsolidadoout[[#This Row],[TOTAL (R$)]]</f>
        <v>0</v>
      </c>
      <c r="O207" s="119" t="n">
        <f aca="false">reservaoutrosconsolidadonov[[#This Row],[TOTAL (R$)]]</f>
        <v>0</v>
      </c>
      <c r="P207" s="119" t="n">
        <f aca="false">reservaoutrosconsolidadodez[[#This Row],[TOTAL (R$)]]</f>
        <v>0</v>
      </c>
      <c r="Q207" s="149" t="n">
        <f aca="false">SUM(reservaoutrosconsolidadoanual[[#This Row],[1]:[12]])</f>
        <v>0</v>
      </c>
      <c r="R207" s="165"/>
      <c r="AH207" s="79"/>
      <c r="AO207" s="117" t="e">
        <f aca="false">SUMIFS(tabela_registros[VALOR],tabela_registros[MÊS],$AE$1,tabela_registros[REGISTRO],DADOS!$N$6,tabela_registros[TIPO],DADOS!$AJ$5,tabela_registros[CATEGORIA],reservaoutrosconsolidadodez[[#This Row],[ATUAL]],#REF!,DADOS!$J$4)</f>
        <v>#VALUE!</v>
      </c>
      <c r="AP207" s="117" t="e">
        <f aca="false">SUMIFS(tabela_registros[VALOR],tabela_registros[MÊS],$AE$1,tabela_registros[REGISTRO],DADOS!$N$6,tabela_registros[TIPO],DADOS!$AJ$5,tabela_registros[CATEGORIA],reservaoutrosconsolidadodez[[#This Row],[ATUAL]],#REF!,DADOS!$J$3)</f>
        <v>#VALUE!</v>
      </c>
      <c r="AQ207" s="118" t="e">
        <f aca="false">(reservaoutrosconsolidadoanual[[#This Row],[TOTAL (R$)]]*$AQ$214)/$Q$214</f>
        <v>#DIV/0!</v>
      </c>
    </row>
    <row r="208" customFormat="false" ht="19.5" hidden="false" customHeight="true" outlineLevel="0" collapsed="false">
      <c r="B208" s="143"/>
      <c r="C208" s="144" t="str">
        <f aca="false">DADOS!$AP$5</f>
        <v>📝 FUNDO DE INVESTIMENTO</v>
      </c>
      <c r="D208" s="145" t="str">
        <f aca="false">IF(reservaoutrosconsolidadoanual[[#This Row],[TOTAL (R$)]]=0,"",IF(OR(reservaoutrosconsolidadoanual[[#This Row],[TOTAL (R$)]]=LARGE($Q$206:$Q$213,1),reservaoutrosconsolidadoanual[[#This Row],[TOTAL (R$)]]=LARGE($Q$206:$Q$213,2)),DADOS!$I$11,""))</f>
        <v/>
      </c>
      <c r="E208" s="148" t="n">
        <f aca="false">reservaoutrosconsolidado282935[[#This Row],[TOTAL (R$)]]</f>
        <v>0</v>
      </c>
      <c r="F208" s="119" t="n">
        <f aca="false">reservaoutrosconsolidadofev[[#This Row],[TOTAL (R$)]]</f>
        <v>0</v>
      </c>
      <c r="G208" s="119" t="n">
        <f aca="false">reservaoutrosconsolidadomar[[#This Row],[TOTAL (R$)]]</f>
        <v>0</v>
      </c>
      <c r="H208" s="119" t="n">
        <f aca="false">reservaoutrosconsolidadoabr[[#This Row],[TOTAL (R$)]]</f>
        <v>0</v>
      </c>
      <c r="I208" s="119" t="n">
        <f aca="false">reservaoutrosconsolidadomai[[#This Row],[TOTAL (R$)]]</f>
        <v>0</v>
      </c>
      <c r="J208" s="119" t="n">
        <f aca="false">reservaoutrosconsolidadojun[[#This Row],[TOTAL (R$)]]</f>
        <v>0</v>
      </c>
      <c r="K208" s="119" t="n">
        <f aca="false">reservaoutrosconsolidadojul[[#This Row],[TOTAL (R$)]]</f>
        <v>0</v>
      </c>
      <c r="L208" s="119" t="n">
        <f aca="false">reservaoutrosconsolidadoago[[#This Row],[TOTAL (R$)]]</f>
        <v>0</v>
      </c>
      <c r="M208" s="119" t="n">
        <f aca="false">reservaoutrosconsolidadoset[[#This Row],[TOTAL (R$)]]</f>
        <v>0</v>
      </c>
      <c r="N208" s="119" t="n">
        <f aca="false">reservaoutrosconsolidadoout[[#This Row],[TOTAL (R$)]]</f>
        <v>0</v>
      </c>
      <c r="O208" s="119" t="n">
        <f aca="false">reservaoutrosconsolidadonov[[#This Row],[TOTAL (R$)]]</f>
        <v>0</v>
      </c>
      <c r="P208" s="119" t="n">
        <f aca="false">reservaoutrosconsolidadodez[[#This Row],[TOTAL (R$)]]</f>
        <v>0</v>
      </c>
      <c r="Q208" s="149" t="n">
        <f aca="false">SUM(reservaoutrosconsolidadoanual[[#This Row],[1]:[12]])</f>
        <v>0</v>
      </c>
      <c r="R208" s="165"/>
      <c r="AH208" s="79"/>
      <c r="AO208" s="117" t="e">
        <f aca="false">SUMIFS(tabela_registros[VALOR],tabela_registros[MÊS],$AE$1,tabela_registros[REGISTRO],DADOS!$N$6,tabela_registros[TIPO],DADOS!$AJ$5,tabela_registros[CATEGORIA],reservaoutrosconsolidadodez[[#This Row],[ATUAL]],#REF!,DADOS!$J$4)</f>
        <v>#VALUE!</v>
      </c>
      <c r="AP208" s="117" t="e">
        <f aca="false">SUMIFS(tabela_registros[VALOR],tabela_registros[MÊS],$AE$1,tabela_registros[REGISTRO],DADOS!$N$6,tabela_registros[TIPO],DADOS!$AJ$5,tabela_registros[CATEGORIA],reservaoutrosconsolidadodez[[#This Row],[ATUAL]],#REF!,DADOS!$J$3)</f>
        <v>#VALUE!</v>
      </c>
      <c r="AQ208" s="118" t="e">
        <f aca="false">(reservaoutrosconsolidadoanual[[#This Row],[TOTAL (R$)]]*$AQ$214)/$Q$214</f>
        <v>#DIV/0!</v>
      </c>
    </row>
    <row r="209" customFormat="false" ht="19.5" hidden="false" customHeight="true" outlineLevel="0" collapsed="false">
      <c r="B209" s="143"/>
      <c r="C209" s="144" t="str">
        <f aca="false">DADOS!$AP$6</f>
        <v>📝 NOVA EMPRESA</v>
      </c>
      <c r="D209" s="145" t="str">
        <f aca="false">IF(reservaoutrosconsolidadoanual[[#This Row],[TOTAL (R$)]]=0,"",IF(OR(reservaoutrosconsolidadoanual[[#This Row],[TOTAL (R$)]]=LARGE($Q$206:$Q$213,1),reservaoutrosconsolidadoanual[[#This Row],[TOTAL (R$)]]=LARGE($Q$206:$Q$213,2)),DADOS!$I$11,""))</f>
        <v/>
      </c>
      <c r="E209" s="148" t="n">
        <f aca="false">reservaoutrosconsolidado282935[[#This Row],[TOTAL (R$)]]</f>
        <v>0</v>
      </c>
      <c r="F209" s="119" t="n">
        <f aca="false">reservaoutrosconsolidadofev[[#This Row],[TOTAL (R$)]]</f>
        <v>0</v>
      </c>
      <c r="G209" s="119" t="n">
        <f aca="false">reservaoutrosconsolidadomar[[#This Row],[TOTAL (R$)]]</f>
        <v>0</v>
      </c>
      <c r="H209" s="119" t="n">
        <f aca="false">reservaoutrosconsolidadoabr[[#This Row],[TOTAL (R$)]]</f>
        <v>0</v>
      </c>
      <c r="I209" s="119" t="n">
        <f aca="false">reservaoutrosconsolidadomai[[#This Row],[TOTAL (R$)]]</f>
        <v>0</v>
      </c>
      <c r="J209" s="119" t="n">
        <f aca="false">reservaoutrosconsolidadojun[[#This Row],[TOTAL (R$)]]</f>
        <v>0</v>
      </c>
      <c r="K209" s="119" t="n">
        <f aca="false">reservaoutrosconsolidadojul[[#This Row],[TOTAL (R$)]]</f>
        <v>0</v>
      </c>
      <c r="L209" s="119" t="n">
        <f aca="false">reservaoutrosconsolidadoago[[#This Row],[TOTAL (R$)]]</f>
        <v>0</v>
      </c>
      <c r="M209" s="119" t="n">
        <f aca="false">reservaoutrosconsolidadoset[[#This Row],[TOTAL (R$)]]</f>
        <v>0</v>
      </c>
      <c r="N209" s="119" t="n">
        <f aca="false">reservaoutrosconsolidadoout[[#This Row],[TOTAL (R$)]]</f>
        <v>0</v>
      </c>
      <c r="O209" s="119" t="n">
        <f aca="false">reservaoutrosconsolidadonov[[#This Row],[TOTAL (R$)]]</f>
        <v>0</v>
      </c>
      <c r="P209" s="119" t="n">
        <f aca="false">reservaoutrosconsolidadodez[[#This Row],[TOTAL (R$)]]</f>
        <v>0</v>
      </c>
      <c r="Q209" s="149" t="n">
        <f aca="false">SUM(reservaoutrosconsolidadoanual[[#This Row],[1]:[12]])</f>
        <v>0</v>
      </c>
      <c r="R209" s="165"/>
      <c r="AH209" s="79"/>
      <c r="AO209" s="117" t="e">
        <f aca="false">SUMIFS(tabela_registros[VALOR],tabela_registros[MÊS],$AE$1,tabela_registros[REGISTRO],DADOS!$N$6,tabela_registros[TIPO],DADOS!$AJ$5,tabela_registros[CATEGORIA],reservaoutrosconsolidadodez[[#This Row],[ATUAL]],#REF!,DADOS!$J$4)</f>
        <v>#VALUE!</v>
      </c>
      <c r="AP209" s="117" t="e">
        <f aca="false">SUMIFS(tabela_registros[VALOR],tabela_registros[MÊS],$AE$1,tabela_registros[REGISTRO],DADOS!$N$6,tabela_registros[TIPO],DADOS!$AJ$5,tabela_registros[CATEGORIA],reservaoutrosconsolidadodez[[#This Row],[ATUAL]],#REF!,DADOS!$J$3)</f>
        <v>#VALUE!</v>
      </c>
      <c r="AQ209" s="118" t="e">
        <f aca="false">(reservaoutrosconsolidadoanual[[#This Row],[TOTAL (R$)]]*$AQ$214)/$Q$214</f>
        <v>#DIV/0!</v>
      </c>
    </row>
    <row r="210" customFormat="false" ht="19.5" hidden="false" customHeight="true" outlineLevel="0" collapsed="false">
      <c r="B210" s="143"/>
      <c r="C210" s="144" t="str">
        <f aca="false">DADOS!$AP$7</f>
        <v>📝 PEER TO COMPANY</v>
      </c>
      <c r="D210" s="145" t="str">
        <f aca="false">IF(reservaoutrosconsolidadoanual[[#This Row],[TOTAL (R$)]]=0,"",IF(OR(reservaoutrosconsolidadoanual[[#This Row],[TOTAL (R$)]]=LARGE($Q$206:$Q$213,1),reservaoutrosconsolidadoanual[[#This Row],[TOTAL (R$)]]=LARGE($Q$206:$Q$213,2)),DADOS!$I$11,""))</f>
        <v/>
      </c>
      <c r="E210" s="148" t="n">
        <f aca="false">reservaoutrosconsolidado282935[[#This Row],[TOTAL (R$)]]</f>
        <v>0</v>
      </c>
      <c r="F210" s="119" t="n">
        <f aca="false">reservaoutrosconsolidadofev[[#This Row],[TOTAL (R$)]]</f>
        <v>0</v>
      </c>
      <c r="G210" s="119" t="n">
        <f aca="false">reservaoutrosconsolidadomar[[#This Row],[TOTAL (R$)]]</f>
        <v>0</v>
      </c>
      <c r="H210" s="119" t="n">
        <f aca="false">reservaoutrosconsolidadoabr[[#This Row],[TOTAL (R$)]]</f>
        <v>0</v>
      </c>
      <c r="I210" s="119" t="n">
        <f aca="false">reservaoutrosconsolidadomai[[#This Row],[TOTAL (R$)]]</f>
        <v>0</v>
      </c>
      <c r="J210" s="119" t="n">
        <f aca="false">reservaoutrosconsolidadojun[[#This Row],[TOTAL (R$)]]</f>
        <v>0</v>
      </c>
      <c r="K210" s="119" t="n">
        <f aca="false">reservaoutrosconsolidadojul[[#This Row],[TOTAL (R$)]]</f>
        <v>0</v>
      </c>
      <c r="L210" s="119" t="n">
        <f aca="false">reservaoutrosconsolidadoago[[#This Row],[TOTAL (R$)]]</f>
        <v>0</v>
      </c>
      <c r="M210" s="119" t="n">
        <f aca="false">reservaoutrosconsolidadoset[[#This Row],[TOTAL (R$)]]</f>
        <v>0</v>
      </c>
      <c r="N210" s="119" t="n">
        <f aca="false">reservaoutrosconsolidadoout[[#This Row],[TOTAL (R$)]]</f>
        <v>0</v>
      </c>
      <c r="O210" s="119" t="n">
        <f aca="false">reservaoutrosconsolidadonov[[#This Row],[TOTAL (R$)]]</f>
        <v>0</v>
      </c>
      <c r="P210" s="119" t="n">
        <f aca="false">reservaoutrosconsolidadodez[[#This Row],[TOTAL (R$)]]</f>
        <v>0</v>
      </c>
      <c r="Q210" s="149" t="n">
        <f aca="false">SUM(reservaoutrosconsolidadoanual[[#This Row],[1]:[12]])</f>
        <v>0</v>
      </c>
      <c r="R210" s="165"/>
      <c r="AH210" s="79"/>
      <c r="AO210" s="117" t="e">
        <f aca="false">SUMIFS(tabela_registros[VALOR],tabela_registros[MÊS],$AE$1,tabela_registros[REGISTRO],DADOS!$N$6,tabela_registros[TIPO],DADOS!$AJ$5,tabela_registros[CATEGORIA],reservaoutrosconsolidadodez[[#This Row],[ATUAL]],#REF!,DADOS!$J$4)</f>
        <v>#VALUE!</v>
      </c>
      <c r="AP210" s="117" t="e">
        <f aca="false">SUMIFS(tabela_registros[VALOR],tabela_registros[MÊS],$AE$1,tabela_registros[REGISTRO],DADOS!$N$6,tabela_registros[TIPO],DADOS!$AJ$5,tabela_registros[CATEGORIA],reservaoutrosconsolidadodez[[#This Row],[ATUAL]],#REF!,DADOS!$J$3)</f>
        <v>#VALUE!</v>
      </c>
      <c r="AQ210" s="118" t="e">
        <f aca="false">(reservaoutrosconsolidadoanual[[#This Row],[TOTAL (R$)]]*$AQ$214)/$Q$214</f>
        <v>#DIV/0!</v>
      </c>
    </row>
    <row r="211" customFormat="false" ht="19.5" hidden="false" customHeight="true" outlineLevel="0" collapsed="false">
      <c r="B211" s="143"/>
      <c r="C211" s="144" t="str">
        <f aca="false">DADOS!$AP$8</f>
        <v>📝 PEER TO PEER</v>
      </c>
      <c r="D211" s="145" t="str">
        <f aca="false">IF(reservaoutrosconsolidadoanual[[#This Row],[TOTAL (R$)]]=0,"",IF(OR(reservaoutrosconsolidadoanual[[#This Row],[TOTAL (R$)]]=LARGE($Q$206:$Q$213,1),reservaoutrosconsolidadoanual[[#This Row],[TOTAL (R$)]]=LARGE($Q$206:$Q$213,2)),DADOS!$I$11,""))</f>
        <v/>
      </c>
      <c r="E211" s="148" t="n">
        <f aca="false">reservaoutrosconsolidado282935[[#This Row],[TOTAL (R$)]]</f>
        <v>0</v>
      </c>
      <c r="F211" s="119" t="n">
        <f aca="false">reservaoutrosconsolidadofev[[#This Row],[TOTAL (R$)]]</f>
        <v>0</v>
      </c>
      <c r="G211" s="119" t="n">
        <f aca="false">reservaoutrosconsolidadomar[[#This Row],[TOTAL (R$)]]</f>
        <v>0</v>
      </c>
      <c r="H211" s="119" t="n">
        <f aca="false">reservaoutrosconsolidadoabr[[#This Row],[TOTAL (R$)]]</f>
        <v>0</v>
      </c>
      <c r="I211" s="119" t="n">
        <f aca="false">reservaoutrosconsolidadomai[[#This Row],[TOTAL (R$)]]</f>
        <v>0</v>
      </c>
      <c r="J211" s="119" t="n">
        <f aca="false">reservaoutrosconsolidadojun[[#This Row],[TOTAL (R$)]]</f>
        <v>0</v>
      </c>
      <c r="K211" s="119" t="n">
        <f aca="false">reservaoutrosconsolidadojul[[#This Row],[TOTAL (R$)]]</f>
        <v>0</v>
      </c>
      <c r="L211" s="119" t="n">
        <f aca="false">reservaoutrosconsolidadoago[[#This Row],[TOTAL (R$)]]</f>
        <v>0</v>
      </c>
      <c r="M211" s="119" t="n">
        <f aca="false">reservaoutrosconsolidadoset[[#This Row],[TOTAL (R$)]]</f>
        <v>0</v>
      </c>
      <c r="N211" s="119" t="n">
        <f aca="false">reservaoutrosconsolidadoout[[#This Row],[TOTAL (R$)]]</f>
        <v>0</v>
      </c>
      <c r="O211" s="119" t="n">
        <f aca="false">reservaoutrosconsolidadonov[[#This Row],[TOTAL (R$)]]</f>
        <v>0</v>
      </c>
      <c r="P211" s="119" t="n">
        <f aca="false">reservaoutrosconsolidadodez[[#This Row],[TOTAL (R$)]]</f>
        <v>0</v>
      </c>
      <c r="Q211" s="149" t="n">
        <f aca="false">SUM(reservaoutrosconsolidadoanual[[#This Row],[1]:[12]])</f>
        <v>0</v>
      </c>
      <c r="R211" s="165"/>
      <c r="AH211" s="79"/>
      <c r="AO211" s="117" t="e">
        <f aca="false">SUMIFS(tabela_registros[VALOR],tabela_registros[MÊS],$AE$1,tabela_registros[REGISTRO],DADOS!$N$6,tabela_registros[TIPO],DADOS!$AJ$5,tabela_registros[CATEGORIA],reservaoutrosconsolidadodez[[#This Row],[ATUAL]],#REF!,DADOS!$J$4)</f>
        <v>#VALUE!</v>
      </c>
      <c r="AP211" s="117" t="e">
        <f aca="false">SUMIFS(tabela_registros[VALOR],tabela_registros[MÊS],$AE$1,tabela_registros[REGISTRO],DADOS!$N$6,tabela_registros[TIPO],DADOS!$AJ$5,tabela_registros[CATEGORIA],reservaoutrosconsolidadodez[[#This Row],[ATUAL]],#REF!,DADOS!$J$3)</f>
        <v>#VALUE!</v>
      </c>
      <c r="AQ211" s="118" t="e">
        <f aca="false">(reservaoutrosconsolidadoanual[[#This Row],[TOTAL (R$)]]*$AQ$214)/$Q$214</f>
        <v>#DIV/0!</v>
      </c>
    </row>
    <row r="212" customFormat="false" ht="19.5" hidden="false" customHeight="true" outlineLevel="0" collapsed="false">
      <c r="B212" s="143"/>
      <c r="C212" s="144" t="str">
        <f aca="false">DADOS!$AP$9</f>
        <v>📝 PREVIDÊNCIA PRIVADA</v>
      </c>
      <c r="D212" s="145" t="str">
        <f aca="false">IF(reservaoutrosconsolidadoanual[[#This Row],[TOTAL (R$)]]=0,"",IF(OR(reservaoutrosconsolidadoanual[[#This Row],[TOTAL (R$)]]=LARGE($Q$206:$Q$213,1),reservaoutrosconsolidadoanual[[#This Row],[TOTAL (R$)]]=LARGE($Q$206:$Q$213,2)),DADOS!$I$11,""))</f>
        <v/>
      </c>
      <c r="E212" s="148" t="n">
        <f aca="false">reservaoutrosconsolidado282935[[#This Row],[TOTAL (R$)]]</f>
        <v>0</v>
      </c>
      <c r="F212" s="119" t="n">
        <f aca="false">reservaoutrosconsolidadofev[[#This Row],[TOTAL (R$)]]</f>
        <v>0</v>
      </c>
      <c r="G212" s="119" t="n">
        <f aca="false">reservaoutrosconsolidadomar[[#This Row],[TOTAL (R$)]]</f>
        <v>0</v>
      </c>
      <c r="H212" s="119" t="n">
        <f aca="false">reservaoutrosconsolidadoabr[[#This Row],[TOTAL (R$)]]</f>
        <v>0</v>
      </c>
      <c r="I212" s="119" t="n">
        <f aca="false">reservaoutrosconsolidadomai[[#This Row],[TOTAL (R$)]]</f>
        <v>0</v>
      </c>
      <c r="J212" s="119" t="n">
        <f aca="false">reservaoutrosconsolidadojun[[#This Row],[TOTAL (R$)]]</f>
        <v>0</v>
      </c>
      <c r="K212" s="119" t="n">
        <f aca="false">reservaoutrosconsolidadojul[[#This Row],[TOTAL (R$)]]</f>
        <v>0</v>
      </c>
      <c r="L212" s="119" t="n">
        <f aca="false">reservaoutrosconsolidadoago[[#This Row],[TOTAL (R$)]]</f>
        <v>0</v>
      </c>
      <c r="M212" s="119" t="n">
        <f aca="false">reservaoutrosconsolidadoset[[#This Row],[TOTAL (R$)]]</f>
        <v>0</v>
      </c>
      <c r="N212" s="119" t="n">
        <f aca="false">reservaoutrosconsolidadoout[[#This Row],[TOTAL (R$)]]</f>
        <v>0</v>
      </c>
      <c r="O212" s="119" t="n">
        <f aca="false">reservaoutrosconsolidadonov[[#This Row],[TOTAL (R$)]]</f>
        <v>0</v>
      </c>
      <c r="P212" s="119" t="n">
        <f aca="false">reservaoutrosconsolidadodez[[#This Row],[TOTAL (R$)]]</f>
        <v>0</v>
      </c>
      <c r="Q212" s="149" t="n">
        <f aca="false">SUM(reservaoutrosconsolidadoanual[[#This Row],[1]:[12]])</f>
        <v>0</v>
      </c>
      <c r="R212" s="165"/>
      <c r="AH212" s="79"/>
      <c r="AO212" s="117" t="e">
        <f aca="false">SUMIFS(tabela_registros[VALOR],tabela_registros[MÊS],$AE$1,tabela_registros[REGISTRO],DADOS!$N$6,tabela_registros[TIPO],DADOS!$AJ$5,tabela_registros[CATEGORIA],reservaoutrosconsolidadodez[[#This Row],[ATUAL]],#REF!,DADOS!$J$4)</f>
        <v>#VALUE!</v>
      </c>
      <c r="AP212" s="117" t="e">
        <f aca="false">SUMIFS(tabela_registros[VALOR],tabela_registros[MÊS],$AE$1,tabela_registros[REGISTRO],DADOS!$N$6,tabela_registros[TIPO],DADOS!$AJ$5,tabela_registros[CATEGORIA],reservaoutrosconsolidadodez[[#This Row],[ATUAL]],#REF!,DADOS!$J$3)</f>
        <v>#VALUE!</v>
      </c>
      <c r="AQ212" s="118" t="e">
        <f aca="false">(reservaoutrosconsolidadoanual[[#This Row],[TOTAL (R$)]]*$AQ$214)/$Q$214</f>
        <v>#DIV/0!</v>
      </c>
    </row>
    <row r="213" customFormat="false" ht="19.5" hidden="false" customHeight="true" outlineLevel="0" collapsed="false">
      <c r="B213" s="143"/>
      <c r="C213" s="144" t="str">
        <f aca="false">DADOS!$AP$10</f>
        <v>📎 OUTROS</v>
      </c>
      <c r="D213" s="145" t="str">
        <f aca="false">IF(reservaoutrosconsolidadoanual[[#This Row],[TOTAL (R$)]]=0,"",IF(OR(reservaoutrosconsolidadoanual[[#This Row],[TOTAL (R$)]]=LARGE($Q$206:$Q$213,1),reservaoutrosconsolidadoanual[[#This Row],[TOTAL (R$)]]=LARGE($Q$206:$Q$213,2)),DADOS!$I$11,""))</f>
        <v/>
      </c>
      <c r="E213" s="148" t="n">
        <f aca="false">reservaoutrosconsolidado282935[[#This Row],[TOTAL (R$)]]</f>
        <v>0</v>
      </c>
      <c r="F213" s="119" t="n">
        <f aca="false">reservaoutrosconsolidadofev[[#This Row],[TOTAL (R$)]]</f>
        <v>0</v>
      </c>
      <c r="G213" s="119" t="n">
        <f aca="false">reservaoutrosconsolidadomar[[#This Row],[TOTAL (R$)]]</f>
        <v>0</v>
      </c>
      <c r="H213" s="119" t="n">
        <f aca="false">reservaoutrosconsolidadoabr[[#This Row],[TOTAL (R$)]]</f>
        <v>0</v>
      </c>
      <c r="I213" s="119" t="n">
        <f aca="false">reservaoutrosconsolidadomai[[#This Row],[TOTAL (R$)]]</f>
        <v>0</v>
      </c>
      <c r="J213" s="119" t="n">
        <f aca="false">reservaoutrosconsolidadojun[[#This Row],[TOTAL (R$)]]</f>
        <v>0</v>
      </c>
      <c r="K213" s="119" t="n">
        <f aca="false">reservaoutrosconsolidadojul[[#This Row],[TOTAL (R$)]]</f>
        <v>0</v>
      </c>
      <c r="L213" s="119" t="n">
        <f aca="false">reservaoutrosconsolidadoago[[#This Row],[TOTAL (R$)]]</f>
        <v>0</v>
      </c>
      <c r="M213" s="119" t="n">
        <f aca="false">reservaoutrosconsolidadoset[[#This Row],[TOTAL (R$)]]</f>
        <v>0</v>
      </c>
      <c r="N213" s="119" t="n">
        <f aca="false">reservaoutrosconsolidadoout[[#This Row],[TOTAL (R$)]]</f>
        <v>0</v>
      </c>
      <c r="O213" s="119" t="n">
        <f aca="false">reservaoutrosconsolidadonov[[#This Row],[TOTAL (R$)]]</f>
        <v>0</v>
      </c>
      <c r="P213" s="119" t="n">
        <f aca="false">reservaoutrosconsolidadodez[[#This Row],[TOTAL (R$)]]</f>
        <v>0</v>
      </c>
      <c r="Q213" s="149" t="n">
        <f aca="false">SUM(reservaoutrosconsolidadoanual[[#This Row],[1]:[12]])</f>
        <v>0</v>
      </c>
      <c r="R213" s="165"/>
      <c r="AH213" s="79"/>
      <c r="AN213" s="79" t="s">
        <v>78</v>
      </c>
      <c r="AO213" s="117" t="e">
        <f aca="false">SUMIFS(tabela_registros[VALOR],tabela_registros[MÊS],$AE$1,tabela_registros[REGISTRO],DADOS!$N$6,tabela_registros[TIPO],DADOS!$AJ$5,tabela_registros[CATEGORIA],reservaoutrosconsolidadodez[[#This Row],[ATUAL]],#REF!,DADOS!$J$4)</f>
        <v>#VALUE!</v>
      </c>
      <c r="AP213" s="117" t="e">
        <f aca="false">SUMIFS(tabela_registros[VALOR],tabela_registros[MÊS],$AE$1,tabela_registros[REGISTRO],DADOS!$N$6,tabela_registros[TIPO],DADOS!$AJ$5,tabela_registros[CATEGORIA],reservaoutrosconsolidadodez[[#This Row],[ATUAL]],#REF!,DADOS!$J$3)</f>
        <v>#VALUE!</v>
      </c>
      <c r="AQ213" s="118" t="e">
        <f aca="false">(reservaoutrosconsolidadoanual[[#This Row],[TOTAL (R$)]]*$AQ$214)/$Q$214</f>
        <v>#DIV/0!</v>
      </c>
    </row>
    <row r="214" s="130" customFormat="true" ht="21" hidden="false" customHeight="true" outlineLevel="0" collapsed="false">
      <c r="A214" s="122"/>
      <c r="B214" s="152"/>
      <c r="C214" s="153" t="s">
        <v>2</v>
      </c>
      <c r="D214" s="166"/>
      <c r="E214" s="155" t="n">
        <f aca="false">reservaoutrosconsolidado282935[[#This Row],[TOTAL (R$)]]</f>
        <v>0</v>
      </c>
      <c r="F214" s="156" t="n">
        <f aca="false">reservaoutrosconsolidadofev[[#This Row],[TOTAL (R$)]]+reservaoutrosconsolidadoanual[[#This Row],[1]]</f>
        <v>0</v>
      </c>
      <c r="G214" s="156" t="n">
        <f aca="false">reservaoutrosconsolidadomar[[#This Row],[TOTAL (R$)]]+reservaoutrosconsolidadoanual[[#This Row],[2]]</f>
        <v>0</v>
      </c>
      <c r="H214" s="156" t="n">
        <f aca="false">reservaoutrosconsolidadoabr[[#This Row],[TOTAL (R$)]]+reservaoutrosconsolidadoanual[[#This Row],[3]]</f>
        <v>0</v>
      </c>
      <c r="I214" s="156" t="n">
        <f aca="false">reservaoutrosconsolidadomai[[#This Row],[TOTAL (R$)]]+reservaoutrosconsolidadoanual[[#This Row],[4]]</f>
        <v>0</v>
      </c>
      <c r="J214" s="156" t="n">
        <f aca="false">reservaoutrosconsolidadojun[[#This Row],[TOTAL (R$)]]+reservaoutrosconsolidadoanual[[#This Row],[5]]</f>
        <v>0</v>
      </c>
      <c r="K214" s="156" t="n">
        <f aca="false">reservaoutrosconsolidadojul[[#This Row],[TOTAL (R$)]]+reservaoutrosconsolidadoanual[[#This Row],[6]]</f>
        <v>0</v>
      </c>
      <c r="L214" s="156" t="n">
        <f aca="false">reservaoutrosconsolidadoago[[#This Row],[TOTAL (R$)]]+reservaoutrosconsolidadoanual[[#This Row],[7]]</f>
        <v>0</v>
      </c>
      <c r="M214" s="156" t="n">
        <f aca="false">reservaoutrosconsolidadoset[[#This Row],[TOTAL (R$)]]+reservaoutrosconsolidadoanual[[#This Row],[8]]</f>
        <v>0</v>
      </c>
      <c r="N214" s="156" t="n">
        <f aca="false">reservaoutrosconsolidadoout[[#This Row],[TOTAL (R$)]]+reservaoutrosconsolidadoanual[[#This Row],[9]]</f>
        <v>0</v>
      </c>
      <c r="O214" s="156" t="n">
        <f aca="false">reservaoutrosconsolidadonov[[#This Row],[TOTAL (R$)]]+reservaoutrosconsolidadoanual[[#This Row],[10]]</f>
        <v>0</v>
      </c>
      <c r="P214" s="156" t="n">
        <f aca="false">reservaoutrosconsolidadodez[[#This Row],[TOTAL (R$)]]+reservaoutrosconsolidadoanual[[#This Row],[11]]</f>
        <v>0</v>
      </c>
      <c r="Q214" s="157" t="n">
        <f aca="false">reservaoutrosconsolidadoanual[[#This Row],[12]]</f>
        <v>0</v>
      </c>
      <c r="R214" s="158"/>
      <c r="S214" s="78"/>
      <c r="T214" s="78"/>
      <c r="U214" s="78"/>
      <c r="V214" s="78"/>
      <c r="W214" s="78"/>
      <c r="X214" s="78"/>
      <c r="Y214" s="78"/>
      <c r="Z214" s="78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N214" s="132" t="e">
        <f aca="false">reservaoutrosconsolidadoanual[[#This Row],[TOTAL (R$)]]/$Q$26</f>
        <v>#DIV/0!</v>
      </c>
      <c r="AO214" s="131" t="e">
        <f aca="false">SUM(AO206:AO213)</f>
        <v>#VALUE!</v>
      </c>
      <c r="AP214" s="131" t="e">
        <f aca="false">SUM(AP206:AP213)</f>
        <v>#VALUE!</v>
      </c>
      <c r="AQ214" s="118" t="n">
        <f aca="false">1</f>
        <v>1</v>
      </c>
    </row>
    <row r="215" customFormat="false" ht="6.75" hidden="false" customHeight="true" outlineLevel="0" collapsed="false">
      <c r="B215" s="97"/>
      <c r="C215" s="162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4"/>
      <c r="AH215" s="79"/>
      <c r="AO215" s="117"/>
      <c r="AP215" s="117"/>
      <c r="AQ215" s="118"/>
    </row>
    <row r="216" customFormat="false" ht="12.75" hidden="false" customHeight="false" outlineLevel="0" collapsed="false">
      <c r="AH216" s="79"/>
    </row>
    <row r="217" customFormat="false" ht="12" hidden="false" customHeight="false" outlineLevel="0" collapsed="false">
      <c r="AH217" s="79"/>
    </row>
  </sheetData>
  <sheetProtection algorithmName="SHA-512" hashValue="05E9qCzcO2X/fUHZMwJoy2tLXBXK4FImUCvWXs0i1n1DOUNvOZGp/BZRWydSAoSMaCn2tdm9mDN7m+oc0V4XHQ==" saltValue="svOy1/ddqTY4BkAIqve8Fg==" spinCount="100000" sheet="true" objects="true" scenarios="true" selectLockedCells="true" selectUnlockedCells="true"/>
  <mergeCells count="26">
    <mergeCell ref="C2:C6"/>
    <mergeCell ref="E3:F3"/>
    <mergeCell ref="H3:I3"/>
    <mergeCell ref="K3:L3"/>
    <mergeCell ref="N3:O3"/>
    <mergeCell ref="Q3:S3"/>
    <mergeCell ref="V3:W5"/>
    <mergeCell ref="X3:Y5"/>
    <mergeCell ref="AE3:AF4"/>
    <mergeCell ref="E4:F4"/>
    <mergeCell ref="H4:I4"/>
    <mergeCell ref="K4:L4"/>
    <mergeCell ref="N4:O4"/>
    <mergeCell ref="Q4:S4"/>
    <mergeCell ref="E10:P10"/>
    <mergeCell ref="E21:P21"/>
    <mergeCell ref="E33:P33"/>
    <mergeCell ref="E56:P56"/>
    <mergeCell ref="E78:P78"/>
    <mergeCell ref="E92:P92"/>
    <mergeCell ref="E109:P109"/>
    <mergeCell ref="E128:P128"/>
    <mergeCell ref="E147:P147"/>
    <mergeCell ref="E164:P164"/>
    <mergeCell ref="E183:P183"/>
    <mergeCell ref="E202:P202"/>
  </mergeCells>
  <hyperlinks>
    <hyperlink ref="V3" location="'🔒'!A1" display="REGISTROS"/>
    <hyperlink ref="X3" location="'📈'!A1" display="RADA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17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24" activeCellId="0" sqref="D24"/>
    </sheetView>
  </sheetViews>
  <sheetFormatPr defaultColWidth="2.1484375" defaultRowHeight="12" zeroHeight="true" outlineLevelRow="0" outlineLevelCol="0"/>
  <cols>
    <col collapsed="false" customWidth="false" hidden="false" outlineLevel="0" max="1" min="1" style="78" width="2.14"/>
    <col collapsed="false" customWidth="true" hidden="false" outlineLevel="0" max="2" min="2" style="78" width="1.58"/>
    <col collapsed="false" customWidth="true" hidden="false" outlineLevel="0" max="3" min="3" style="78" width="29.29"/>
    <col collapsed="false" customWidth="true" hidden="false" outlineLevel="0" max="4" min="4" style="78" width="4.71"/>
    <col collapsed="false" customWidth="true" hidden="false" outlineLevel="0" max="34" min="5" style="78" width="5.57"/>
    <col collapsed="false" customWidth="true" hidden="false" outlineLevel="0" max="35" min="35" style="167" width="5.57"/>
    <col collapsed="false" customWidth="true" hidden="false" outlineLevel="0" max="36" min="36" style="78" width="9.58"/>
    <col collapsed="false" customWidth="true" hidden="false" outlineLevel="0" max="37" min="37" style="78" width="1.58"/>
    <col collapsed="false" customWidth="true" hidden="false" outlineLevel="0" max="38" min="38" style="78" width="2"/>
    <col collapsed="false" customWidth="false" hidden="true" outlineLevel="0" max="1024" min="39" style="78" width="2.14"/>
  </cols>
  <sheetData>
    <row r="1" customFormat="false" ht="29.25" hidden="true" customHeight="true" outlineLevel="0" collapsed="false">
      <c r="A1" s="81"/>
      <c r="B1" s="81"/>
      <c r="C1" s="81"/>
      <c r="D1" s="82"/>
      <c r="AD1" s="78" t="s">
        <v>19</v>
      </c>
      <c r="AE1" s="168" t="n">
        <v>1</v>
      </c>
      <c r="AH1" s="78" t="s">
        <v>42</v>
      </c>
      <c r="AI1" s="169" t="n">
        <f aca="false">IF('⚙️'!$Q$3=$AE$1,'⚙️'!$F$13,0)</f>
        <v>2500</v>
      </c>
      <c r="AK1" s="169"/>
    </row>
    <row r="2" customFormat="false" ht="15.75" hidden="false" customHeight="true" outlineLevel="0" collapsed="false">
      <c r="A2" s="170"/>
      <c r="B2" s="170"/>
      <c r="C2" s="171" t="s">
        <v>8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3"/>
      <c r="U2" s="173"/>
      <c r="V2" s="173"/>
      <c r="W2" s="173"/>
      <c r="X2" s="173"/>
      <c r="Y2" s="173"/>
      <c r="Z2" s="173"/>
      <c r="AA2" s="173"/>
      <c r="AB2" s="173"/>
      <c r="AC2" s="174"/>
      <c r="AD2" s="175"/>
      <c r="AE2" s="175"/>
      <c r="AF2" s="175"/>
      <c r="AG2" s="175"/>
      <c r="AH2" s="175"/>
      <c r="AI2" s="175"/>
      <c r="AJ2" s="175"/>
      <c r="AK2" s="175"/>
      <c r="AL2" s="175"/>
    </row>
    <row r="3" s="180" customFormat="true" ht="18" hidden="false" customHeight="true" outlineLevel="0" collapsed="false">
      <c r="A3" s="176"/>
      <c r="B3" s="176"/>
      <c r="C3" s="171"/>
      <c r="D3" s="172"/>
      <c r="E3" s="177" t="s">
        <v>45</v>
      </c>
      <c r="F3" s="177"/>
      <c r="G3" s="177"/>
      <c r="H3" s="173"/>
      <c r="I3" s="177" t="s">
        <v>46</v>
      </c>
      <c r="J3" s="177"/>
      <c r="K3" s="177"/>
      <c r="L3" s="173"/>
      <c r="M3" s="177" t="s">
        <v>47</v>
      </c>
      <c r="N3" s="177"/>
      <c r="O3" s="177"/>
      <c r="P3" s="173"/>
      <c r="Q3" s="177" t="s">
        <v>48</v>
      </c>
      <c r="R3" s="177"/>
      <c r="S3" s="177"/>
      <c r="T3" s="173"/>
      <c r="U3" s="177" t="s">
        <v>49</v>
      </c>
      <c r="V3" s="177"/>
      <c r="W3" s="177"/>
      <c r="X3" s="173"/>
      <c r="Y3" s="173"/>
      <c r="Z3" s="178" t="s">
        <v>50</v>
      </c>
      <c r="AA3" s="178"/>
      <c r="AB3" s="175"/>
      <c r="AC3" s="178" t="s">
        <v>51</v>
      </c>
      <c r="AD3" s="178"/>
      <c r="AE3" s="175"/>
      <c r="AF3" s="178" t="s">
        <v>17</v>
      </c>
      <c r="AG3" s="178"/>
      <c r="AH3" s="179"/>
      <c r="AI3" s="179"/>
      <c r="AJ3" s="179"/>
      <c r="AK3" s="175"/>
      <c r="AL3" s="175"/>
    </row>
    <row r="4" s="180" customFormat="true" ht="18" hidden="false" customHeight="true" outlineLevel="0" collapsed="false">
      <c r="A4" s="176"/>
      <c r="B4" s="176"/>
      <c r="C4" s="171"/>
      <c r="D4" s="172"/>
      <c r="E4" s="181" t="n">
        <f aca="false">$AJ$16</f>
        <v>2500</v>
      </c>
      <c r="F4" s="181"/>
      <c r="G4" s="181"/>
      <c r="H4" s="173"/>
      <c r="I4" s="181" t="n">
        <f aca="false">$AJ$14</f>
        <v>0</v>
      </c>
      <c r="J4" s="181"/>
      <c r="K4" s="181"/>
      <c r="L4" s="173"/>
      <c r="M4" s="181" t="n">
        <f aca="false">$AJ$15</f>
        <v>0</v>
      </c>
      <c r="N4" s="181"/>
      <c r="O4" s="181"/>
      <c r="P4" s="173"/>
      <c r="Q4" s="181" t="n">
        <f aca="false">$AJ$25</f>
        <v>0</v>
      </c>
      <c r="R4" s="181"/>
      <c r="S4" s="181"/>
      <c r="T4" s="173"/>
      <c r="U4" s="181" t="n">
        <f aca="false">$AJ$26</f>
        <v>0</v>
      </c>
      <c r="V4" s="181"/>
      <c r="W4" s="181"/>
      <c r="X4" s="173"/>
      <c r="Y4" s="173"/>
      <c r="Z4" s="178"/>
      <c r="AA4" s="178"/>
      <c r="AB4" s="175"/>
      <c r="AC4" s="178"/>
      <c r="AD4" s="178"/>
      <c r="AE4" s="175"/>
      <c r="AF4" s="178"/>
      <c r="AG4" s="178"/>
      <c r="AH4" s="179"/>
      <c r="AI4" s="179"/>
      <c r="AJ4" s="179"/>
      <c r="AK4" s="175"/>
      <c r="AL4" s="175"/>
    </row>
    <row r="5" customFormat="false" ht="11.25" hidden="false" customHeight="true" outlineLevel="0" collapsed="false">
      <c r="A5" s="176"/>
      <c r="B5" s="176"/>
      <c r="C5" s="171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3"/>
      <c r="Y5" s="172"/>
      <c r="Z5" s="172"/>
      <c r="AA5" s="173"/>
      <c r="AB5" s="173"/>
      <c r="AC5" s="182"/>
      <c r="AD5" s="183"/>
      <c r="AE5" s="183"/>
      <c r="AF5" s="183"/>
      <c r="AG5" s="183"/>
      <c r="AH5" s="183"/>
      <c r="AI5" s="183"/>
      <c r="AJ5" s="175"/>
      <c r="AK5" s="175"/>
      <c r="AL5" s="175"/>
    </row>
    <row r="6" customFormat="false" ht="13.5" hidden="false" customHeight="true" outlineLevel="0" collapsed="false">
      <c r="A6" s="184"/>
      <c r="B6" s="184"/>
      <c r="C6" s="171"/>
      <c r="D6" s="185"/>
      <c r="E6" s="186" t="s">
        <v>30</v>
      </c>
      <c r="F6" s="186" t="s">
        <v>31</v>
      </c>
      <c r="G6" s="187" t="s">
        <v>32</v>
      </c>
      <c r="H6" s="187" t="s">
        <v>33</v>
      </c>
      <c r="I6" s="187" t="s">
        <v>34</v>
      </c>
      <c r="J6" s="187" t="s">
        <v>35</v>
      </c>
      <c r="K6" s="187" t="s">
        <v>36</v>
      </c>
      <c r="L6" s="187" t="s">
        <v>37</v>
      </c>
      <c r="M6" s="187" t="s">
        <v>38</v>
      </c>
      <c r="N6" s="187" t="s">
        <v>39</v>
      </c>
      <c r="O6" s="187" t="s">
        <v>40</v>
      </c>
      <c r="P6" s="187" t="s">
        <v>41</v>
      </c>
      <c r="Q6" s="187" t="s">
        <v>81</v>
      </c>
      <c r="R6" s="187" t="s">
        <v>82</v>
      </c>
      <c r="S6" s="187" t="s">
        <v>83</v>
      </c>
      <c r="T6" s="187" t="s">
        <v>84</v>
      </c>
      <c r="U6" s="187" t="s">
        <v>85</v>
      </c>
      <c r="V6" s="187" t="s">
        <v>86</v>
      </c>
      <c r="W6" s="187" t="s">
        <v>87</v>
      </c>
      <c r="X6" s="187" t="s">
        <v>88</v>
      </c>
      <c r="Y6" s="187" t="s">
        <v>89</v>
      </c>
      <c r="Z6" s="187" t="s">
        <v>90</v>
      </c>
      <c r="AA6" s="187" t="s">
        <v>91</v>
      </c>
      <c r="AB6" s="187" t="s">
        <v>92</v>
      </c>
      <c r="AC6" s="187" t="s">
        <v>93</v>
      </c>
      <c r="AD6" s="187" t="s">
        <v>94</v>
      </c>
      <c r="AE6" s="187" t="s">
        <v>95</v>
      </c>
      <c r="AF6" s="187" t="s">
        <v>96</v>
      </c>
      <c r="AG6" s="187" t="s">
        <v>97</v>
      </c>
      <c r="AH6" s="187" t="s">
        <v>98</v>
      </c>
      <c r="AI6" s="188" t="s">
        <v>99</v>
      </c>
      <c r="AJ6" s="175"/>
      <c r="AK6" s="175"/>
      <c r="AL6" s="175"/>
    </row>
    <row r="7" customFormat="false" ht="12.75" hidden="false" customHeight="false" outlineLevel="0" collapsed="false">
      <c r="A7" s="189"/>
      <c r="B7" s="189"/>
      <c r="C7" s="189"/>
      <c r="D7" s="189"/>
      <c r="E7" s="190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</row>
    <row r="8" customFormat="false" ht="12" hidden="false" customHeight="false" outlineLevel="0" collapsed="false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</row>
    <row r="9" customFormat="false" ht="12" hidden="false" customHeight="false" outlineLevel="0" collapsed="false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</row>
    <row r="10" customFormat="false" ht="39.75" hidden="false" customHeight="true" outlineLevel="0" collapsed="false">
      <c r="A10" s="189"/>
      <c r="B10" s="189"/>
      <c r="C10" s="191"/>
      <c r="D10" s="189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03" t="s">
        <v>2</v>
      </c>
      <c r="AK10" s="189"/>
      <c r="AL10" s="189"/>
    </row>
    <row r="11" customFormat="false" ht="12.75" hidden="false" customHeight="false" outlineLevel="0" collapsed="false">
      <c r="A11" s="189"/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06" t="s">
        <v>64</v>
      </c>
      <c r="AK11" s="189"/>
      <c r="AL11" s="189"/>
    </row>
    <row r="12" customFormat="false" ht="6.75" hidden="false" customHeight="true" outlineLevel="0" collapsed="false">
      <c r="A12" s="189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4"/>
      <c r="AK12" s="193"/>
      <c r="AL12" s="189"/>
    </row>
    <row r="13" customFormat="false" ht="13.5" hidden="true" customHeight="false" outlineLevel="0" collapsed="false">
      <c r="A13" s="189"/>
      <c r="B13" s="172"/>
      <c r="C13" s="195" t="s">
        <v>68</v>
      </c>
      <c r="D13" s="196" t="s">
        <v>69</v>
      </c>
      <c r="E13" s="196" t="s">
        <v>30</v>
      </c>
      <c r="F13" s="196" t="s">
        <v>31</v>
      </c>
      <c r="G13" s="196" t="s">
        <v>32</v>
      </c>
      <c r="H13" s="196" t="s">
        <v>33</v>
      </c>
      <c r="I13" s="196" t="s">
        <v>34</v>
      </c>
      <c r="J13" s="196" t="s">
        <v>35</v>
      </c>
      <c r="K13" s="196" t="s">
        <v>36</v>
      </c>
      <c r="L13" s="196" t="s">
        <v>37</v>
      </c>
      <c r="M13" s="196" t="s">
        <v>38</v>
      </c>
      <c r="N13" s="196" t="s">
        <v>39</v>
      </c>
      <c r="O13" s="196" t="s">
        <v>40</v>
      </c>
      <c r="P13" s="196" t="s">
        <v>41</v>
      </c>
      <c r="Q13" s="196" t="s">
        <v>81</v>
      </c>
      <c r="R13" s="196" t="s">
        <v>82</v>
      </c>
      <c r="S13" s="196" t="s">
        <v>83</v>
      </c>
      <c r="T13" s="196" t="s">
        <v>84</v>
      </c>
      <c r="U13" s="196" t="s">
        <v>85</v>
      </c>
      <c r="V13" s="196" t="s">
        <v>86</v>
      </c>
      <c r="W13" s="196" t="s">
        <v>87</v>
      </c>
      <c r="X13" s="196" t="s">
        <v>88</v>
      </c>
      <c r="Y13" s="196" t="s">
        <v>89</v>
      </c>
      <c r="Z13" s="196" t="s">
        <v>90</v>
      </c>
      <c r="AA13" s="196" t="s">
        <v>91</v>
      </c>
      <c r="AB13" s="196" t="s">
        <v>92</v>
      </c>
      <c r="AC13" s="196" t="s">
        <v>93</v>
      </c>
      <c r="AD13" s="196" t="s">
        <v>94</v>
      </c>
      <c r="AE13" s="196" t="s">
        <v>95</v>
      </c>
      <c r="AF13" s="196" t="s">
        <v>96</v>
      </c>
      <c r="AG13" s="196" t="s">
        <v>97</v>
      </c>
      <c r="AH13" s="196" t="s">
        <v>98</v>
      </c>
      <c r="AI13" s="196" t="s">
        <v>99</v>
      </c>
      <c r="AJ13" s="111" t="s">
        <v>70</v>
      </c>
      <c r="AK13" s="193"/>
      <c r="AL13" s="189"/>
    </row>
    <row r="14" customFormat="false" ht="19.5" hidden="false" customHeight="true" outlineLevel="0" collapsed="false">
      <c r="A14" s="189"/>
      <c r="B14" s="193"/>
      <c r="C14" s="197" t="s">
        <v>71</v>
      </c>
      <c r="D14" s="198"/>
      <c r="E14" s="114" t="n">
        <f aca="false">SUMIFS(tabela_registros[VALOR],tabela_registros[MÊS],$AE$1,tabela_registros[DIA],jantotal[[#Headers],[1]],tabela_registros[REGISTRO],DADOS!$N$3)</f>
        <v>0</v>
      </c>
      <c r="F14" s="114" t="n">
        <f aca="false">SUMIFS(tabela_registros[VALOR],tabela_registros[MÊS],$AE$1,tabela_registros[DIA],jantotal[[#Headers],[2]],tabela_registros[REGISTRO],DADOS!$N$3)</f>
        <v>0</v>
      </c>
      <c r="G14" s="114" t="n">
        <f aca="false">SUMIFS(tabela_registros[VALOR],tabela_registros[MÊS],$AE$1,tabela_registros[DIA],jantotal[[#Headers],[3]],tabela_registros[REGISTRO],DADOS!$N$3)</f>
        <v>0</v>
      </c>
      <c r="H14" s="114" t="n">
        <f aca="false">SUMIFS(tabela_registros[VALOR],tabela_registros[MÊS],$AE$1,tabela_registros[DIA],jantotal[[#Headers],[4]],tabela_registros[REGISTRO],DADOS!$N$3)</f>
        <v>0</v>
      </c>
      <c r="I14" s="114" t="n">
        <f aca="false">SUMIFS(tabela_registros[VALOR],tabela_registros[MÊS],$AE$1,tabela_registros[DIA],jantotal[[#Headers],[5]],tabela_registros[REGISTRO],DADOS!$N$3)</f>
        <v>0</v>
      </c>
      <c r="J14" s="114" t="n">
        <f aca="false">SUMIFS(tabela_registros[VALOR],tabela_registros[MÊS],$AE$1,tabela_registros[DIA],jantotal[[#Headers],[6]],tabela_registros[REGISTRO],DADOS!$N$3)</f>
        <v>0</v>
      </c>
      <c r="K14" s="114" t="n">
        <f aca="false">SUMIFS(tabela_registros[VALOR],tabela_registros[MÊS],$AE$1,tabela_registros[DIA],jantotal[[#Headers],[7]],tabela_registros[REGISTRO],DADOS!$N$3)</f>
        <v>0</v>
      </c>
      <c r="L14" s="114" t="n">
        <f aca="false">SUMIFS(tabela_registros[VALOR],tabela_registros[MÊS],$AE$1,tabela_registros[DIA],jantotal[[#Headers],[8]],tabela_registros[REGISTRO],DADOS!$N$3)</f>
        <v>0</v>
      </c>
      <c r="M14" s="114" t="n">
        <f aca="false">SUMIFS(tabela_registros[VALOR],tabela_registros[MÊS],$AE$1,tabela_registros[DIA],jantotal[[#Headers],[9]],tabela_registros[REGISTRO],DADOS!$N$3)</f>
        <v>0</v>
      </c>
      <c r="N14" s="114" t="n">
        <f aca="false">SUMIFS(tabela_registros[VALOR],tabela_registros[MÊS],$AE$1,tabela_registros[DIA],jantotal[[#Headers],[10]],tabela_registros[REGISTRO],DADOS!$N$3)</f>
        <v>0</v>
      </c>
      <c r="O14" s="114" t="n">
        <f aca="false">SUMIFS(tabela_registros[VALOR],tabela_registros[MÊS],$AE$1,tabela_registros[DIA],jantotal[[#Headers],[11]],tabela_registros[REGISTRO],DADOS!$N$3)</f>
        <v>0</v>
      </c>
      <c r="P14" s="114" t="n">
        <f aca="false">SUMIFS(tabela_registros[VALOR],tabela_registros[MÊS],$AE$1,tabela_registros[DIA],jantotal[[#Headers],[12]],tabela_registros[REGISTRO],DADOS!$N$3)</f>
        <v>0</v>
      </c>
      <c r="Q14" s="114" t="n">
        <f aca="false">SUMIFS(tabela_registros[VALOR],tabela_registros[MÊS],$AE$1,tabela_registros[DIA],jantotal[[#Headers],[13]],tabela_registros[REGISTRO],DADOS!$N$3)</f>
        <v>0</v>
      </c>
      <c r="R14" s="114" t="n">
        <f aca="false">SUMIFS(tabela_registros[VALOR],tabela_registros[MÊS],$AE$1,tabela_registros[DIA],jantotal[[#Headers],[14]],tabela_registros[REGISTRO],DADOS!$N$3)</f>
        <v>0</v>
      </c>
      <c r="S14" s="114" t="n">
        <f aca="false">SUMIFS(tabela_registros[VALOR],tabela_registros[MÊS],$AE$1,tabela_registros[DIA],jantotal[[#Headers],[15]],tabela_registros[REGISTRO],DADOS!$N$3)</f>
        <v>0</v>
      </c>
      <c r="T14" s="114" t="n">
        <f aca="false">SUMIFS(tabela_registros[VALOR],tabela_registros[MÊS],$AE$1,tabela_registros[DIA],jantotal[[#Headers],[16]],tabela_registros[REGISTRO],DADOS!$N$3)</f>
        <v>0</v>
      </c>
      <c r="U14" s="114" t="n">
        <f aca="false">SUMIFS(tabela_registros[VALOR],tabela_registros[MÊS],$AE$1,tabela_registros[DIA],jantotal[[#Headers],[17]],tabela_registros[REGISTRO],DADOS!$N$3)</f>
        <v>0</v>
      </c>
      <c r="V14" s="114" t="n">
        <f aca="false">SUMIFS(tabela_registros[VALOR],tabela_registros[MÊS],$AE$1,tabela_registros[DIA],jantotal[[#Headers],[18]],tabela_registros[REGISTRO],DADOS!$N$3)</f>
        <v>0</v>
      </c>
      <c r="W14" s="114" t="n">
        <f aca="false">SUMIFS(tabela_registros[VALOR],tabela_registros[MÊS],$AE$1,tabela_registros[DIA],jantotal[[#Headers],[19]],tabela_registros[REGISTRO],DADOS!$N$3)</f>
        <v>0</v>
      </c>
      <c r="X14" s="114" t="n">
        <f aca="false">SUMIFS(tabela_registros[VALOR],tabela_registros[MÊS],$AE$1,tabela_registros[DIA],jantotal[[#Headers],[20]],tabela_registros[REGISTRO],DADOS!$N$3)</f>
        <v>0</v>
      </c>
      <c r="Y14" s="114" t="n">
        <f aca="false">SUMIFS(tabela_registros[VALOR],tabela_registros[MÊS],$AE$1,tabela_registros[DIA],jantotal[[#Headers],[21]],tabela_registros[REGISTRO],DADOS!$N$3)</f>
        <v>0</v>
      </c>
      <c r="Z14" s="114" t="n">
        <f aca="false">SUMIFS(tabela_registros[VALOR],tabela_registros[MÊS],$AE$1,tabela_registros[DIA],jantotal[[#Headers],[22]],tabela_registros[REGISTRO],DADOS!$N$3)</f>
        <v>0</v>
      </c>
      <c r="AA14" s="114" t="n">
        <f aca="false">SUMIFS(tabela_registros[VALOR],tabela_registros[MÊS],$AE$1,tabela_registros[DIA],jantotal[[#Headers],[23]],tabela_registros[REGISTRO],DADOS!$N$3)</f>
        <v>0</v>
      </c>
      <c r="AB14" s="114" t="n">
        <f aca="false">SUMIFS(tabela_registros[VALOR],tabela_registros[MÊS],$AE$1,tabela_registros[DIA],jantotal[[#Headers],[24]],tabela_registros[REGISTRO],DADOS!$N$3)</f>
        <v>0</v>
      </c>
      <c r="AC14" s="114" t="n">
        <f aca="false">SUMIFS(tabela_registros[VALOR],tabela_registros[MÊS],$AE$1,tabela_registros[DIA],jantotal[[#Headers],[25]],tabela_registros[REGISTRO],DADOS!$N$3)</f>
        <v>0</v>
      </c>
      <c r="AD14" s="114" t="n">
        <f aca="false">SUMIFS(tabela_registros[VALOR],tabela_registros[MÊS],$AE$1,tabela_registros[DIA],jantotal[[#Headers],[26]],tabela_registros[REGISTRO],DADOS!$N$3)</f>
        <v>0</v>
      </c>
      <c r="AE14" s="114" t="n">
        <f aca="false">SUMIFS(tabela_registros[VALOR],tabela_registros[MÊS],$AE$1,tabela_registros[DIA],jantotal[[#Headers],[27]],tabela_registros[REGISTRO],DADOS!$N$3)</f>
        <v>0</v>
      </c>
      <c r="AF14" s="114" t="n">
        <f aca="false">SUMIFS(tabela_registros[VALOR],tabela_registros[MÊS],$AE$1,tabela_registros[DIA],jantotal[[#Headers],[28]],tabela_registros[REGISTRO],DADOS!$N$3)</f>
        <v>0</v>
      </c>
      <c r="AG14" s="114" t="n">
        <f aca="false">SUMIFS(tabela_registros[VALOR],tabela_registros[MÊS],$AE$1,tabela_registros[DIA],jantotal[[#Headers],[29]],tabela_registros[REGISTRO],DADOS!$N$3)</f>
        <v>0</v>
      </c>
      <c r="AH14" s="114" t="n">
        <f aca="false">SUMIFS(tabela_registros[VALOR],tabela_registros[MÊS],$AE$1,tabela_registros[DIA],jantotal[[#Headers],[30]],tabela_registros[REGISTRO],DADOS!$N$3)</f>
        <v>0</v>
      </c>
      <c r="AI14" s="115" t="n">
        <f aca="false">SUMIFS(tabela_registros[VALOR],tabela_registros[MÊS],$AE$1,tabela_registros[DIA],jantotal[[#Headers],[31]],tabela_registros[REGISTRO],DADOS!$N$3)</f>
        <v>0</v>
      </c>
      <c r="AJ14" s="116" t="n">
        <f aca="false">SUM(jantotal[[#This Row],[1]:[31]])</f>
        <v>0</v>
      </c>
      <c r="AK14" s="193"/>
      <c r="AL14" s="189"/>
    </row>
    <row r="15" customFormat="false" ht="18" hidden="false" customHeight="true" outlineLevel="0" collapsed="false">
      <c r="A15" s="189"/>
      <c r="B15" s="193"/>
      <c r="C15" s="197" t="s">
        <v>72</v>
      </c>
      <c r="D15" s="198"/>
      <c r="E15" s="119" t="n">
        <f aca="false">SUMIFS(tabela_registros[VALOR],tabela_registros[MÊS],$AE$1,tabela_registros[DIA],jantotal[[#Headers],[1]],tabela_registros[REGISTRO],DADOS!$N$4)</f>
        <v>0</v>
      </c>
      <c r="F15" s="119" t="n">
        <f aca="false">SUMIFS(tabela_registros[VALOR],tabela_registros[MÊS],$AE$1,tabela_registros[DIA],jantotal[[#Headers],[2]],tabela_registros[REGISTRO],DADOS!$N$4)</f>
        <v>0</v>
      </c>
      <c r="G15" s="119" t="n">
        <f aca="false">SUMIFS(tabela_registros[VALOR],tabela_registros[MÊS],$AE$1,tabela_registros[DIA],jantotal[[#Headers],[3]],tabela_registros[REGISTRO],DADOS!$N$4)</f>
        <v>0</v>
      </c>
      <c r="H15" s="119" t="n">
        <f aca="false">SUMIFS(tabela_registros[VALOR],tabela_registros[MÊS],$AE$1,tabela_registros[DIA],jantotal[[#Headers],[4]],tabela_registros[REGISTRO],DADOS!$N$4)</f>
        <v>0</v>
      </c>
      <c r="I15" s="119" t="n">
        <f aca="false">SUMIFS(tabela_registros[VALOR],tabela_registros[MÊS],$AE$1,tabela_registros[DIA],jantotal[[#Headers],[5]],tabela_registros[REGISTRO],DADOS!$N$4)</f>
        <v>0</v>
      </c>
      <c r="J15" s="119" t="n">
        <f aca="false">SUMIFS(tabela_registros[VALOR],tabela_registros[MÊS],$AE$1,tabela_registros[DIA],jantotal[[#Headers],[6]],tabela_registros[REGISTRO],DADOS!$N$4)</f>
        <v>0</v>
      </c>
      <c r="K15" s="119" t="n">
        <f aca="false">SUMIFS(tabela_registros[VALOR],tabela_registros[MÊS],$AE$1,tabela_registros[DIA],jantotal[[#Headers],[7]],tabela_registros[REGISTRO],DADOS!$N$4)</f>
        <v>0</v>
      </c>
      <c r="L15" s="119" t="n">
        <f aca="false">SUMIFS(tabela_registros[VALOR],tabela_registros[MÊS],$AE$1,tabela_registros[DIA],jantotal[[#Headers],[8]],tabela_registros[REGISTRO],DADOS!$N$4)</f>
        <v>0</v>
      </c>
      <c r="M15" s="119" t="n">
        <f aca="false">SUMIFS(tabela_registros[VALOR],tabela_registros[MÊS],$AE$1,tabela_registros[DIA],jantotal[[#Headers],[9]],tabela_registros[REGISTRO],DADOS!$N$4)</f>
        <v>0</v>
      </c>
      <c r="N15" s="119" t="n">
        <f aca="false">SUMIFS(tabela_registros[VALOR],tabela_registros[MÊS],$AE$1,tabela_registros[DIA],jantotal[[#Headers],[10]],tabela_registros[REGISTRO],DADOS!$N$4)</f>
        <v>0</v>
      </c>
      <c r="O15" s="119" t="n">
        <f aca="false">SUMIFS(tabela_registros[VALOR],tabela_registros[MÊS],$AE$1,tabela_registros[DIA],jantotal[[#Headers],[11]],tabela_registros[REGISTRO],DADOS!$N$4)</f>
        <v>0</v>
      </c>
      <c r="P15" s="119" t="n">
        <f aca="false">SUMIFS(tabela_registros[VALOR],tabela_registros[MÊS],$AE$1,tabela_registros[DIA],jantotal[[#Headers],[12]],tabela_registros[REGISTRO],DADOS!$N$4)</f>
        <v>0</v>
      </c>
      <c r="Q15" s="119" t="n">
        <f aca="false">SUMIFS(tabela_registros[VALOR],tabela_registros[MÊS],$AE$1,tabela_registros[DIA],jantotal[[#Headers],[13]],tabela_registros[REGISTRO],DADOS!$N$4)</f>
        <v>0</v>
      </c>
      <c r="R15" s="119" t="n">
        <f aca="false">SUMIFS(tabela_registros[VALOR],tabela_registros[MÊS],$AE$1,tabela_registros[DIA],jantotal[[#Headers],[14]],tabela_registros[REGISTRO],DADOS!$N$4)</f>
        <v>0</v>
      </c>
      <c r="S15" s="119" t="n">
        <f aca="false">SUMIFS(tabela_registros[VALOR],tabela_registros[MÊS],$AE$1,tabela_registros[DIA],jantotal[[#Headers],[15]],tabela_registros[REGISTRO],DADOS!$N$4)</f>
        <v>0</v>
      </c>
      <c r="T15" s="119" t="n">
        <f aca="false">SUMIFS(tabela_registros[VALOR],tabela_registros[MÊS],$AE$1,tabela_registros[DIA],jantotal[[#Headers],[16]],tabela_registros[REGISTRO],DADOS!$N$4)</f>
        <v>0</v>
      </c>
      <c r="U15" s="119" t="n">
        <f aca="false">SUMIFS(tabela_registros[VALOR],tabela_registros[MÊS],$AE$1,tabela_registros[DIA],jantotal[[#Headers],[17]],tabela_registros[REGISTRO],DADOS!$N$4)</f>
        <v>0</v>
      </c>
      <c r="V15" s="119" t="n">
        <f aca="false">SUMIFS(tabela_registros[VALOR],tabela_registros[MÊS],$AE$1,tabela_registros[DIA],jantotal[[#Headers],[18]],tabela_registros[REGISTRO],DADOS!$N$4)</f>
        <v>0</v>
      </c>
      <c r="W15" s="119" t="n">
        <f aca="false">SUMIFS(tabela_registros[VALOR],tabela_registros[MÊS],$AE$1,tabela_registros[DIA],jantotal[[#Headers],[19]],tabela_registros[REGISTRO],DADOS!$N$4)</f>
        <v>0</v>
      </c>
      <c r="X15" s="119" t="n">
        <f aca="false">SUMIFS(tabela_registros[VALOR],tabela_registros[MÊS],$AE$1,tabela_registros[DIA],jantotal[[#Headers],[20]],tabela_registros[REGISTRO],DADOS!$N$4)</f>
        <v>0</v>
      </c>
      <c r="Y15" s="119" t="n">
        <f aca="false">SUMIFS(tabela_registros[VALOR],tabela_registros[MÊS],$AE$1,tabela_registros[DIA],jantotal[[#Headers],[21]],tabela_registros[REGISTRO],DADOS!$N$4)</f>
        <v>0</v>
      </c>
      <c r="Z15" s="119" t="n">
        <f aca="false">SUMIFS(tabela_registros[VALOR],tabela_registros[MÊS],$AE$1,tabela_registros[DIA],jantotal[[#Headers],[22]],tabela_registros[REGISTRO],DADOS!$N$4)</f>
        <v>0</v>
      </c>
      <c r="AA15" s="119" t="n">
        <f aca="false">SUMIFS(tabela_registros[VALOR],tabela_registros[MÊS],$AE$1,tabela_registros[DIA],jantotal[[#Headers],[23]],tabela_registros[REGISTRO],DADOS!$N$4)</f>
        <v>0</v>
      </c>
      <c r="AB15" s="119" t="n">
        <f aca="false">SUMIFS(tabela_registros[VALOR],tabela_registros[MÊS],$AE$1,tabela_registros[DIA],jantotal[[#Headers],[24]],tabela_registros[REGISTRO],DADOS!$N$4)</f>
        <v>0</v>
      </c>
      <c r="AC15" s="119" t="n">
        <f aca="false">SUMIFS(tabela_registros[VALOR],tabela_registros[MÊS],$AE$1,tabela_registros[DIA],jantotal[[#Headers],[25]],tabela_registros[REGISTRO],DADOS!$N$4)</f>
        <v>0</v>
      </c>
      <c r="AD15" s="119" t="n">
        <f aca="false">SUMIFS(tabela_registros[VALOR],tabela_registros[MÊS],$AE$1,tabela_registros[DIA],jantotal[[#Headers],[26]],tabela_registros[REGISTRO],DADOS!$N$4)</f>
        <v>0</v>
      </c>
      <c r="AE15" s="119" t="n">
        <f aca="false">SUMIFS(tabela_registros[VALOR],tabela_registros[MÊS],$AE$1,tabela_registros[DIA],jantotal[[#Headers],[27]],tabela_registros[REGISTRO],DADOS!$N$4)</f>
        <v>0</v>
      </c>
      <c r="AF15" s="119" t="n">
        <f aca="false">SUMIFS(tabela_registros[VALOR],tabela_registros[MÊS],$AE$1,tabela_registros[DIA],jantotal[[#Headers],[28]],tabela_registros[REGISTRO],DADOS!$N$4)</f>
        <v>0</v>
      </c>
      <c r="AG15" s="119" t="n">
        <f aca="false">SUMIFS(tabela_registros[VALOR],tabela_registros[MÊS],$AE$1,tabela_registros[DIA],jantotal[[#Headers],[29]],tabela_registros[REGISTRO],DADOS!$N$4)</f>
        <v>0</v>
      </c>
      <c r="AH15" s="119" t="n">
        <f aca="false">SUMIFS(tabela_registros[VALOR],tabela_registros[MÊS],$AE$1,tabela_registros[DIA],jantotal[[#Headers],[30]],tabela_registros[REGISTRO],DADOS!$N$4)</f>
        <v>0</v>
      </c>
      <c r="AI15" s="120" t="n">
        <f aca="false">SUMIFS(tabela_registros[VALOR],tabela_registros[MÊS],$AE$1,tabela_registros[DIA],jantotal[[#Headers],[31]],tabela_registros[REGISTRO],DADOS!$N$4)</f>
        <v>0</v>
      </c>
      <c r="AJ15" s="121" t="n">
        <f aca="false">SUM(jantotal[[#This Row],[1]:[31]])</f>
        <v>0</v>
      </c>
      <c r="AK15" s="193"/>
      <c r="AL15" s="189"/>
    </row>
    <row r="16" s="122" customFormat="true" ht="21" hidden="false" customHeight="true" outlineLevel="0" collapsed="false">
      <c r="A16" s="199"/>
      <c r="B16" s="200"/>
      <c r="C16" s="201" t="s">
        <v>73</v>
      </c>
      <c r="D16" s="202"/>
      <c r="E16" s="127" t="n">
        <f aca="false">(E14-E15)+AI1</f>
        <v>2500</v>
      </c>
      <c r="F16" s="127" t="n">
        <f aca="false">jantotal[[#This Row],[1]]+(F14-F15)</f>
        <v>2500</v>
      </c>
      <c r="G16" s="127" t="n">
        <f aca="false">jantotal[[#This Row],[2]]+(G14-G15)</f>
        <v>2500</v>
      </c>
      <c r="H16" s="127" t="n">
        <f aca="false">jantotal[[#This Row],[3]]+(H14-H15)</f>
        <v>2500</v>
      </c>
      <c r="I16" s="127" t="n">
        <f aca="false">jantotal[[#This Row],[4]]+(I14-I15)</f>
        <v>2500</v>
      </c>
      <c r="J16" s="127" t="n">
        <f aca="false">jantotal[[#This Row],[5]]+(J14-J15)</f>
        <v>2500</v>
      </c>
      <c r="K16" s="127" t="n">
        <f aca="false">jantotal[[#This Row],[6]]+(K14-K15)</f>
        <v>2500</v>
      </c>
      <c r="L16" s="127" t="n">
        <f aca="false">jantotal[[#This Row],[7]]+(L14-L15)</f>
        <v>2500</v>
      </c>
      <c r="M16" s="127" t="n">
        <f aca="false">jantotal[[#This Row],[8]]+(M14-M15)</f>
        <v>2500</v>
      </c>
      <c r="N16" s="127" t="n">
        <f aca="false">jantotal[[#This Row],[9]]+(N14-N15)</f>
        <v>2500</v>
      </c>
      <c r="O16" s="127" t="n">
        <f aca="false">jantotal[[#This Row],[10]]+(O14-O15)</f>
        <v>2500</v>
      </c>
      <c r="P16" s="127" t="n">
        <f aca="false">jantotal[[#This Row],[11]]+(P14-P15)</f>
        <v>2500</v>
      </c>
      <c r="Q16" s="127" t="n">
        <f aca="false">jantotal[[#This Row],[12]]+(Q14-Q15)</f>
        <v>2500</v>
      </c>
      <c r="R16" s="127" t="n">
        <f aca="false">jantotal[[#This Row],[13]]+(R14-R15)</f>
        <v>2500</v>
      </c>
      <c r="S16" s="127" t="n">
        <f aca="false">jantotal[[#This Row],[14]]+(S14-S15)</f>
        <v>2500</v>
      </c>
      <c r="T16" s="127" t="n">
        <f aca="false">jantotal[[#This Row],[15]]+(T14-T15)</f>
        <v>2500</v>
      </c>
      <c r="U16" s="127" t="n">
        <f aca="false">jantotal[[#This Row],[16]]+(U14-U15)</f>
        <v>2500</v>
      </c>
      <c r="V16" s="127" t="n">
        <f aca="false">jantotal[[#This Row],[17]]+(V14-V15)</f>
        <v>2500</v>
      </c>
      <c r="W16" s="127" t="n">
        <f aca="false">jantotal[[#This Row],[18]]+(W14-W15)</f>
        <v>2500</v>
      </c>
      <c r="X16" s="127" t="n">
        <f aca="false">jantotal[[#This Row],[19]]+(X14-X15)</f>
        <v>2500</v>
      </c>
      <c r="Y16" s="127" t="n">
        <f aca="false">jantotal[[#This Row],[20]]+(Y14-Y15)</f>
        <v>2500</v>
      </c>
      <c r="Z16" s="127" t="n">
        <f aca="false">jantotal[[#This Row],[21]]+(Z14-Z15)</f>
        <v>2500</v>
      </c>
      <c r="AA16" s="127" t="n">
        <f aca="false">jantotal[[#This Row],[22]]+(AA14-AA15)</f>
        <v>2500</v>
      </c>
      <c r="AB16" s="127" t="n">
        <f aca="false">jantotal[[#This Row],[23]]+(AB14-AB15)</f>
        <v>2500</v>
      </c>
      <c r="AC16" s="127" t="n">
        <f aca="false">jantotal[[#This Row],[24]]+(AC14-AC15)</f>
        <v>2500</v>
      </c>
      <c r="AD16" s="127" t="n">
        <f aca="false">jantotal[[#This Row],[25]]+(AD14-AD15)</f>
        <v>2500</v>
      </c>
      <c r="AE16" s="127" t="n">
        <f aca="false">jantotal[[#This Row],[26]]+(AE14-AE15)</f>
        <v>2500</v>
      </c>
      <c r="AF16" s="127" t="n">
        <f aca="false">jantotal[[#This Row],[27]]+(AF14-AF15)</f>
        <v>2500</v>
      </c>
      <c r="AG16" s="127" t="n">
        <f aca="false">jantotal[[#This Row],[28]]+(AG14-AG15)</f>
        <v>2500</v>
      </c>
      <c r="AH16" s="127" t="n">
        <f aca="false">jantotal[[#This Row],[29]]+(AH14-AH15)</f>
        <v>2500</v>
      </c>
      <c r="AI16" s="128" t="n">
        <f aca="false">jantotal[[#This Row],[30]]+(AI14-AI15)</f>
        <v>2500</v>
      </c>
      <c r="AJ16" s="129" t="n">
        <f aca="false">jantotal[[#This Row],[31]]</f>
        <v>2500</v>
      </c>
      <c r="AK16" s="200"/>
      <c r="AL16" s="199"/>
    </row>
    <row r="17" customFormat="false" ht="6.75" hidden="false" customHeight="true" outlineLevel="0" collapsed="false">
      <c r="A17" s="189"/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4"/>
      <c r="AJ17" s="193"/>
      <c r="AK17" s="193"/>
      <c r="AL17" s="189"/>
    </row>
    <row r="18" customFormat="false" ht="12.75" hidden="false" customHeight="false" outlineLevel="0" collapsed="false">
      <c r="A18" s="189"/>
      <c r="B18" s="189"/>
      <c r="C18" s="203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89"/>
      <c r="AK18" s="189"/>
      <c r="AL18" s="189"/>
    </row>
    <row r="19" customFormat="false" ht="12" hidden="false" customHeight="false" outlineLevel="0" collapsed="false">
      <c r="A19" s="189"/>
      <c r="B19" s="189"/>
      <c r="C19" s="203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89"/>
      <c r="AK19" s="189"/>
      <c r="AL19" s="189"/>
    </row>
    <row r="20" customFormat="false" ht="12" hidden="false" customHeight="false" outlineLevel="0" collapsed="false">
      <c r="A20" s="203"/>
      <c r="B20" s="203"/>
      <c r="C20" s="203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89"/>
      <c r="AK20" s="189"/>
      <c r="AL20" s="189"/>
    </row>
    <row r="21" customFormat="false" ht="39.75" hidden="false" customHeight="true" outlineLevel="0" collapsed="false">
      <c r="A21" s="203"/>
      <c r="B21" s="203"/>
      <c r="C21" s="203"/>
      <c r="D21" s="189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03" t="s">
        <v>2</v>
      </c>
      <c r="AK21" s="189"/>
      <c r="AL21" s="189"/>
    </row>
    <row r="22" customFormat="false" ht="11.25" hidden="false" customHeight="true" outlineLevel="0" collapsed="false">
      <c r="A22" s="189"/>
      <c r="B22" s="189"/>
      <c r="C22" s="191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06" t="s">
        <v>64</v>
      </c>
      <c r="AK22" s="189"/>
      <c r="AL22" s="189"/>
    </row>
    <row r="23" customFormat="false" ht="6.75" hidden="false" customHeight="true" outlineLevel="0" collapsed="false">
      <c r="A23" s="189"/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4"/>
      <c r="AK23" s="193"/>
      <c r="AL23" s="189"/>
    </row>
    <row r="24" customFormat="false" ht="13.5" hidden="true" customHeight="false" outlineLevel="0" collapsed="false">
      <c r="A24" s="189"/>
      <c r="B24" s="172"/>
      <c r="C24" s="196" t="s">
        <v>68</v>
      </c>
      <c r="D24" s="193" t="s">
        <v>69</v>
      </c>
      <c r="E24" s="196" t="s">
        <v>30</v>
      </c>
      <c r="F24" s="196" t="s">
        <v>31</v>
      </c>
      <c r="G24" s="196" t="s">
        <v>32</v>
      </c>
      <c r="H24" s="196" t="s">
        <v>33</v>
      </c>
      <c r="I24" s="196" t="s">
        <v>34</v>
      </c>
      <c r="J24" s="196" t="s">
        <v>35</v>
      </c>
      <c r="K24" s="196" t="s">
        <v>36</v>
      </c>
      <c r="L24" s="196" t="s">
        <v>37</v>
      </c>
      <c r="M24" s="196" t="s">
        <v>38</v>
      </c>
      <c r="N24" s="196" t="s">
        <v>39</v>
      </c>
      <c r="O24" s="196" t="s">
        <v>40</v>
      </c>
      <c r="P24" s="196" t="s">
        <v>41</v>
      </c>
      <c r="Q24" s="196" t="s">
        <v>81</v>
      </c>
      <c r="R24" s="196" t="s">
        <v>82</v>
      </c>
      <c r="S24" s="196" t="s">
        <v>83</v>
      </c>
      <c r="T24" s="196" t="s">
        <v>84</v>
      </c>
      <c r="U24" s="196" t="s">
        <v>85</v>
      </c>
      <c r="V24" s="196" t="s">
        <v>86</v>
      </c>
      <c r="W24" s="196" t="s">
        <v>87</v>
      </c>
      <c r="X24" s="196" t="s">
        <v>88</v>
      </c>
      <c r="Y24" s="196" t="s">
        <v>89</v>
      </c>
      <c r="Z24" s="196" t="s">
        <v>90</v>
      </c>
      <c r="AA24" s="196" t="s">
        <v>91</v>
      </c>
      <c r="AB24" s="196" t="s">
        <v>92</v>
      </c>
      <c r="AC24" s="196" t="s">
        <v>93</v>
      </c>
      <c r="AD24" s="196" t="s">
        <v>94</v>
      </c>
      <c r="AE24" s="196" t="s">
        <v>95</v>
      </c>
      <c r="AF24" s="196" t="s">
        <v>96</v>
      </c>
      <c r="AG24" s="196" t="s">
        <v>97</v>
      </c>
      <c r="AH24" s="196" t="s">
        <v>98</v>
      </c>
      <c r="AI24" s="196" t="s">
        <v>99</v>
      </c>
      <c r="AJ24" s="111" t="s">
        <v>70</v>
      </c>
      <c r="AK24" s="193"/>
      <c r="AL24" s="189"/>
    </row>
    <row r="25" customFormat="false" ht="19.5" hidden="false" customHeight="true" outlineLevel="0" collapsed="false">
      <c r="A25" s="189"/>
      <c r="B25" s="193"/>
      <c r="C25" s="197" t="s">
        <v>15</v>
      </c>
      <c r="D25" s="198"/>
      <c r="E25" s="114" t="n">
        <f aca="false">SUMIFS(tabela_registros[VALOR],tabela_registros[MÊS],$AE$1,tabela_registros[DIA],jantotal[[#Headers],[1]],tabela_registros[REGISTRO],DADOS!$N$5)</f>
        <v>0</v>
      </c>
      <c r="F25" s="114" t="n">
        <f aca="false">SUMIFS(tabela_registros[VALOR],tabela_registros[MÊS],$AE$1,tabela_registros[DIA],jantotal[[#Headers],[2]],tabela_registros[REGISTRO],DADOS!$N$5)</f>
        <v>0</v>
      </c>
      <c r="G25" s="114" t="n">
        <f aca="false">SUMIFS(tabela_registros[VALOR],tabela_registros[MÊS],$AE$1,tabela_registros[DIA],jantotal[[#Headers],[3]],tabela_registros[REGISTRO],DADOS!$N$5)</f>
        <v>0</v>
      </c>
      <c r="H25" s="114" t="n">
        <f aca="false">SUMIFS(tabela_registros[VALOR],tabela_registros[MÊS],$AE$1,tabela_registros[DIA],jantotal[[#Headers],[4]],tabela_registros[REGISTRO],DADOS!$N$5)</f>
        <v>0</v>
      </c>
      <c r="I25" s="114" t="n">
        <f aca="false">SUMIFS(tabela_registros[VALOR],tabela_registros[MÊS],$AE$1,tabela_registros[DIA],jantotal[[#Headers],[5]],tabela_registros[REGISTRO],DADOS!$N$5)</f>
        <v>0</v>
      </c>
      <c r="J25" s="114" t="n">
        <f aca="false">SUMIFS(tabela_registros[VALOR],tabela_registros[MÊS],$AE$1,tabela_registros[DIA],jantotal[[#Headers],[6]],tabela_registros[REGISTRO],DADOS!$N$5)</f>
        <v>0</v>
      </c>
      <c r="K25" s="114" t="n">
        <f aca="false">SUMIFS(tabela_registros[VALOR],tabela_registros[MÊS],$AE$1,tabela_registros[DIA],jantotal[[#Headers],[7]],tabela_registros[REGISTRO],DADOS!$N$5)</f>
        <v>0</v>
      </c>
      <c r="L25" s="114" t="n">
        <f aca="false">SUMIFS(tabela_registros[VALOR],tabela_registros[MÊS],$AE$1,tabela_registros[DIA],jantotal[[#Headers],[8]],tabela_registros[REGISTRO],DADOS!$N$5)</f>
        <v>0</v>
      </c>
      <c r="M25" s="114" t="n">
        <f aca="false">SUMIFS(tabela_registros[VALOR],tabela_registros[MÊS],$AE$1,tabela_registros[DIA],jantotal[[#Headers],[9]],tabela_registros[REGISTRO],DADOS!$N$5)</f>
        <v>0</v>
      </c>
      <c r="N25" s="114" t="n">
        <f aca="false">SUMIFS(tabela_registros[VALOR],tabela_registros[MÊS],$AE$1,tabela_registros[DIA],jantotal[[#Headers],[10]],tabela_registros[REGISTRO],DADOS!$N$5)</f>
        <v>0</v>
      </c>
      <c r="O25" s="114" t="n">
        <f aca="false">SUMIFS(tabela_registros[VALOR],tabela_registros[MÊS],$AE$1,tabela_registros[DIA],jantotal[[#Headers],[11]],tabela_registros[REGISTRO],DADOS!$N$5)</f>
        <v>0</v>
      </c>
      <c r="P25" s="114" t="n">
        <f aca="false">SUMIFS(tabela_registros[VALOR],tabela_registros[MÊS],$AE$1,tabela_registros[DIA],jantotal[[#Headers],[12]],tabela_registros[REGISTRO],DADOS!$N$5)</f>
        <v>0</v>
      </c>
      <c r="Q25" s="114" t="n">
        <f aca="false">SUMIFS(tabela_registros[VALOR],tabela_registros[MÊS],$AE$1,tabela_registros[DIA],jantotal[[#Headers],[13]],tabela_registros[REGISTRO],DADOS!$N$5)</f>
        <v>0</v>
      </c>
      <c r="R25" s="114" t="n">
        <f aca="false">SUMIFS(tabela_registros[VALOR],tabela_registros[MÊS],$AE$1,tabela_registros[DIA],jantotal[[#Headers],[14]],tabela_registros[REGISTRO],DADOS!$N$5)</f>
        <v>0</v>
      </c>
      <c r="S25" s="114" t="n">
        <f aca="false">SUMIFS(tabela_registros[VALOR],tabela_registros[MÊS],$AE$1,tabela_registros[DIA],jantotal[[#Headers],[15]],tabela_registros[REGISTRO],DADOS!$N$5)</f>
        <v>0</v>
      </c>
      <c r="T25" s="114" t="n">
        <f aca="false">SUMIFS(tabela_registros[VALOR],tabela_registros[MÊS],$AE$1,tabela_registros[DIA],jantotal[[#Headers],[16]],tabela_registros[REGISTRO],DADOS!$N$5)</f>
        <v>0</v>
      </c>
      <c r="U25" s="114" t="n">
        <f aca="false">SUMIFS(tabela_registros[VALOR],tabela_registros[MÊS],$AE$1,tabela_registros[DIA],jantotal[[#Headers],[17]],tabela_registros[REGISTRO],DADOS!$N$5)</f>
        <v>0</v>
      </c>
      <c r="V25" s="114" t="n">
        <f aca="false">SUMIFS(tabela_registros[VALOR],tabela_registros[MÊS],$AE$1,tabela_registros[DIA],jantotal[[#Headers],[18]],tabela_registros[REGISTRO],DADOS!$N$5)</f>
        <v>0</v>
      </c>
      <c r="W25" s="114" t="n">
        <f aca="false">SUMIFS(tabela_registros[VALOR],tabela_registros[MÊS],$AE$1,tabela_registros[DIA],jantotal[[#Headers],[19]],tabela_registros[REGISTRO],DADOS!$N$5)</f>
        <v>0</v>
      </c>
      <c r="X25" s="114" t="n">
        <f aca="false">SUMIFS(tabela_registros[VALOR],tabela_registros[MÊS],$AE$1,tabela_registros[DIA],jantotal[[#Headers],[20]],tabela_registros[REGISTRO],DADOS!$N$5)</f>
        <v>0</v>
      </c>
      <c r="Y25" s="114" t="n">
        <f aca="false">SUMIFS(tabela_registros[VALOR],tabela_registros[MÊS],$AE$1,tabela_registros[DIA],jantotal[[#Headers],[21]],tabela_registros[REGISTRO],DADOS!$N$5)</f>
        <v>0</v>
      </c>
      <c r="Z25" s="114" t="n">
        <f aca="false">SUMIFS(tabela_registros[VALOR],tabela_registros[MÊS],$AE$1,tabela_registros[DIA],jantotal[[#Headers],[22]],tabela_registros[REGISTRO],DADOS!$N$5)</f>
        <v>0</v>
      </c>
      <c r="AA25" s="114" t="n">
        <f aca="false">SUMIFS(tabela_registros[VALOR],tabela_registros[MÊS],$AE$1,tabela_registros[DIA],jantotal[[#Headers],[23]],tabela_registros[REGISTRO],DADOS!$N$5)</f>
        <v>0</v>
      </c>
      <c r="AB25" s="114" t="n">
        <f aca="false">SUMIFS(tabela_registros[VALOR],tabela_registros[MÊS],$AE$1,tabela_registros[DIA],jantotal[[#Headers],[24]],tabela_registros[REGISTRO],DADOS!$N$5)</f>
        <v>0</v>
      </c>
      <c r="AC25" s="114" t="n">
        <f aca="false">SUMIFS(tabela_registros[VALOR],tabela_registros[MÊS],$AE$1,tabela_registros[DIA],jantotal[[#Headers],[25]],tabela_registros[REGISTRO],DADOS!$N$5)</f>
        <v>0</v>
      </c>
      <c r="AD25" s="114" t="n">
        <f aca="false">SUMIFS(tabela_registros[VALOR],tabela_registros[MÊS],$AE$1,tabela_registros[DIA],jantotal[[#Headers],[26]],tabela_registros[REGISTRO],DADOS!$N$5)</f>
        <v>0</v>
      </c>
      <c r="AE25" s="114" t="n">
        <f aca="false">SUMIFS(tabela_registros[VALOR],tabela_registros[MÊS],$AE$1,tabela_registros[DIA],jantotal[[#Headers],[27]],tabela_registros[REGISTRO],DADOS!$N$5)</f>
        <v>0</v>
      </c>
      <c r="AF25" s="114" t="n">
        <f aca="false">SUMIFS(tabela_registros[VALOR],tabela_registros[MÊS],$AE$1,tabela_registros[DIA],jantotal[[#Headers],[28]],tabela_registros[REGISTRO],DADOS!$N$5)</f>
        <v>0</v>
      </c>
      <c r="AG25" s="114" t="n">
        <f aca="false">SUMIFS(tabela_registros[VALOR],tabela_registros[MÊS],$AE$1,tabela_registros[DIA],jantotal[[#Headers],[29]],tabela_registros[REGISTRO],DADOS!$N$5)</f>
        <v>0</v>
      </c>
      <c r="AH25" s="114" t="n">
        <f aca="false">SUMIFS(tabela_registros[VALOR],tabela_registros[MÊS],$AE$1,tabela_registros[DIA],jantotal[[#Headers],[30]],tabela_registros[REGISTRO],DADOS!$N$5)</f>
        <v>0</v>
      </c>
      <c r="AI25" s="115" t="n">
        <f aca="false">SUMIFS(tabela_registros[VALOR],tabela_registros[MÊS],$AE$1,tabela_registros[DIA],jantotal[[#Headers],[31]],tabela_registros[REGISTRO],DADOS!$N$5)</f>
        <v>0</v>
      </c>
      <c r="AJ25" s="116" t="n">
        <f aca="false">SUM(E25:AI25)</f>
        <v>0</v>
      </c>
      <c r="AK25" s="193"/>
      <c r="AL25" s="189"/>
    </row>
    <row r="26" customFormat="false" ht="18" hidden="false" customHeight="true" outlineLevel="0" collapsed="false">
      <c r="A26" s="189"/>
      <c r="B26" s="193"/>
      <c r="C26" s="204" t="s">
        <v>14</v>
      </c>
      <c r="D26" s="205"/>
      <c r="E26" s="119" t="n">
        <f aca="false">SUMIFS(tabela_registros[VALOR],tabela_registros[MÊS],$AE$1,tabela_registros[DIA],jantotal[[#Headers],[1]],tabela_registros[REGISTRO],DADOS!$N$6)</f>
        <v>0</v>
      </c>
      <c r="F26" s="119" t="n">
        <f aca="false">SUMIFS(tabela_registros[VALOR],tabela_registros[MÊS],$AE$1,tabela_registros[DIA],jantotal[[#Headers],[2]],tabela_registros[REGISTRO],DADOS!$N$6)</f>
        <v>0</v>
      </c>
      <c r="G26" s="119" t="n">
        <f aca="false">SUMIFS(tabela_registros[VALOR],tabela_registros[MÊS],$AE$1,tabela_registros[DIA],jantotal[[#Headers],[3]],tabela_registros[REGISTRO],DADOS!$N$6)</f>
        <v>0</v>
      </c>
      <c r="H26" s="119" t="n">
        <f aca="false">SUMIFS(tabela_registros[VALOR],tabela_registros[MÊS],$AE$1,tabela_registros[DIA],jantotal[[#Headers],[4]],tabela_registros[REGISTRO],DADOS!$N$6)</f>
        <v>0</v>
      </c>
      <c r="I26" s="119" t="n">
        <f aca="false">SUMIFS(tabela_registros[VALOR],tabela_registros[MÊS],$AE$1,tabela_registros[DIA],jantotal[[#Headers],[5]],tabela_registros[REGISTRO],DADOS!$N$6)</f>
        <v>0</v>
      </c>
      <c r="J26" s="119" t="n">
        <f aca="false">SUMIFS(tabela_registros[VALOR],tabela_registros[MÊS],$AE$1,tabela_registros[DIA],jantotal[[#Headers],[6]],tabela_registros[REGISTRO],DADOS!$N$6)</f>
        <v>0</v>
      </c>
      <c r="K26" s="119" t="n">
        <f aca="false">SUMIFS(tabela_registros[VALOR],tabela_registros[MÊS],$AE$1,tabela_registros[DIA],jantotal[[#Headers],[7]],tabela_registros[REGISTRO],DADOS!$N$6)</f>
        <v>0</v>
      </c>
      <c r="L26" s="119" t="n">
        <f aca="false">SUMIFS(tabela_registros[VALOR],tabela_registros[MÊS],$AE$1,tabela_registros[DIA],jantotal[[#Headers],[8]],tabela_registros[REGISTRO],DADOS!$N$6)</f>
        <v>0</v>
      </c>
      <c r="M26" s="119" t="n">
        <f aca="false">SUMIFS(tabela_registros[VALOR],tabela_registros[MÊS],$AE$1,tabela_registros[DIA],jantotal[[#Headers],[9]],tabela_registros[REGISTRO],DADOS!$N$6)</f>
        <v>0</v>
      </c>
      <c r="N26" s="119" t="n">
        <f aca="false">SUMIFS(tabela_registros[VALOR],tabela_registros[MÊS],$AE$1,tabela_registros[DIA],jantotal[[#Headers],[10]],tabela_registros[REGISTRO],DADOS!$N$6)</f>
        <v>0</v>
      </c>
      <c r="O26" s="119" t="n">
        <f aca="false">SUMIFS(tabela_registros[VALOR],tabela_registros[MÊS],$AE$1,tabela_registros[DIA],jantotal[[#Headers],[11]],tabela_registros[REGISTRO],DADOS!$N$6)</f>
        <v>0</v>
      </c>
      <c r="P26" s="119" t="n">
        <f aca="false">SUMIFS(tabela_registros[VALOR],tabela_registros[MÊS],$AE$1,tabela_registros[DIA],jantotal[[#Headers],[12]],tabela_registros[REGISTRO],DADOS!$N$6)</f>
        <v>0</v>
      </c>
      <c r="Q26" s="119" t="n">
        <f aca="false">SUMIFS(tabela_registros[VALOR],tabela_registros[MÊS],$AE$1,tabela_registros[DIA],jantotal[[#Headers],[13]],tabela_registros[REGISTRO],DADOS!$N$6)</f>
        <v>0</v>
      </c>
      <c r="R26" s="119" t="n">
        <f aca="false">SUMIFS(tabela_registros[VALOR],tabela_registros[MÊS],$AE$1,tabela_registros[DIA],jantotal[[#Headers],[14]],tabela_registros[REGISTRO],DADOS!$N$6)</f>
        <v>0</v>
      </c>
      <c r="S26" s="119" t="n">
        <f aca="false">SUMIFS(tabela_registros[VALOR],tabela_registros[MÊS],$AE$1,tabela_registros[DIA],jantotal[[#Headers],[15]],tabela_registros[REGISTRO],DADOS!$N$6)</f>
        <v>0</v>
      </c>
      <c r="T26" s="119" t="n">
        <f aca="false">SUMIFS(tabela_registros[VALOR],tabela_registros[MÊS],$AE$1,tabela_registros[DIA],jantotal[[#Headers],[16]],tabela_registros[REGISTRO],DADOS!$N$6)</f>
        <v>0</v>
      </c>
      <c r="U26" s="119" t="n">
        <f aca="false">SUMIFS(tabela_registros[VALOR],tabela_registros[MÊS],$AE$1,tabela_registros[DIA],jantotal[[#Headers],[17]],tabela_registros[REGISTRO],DADOS!$N$6)</f>
        <v>0</v>
      </c>
      <c r="V26" s="119" t="n">
        <f aca="false">SUMIFS(tabela_registros[VALOR],tabela_registros[MÊS],$AE$1,tabela_registros[DIA],jantotal[[#Headers],[18]],tabela_registros[REGISTRO],DADOS!$N$6)</f>
        <v>0</v>
      </c>
      <c r="W26" s="119" t="n">
        <f aca="false">SUMIFS(tabela_registros[VALOR],tabela_registros[MÊS],$AE$1,tabela_registros[DIA],jantotal[[#Headers],[19]],tabela_registros[REGISTRO],DADOS!$N$6)</f>
        <v>0</v>
      </c>
      <c r="X26" s="119" t="n">
        <f aca="false">SUMIFS(tabela_registros[VALOR],tabela_registros[MÊS],$AE$1,tabela_registros[DIA],jantotal[[#Headers],[20]],tabela_registros[REGISTRO],DADOS!$N$6)</f>
        <v>0</v>
      </c>
      <c r="Y26" s="119" t="n">
        <f aca="false">SUMIFS(tabela_registros[VALOR],tabela_registros[MÊS],$AE$1,tabela_registros[DIA],jantotal[[#Headers],[21]],tabela_registros[REGISTRO],DADOS!$N$6)</f>
        <v>0</v>
      </c>
      <c r="Z26" s="119" t="n">
        <f aca="false">SUMIFS(tabela_registros[VALOR],tabela_registros[MÊS],$AE$1,tabela_registros[DIA],jantotal[[#Headers],[22]],tabela_registros[REGISTRO],DADOS!$N$6)</f>
        <v>0</v>
      </c>
      <c r="AA26" s="119" t="n">
        <f aca="false">SUMIFS(tabela_registros[VALOR],tabela_registros[MÊS],$AE$1,tabela_registros[DIA],jantotal[[#Headers],[23]],tabela_registros[REGISTRO],DADOS!$N$6)</f>
        <v>0</v>
      </c>
      <c r="AB26" s="119" t="n">
        <f aca="false">SUMIFS(tabela_registros[VALOR],tabela_registros[MÊS],$AE$1,tabela_registros[DIA],jantotal[[#Headers],[24]],tabela_registros[REGISTRO],DADOS!$N$6)</f>
        <v>0</v>
      </c>
      <c r="AC26" s="119" t="n">
        <f aca="false">SUMIFS(tabela_registros[VALOR],tabela_registros[MÊS],$AE$1,tabela_registros[DIA],jantotal[[#Headers],[25]],tabela_registros[REGISTRO],DADOS!$N$6)</f>
        <v>0</v>
      </c>
      <c r="AD26" s="119" t="n">
        <f aca="false">SUMIFS(tabela_registros[VALOR],tabela_registros[MÊS],$AE$1,tabela_registros[DIA],jantotal[[#Headers],[26]],tabela_registros[REGISTRO],DADOS!$N$6)</f>
        <v>0</v>
      </c>
      <c r="AE26" s="119" t="n">
        <f aca="false">SUMIFS(tabela_registros[VALOR],tabela_registros[MÊS],$AE$1,tabela_registros[DIA],jantotal[[#Headers],[27]],tabela_registros[REGISTRO],DADOS!$N$6)</f>
        <v>0</v>
      </c>
      <c r="AF26" s="119" t="n">
        <f aca="false">SUMIFS(tabela_registros[VALOR],tabela_registros[MÊS],$AE$1,tabela_registros[DIA],jantotal[[#Headers],[28]],tabela_registros[REGISTRO],DADOS!$N$6)</f>
        <v>0</v>
      </c>
      <c r="AG26" s="119" t="n">
        <f aca="false">SUMIFS(tabela_registros[VALOR],tabela_registros[MÊS],$AE$1,tabela_registros[DIA],jantotal[[#Headers],[29]],tabela_registros[REGISTRO],DADOS!$N$6)</f>
        <v>0</v>
      </c>
      <c r="AH26" s="119" t="n">
        <f aca="false">SUMIFS(tabela_registros[VALOR],tabela_registros[MÊS],$AE$1,tabela_registros[DIA],jantotal[[#Headers],[30]],tabela_registros[REGISTRO],DADOS!$N$6)</f>
        <v>0</v>
      </c>
      <c r="AI26" s="120" t="n">
        <f aca="false">SUMIFS(tabela_registros[VALOR],tabela_registros[MÊS],$AE$1,tabela_registros[DIA],jantotal[[#Headers],[31]],tabela_registros[REGISTRO],DADOS!$N$6)</f>
        <v>0</v>
      </c>
      <c r="AJ26" s="121" t="n">
        <f aca="false">SUM(E26:AI26)</f>
        <v>0</v>
      </c>
      <c r="AK26" s="193"/>
      <c r="AL26" s="189"/>
    </row>
    <row r="27" s="122" customFormat="true" ht="21" hidden="false" customHeight="true" outlineLevel="0" collapsed="false">
      <c r="A27" s="199"/>
      <c r="B27" s="200"/>
      <c r="C27" s="201" t="s">
        <v>2</v>
      </c>
      <c r="D27" s="206"/>
      <c r="E27" s="126" t="n">
        <f aca="false">SUM(E25:E26)</f>
        <v>0</v>
      </c>
      <c r="F27" s="127" t="n">
        <f aca="false">SUM(F25:F26)+janinvestir[[#This Row],[1]]</f>
        <v>0</v>
      </c>
      <c r="G27" s="127" t="n">
        <f aca="false">SUM(G25:G26)+janinvestir[[#This Row],[2]]</f>
        <v>0</v>
      </c>
      <c r="H27" s="127" t="n">
        <f aca="false">SUM(H25:H26)+janinvestir[[#This Row],[3]]</f>
        <v>0</v>
      </c>
      <c r="I27" s="127" t="n">
        <f aca="false">SUM(I25:I26)+janinvestir[[#This Row],[4]]</f>
        <v>0</v>
      </c>
      <c r="J27" s="127" t="n">
        <f aca="false">SUM(J25:J26)+janinvestir[[#This Row],[5]]</f>
        <v>0</v>
      </c>
      <c r="K27" s="127" t="n">
        <f aca="false">SUM(K25:K26)+janinvestir[[#This Row],[6]]</f>
        <v>0</v>
      </c>
      <c r="L27" s="127" t="n">
        <f aca="false">SUM(L25:L26)+janinvestir[[#This Row],[7]]</f>
        <v>0</v>
      </c>
      <c r="M27" s="127" t="n">
        <f aca="false">SUM(M25:M26)+janinvestir[[#This Row],[8]]</f>
        <v>0</v>
      </c>
      <c r="N27" s="127" t="n">
        <f aca="false">SUM(N25:N26)+janinvestir[[#This Row],[9]]</f>
        <v>0</v>
      </c>
      <c r="O27" s="127" t="n">
        <f aca="false">SUM(O25:O26)+janinvestir[[#This Row],[10]]</f>
        <v>0</v>
      </c>
      <c r="P27" s="127" t="n">
        <f aca="false">SUM(P25:P26)+janinvestir[[#This Row],[11]]</f>
        <v>0</v>
      </c>
      <c r="Q27" s="127" t="n">
        <f aca="false">SUM(Q25:Q26)+janinvestir[[#This Row],[12]]</f>
        <v>0</v>
      </c>
      <c r="R27" s="127" t="n">
        <f aca="false">SUM(R25:R26)+janinvestir[[#This Row],[13]]</f>
        <v>0</v>
      </c>
      <c r="S27" s="127" t="n">
        <f aca="false">SUM(S25:S26)+janinvestir[[#This Row],[14]]</f>
        <v>0</v>
      </c>
      <c r="T27" s="127" t="n">
        <f aca="false">SUM(T25:T26)+janinvestir[[#This Row],[15]]</f>
        <v>0</v>
      </c>
      <c r="U27" s="127" t="n">
        <f aca="false">SUM(U25:U26)+janinvestir[[#This Row],[16]]</f>
        <v>0</v>
      </c>
      <c r="V27" s="127" t="n">
        <f aca="false">SUM(V25:V26)+janinvestir[[#This Row],[17]]</f>
        <v>0</v>
      </c>
      <c r="W27" s="127" t="n">
        <f aca="false">SUM(W25:W26)+janinvestir[[#This Row],[18]]</f>
        <v>0</v>
      </c>
      <c r="X27" s="127" t="n">
        <f aca="false">SUM(X25:X26)+janinvestir[[#This Row],[19]]</f>
        <v>0</v>
      </c>
      <c r="Y27" s="127" t="n">
        <f aca="false">SUM(Y25:Y26)+janinvestir[[#This Row],[20]]</f>
        <v>0</v>
      </c>
      <c r="Z27" s="127" t="n">
        <f aca="false">SUM(Z25:Z26)+janinvestir[[#This Row],[21]]</f>
        <v>0</v>
      </c>
      <c r="AA27" s="127" t="n">
        <f aca="false">SUM(AA25:AA26)+janinvestir[[#This Row],[22]]</f>
        <v>0</v>
      </c>
      <c r="AB27" s="127" t="n">
        <f aca="false">SUM(AB25:AB26)+janinvestir[[#This Row],[23]]</f>
        <v>0</v>
      </c>
      <c r="AC27" s="127" t="n">
        <f aca="false">SUM(AC25:AC26)+janinvestir[[#This Row],[24]]</f>
        <v>0</v>
      </c>
      <c r="AD27" s="127" t="n">
        <f aca="false">SUM(AD25:AD26)+janinvestir[[#This Row],[25]]</f>
        <v>0</v>
      </c>
      <c r="AE27" s="127" t="n">
        <f aca="false">SUM(AE25:AE26)+janinvestir[[#This Row],[26]]</f>
        <v>0</v>
      </c>
      <c r="AF27" s="127" t="n">
        <f aca="false">SUM(AF25:AF26)+janinvestir[[#This Row],[27]]</f>
        <v>0</v>
      </c>
      <c r="AG27" s="127" t="n">
        <f aca="false">SUM(AG25:AG26)+janinvestir[[#This Row],[28]]</f>
        <v>0</v>
      </c>
      <c r="AH27" s="127" t="n">
        <f aca="false">SUM(AH25:AH26)+janinvestir[[#This Row],[29]]</f>
        <v>0</v>
      </c>
      <c r="AI27" s="128" t="n">
        <f aca="false">SUM(AI25:AI26)+janinvestir[[#This Row],[30]]</f>
        <v>0</v>
      </c>
      <c r="AJ27" s="129" t="n">
        <f aca="false">janinvestir[[#This Row],[31]]</f>
        <v>0</v>
      </c>
      <c r="AK27" s="200"/>
      <c r="AL27" s="199"/>
    </row>
    <row r="28" customFormat="false" ht="6.75" hidden="true" customHeight="true" outlineLevel="0" collapsed="false">
      <c r="A28" s="189"/>
      <c r="B28" s="193"/>
      <c r="C28" s="207" t="s">
        <v>73</v>
      </c>
      <c r="D28" s="207"/>
      <c r="E28" s="208" t="n">
        <f aca="false">SUBTOTAL(109,janinvestir[1])</f>
        <v>0</v>
      </c>
      <c r="F28" s="208" t="n">
        <f aca="false">SUBTOTAL(109,janinvestir[2])</f>
        <v>0</v>
      </c>
      <c r="G28" s="208" t="n">
        <f aca="false">SUBTOTAL(109,janinvestir[3])</f>
        <v>0</v>
      </c>
      <c r="H28" s="208" t="n">
        <f aca="false">SUBTOTAL(109,janinvestir[4])</f>
        <v>0</v>
      </c>
      <c r="I28" s="208" t="n">
        <f aca="false">SUBTOTAL(109,janinvestir[5])</f>
        <v>0</v>
      </c>
      <c r="J28" s="208" t="n">
        <f aca="false">SUBTOTAL(109,janinvestir[6])</f>
        <v>0</v>
      </c>
      <c r="K28" s="208" t="n">
        <f aca="false">SUBTOTAL(109,janinvestir[7])</f>
        <v>0</v>
      </c>
      <c r="L28" s="208" t="n">
        <f aca="false">SUBTOTAL(109,janinvestir[8])</f>
        <v>0</v>
      </c>
      <c r="M28" s="208" t="n">
        <f aca="false">SUBTOTAL(109,janinvestir[9])</f>
        <v>0</v>
      </c>
      <c r="N28" s="208" t="n">
        <f aca="false">SUBTOTAL(109,janinvestir[10])</f>
        <v>0</v>
      </c>
      <c r="O28" s="208" t="n">
        <f aca="false">SUBTOTAL(109,janinvestir[11])</f>
        <v>0</v>
      </c>
      <c r="P28" s="208" t="n">
        <f aca="false">SUBTOTAL(109,janinvestir[12])</f>
        <v>0</v>
      </c>
      <c r="Q28" s="208" t="n">
        <f aca="false">SUBTOTAL(109,janinvestir[13])</f>
        <v>0</v>
      </c>
      <c r="R28" s="208" t="n">
        <f aca="false">SUBTOTAL(109,janinvestir[14])</f>
        <v>0</v>
      </c>
      <c r="S28" s="208" t="n">
        <f aca="false">SUBTOTAL(109,janinvestir[15])</f>
        <v>0</v>
      </c>
      <c r="T28" s="208" t="n">
        <f aca="false">SUBTOTAL(109,janinvestir[16])</f>
        <v>0</v>
      </c>
      <c r="U28" s="208" t="n">
        <f aca="false">SUBTOTAL(109,janinvestir[17])</f>
        <v>0</v>
      </c>
      <c r="V28" s="208" t="n">
        <f aca="false">SUBTOTAL(109,janinvestir[18])</f>
        <v>0</v>
      </c>
      <c r="W28" s="208" t="n">
        <f aca="false">SUBTOTAL(109,janinvestir[19])</f>
        <v>0</v>
      </c>
      <c r="X28" s="208" t="n">
        <f aca="false">SUBTOTAL(109,janinvestir[20])</f>
        <v>0</v>
      </c>
      <c r="Y28" s="208" t="n">
        <f aca="false">SUBTOTAL(109,janinvestir[21])</f>
        <v>0</v>
      </c>
      <c r="Z28" s="208" t="n">
        <f aca="false">SUBTOTAL(109,janinvestir[22])</f>
        <v>0</v>
      </c>
      <c r="AA28" s="208" t="n">
        <f aca="false">SUBTOTAL(109,janinvestir[23])</f>
        <v>0</v>
      </c>
      <c r="AB28" s="208" t="n">
        <f aca="false">SUBTOTAL(109,janinvestir[24])</f>
        <v>0</v>
      </c>
      <c r="AC28" s="208" t="n">
        <f aca="false">SUBTOTAL(109,janinvestir[25])</f>
        <v>0</v>
      </c>
      <c r="AD28" s="208" t="n">
        <f aca="false">SUBTOTAL(109,janinvestir[26])</f>
        <v>0</v>
      </c>
      <c r="AE28" s="208" t="n">
        <f aca="false">SUBTOTAL(109,janinvestir[27])</f>
        <v>0</v>
      </c>
      <c r="AF28" s="208" t="n">
        <f aca="false">SUBTOTAL(109,janinvestir[28])</f>
        <v>0</v>
      </c>
      <c r="AG28" s="208" t="n">
        <f aca="false">SUBTOTAL(109,janinvestir[29])</f>
        <v>0</v>
      </c>
      <c r="AH28" s="208" t="n">
        <f aca="false">SUBTOTAL(109,janinvestir[30])</f>
        <v>0</v>
      </c>
      <c r="AI28" s="208" t="n">
        <f aca="false">SUBTOTAL(109,janinvestir[31])</f>
        <v>0</v>
      </c>
      <c r="AJ28" s="208" t="n">
        <f aca="false">SUBTOTAL(109,janinvestir[TOTAL (R$)])</f>
        <v>0</v>
      </c>
      <c r="AK28" s="193"/>
      <c r="AL28" s="189"/>
    </row>
    <row r="29" customFormat="false" ht="6.75" hidden="false" customHeight="true" outlineLevel="0" collapsed="false">
      <c r="A29" s="189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4"/>
      <c r="AJ29" s="193"/>
      <c r="AK29" s="193"/>
      <c r="AL29" s="189"/>
    </row>
    <row r="30" customFormat="false" ht="12.75" hidden="false" customHeight="false" outlineLevel="0" collapsed="false">
      <c r="A30" s="189"/>
      <c r="B30" s="189"/>
      <c r="C30" s="203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89"/>
      <c r="AK30" s="189"/>
      <c r="AL30" s="189"/>
    </row>
    <row r="31" customFormat="false" ht="12" hidden="false" customHeight="false" outlineLevel="0" collapsed="false">
      <c r="A31" s="189"/>
      <c r="B31" s="189"/>
      <c r="C31" s="203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89"/>
      <c r="AK31" s="189"/>
      <c r="AL31" s="189"/>
    </row>
    <row r="32" customFormat="false" ht="12" hidden="false" customHeight="false" outlineLevel="0" collapsed="false">
      <c r="A32" s="189"/>
      <c r="B32" s="189"/>
      <c r="C32" s="203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89"/>
      <c r="AK32" s="189"/>
      <c r="AL32" s="189"/>
    </row>
    <row r="33" customFormat="false" ht="39.75" hidden="false" customHeight="true" outlineLevel="0" collapsed="false">
      <c r="A33" s="189"/>
      <c r="B33" s="189"/>
      <c r="C33" s="203"/>
      <c r="D33" s="189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03" t="s">
        <v>2</v>
      </c>
      <c r="AK33" s="189"/>
      <c r="AL33" s="189"/>
    </row>
    <row r="34" customFormat="false" ht="11.25" hidden="false" customHeight="true" outlineLevel="0" collapsed="false">
      <c r="A34" s="189"/>
      <c r="B34" s="189"/>
      <c r="C34" s="191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06" t="s">
        <v>64</v>
      </c>
      <c r="AK34" s="189"/>
      <c r="AL34" s="189"/>
    </row>
    <row r="35" customFormat="false" ht="6.75" hidden="false" customHeight="true" outlineLevel="0" collapsed="false">
      <c r="A35" s="189"/>
      <c r="B35" s="209"/>
      <c r="C35" s="210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2"/>
      <c r="AK35" s="209"/>
      <c r="AL35" s="189"/>
    </row>
    <row r="36" customFormat="false" ht="12.75" hidden="true" customHeight="false" outlineLevel="0" collapsed="false">
      <c r="A36" s="189"/>
      <c r="B36" s="172"/>
      <c r="C36" s="195" t="s">
        <v>74</v>
      </c>
      <c r="D36" s="196" t="s">
        <v>69</v>
      </c>
      <c r="E36" s="196" t="s">
        <v>30</v>
      </c>
      <c r="F36" s="196" t="s">
        <v>31</v>
      </c>
      <c r="G36" s="196" t="s">
        <v>32</v>
      </c>
      <c r="H36" s="196" t="s">
        <v>33</v>
      </c>
      <c r="I36" s="196" t="s">
        <v>34</v>
      </c>
      <c r="J36" s="196" t="s">
        <v>35</v>
      </c>
      <c r="K36" s="196" t="s">
        <v>36</v>
      </c>
      <c r="L36" s="196" t="s">
        <v>37</v>
      </c>
      <c r="M36" s="196" t="s">
        <v>38</v>
      </c>
      <c r="N36" s="196" t="s">
        <v>39</v>
      </c>
      <c r="O36" s="196" t="s">
        <v>40</v>
      </c>
      <c r="P36" s="196" t="s">
        <v>41</v>
      </c>
      <c r="Q36" s="196" t="s">
        <v>81</v>
      </c>
      <c r="R36" s="196" t="s">
        <v>82</v>
      </c>
      <c r="S36" s="196" t="s">
        <v>83</v>
      </c>
      <c r="T36" s="196" t="s">
        <v>84</v>
      </c>
      <c r="U36" s="196" t="s">
        <v>85</v>
      </c>
      <c r="V36" s="196" t="s">
        <v>86</v>
      </c>
      <c r="W36" s="196" t="s">
        <v>87</v>
      </c>
      <c r="X36" s="196" t="s">
        <v>88</v>
      </c>
      <c r="Y36" s="196" t="s">
        <v>89</v>
      </c>
      <c r="Z36" s="196" t="s">
        <v>90</v>
      </c>
      <c r="AA36" s="196" t="s">
        <v>91</v>
      </c>
      <c r="AB36" s="196" t="s">
        <v>92</v>
      </c>
      <c r="AC36" s="196" t="s">
        <v>93</v>
      </c>
      <c r="AD36" s="196" t="s">
        <v>94</v>
      </c>
      <c r="AE36" s="196" t="s">
        <v>95</v>
      </c>
      <c r="AF36" s="196" t="s">
        <v>96</v>
      </c>
      <c r="AG36" s="196" t="s">
        <v>97</v>
      </c>
      <c r="AH36" s="196" t="s">
        <v>98</v>
      </c>
      <c r="AI36" s="196" t="s">
        <v>99</v>
      </c>
      <c r="AJ36" s="142" t="s">
        <v>2</v>
      </c>
      <c r="AK36" s="172" t="s">
        <v>75</v>
      </c>
      <c r="AL36" s="189"/>
    </row>
    <row r="37" customFormat="false" ht="19.5" hidden="false" customHeight="true" outlineLevel="0" collapsed="false">
      <c r="A37" s="189"/>
      <c r="B37" s="213"/>
      <c r="C37" s="214" t="str">
        <f aca="false">DADOS!$R$3</f>
        <v>💧 ÁGUA</v>
      </c>
      <c r="D37" s="215" t="str">
        <f aca="false">IF(despesafixaconsolidado[[#This Row],[TOTAL]]=0,"",IF(OR(despesafixaconsolidado[[#This Row],[TOTAL]]=LARGE($AJ$37:$AJ$50,1),despesafixaconsolidado[[#This Row],[TOTAL]]=LARGE($AJ$37:$AJ$50,2),despesafixaconsolidado[[#This Row],[TOTAL]]=LARGE($AJ$37:$AJ$50,3),despesafixaconsolidado[[#This Row],[TOTAL]]=LARGE($AJ$37:$AJ$50,4),despesafixaconsolidado[[#This Row],[TOTAL]]=LARGE($AJ$37:$AJ$50,5)),DADOS!$I$8,""))</f>
        <v/>
      </c>
      <c r="E37" s="146" t="n">
        <f aca="false">SUMIFS(tabela_registros[VALOR],tabela_registros[MÊS],$AE$1,tabela_registros[DIA],jantotal[[#Headers],[1]],tabela_registros[REGISTRO],DADOS!$N$4,tabela_registros[TIPO],DADOS!$P$3,tabela_registros[CATEGORIA],despesafixaconsolidado[[#This Row],[DESPESA FIXA]])</f>
        <v>0</v>
      </c>
      <c r="F37" s="114" t="n">
        <f aca="false">SUMIFS(tabela_registros[VALOR],tabela_registros[MÊS],$AE$1,tabela_registros[DIA],jantotal[[#Headers],[2]],tabela_registros[REGISTRO],DADOS!$N$4,tabela_registros[TIPO],DADOS!$P$3,tabela_registros[CATEGORIA],despesafixaconsolidado[[#This Row],[DESPESA FIXA]])</f>
        <v>0</v>
      </c>
      <c r="G37" s="114" t="n">
        <f aca="false">SUMIFS(tabela_registros[VALOR],tabela_registros[MÊS],$AE$1,tabela_registros[DIA],jantotal[[#Headers],[3]],tabela_registros[REGISTRO],DADOS!$N$4,tabela_registros[TIPO],DADOS!$P$3,tabela_registros[CATEGORIA],despesafixaconsolidado[[#This Row],[DESPESA FIXA]])</f>
        <v>0</v>
      </c>
      <c r="H37" s="114" t="n">
        <f aca="false">SUMIFS(tabela_registros[VALOR],tabela_registros[MÊS],$AE$1,tabela_registros[DIA],jantotal[[#Headers],[4]],tabela_registros[REGISTRO],DADOS!$N$4,tabela_registros[TIPO],DADOS!$P$3,tabela_registros[CATEGORIA],despesafixaconsolidado[[#This Row],[DESPESA FIXA]])</f>
        <v>0</v>
      </c>
      <c r="I37" s="114" t="n">
        <f aca="false">SUMIFS(tabela_registros[VALOR],tabela_registros[MÊS],$AE$1,tabela_registros[DIA],jantotal[[#Headers],[5]],tabela_registros[REGISTRO],DADOS!$N$4,tabela_registros[TIPO],DADOS!$P$3,tabela_registros[CATEGORIA],despesafixaconsolidado[[#This Row],[DESPESA FIXA]])</f>
        <v>0</v>
      </c>
      <c r="J37" s="114" t="n">
        <f aca="false">SUMIFS(tabela_registros[VALOR],tabela_registros[MÊS],$AE$1,tabela_registros[DIA],jantotal[[#Headers],[6]],tabela_registros[REGISTRO],DADOS!$N$4,tabela_registros[TIPO],DADOS!$P$3,tabela_registros[CATEGORIA],despesafixaconsolidado[[#This Row],[DESPESA FIXA]])</f>
        <v>0</v>
      </c>
      <c r="K37" s="114" t="n">
        <f aca="false">SUMIFS(tabela_registros[VALOR],tabela_registros[MÊS],$AE$1,tabela_registros[DIA],jantotal[[#Headers],[7]],tabela_registros[REGISTRO],DADOS!$N$4,tabela_registros[TIPO],DADOS!$P$3,tabela_registros[CATEGORIA],despesafixaconsolidado[[#This Row],[DESPESA FIXA]])</f>
        <v>0</v>
      </c>
      <c r="L37" s="114" t="n">
        <f aca="false">SUMIFS(tabela_registros[VALOR],tabela_registros[MÊS],$AE$1,tabela_registros[DIA],jantotal[[#Headers],[8]],tabela_registros[REGISTRO],DADOS!$N$4,tabela_registros[TIPO],DADOS!$P$3,tabela_registros[CATEGORIA],despesafixaconsolidado[[#This Row],[DESPESA FIXA]])</f>
        <v>0</v>
      </c>
      <c r="M37" s="114" t="n">
        <f aca="false">SUMIFS(tabela_registros[VALOR],tabela_registros[MÊS],$AE$1,tabela_registros[DIA],jantotal[[#Headers],[9]],tabela_registros[REGISTRO],DADOS!$N$4,tabela_registros[TIPO],DADOS!$P$3,tabela_registros[CATEGORIA],despesafixaconsolidado[[#This Row],[DESPESA FIXA]])</f>
        <v>0</v>
      </c>
      <c r="N37" s="114" t="n">
        <f aca="false">SUMIFS(tabela_registros[VALOR],tabela_registros[MÊS],$AE$1,tabela_registros[DIA],jantotal[[#Headers],[10]],tabela_registros[REGISTRO],DADOS!$N$4,tabela_registros[TIPO],DADOS!$P$3,tabela_registros[CATEGORIA],despesafixaconsolidado[[#This Row],[DESPESA FIXA]])</f>
        <v>0</v>
      </c>
      <c r="O37" s="114" t="n">
        <f aca="false">SUMIFS(tabela_registros[VALOR],tabela_registros[MÊS],$AE$1,tabela_registros[DIA],jantotal[[#Headers],[11]],tabela_registros[REGISTRO],DADOS!$N$4,tabela_registros[TIPO],DADOS!$P$3,tabela_registros[CATEGORIA],despesafixaconsolidado[[#This Row],[DESPESA FIXA]])</f>
        <v>0</v>
      </c>
      <c r="P37" s="114" t="n">
        <f aca="false">SUMIFS(tabela_registros[VALOR],tabela_registros[MÊS],$AE$1,tabela_registros[DIA],jantotal[[#Headers],[12]],tabela_registros[REGISTRO],DADOS!$N$4,tabela_registros[TIPO],DADOS!$P$3,tabela_registros[CATEGORIA],despesafixaconsolidado[[#This Row],[DESPESA FIXA]])</f>
        <v>0</v>
      </c>
      <c r="Q37" s="114" t="n">
        <f aca="false">SUMIFS(tabela_registros[VALOR],tabela_registros[MÊS],$AE$1,tabela_registros[DIA],jantotal[[#Headers],[13]],tabela_registros[REGISTRO],DADOS!$N$4,tabela_registros[TIPO],DADOS!$P$3,tabela_registros[CATEGORIA],despesafixaconsolidado[[#This Row],[DESPESA FIXA]])</f>
        <v>0</v>
      </c>
      <c r="R37" s="114" t="n">
        <f aca="false">SUMIFS(tabela_registros[VALOR],tabela_registros[MÊS],$AE$1,tabela_registros[DIA],jantotal[[#Headers],[14]],tabela_registros[REGISTRO],DADOS!$N$4,tabela_registros[TIPO],DADOS!$P$3,tabela_registros[CATEGORIA],despesafixaconsolidado[[#This Row],[DESPESA FIXA]])</f>
        <v>0</v>
      </c>
      <c r="S37" s="114" t="n">
        <f aca="false">SUMIFS(tabela_registros[VALOR],tabela_registros[MÊS],$AE$1,tabela_registros[DIA],jantotal[[#Headers],[15]],tabela_registros[REGISTRO],DADOS!$N$4,tabela_registros[TIPO],DADOS!$P$3,tabela_registros[CATEGORIA],despesafixaconsolidado[[#This Row],[DESPESA FIXA]])</f>
        <v>0</v>
      </c>
      <c r="T37" s="114" t="n">
        <f aca="false">SUMIFS(tabela_registros[VALOR],tabela_registros[MÊS],$AE$1,tabela_registros[DIA],jantotal[[#Headers],[16]],tabela_registros[REGISTRO],DADOS!$N$4,tabela_registros[TIPO],DADOS!$P$3,tabela_registros[CATEGORIA],despesafixaconsolidado[[#This Row],[DESPESA FIXA]])</f>
        <v>0</v>
      </c>
      <c r="U37" s="114" t="n">
        <f aca="false">SUMIFS(tabela_registros[VALOR],tabela_registros[MÊS],$AE$1,tabela_registros[DIA],jantotal[[#Headers],[17]],tabela_registros[REGISTRO],DADOS!$N$4,tabela_registros[TIPO],DADOS!$P$3,tabela_registros[CATEGORIA],despesafixaconsolidado[[#This Row],[DESPESA FIXA]])</f>
        <v>0</v>
      </c>
      <c r="V37" s="114" t="n">
        <f aca="false">SUMIFS(tabela_registros[VALOR],tabela_registros[MÊS],$AE$1,tabela_registros[DIA],jantotal[[#Headers],[18]],tabela_registros[REGISTRO],DADOS!$N$4,tabela_registros[TIPO],DADOS!$P$3,tabela_registros[CATEGORIA],despesafixaconsolidado[[#This Row],[DESPESA FIXA]])</f>
        <v>0</v>
      </c>
      <c r="W37" s="114" t="n">
        <f aca="false">SUMIFS(tabela_registros[VALOR],tabela_registros[MÊS],$AE$1,tabela_registros[DIA],jantotal[[#Headers],[19]],tabela_registros[REGISTRO],DADOS!$N$4,tabela_registros[TIPO],DADOS!$P$3,tabela_registros[CATEGORIA],despesafixaconsolidado[[#This Row],[DESPESA FIXA]])</f>
        <v>0</v>
      </c>
      <c r="X37" s="114" t="n">
        <f aca="false">SUMIFS(tabela_registros[VALOR],tabela_registros[MÊS],$AE$1,tabela_registros[DIA],jantotal[[#Headers],[20]],tabela_registros[REGISTRO],DADOS!$N$4,tabela_registros[TIPO],DADOS!$P$3,tabela_registros[CATEGORIA],despesafixaconsolidado[[#This Row],[DESPESA FIXA]])</f>
        <v>0</v>
      </c>
      <c r="Y37" s="114" t="n">
        <f aca="false">SUMIFS(tabela_registros[VALOR],tabela_registros[MÊS],$AE$1,tabela_registros[DIA],jantotal[[#Headers],[21]],tabela_registros[REGISTRO],DADOS!$N$4,tabela_registros[TIPO],DADOS!$P$3,tabela_registros[CATEGORIA],despesafixaconsolidado[[#This Row],[DESPESA FIXA]])</f>
        <v>0</v>
      </c>
      <c r="Z37" s="114" t="n">
        <f aca="false">SUMIFS(tabela_registros[VALOR],tabela_registros[MÊS],$AE$1,tabela_registros[DIA],jantotal[[#Headers],[22]],tabela_registros[REGISTRO],DADOS!$N$4,tabela_registros[TIPO],DADOS!$P$3,tabela_registros[CATEGORIA],despesafixaconsolidado[[#This Row],[DESPESA FIXA]])</f>
        <v>0</v>
      </c>
      <c r="AA37" s="114" t="n">
        <f aca="false">SUMIFS(tabela_registros[VALOR],tabela_registros[MÊS],$AE$1,tabela_registros[DIA],jantotal[[#Headers],[23]],tabela_registros[REGISTRO],DADOS!$N$4,tabela_registros[TIPO],DADOS!$P$3,tabela_registros[CATEGORIA],despesafixaconsolidado[[#This Row],[DESPESA FIXA]])</f>
        <v>0</v>
      </c>
      <c r="AB37" s="114" t="n">
        <f aca="false">SUMIFS(tabela_registros[VALOR],tabela_registros[MÊS],$AE$1,tabela_registros[DIA],jantotal[[#Headers],[24]],tabela_registros[REGISTRO],DADOS!$N$4,tabela_registros[TIPO],DADOS!$P$3,tabela_registros[CATEGORIA],despesafixaconsolidado[[#This Row],[DESPESA FIXA]])</f>
        <v>0</v>
      </c>
      <c r="AC37" s="114" t="n">
        <f aca="false">SUMIFS(tabela_registros[VALOR],tabela_registros[MÊS],$AE$1,tabela_registros[DIA],jantotal[[#Headers],[25]],tabela_registros[REGISTRO],DADOS!$N$4,tabela_registros[TIPO],DADOS!$P$3,tabela_registros[CATEGORIA],despesafixaconsolidado[[#This Row],[DESPESA FIXA]])</f>
        <v>0</v>
      </c>
      <c r="AD37" s="114" t="n">
        <f aca="false">SUMIFS(tabela_registros[VALOR],tabela_registros[MÊS],$AE$1,tabela_registros[DIA],jantotal[[#Headers],[26]],tabela_registros[REGISTRO],DADOS!$N$4,tabela_registros[TIPO],DADOS!$P$3,tabela_registros[CATEGORIA],despesafixaconsolidado[[#This Row],[DESPESA FIXA]])</f>
        <v>0</v>
      </c>
      <c r="AE37" s="114" t="n">
        <f aca="false">SUMIFS(tabela_registros[VALOR],tabela_registros[MÊS],$AE$1,tabela_registros[DIA],jantotal[[#Headers],[27]],tabela_registros[REGISTRO],DADOS!$N$4,tabela_registros[TIPO],DADOS!$P$3,tabela_registros[CATEGORIA],despesafixaconsolidado[[#This Row],[DESPESA FIXA]])</f>
        <v>0</v>
      </c>
      <c r="AF37" s="114" t="n">
        <f aca="false">SUMIFS(tabela_registros[VALOR],tabela_registros[MÊS],$AE$1,tabela_registros[DIA],jantotal[[#Headers],[28]],tabela_registros[REGISTRO],DADOS!$N$4,tabela_registros[TIPO],DADOS!$P$3,tabela_registros[CATEGORIA],despesafixaconsolidado[[#This Row],[DESPESA FIXA]])</f>
        <v>0</v>
      </c>
      <c r="AG37" s="114" t="n">
        <f aca="false">SUMIFS(tabela_registros[VALOR],tabela_registros[MÊS],$AE$1,tabela_registros[DIA],jantotal[[#Headers],[29]],tabela_registros[REGISTRO],DADOS!$N$4,tabela_registros[TIPO],DADOS!$P$3,tabela_registros[CATEGORIA],despesafixaconsolidado[[#This Row],[DESPESA FIXA]])</f>
        <v>0</v>
      </c>
      <c r="AH37" s="114" t="n">
        <f aca="false">SUMIFS(tabela_registros[VALOR],tabela_registros[MÊS],$AE$1,tabela_registros[DIA],jantotal[[#Headers],[30]],tabela_registros[REGISTRO],DADOS!$N$4,tabela_registros[TIPO],DADOS!$P$3,tabela_registros[CATEGORIA],despesafixaconsolidado[[#This Row],[DESPESA FIXA]])</f>
        <v>0</v>
      </c>
      <c r="AI37" s="216" t="n">
        <f aca="false">SUMIFS(tabela_registros[VALOR],tabela_registros[MÊS],$AE$1,tabela_registros[DIA],jantotal[[#Headers],[31]],tabela_registros[REGISTRO],DADOS!$N$4,tabela_registros[TIPO],DADOS!$P$3,tabela_registros[CATEGORIA],despesafixaconsolidado[[#This Row],[DESPESA FIXA]])</f>
        <v>0</v>
      </c>
      <c r="AJ37" s="147" t="n">
        <f aca="false">SUM(despesafixaconsolidado[[#This Row],[1]:[31]])</f>
        <v>0</v>
      </c>
      <c r="AK37" s="213"/>
      <c r="AL37" s="189"/>
    </row>
    <row r="38" customFormat="false" ht="18" hidden="false" customHeight="true" outlineLevel="0" collapsed="false">
      <c r="A38" s="189"/>
      <c r="B38" s="213"/>
      <c r="C38" s="214" t="str">
        <f aca="false">DADOS!$R$4</f>
        <v>🐶 ANIMAIS DE ESTIMAÇÃO</v>
      </c>
      <c r="D38" s="215" t="str">
        <f aca="false">IF(despesafixaconsolidado[[#This Row],[TOTAL]]=0,"",IF(OR(despesafixaconsolidado[[#This Row],[TOTAL]]=LARGE($AJ$37:$AJ$50,1),despesafixaconsolidado[[#This Row],[TOTAL]]=LARGE($AJ$37:$AJ$50,2),despesafixaconsolidado[[#This Row],[TOTAL]]=LARGE($AJ$37:$AJ$50,3),despesafixaconsolidado[[#This Row],[TOTAL]]=LARGE($AJ$37:$AJ$50,4),despesafixaconsolidado[[#This Row],[TOTAL]]=LARGE($AJ$37:$AJ$50,5)),DADOS!$I$8,""))</f>
        <v/>
      </c>
      <c r="E38" s="148" t="n">
        <f aca="false">SUMIFS(tabela_registros[VALOR],tabela_registros[MÊS],$AE$1,tabela_registros[DIA],jantotal[[#Headers],[1]],tabela_registros[REGISTRO],DADOS!$N$4,tabela_registros[TIPO],DADOS!$P$3,tabela_registros[CATEGORIA],despesafixaconsolidado[[#This Row],[DESPESA FIXA]])</f>
        <v>0</v>
      </c>
      <c r="F38" s="119" t="n">
        <f aca="false">SUMIFS(tabela_registros[VALOR],tabela_registros[MÊS],$AE$1,tabela_registros[DIA],jantotal[[#Headers],[2]],tabela_registros[REGISTRO],DADOS!$N$4,tabela_registros[TIPO],DADOS!$P$3,tabela_registros[CATEGORIA],despesafixaconsolidado[[#This Row],[DESPESA FIXA]])</f>
        <v>0</v>
      </c>
      <c r="G38" s="119" t="n">
        <f aca="false">SUMIFS(tabela_registros[VALOR],tabela_registros[MÊS],$AE$1,tabela_registros[DIA],jantotal[[#Headers],[3]],tabela_registros[REGISTRO],DADOS!$N$4,tabela_registros[TIPO],DADOS!$P$3,tabela_registros[CATEGORIA],despesafixaconsolidado[[#This Row],[DESPESA FIXA]])</f>
        <v>0</v>
      </c>
      <c r="H38" s="119" t="n">
        <f aca="false">SUMIFS(tabela_registros[VALOR],tabela_registros[MÊS],$AE$1,tabela_registros[DIA],jantotal[[#Headers],[4]],tabela_registros[REGISTRO],DADOS!$N$4,tabela_registros[TIPO],DADOS!$P$3,tabela_registros[CATEGORIA],despesafixaconsolidado[[#This Row],[DESPESA FIXA]])</f>
        <v>0</v>
      </c>
      <c r="I38" s="119" t="n">
        <f aca="false">SUMIFS(tabela_registros[VALOR],tabela_registros[MÊS],$AE$1,tabela_registros[DIA],jantotal[[#Headers],[5]],tabela_registros[REGISTRO],DADOS!$N$4,tabela_registros[TIPO],DADOS!$P$3,tabela_registros[CATEGORIA],despesafixaconsolidado[[#This Row],[DESPESA FIXA]])</f>
        <v>0</v>
      </c>
      <c r="J38" s="119" t="n">
        <f aca="false">SUMIFS(tabela_registros[VALOR],tabela_registros[MÊS],$AE$1,tabela_registros[DIA],jantotal[[#Headers],[6]],tabela_registros[REGISTRO],DADOS!$N$4,tabela_registros[TIPO],DADOS!$P$3,tabela_registros[CATEGORIA],despesafixaconsolidado[[#This Row],[DESPESA FIXA]])</f>
        <v>0</v>
      </c>
      <c r="K38" s="119" t="n">
        <f aca="false">SUMIFS(tabela_registros[VALOR],tabela_registros[MÊS],$AE$1,tabela_registros[DIA],jantotal[[#Headers],[7]],tabela_registros[REGISTRO],DADOS!$N$4,tabela_registros[TIPO],DADOS!$P$3,tabela_registros[CATEGORIA],despesafixaconsolidado[[#This Row],[DESPESA FIXA]])</f>
        <v>0</v>
      </c>
      <c r="L38" s="119" t="n">
        <f aca="false">SUMIFS(tabela_registros[VALOR],tabela_registros[MÊS],$AE$1,tabela_registros[DIA],jantotal[[#Headers],[8]],tabela_registros[REGISTRO],DADOS!$N$4,tabela_registros[TIPO],DADOS!$P$3,tabela_registros[CATEGORIA],despesafixaconsolidado[[#This Row],[DESPESA FIXA]])</f>
        <v>0</v>
      </c>
      <c r="M38" s="119" t="n">
        <f aca="false">SUMIFS(tabela_registros[VALOR],tabela_registros[MÊS],$AE$1,tabela_registros[DIA],jantotal[[#Headers],[9]],tabela_registros[REGISTRO],DADOS!$N$4,tabela_registros[TIPO],DADOS!$P$3,tabela_registros[CATEGORIA],despesafixaconsolidado[[#This Row],[DESPESA FIXA]])</f>
        <v>0</v>
      </c>
      <c r="N38" s="119" t="n">
        <f aca="false">SUMIFS(tabela_registros[VALOR],tabela_registros[MÊS],$AE$1,tabela_registros[DIA],jantotal[[#Headers],[10]],tabela_registros[REGISTRO],DADOS!$N$4,tabela_registros[TIPO],DADOS!$P$3,tabela_registros[CATEGORIA],despesafixaconsolidado[[#This Row],[DESPESA FIXA]])</f>
        <v>0</v>
      </c>
      <c r="O38" s="119" t="n">
        <f aca="false">SUMIFS(tabela_registros[VALOR],tabela_registros[MÊS],$AE$1,tabela_registros[DIA],jantotal[[#Headers],[11]],tabela_registros[REGISTRO],DADOS!$N$4,tabela_registros[TIPO],DADOS!$P$3,tabela_registros[CATEGORIA],despesafixaconsolidado[[#This Row],[DESPESA FIXA]])</f>
        <v>0</v>
      </c>
      <c r="P38" s="119" t="n">
        <f aca="false">SUMIFS(tabela_registros[VALOR],tabela_registros[MÊS],$AE$1,tabela_registros[DIA],jantotal[[#Headers],[12]],tabela_registros[REGISTRO],DADOS!$N$4,tabela_registros[TIPO],DADOS!$P$3,tabela_registros[CATEGORIA],despesafixaconsolidado[[#This Row],[DESPESA FIXA]])</f>
        <v>0</v>
      </c>
      <c r="Q38" s="119" t="n">
        <f aca="false">SUMIFS(tabela_registros[VALOR],tabela_registros[MÊS],$AE$1,tabela_registros[DIA],jantotal[[#Headers],[13]],tabela_registros[REGISTRO],DADOS!$N$4,tabela_registros[TIPO],DADOS!$P$3,tabela_registros[CATEGORIA],despesafixaconsolidado[[#This Row],[DESPESA FIXA]])</f>
        <v>0</v>
      </c>
      <c r="R38" s="119" t="n">
        <f aca="false">SUMIFS(tabela_registros[VALOR],tabela_registros[MÊS],$AE$1,tabela_registros[DIA],jantotal[[#Headers],[14]],tabela_registros[REGISTRO],DADOS!$N$4,tabela_registros[TIPO],DADOS!$P$3,tabela_registros[CATEGORIA],despesafixaconsolidado[[#This Row],[DESPESA FIXA]])</f>
        <v>0</v>
      </c>
      <c r="S38" s="119" t="n">
        <f aca="false">SUMIFS(tabela_registros[VALOR],tabela_registros[MÊS],$AE$1,tabela_registros[DIA],jantotal[[#Headers],[15]],tabela_registros[REGISTRO],DADOS!$N$4,tabela_registros[TIPO],DADOS!$P$3,tabela_registros[CATEGORIA],despesafixaconsolidado[[#This Row],[DESPESA FIXA]])</f>
        <v>0</v>
      </c>
      <c r="T38" s="119" t="n">
        <f aca="false">SUMIFS(tabela_registros[VALOR],tabela_registros[MÊS],$AE$1,tabela_registros[DIA],jantotal[[#Headers],[16]],tabela_registros[REGISTRO],DADOS!$N$4,tabela_registros[TIPO],DADOS!$P$3,tabela_registros[CATEGORIA],despesafixaconsolidado[[#This Row],[DESPESA FIXA]])</f>
        <v>0</v>
      </c>
      <c r="U38" s="119" t="n">
        <f aca="false">SUMIFS(tabela_registros[VALOR],tabela_registros[MÊS],$AE$1,tabela_registros[DIA],jantotal[[#Headers],[17]],tabela_registros[REGISTRO],DADOS!$N$4,tabela_registros[TIPO],DADOS!$P$3,tabela_registros[CATEGORIA],despesafixaconsolidado[[#This Row],[DESPESA FIXA]])</f>
        <v>0</v>
      </c>
      <c r="V38" s="119" t="n">
        <f aca="false">SUMIFS(tabela_registros[VALOR],tabela_registros[MÊS],$AE$1,tabela_registros[DIA],jantotal[[#Headers],[18]],tabela_registros[REGISTRO],DADOS!$N$4,tabela_registros[TIPO],DADOS!$P$3,tabela_registros[CATEGORIA],despesafixaconsolidado[[#This Row],[DESPESA FIXA]])</f>
        <v>0</v>
      </c>
      <c r="W38" s="119" t="n">
        <f aca="false">SUMIFS(tabela_registros[VALOR],tabela_registros[MÊS],$AE$1,tabela_registros[DIA],jantotal[[#Headers],[19]],tabela_registros[REGISTRO],DADOS!$N$4,tabela_registros[TIPO],DADOS!$P$3,tabela_registros[CATEGORIA],despesafixaconsolidado[[#This Row],[DESPESA FIXA]])</f>
        <v>0</v>
      </c>
      <c r="X38" s="119" t="n">
        <f aca="false">SUMIFS(tabela_registros[VALOR],tabela_registros[MÊS],$AE$1,tabela_registros[DIA],jantotal[[#Headers],[20]],tabela_registros[REGISTRO],DADOS!$N$4,tabela_registros[TIPO],DADOS!$P$3,tabela_registros[CATEGORIA],despesafixaconsolidado[[#This Row],[DESPESA FIXA]])</f>
        <v>0</v>
      </c>
      <c r="Y38" s="119" t="n">
        <f aca="false">SUMIFS(tabela_registros[VALOR],tabela_registros[MÊS],$AE$1,tabela_registros[DIA],jantotal[[#Headers],[21]],tabela_registros[REGISTRO],DADOS!$N$4,tabela_registros[TIPO],DADOS!$P$3,tabela_registros[CATEGORIA],despesafixaconsolidado[[#This Row],[DESPESA FIXA]])</f>
        <v>0</v>
      </c>
      <c r="Z38" s="119" t="n">
        <f aca="false">SUMIFS(tabela_registros[VALOR],tabela_registros[MÊS],$AE$1,tabela_registros[DIA],jantotal[[#Headers],[22]],tabela_registros[REGISTRO],DADOS!$N$4,tabela_registros[TIPO],DADOS!$P$3,tabela_registros[CATEGORIA],despesafixaconsolidado[[#This Row],[DESPESA FIXA]])</f>
        <v>0</v>
      </c>
      <c r="AA38" s="119" t="n">
        <f aca="false">SUMIFS(tabela_registros[VALOR],tabela_registros[MÊS],$AE$1,tabela_registros[DIA],jantotal[[#Headers],[23]],tabela_registros[REGISTRO],DADOS!$N$4,tabela_registros[TIPO],DADOS!$P$3,tabela_registros[CATEGORIA],despesafixaconsolidado[[#This Row],[DESPESA FIXA]])</f>
        <v>0</v>
      </c>
      <c r="AB38" s="119" t="n">
        <f aca="false">SUMIFS(tabela_registros[VALOR],tabela_registros[MÊS],$AE$1,tabela_registros[DIA],jantotal[[#Headers],[24]],tabela_registros[REGISTRO],DADOS!$N$4,tabela_registros[TIPO],DADOS!$P$3,tabela_registros[CATEGORIA],despesafixaconsolidado[[#This Row],[DESPESA FIXA]])</f>
        <v>0</v>
      </c>
      <c r="AC38" s="119" t="n">
        <f aca="false">SUMIFS(tabela_registros[VALOR],tabela_registros[MÊS],$AE$1,tabela_registros[DIA],jantotal[[#Headers],[25]],tabela_registros[REGISTRO],DADOS!$N$4,tabela_registros[TIPO],DADOS!$P$3,tabela_registros[CATEGORIA],despesafixaconsolidado[[#This Row],[DESPESA FIXA]])</f>
        <v>0</v>
      </c>
      <c r="AD38" s="119" t="n">
        <f aca="false">SUMIFS(tabela_registros[VALOR],tabela_registros[MÊS],$AE$1,tabela_registros[DIA],jantotal[[#Headers],[26]],tabela_registros[REGISTRO],DADOS!$N$4,tabela_registros[TIPO],DADOS!$P$3,tabela_registros[CATEGORIA],despesafixaconsolidado[[#This Row],[DESPESA FIXA]])</f>
        <v>0</v>
      </c>
      <c r="AE38" s="119" t="n">
        <f aca="false">SUMIFS(tabela_registros[VALOR],tabela_registros[MÊS],$AE$1,tabela_registros[DIA],jantotal[[#Headers],[27]],tabela_registros[REGISTRO],DADOS!$N$4,tabela_registros[TIPO],DADOS!$P$3,tabela_registros[CATEGORIA],despesafixaconsolidado[[#This Row],[DESPESA FIXA]])</f>
        <v>0</v>
      </c>
      <c r="AF38" s="119" t="n">
        <f aca="false">SUMIFS(tabela_registros[VALOR],tabela_registros[MÊS],$AE$1,tabela_registros[DIA],jantotal[[#Headers],[28]],tabela_registros[REGISTRO],DADOS!$N$4,tabela_registros[TIPO],DADOS!$P$3,tabela_registros[CATEGORIA],despesafixaconsolidado[[#This Row],[DESPESA FIXA]])</f>
        <v>0</v>
      </c>
      <c r="AG38" s="119" t="n">
        <f aca="false">SUMIFS(tabela_registros[VALOR],tabela_registros[MÊS],$AE$1,tabela_registros[DIA],jantotal[[#Headers],[29]],tabela_registros[REGISTRO],DADOS!$N$4,tabela_registros[TIPO],DADOS!$P$3,tabela_registros[CATEGORIA],despesafixaconsolidado[[#This Row],[DESPESA FIXA]])</f>
        <v>0</v>
      </c>
      <c r="AH38" s="119" t="n">
        <f aca="false">SUMIFS(tabela_registros[VALOR],tabela_registros[MÊS],$AE$1,tabela_registros[DIA],jantotal[[#Headers],[30]],tabela_registros[REGISTRO],DADOS!$N$4,tabela_registros[TIPO],DADOS!$P$3,tabela_registros[CATEGORIA],despesafixaconsolidado[[#This Row],[DESPESA FIXA]])</f>
        <v>0</v>
      </c>
      <c r="AI38" s="217" t="n">
        <f aca="false">SUMIFS(tabela_registros[VALOR],tabela_registros[MÊS],$AE$1,tabela_registros[DIA],jantotal[[#Headers],[31]],tabela_registros[REGISTRO],DADOS!$N$4,tabela_registros[TIPO],DADOS!$P$3,tabela_registros[CATEGORIA],despesafixaconsolidado[[#This Row],[DESPESA FIXA]])</f>
        <v>0</v>
      </c>
      <c r="AJ38" s="149" t="n">
        <f aca="false">SUM(despesafixaconsolidado[[#This Row],[1]:[31]])</f>
        <v>0</v>
      </c>
      <c r="AK38" s="213"/>
      <c r="AL38" s="189"/>
    </row>
    <row r="39" customFormat="false" ht="18" hidden="false" customHeight="true" outlineLevel="0" collapsed="false">
      <c r="A39" s="189"/>
      <c r="B39" s="213"/>
      <c r="C39" s="214" t="str">
        <f aca="false">DADOS!$R$5</f>
        <v>🔖 ASSINATURAS E SERVIÇOS</v>
      </c>
      <c r="D39" s="215" t="str">
        <f aca="false">IF(despesafixaconsolidado[[#This Row],[TOTAL]]=0,"",IF(OR(despesafixaconsolidado[[#This Row],[TOTAL]]=LARGE($AJ$37:$AJ$50,1),despesafixaconsolidado[[#This Row],[TOTAL]]=LARGE($AJ$37:$AJ$50,2),despesafixaconsolidado[[#This Row],[TOTAL]]=LARGE($AJ$37:$AJ$50,3),despesafixaconsolidado[[#This Row],[TOTAL]]=LARGE($AJ$37:$AJ$50,4),despesafixaconsolidado[[#This Row],[TOTAL]]=LARGE($AJ$37:$AJ$50,5)),DADOS!$I$8,""))</f>
        <v/>
      </c>
      <c r="E39" s="148" t="n">
        <f aca="false">SUMIFS(tabela_registros[VALOR],tabela_registros[MÊS],$AE$1,tabela_registros[DIA],jantotal[[#Headers],[1]],tabela_registros[REGISTRO],DADOS!$N$4,tabela_registros[TIPO],DADOS!$P$3,tabela_registros[CATEGORIA],despesafixaconsolidado[[#This Row],[DESPESA FIXA]])</f>
        <v>0</v>
      </c>
      <c r="F39" s="119" t="n">
        <f aca="false">SUMIFS(tabela_registros[VALOR],tabela_registros[MÊS],$AE$1,tabela_registros[DIA],jantotal[[#Headers],[2]],tabela_registros[REGISTRO],DADOS!$N$4,tabela_registros[TIPO],DADOS!$P$3,tabela_registros[CATEGORIA],despesafixaconsolidado[[#This Row],[DESPESA FIXA]])</f>
        <v>0</v>
      </c>
      <c r="G39" s="119" t="n">
        <f aca="false">SUMIFS(tabela_registros[VALOR],tabela_registros[MÊS],$AE$1,tabela_registros[DIA],jantotal[[#Headers],[3]],tabela_registros[REGISTRO],DADOS!$N$4,tabela_registros[TIPO],DADOS!$P$3,tabela_registros[CATEGORIA],despesafixaconsolidado[[#This Row],[DESPESA FIXA]])</f>
        <v>0</v>
      </c>
      <c r="H39" s="119" t="n">
        <f aca="false">SUMIFS(tabela_registros[VALOR],tabela_registros[MÊS],$AE$1,tabela_registros[DIA],jantotal[[#Headers],[4]],tabela_registros[REGISTRO],DADOS!$N$4,tabela_registros[TIPO],DADOS!$P$3,tabela_registros[CATEGORIA],despesafixaconsolidado[[#This Row],[DESPESA FIXA]])</f>
        <v>0</v>
      </c>
      <c r="I39" s="119" t="n">
        <f aca="false">SUMIFS(tabela_registros[VALOR],tabela_registros[MÊS],$AE$1,tabela_registros[DIA],jantotal[[#Headers],[5]],tabela_registros[REGISTRO],DADOS!$N$4,tabela_registros[TIPO],DADOS!$P$3,tabela_registros[CATEGORIA],despesafixaconsolidado[[#This Row],[DESPESA FIXA]])</f>
        <v>0</v>
      </c>
      <c r="J39" s="119" t="n">
        <f aca="false">SUMIFS(tabela_registros[VALOR],tabela_registros[MÊS],$AE$1,tabela_registros[DIA],jantotal[[#Headers],[6]],tabela_registros[REGISTRO],DADOS!$N$4,tabela_registros[TIPO],DADOS!$P$3,tabela_registros[CATEGORIA],despesafixaconsolidado[[#This Row],[DESPESA FIXA]])</f>
        <v>0</v>
      </c>
      <c r="K39" s="119" t="n">
        <f aca="false">SUMIFS(tabela_registros[VALOR],tabela_registros[MÊS],$AE$1,tabela_registros[DIA],jantotal[[#Headers],[7]],tabela_registros[REGISTRO],DADOS!$N$4,tabela_registros[TIPO],DADOS!$P$3,tabela_registros[CATEGORIA],despesafixaconsolidado[[#This Row],[DESPESA FIXA]])</f>
        <v>0</v>
      </c>
      <c r="L39" s="119" t="n">
        <f aca="false">SUMIFS(tabela_registros[VALOR],tabela_registros[MÊS],$AE$1,tabela_registros[DIA],jantotal[[#Headers],[8]],tabela_registros[REGISTRO],DADOS!$N$4,tabela_registros[TIPO],DADOS!$P$3,tabela_registros[CATEGORIA],despesafixaconsolidado[[#This Row],[DESPESA FIXA]])</f>
        <v>0</v>
      </c>
      <c r="M39" s="119" t="n">
        <f aca="false">SUMIFS(tabela_registros[VALOR],tabela_registros[MÊS],$AE$1,tabela_registros[DIA],jantotal[[#Headers],[9]],tabela_registros[REGISTRO],DADOS!$N$4,tabela_registros[TIPO],DADOS!$P$3,tabela_registros[CATEGORIA],despesafixaconsolidado[[#This Row],[DESPESA FIXA]])</f>
        <v>0</v>
      </c>
      <c r="N39" s="119" t="n">
        <f aca="false">SUMIFS(tabela_registros[VALOR],tabela_registros[MÊS],$AE$1,tabela_registros[DIA],jantotal[[#Headers],[10]],tabela_registros[REGISTRO],DADOS!$N$4,tabela_registros[TIPO],DADOS!$P$3,tabela_registros[CATEGORIA],despesafixaconsolidado[[#This Row],[DESPESA FIXA]])</f>
        <v>0</v>
      </c>
      <c r="O39" s="119" t="n">
        <f aca="false">SUMIFS(tabela_registros[VALOR],tabela_registros[MÊS],$AE$1,tabela_registros[DIA],jantotal[[#Headers],[11]],tabela_registros[REGISTRO],DADOS!$N$4,tabela_registros[TIPO],DADOS!$P$3,tabela_registros[CATEGORIA],despesafixaconsolidado[[#This Row],[DESPESA FIXA]])</f>
        <v>0</v>
      </c>
      <c r="P39" s="119" t="n">
        <f aca="false">SUMIFS(tabela_registros[VALOR],tabela_registros[MÊS],$AE$1,tabela_registros[DIA],jantotal[[#Headers],[12]],tabela_registros[REGISTRO],DADOS!$N$4,tabela_registros[TIPO],DADOS!$P$3,tabela_registros[CATEGORIA],despesafixaconsolidado[[#This Row],[DESPESA FIXA]])</f>
        <v>0</v>
      </c>
      <c r="Q39" s="119" t="n">
        <f aca="false">SUMIFS(tabela_registros[VALOR],tabela_registros[MÊS],$AE$1,tabela_registros[DIA],jantotal[[#Headers],[13]],tabela_registros[REGISTRO],DADOS!$N$4,tabela_registros[TIPO],DADOS!$P$3,tabela_registros[CATEGORIA],despesafixaconsolidado[[#This Row],[DESPESA FIXA]])</f>
        <v>0</v>
      </c>
      <c r="R39" s="119" t="n">
        <f aca="false">SUMIFS(tabela_registros[VALOR],tabela_registros[MÊS],$AE$1,tabela_registros[DIA],jantotal[[#Headers],[14]],tabela_registros[REGISTRO],DADOS!$N$4,tabela_registros[TIPO],DADOS!$P$3,tabela_registros[CATEGORIA],despesafixaconsolidado[[#This Row],[DESPESA FIXA]])</f>
        <v>0</v>
      </c>
      <c r="S39" s="119" t="n">
        <f aca="false">SUMIFS(tabela_registros[VALOR],tabela_registros[MÊS],$AE$1,tabela_registros[DIA],jantotal[[#Headers],[15]],tabela_registros[REGISTRO],DADOS!$N$4,tabela_registros[TIPO],DADOS!$P$3,tabela_registros[CATEGORIA],despesafixaconsolidado[[#This Row],[DESPESA FIXA]])</f>
        <v>0</v>
      </c>
      <c r="T39" s="119" t="n">
        <f aca="false">SUMIFS(tabela_registros[VALOR],tabela_registros[MÊS],$AE$1,tabela_registros[DIA],jantotal[[#Headers],[16]],tabela_registros[REGISTRO],DADOS!$N$4,tabela_registros[TIPO],DADOS!$P$3,tabela_registros[CATEGORIA],despesafixaconsolidado[[#This Row],[DESPESA FIXA]])</f>
        <v>0</v>
      </c>
      <c r="U39" s="119" t="n">
        <f aca="false">SUMIFS(tabela_registros[VALOR],tabela_registros[MÊS],$AE$1,tabela_registros[DIA],jantotal[[#Headers],[17]],tabela_registros[REGISTRO],DADOS!$N$4,tabela_registros[TIPO],DADOS!$P$3,tabela_registros[CATEGORIA],despesafixaconsolidado[[#This Row],[DESPESA FIXA]])</f>
        <v>0</v>
      </c>
      <c r="V39" s="119" t="n">
        <f aca="false">SUMIFS(tabela_registros[VALOR],tabela_registros[MÊS],$AE$1,tabela_registros[DIA],jantotal[[#Headers],[18]],tabela_registros[REGISTRO],DADOS!$N$4,tabela_registros[TIPO],DADOS!$P$3,tabela_registros[CATEGORIA],despesafixaconsolidado[[#This Row],[DESPESA FIXA]])</f>
        <v>0</v>
      </c>
      <c r="W39" s="119" t="n">
        <f aca="false">SUMIFS(tabela_registros[VALOR],tabela_registros[MÊS],$AE$1,tabela_registros[DIA],jantotal[[#Headers],[19]],tabela_registros[REGISTRO],DADOS!$N$4,tabela_registros[TIPO],DADOS!$P$3,tabela_registros[CATEGORIA],despesafixaconsolidado[[#This Row],[DESPESA FIXA]])</f>
        <v>0</v>
      </c>
      <c r="X39" s="119" t="n">
        <f aca="false">SUMIFS(tabela_registros[VALOR],tabela_registros[MÊS],$AE$1,tabela_registros[DIA],jantotal[[#Headers],[20]],tabela_registros[REGISTRO],DADOS!$N$4,tabela_registros[TIPO],DADOS!$P$3,tabela_registros[CATEGORIA],despesafixaconsolidado[[#This Row],[DESPESA FIXA]])</f>
        <v>0</v>
      </c>
      <c r="Y39" s="119" t="n">
        <f aca="false">SUMIFS(tabela_registros[VALOR],tabela_registros[MÊS],$AE$1,tabela_registros[DIA],jantotal[[#Headers],[21]],tabela_registros[REGISTRO],DADOS!$N$4,tabela_registros[TIPO],DADOS!$P$3,tabela_registros[CATEGORIA],despesafixaconsolidado[[#This Row],[DESPESA FIXA]])</f>
        <v>0</v>
      </c>
      <c r="Z39" s="119" t="n">
        <f aca="false">SUMIFS(tabela_registros[VALOR],tabela_registros[MÊS],$AE$1,tabela_registros[DIA],jantotal[[#Headers],[22]],tabela_registros[REGISTRO],DADOS!$N$4,tabela_registros[TIPO],DADOS!$P$3,tabela_registros[CATEGORIA],despesafixaconsolidado[[#This Row],[DESPESA FIXA]])</f>
        <v>0</v>
      </c>
      <c r="AA39" s="119" t="n">
        <f aca="false">SUMIFS(tabela_registros[VALOR],tabela_registros[MÊS],$AE$1,tabela_registros[DIA],jantotal[[#Headers],[23]],tabela_registros[REGISTRO],DADOS!$N$4,tabela_registros[TIPO],DADOS!$P$3,tabela_registros[CATEGORIA],despesafixaconsolidado[[#This Row],[DESPESA FIXA]])</f>
        <v>0</v>
      </c>
      <c r="AB39" s="119" t="n">
        <f aca="false">SUMIFS(tabela_registros[VALOR],tabela_registros[MÊS],$AE$1,tabela_registros[DIA],jantotal[[#Headers],[24]],tabela_registros[REGISTRO],DADOS!$N$4,tabela_registros[TIPO],DADOS!$P$3,tabela_registros[CATEGORIA],despesafixaconsolidado[[#This Row],[DESPESA FIXA]])</f>
        <v>0</v>
      </c>
      <c r="AC39" s="119" t="n">
        <f aca="false">SUMIFS(tabela_registros[VALOR],tabela_registros[MÊS],$AE$1,tabela_registros[DIA],jantotal[[#Headers],[25]],tabela_registros[REGISTRO],DADOS!$N$4,tabela_registros[TIPO],DADOS!$P$3,tabela_registros[CATEGORIA],despesafixaconsolidado[[#This Row],[DESPESA FIXA]])</f>
        <v>0</v>
      </c>
      <c r="AD39" s="119" t="n">
        <f aca="false">SUMIFS(tabela_registros[VALOR],tabela_registros[MÊS],$AE$1,tabela_registros[DIA],jantotal[[#Headers],[26]],tabela_registros[REGISTRO],DADOS!$N$4,tabela_registros[TIPO],DADOS!$P$3,tabela_registros[CATEGORIA],despesafixaconsolidado[[#This Row],[DESPESA FIXA]])</f>
        <v>0</v>
      </c>
      <c r="AE39" s="119" t="n">
        <f aca="false">SUMIFS(tabela_registros[VALOR],tabela_registros[MÊS],$AE$1,tabela_registros[DIA],jantotal[[#Headers],[27]],tabela_registros[REGISTRO],DADOS!$N$4,tabela_registros[TIPO],DADOS!$P$3,tabela_registros[CATEGORIA],despesafixaconsolidado[[#This Row],[DESPESA FIXA]])</f>
        <v>0</v>
      </c>
      <c r="AF39" s="119" t="n">
        <f aca="false">SUMIFS(tabela_registros[VALOR],tabela_registros[MÊS],$AE$1,tabela_registros[DIA],jantotal[[#Headers],[28]],tabela_registros[REGISTRO],DADOS!$N$4,tabela_registros[TIPO],DADOS!$P$3,tabela_registros[CATEGORIA],despesafixaconsolidado[[#This Row],[DESPESA FIXA]])</f>
        <v>0</v>
      </c>
      <c r="AG39" s="119" t="n">
        <f aca="false">SUMIFS(tabela_registros[VALOR],tabela_registros[MÊS],$AE$1,tabela_registros[DIA],jantotal[[#Headers],[29]],tabela_registros[REGISTRO],DADOS!$N$4,tabela_registros[TIPO],DADOS!$P$3,tabela_registros[CATEGORIA],despesafixaconsolidado[[#This Row],[DESPESA FIXA]])</f>
        <v>0</v>
      </c>
      <c r="AH39" s="119" t="n">
        <f aca="false">SUMIFS(tabela_registros[VALOR],tabela_registros[MÊS],$AE$1,tabela_registros[DIA],jantotal[[#Headers],[30]],tabela_registros[REGISTRO],DADOS!$N$4,tabela_registros[TIPO],DADOS!$P$3,tabela_registros[CATEGORIA],despesafixaconsolidado[[#This Row],[DESPESA FIXA]])</f>
        <v>0</v>
      </c>
      <c r="AI39" s="217" t="n">
        <f aca="false">SUMIFS(tabela_registros[VALOR],tabela_registros[MÊS],$AE$1,tabela_registros[DIA],jantotal[[#Headers],[31]],tabela_registros[REGISTRO],DADOS!$N$4,tabela_registros[TIPO],DADOS!$P$3,tabela_registros[CATEGORIA],despesafixaconsolidado[[#This Row],[DESPESA FIXA]])</f>
        <v>0</v>
      </c>
      <c r="AJ39" s="149" t="n">
        <f aca="false">SUM(despesafixaconsolidado[[#This Row],[1]:[31]])</f>
        <v>0</v>
      </c>
      <c r="AK39" s="213"/>
      <c r="AL39" s="189"/>
    </row>
    <row r="40" customFormat="false" ht="18" hidden="false" customHeight="true" outlineLevel="0" collapsed="false">
      <c r="A40" s="189"/>
      <c r="B40" s="213"/>
      <c r="C40" s="214" t="str">
        <f aca="false">DADOS!$R$6</f>
        <v>📱 CELULAR</v>
      </c>
      <c r="D40" s="215" t="str">
        <f aca="false">IF(despesafixaconsolidado[[#This Row],[TOTAL]]=0,"",IF(OR(despesafixaconsolidado[[#This Row],[TOTAL]]=LARGE($AJ$37:$AJ$50,1),despesafixaconsolidado[[#This Row],[TOTAL]]=LARGE($AJ$37:$AJ$50,2),despesafixaconsolidado[[#This Row],[TOTAL]]=LARGE($AJ$37:$AJ$50,3),despesafixaconsolidado[[#This Row],[TOTAL]]=LARGE($AJ$37:$AJ$50,4),despesafixaconsolidado[[#This Row],[TOTAL]]=LARGE($AJ$37:$AJ$50,5)),DADOS!$I$8,""))</f>
        <v/>
      </c>
      <c r="E40" s="148" t="n">
        <f aca="false">SUMIFS(tabela_registros[VALOR],tabela_registros[MÊS],$AE$1,tabela_registros[DIA],jantotal[[#Headers],[1]],tabela_registros[REGISTRO],DADOS!$N$4,tabela_registros[TIPO],DADOS!$P$3,tabela_registros[CATEGORIA],despesafixaconsolidado[[#This Row],[DESPESA FIXA]])</f>
        <v>0</v>
      </c>
      <c r="F40" s="119" t="n">
        <f aca="false">SUMIFS(tabela_registros[VALOR],tabela_registros[MÊS],$AE$1,tabela_registros[DIA],jantotal[[#Headers],[2]],tabela_registros[REGISTRO],DADOS!$N$4,tabela_registros[TIPO],DADOS!$P$3,tabela_registros[CATEGORIA],despesafixaconsolidado[[#This Row],[DESPESA FIXA]])</f>
        <v>0</v>
      </c>
      <c r="G40" s="119" t="n">
        <f aca="false">SUMIFS(tabela_registros[VALOR],tabela_registros[MÊS],$AE$1,tabela_registros[DIA],jantotal[[#Headers],[3]],tabela_registros[REGISTRO],DADOS!$N$4,tabela_registros[TIPO],DADOS!$P$3,tabela_registros[CATEGORIA],despesafixaconsolidado[[#This Row],[DESPESA FIXA]])</f>
        <v>0</v>
      </c>
      <c r="H40" s="119" t="n">
        <f aca="false">SUMIFS(tabela_registros[VALOR],tabela_registros[MÊS],$AE$1,tabela_registros[DIA],jantotal[[#Headers],[4]],tabela_registros[REGISTRO],DADOS!$N$4,tabela_registros[TIPO],DADOS!$P$3,tabela_registros[CATEGORIA],despesafixaconsolidado[[#This Row],[DESPESA FIXA]])</f>
        <v>0</v>
      </c>
      <c r="I40" s="119" t="n">
        <f aca="false">SUMIFS(tabela_registros[VALOR],tabela_registros[MÊS],$AE$1,tabela_registros[DIA],jantotal[[#Headers],[5]],tabela_registros[REGISTRO],DADOS!$N$4,tabela_registros[TIPO],DADOS!$P$3,tabela_registros[CATEGORIA],despesafixaconsolidado[[#This Row],[DESPESA FIXA]])</f>
        <v>0</v>
      </c>
      <c r="J40" s="119" t="n">
        <f aca="false">SUMIFS(tabela_registros[VALOR],tabela_registros[MÊS],$AE$1,tabela_registros[DIA],jantotal[[#Headers],[6]],tabela_registros[REGISTRO],DADOS!$N$4,tabela_registros[TIPO],DADOS!$P$3,tabela_registros[CATEGORIA],despesafixaconsolidado[[#This Row],[DESPESA FIXA]])</f>
        <v>0</v>
      </c>
      <c r="K40" s="119" t="n">
        <f aca="false">SUMIFS(tabela_registros[VALOR],tabela_registros[MÊS],$AE$1,tabela_registros[DIA],jantotal[[#Headers],[7]],tabela_registros[REGISTRO],DADOS!$N$4,tabela_registros[TIPO],DADOS!$P$3,tabela_registros[CATEGORIA],despesafixaconsolidado[[#This Row],[DESPESA FIXA]])</f>
        <v>0</v>
      </c>
      <c r="L40" s="119" t="n">
        <f aca="false">SUMIFS(tabela_registros[VALOR],tabela_registros[MÊS],$AE$1,tabela_registros[DIA],jantotal[[#Headers],[8]],tabela_registros[REGISTRO],DADOS!$N$4,tabela_registros[TIPO],DADOS!$P$3,tabela_registros[CATEGORIA],despesafixaconsolidado[[#This Row],[DESPESA FIXA]])</f>
        <v>0</v>
      </c>
      <c r="M40" s="119" t="n">
        <f aca="false">SUMIFS(tabela_registros[VALOR],tabela_registros[MÊS],$AE$1,tabela_registros[DIA],jantotal[[#Headers],[9]],tabela_registros[REGISTRO],DADOS!$N$4,tabela_registros[TIPO],DADOS!$P$3,tabela_registros[CATEGORIA],despesafixaconsolidado[[#This Row],[DESPESA FIXA]])</f>
        <v>0</v>
      </c>
      <c r="N40" s="119" t="n">
        <f aca="false">SUMIFS(tabela_registros[VALOR],tabela_registros[MÊS],$AE$1,tabela_registros[DIA],jantotal[[#Headers],[10]],tabela_registros[REGISTRO],DADOS!$N$4,tabela_registros[TIPO],DADOS!$P$3,tabela_registros[CATEGORIA],despesafixaconsolidado[[#This Row],[DESPESA FIXA]])</f>
        <v>0</v>
      </c>
      <c r="O40" s="119" t="n">
        <f aca="false">SUMIFS(tabela_registros[VALOR],tabela_registros[MÊS],$AE$1,tabela_registros[DIA],jantotal[[#Headers],[11]],tabela_registros[REGISTRO],DADOS!$N$4,tabela_registros[TIPO],DADOS!$P$3,tabela_registros[CATEGORIA],despesafixaconsolidado[[#This Row],[DESPESA FIXA]])</f>
        <v>0</v>
      </c>
      <c r="P40" s="119" t="n">
        <f aca="false">SUMIFS(tabela_registros[VALOR],tabela_registros[MÊS],$AE$1,tabela_registros[DIA],jantotal[[#Headers],[12]],tabela_registros[REGISTRO],DADOS!$N$4,tabela_registros[TIPO],DADOS!$P$3,tabela_registros[CATEGORIA],despesafixaconsolidado[[#This Row],[DESPESA FIXA]])</f>
        <v>0</v>
      </c>
      <c r="Q40" s="119" t="n">
        <f aca="false">SUMIFS(tabela_registros[VALOR],tabela_registros[MÊS],$AE$1,tabela_registros[DIA],jantotal[[#Headers],[13]],tabela_registros[REGISTRO],DADOS!$N$4,tabela_registros[TIPO],DADOS!$P$3,tabela_registros[CATEGORIA],despesafixaconsolidado[[#This Row],[DESPESA FIXA]])</f>
        <v>0</v>
      </c>
      <c r="R40" s="119" t="n">
        <f aca="false">SUMIFS(tabela_registros[VALOR],tabela_registros[MÊS],$AE$1,tabela_registros[DIA],jantotal[[#Headers],[14]],tabela_registros[REGISTRO],DADOS!$N$4,tabela_registros[TIPO],DADOS!$P$3,tabela_registros[CATEGORIA],despesafixaconsolidado[[#This Row],[DESPESA FIXA]])</f>
        <v>0</v>
      </c>
      <c r="S40" s="119" t="n">
        <f aca="false">SUMIFS(tabela_registros[VALOR],tabela_registros[MÊS],$AE$1,tabela_registros[DIA],jantotal[[#Headers],[15]],tabela_registros[REGISTRO],DADOS!$N$4,tabela_registros[TIPO],DADOS!$P$3,tabela_registros[CATEGORIA],despesafixaconsolidado[[#This Row],[DESPESA FIXA]])</f>
        <v>0</v>
      </c>
      <c r="T40" s="119" t="n">
        <f aca="false">SUMIFS(tabela_registros[VALOR],tabela_registros[MÊS],$AE$1,tabela_registros[DIA],jantotal[[#Headers],[16]],tabela_registros[REGISTRO],DADOS!$N$4,tabela_registros[TIPO],DADOS!$P$3,tabela_registros[CATEGORIA],despesafixaconsolidado[[#This Row],[DESPESA FIXA]])</f>
        <v>0</v>
      </c>
      <c r="U40" s="119" t="n">
        <f aca="false">SUMIFS(tabela_registros[VALOR],tabela_registros[MÊS],$AE$1,tabela_registros[DIA],jantotal[[#Headers],[17]],tabela_registros[REGISTRO],DADOS!$N$4,tabela_registros[TIPO],DADOS!$P$3,tabela_registros[CATEGORIA],despesafixaconsolidado[[#This Row],[DESPESA FIXA]])</f>
        <v>0</v>
      </c>
      <c r="V40" s="119" t="n">
        <f aca="false">SUMIFS(tabela_registros[VALOR],tabela_registros[MÊS],$AE$1,tabela_registros[DIA],jantotal[[#Headers],[18]],tabela_registros[REGISTRO],DADOS!$N$4,tabela_registros[TIPO],DADOS!$P$3,tabela_registros[CATEGORIA],despesafixaconsolidado[[#This Row],[DESPESA FIXA]])</f>
        <v>0</v>
      </c>
      <c r="W40" s="119" t="n">
        <f aca="false">SUMIFS(tabela_registros[VALOR],tabela_registros[MÊS],$AE$1,tabela_registros[DIA],jantotal[[#Headers],[19]],tabela_registros[REGISTRO],DADOS!$N$4,tabela_registros[TIPO],DADOS!$P$3,tabela_registros[CATEGORIA],despesafixaconsolidado[[#This Row],[DESPESA FIXA]])</f>
        <v>0</v>
      </c>
      <c r="X40" s="119" t="n">
        <f aca="false">SUMIFS(tabela_registros[VALOR],tabela_registros[MÊS],$AE$1,tabela_registros[DIA],jantotal[[#Headers],[20]],tabela_registros[REGISTRO],DADOS!$N$4,tabela_registros[TIPO],DADOS!$P$3,tabela_registros[CATEGORIA],despesafixaconsolidado[[#This Row],[DESPESA FIXA]])</f>
        <v>0</v>
      </c>
      <c r="Y40" s="119" t="n">
        <f aca="false">SUMIFS(tabela_registros[VALOR],tabela_registros[MÊS],$AE$1,tabela_registros[DIA],jantotal[[#Headers],[21]],tabela_registros[REGISTRO],DADOS!$N$4,tabela_registros[TIPO],DADOS!$P$3,tabela_registros[CATEGORIA],despesafixaconsolidado[[#This Row],[DESPESA FIXA]])</f>
        <v>0</v>
      </c>
      <c r="Z40" s="119" t="n">
        <f aca="false">SUMIFS(tabela_registros[VALOR],tabela_registros[MÊS],$AE$1,tabela_registros[DIA],jantotal[[#Headers],[22]],tabela_registros[REGISTRO],DADOS!$N$4,tabela_registros[TIPO],DADOS!$P$3,tabela_registros[CATEGORIA],despesafixaconsolidado[[#This Row],[DESPESA FIXA]])</f>
        <v>0</v>
      </c>
      <c r="AA40" s="119" t="n">
        <f aca="false">SUMIFS(tabela_registros[VALOR],tabela_registros[MÊS],$AE$1,tabela_registros[DIA],jantotal[[#Headers],[23]],tabela_registros[REGISTRO],DADOS!$N$4,tabela_registros[TIPO],DADOS!$P$3,tabela_registros[CATEGORIA],despesafixaconsolidado[[#This Row],[DESPESA FIXA]])</f>
        <v>0</v>
      </c>
      <c r="AB40" s="119" t="n">
        <f aca="false">SUMIFS(tabela_registros[VALOR],tabela_registros[MÊS],$AE$1,tabela_registros[DIA],jantotal[[#Headers],[24]],tabela_registros[REGISTRO],DADOS!$N$4,tabela_registros[TIPO],DADOS!$P$3,tabela_registros[CATEGORIA],despesafixaconsolidado[[#This Row],[DESPESA FIXA]])</f>
        <v>0</v>
      </c>
      <c r="AC40" s="119" t="n">
        <f aca="false">SUMIFS(tabela_registros[VALOR],tabela_registros[MÊS],$AE$1,tabela_registros[DIA],jantotal[[#Headers],[25]],tabela_registros[REGISTRO],DADOS!$N$4,tabela_registros[TIPO],DADOS!$P$3,tabela_registros[CATEGORIA],despesafixaconsolidado[[#This Row],[DESPESA FIXA]])</f>
        <v>0</v>
      </c>
      <c r="AD40" s="119" t="n">
        <f aca="false">SUMIFS(tabela_registros[VALOR],tabela_registros[MÊS],$AE$1,tabela_registros[DIA],jantotal[[#Headers],[26]],tabela_registros[REGISTRO],DADOS!$N$4,tabela_registros[TIPO],DADOS!$P$3,tabela_registros[CATEGORIA],despesafixaconsolidado[[#This Row],[DESPESA FIXA]])</f>
        <v>0</v>
      </c>
      <c r="AE40" s="119" t="n">
        <f aca="false">SUMIFS(tabela_registros[VALOR],tabela_registros[MÊS],$AE$1,tabela_registros[DIA],jantotal[[#Headers],[27]],tabela_registros[REGISTRO],DADOS!$N$4,tabela_registros[TIPO],DADOS!$P$3,tabela_registros[CATEGORIA],despesafixaconsolidado[[#This Row],[DESPESA FIXA]])</f>
        <v>0</v>
      </c>
      <c r="AF40" s="119" t="n">
        <f aca="false">SUMIFS(tabela_registros[VALOR],tabela_registros[MÊS],$AE$1,tabela_registros[DIA],jantotal[[#Headers],[28]],tabela_registros[REGISTRO],DADOS!$N$4,tabela_registros[TIPO],DADOS!$P$3,tabela_registros[CATEGORIA],despesafixaconsolidado[[#This Row],[DESPESA FIXA]])</f>
        <v>0</v>
      </c>
      <c r="AG40" s="119" t="n">
        <f aca="false">SUMIFS(tabela_registros[VALOR],tabela_registros[MÊS],$AE$1,tabela_registros[DIA],jantotal[[#Headers],[29]],tabela_registros[REGISTRO],DADOS!$N$4,tabela_registros[TIPO],DADOS!$P$3,tabela_registros[CATEGORIA],despesafixaconsolidado[[#This Row],[DESPESA FIXA]])</f>
        <v>0</v>
      </c>
      <c r="AH40" s="119" t="n">
        <f aca="false">SUMIFS(tabela_registros[VALOR],tabela_registros[MÊS],$AE$1,tabela_registros[DIA],jantotal[[#Headers],[30]],tabela_registros[REGISTRO],DADOS!$N$4,tabela_registros[TIPO],DADOS!$P$3,tabela_registros[CATEGORIA],despesafixaconsolidado[[#This Row],[DESPESA FIXA]])</f>
        <v>0</v>
      </c>
      <c r="AI40" s="217" t="n">
        <f aca="false">SUMIFS(tabela_registros[VALOR],tabela_registros[MÊS],$AE$1,tabela_registros[DIA],jantotal[[#Headers],[31]],tabela_registros[REGISTRO],DADOS!$N$4,tabela_registros[TIPO],DADOS!$P$3,tabela_registros[CATEGORIA],despesafixaconsolidado[[#This Row],[DESPESA FIXA]])</f>
        <v>0</v>
      </c>
      <c r="AJ40" s="149" t="n">
        <f aca="false">SUM(despesafixaconsolidado[[#This Row],[1]:[31]])</f>
        <v>0</v>
      </c>
      <c r="AK40" s="213"/>
      <c r="AL40" s="189"/>
    </row>
    <row r="41" customFormat="false" ht="18" hidden="false" customHeight="true" outlineLevel="0" collapsed="false">
      <c r="A41" s="189"/>
      <c r="B41" s="213"/>
      <c r="C41" s="214" t="str">
        <f aca="false">DADOS!$R$7</f>
        <v>📖 EDUCAÇÃO</v>
      </c>
      <c r="D41" s="215" t="str">
        <f aca="false">IF(despesafixaconsolidado[[#This Row],[TOTAL]]=0,"",IF(OR(despesafixaconsolidado[[#This Row],[TOTAL]]=LARGE($AJ$37:$AJ$50,1),despesafixaconsolidado[[#This Row],[TOTAL]]=LARGE($AJ$37:$AJ$50,2),despesafixaconsolidado[[#This Row],[TOTAL]]=LARGE($AJ$37:$AJ$50,3),despesafixaconsolidado[[#This Row],[TOTAL]]=LARGE($AJ$37:$AJ$50,4),despesafixaconsolidado[[#This Row],[TOTAL]]=LARGE($AJ$37:$AJ$50,5)),DADOS!$I$8,""))</f>
        <v/>
      </c>
      <c r="E41" s="148" t="n">
        <f aca="false">SUMIFS(tabela_registros[VALOR],tabela_registros[MÊS],$AE$1,tabela_registros[DIA],jantotal[[#Headers],[1]],tabela_registros[REGISTRO],DADOS!$N$4,tabela_registros[TIPO],DADOS!$P$3,tabela_registros[CATEGORIA],despesafixaconsolidado[[#This Row],[DESPESA FIXA]])</f>
        <v>0</v>
      </c>
      <c r="F41" s="119" t="n">
        <f aca="false">SUMIFS(tabela_registros[VALOR],tabela_registros[MÊS],$AE$1,tabela_registros[DIA],jantotal[[#Headers],[2]],tabela_registros[REGISTRO],DADOS!$N$4,tabela_registros[TIPO],DADOS!$P$3,tabela_registros[CATEGORIA],despesafixaconsolidado[[#This Row],[DESPESA FIXA]])</f>
        <v>0</v>
      </c>
      <c r="G41" s="119" t="n">
        <f aca="false">SUMIFS(tabela_registros[VALOR],tabela_registros[MÊS],$AE$1,tabela_registros[DIA],jantotal[[#Headers],[3]],tabela_registros[REGISTRO],DADOS!$N$4,tabela_registros[TIPO],DADOS!$P$3,tabela_registros[CATEGORIA],despesafixaconsolidado[[#This Row],[DESPESA FIXA]])</f>
        <v>0</v>
      </c>
      <c r="H41" s="119" t="n">
        <f aca="false">SUMIFS(tabela_registros[VALOR],tabela_registros[MÊS],$AE$1,tabela_registros[DIA],jantotal[[#Headers],[4]],tabela_registros[REGISTRO],DADOS!$N$4,tabela_registros[TIPO],DADOS!$P$3,tabela_registros[CATEGORIA],despesafixaconsolidado[[#This Row],[DESPESA FIXA]])</f>
        <v>0</v>
      </c>
      <c r="I41" s="119" t="n">
        <f aca="false">SUMIFS(tabela_registros[VALOR],tabela_registros[MÊS],$AE$1,tabela_registros[DIA],jantotal[[#Headers],[5]],tabela_registros[REGISTRO],DADOS!$N$4,tabela_registros[TIPO],DADOS!$P$3,tabela_registros[CATEGORIA],despesafixaconsolidado[[#This Row],[DESPESA FIXA]])</f>
        <v>0</v>
      </c>
      <c r="J41" s="119" t="n">
        <f aca="false">SUMIFS(tabela_registros[VALOR],tabela_registros[MÊS],$AE$1,tabela_registros[DIA],jantotal[[#Headers],[6]],tabela_registros[REGISTRO],DADOS!$N$4,tabela_registros[TIPO],DADOS!$P$3,tabela_registros[CATEGORIA],despesafixaconsolidado[[#This Row],[DESPESA FIXA]])</f>
        <v>0</v>
      </c>
      <c r="K41" s="119" t="n">
        <f aca="false">SUMIFS(tabela_registros[VALOR],tabela_registros[MÊS],$AE$1,tabela_registros[DIA],jantotal[[#Headers],[7]],tabela_registros[REGISTRO],DADOS!$N$4,tabela_registros[TIPO],DADOS!$P$3,tabela_registros[CATEGORIA],despesafixaconsolidado[[#This Row],[DESPESA FIXA]])</f>
        <v>0</v>
      </c>
      <c r="L41" s="119" t="n">
        <f aca="false">SUMIFS(tabela_registros[VALOR],tabela_registros[MÊS],$AE$1,tabela_registros[DIA],jantotal[[#Headers],[8]],tabela_registros[REGISTRO],DADOS!$N$4,tabela_registros[TIPO],DADOS!$P$3,tabela_registros[CATEGORIA],despesafixaconsolidado[[#This Row],[DESPESA FIXA]])</f>
        <v>0</v>
      </c>
      <c r="M41" s="119" t="n">
        <f aca="false">SUMIFS(tabela_registros[VALOR],tabela_registros[MÊS],$AE$1,tabela_registros[DIA],jantotal[[#Headers],[9]],tabela_registros[REGISTRO],DADOS!$N$4,tabela_registros[TIPO],DADOS!$P$3,tabela_registros[CATEGORIA],despesafixaconsolidado[[#This Row],[DESPESA FIXA]])</f>
        <v>0</v>
      </c>
      <c r="N41" s="119" t="n">
        <f aca="false">SUMIFS(tabela_registros[VALOR],tabela_registros[MÊS],$AE$1,tabela_registros[DIA],jantotal[[#Headers],[10]],tabela_registros[REGISTRO],DADOS!$N$4,tabela_registros[TIPO],DADOS!$P$3,tabela_registros[CATEGORIA],despesafixaconsolidado[[#This Row],[DESPESA FIXA]])</f>
        <v>0</v>
      </c>
      <c r="O41" s="119" t="n">
        <f aca="false">SUMIFS(tabela_registros[VALOR],tabela_registros[MÊS],$AE$1,tabela_registros[DIA],jantotal[[#Headers],[11]],tabela_registros[REGISTRO],DADOS!$N$4,tabela_registros[TIPO],DADOS!$P$3,tabela_registros[CATEGORIA],despesafixaconsolidado[[#This Row],[DESPESA FIXA]])</f>
        <v>0</v>
      </c>
      <c r="P41" s="119" t="n">
        <f aca="false">SUMIFS(tabela_registros[VALOR],tabela_registros[MÊS],$AE$1,tabela_registros[DIA],jantotal[[#Headers],[12]],tabela_registros[REGISTRO],DADOS!$N$4,tabela_registros[TIPO],DADOS!$P$3,tabela_registros[CATEGORIA],despesafixaconsolidado[[#This Row],[DESPESA FIXA]])</f>
        <v>0</v>
      </c>
      <c r="Q41" s="119" t="n">
        <f aca="false">SUMIFS(tabela_registros[VALOR],tabela_registros[MÊS],$AE$1,tabela_registros[DIA],jantotal[[#Headers],[13]],tabela_registros[REGISTRO],DADOS!$N$4,tabela_registros[TIPO],DADOS!$P$3,tabela_registros[CATEGORIA],despesafixaconsolidado[[#This Row],[DESPESA FIXA]])</f>
        <v>0</v>
      </c>
      <c r="R41" s="119" t="n">
        <f aca="false">SUMIFS(tabela_registros[VALOR],tabela_registros[MÊS],$AE$1,tabela_registros[DIA],jantotal[[#Headers],[14]],tabela_registros[REGISTRO],DADOS!$N$4,tabela_registros[TIPO],DADOS!$P$3,tabela_registros[CATEGORIA],despesafixaconsolidado[[#This Row],[DESPESA FIXA]])</f>
        <v>0</v>
      </c>
      <c r="S41" s="119" t="n">
        <f aca="false">SUMIFS(tabela_registros[VALOR],tabela_registros[MÊS],$AE$1,tabela_registros[DIA],jantotal[[#Headers],[15]],tabela_registros[REGISTRO],DADOS!$N$4,tabela_registros[TIPO],DADOS!$P$3,tabela_registros[CATEGORIA],despesafixaconsolidado[[#This Row],[DESPESA FIXA]])</f>
        <v>0</v>
      </c>
      <c r="T41" s="119" t="n">
        <f aca="false">SUMIFS(tabela_registros[VALOR],tabela_registros[MÊS],$AE$1,tabela_registros[DIA],jantotal[[#Headers],[16]],tabela_registros[REGISTRO],DADOS!$N$4,tabela_registros[TIPO],DADOS!$P$3,tabela_registros[CATEGORIA],despesafixaconsolidado[[#This Row],[DESPESA FIXA]])</f>
        <v>0</v>
      </c>
      <c r="U41" s="119" t="n">
        <f aca="false">SUMIFS(tabela_registros[VALOR],tabela_registros[MÊS],$AE$1,tabela_registros[DIA],jantotal[[#Headers],[17]],tabela_registros[REGISTRO],DADOS!$N$4,tabela_registros[TIPO],DADOS!$P$3,tabela_registros[CATEGORIA],despesafixaconsolidado[[#This Row],[DESPESA FIXA]])</f>
        <v>0</v>
      </c>
      <c r="V41" s="119" t="n">
        <f aca="false">SUMIFS(tabela_registros[VALOR],tabela_registros[MÊS],$AE$1,tabela_registros[DIA],jantotal[[#Headers],[18]],tabela_registros[REGISTRO],DADOS!$N$4,tabela_registros[TIPO],DADOS!$P$3,tabela_registros[CATEGORIA],despesafixaconsolidado[[#This Row],[DESPESA FIXA]])</f>
        <v>0</v>
      </c>
      <c r="W41" s="119" t="n">
        <f aca="false">SUMIFS(tabela_registros[VALOR],tabela_registros[MÊS],$AE$1,tabela_registros[DIA],jantotal[[#Headers],[19]],tabela_registros[REGISTRO],DADOS!$N$4,tabela_registros[TIPO],DADOS!$P$3,tabela_registros[CATEGORIA],despesafixaconsolidado[[#This Row],[DESPESA FIXA]])</f>
        <v>0</v>
      </c>
      <c r="X41" s="119" t="n">
        <f aca="false">SUMIFS(tabela_registros[VALOR],tabela_registros[MÊS],$AE$1,tabela_registros[DIA],jantotal[[#Headers],[20]],tabela_registros[REGISTRO],DADOS!$N$4,tabela_registros[TIPO],DADOS!$P$3,tabela_registros[CATEGORIA],despesafixaconsolidado[[#This Row],[DESPESA FIXA]])</f>
        <v>0</v>
      </c>
      <c r="Y41" s="119" t="n">
        <f aca="false">SUMIFS(tabela_registros[VALOR],tabela_registros[MÊS],$AE$1,tabela_registros[DIA],jantotal[[#Headers],[21]],tabela_registros[REGISTRO],DADOS!$N$4,tabela_registros[TIPO],DADOS!$P$3,tabela_registros[CATEGORIA],despesafixaconsolidado[[#This Row],[DESPESA FIXA]])</f>
        <v>0</v>
      </c>
      <c r="Z41" s="119" t="n">
        <f aca="false">SUMIFS(tabela_registros[VALOR],tabela_registros[MÊS],$AE$1,tabela_registros[DIA],jantotal[[#Headers],[22]],tabela_registros[REGISTRO],DADOS!$N$4,tabela_registros[TIPO],DADOS!$P$3,tabela_registros[CATEGORIA],despesafixaconsolidado[[#This Row],[DESPESA FIXA]])</f>
        <v>0</v>
      </c>
      <c r="AA41" s="119" t="n">
        <f aca="false">SUMIFS(tabela_registros[VALOR],tabela_registros[MÊS],$AE$1,tabela_registros[DIA],jantotal[[#Headers],[23]],tabela_registros[REGISTRO],DADOS!$N$4,tabela_registros[TIPO],DADOS!$P$3,tabela_registros[CATEGORIA],despesafixaconsolidado[[#This Row],[DESPESA FIXA]])</f>
        <v>0</v>
      </c>
      <c r="AB41" s="119" t="n">
        <f aca="false">SUMIFS(tabela_registros[VALOR],tabela_registros[MÊS],$AE$1,tabela_registros[DIA],jantotal[[#Headers],[24]],tabela_registros[REGISTRO],DADOS!$N$4,tabela_registros[TIPO],DADOS!$P$3,tabela_registros[CATEGORIA],despesafixaconsolidado[[#This Row],[DESPESA FIXA]])</f>
        <v>0</v>
      </c>
      <c r="AC41" s="119" t="n">
        <f aca="false">SUMIFS(tabela_registros[VALOR],tabela_registros[MÊS],$AE$1,tabela_registros[DIA],jantotal[[#Headers],[25]],tabela_registros[REGISTRO],DADOS!$N$4,tabela_registros[TIPO],DADOS!$P$3,tabela_registros[CATEGORIA],despesafixaconsolidado[[#This Row],[DESPESA FIXA]])</f>
        <v>0</v>
      </c>
      <c r="AD41" s="119" t="n">
        <f aca="false">SUMIFS(tabela_registros[VALOR],tabela_registros[MÊS],$AE$1,tabela_registros[DIA],jantotal[[#Headers],[26]],tabela_registros[REGISTRO],DADOS!$N$4,tabela_registros[TIPO],DADOS!$P$3,tabela_registros[CATEGORIA],despesafixaconsolidado[[#This Row],[DESPESA FIXA]])</f>
        <v>0</v>
      </c>
      <c r="AE41" s="119" t="n">
        <f aca="false">SUMIFS(tabela_registros[VALOR],tabela_registros[MÊS],$AE$1,tabela_registros[DIA],jantotal[[#Headers],[27]],tabela_registros[REGISTRO],DADOS!$N$4,tabela_registros[TIPO],DADOS!$P$3,tabela_registros[CATEGORIA],despesafixaconsolidado[[#This Row],[DESPESA FIXA]])</f>
        <v>0</v>
      </c>
      <c r="AF41" s="119" t="n">
        <f aca="false">SUMIFS(tabela_registros[VALOR],tabela_registros[MÊS],$AE$1,tabela_registros[DIA],jantotal[[#Headers],[28]],tabela_registros[REGISTRO],DADOS!$N$4,tabela_registros[TIPO],DADOS!$P$3,tabela_registros[CATEGORIA],despesafixaconsolidado[[#This Row],[DESPESA FIXA]])</f>
        <v>0</v>
      </c>
      <c r="AG41" s="119" t="n">
        <f aca="false">SUMIFS(tabela_registros[VALOR],tabela_registros[MÊS],$AE$1,tabela_registros[DIA],jantotal[[#Headers],[29]],tabela_registros[REGISTRO],DADOS!$N$4,tabela_registros[TIPO],DADOS!$P$3,tabela_registros[CATEGORIA],despesafixaconsolidado[[#This Row],[DESPESA FIXA]])</f>
        <v>0</v>
      </c>
      <c r="AH41" s="119" t="n">
        <f aca="false">SUMIFS(tabela_registros[VALOR],tabela_registros[MÊS],$AE$1,tabela_registros[DIA],jantotal[[#Headers],[30]],tabela_registros[REGISTRO],DADOS!$N$4,tabela_registros[TIPO],DADOS!$P$3,tabela_registros[CATEGORIA],despesafixaconsolidado[[#This Row],[DESPESA FIXA]])</f>
        <v>0</v>
      </c>
      <c r="AI41" s="217" t="n">
        <f aca="false">SUMIFS(tabela_registros[VALOR],tabela_registros[MÊS],$AE$1,tabela_registros[DIA],jantotal[[#Headers],[31]],tabela_registros[REGISTRO],DADOS!$N$4,tabela_registros[TIPO],DADOS!$P$3,tabela_registros[CATEGORIA],despesafixaconsolidado[[#This Row],[DESPESA FIXA]])</f>
        <v>0</v>
      </c>
      <c r="AJ41" s="149" t="n">
        <f aca="false">SUM(despesafixaconsolidado[[#This Row],[1]:[31]])</f>
        <v>0</v>
      </c>
      <c r="AK41" s="213"/>
      <c r="AL41" s="189"/>
    </row>
    <row r="42" customFormat="false" ht="18" hidden="false" customHeight="true" outlineLevel="0" collapsed="false">
      <c r="A42" s="189"/>
      <c r="B42" s="213"/>
      <c r="C42" s="214" t="str">
        <f aca="false">DADOS!$R$8</f>
        <v>🏦 EMPRÉSTIMO</v>
      </c>
      <c r="D42" s="215" t="str">
        <f aca="false">IF(despesafixaconsolidado[[#This Row],[TOTAL]]=0,"",IF(OR(despesafixaconsolidado[[#This Row],[TOTAL]]=LARGE($AJ$37:$AJ$50,1),despesafixaconsolidado[[#This Row],[TOTAL]]=LARGE($AJ$37:$AJ$50,2),despesafixaconsolidado[[#This Row],[TOTAL]]=LARGE($AJ$37:$AJ$50,3),despesafixaconsolidado[[#This Row],[TOTAL]]=LARGE($AJ$37:$AJ$50,4),despesafixaconsolidado[[#This Row],[TOTAL]]=LARGE($AJ$37:$AJ$50,5)),DADOS!$I$8,""))</f>
        <v/>
      </c>
      <c r="E42" s="148" t="n">
        <f aca="false">SUMIFS(tabela_registros[VALOR],tabela_registros[MÊS],$AE$1,tabela_registros[DIA],jantotal[[#Headers],[1]],tabela_registros[REGISTRO],DADOS!$N$4,tabela_registros[TIPO],DADOS!$P$3,tabela_registros[CATEGORIA],despesafixaconsolidado[[#This Row],[DESPESA FIXA]])</f>
        <v>0</v>
      </c>
      <c r="F42" s="119" t="n">
        <f aca="false">SUMIFS(tabela_registros[VALOR],tabela_registros[MÊS],$AE$1,tabela_registros[DIA],jantotal[[#Headers],[2]],tabela_registros[REGISTRO],DADOS!$N$4,tabela_registros[TIPO],DADOS!$P$3,tabela_registros[CATEGORIA],despesafixaconsolidado[[#This Row],[DESPESA FIXA]])</f>
        <v>0</v>
      </c>
      <c r="G42" s="119" t="n">
        <f aca="false">SUMIFS(tabela_registros[VALOR],tabela_registros[MÊS],$AE$1,tabela_registros[DIA],jantotal[[#Headers],[3]],tabela_registros[REGISTRO],DADOS!$N$4,tabela_registros[TIPO],DADOS!$P$3,tabela_registros[CATEGORIA],despesafixaconsolidado[[#This Row],[DESPESA FIXA]])</f>
        <v>0</v>
      </c>
      <c r="H42" s="119" t="n">
        <f aca="false">SUMIFS(tabela_registros[VALOR],tabela_registros[MÊS],$AE$1,tabela_registros[DIA],jantotal[[#Headers],[4]],tabela_registros[REGISTRO],DADOS!$N$4,tabela_registros[TIPO],DADOS!$P$3,tabela_registros[CATEGORIA],despesafixaconsolidado[[#This Row],[DESPESA FIXA]])</f>
        <v>0</v>
      </c>
      <c r="I42" s="119" t="n">
        <f aca="false">SUMIFS(tabela_registros[VALOR],tabela_registros[MÊS],$AE$1,tabela_registros[DIA],jantotal[[#Headers],[5]],tabela_registros[REGISTRO],DADOS!$N$4,tabela_registros[TIPO],DADOS!$P$3,tabela_registros[CATEGORIA],despesafixaconsolidado[[#This Row],[DESPESA FIXA]])</f>
        <v>0</v>
      </c>
      <c r="J42" s="119" t="n">
        <f aca="false">SUMIFS(tabela_registros[VALOR],tabela_registros[MÊS],$AE$1,tabela_registros[DIA],jantotal[[#Headers],[6]],tabela_registros[REGISTRO],DADOS!$N$4,tabela_registros[TIPO],DADOS!$P$3,tabela_registros[CATEGORIA],despesafixaconsolidado[[#This Row],[DESPESA FIXA]])</f>
        <v>0</v>
      </c>
      <c r="K42" s="119" t="n">
        <f aca="false">SUMIFS(tabela_registros[VALOR],tabela_registros[MÊS],$AE$1,tabela_registros[DIA],jantotal[[#Headers],[7]],tabela_registros[REGISTRO],DADOS!$N$4,tabela_registros[TIPO],DADOS!$P$3,tabela_registros[CATEGORIA],despesafixaconsolidado[[#This Row],[DESPESA FIXA]])</f>
        <v>0</v>
      </c>
      <c r="L42" s="119" t="n">
        <f aca="false">SUMIFS(tabela_registros[VALOR],tabela_registros[MÊS],$AE$1,tabela_registros[DIA],jantotal[[#Headers],[8]],tabela_registros[REGISTRO],DADOS!$N$4,tabela_registros[TIPO],DADOS!$P$3,tabela_registros[CATEGORIA],despesafixaconsolidado[[#This Row],[DESPESA FIXA]])</f>
        <v>0</v>
      </c>
      <c r="M42" s="119" t="n">
        <f aca="false">SUMIFS(tabela_registros[VALOR],tabela_registros[MÊS],$AE$1,tabela_registros[DIA],jantotal[[#Headers],[9]],tabela_registros[REGISTRO],DADOS!$N$4,tabela_registros[TIPO],DADOS!$P$3,tabela_registros[CATEGORIA],despesafixaconsolidado[[#This Row],[DESPESA FIXA]])</f>
        <v>0</v>
      </c>
      <c r="N42" s="119" t="n">
        <f aca="false">SUMIFS(tabela_registros[VALOR],tabela_registros[MÊS],$AE$1,tabela_registros[DIA],jantotal[[#Headers],[10]],tabela_registros[REGISTRO],DADOS!$N$4,tabela_registros[TIPO],DADOS!$P$3,tabela_registros[CATEGORIA],despesafixaconsolidado[[#This Row],[DESPESA FIXA]])</f>
        <v>0</v>
      </c>
      <c r="O42" s="119" t="n">
        <f aca="false">SUMIFS(tabela_registros[VALOR],tabela_registros[MÊS],$AE$1,tabela_registros[DIA],jantotal[[#Headers],[11]],tabela_registros[REGISTRO],DADOS!$N$4,tabela_registros[TIPO],DADOS!$P$3,tabela_registros[CATEGORIA],despesafixaconsolidado[[#This Row],[DESPESA FIXA]])</f>
        <v>0</v>
      </c>
      <c r="P42" s="119" t="n">
        <f aca="false">SUMIFS(tabela_registros[VALOR],tabela_registros[MÊS],$AE$1,tabela_registros[DIA],jantotal[[#Headers],[12]],tabela_registros[REGISTRO],DADOS!$N$4,tabela_registros[TIPO],DADOS!$P$3,tabela_registros[CATEGORIA],despesafixaconsolidado[[#This Row],[DESPESA FIXA]])</f>
        <v>0</v>
      </c>
      <c r="Q42" s="119" t="n">
        <f aca="false">SUMIFS(tabela_registros[VALOR],tabela_registros[MÊS],$AE$1,tabela_registros[DIA],jantotal[[#Headers],[13]],tabela_registros[REGISTRO],DADOS!$N$4,tabela_registros[TIPO],DADOS!$P$3,tabela_registros[CATEGORIA],despesafixaconsolidado[[#This Row],[DESPESA FIXA]])</f>
        <v>0</v>
      </c>
      <c r="R42" s="119" t="n">
        <f aca="false">SUMIFS(tabela_registros[VALOR],tabela_registros[MÊS],$AE$1,tabela_registros[DIA],jantotal[[#Headers],[14]],tabela_registros[REGISTRO],DADOS!$N$4,tabela_registros[TIPO],DADOS!$P$3,tabela_registros[CATEGORIA],despesafixaconsolidado[[#This Row],[DESPESA FIXA]])</f>
        <v>0</v>
      </c>
      <c r="S42" s="119" t="n">
        <f aca="false">SUMIFS(tabela_registros[VALOR],tabela_registros[MÊS],$AE$1,tabela_registros[DIA],jantotal[[#Headers],[15]],tabela_registros[REGISTRO],DADOS!$N$4,tabela_registros[TIPO],DADOS!$P$3,tabela_registros[CATEGORIA],despesafixaconsolidado[[#This Row],[DESPESA FIXA]])</f>
        <v>0</v>
      </c>
      <c r="T42" s="119" t="n">
        <f aca="false">SUMIFS(tabela_registros[VALOR],tabela_registros[MÊS],$AE$1,tabela_registros[DIA],jantotal[[#Headers],[16]],tabela_registros[REGISTRO],DADOS!$N$4,tabela_registros[TIPO],DADOS!$P$3,tabela_registros[CATEGORIA],despesafixaconsolidado[[#This Row],[DESPESA FIXA]])</f>
        <v>0</v>
      </c>
      <c r="U42" s="119" t="n">
        <f aca="false">SUMIFS(tabela_registros[VALOR],tabela_registros[MÊS],$AE$1,tabela_registros[DIA],jantotal[[#Headers],[17]],tabela_registros[REGISTRO],DADOS!$N$4,tabela_registros[TIPO],DADOS!$P$3,tabela_registros[CATEGORIA],despesafixaconsolidado[[#This Row],[DESPESA FIXA]])</f>
        <v>0</v>
      </c>
      <c r="V42" s="119" t="n">
        <f aca="false">SUMIFS(tabela_registros[VALOR],tabela_registros[MÊS],$AE$1,tabela_registros[DIA],jantotal[[#Headers],[18]],tabela_registros[REGISTRO],DADOS!$N$4,tabela_registros[TIPO],DADOS!$P$3,tabela_registros[CATEGORIA],despesafixaconsolidado[[#This Row],[DESPESA FIXA]])</f>
        <v>0</v>
      </c>
      <c r="W42" s="119" t="n">
        <f aca="false">SUMIFS(tabela_registros[VALOR],tabela_registros[MÊS],$AE$1,tabela_registros[DIA],jantotal[[#Headers],[19]],tabela_registros[REGISTRO],DADOS!$N$4,tabela_registros[TIPO],DADOS!$P$3,tabela_registros[CATEGORIA],despesafixaconsolidado[[#This Row],[DESPESA FIXA]])</f>
        <v>0</v>
      </c>
      <c r="X42" s="119" t="n">
        <f aca="false">SUMIFS(tabela_registros[VALOR],tabela_registros[MÊS],$AE$1,tabela_registros[DIA],jantotal[[#Headers],[20]],tabela_registros[REGISTRO],DADOS!$N$4,tabela_registros[TIPO],DADOS!$P$3,tabela_registros[CATEGORIA],despesafixaconsolidado[[#This Row],[DESPESA FIXA]])</f>
        <v>0</v>
      </c>
      <c r="Y42" s="119" t="n">
        <f aca="false">SUMIFS(tabela_registros[VALOR],tabela_registros[MÊS],$AE$1,tabela_registros[DIA],jantotal[[#Headers],[21]],tabela_registros[REGISTRO],DADOS!$N$4,tabela_registros[TIPO],DADOS!$P$3,tabela_registros[CATEGORIA],despesafixaconsolidado[[#This Row],[DESPESA FIXA]])</f>
        <v>0</v>
      </c>
      <c r="Z42" s="119" t="n">
        <f aca="false">SUMIFS(tabela_registros[VALOR],tabela_registros[MÊS],$AE$1,tabela_registros[DIA],jantotal[[#Headers],[22]],tabela_registros[REGISTRO],DADOS!$N$4,tabela_registros[TIPO],DADOS!$P$3,tabela_registros[CATEGORIA],despesafixaconsolidado[[#This Row],[DESPESA FIXA]])</f>
        <v>0</v>
      </c>
      <c r="AA42" s="119" t="n">
        <f aca="false">SUMIFS(tabela_registros[VALOR],tabela_registros[MÊS],$AE$1,tabela_registros[DIA],jantotal[[#Headers],[23]],tabela_registros[REGISTRO],DADOS!$N$4,tabela_registros[TIPO],DADOS!$P$3,tabela_registros[CATEGORIA],despesafixaconsolidado[[#This Row],[DESPESA FIXA]])</f>
        <v>0</v>
      </c>
      <c r="AB42" s="119" t="n">
        <f aca="false">SUMIFS(tabela_registros[VALOR],tabela_registros[MÊS],$AE$1,tabela_registros[DIA],jantotal[[#Headers],[24]],tabela_registros[REGISTRO],DADOS!$N$4,tabela_registros[TIPO],DADOS!$P$3,tabela_registros[CATEGORIA],despesafixaconsolidado[[#This Row],[DESPESA FIXA]])</f>
        <v>0</v>
      </c>
      <c r="AC42" s="119" t="n">
        <f aca="false">SUMIFS(tabela_registros[VALOR],tabela_registros[MÊS],$AE$1,tabela_registros[DIA],jantotal[[#Headers],[25]],tabela_registros[REGISTRO],DADOS!$N$4,tabela_registros[TIPO],DADOS!$P$3,tabela_registros[CATEGORIA],despesafixaconsolidado[[#This Row],[DESPESA FIXA]])</f>
        <v>0</v>
      </c>
      <c r="AD42" s="119" t="n">
        <f aca="false">SUMIFS(tabela_registros[VALOR],tabela_registros[MÊS],$AE$1,tabela_registros[DIA],jantotal[[#Headers],[26]],tabela_registros[REGISTRO],DADOS!$N$4,tabela_registros[TIPO],DADOS!$P$3,tabela_registros[CATEGORIA],despesafixaconsolidado[[#This Row],[DESPESA FIXA]])</f>
        <v>0</v>
      </c>
      <c r="AE42" s="119" t="n">
        <f aca="false">SUMIFS(tabela_registros[VALOR],tabela_registros[MÊS],$AE$1,tabela_registros[DIA],jantotal[[#Headers],[27]],tabela_registros[REGISTRO],DADOS!$N$4,tabela_registros[TIPO],DADOS!$P$3,tabela_registros[CATEGORIA],despesafixaconsolidado[[#This Row],[DESPESA FIXA]])</f>
        <v>0</v>
      </c>
      <c r="AF42" s="119" t="n">
        <f aca="false">SUMIFS(tabela_registros[VALOR],tabela_registros[MÊS],$AE$1,tabela_registros[DIA],jantotal[[#Headers],[28]],tabela_registros[REGISTRO],DADOS!$N$4,tabela_registros[TIPO],DADOS!$P$3,tabela_registros[CATEGORIA],despesafixaconsolidado[[#This Row],[DESPESA FIXA]])</f>
        <v>0</v>
      </c>
      <c r="AG42" s="119" t="n">
        <f aca="false">SUMIFS(tabela_registros[VALOR],tabela_registros[MÊS],$AE$1,tabela_registros[DIA],jantotal[[#Headers],[29]],tabela_registros[REGISTRO],DADOS!$N$4,tabela_registros[TIPO],DADOS!$P$3,tabela_registros[CATEGORIA],despesafixaconsolidado[[#This Row],[DESPESA FIXA]])</f>
        <v>0</v>
      </c>
      <c r="AH42" s="119" t="n">
        <f aca="false">SUMIFS(tabela_registros[VALOR],tabela_registros[MÊS],$AE$1,tabela_registros[DIA],jantotal[[#Headers],[30]],tabela_registros[REGISTRO],DADOS!$N$4,tabela_registros[TIPO],DADOS!$P$3,tabela_registros[CATEGORIA],despesafixaconsolidado[[#This Row],[DESPESA FIXA]])</f>
        <v>0</v>
      </c>
      <c r="AI42" s="217" t="n">
        <f aca="false">SUMIFS(tabela_registros[VALOR],tabela_registros[MÊS],$AE$1,tabela_registros[DIA],jantotal[[#Headers],[31]],tabela_registros[REGISTRO],DADOS!$N$4,tabela_registros[TIPO],DADOS!$P$3,tabela_registros[CATEGORIA],despesafixaconsolidado[[#This Row],[DESPESA FIXA]])</f>
        <v>0</v>
      </c>
      <c r="AJ42" s="149" t="n">
        <f aca="false">SUM(despesafixaconsolidado[[#This Row],[1]:[31]])</f>
        <v>0</v>
      </c>
      <c r="AK42" s="213"/>
      <c r="AL42" s="189"/>
    </row>
    <row r="43" customFormat="false" ht="18" hidden="false" customHeight="true" outlineLevel="0" collapsed="false">
      <c r="A43" s="189"/>
      <c r="B43" s="213"/>
      <c r="C43" s="214" t="str">
        <f aca="false">DADOS!$R$9</f>
        <v>💡 ENERGIA</v>
      </c>
      <c r="D43" s="215" t="str">
        <f aca="false">IF(despesafixaconsolidado[[#This Row],[TOTAL]]=0,"",IF(OR(despesafixaconsolidado[[#This Row],[TOTAL]]=LARGE($AJ$37:$AJ$50,1),despesafixaconsolidado[[#This Row],[TOTAL]]=LARGE($AJ$37:$AJ$50,2),despesafixaconsolidado[[#This Row],[TOTAL]]=LARGE($AJ$37:$AJ$50,3),despesafixaconsolidado[[#This Row],[TOTAL]]=LARGE($AJ$37:$AJ$50,4),despesafixaconsolidado[[#This Row],[TOTAL]]=LARGE($AJ$37:$AJ$50,5)),DADOS!$I$8,""))</f>
        <v/>
      </c>
      <c r="E43" s="148" t="n">
        <f aca="false">SUMIFS(tabela_registros[VALOR],tabela_registros[MÊS],$AE$1,tabela_registros[DIA],jantotal[[#Headers],[1]],tabela_registros[REGISTRO],DADOS!$N$4,tabela_registros[TIPO],DADOS!$P$3,tabela_registros[CATEGORIA],despesafixaconsolidado[[#This Row],[DESPESA FIXA]])</f>
        <v>0</v>
      </c>
      <c r="F43" s="119" t="n">
        <f aca="false">SUMIFS(tabela_registros[VALOR],tabela_registros[MÊS],$AE$1,tabela_registros[DIA],jantotal[[#Headers],[2]],tabela_registros[REGISTRO],DADOS!$N$4,tabela_registros[TIPO],DADOS!$P$3,tabela_registros[CATEGORIA],despesafixaconsolidado[[#This Row],[DESPESA FIXA]])</f>
        <v>0</v>
      </c>
      <c r="G43" s="119" t="n">
        <f aca="false">SUMIFS(tabela_registros[VALOR],tabela_registros[MÊS],$AE$1,tabela_registros[DIA],jantotal[[#Headers],[3]],tabela_registros[REGISTRO],DADOS!$N$4,tabela_registros[TIPO],DADOS!$P$3,tabela_registros[CATEGORIA],despesafixaconsolidado[[#This Row],[DESPESA FIXA]])</f>
        <v>0</v>
      </c>
      <c r="H43" s="119" t="n">
        <f aca="false">SUMIFS(tabela_registros[VALOR],tabela_registros[MÊS],$AE$1,tabela_registros[DIA],jantotal[[#Headers],[4]],tabela_registros[REGISTRO],DADOS!$N$4,tabela_registros[TIPO],DADOS!$P$3,tabela_registros[CATEGORIA],despesafixaconsolidado[[#This Row],[DESPESA FIXA]])</f>
        <v>0</v>
      </c>
      <c r="I43" s="119" t="n">
        <f aca="false">SUMIFS(tabela_registros[VALOR],tabela_registros[MÊS],$AE$1,tabela_registros[DIA],jantotal[[#Headers],[5]],tabela_registros[REGISTRO],DADOS!$N$4,tabela_registros[TIPO],DADOS!$P$3,tabela_registros[CATEGORIA],despesafixaconsolidado[[#This Row],[DESPESA FIXA]])</f>
        <v>0</v>
      </c>
      <c r="J43" s="119" t="n">
        <f aca="false">SUMIFS(tabela_registros[VALOR],tabela_registros[MÊS],$AE$1,tabela_registros[DIA],jantotal[[#Headers],[6]],tabela_registros[REGISTRO],DADOS!$N$4,tabela_registros[TIPO],DADOS!$P$3,tabela_registros[CATEGORIA],despesafixaconsolidado[[#This Row],[DESPESA FIXA]])</f>
        <v>0</v>
      </c>
      <c r="K43" s="119" t="n">
        <f aca="false">SUMIFS(tabela_registros[VALOR],tabela_registros[MÊS],$AE$1,tabela_registros[DIA],jantotal[[#Headers],[7]],tabela_registros[REGISTRO],DADOS!$N$4,tabela_registros[TIPO],DADOS!$P$3,tabela_registros[CATEGORIA],despesafixaconsolidado[[#This Row],[DESPESA FIXA]])</f>
        <v>0</v>
      </c>
      <c r="L43" s="119" t="n">
        <f aca="false">SUMIFS(tabela_registros[VALOR],tabela_registros[MÊS],$AE$1,tabela_registros[DIA],jantotal[[#Headers],[8]],tabela_registros[REGISTRO],DADOS!$N$4,tabela_registros[TIPO],DADOS!$P$3,tabela_registros[CATEGORIA],despesafixaconsolidado[[#This Row],[DESPESA FIXA]])</f>
        <v>0</v>
      </c>
      <c r="M43" s="119" t="n">
        <f aca="false">SUMIFS(tabela_registros[VALOR],tabela_registros[MÊS],$AE$1,tabela_registros[DIA],jantotal[[#Headers],[9]],tabela_registros[REGISTRO],DADOS!$N$4,tabela_registros[TIPO],DADOS!$P$3,tabela_registros[CATEGORIA],despesafixaconsolidado[[#This Row],[DESPESA FIXA]])</f>
        <v>0</v>
      </c>
      <c r="N43" s="119" t="n">
        <f aca="false">SUMIFS(tabela_registros[VALOR],tabela_registros[MÊS],$AE$1,tabela_registros[DIA],jantotal[[#Headers],[10]],tabela_registros[REGISTRO],DADOS!$N$4,tabela_registros[TIPO],DADOS!$P$3,tabela_registros[CATEGORIA],despesafixaconsolidado[[#This Row],[DESPESA FIXA]])</f>
        <v>0</v>
      </c>
      <c r="O43" s="119" t="n">
        <f aca="false">SUMIFS(tabela_registros[VALOR],tabela_registros[MÊS],$AE$1,tabela_registros[DIA],jantotal[[#Headers],[11]],tabela_registros[REGISTRO],DADOS!$N$4,tabela_registros[TIPO],DADOS!$P$3,tabela_registros[CATEGORIA],despesafixaconsolidado[[#This Row],[DESPESA FIXA]])</f>
        <v>0</v>
      </c>
      <c r="P43" s="119" t="n">
        <f aca="false">SUMIFS(tabela_registros[VALOR],tabela_registros[MÊS],$AE$1,tabela_registros[DIA],jantotal[[#Headers],[12]],tabela_registros[REGISTRO],DADOS!$N$4,tabela_registros[TIPO],DADOS!$P$3,tabela_registros[CATEGORIA],despesafixaconsolidado[[#This Row],[DESPESA FIXA]])</f>
        <v>0</v>
      </c>
      <c r="Q43" s="119" t="n">
        <f aca="false">SUMIFS(tabela_registros[VALOR],tabela_registros[MÊS],$AE$1,tabela_registros[DIA],jantotal[[#Headers],[13]],tabela_registros[REGISTRO],DADOS!$N$4,tabela_registros[TIPO],DADOS!$P$3,tabela_registros[CATEGORIA],despesafixaconsolidado[[#This Row],[DESPESA FIXA]])</f>
        <v>0</v>
      </c>
      <c r="R43" s="119" t="n">
        <f aca="false">SUMIFS(tabela_registros[VALOR],tabela_registros[MÊS],$AE$1,tabela_registros[DIA],jantotal[[#Headers],[14]],tabela_registros[REGISTRO],DADOS!$N$4,tabela_registros[TIPO],DADOS!$P$3,tabela_registros[CATEGORIA],despesafixaconsolidado[[#This Row],[DESPESA FIXA]])</f>
        <v>0</v>
      </c>
      <c r="S43" s="119" t="n">
        <f aca="false">SUMIFS(tabela_registros[VALOR],tabela_registros[MÊS],$AE$1,tabela_registros[DIA],jantotal[[#Headers],[15]],tabela_registros[REGISTRO],DADOS!$N$4,tabela_registros[TIPO],DADOS!$P$3,tabela_registros[CATEGORIA],despesafixaconsolidado[[#This Row],[DESPESA FIXA]])</f>
        <v>0</v>
      </c>
      <c r="T43" s="119" t="n">
        <f aca="false">SUMIFS(tabela_registros[VALOR],tabela_registros[MÊS],$AE$1,tabela_registros[DIA],jantotal[[#Headers],[16]],tabela_registros[REGISTRO],DADOS!$N$4,tabela_registros[TIPO],DADOS!$P$3,tabela_registros[CATEGORIA],despesafixaconsolidado[[#This Row],[DESPESA FIXA]])</f>
        <v>0</v>
      </c>
      <c r="U43" s="119" t="n">
        <f aca="false">SUMIFS(tabela_registros[VALOR],tabela_registros[MÊS],$AE$1,tabela_registros[DIA],jantotal[[#Headers],[17]],tabela_registros[REGISTRO],DADOS!$N$4,tabela_registros[TIPO],DADOS!$P$3,tabela_registros[CATEGORIA],despesafixaconsolidado[[#This Row],[DESPESA FIXA]])</f>
        <v>0</v>
      </c>
      <c r="V43" s="119" t="n">
        <f aca="false">SUMIFS(tabela_registros[VALOR],tabela_registros[MÊS],$AE$1,tabela_registros[DIA],jantotal[[#Headers],[18]],tabela_registros[REGISTRO],DADOS!$N$4,tabela_registros[TIPO],DADOS!$P$3,tabela_registros[CATEGORIA],despesafixaconsolidado[[#This Row],[DESPESA FIXA]])</f>
        <v>0</v>
      </c>
      <c r="W43" s="119" t="n">
        <f aca="false">SUMIFS(tabela_registros[VALOR],tabela_registros[MÊS],$AE$1,tabela_registros[DIA],jantotal[[#Headers],[19]],tabela_registros[REGISTRO],DADOS!$N$4,tabela_registros[TIPO],DADOS!$P$3,tabela_registros[CATEGORIA],despesafixaconsolidado[[#This Row],[DESPESA FIXA]])</f>
        <v>0</v>
      </c>
      <c r="X43" s="119" t="n">
        <f aca="false">SUMIFS(tabela_registros[VALOR],tabela_registros[MÊS],$AE$1,tabela_registros[DIA],jantotal[[#Headers],[20]],tabela_registros[REGISTRO],DADOS!$N$4,tabela_registros[TIPO],DADOS!$P$3,tabela_registros[CATEGORIA],despesafixaconsolidado[[#This Row],[DESPESA FIXA]])</f>
        <v>0</v>
      </c>
      <c r="Y43" s="119" t="n">
        <f aca="false">SUMIFS(tabela_registros[VALOR],tabela_registros[MÊS],$AE$1,tabela_registros[DIA],jantotal[[#Headers],[21]],tabela_registros[REGISTRO],DADOS!$N$4,tabela_registros[TIPO],DADOS!$P$3,tabela_registros[CATEGORIA],despesafixaconsolidado[[#This Row],[DESPESA FIXA]])</f>
        <v>0</v>
      </c>
      <c r="Z43" s="119" t="n">
        <f aca="false">SUMIFS(tabela_registros[VALOR],tabela_registros[MÊS],$AE$1,tabela_registros[DIA],jantotal[[#Headers],[22]],tabela_registros[REGISTRO],DADOS!$N$4,tabela_registros[TIPO],DADOS!$P$3,tabela_registros[CATEGORIA],despesafixaconsolidado[[#This Row],[DESPESA FIXA]])</f>
        <v>0</v>
      </c>
      <c r="AA43" s="119" t="n">
        <f aca="false">SUMIFS(tabela_registros[VALOR],tabela_registros[MÊS],$AE$1,tabela_registros[DIA],jantotal[[#Headers],[23]],tabela_registros[REGISTRO],DADOS!$N$4,tabela_registros[TIPO],DADOS!$P$3,tabela_registros[CATEGORIA],despesafixaconsolidado[[#This Row],[DESPESA FIXA]])</f>
        <v>0</v>
      </c>
      <c r="AB43" s="119" t="n">
        <f aca="false">SUMIFS(tabela_registros[VALOR],tabela_registros[MÊS],$AE$1,tabela_registros[DIA],jantotal[[#Headers],[24]],tabela_registros[REGISTRO],DADOS!$N$4,tabela_registros[TIPO],DADOS!$P$3,tabela_registros[CATEGORIA],despesafixaconsolidado[[#This Row],[DESPESA FIXA]])</f>
        <v>0</v>
      </c>
      <c r="AC43" s="119" t="n">
        <f aca="false">SUMIFS(tabela_registros[VALOR],tabela_registros[MÊS],$AE$1,tabela_registros[DIA],jantotal[[#Headers],[25]],tabela_registros[REGISTRO],DADOS!$N$4,tabela_registros[TIPO],DADOS!$P$3,tabela_registros[CATEGORIA],despesafixaconsolidado[[#This Row],[DESPESA FIXA]])</f>
        <v>0</v>
      </c>
      <c r="AD43" s="119" t="n">
        <f aca="false">SUMIFS(tabela_registros[VALOR],tabela_registros[MÊS],$AE$1,tabela_registros[DIA],jantotal[[#Headers],[26]],tabela_registros[REGISTRO],DADOS!$N$4,tabela_registros[TIPO],DADOS!$P$3,tabela_registros[CATEGORIA],despesafixaconsolidado[[#This Row],[DESPESA FIXA]])</f>
        <v>0</v>
      </c>
      <c r="AE43" s="119" t="n">
        <f aca="false">SUMIFS(tabela_registros[VALOR],tabela_registros[MÊS],$AE$1,tabela_registros[DIA],jantotal[[#Headers],[27]],tabela_registros[REGISTRO],DADOS!$N$4,tabela_registros[TIPO],DADOS!$P$3,tabela_registros[CATEGORIA],despesafixaconsolidado[[#This Row],[DESPESA FIXA]])</f>
        <v>0</v>
      </c>
      <c r="AF43" s="119" t="n">
        <f aca="false">SUMIFS(tabela_registros[VALOR],tabela_registros[MÊS],$AE$1,tabela_registros[DIA],jantotal[[#Headers],[28]],tabela_registros[REGISTRO],DADOS!$N$4,tabela_registros[TIPO],DADOS!$P$3,tabela_registros[CATEGORIA],despesafixaconsolidado[[#This Row],[DESPESA FIXA]])</f>
        <v>0</v>
      </c>
      <c r="AG43" s="119" t="n">
        <f aca="false">SUMIFS(tabela_registros[VALOR],tabela_registros[MÊS],$AE$1,tabela_registros[DIA],jantotal[[#Headers],[29]],tabela_registros[REGISTRO],DADOS!$N$4,tabela_registros[TIPO],DADOS!$P$3,tabela_registros[CATEGORIA],despesafixaconsolidado[[#This Row],[DESPESA FIXA]])</f>
        <v>0</v>
      </c>
      <c r="AH43" s="119" t="n">
        <f aca="false">SUMIFS(tabela_registros[VALOR],tabela_registros[MÊS],$AE$1,tabela_registros[DIA],jantotal[[#Headers],[30]],tabela_registros[REGISTRO],DADOS!$N$4,tabela_registros[TIPO],DADOS!$P$3,tabela_registros[CATEGORIA],despesafixaconsolidado[[#This Row],[DESPESA FIXA]])</f>
        <v>0</v>
      </c>
      <c r="AI43" s="217" t="n">
        <f aca="false">SUMIFS(tabela_registros[VALOR],tabela_registros[MÊS],$AE$1,tabela_registros[DIA],jantotal[[#Headers],[31]],tabela_registros[REGISTRO],DADOS!$N$4,tabela_registros[TIPO],DADOS!$P$3,tabela_registros[CATEGORIA],despesafixaconsolidado[[#This Row],[DESPESA FIXA]])</f>
        <v>0</v>
      </c>
      <c r="AJ43" s="149" t="n">
        <f aca="false">SUM(despesafixaconsolidado[[#This Row],[1]:[31]])</f>
        <v>0</v>
      </c>
      <c r="AK43" s="213"/>
      <c r="AL43" s="189"/>
    </row>
    <row r="44" customFormat="false" ht="18" hidden="false" customHeight="true" outlineLevel="0" collapsed="false">
      <c r="A44" s="189"/>
      <c r="B44" s="213"/>
      <c r="C44" s="214" t="str">
        <f aca="false">DADOS!$R$10</f>
        <v>👨‍👩‍👧 FAMÍLIA</v>
      </c>
      <c r="D44" s="215" t="str">
        <f aca="false">IF(despesafixaconsolidado[[#This Row],[TOTAL]]=0,"",IF(OR(despesafixaconsolidado[[#This Row],[TOTAL]]=LARGE($AJ$37:$AJ$50,1),despesafixaconsolidado[[#This Row],[TOTAL]]=LARGE($AJ$37:$AJ$50,2),despesafixaconsolidado[[#This Row],[TOTAL]]=LARGE($AJ$37:$AJ$50,3),despesafixaconsolidado[[#This Row],[TOTAL]]=LARGE($AJ$37:$AJ$50,4),despesafixaconsolidado[[#This Row],[TOTAL]]=LARGE($AJ$37:$AJ$50,5)),DADOS!$I$8,""))</f>
        <v/>
      </c>
      <c r="E44" s="148" t="n">
        <f aca="false">SUMIFS(tabela_registros[VALOR],tabela_registros[MÊS],$AE$1,tabela_registros[DIA],jantotal[[#Headers],[1]],tabela_registros[REGISTRO],DADOS!$N$4,tabela_registros[TIPO],DADOS!$P$3,tabela_registros[CATEGORIA],despesafixaconsolidado[[#This Row],[DESPESA FIXA]])</f>
        <v>0</v>
      </c>
      <c r="F44" s="119" t="n">
        <f aca="false">SUMIFS(tabela_registros[VALOR],tabela_registros[MÊS],$AE$1,tabela_registros[DIA],jantotal[[#Headers],[2]],tabela_registros[REGISTRO],DADOS!$N$4,tabela_registros[TIPO],DADOS!$P$3,tabela_registros[CATEGORIA],despesafixaconsolidado[[#This Row],[DESPESA FIXA]])</f>
        <v>0</v>
      </c>
      <c r="G44" s="119" t="n">
        <f aca="false">SUMIFS(tabela_registros[VALOR],tabela_registros[MÊS],$AE$1,tabela_registros[DIA],jantotal[[#Headers],[3]],tabela_registros[REGISTRO],DADOS!$N$4,tabela_registros[TIPO],DADOS!$P$3,tabela_registros[CATEGORIA],despesafixaconsolidado[[#This Row],[DESPESA FIXA]])</f>
        <v>0</v>
      </c>
      <c r="H44" s="119" t="n">
        <f aca="false">SUMIFS(tabela_registros[VALOR],tabela_registros[MÊS],$AE$1,tabela_registros[DIA],jantotal[[#Headers],[4]],tabela_registros[REGISTRO],DADOS!$N$4,tabela_registros[TIPO],DADOS!$P$3,tabela_registros[CATEGORIA],despesafixaconsolidado[[#This Row],[DESPESA FIXA]])</f>
        <v>0</v>
      </c>
      <c r="I44" s="119" t="n">
        <f aca="false">SUMIFS(tabela_registros[VALOR],tabela_registros[MÊS],$AE$1,tabela_registros[DIA],jantotal[[#Headers],[5]],tabela_registros[REGISTRO],DADOS!$N$4,tabela_registros[TIPO],DADOS!$P$3,tabela_registros[CATEGORIA],despesafixaconsolidado[[#This Row],[DESPESA FIXA]])</f>
        <v>0</v>
      </c>
      <c r="J44" s="119" t="n">
        <f aca="false">SUMIFS(tabela_registros[VALOR],tabela_registros[MÊS],$AE$1,tabela_registros[DIA],jantotal[[#Headers],[6]],tabela_registros[REGISTRO],DADOS!$N$4,tabela_registros[TIPO],DADOS!$P$3,tabela_registros[CATEGORIA],despesafixaconsolidado[[#This Row],[DESPESA FIXA]])</f>
        <v>0</v>
      </c>
      <c r="K44" s="119" t="n">
        <f aca="false">SUMIFS(tabela_registros[VALOR],tabela_registros[MÊS],$AE$1,tabela_registros[DIA],jantotal[[#Headers],[7]],tabela_registros[REGISTRO],DADOS!$N$4,tabela_registros[TIPO],DADOS!$P$3,tabela_registros[CATEGORIA],despesafixaconsolidado[[#This Row],[DESPESA FIXA]])</f>
        <v>0</v>
      </c>
      <c r="L44" s="119" t="n">
        <f aca="false">SUMIFS(tabela_registros[VALOR],tabela_registros[MÊS],$AE$1,tabela_registros[DIA],jantotal[[#Headers],[8]],tabela_registros[REGISTRO],DADOS!$N$4,tabela_registros[TIPO],DADOS!$P$3,tabela_registros[CATEGORIA],despesafixaconsolidado[[#This Row],[DESPESA FIXA]])</f>
        <v>0</v>
      </c>
      <c r="M44" s="119" t="n">
        <f aca="false">SUMIFS(tabela_registros[VALOR],tabela_registros[MÊS],$AE$1,tabela_registros[DIA],jantotal[[#Headers],[9]],tabela_registros[REGISTRO],DADOS!$N$4,tabela_registros[TIPO],DADOS!$P$3,tabela_registros[CATEGORIA],despesafixaconsolidado[[#This Row],[DESPESA FIXA]])</f>
        <v>0</v>
      </c>
      <c r="N44" s="119" t="n">
        <f aca="false">SUMIFS(tabela_registros[VALOR],tabela_registros[MÊS],$AE$1,tabela_registros[DIA],jantotal[[#Headers],[10]],tabela_registros[REGISTRO],DADOS!$N$4,tabela_registros[TIPO],DADOS!$P$3,tabela_registros[CATEGORIA],despesafixaconsolidado[[#This Row],[DESPESA FIXA]])</f>
        <v>0</v>
      </c>
      <c r="O44" s="119" t="n">
        <f aca="false">SUMIFS(tabela_registros[VALOR],tabela_registros[MÊS],$AE$1,tabela_registros[DIA],jantotal[[#Headers],[11]],tabela_registros[REGISTRO],DADOS!$N$4,tabela_registros[TIPO],DADOS!$P$3,tabela_registros[CATEGORIA],despesafixaconsolidado[[#This Row],[DESPESA FIXA]])</f>
        <v>0</v>
      </c>
      <c r="P44" s="119" t="n">
        <f aca="false">SUMIFS(tabela_registros[VALOR],tabela_registros[MÊS],$AE$1,tabela_registros[DIA],jantotal[[#Headers],[12]],tabela_registros[REGISTRO],DADOS!$N$4,tabela_registros[TIPO],DADOS!$P$3,tabela_registros[CATEGORIA],despesafixaconsolidado[[#This Row],[DESPESA FIXA]])</f>
        <v>0</v>
      </c>
      <c r="Q44" s="119" t="n">
        <f aca="false">SUMIFS(tabela_registros[VALOR],tabela_registros[MÊS],$AE$1,tabela_registros[DIA],jantotal[[#Headers],[13]],tabela_registros[REGISTRO],DADOS!$N$4,tabela_registros[TIPO],DADOS!$P$3,tabela_registros[CATEGORIA],despesafixaconsolidado[[#This Row],[DESPESA FIXA]])</f>
        <v>0</v>
      </c>
      <c r="R44" s="119" t="n">
        <f aca="false">SUMIFS(tabela_registros[VALOR],tabela_registros[MÊS],$AE$1,tabela_registros[DIA],jantotal[[#Headers],[14]],tabela_registros[REGISTRO],DADOS!$N$4,tabela_registros[TIPO],DADOS!$P$3,tabela_registros[CATEGORIA],despesafixaconsolidado[[#This Row],[DESPESA FIXA]])</f>
        <v>0</v>
      </c>
      <c r="S44" s="119" t="n">
        <f aca="false">SUMIFS(tabela_registros[VALOR],tabela_registros[MÊS],$AE$1,tabela_registros[DIA],jantotal[[#Headers],[15]],tabela_registros[REGISTRO],DADOS!$N$4,tabela_registros[TIPO],DADOS!$P$3,tabela_registros[CATEGORIA],despesafixaconsolidado[[#This Row],[DESPESA FIXA]])</f>
        <v>0</v>
      </c>
      <c r="T44" s="119" t="n">
        <f aca="false">SUMIFS(tabela_registros[VALOR],tabela_registros[MÊS],$AE$1,tabela_registros[DIA],jantotal[[#Headers],[16]],tabela_registros[REGISTRO],DADOS!$N$4,tabela_registros[TIPO],DADOS!$P$3,tabela_registros[CATEGORIA],despesafixaconsolidado[[#This Row],[DESPESA FIXA]])</f>
        <v>0</v>
      </c>
      <c r="U44" s="119" t="n">
        <f aca="false">SUMIFS(tabela_registros[VALOR],tabela_registros[MÊS],$AE$1,tabela_registros[DIA],jantotal[[#Headers],[17]],tabela_registros[REGISTRO],DADOS!$N$4,tabela_registros[TIPO],DADOS!$P$3,tabela_registros[CATEGORIA],despesafixaconsolidado[[#This Row],[DESPESA FIXA]])</f>
        <v>0</v>
      </c>
      <c r="V44" s="119" t="n">
        <f aca="false">SUMIFS(tabela_registros[VALOR],tabela_registros[MÊS],$AE$1,tabela_registros[DIA],jantotal[[#Headers],[18]],tabela_registros[REGISTRO],DADOS!$N$4,tabela_registros[TIPO],DADOS!$P$3,tabela_registros[CATEGORIA],despesafixaconsolidado[[#This Row],[DESPESA FIXA]])</f>
        <v>0</v>
      </c>
      <c r="W44" s="119" t="n">
        <f aca="false">SUMIFS(tabela_registros[VALOR],tabela_registros[MÊS],$AE$1,tabela_registros[DIA],jantotal[[#Headers],[19]],tabela_registros[REGISTRO],DADOS!$N$4,tabela_registros[TIPO],DADOS!$P$3,tabela_registros[CATEGORIA],despesafixaconsolidado[[#This Row],[DESPESA FIXA]])</f>
        <v>0</v>
      </c>
      <c r="X44" s="119" t="n">
        <f aca="false">SUMIFS(tabela_registros[VALOR],tabela_registros[MÊS],$AE$1,tabela_registros[DIA],jantotal[[#Headers],[20]],tabela_registros[REGISTRO],DADOS!$N$4,tabela_registros[TIPO],DADOS!$P$3,tabela_registros[CATEGORIA],despesafixaconsolidado[[#This Row],[DESPESA FIXA]])</f>
        <v>0</v>
      </c>
      <c r="Y44" s="119" t="n">
        <f aca="false">SUMIFS(tabela_registros[VALOR],tabela_registros[MÊS],$AE$1,tabela_registros[DIA],jantotal[[#Headers],[21]],tabela_registros[REGISTRO],DADOS!$N$4,tabela_registros[TIPO],DADOS!$P$3,tabela_registros[CATEGORIA],despesafixaconsolidado[[#This Row],[DESPESA FIXA]])</f>
        <v>0</v>
      </c>
      <c r="Z44" s="119" t="n">
        <f aca="false">SUMIFS(tabela_registros[VALOR],tabela_registros[MÊS],$AE$1,tabela_registros[DIA],jantotal[[#Headers],[22]],tabela_registros[REGISTRO],DADOS!$N$4,tabela_registros[TIPO],DADOS!$P$3,tabela_registros[CATEGORIA],despesafixaconsolidado[[#This Row],[DESPESA FIXA]])</f>
        <v>0</v>
      </c>
      <c r="AA44" s="119" t="n">
        <f aca="false">SUMIFS(tabela_registros[VALOR],tabela_registros[MÊS],$AE$1,tabela_registros[DIA],jantotal[[#Headers],[23]],tabela_registros[REGISTRO],DADOS!$N$4,tabela_registros[TIPO],DADOS!$P$3,tabela_registros[CATEGORIA],despesafixaconsolidado[[#This Row],[DESPESA FIXA]])</f>
        <v>0</v>
      </c>
      <c r="AB44" s="119" t="n">
        <f aca="false">SUMIFS(tabela_registros[VALOR],tabela_registros[MÊS],$AE$1,tabela_registros[DIA],jantotal[[#Headers],[24]],tabela_registros[REGISTRO],DADOS!$N$4,tabela_registros[TIPO],DADOS!$P$3,tabela_registros[CATEGORIA],despesafixaconsolidado[[#This Row],[DESPESA FIXA]])</f>
        <v>0</v>
      </c>
      <c r="AC44" s="119" t="n">
        <f aca="false">SUMIFS(tabela_registros[VALOR],tabela_registros[MÊS],$AE$1,tabela_registros[DIA],jantotal[[#Headers],[25]],tabela_registros[REGISTRO],DADOS!$N$4,tabela_registros[TIPO],DADOS!$P$3,tabela_registros[CATEGORIA],despesafixaconsolidado[[#This Row],[DESPESA FIXA]])</f>
        <v>0</v>
      </c>
      <c r="AD44" s="119" t="n">
        <f aca="false">SUMIFS(tabela_registros[VALOR],tabela_registros[MÊS],$AE$1,tabela_registros[DIA],jantotal[[#Headers],[26]],tabela_registros[REGISTRO],DADOS!$N$4,tabela_registros[TIPO],DADOS!$P$3,tabela_registros[CATEGORIA],despesafixaconsolidado[[#This Row],[DESPESA FIXA]])</f>
        <v>0</v>
      </c>
      <c r="AE44" s="119" t="n">
        <f aca="false">SUMIFS(tabela_registros[VALOR],tabela_registros[MÊS],$AE$1,tabela_registros[DIA],jantotal[[#Headers],[27]],tabela_registros[REGISTRO],DADOS!$N$4,tabela_registros[TIPO],DADOS!$P$3,tabela_registros[CATEGORIA],despesafixaconsolidado[[#This Row],[DESPESA FIXA]])</f>
        <v>0</v>
      </c>
      <c r="AF44" s="119" t="n">
        <f aca="false">SUMIFS(tabela_registros[VALOR],tabela_registros[MÊS],$AE$1,tabela_registros[DIA],jantotal[[#Headers],[28]],tabela_registros[REGISTRO],DADOS!$N$4,tabela_registros[TIPO],DADOS!$P$3,tabela_registros[CATEGORIA],despesafixaconsolidado[[#This Row],[DESPESA FIXA]])</f>
        <v>0</v>
      </c>
      <c r="AG44" s="119" t="n">
        <f aca="false">SUMIFS(tabela_registros[VALOR],tabela_registros[MÊS],$AE$1,tabela_registros[DIA],jantotal[[#Headers],[29]],tabela_registros[REGISTRO],DADOS!$N$4,tabela_registros[TIPO],DADOS!$P$3,tabela_registros[CATEGORIA],despesafixaconsolidado[[#This Row],[DESPESA FIXA]])</f>
        <v>0</v>
      </c>
      <c r="AH44" s="119" t="n">
        <f aca="false">SUMIFS(tabela_registros[VALOR],tabela_registros[MÊS],$AE$1,tabela_registros[DIA],jantotal[[#Headers],[30]],tabela_registros[REGISTRO],DADOS!$N$4,tabela_registros[TIPO],DADOS!$P$3,tabela_registros[CATEGORIA],despesafixaconsolidado[[#This Row],[DESPESA FIXA]])</f>
        <v>0</v>
      </c>
      <c r="AI44" s="217" t="n">
        <f aca="false">SUMIFS(tabela_registros[VALOR],tabela_registros[MÊS],$AE$1,tabela_registros[DIA],jantotal[[#Headers],[31]],tabela_registros[REGISTRO],DADOS!$N$4,tabela_registros[TIPO],DADOS!$P$3,tabela_registros[CATEGORIA],despesafixaconsolidado[[#This Row],[DESPESA FIXA]])</f>
        <v>0</v>
      </c>
      <c r="AJ44" s="149" t="n">
        <f aca="false">SUM(despesafixaconsolidado[[#This Row],[1]:[31]])</f>
        <v>0</v>
      </c>
      <c r="AK44" s="213"/>
      <c r="AL44" s="189"/>
    </row>
    <row r="45" customFormat="false" ht="18" hidden="false" customHeight="true" outlineLevel="0" collapsed="false">
      <c r="A45" s="189"/>
      <c r="B45" s="213"/>
      <c r="C45" s="214" t="str">
        <f aca="false">DADOS!$R$11</f>
        <v>🔢 IMPOSTOS</v>
      </c>
      <c r="D45" s="215" t="str">
        <f aca="false">IF(despesafixaconsolidado[[#This Row],[TOTAL]]=0,"",IF(OR(despesafixaconsolidado[[#This Row],[TOTAL]]=LARGE($AJ$37:$AJ$50,1),despesafixaconsolidado[[#This Row],[TOTAL]]=LARGE($AJ$37:$AJ$50,2),despesafixaconsolidado[[#This Row],[TOTAL]]=LARGE($AJ$37:$AJ$50,3),despesafixaconsolidado[[#This Row],[TOTAL]]=LARGE($AJ$37:$AJ$50,4),despesafixaconsolidado[[#This Row],[TOTAL]]=LARGE($AJ$37:$AJ$50,5)),DADOS!$I$8,""))</f>
        <v/>
      </c>
      <c r="E45" s="148" t="n">
        <f aca="false">SUMIFS(tabela_registros[VALOR],tabela_registros[MÊS],$AE$1,tabela_registros[DIA],jantotal[[#Headers],[1]],tabela_registros[REGISTRO],DADOS!$N$4,tabela_registros[TIPO],DADOS!$P$3,tabela_registros[CATEGORIA],despesafixaconsolidado[[#This Row],[DESPESA FIXA]])</f>
        <v>0</v>
      </c>
      <c r="F45" s="119" t="n">
        <f aca="false">SUMIFS(tabela_registros[VALOR],tabela_registros[MÊS],$AE$1,tabela_registros[DIA],jantotal[[#Headers],[2]],tabela_registros[REGISTRO],DADOS!$N$4,tabela_registros[TIPO],DADOS!$P$3,tabela_registros[CATEGORIA],despesafixaconsolidado[[#This Row],[DESPESA FIXA]])</f>
        <v>0</v>
      </c>
      <c r="G45" s="119" t="n">
        <f aca="false">SUMIFS(tabela_registros[VALOR],tabela_registros[MÊS],$AE$1,tabela_registros[DIA],jantotal[[#Headers],[3]],tabela_registros[REGISTRO],DADOS!$N$4,tabela_registros[TIPO],DADOS!$P$3,tabela_registros[CATEGORIA],despesafixaconsolidado[[#This Row],[DESPESA FIXA]])</f>
        <v>0</v>
      </c>
      <c r="H45" s="119" t="n">
        <f aca="false">SUMIFS(tabela_registros[VALOR],tabela_registros[MÊS],$AE$1,tabela_registros[DIA],jantotal[[#Headers],[4]],tabela_registros[REGISTRO],DADOS!$N$4,tabela_registros[TIPO],DADOS!$P$3,tabela_registros[CATEGORIA],despesafixaconsolidado[[#This Row],[DESPESA FIXA]])</f>
        <v>0</v>
      </c>
      <c r="I45" s="119" t="n">
        <f aca="false">SUMIFS(tabela_registros[VALOR],tabela_registros[MÊS],$AE$1,tabela_registros[DIA],jantotal[[#Headers],[5]],tabela_registros[REGISTRO],DADOS!$N$4,tabela_registros[TIPO],DADOS!$P$3,tabela_registros[CATEGORIA],despesafixaconsolidado[[#This Row],[DESPESA FIXA]])</f>
        <v>0</v>
      </c>
      <c r="J45" s="119" t="n">
        <f aca="false">SUMIFS(tabela_registros[VALOR],tabela_registros[MÊS],$AE$1,tabela_registros[DIA],jantotal[[#Headers],[6]],tabela_registros[REGISTRO],DADOS!$N$4,tabela_registros[TIPO],DADOS!$P$3,tabela_registros[CATEGORIA],despesafixaconsolidado[[#This Row],[DESPESA FIXA]])</f>
        <v>0</v>
      </c>
      <c r="K45" s="119" t="n">
        <f aca="false">SUMIFS(tabela_registros[VALOR],tabela_registros[MÊS],$AE$1,tabela_registros[DIA],jantotal[[#Headers],[7]],tabela_registros[REGISTRO],DADOS!$N$4,tabela_registros[TIPO],DADOS!$P$3,tabela_registros[CATEGORIA],despesafixaconsolidado[[#This Row],[DESPESA FIXA]])</f>
        <v>0</v>
      </c>
      <c r="L45" s="119" t="n">
        <f aca="false">SUMIFS(tabela_registros[VALOR],tabela_registros[MÊS],$AE$1,tabela_registros[DIA],jantotal[[#Headers],[8]],tabela_registros[REGISTRO],DADOS!$N$4,tabela_registros[TIPO],DADOS!$P$3,tabela_registros[CATEGORIA],despesafixaconsolidado[[#This Row],[DESPESA FIXA]])</f>
        <v>0</v>
      </c>
      <c r="M45" s="119" t="n">
        <f aca="false">SUMIFS(tabela_registros[VALOR],tabela_registros[MÊS],$AE$1,tabela_registros[DIA],jantotal[[#Headers],[9]],tabela_registros[REGISTRO],DADOS!$N$4,tabela_registros[TIPO],DADOS!$P$3,tabela_registros[CATEGORIA],despesafixaconsolidado[[#This Row],[DESPESA FIXA]])</f>
        <v>0</v>
      </c>
      <c r="N45" s="119" t="n">
        <f aca="false">SUMIFS(tabela_registros[VALOR],tabela_registros[MÊS],$AE$1,tabela_registros[DIA],jantotal[[#Headers],[10]],tabela_registros[REGISTRO],DADOS!$N$4,tabela_registros[TIPO],DADOS!$P$3,tabela_registros[CATEGORIA],despesafixaconsolidado[[#This Row],[DESPESA FIXA]])</f>
        <v>0</v>
      </c>
      <c r="O45" s="119" t="n">
        <f aca="false">SUMIFS(tabela_registros[VALOR],tabela_registros[MÊS],$AE$1,tabela_registros[DIA],jantotal[[#Headers],[11]],tabela_registros[REGISTRO],DADOS!$N$4,tabela_registros[TIPO],DADOS!$P$3,tabela_registros[CATEGORIA],despesafixaconsolidado[[#This Row],[DESPESA FIXA]])</f>
        <v>0</v>
      </c>
      <c r="P45" s="119" t="n">
        <f aca="false">SUMIFS(tabela_registros[VALOR],tabela_registros[MÊS],$AE$1,tabela_registros[DIA],jantotal[[#Headers],[12]],tabela_registros[REGISTRO],DADOS!$N$4,tabela_registros[TIPO],DADOS!$P$3,tabela_registros[CATEGORIA],despesafixaconsolidado[[#This Row],[DESPESA FIXA]])</f>
        <v>0</v>
      </c>
      <c r="Q45" s="119" t="n">
        <f aca="false">SUMIFS(tabela_registros[VALOR],tabela_registros[MÊS],$AE$1,tabela_registros[DIA],jantotal[[#Headers],[13]],tabela_registros[REGISTRO],DADOS!$N$4,tabela_registros[TIPO],DADOS!$P$3,tabela_registros[CATEGORIA],despesafixaconsolidado[[#This Row],[DESPESA FIXA]])</f>
        <v>0</v>
      </c>
      <c r="R45" s="119" t="n">
        <f aca="false">SUMIFS(tabela_registros[VALOR],tabela_registros[MÊS],$AE$1,tabela_registros[DIA],jantotal[[#Headers],[14]],tabela_registros[REGISTRO],DADOS!$N$4,tabela_registros[TIPO],DADOS!$P$3,tabela_registros[CATEGORIA],despesafixaconsolidado[[#This Row],[DESPESA FIXA]])</f>
        <v>0</v>
      </c>
      <c r="S45" s="119" t="n">
        <f aca="false">SUMIFS(tabela_registros[VALOR],tabela_registros[MÊS],$AE$1,tabela_registros[DIA],jantotal[[#Headers],[15]],tabela_registros[REGISTRO],DADOS!$N$4,tabela_registros[TIPO],DADOS!$P$3,tabela_registros[CATEGORIA],despesafixaconsolidado[[#This Row],[DESPESA FIXA]])</f>
        <v>0</v>
      </c>
      <c r="T45" s="119" t="n">
        <f aca="false">SUMIFS(tabela_registros[VALOR],tabela_registros[MÊS],$AE$1,tabela_registros[DIA],jantotal[[#Headers],[16]],tabela_registros[REGISTRO],DADOS!$N$4,tabela_registros[TIPO],DADOS!$P$3,tabela_registros[CATEGORIA],despesafixaconsolidado[[#This Row],[DESPESA FIXA]])</f>
        <v>0</v>
      </c>
      <c r="U45" s="119" t="n">
        <f aca="false">SUMIFS(tabela_registros[VALOR],tabela_registros[MÊS],$AE$1,tabela_registros[DIA],jantotal[[#Headers],[17]],tabela_registros[REGISTRO],DADOS!$N$4,tabela_registros[TIPO],DADOS!$P$3,tabela_registros[CATEGORIA],despesafixaconsolidado[[#This Row],[DESPESA FIXA]])</f>
        <v>0</v>
      </c>
      <c r="V45" s="119" t="n">
        <f aca="false">SUMIFS(tabela_registros[VALOR],tabela_registros[MÊS],$AE$1,tabela_registros[DIA],jantotal[[#Headers],[18]],tabela_registros[REGISTRO],DADOS!$N$4,tabela_registros[TIPO],DADOS!$P$3,tabela_registros[CATEGORIA],despesafixaconsolidado[[#This Row],[DESPESA FIXA]])</f>
        <v>0</v>
      </c>
      <c r="W45" s="119" t="n">
        <f aca="false">SUMIFS(tabela_registros[VALOR],tabela_registros[MÊS],$AE$1,tabela_registros[DIA],jantotal[[#Headers],[19]],tabela_registros[REGISTRO],DADOS!$N$4,tabela_registros[TIPO],DADOS!$P$3,tabela_registros[CATEGORIA],despesafixaconsolidado[[#This Row],[DESPESA FIXA]])</f>
        <v>0</v>
      </c>
      <c r="X45" s="119" t="n">
        <f aca="false">SUMIFS(tabela_registros[VALOR],tabela_registros[MÊS],$AE$1,tabela_registros[DIA],jantotal[[#Headers],[20]],tabela_registros[REGISTRO],DADOS!$N$4,tabela_registros[TIPO],DADOS!$P$3,tabela_registros[CATEGORIA],despesafixaconsolidado[[#This Row],[DESPESA FIXA]])</f>
        <v>0</v>
      </c>
      <c r="Y45" s="119" t="n">
        <f aca="false">SUMIFS(tabela_registros[VALOR],tabela_registros[MÊS],$AE$1,tabela_registros[DIA],jantotal[[#Headers],[21]],tabela_registros[REGISTRO],DADOS!$N$4,tabela_registros[TIPO],DADOS!$P$3,tabela_registros[CATEGORIA],despesafixaconsolidado[[#This Row],[DESPESA FIXA]])</f>
        <v>0</v>
      </c>
      <c r="Z45" s="119" t="n">
        <f aca="false">SUMIFS(tabela_registros[VALOR],tabela_registros[MÊS],$AE$1,tabela_registros[DIA],jantotal[[#Headers],[22]],tabela_registros[REGISTRO],DADOS!$N$4,tabela_registros[TIPO],DADOS!$P$3,tabela_registros[CATEGORIA],despesafixaconsolidado[[#This Row],[DESPESA FIXA]])</f>
        <v>0</v>
      </c>
      <c r="AA45" s="119" t="n">
        <f aca="false">SUMIFS(tabela_registros[VALOR],tabela_registros[MÊS],$AE$1,tabela_registros[DIA],jantotal[[#Headers],[23]],tabela_registros[REGISTRO],DADOS!$N$4,tabela_registros[TIPO],DADOS!$P$3,tabela_registros[CATEGORIA],despesafixaconsolidado[[#This Row],[DESPESA FIXA]])</f>
        <v>0</v>
      </c>
      <c r="AB45" s="119" t="n">
        <f aca="false">SUMIFS(tabela_registros[VALOR],tabela_registros[MÊS],$AE$1,tabela_registros[DIA],jantotal[[#Headers],[24]],tabela_registros[REGISTRO],DADOS!$N$4,tabela_registros[TIPO],DADOS!$P$3,tabela_registros[CATEGORIA],despesafixaconsolidado[[#This Row],[DESPESA FIXA]])</f>
        <v>0</v>
      </c>
      <c r="AC45" s="119" t="n">
        <f aca="false">SUMIFS(tabela_registros[VALOR],tabela_registros[MÊS],$AE$1,tabela_registros[DIA],jantotal[[#Headers],[25]],tabela_registros[REGISTRO],DADOS!$N$4,tabela_registros[TIPO],DADOS!$P$3,tabela_registros[CATEGORIA],despesafixaconsolidado[[#This Row],[DESPESA FIXA]])</f>
        <v>0</v>
      </c>
      <c r="AD45" s="119" t="n">
        <f aca="false">SUMIFS(tabela_registros[VALOR],tabela_registros[MÊS],$AE$1,tabela_registros[DIA],jantotal[[#Headers],[26]],tabela_registros[REGISTRO],DADOS!$N$4,tabela_registros[TIPO],DADOS!$P$3,tabela_registros[CATEGORIA],despesafixaconsolidado[[#This Row],[DESPESA FIXA]])</f>
        <v>0</v>
      </c>
      <c r="AE45" s="119" t="n">
        <f aca="false">SUMIFS(tabela_registros[VALOR],tabela_registros[MÊS],$AE$1,tabela_registros[DIA],jantotal[[#Headers],[27]],tabela_registros[REGISTRO],DADOS!$N$4,tabela_registros[TIPO],DADOS!$P$3,tabela_registros[CATEGORIA],despesafixaconsolidado[[#This Row],[DESPESA FIXA]])</f>
        <v>0</v>
      </c>
      <c r="AF45" s="119" t="n">
        <f aca="false">SUMIFS(tabela_registros[VALOR],tabela_registros[MÊS],$AE$1,tabela_registros[DIA],jantotal[[#Headers],[28]],tabela_registros[REGISTRO],DADOS!$N$4,tabela_registros[TIPO],DADOS!$P$3,tabela_registros[CATEGORIA],despesafixaconsolidado[[#This Row],[DESPESA FIXA]])</f>
        <v>0</v>
      </c>
      <c r="AG45" s="119" t="n">
        <f aca="false">SUMIFS(tabela_registros[VALOR],tabela_registros[MÊS],$AE$1,tabela_registros[DIA],jantotal[[#Headers],[29]],tabela_registros[REGISTRO],DADOS!$N$4,tabela_registros[TIPO],DADOS!$P$3,tabela_registros[CATEGORIA],despesafixaconsolidado[[#This Row],[DESPESA FIXA]])</f>
        <v>0</v>
      </c>
      <c r="AH45" s="119" t="n">
        <f aca="false">SUMIFS(tabela_registros[VALOR],tabela_registros[MÊS],$AE$1,tabela_registros[DIA],jantotal[[#Headers],[30]],tabela_registros[REGISTRO],DADOS!$N$4,tabela_registros[TIPO],DADOS!$P$3,tabela_registros[CATEGORIA],despesafixaconsolidado[[#This Row],[DESPESA FIXA]])</f>
        <v>0</v>
      </c>
      <c r="AI45" s="217" t="n">
        <f aca="false">SUMIFS(tabela_registros[VALOR],tabela_registros[MÊS],$AE$1,tabela_registros[DIA],jantotal[[#Headers],[31]],tabela_registros[REGISTRO],DADOS!$N$4,tabela_registros[TIPO],DADOS!$P$3,tabela_registros[CATEGORIA],despesafixaconsolidado[[#This Row],[DESPESA FIXA]])</f>
        <v>0</v>
      </c>
      <c r="AJ45" s="149" t="n">
        <f aca="false">SUM(despesafixaconsolidado[[#This Row],[1]:[31]])</f>
        <v>0</v>
      </c>
      <c r="AK45" s="213"/>
      <c r="AL45" s="189"/>
    </row>
    <row r="46" customFormat="false" ht="18" hidden="false" customHeight="true" outlineLevel="0" collapsed="false">
      <c r="A46" s="189"/>
      <c r="B46" s="213"/>
      <c r="C46" s="214" t="str">
        <f aca="false">DADOS!$R$12</f>
        <v>🖱️ INTERNET</v>
      </c>
      <c r="D46" s="215" t="str">
        <f aca="false">IF(despesafixaconsolidado[[#This Row],[TOTAL]]=0,"",IF(OR(despesafixaconsolidado[[#This Row],[TOTAL]]=LARGE($AJ$37:$AJ$50,1),despesafixaconsolidado[[#This Row],[TOTAL]]=LARGE($AJ$37:$AJ$50,2),despesafixaconsolidado[[#This Row],[TOTAL]]=LARGE($AJ$37:$AJ$50,3),despesafixaconsolidado[[#This Row],[TOTAL]]=LARGE($AJ$37:$AJ$50,4),despesafixaconsolidado[[#This Row],[TOTAL]]=LARGE($AJ$37:$AJ$50,5)),DADOS!$I$8,""))</f>
        <v/>
      </c>
      <c r="E46" s="148" t="n">
        <f aca="false">SUMIFS(tabela_registros[VALOR],tabela_registros[MÊS],$AE$1,tabela_registros[DIA],jantotal[[#Headers],[1]],tabela_registros[REGISTRO],DADOS!$N$4,tabela_registros[TIPO],DADOS!$P$3,tabela_registros[CATEGORIA],despesafixaconsolidado[[#This Row],[DESPESA FIXA]])</f>
        <v>0</v>
      </c>
      <c r="F46" s="119" t="n">
        <f aca="false">SUMIFS(tabela_registros[VALOR],tabela_registros[MÊS],$AE$1,tabela_registros[DIA],jantotal[[#Headers],[2]],tabela_registros[REGISTRO],DADOS!$N$4,tabela_registros[TIPO],DADOS!$P$3,tabela_registros[CATEGORIA],despesafixaconsolidado[[#This Row],[DESPESA FIXA]])</f>
        <v>0</v>
      </c>
      <c r="G46" s="119" t="n">
        <f aca="false">SUMIFS(tabela_registros[VALOR],tabela_registros[MÊS],$AE$1,tabela_registros[DIA],jantotal[[#Headers],[3]],tabela_registros[REGISTRO],DADOS!$N$4,tabela_registros[TIPO],DADOS!$P$3,tabela_registros[CATEGORIA],despesafixaconsolidado[[#This Row],[DESPESA FIXA]])</f>
        <v>0</v>
      </c>
      <c r="H46" s="119" t="n">
        <f aca="false">SUMIFS(tabela_registros[VALOR],tabela_registros[MÊS],$AE$1,tabela_registros[DIA],jantotal[[#Headers],[4]],tabela_registros[REGISTRO],DADOS!$N$4,tabela_registros[TIPO],DADOS!$P$3,tabela_registros[CATEGORIA],despesafixaconsolidado[[#This Row],[DESPESA FIXA]])</f>
        <v>0</v>
      </c>
      <c r="I46" s="119" t="n">
        <f aca="false">SUMIFS(tabela_registros[VALOR],tabela_registros[MÊS],$AE$1,tabela_registros[DIA],jantotal[[#Headers],[5]],tabela_registros[REGISTRO],DADOS!$N$4,tabela_registros[TIPO],DADOS!$P$3,tabela_registros[CATEGORIA],despesafixaconsolidado[[#This Row],[DESPESA FIXA]])</f>
        <v>0</v>
      </c>
      <c r="J46" s="119" t="n">
        <f aca="false">SUMIFS(tabela_registros[VALOR],tabela_registros[MÊS],$AE$1,tabela_registros[DIA],jantotal[[#Headers],[6]],tabela_registros[REGISTRO],DADOS!$N$4,tabela_registros[TIPO],DADOS!$P$3,tabela_registros[CATEGORIA],despesafixaconsolidado[[#This Row],[DESPESA FIXA]])</f>
        <v>0</v>
      </c>
      <c r="K46" s="119" t="n">
        <f aca="false">SUMIFS(tabela_registros[VALOR],tabela_registros[MÊS],$AE$1,tabela_registros[DIA],jantotal[[#Headers],[7]],tabela_registros[REGISTRO],DADOS!$N$4,tabela_registros[TIPO],DADOS!$P$3,tabela_registros[CATEGORIA],despesafixaconsolidado[[#This Row],[DESPESA FIXA]])</f>
        <v>0</v>
      </c>
      <c r="L46" s="119" t="n">
        <f aca="false">SUMIFS(tabela_registros[VALOR],tabela_registros[MÊS],$AE$1,tabela_registros[DIA],jantotal[[#Headers],[8]],tabela_registros[REGISTRO],DADOS!$N$4,tabela_registros[TIPO],DADOS!$P$3,tabela_registros[CATEGORIA],despesafixaconsolidado[[#This Row],[DESPESA FIXA]])</f>
        <v>0</v>
      </c>
      <c r="M46" s="119" t="n">
        <f aca="false">SUMIFS(tabela_registros[VALOR],tabela_registros[MÊS],$AE$1,tabela_registros[DIA],jantotal[[#Headers],[9]],tabela_registros[REGISTRO],DADOS!$N$4,tabela_registros[TIPO],DADOS!$P$3,tabela_registros[CATEGORIA],despesafixaconsolidado[[#This Row],[DESPESA FIXA]])</f>
        <v>0</v>
      </c>
      <c r="N46" s="119" t="n">
        <f aca="false">SUMIFS(tabela_registros[VALOR],tabela_registros[MÊS],$AE$1,tabela_registros[DIA],jantotal[[#Headers],[10]],tabela_registros[REGISTRO],DADOS!$N$4,tabela_registros[TIPO],DADOS!$P$3,tabela_registros[CATEGORIA],despesafixaconsolidado[[#This Row],[DESPESA FIXA]])</f>
        <v>0</v>
      </c>
      <c r="O46" s="119" t="n">
        <f aca="false">SUMIFS(tabela_registros[VALOR],tabela_registros[MÊS],$AE$1,tabela_registros[DIA],jantotal[[#Headers],[11]],tabela_registros[REGISTRO],DADOS!$N$4,tabela_registros[TIPO],DADOS!$P$3,tabela_registros[CATEGORIA],despesafixaconsolidado[[#This Row],[DESPESA FIXA]])</f>
        <v>0</v>
      </c>
      <c r="P46" s="119" t="n">
        <f aca="false">SUMIFS(tabela_registros[VALOR],tabela_registros[MÊS],$AE$1,tabela_registros[DIA],jantotal[[#Headers],[12]],tabela_registros[REGISTRO],DADOS!$N$4,tabela_registros[TIPO],DADOS!$P$3,tabela_registros[CATEGORIA],despesafixaconsolidado[[#This Row],[DESPESA FIXA]])</f>
        <v>0</v>
      </c>
      <c r="Q46" s="119" t="n">
        <f aca="false">SUMIFS(tabela_registros[VALOR],tabela_registros[MÊS],$AE$1,tabela_registros[DIA],jantotal[[#Headers],[13]],tabela_registros[REGISTRO],DADOS!$N$4,tabela_registros[TIPO],DADOS!$P$3,tabela_registros[CATEGORIA],despesafixaconsolidado[[#This Row],[DESPESA FIXA]])</f>
        <v>0</v>
      </c>
      <c r="R46" s="119" t="n">
        <f aca="false">SUMIFS(tabela_registros[VALOR],tabela_registros[MÊS],$AE$1,tabela_registros[DIA],jantotal[[#Headers],[14]],tabela_registros[REGISTRO],DADOS!$N$4,tabela_registros[TIPO],DADOS!$P$3,tabela_registros[CATEGORIA],despesafixaconsolidado[[#This Row],[DESPESA FIXA]])</f>
        <v>0</v>
      </c>
      <c r="S46" s="119" t="n">
        <f aca="false">SUMIFS(tabela_registros[VALOR],tabela_registros[MÊS],$AE$1,tabela_registros[DIA],jantotal[[#Headers],[15]],tabela_registros[REGISTRO],DADOS!$N$4,tabela_registros[TIPO],DADOS!$P$3,tabela_registros[CATEGORIA],despesafixaconsolidado[[#This Row],[DESPESA FIXA]])</f>
        <v>0</v>
      </c>
      <c r="T46" s="119" t="n">
        <f aca="false">SUMIFS(tabela_registros[VALOR],tabela_registros[MÊS],$AE$1,tabela_registros[DIA],jantotal[[#Headers],[16]],tabela_registros[REGISTRO],DADOS!$N$4,tabela_registros[TIPO],DADOS!$P$3,tabela_registros[CATEGORIA],despesafixaconsolidado[[#This Row],[DESPESA FIXA]])</f>
        <v>0</v>
      </c>
      <c r="U46" s="119" t="n">
        <f aca="false">SUMIFS(tabela_registros[VALOR],tabela_registros[MÊS],$AE$1,tabela_registros[DIA],jantotal[[#Headers],[17]],tabela_registros[REGISTRO],DADOS!$N$4,tabela_registros[TIPO],DADOS!$P$3,tabela_registros[CATEGORIA],despesafixaconsolidado[[#This Row],[DESPESA FIXA]])</f>
        <v>0</v>
      </c>
      <c r="V46" s="119" t="n">
        <f aca="false">SUMIFS(tabela_registros[VALOR],tabela_registros[MÊS],$AE$1,tabela_registros[DIA],jantotal[[#Headers],[18]],tabela_registros[REGISTRO],DADOS!$N$4,tabela_registros[TIPO],DADOS!$P$3,tabela_registros[CATEGORIA],despesafixaconsolidado[[#This Row],[DESPESA FIXA]])</f>
        <v>0</v>
      </c>
      <c r="W46" s="119" t="n">
        <f aca="false">SUMIFS(tabela_registros[VALOR],tabela_registros[MÊS],$AE$1,tabela_registros[DIA],jantotal[[#Headers],[19]],tabela_registros[REGISTRO],DADOS!$N$4,tabela_registros[TIPO],DADOS!$P$3,tabela_registros[CATEGORIA],despesafixaconsolidado[[#This Row],[DESPESA FIXA]])</f>
        <v>0</v>
      </c>
      <c r="X46" s="119" t="n">
        <f aca="false">SUMIFS(tabela_registros[VALOR],tabela_registros[MÊS],$AE$1,tabela_registros[DIA],jantotal[[#Headers],[20]],tabela_registros[REGISTRO],DADOS!$N$4,tabela_registros[TIPO],DADOS!$P$3,tabela_registros[CATEGORIA],despesafixaconsolidado[[#This Row],[DESPESA FIXA]])</f>
        <v>0</v>
      </c>
      <c r="Y46" s="119" t="n">
        <f aca="false">SUMIFS(tabela_registros[VALOR],tabela_registros[MÊS],$AE$1,tabela_registros[DIA],jantotal[[#Headers],[21]],tabela_registros[REGISTRO],DADOS!$N$4,tabela_registros[TIPO],DADOS!$P$3,tabela_registros[CATEGORIA],despesafixaconsolidado[[#This Row],[DESPESA FIXA]])</f>
        <v>0</v>
      </c>
      <c r="Z46" s="119" t="n">
        <f aca="false">SUMIFS(tabela_registros[VALOR],tabela_registros[MÊS],$AE$1,tabela_registros[DIA],jantotal[[#Headers],[22]],tabela_registros[REGISTRO],DADOS!$N$4,tabela_registros[TIPO],DADOS!$P$3,tabela_registros[CATEGORIA],despesafixaconsolidado[[#This Row],[DESPESA FIXA]])</f>
        <v>0</v>
      </c>
      <c r="AA46" s="119" t="n">
        <f aca="false">SUMIFS(tabela_registros[VALOR],tabela_registros[MÊS],$AE$1,tabela_registros[DIA],jantotal[[#Headers],[23]],tabela_registros[REGISTRO],DADOS!$N$4,tabela_registros[TIPO],DADOS!$P$3,tabela_registros[CATEGORIA],despesafixaconsolidado[[#This Row],[DESPESA FIXA]])</f>
        <v>0</v>
      </c>
      <c r="AB46" s="119" t="n">
        <f aca="false">SUMIFS(tabela_registros[VALOR],tabela_registros[MÊS],$AE$1,tabela_registros[DIA],jantotal[[#Headers],[24]],tabela_registros[REGISTRO],DADOS!$N$4,tabela_registros[TIPO],DADOS!$P$3,tabela_registros[CATEGORIA],despesafixaconsolidado[[#This Row],[DESPESA FIXA]])</f>
        <v>0</v>
      </c>
      <c r="AC46" s="119" t="n">
        <f aca="false">SUMIFS(tabela_registros[VALOR],tabela_registros[MÊS],$AE$1,tabela_registros[DIA],jantotal[[#Headers],[25]],tabela_registros[REGISTRO],DADOS!$N$4,tabela_registros[TIPO],DADOS!$P$3,tabela_registros[CATEGORIA],despesafixaconsolidado[[#This Row],[DESPESA FIXA]])</f>
        <v>0</v>
      </c>
      <c r="AD46" s="119" t="n">
        <f aca="false">SUMIFS(tabela_registros[VALOR],tabela_registros[MÊS],$AE$1,tabela_registros[DIA],jantotal[[#Headers],[26]],tabela_registros[REGISTRO],DADOS!$N$4,tabela_registros[TIPO],DADOS!$P$3,tabela_registros[CATEGORIA],despesafixaconsolidado[[#This Row],[DESPESA FIXA]])</f>
        <v>0</v>
      </c>
      <c r="AE46" s="119" t="n">
        <f aca="false">SUMIFS(tabela_registros[VALOR],tabela_registros[MÊS],$AE$1,tabela_registros[DIA],jantotal[[#Headers],[27]],tabela_registros[REGISTRO],DADOS!$N$4,tabela_registros[TIPO],DADOS!$P$3,tabela_registros[CATEGORIA],despesafixaconsolidado[[#This Row],[DESPESA FIXA]])</f>
        <v>0</v>
      </c>
      <c r="AF46" s="119" t="n">
        <f aca="false">SUMIFS(tabela_registros[VALOR],tabela_registros[MÊS],$AE$1,tabela_registros[DIA],jantotal[[#Headers],[28]],tabela_registros[REGISTRO],DADOS!$N$4,tabela_registros[TIPO],DADOS!$P$3,tabela_registros[CATEGORIA],despesafixaconsolidado[[#This Row],[DESPESA FIXA]])</f>
        <v>0</v>
      </c>
      <c r="AG46" s="119" t="n">
        <f aca="false">SUMIFS(tabela_registros[VALOR],tabela_registros[MÊS],$AE$1,tabela_registros[DIA],jantotal[[#Headers],[29]],tabela_registros[REGISTRO],DADOS!$N$4,tabela_registros[TIPO],DADOS!$P$3,tabela_registros[CATEGORIA],despesafixaconsolidado[[#This Row],[DESPESA FIXA]])</f>
        <v>0</v>
      </c>
      <c r="AH46" s="119" t="n">
        <f aca="false">SUMIFS(tabela_registros[VALOR],tabela_registros[MÊS],$AE$1,tabela_registros[DIA],jantotal[[#Headers],[30]],tabela_registros[REGISTRO],DADOS!$N$4,tabela_registros[TIPO],DADOS!$P$3,tabela_registros[CATEGORIA],despesafixaconsolidado[[#This Row],[DESPESA FIXA]])</f>
        <v>0</v>
      </c>
      <c r="AI46" s="217" t="n">
        <f aca="false">SUMIFS(tabela_registros[VALOR],tabela_registros[MÊS],$AE$1,tabela_registros[DIA],jantotal[[#Headers],[31]],tabela_registros[REGISTRO],DADOS!$N$4,tabela_registros[TIPO],DADOS!$P$3,tabela_registros[CATEGORIA],despesafixaconsolidado[[#This Row],[DESPESA FIXA]])</f>
        <v>0</v>
      </c>
      <c r="AJ46" s="149" t="n">
        <f aca="false">SUM(despesafixaconsolidado[[#This Row],[1]:[31]])</f>
        <v>0</v>
      </c>
      <c r="AK46" s="213"/>
      <c r="AL46" s="189"/>
    </row>
    <row r="47" customFormat="false" ht="18" hidden="false" customHeight="true" outlineLevel="0" collapsed="false">
      <c r="A47" s="189"/>
      <c r="B47" s="213"/>
      <c r="C47" s="214" t="str">
        <f aca="false">DADOS!$R$13</f>
        <v>🏠 MORADIA</v>
      </c>
      <c r="D47" s="215" t="str">
        <f aca="false">IF(despesafixaconsolidado[[#This Row],[TOTAL]]=0,"",IF(OR(despesafixaconsolidado[[#This Row],[TOTAL]]=LARGE($AJ$37:$AJ$50,1),despesafixaconsolidado[[#This Row],[TOTAL]]=LARGE($AJ$37:$AJ$50,2),despesafixaconsolidado[[#This Row],[TOTAL]]=LARGE($AJ$37:$AJ$50,3),despesafixaconsolidado[[#This Row],[TOTAL]]=LARGE($AJ$37:$AJ$50,4),despesafixaconsolidado[[#This Row],[TOTAL]]=LARGE($AJ$37:$AJ$50,5)),DADOS!$I$8,""))</f>
        <v/>
      </c>
      <c r="E47" s="148" t="n">
        <f aca="false">SUMIFS(tabela_registros[VALOR],tabela_registros[MÊS],$AE$1,tabela_registros[DIA],jantotal[[#Headers],[1]],tabela_registros[REGISTRO],DADOS!$N$4,tabela_registros[TIPO],DADOS!$P$3,tabela_registros[CATEGORIA],despesafixaconsolidado[[#This Row],[DESPESA FIXA]])</f>
        <v>0</v>
      </c>
      <c r="F47" s="119" t="n">
        <f aca="false">SUMIFS(tabela_registros[VALOR],tabela_registros[MÊS],$AE$1,tabela_registros[DIA],jantotal[[#Headers],[2]],tabela_registros[REGISTRO],DADOS!$N$4,tabela_registros[TIPO],DADOS!$P$3,tabela_registros[CATEGORIA],despesafixaconsolidado[[#This Row],[DESPESA FIXA]])</f>
        <v>0</v>
      </c>
      <c r="G47" s="119" t="n">
        <f aca="false">SUMIFS(tabela_registros[VALOR],tabela_registros[MÊS],$AE$1,tabela_registros[DIA],jantotal[[#Headers],[3]],tabela_registros[REGISTRO],DADOS!$N$4,tabela_registros[TIPO],DADOS!$P$3,tabela_registros[CATEGORIA],despesafixaconsolidado[[#This Row],[DESPESA FIXA]])</f>
        <v>0</v>
      </c>
      <c r="H47" s="119" t="n">
        <f aca="false">SUMIFS(tabela_registros[VALOR],tabela_registros[MÊS],$AE$1,tabela_registros[DIA],jantotal[[#Headers],[4]],tabela_registros[REGISTRO],DADOS!$N$4,tabela_registros[TIPO],DADOS!$P$3,tabela_registros[CATEGORIA],despesafixaconsolidado[[#This Row],[DESPESA FIXA]])</f>
        <v>0</v>
      </c>
      <c r="I47" s="119" t="n">
        <f aca="false">SUMIFS(tabela_registros[VALOR],tabela_registros[MÊS],$AE$1,tabela_registros[DIA],jantotal[[#Headers],[5]],tabela_registros[REGISTRO],DADOS!$N$4,tabela_registros[TIPO],DADOS!$P$3,tabela_registros[CATEGORIA],despesafixaconsolidado[[#This Row],[DESPESA FIXA]])</f>
        <v>0</v>
      </c>
      <c r="J47" s="119" t="n">
        <f aca="false">SUMIFS(tabela_registros[VALOR],tabela_registros[MÊS],$AE$1,tabela_registros[DIA],jantotal[[#Headers],[6]],tabela_registros[REGISTRO],DADOS!$N$4,tabela_registros[TIPO],DADOS!$P$3,tabela_registros[CATEGORIA],despesafixaconsolidado[[#This Row],[DESPESA FIXA]])</f>
        <v>0</v>
      </c>
      <c r="K47" s="119" t="n">
        <f aca="false">SUMIFS(tabela_registros[VALOR],tabela_registros[MÊS],$AE$1,tabela_registros[DIA],jantotal[[#Headers],[7]],tabela_registros[REGISTRO],DADOS!$N$4,tabela_registros[TIPO],DADOS!$P$3,tabela_registros[CATEGORIA],despesafixaconsolidado[[#This Row],[DESPESA FIXA]])</f>
        <v>0</v>
      </c>
      <c r="L47" s="119" t="n">
        <f aca="false">SUMIFS(tabela_registros[VALOR],tabela_registros[MÊS],$AE$1,tabela_registros[DIA],jantotal[[#Headers],[8]],tabela_registros[REGISTRO],DADOS!$N$4,tabela_registros[TIPO],DADOS!$P$3,tabela_registros[CATEGORIA],despesafixaconsolidado[[#This Row],[DESPESA FIXA]])</f>
        <v>0</v>
      </c>
      <c r="M47" s="119" t="n">
        <f aca="false">SUMIFS(tabela_registros[VALOR],tabela_registros[MÊS],$AE$1,tabela_registros[DIA],jantotal[[#Headers],[9]],tabela_registros[REGISTRO],DADOS!$N$4,tabela_registros[TIPO],DADOS!$P$3,tabela_registros[CATEGORIA],despesafixaconsolidado[[#This Row],[DESPESA FIXA]])</f>
        <v>0</v>
      </c>
      <c r="N47" s="119" t="n">
        <f aca="false">SUMIFS(tabela_registros[VALOR],tabela_registros[MÊS],$AE$1,tabela_registros[DIA],jantotal[[#Headers],[10]],tabela_registros[REGISTRO],DADOS!$N$4,tabela_registros[TIPO],DADOS!$P$3,tabela_registros[CATEGORIA],despesafixaconsolidado[[#This Row],[DESPESA FIXA]])</f>
        <v>0</v>
      </c>
      <c r="O47" s="119" t="n">
        <f aca="false">SUMIFS(tabela_registros[VALOR],tabela_registros[MÊS],$AE$1,tabela_registros[DIA],jantotal[[#Headers],[11]],tabela_registros[REGISTRO],DADOS!$N$4,tabela_registros[TIPO],DADOS!$P$3,tabela_registros[CATEGORIA],despesafixaconsolidado[[#This Row],[DESPESA FIXA]])</f>
        <v>0</v>
      </c>
      <c r="P47" s="119" t="n">
        <f aca="false">SUMIFS(tabela_registros[VALOR],tabela_registros[MÊS],$AE$1,tabela_registros[DIA],jantotal[[#Headers],[12]],tabela_registros[REGISTRO],DADOS!$N$4,tabela_registros[TIPO],DADOS!$P$3,tabela_registros[CATEGORIA],despesafixaconsolidado[[#This Row],[DESPESA FIXA]])</f>
        <v>0</v>
      </c>
      <c r="Q47" s="119" t="n">
        <f aca="false">SUMIFS(tabela_registros[VALOR],tabela_registros[MÊS],$AE$1,tabela_registros[DIA],jantotal[[#Headers],[13]],tabela_registros[REGISTRO],DADOS!$N$4,tabela_registros[TIPO],DADOS!$P$3,tabela_registros[CATEGORIA],despesafixaconsolidado[[#This Row],[DESPESA FIXA]])</f>
        <v>0</v>
      </c>
      <c r="R47" s="119" t="n">
        <f aca="false">SUMIFS(tabela_registros[VALOR],tabela_registros[MÊS],$AE$1,tabela_registros[DIA],jantotal[[#Headers],[14]],tabela_registros[REGISTRO],DADOS!$N$4,tabela_registros[TIPO],DADOS!$P$3,tabela_registros[CATEGORIA],despesafixaconsolidado[[#This Row],[DESPESA FIXA]])</f>
        <v>0</v>
      </c>
      <c r="S47" s="119" t="n">
        <f aca="false">SUMIFS(tabela_registros[VALOR],tabela_registros[MÊS],$AE$1,tabela_registros[DIA],jantotal[[#Headers],[15]],tabela_registros[REGISTRO],DADOS!$N$4,tabela_registros[TIPO],DADOS!$P$3,tabela_registros[CATEGORIA],despesafixaconsolidado[[#This Row],[DESPESA FIXA]])</f>
        <v>0</v>
      </c>
      <c r="T47" s="119" t="n">
        <f aca="false">SUMIFS(tabela_registros[VALOR],tabela_registros[MÊS],$AE$1,tabela_registros[DIA],jantotal[[#Headers],[16]],tabela_registros[REGISTRO],DADOS!$N$4,tabela_registros[TIPO],DADOS!$P$3,tabela_registros[CATEGORIA],despesafixaconsolidado[[#This Row],[DESPESA FIXA]])</f>
        <v>0</v>
      </c>
      <c r="U47" s="119" t="n">
        <f aca="false">SUMIFS(tabela_registros[VALOR],tabela_registros[MÊS],$AE$1,tabela_registros[DIA],jantotal[[#Headers],[17]],tabela_registros[REGISTRO],DADOS!$N$4,tabela_registros[TIPO],DADOS!$P$3,tabela_registros[CATEGORIA],despesafixaconsolidado[[#This Row],[DESPESA FIXA]])</f>
        <v>0</v>
      </c>
      <c r="V47" s="119" t="n">
        <f aca="false">SUMIFS(tabela_registros[VALOR],tabela_registros[MÊS],$AE$1,tabela_registros[DIA],jantotal[[#Headers],[18]],tabela_registros[REGISTRO],DADOS!$N$4,tabela_registros[TIPO],DADOS!$P$3,tabela_registros[CATEGORIA],despesafixaconsolidado[[#This Row],[DESPESA FIXA]])</f>
        <v>0</v>
      </c>
      <c r="W47" s="119" t="n">
        <f aca="false">SUMIFS(tabela_registros[VALOR],tabela_registros[MÊS],$AE$1,tabela_registros[DIA],jantotal[[#Headers],[19]],tabela_registros[REGISTRO],DADOS!$N$4,tabela_registros[TIPO],DADOS!$P$3,tabela_registros[CATEGORIA],despesafixaconsolidado[[#This Row],[DESPESA FIXA]])</f>
        <v>0</v>
      </c>
      <c r="X47" s="119" t="n">
        <f aca="false">SUMIFS(tabela_registros[VALOR],tabela_registros[MÊS],$AE$1,tabela_registros[DIA],jantotal[[#Headers],[20]],tabela_registros[REGISTRO],DADOS!$N$4,tabela_registros[TIPO],DADOS!$P$3,tabela_registros[CATEGORIA],despesafixaconsolidado[[#This Row],[DESPESA FIXA]])</f>
        <v>0</v>
      </c>
      <c r="Y47" s="119" t="n">
        <f aca="false">SUMIFS(tabela_registros[VALOR],tabela_registros[MÊS],$AE$1,tabela_registros[DIA],jantotal[[#Headers],[21]],tabela_registros[REGISTRO],DADOS!$N$4,tabela_registros[TIPO],DADOS!$P$3,tabela_registros[CATEGORIA],despesafixaconsolidado[[#This Row],[DESPESA FIXA]])</f>
        <v>0</v>
      </c>
      <c r="Z47" s="119" t="n">
        <f aca="false">SUMIFS(tabela_registros[VALOR],tabela_registros[MÊS],$AE$1,tabela_registros[DIA],jantotal[[#Headers],[22]],tabela_registros[REGISTRO],DADOS!$N$4,tabela_registros[TIPO],DADOS!$P$3,tabela_registros[CATEGORIA],despesafixaconsolidado[[#This Row],[DESPESA FIXA]])</f>
        <v>0</v>
      </c>
      <c r="AA47" s="119" t="n">
        <f aca="false">SUMIFS(tabela_registros[VALOR],tabela_registros[MÊS],$AE$1,tabela_registros[DIA],jantotal[[#Headers],[23]],tabela_registros[REGISTRO],DADOS!$N$4,tabela_registros[TIPO],DADOS!$P$3,tabela_registros[CATEGORIA],despesafixaconsolidado[[#This Row],[DESPESA FIXA]])</f>
        <v>0</v>
      </c>
      <c r="AB47" s="119" t="n">
        <f aca="false">SUMIFS(tabela_registros[VALOR],tabela_registros[MÊS],$AE$1,tabela_registros[DIA],jantotal[[#Headers],[24]],tabela_registros[REGISTRO],DADOS!$N$4,tabela_registros[TIPO],DADOS!$P$3,tabela_registros[CATEGORIA],despesafixaconsolidado[[#This Row],[DESPESA FIXA]])</f>
        <v>0</v>
      </c>
      <c r="AC47" s="119" t="n">
        <f aca="false">SUMIFS(tabela_registros[VALOR],tabela_registros[MÊS],$AE$1,tabela_registros[DIA],jantotal[[#Headers],[25]],tabela_registros[REGISTRO],DADOS!$N$4,tabela_registros[TIPO],DADOS!$P$3,tabela_registros[CATEGORIA],despesafixaconsolidado[[#This Row],[DESPESA FIXA]])</f>
        <v>0</v>
      </c>
      <c r="AD47" s="119" t="n">
        <f aca="false">SUMIFS(tabela_registros[VALOR],tabela_registros[MÊS],$AE$1,tabela_registros[DIA],jantotal[[#Headers],[26]],tabela_registros[REGISTRO],DADOS!$N$4,tabela_registros[TIPO],DADOS!$P$3,tabela_registros[CATEGORIA],despesafixaconsolidado[[#This Row],[DESPESA FIXA]])</f>
        <v>0</v>
      </c>
      <c r="AE47" s="119" t="n">
        <f aca="false">SUMIFS(tabela_registros[VALOR],tabela_registros[MÊS],$AE$1,tabela_registros[DIA],jantotal[[#Headers],[27]],tabela_registros[REGISTRO],DADOS!$N$4,tabela_registros[TIPO],DADOS!$P$3,tabela_registros[CATEGORIA],despesafixaconsolidado[[#This Row],[DESPESA FIXA]])</f>
        <v>0</v>
      </c>
      <c r="AF47" s="119" t="n">
        <f aca="false">SUMIFS(tabela_registros[VALOR],tabela_registros[MÊS],$AE$1,tabela_registros[DIA],jantotal[[#Headers],[28]],tabela_registros[REGISTRO],DADOS!$N$4,tabela_registros[TIPO],DADOS!$P$3,tabela_registros[CATEGORIA],despesafixaconsolidado[[#This Row],[DESPESA FIXA]])</f>
        <v>0</v>
      </c>
      <c r="AG47" s="119" t="n">
        <f aca="false">SUMIFS(tabela_registros[VALOR],tabela_registros[MÊS],$AE$1,tabela_registros[DIA],jantotal[[#Headers],[29]],tabela_registros[REGISTRO],DADOS!$N$4,tabela_registros[TIPO],DADOS!$P$3,tabela_registros[CATEGORIA],despesafixaconsolidado[[#This Row],[DESPESA FIXA]])</f>
        <v>0</v>
      </c>
      <c r="AH47" s="119" t="n">
        <f aca="false">SUMIFS(tabela_registros[VALOR],tabela_registros[MÊS],$AE$1,tabela_registros[DIA],jantotal[[#Headers],[30]],tabela_registros[REGISTRO],DADOS!$N$4,tabela_registros[TIPO],DADOS!$P$3,tabela_registros[CATEGORIA],despesafixaconsolidado[[#This Row],[DESPESA FIXA]])</f>
        <v>0</v>
      </c>
      <c r="AI47" s="217" t="n">
        <f aca="false">SUMIFS(tabela_registros[VALOR],tabela_registros[MÊS],$AE$1,tabela_registros[DIA],jantotal[[#Headers],[31]],tabela_registros[REGISTRO],DADOS!$N$4,tabela_registros[TIPO],DADOS!$P$3,tabela_registros[CATEGORIA],despesafixaconsolidado[[#This Row],[DESPESA FIXA]])</f>
        <v>0</v>
      </c>
      <c r="AJ47" s="149" t="n">
        <f aca="false">SUM(despesafixaconsolidado[[#This Row],[1]:[31]])</f>
        <v>0</v>
      </c>
      <c r="AK47" s="213"/>
      <c r="AL47" s="189"/>
    </row>
    <row r="48" customFormat="false" ht="18" hidden="false" customHeight="true" outlineLevel="0" collapsed="false">
      <c r="A48" s="189"/>
      <c r="B48" s="213"/>
      <c r="C48" s="214" t="str">
        <f aca="false">DADOS!$R$14</f>
        <v>💊 SAÚDE</v>
      </c>
      <c r="D48" s="215" t="str">
        <f aca="false">IF(despesafixaconsolidado[[#This Row],[TOTAL]]=0,"",IF(OR(despesafixaconsolidado[[#This Row],[TOTAL]]=LARGE($AJ$37:$AJ$50,1),despesafixaconsolidado[[#This Row],[TOTAL]]=LARGE($AJ$37:$AJ$50,2),despesafixaconsolidado[[#This Row],[TOTAL]]=LARGE($AJ$37:$AJ$50,3),despesafixaconsolidado[[#This Row],[TOTAL]]=LARGE($AJ$37:$AJ$50,4),despesafixaconsolidado[[#This Row],[TOTAL]]=LARGE($AJ$37:$AJ$50,5)),DADOS!$I$8,""))</f>
        <v/>
      </c>
      <c r="E48" s="148" t="n">
        <f aca="false">SUMIFS(tabela_registros[VALOR],tabela_registros[MÊS],$AE$1,tabela_registros[DIA],jantotal[[#Headers],[1]],tabela_registros[REGISTRO],DADOS!$N$4,tabela_registros[TIPO],DADOS!$P$3,tabela_registros[CATEGORIA],despesafixaconsolidado[[#This Row],[DESPESA FIXA]])</f>
        <v>0</v>
      </c>
      <c r="F48" s="119" t="n">
        <f aca="false">SUMIFS(tabela_registros[VALOR],tabela_registros[MÊS],$AE$1,tabela_registros[DIA],jantotal[[#Headers],[2]],tabela_registros[REGISTRO],DADOS!$N$4,tabela_registros[TIPO],DADOS!$P$3,tabela_registros[CATEGORIA],despesafixaconsolidado[[#This Row],[DESPESA FIXA]])</f>
        <v>0</v>
      </c>
      <c r="G48" s="119" t="n">
        <f aca="false">SUMIFS(tabela_registros[VALOR],tabela_registros[MÊS],$AE$1,tabela_registros[DIA],jantotal[[#Headers],[3]],tabela_registros[REGISTRO],DADOS!$N$4,tabela_registros[TIPO],DADOS!$P$3,tabela_registros[CATEGORIA],despesafixaconsolidado[[#This Row],[DESPESA FIXA]])</f>
        <v>0</v>
      </c>
      <c r="H48" s="119" t="n">
        <f aca="false">SUMIFS(tabela_registros[VALOR],tabela_registros[MÊS],$AE$1,tabela_registros[DIA],jantotal[[#Headers],[4]],tabela_registros[REGISTRO],DADOS!$N$4,tabela_registros[TIPO],DADOS!$P$3,tabela_registros[CATEGORIA],despesafixaconsolidado[[#This Row],[DESPESA FIXA]])</f>
        <v>0</v>
      </c>
      <c r="I48" s="119" t="n">
        <f aca="false">SUMIFS(tabela_registros[VALOR],tabela_registros[MÊS],$AE$1,tabela_registros[DIA],jantotal[[#Headers],[5]],tabela_registros[REGISTRO],DADOS!$N$4,tabela_registros[TIPO],DADOS!$P$3,tabela_registros[CATEGORIA],despesafixaconsolidado[[#This Row],[DESPESA FIXA]])</f>
        <v>0</v>
      </c>
      <c r="J48" s="119" t="n">
        <f aca="false">SUMIFS(tabela_registros[VALOR],tabela_registros[MÊS],$AE$1,tabela_registros[DIA],jantotal[[#Headers],[6]],tabela_registros[REGISTRO],DADOS!$N$4,tabela_registros[TIPO],DADOS!$P$3,tabela_registros[CATEGORIA],despesafixaconsolidado[[#This Row],[DESPESA FIXA]])</f>
        <v>0</v>
      </c>
      <c r="K48" s="119" t="n">
        <f aca="false">SUMIFS(tabela_registros[VALOR],tabela_registros[MÊS],$AE$1,tabela_registros[DIA],jantotal[[#Headers],[7]],tabela_registros[REGISTRO],DADOS!$N$4,tabela_registros[TIPO],DADOS!$P$3,tabela_registros[CATEGORIA],despesafixaconsolidado[[#This Row],[DESPESA FIXA]])</f>
        <v>0</v>
      </c>
      <c r="L48" s="119" t="n">
        <f aca="false">SUMIFS(tabela_registros[VALOR],tabela_registros[MÊS],$AE$1,tabela_registros[DIA],jantotal[[#Headers],[8]],tabela_registros[REGISTRO],DADOS!$N$4,tabela_registros[TIPO],DADOS!$P$3,tabela_registros[CATEGORIA],despesafixaconsolidado[[#This Row],[DESPESA FIXA]])</f>
        <v>0</v>
      </c>
      <c r="M48" s="119" t="n">
        <f aca="false">SUMIFS(tabela_registros[VALOR],tabela_registros[MÊS],$AE$1,tabela_registros[DIA],jantotal[[#Headers],[9]],tabela_registros[REGISTRO],DADOS!$N$4,tabela_registros[TIPO],DADOS!$P$3,tabela_registros[CATEGORIA],despesafixaconsolidado[[#This Row],[DESPESA FIXA]])</f>
        <v>0</v>
      </c>
      <c r="N48" s="119" t="n">
        <f aca="false">SUMIFS(tabela_registros[VALOR],tabela_registros[MÊS],$AE$1,tabela_registros[DIA],jantotal[[#Headers],[10]],tabela_registros[REGISTRO],DADOS!$N$4,tabela_registros[TIPO],DADOS!$P$3,tabela_registros[CATEGORIA],despesafixaconsolidado[[#This Row],[DESPESA FIXA]])</f>
        <v>0</v>
      </c>
      <c r="O48" s="119" t="n">
        <f aca="false">SUMIFS(tabela_registros[VALOR],tabela_registros[MÊS],$AE$1,tabela_registros[DIA],jantotal[[#Headers],[11]],tabela_registros[REGISTRO],DADOS!$N$4,tabela_registros[TIPO],DADOS!$P$3,tabela_registros[CATEGORIA],despesafixaconsolidado[[#This Row],[DESPESA FIXA]])</f>
        <v>0</v>
      </c>
      <c r="P48" s="119" t="n">
        <f aca="false">SUMIFS(tabela_registros[VALOR],tabela_registros[MÊS],$AE$1,tabela_registros[DIA],jantotal[[#Headers],[12]],tabela_registros[REGISTRO],DADOS!$N$4,tabela_registros[TIPO],DADOS!$P$3,tabela_registros[CATEGORIA],despesafixaconsolidado[[#This Row],[DESPESA FIXA]])</f>
        <v>0</v>
      </c>
      <c r="Q48" s="119" t="n">
        <f aca="false">SUMIFS(tabela_registros[VALOR],tabela_registros[MÊS],$AE$1,tabela_registros[DIA],jantotal[[#Headers],[13]],tabela_registros[REGISTRO],DADOS!$N$4,tabela_registros[TIPO],DADOS!$P$3,tabela_registros[CATEGORIA],despesafixaconsolidado[[#This Row],[DESPESA FIXA]])</f>
        <v>0</v>
      </c>
      <c r="R48" s="119" t="n">
        <f aca="false">SUMIFS(tabela_registros[VALOR],tabela_registros[MÊS],$AE$1,tabela_registros[DIA],jantotal[[#Headers],[14]],tabela_registros[REGISTRO],DADOS!$N$4,tabela_registros[TIPO],DADOS!$P$3,tabela_registros[CATEGORIA],despesafixaconsolidado[[#This Row],[DESPESA FIXA]])</f>
        <v>0</v>
      </c>
      <c r="S48" s="119" t="n">
        <f aca="false">SUMIFS(tabela_registros[VALOR],tabela_registros[MÊS],$AE$1,tabela_registros[DIA],jantotal[[#Headers],[15]],tabela_registros[REGISTRO],DADOS!$N$4,tabela_registros[TIPO],DADOS!$P$3,tabela_registros[CATEGORIA],despesafixaconsolidado[[#This Row],[DESPESA FIXA]])</f>
        <v>0</v>
      </c>
      <c r="T48" s="119" t="n">
        <f aca="false">SUMIFS(tabela_registros[VALOR],tabela_registros[MÊS],$AE$1,tabela_registros[DIA],jantotal[[#Headers],[16]],tabela_registros[REGISTRO],DADOS!$N$4,tabela_registros[TIPO],DADOS!$P$3,tabela_registros[CATEGORIA],despesafixaconsolidado[[#This Row],[DESPESA FIXA]])</f>
        <v>0</v>
      </c>
      <c r="U48" s="119" t="n">
        <f aca="false">SUMIFS(tabela_registros[VALOR],tabela_registros[MÊS],$AE$1,tabela_registros[DIA],jantotal[[#Headers],[17]],tabela_registros[REGISTRO],DADOS!$N$4,tabela_registros[TIPO],DADOS!$P$3,tabela_registros[CATEGORIA],despesafixaconsolidado[[#This Row],[DESPESA FIXA]])</f>
        <v>0</v>
      </c>
      <c r="V48" s="119" t="n">
        <f aca="false">SUMIFS(tabela_registros[VALOR],tabela_registros[MÊS],$AE$1,tabela_registros[DIA],jantotal[[#Headers],[18]],tabela_registros[REGISTRO],DADOS!$N$4,tabela_registros[TIPO],DADOS!$P$3,tabela_registros[CATEGORIA],despesafixaconsolidado[[#This Row],[DESPESA FIXA]])</f>
        <v>0</v>
      </c>
      <c r="W48" s="119" t="n">
        <f aca="false">SUMIFS(tabela_registros[VALOR],tabela_registros[MÊS],$AE$1,tabela_registros[DIA],jantotal[[#Headers],[19]],tabela_registros[REGISTRO],DADOS!$N$4,tabela_registros[TIPO],DADOS!$P$3,tabela_registros[CATEGORIA],despesafixaconsolidado[[#This Row],[DESPESA FIXA]])</f>
        <v>0</v>
      </c>
      <c r="X48" s="119" t="n">
        <f aca="false">SUMIFS(tabela_registros[VALOR],tabela_registros[MÊS],$AE$1,tabela_registros[DIA],jantotal[[#Headers],[20]],tabela_registros[REGISTRO],DADOS!$N$4,tabela_registros[TIPO],DADOS!$P$3,tabela_registros[CATEGORIA],despesafixaconsolidado[[#This Row],[DESPESA FIXA]])</f>
        <v>0</v>
      </c>
      <c r="Y48" s="119" t="n">
        <f aca="false">SUMIFS(tabela_registros[VALOR],tabela_registros[MÊS],$AE$1,tabela_registros[DIA],jantotal[[#Headers],[21]],tabela_registros[REGISTRO],DADOS!$N$4,tabela_registros[TIPO],DADOS!$P$3,tabela_registros[CATEGORIA],despesafixaconsolidado[[#This Row],[DESPESA FIXA]])</f>
        <v>0</v>
      </c>
      <c r="Z48" s="119" t="n">
        <f aca="false">SUMIFS(tabela_registros[VALOR],tabela_registros[MÊS],$AE$1,tabela_registros[DIA],jantotal[[#Headers],[22]],tabela_registros[REGISTRO],DADOS!$N$4,tabela_registros[TIPO],DADOS!$P$3,tabela_registros[CATEGORIA],despesafixaconsolidado[[#This Row],[DESPESA FIXA]])</f>
        <v>0</v>
      </c>
      <c r="AA48" s="119" t="n">
        <f aca="false">SUMIFS(tabela_registros[VALOR],tabela_registros[MÊS],$AE$1,tabela_registros[DIA],jantotal[[#Headers],[23]],tabela_registros[REGISTRO],DADOS!$N$4,tabela_registros[TIPO],DADOS!$P$3,tabela_registros[CATEGORIA],despesafixaconsolidado[[#This Row],[DESPESA FIXA]])</f>
        <v>0</v>
      </c>
      <c r="AB48" s="119" t="n">
        <f aca="false">SUMIFS(tabela_registros[VALOR],tabela_registros[MÊS],$AE$1,tabela_registros[DIA],jantotal[[#Headers],[24]],tabela_registros[REGISTRO],DADOS!$N$4,tabela_registros[TIPO],DADOS!$P$3,tabela_registros[CATEGORIA],despesafixaconsolidado[[#This Row],[DESPESA FIXA]])</f>
        <v>0</v>
      </c>
      <c r="AC48" s="119" t="n">
        <f aca="false">SUMIFS(tabela_registros[VALOR],tabela_registros[MÊS],$AE$1,tabela_registros[DIA],jantotal[[#Headers],[25]],tabela_registros[REGISTRO],DADOS!$N$4,tabela_registros[TIPO],DADOS!$P$3,tabela_registros[CATEGORIA],despesafixaconsolidado[[#This Row],[DESPESA FIXA]])</f>
        <v>0</v>
      </c>
      <c r="AD48" s="119" t="n">
        <f aca="false">SUMIFS(tabela_registros[VALOR],tabela_registros[MÊS],$AE$1,tabela_registros[DIA],jantotal[[#Headers],[26]],tabela_registros[REGISTRO],DADOS!$N$4,tabela_registros[TIPO],DADOS!$P$3,tabela_registros[CATEGORIA],despesafixaconsolidado[[#This Row],[DESPESA FIXA]])</f>
        <v>0</v>
      </c>
      <c r="AE48" s="119" t="n">
        <f aca="false">SUMIFS(tabela_registros[VALOR],tabela_registros[MÊS],$AE$1,tabela_registros[DIA],jantotal[[#Headers],[27]],tabela_registros[REGISTRO],DADOS!$N$4,tabela_registros[TIPO],DADOS!$P$3,tabela_registros[CATEGORIA],despesafixaconsolidado[[#This Row],[DESPESA FIXA]])</f>
        <v>0</v>
      </c>
      <c r="AF48" s="119" t="n">
        <f aca="false">SUMIFS(tabela_registros[VALOR],tabela_registros[MÊS],$AE$1,tabela_registros[DIA],jantotal[[#Headers],[28]],tabela_registros[REGISTRO],DADOS!$N$4,tabela_registros[TIPO],DADOS!$P$3,tabela_registros[CATEGORIA],despesafixaconsolidado[[#This Row],[DESPESA FIXA]])</f>
        <v>0</v>
      </c>
      <c r="AG48" s="119" t="n">
        <f aca="false">SUMIFS(tabela_registros[VALOR],tabela_registros[MÊS],$AE$1,tabela_registros[DIA],jantotal[[#Headers],[29]],tabela_registros[REGISTRO],DADOS!$N$4,tabela_registros[TIPO],DADOS!$P$3,tabela_registros[CATEGORIA],despesafixaconsolidado[[#This Row],[DESPESA FIXA]])</f>
        <v>0</v>
      </c>
      <c r="AH48" s="119" t="n">
        <f aca="false">SUMIFS(tabela_registros[VALOR],tabela_registros[MÊS],$AE$1,tabela_registros[DIA],jantotal[[#Headers],[30]],tabela_registros[REGISTRO],DADOS!$N$4,tabela_registros[TIPO],DADOS!$P$3,tabela_registros[CATEGORIA],despesafixaconsolidado[[#This Row],[DESPESA FIXA]])</f>
        <v>0</v>
      </c>
      <c r="AI48" s="217" t="n">
        <f aca="false">SUMIFS(tabela_registros[VALOR],tabela_registros[MÊS],$AE$1,tabela_registros[DIA],jantotal[[#Headers],[31]],tabela_registros[REGISTRO],DADOS!$N$4,tabela_registros[TIPO],DADOS!$P$3,tabela_registros[CATEGORIA],despesafixaconsolidado[[#This Row],[DESPESA FIXA]])</f>
        <v>0</v>
      </c>
      <c r="AJ48" s="149" t="n">
        <f aca="false">SUM(despesafixaconsolidado[[#This Row],[1]:[31]])</f>
        <v>0</v>
      </c>
      <c r="AK48" s="213"/>
      <c r="AL48" s="189"/>
    </row>
    <row r="49" customFormat="false" ht="18" hidden="false" customHeight="true" outlineLevel="0" collapsed="false">
      <c r="A49" s="189"/>
      <c r="B49" s="213"/>
      <c r="C49" s="214" t="str">
        <f aca="false">DADOS!$R$15</f>
        <v>📞 TELEFONE</v>
      </c>
      <c r="D49" s="215" t="str">
        <f aca="false">IF(despesafixaconsolidado[[#This Row],[TOTAL]]=0,"",IF(OR(despesafixaconsolidado[[#This Row],[TOTAL]]=LARGE($AJ$37:$AJ$50,1),despesafixaconsolidado[[#This Row],[TOTAL]]=LARGE($AJ$37:$AJ$50,2),despesafixaconsolidado[[#This Row],[TOTAL]]=LARGE($AJ$37:$AJ$50,3),despesafixaconsolidado[[#This Row],[TOTAL]]=LARGE($AJ$37:$AJ$50,4),despesafixaconsolidado[[#This Row],[TOTAL]]=LARGE($AJ$37:$AJ$50,5)),DADOS!$I$8,""))</f>
        <v/>
      </c>
      <c r="E49" s="148" t="n">
        <f aca="false">SUMIFS(tabela_registros[VALOR],tabela_registros[MÊS],$AE$1,tabela_registros[DIA],jantotal[[#Headers],[1]],tabela_registros[REGISTRO],DADOS!$N$4,tabela_registros[TIPO],DADOS!$P$3,tabela_registros[CATEGORIA],despesafixaconsolidado[[#This Row],[DESPESA FIXA]])</f>
        <v>0</v>
      </c>
      <c r="F49" s="119" t="n">
        <f aca="false">SUMIFS(tabela_registros[VALOR],tabela_registros[MÊS],$AE$1,tabela_registros[DIA],jantotal[[#Headers],[2]],tabela_registros[REGISTRO],DADOS!$N$4,tabela_registros[TIPO],DADOS!$P$3,tabela_registros[CATEGORIA],despesafixaconsolidado[[#This Row],[DESPESA FIXA]])</f>
        <v>0</v>
      </c>
      <c r="G49" s="119" t="n">
        <f aca="false">SUMIFS(tabela_registros[VALOR],tabela_registros[MÊS],$AE$1,tabela_registros[DIA],jantotal[[#Headers],[3]],tabela_registros[REGISTRO],DADOS!$N$4,tabela_registros[TIPO],DADOS!$P$3,tabela_registros[CATEGORIA],despesafixaconsolidado[[#This Row],[DESPESA FIXA]])</f>
        <v>0</v>
      </c>
      <c r="H49" s="119" t="n">
        <f aca="false">SUMIFS(tabela_registros[VALOR],tabela_registros[MÊS],$AE$1,tabela_registros[DIA],jantotal[[#Headers],[4]],tabela_registros[REGISTRO],DADOS!$N$4,tabela_registros[TIPO],DADOS!$P$3,tabela_registros[CATEGORIA],despesafixaconsolidado[[#This Row],[DESPESA FIXA]])</f>
        <v>0</v>
      </c>
      <c r="I49" s="119" t="n">
        <f aca="false">SUMIFS(tabela_registros[VALOR],tabela_registros[MÊS],$AE$1,tabela_registros[DIA],jantotal[[#Headers],[5]],tabela_registros[REGISTRO],DADOS!$N$4,tabela_registros[TIPO],DADOS!$P$3,tabela_registros[CATEGORIA],despesafixaconsolidado[[#This Row],[DESPESA FIXA]])</f>
        <v>0</v>
      </c>
      <c r="J49" s="119" t="n">
        <f aca="false">SUMIFS(tabela_registros[VALOR],tabela_registros[MÊS],$AE$1,tabela_registros[DIA],jantotal[[#Headers],[6]],tabela_registros[REGISTRO],DADOS!$N$4,tabela_registros[TIPO],DADOS!$P$3,tabela_registros[CATEGORIA],despesafixaconsolidado[[#This Row],[DESPESA FIXA]])</f>
        <v>0</v>
      </c>
      <c r="K49" s="119" t="n">
        <f aca="false">SUMIFS(tabela_registros[VALOR],tabela_registros[MÊS],$AE$1,tabela_registros[DIA],jantotal[[#Headers],[7]],tabela_registros[REGISTRO],DADOS!$N$4,tabela_registros[TIPO],DADOS!$P$3,tabela_registros[CATEGORIA],despesafixaconsolidado[[#This Row],[DESPESA FIXA]])</f>
        <v>0</v>
      </c>
      <c r="L49" s="119" t="n">
        <f aca="false">SUMIFS(tabela_registros[VALOR],tabela_registros[MÊS],$AE$1,tabela_registros[DIA],jantotal[[#Headers],[8]],tabela_registros[REGISTRO],DADOS!$N$4,tabela_registros[TIPO],DADOS!$P$3,tabela_registros[CATEGORIA],despesafixaconsolidado[[#This Row],[DESPESA FIXA]])</f>
        <v>0</v>
      </c>
      <c r="M49" s="119" t="n">
        <f aca="false">SUMIFS(tabela_registros[VALOR],tabela_registros[MÊS],$AE$1,tabela_registros[DIA],jantotal[[#Headers],[9]],tabela_registros[REGISTRO],DADOS!$N$4,tabela_registros[TIPO],DADOS!$P$3,tabela_registros[CATEGORIA],despesafixaconsolidado[[#This Row],[DESPESA FIXA]])</f>
        <v>0</v>
      </c>
      <c r="N49" s="119" t="n">
        <f aca="false">SUMIFS(tabela_registros[VALOR],tabela_registros[MÊS],$AE$1,tabela_registros[DIA],jantotal[[#Headers],[10]],tabela_registros[REGISTRO],DADOS!$N$4,tabela_registros[TIPO],DADOS!$P$3,tabela_registros[CATEGORIA],despesafixaconsolidado[[#This Row],[DESPESA FIXA]])</f>
        <v>0</v>
      </c>
      <c r="O49" s="119" t="n">
        <f aca="false">SUMIFS(tabela_registros[VALOR],tabela_registros[MÊS],$AE$1,tabela_registros[DIA],jantotal[[#Headers],[11]],tabela_registros[REGISTRO],DADOS!$N$4,tabela_registros[TIPO],DADOS!$P$3,tabela_registros[CATEGORIA],despesafixaconsolidado[[#This Row],[DESPESA FIXA]])</f>
        <v>0</v>
      </c>
      <c r="P49" s="119" t="n">
        <f aca="false">SUMIFS(tabela_registros[VALOR],tabela_registros[MÊS],$AE$1,tabela_registros[DIA],jantotal[[#Headers],[12]],tabela_registros[REGISTRO],DADOS!$N$4,tabela_registros[TIPO],DADOS!$P$3,tabela_registros[CATEGORIA],despesafixaconsolidado[[#This Row],[DESPESA FIXA]])</f>
        <v>0</v>
      </c>
      <c r="Q49" s="119" t="n">
        <f aca="false">SUMIFS(tabela_registros[VALOR],tabela_registros[MÊS],$AE$1,tabela_registros[DIA],jantotal[[#Headers],[13]],tabela_registros[REGISTRO],DADOS!$N$4,tabela_registros[TIPO],DADOS!$P$3,tabela_registros[CATEGORIA],despesafixaconsolidado[[#This Row],[DESPESA FIXA]])</f>
        <v>0</v>
      </c>
      <c r="R49" s="119" t="n">
        <f aca="false">SUMIFS(tabela_registros[VALOR],tabela_registros[MÊS],$AE$1,tabela_registros[DIA],jantotal[[#Headers],[14]],tabela_registros[REGISTRO],DADOS!$N$4,tabela_registros[TIPO],DADOS!$P$3,tabela_registros[CATEGORIA],despesafixaconsolidado[[#This Row],[DESPESA FIXA]])</f>
        <v>0</v>
      </c>
      <c r="S49" s="119" t="n">
        <f aca="false">SUMIFS(tabela_registros[VALOR],tabela_registros[MÊS],$AE$1,tabela_registros[DIA],jantotal[[#Headers],[15]],tabela_registros[REGISTRO],DADOS!$N$4,tabela_registros[TIPO],DADOS!$P$3,tabela_registros[CATEGORIA],despesafixaconsolidado[[#This Row],[DESPESA FIXA]])</f>
        <v>0</v>
      </c>
      <c r="T49" s="119" t="n">
        <f aca="false">SUMIFS(tabela_registros[VALOR],tabela_registros[MÊS],$AE$1,tabela_registros[DIA],jantotal[[#Headers],[16]],tabela_registros[REGISTRO],DADOS!$N$4,tabela_registros[TIPO],DADOS!$P$3,tabela_registros[CATEGORIA],despesafixaconsolidado[[#This Row],[DESPESA FIXA]])</f>
        <v>0</v>
      </c>
      <c r="U49" s="119" t="n">
        <f aca="false">SUMIFS(tabela_registros[VALOR],tabela_registros[MÊS],$AE$1,tabela_registros[DIA],jantotal[[#Headers],[17]],tabela_registros[REGISTRO],DADOS!$N$4,tabela_registros[TIPO],DADOS!$P$3,tabela_registros[CATEGORIA],despesafixaconsolidado[[#This Row],[DESPESA FIXA]])</f>
        <v>0</v>
      </c>
      <c r="V49" s="119" t="n">
        <f aca="false">SUMIFS(tabela_registros[VALOR],tabela_registros[MÊS],$AE$1,tabela_registros[DIA],jantotal[[#Headers],[18]],tabela_registros[REGISTRO],DADOS!$N$4,tabela_registros[TIPO],DADOS!$P$3,tabela_registros[CATEGORIA],despesafixaconsolidado[[#This Row],[DESPESA FIXA]])</f>
        <v>0</v>
      </c>
      <c r="W49" s="119" t="n">
        <f aca="false">SUMIFS(tabela_registros[VALOR],tabela_registros[MÊS],$AE$1,tabela_registros[DIA],jantotal[[#Headers],[19]],tabela_registros[REGISTRO],DADOS!$N$4,tabela_registros[TIPO],DADOS!$P$3,tabela_registros[CATEGORIA],despesafixaconsolidado[[#This Row],[DESPESA FIXA]])</f>
        <v>0</v>
      </c>
      <c r="X49" s="119" t="n">
        <f aca="false">SUMIFS(tabela_registros[VALOR],tabela_registros[MÊS],$AE$1,tabela_registros[DIA],jantotal[[#Headers],[20]],tabela_registros[REGISTRO],DADOS!$N$4,tabela_registros[TIPO],DADOS!$P$3,tabela_registros[CATEGORIA],despesafixaconsolidado[[#This Row],[DESPESA FIXA]])</f>
        <v>0</v>
      </c>
      <c r="Y49" s="119" t="n">
        <f aca="false">SUMIFS(tabela_registros[VALOR],tabela_registros[MÊS],$AE$1,tabela_registros[DIA],jantotal[[#Headers],[21]],tabela_registros[REGISTRO],DADOS!$N$4,tabela_registros[TIPO],DADOS!$P$3,tabela_registros[CATEGORIA],despesafixaconsolidado[[#This Row],[DESPESA FIXA]])</f>
        <v>0</v>
      </c>
      <c r="Z49" s="119" t="n">
        <f aca="false">SUMIFS(tabela_registros[VALOR],tabela_registros[MÊS],$AE$1,tabela_registros[DIA],jantotal[[#Headers],[22]],tabela_registros[REGISTRO],DADOS!$N$4,tabela_registros[TIPO],DADOS!$P$3,tabela_registros[CATEGORIA],despesafixaconsolidado[[#This Row],[DESPESA FIXA]])</f>
        <v>0</v>
      </c>
      <c r="AA49" s="119" t="n">
        <f aca="false">SUMIFS(tabela_registros[VALOR],tabela_registros[MÊS],$AE$1,tabela_registros[DIA],jantotal[[#Headers],[23]],tabela_registros[REGISTRO],DADOS!$N$4,tabela_registros[TIPO],DADOS!$P$3,tabela_registros[CATEGORIA],despesafixaconsolidado[[#This Row],[DESPESA FIXA]])</f>
        <v>0</v>
      </c>
      <c r="AB49" s="119" t="n">
        <f aca="false">SUMIFS(tabela_registros[VALOR],tabela_registros[MÊS],$AE$1,tabela_registros[DIA],jantotal[[#Headers],[24]],tabela_registros[REGISTRO],DADOS!$N$4,tabela_registros[TIPO],DADOS!$P$3,tabela_registros[CATEGORIA],despesafixaconsolidado[[#This Row],[DESPESA FIXA]])</f>
        <v>0</v>
      </c>
      <c r="AC49" s="119" t="n">
        <f aca="false">SUMIFS(tabela_registros[VALOR],tabela_registros[MÊS],$AE$1,tabela_registros[DIA],jantotal[[#Headers],[25]],tabela_registros[REGISTRO],DADOS!$N$4,tabela_registros[TIPO],DADOS!$P$3,tabela_registros[CATEGORIA],despesafixaconsolidado[[#This Row],[DESPESA FIXA]])</f>
        <v>0</v>
      </c>
      <c r="AD49" s="119" t="n">
        <f aca="false">SUMIFS(tabela_registros[VALOR],tabela_registros[MÊS],$AE$1,tabela_registros[DIA],jantotal[[#Headers],[26]],tabela_registros[REGISTRO],DADOS!$N$4,tabela_registros[TIPO],DADOS!$P$3,tabela_registros[CATEGORIA],despesafixaconsolidado[[#This Row],[DESPESA FIXA]])</f>
        <v>0</v>
      </c>
      <c r="AE49" s="119" t="n">
        <f aca="false">SUMIFS(tabela_registros[VALOR],tabela_registros[MÊS],$AE$1,tabela_registros[DIA],jantotal[[#Headers],[27]],tabela_registros[REGISTRO],DADOS!$N$4,tabela_registros[TIPO],DADOS!$P$3,tabela_registros[CATEGORIA],despesafixaconsolidado[[#This Row],[DESPESA FIXA]])</f>
        <v>0</v>
      </c>
      <c r="AF49" s="119" t="n">
        <f aca="false">SUMIFS(tabela_registros[VALOR],tabela_registros[MÊS],$AE$1,tabela_registros[DIA],jantotal[[#Headers],[28]],tabela_registros[REGISTRO],DADOS!$N$4,tabela_registros[TIPO],DADOS!$P$3,tabela_registros[CATEGORIA],despesafixaconsolidado[[#This Row],[DESPESA FIXA]])</f>
        <v>0</v>
      </c>
      <c r="AG49" s="119" t="n">
        <f aca="false">SUMIFS(tabela_registros[VALOR],tabela_registros[MÊS],$AE$1,tabela_registros[DIA],jantotal[[#Headers],[29]],tabela_registros[REGISTRO],DADOS!$N$4,tabela_registros[TIPO],DADOS!$P$3,tabela_registros[CATEGORIA],despesafixaconsolidado[[#This Row],[DESPESA FIXA]])</f>
        <v>0</v>
      </c>
      <c r="AH49" s="119" t="n">
        <f aca="false">SUMIFS(tabela_registros[VALOR],tabela_registros[MÊS],$AE$1,tabela_registros[DIA],jantotal[[#Headers],[30]],tabela_registros[REGISTRO],DADOS!$N$4,tabela_registros[TIPO],DADOS!$P$3,tabela_registros[CATEGORIA],despesafixaconsolidado[[#This Row],[DESPESA FIXA]])</f>
        <v>0</v>
      </c>
      <c r="AI49" s="217" t="n">
        <f aca="false">SUMIFS(tabela_registros[VALOR],tabela_registros[MÊS],$AE$1,tabela_registros[DIA],jantotal[[#Headers],[31]],tabela_registros[REGISTRO],DADOS!$N$4,tabela_registros[TIPO],DADOS!$P$3,tabela_registros[CATEGORIA],despesafixaconsolidado[[#This Row],[DESPESA FIXA]])</f>
        <v>0</v>
      </c>
      <c r="AJ49" s="149" t="n">
        <f aca="false">SUM(despesafixaconsolidado[[#This Row],[1]:[31]])</f>
        <v>0</v>
      </c>
      <c r="AK49" s="213"/>
      <c r="AL49" s="189"/>
    </row>
    <row r="50" customFormat="false" ht="18" hidden="false" customHeight="true" outlineLevel="0" collapsed="false">
      <c r="A50" s="189"/>
      <c r="B50" s="213"/>
      <c r="C50" s="214" t="str">
        <f aca="false">DADOS!$R$16</f>
        <v>📎 OUTROS</v>
      </c>
      <c r="D50" s="215" t="str">
        <f aca="false">IF(despesafixaconsolidado[[#This Row],[TOTAL]]=0,"",IF(OR(despesafixaconsolidado[[#This Row],[TOTAL]]=LARGE($AJ$37:$AJ$50,1),despesafixaconsolidado[[#This Row],[TOTAL]]=LARGE($AJ$37:$AJ$50,2),despesafixaconsolidado[[#This Row],[TOTAL]]=LARGE($AJ$37:$AJ$50,3),despesafixaconsolidado[[#This Row],[TOTAL]]=LARGE($AJ$37:$AJ$50,4),despesafixaconsolidado[[#This Row],[TOTAL]]=LARGE($AJ$37:$AJ$50,5)),DADOS!$I$8,""))</f>
        <v/>
      </c>
      <c r="E50" s="150" t="n">
        <f aca="false">SUMIFS(tabela_registros[VALOR],tabela_registros[MÊS],$AE$1,tabela_registros[DIA],jantotal[[#Headers],[1]],tabela_registros[REGISTRO],DADOS!$N$4,tabela_registros[TIPO],DADOS!$P$3,tabela_registros[CATEGORIA],despesafixaconsolidado[[#This Row],[DESPESA FIXA]])</f>
        <v>0</v>
      </c>
      <c r="F50" s="151" t="n">
        <f aca="false">SUMIFS(tabela_registros[VALOR],tabela_registros[MÊS],$AE$1,tabela_registros[DIA],jantotal[[#Headers],[2]],tabela_registros[REGISTRO],DADOS!$N$4,tabela_registros[TIPO],DADOS!$P$3,tabela_registros[CATEGORIA],despesafixaconsolidado[[#This Row],[DESPESA FIXA]])</f>
        <v>0</v>
      </c>
      <c r="G50" s="151" t="n">
        <f aca="false">SUMIFS(tabela_registros[VALOR],tabela_registros[MÊS],$AE$1,tabela_registros[DIA],jantotal[[#Headers],[3]],tabela_registros[REGISTRO],DADOS!$N$4,tabela_registros[TIPO],DADOS!$P$3,tabela_registros[CATEGORIA],despesafixaconsolidado[[#This Row],[DESPESA FIXA]])</f>
        <v>0</v>
      </c>
      <c r="H50" s="151" t="n">
        <f aca="false">SUMIFS(tabela_registros[VALOR],tabela_registros[MÊS],$AE$1,tabela_registros[DIA],jantotal[[#Headers],[4]],tabela_registros[REGISTRO],DADOS!$N$4,tabela_registros[TIPO],DADOS!$P$3,tabela_registros[CATEGORIA],despesafixaconsolidado[[#This Row],[DESPESA FIXA]])</f>
        <v>0</v>
      </c>
      <c r="I50" s="151" t="n">
        <f aca="false">SUMIFS(tabela_registros[VALOR],tabela_registros[MÊS],$AE$1,tabela_registros[DIA],jantotal[[#Headers],[5]],tabela_registros[REGISTRO],DADOS!$N$4,tabela_registros[TIPO],DADOS!$P$3,tabela_registros[CATEGORIA],despesafixaconsolidado[[#This Row],[DESPESA FIXA]])</f>
        <v>0</v>
      </c>
      <c r="J50" s="151" t="n">
        <f aca="false">SUMIFS(tabela_registros[VALOR],tabela_registros[MÊS],$AE$1,tabela_registros[DIA],jantotal[[#Headers],[6]],tabela_registros[REGISTRO],DADOS!$N$4,tabela_registros[TIPO],DADOS!$P$3,tabela_registros[CATEGORIA],despesafixaconsolidado[[#This Row],[DESPESA FIXA]])</f>
        <v>0</v>
      </c>
      <c r="K50" s="151" t="n">
        <f aca="false">SUMIFS(tabela_registros[VALOR],tabela_registros[MÊS],$AE$1,tabela_registros[DIA],jantotal[[#Headers],[7]],tabela_registros[REGISTRO],DADOS!$N$4,tabela_registros[TIPO],DADOS!$P$3,tabela_registros[CATEGORIA],despesafixaconsolidado[[#This Row],[DESPESA FIXA]])</f>
        <v>0</v>
      </c>
      <c r="L50" s="151" t="n">
        <f aca="false">SUMIFS(tabela_registros[VALOR],tabela_registros[MÊS],$AE$1,tabela_registros[DIA],jantotal[[#Headers],[8]],tabela_registros[REGISTRO],DADOS!$N$4,tabela_registros[TIPO],DADOS!$P$3,tabela_registros[CATEGORIA],despesafixaconsolidado[[#This Row],[DESPESA FIXA]])</f>
        <v>0</v>
      </c>
      <c r="M50" s="151" t="n">
        <f aca="false">SUMIFS(tabela_registros[VALOR],tabela_registros[MÊS],$AE$1,tabela_registros[DIA],jantotal[[#Headers],[9]],tabela_registros[REGISTRO],DADOS!$N$4,tabela_registros[TIPO],DADOS!$P$3,tabela_registros[CATEGORIA],despesafixaconsolidado[[#This Row],[DESPESA FIXA]])</f>
        <v>0</v>
      </c>
      <c r="N50" s="151" t="n">
        <f aca="false">SUMIFS(tabela_registros[VALOR],tabela_registros[MÊS],$AE$1,tabela_registros[DIA],jantotal[[#Headers],[10]],tabela_registros[REGISTRO],DADOS!$N$4,tabela_registros[TIPO],DADOS!$P$3,tabela_registros[CATEGORIA],despesafixaconsolidado[[#This Row],[DESPESA FIXA]])</f>
        <v>0</v>
      </c>
      <c r="O50" s="151" t="n">
        <f aca="false">SUMIFS(tabela_registros[VALOR],tabela_registros[MÊS],$AE$1,tabela_registros[DIA],jantotal[[#Headers],[11]],tabela_registros[REGISTRO],DADOS!$N$4,tabela_registros[TIPO],DADOS!$P$3,tabela_registros[CATEGORIA],despesafixaconsolidado[[#This Row],[DESPESA FIXA]])</f>
        <v>0</v>
      </c>
      <c r="P50" s="151" t="n">
        <f aca="false">SUMIFS(tabela_registros[VALOR],tabela_registros[MÊS],$AE$1,tabela_registros[DIA],jantotal[[#Headers],[12]],tabela_registros[REGISTRO],DADOS!$N$4,tabela_registros[TIPO],DADOS!$P$3,tabela_registros[CATEGORIA],despesafixaconsolidado[[#This Row],[DESPESA FIXA]])</f>
        <v>0</v>
      </c>
      <c r="Q50" s="151" t="n">
        <f aca="false">SUMIFS(tabela_registros[VALOR],tabela_registros[MÊS],$AE$1,tabela_registros[DIA],jantotal[[#Headers],[13]],tabela_registros[REGISTRO],DADOS!$N$4,tabela_registros[TIPO],DADOS!$P$3,tabela_registros[CATEGORIA],despesafixaconsolidado[[#This Row],[DESPESA FIXA]])</f>
        <v>0</v>
      </c>
      <c r="R50" s="151" t="n">
        <f aca="false">SUMIFS(tabela_registros[VALOR],tabela_registros[MÊS],$AE$1,tabela_registros[DIA],jantotal[[#Headers],[14]],tabela_registros[REGISTRO],DADOS!$N$4,tabela_registros[TIPO],DADOS!$P$3,tabela_registros[CATEGORIA],despesafixaconsolidado[[#This Row],[DESPESA FIXA]])</f>
        <v>0</v>
      </c>
      <c r="S50" s="151" t="n">
        <f aca="false">SUMIFS(tabela_registros[VALOR],tabela_registros[MÊS],$AE$1,tabela_registros[DIA],jantotal[[#Headers],[15]],tabela_registros[REGISTRO],DADOS!$N$4,tabela_registros[TIPO],DADOS!$P$3,tabela_registros[CATEGORIA],despesafixaconsolidado[[#This Row],[DESPESA FIXA]])</f>
        <v>0</v>
      </c>
      <c r="T50" s="151" t="n">
        <f aca="false">SUMIFS(tabela_registros[VALOR],tabela_registros[MÊS],$AE$1,tabela_registros[DIA],jantotal[[#Headers],[16]],tabela_registros[REGISTRO],DADOS!$N$4,tabela_registros[TIPO],DADOS!$P$3,tabela_registros[CATEGORIA],despesafixaconsolidado[[#This Row],[DESPESA FIXA]])</f>
        <v>0</v>
      </c>
      <c r="U50" s="151" t="n">
        <f aca="false">SUMIFS(tabela_registros[VALOR],tabela_registros[MÊS],$AE$1,tabela_registros[DIA],jantotal[[#Headers],[17]],tabela_registros[REGISTRO],DADOS!$N$4,tabela_registros[TIPO],DADOS!$P$3,tabela_registros[CATEGORIA],despesafixaconsolidado[[#This Row],[DESPESA FIXA]])</f>
        <v>0</v>
      </c>
      <c r="V50" s="151" t="n">
        <f aca="false">SUMIFS(tabela_registros[VALOR],tabela_registros[MÊS],$AE$1,tabela_registros[DIA],jantotal[[#Headers],[18]],tabela_registros[REGISTRO],DADOS!$N$4,tabela_registros[TIPO],DADOS!$P$3,tabela_registros[CATEGORIA],despesafixaconsolidado[[#This Row],[DESPESA FIXA]])</f>
        <v>0</v>
      </c>
      <c r="W50" s="151" t="n">
        <f aca="false">SUMIFS(tabela_registros[VALOR],tabela_registros[MÊS],$AE$1,tabela_registros[DIA],jantotal[[#Headers],[19]],tabela_registros[REGISTRO],DADOS!$N$4,tabela_registros[TIPO],DADOS!$P$3,tabela_registros[CATEGORIA],despesafixaconsolidado[[#This Row],[DESPESA FIXA]])</f>
        <v>0</v>
      </c>
      <c r="X50" s="151" t="n">
        <f aca="false">SUMIFS(tabela_registros[VALOR],tabela_registros[MÊS],$AE$1,tabela_registros[DIA],jantotal[[#Headers],[20]],tabela_registros[REGISTRO],DADOS!$N$4,tabela_registros[TIPO],DADOS!$P$3,tabela_registros[CATEGORIA],despesafixaconsolidado[[#This Row],[DESPESA FIXA]])</f>
        <v>0</v>
      </c>
      <c r="Y50" s="151" t="n">
        <f aca="false">SUMIFS(tabela_registros[VALOR],tabela_registros[MÊS],$AE$1,tabela_registros[DIA],jantotal[[#Headers],[21]],tabela_registros[REGISTRO],DADOS!$N$4,tabela_registros[TIPO],DADOS!$P$3,tabela_registros[CATEGORIA],despesafixaconsolidado[[#This Row],[DESPESA FIXA]])</f>
        <v>0</v>
      </c>
      <c r="Z50" s="151" t="n">
        <f aca="false">SUMIFS(tabela_registros[VALOR],tabela_registros[MÊS],$AE$1,tabela_registros[DIA],jantotal[[#Headers],[22]],tabela_registros[REGISTRO],DADOS!$N$4,tabela_registros[TIPO],DADOS!$P$3,tabela_registros[CATEGORIA],despesafixaconsolidado[[#This Row],[DESPESA FIXA]])</f>
        <v>0</v>
      </c>
      <c r="AA50" s="151" t="n">
        <f aca="false">SUMIFS(tabela_registros[VALOR],tabela_registros[MÊS],$AE$1,tabela_registros[DIA],jantotal[[#Headers],[23]],tabela_registros[REGISTRO],DADOS!$N$4,tabela_registros[TIPO],DADOS!$P$3,tabela_registros[CATEGORIA],despesafixaconsolidado[[#This Row],[DESPESA FIXA]])</f>
        <v>0</v>
      </c>
      <c r="AB50" s="151" t="n">
        <f aca="false">SUMIFS(tabela_registros[VALOR],tabela_registros[MÊS],$AE$1,tabela_registros[DIA],jantotal[[#Headers],[24]],tabela_registros[REGISTRO],DADOS!$N$4,tabela_registros[TIPO],DADOS!$P$3,tabela_registros[CATEGORIA],despesafixaconsolidado[[#This Row],[DESPESA FIXA]])</f>
        <v>0</v>
      </c>
      <c r="AC50" s="151" t="n">
        <f aca="false">SUMIFS(tabela_registros[VALOR],tabela_registros[MÊS],$AE$1,tabela_registros[DIA],jantotal[[#Headers],[25]],tabela_registros[REGISTRO],DADOS!$N$4,tabela_registros[TIPO],DADOS!$P$3,tabela_registros[CATEGORIA],despesafixaconsolidado[[#This Row],[DESPESA FIXA]])</f>
        <v>0</v>
      </c>
      <c r="AD50" s="151" t="n">
        <f aca="false">SUMIFS(tabela_registros[VALOR],tabela_registros[MÊS],$AE$1,tabela_registros[DIA],jantotal[[#Headers],[26]],tabela_registros[REGISTRO],DADOS!$N$4,tabela_registros[TIPO],DADOS!$P$3,tabela_registros[CATEGORIA],despesafixaconsolidado[[#This Row],[DESPESA FIXA]])</f>
        <v>0</v>
      </c>
      <c r="AE50" s="151" t="n">
        <f aca="false">SUMIFS(tabela_registros[VALOR],tabela_registros[MÊS],$AE$1,tabela_registros[DIA],jantotal[[#Headers],[27]],tabela_registros[REGISTRO],DADOS!$N$4,tabela_registros[TIPO],DADOS!$P$3,tabela_registros[CATEGORIA],despesafixaconsolidado[[#This Row],[DESPESA FIXA]])</f>
        <v>0</v>
      </c>
      <c r="AF50" s="151" t="n">
        <f aca="false">SUMIFS(tabela_registros[VALOR],tabela_registros[MÊS],$AE$1,tabela_registros[DIA],jantotal[[#Headers],[28]],tabela_registros[REGISTRO],DADOS!$N$4,tabela_registros[TIPO],DADOS!$P$3,tabela_registros[CATEGORIA],despesafixaconsolidado[[#This Row],[DESPESA FIXA]])</f>
        <v>0</v>
      </c>
      <c r="AG50" s="151" t="n">
        <f aca="false">SUMIFS(tabela_registros[VALOR],tabela_registros[MÊS],$AE$1,tabela_registros[DIA],jantotal[[#Headers],[29]],tabela_registros[REGISTRO],DADOS!$N$4,tabela_registros[TIPO],DADOS!$P$3,tabela_registros[CATEGORIA],despesafixaconsolidado[[#This Row],[DESPESA FIXA]])</f>
        <v>0</v>
      </c>
      <c r="AH50" s="151" t="n">
        <f aca="false">SUMIFS(tabela_registros[VALOR],tabela_registros[MÊS],$AE$1,tabela_registros[DIA],jantotal[[#Headers],[30]],tabela_registros[REGISTRO],DADOS!$N$4,tabela_registros[TIPO],DADOS!$P$3,tabela_registros[CATEGORIA],despesafixaconsolidado[[#This Row],[DESPESA FIXA]])</f>
        <v>0</v>
      </c>
      <c r="AI50" s="218" t="n">
        <f aca="false">SUMIFS(tabela_registros[VALOR],tabela_registros[MÊS],$AE$1,tabela_registros[DIA],jantotal[[#Headers],[31]],tabela_registros[REGISTRO],DADOS!$N$4,tabela_registros[TIPO],DADOS!$P$3,tabela_registros[CATEGORIA],despesafixaconsolidado[[#This Row],[DESPESA FIXA]])</f>
        <v>0</v>
      </c>
      <c r="AJ50" s="219" t="n">
        <f aca="false">SUM(despesafixaconsolidado[[#This Row],[1]:[31]])</f>
        <v>0</v>
      </c>
      <c r="AK50" s="213"/>
      <c r="AL50" s="189"/>
    </row>
    <row r="51" s="122" customFormat="true" ht="21" hidden="false" customHeight="true" outlineLevel="0" collapsed="false">
      <c r="A51" s="199"/>
      <c r="B51" s="220"/>
      <c r="C51" s="221" t="s">
        <v>2</v>
      </c>
      <c r="D51" s="222" t="str">
        <f aca="false">IF(despesafixaconsolidado[[#This Row],[TOTAL]]=0,"",IF(OR(despesafixaconsolidado[[#This Row],[TOTAL]]=SMALL($AJ$37:$AJ$50,1),despesafixaconsolidado[[#This Row],[TOTAL]]=SMALL($AJ$37:$AJ$50,2),despesafixaconsolidado[[#This Row],[TOTAL]]=SMALL($AJ$37:$AJ$50,3),despesafixaconsolidado[[#This Row],[TOTAL]]=SMALL($AJ$37:$AJ$50,4),despesafixaconsolidado[[#This Row],[TOTAL]]=SMALL($AJ$37:$AJ$50,5)),DADOS!$I$8,""))</f>
        <v/>
      </c>
      <c r="E51" s="155" t="n">
        <f aca="false">SUM(E37:E50)</f>
        <v>0</v>
      </c>
      <c r="F51" s="156" t="n">
        <f aca="false">SUM(F37:F50)+despesafixaconsolidado[[#This Row],[1]]</f>
        <v>0</v>
      </c>
      <c r="G51" s="156" t="n">
        <f aca="false">SUM(G37:G50)+despesafixaconsolidado[[#This Row],[2]]</f>
        <v>0</v>
      </c>
      <c r="H51" s="156" t="n">
        <f aca="false">SUM(H37:H50)+despesafixaconsolidado[[#This Row],[3]]</f>
        <v>0</v>
      </c>
      <c r="I51" s="156" t="n">
        <f aca="false">SUM(I37:I50)+despesafixaconsolidado[[#This Row],[4]]</f>
        <v>0</v>
      </c>
      <c r="J51" s="156" t="n">
        <f aca="false">SUM(J37:J50)+despesafixaconsolidado[[#This Row],[5]]</f>
        <v>0</v>
      </c>
      <c r="K51" s="156" t="n">
        <f aca="false">SUM(K37:K50)+despesafixaconsolidado[[#This Row],[6]]</f>
        <v>0</v>
      </c>
      <c r="L51" s="156" t="n">
        <f aca="false">SUM(L37:L50)+despesafixaconsolidado[[#This Row],[7]]</f>
        <v>0</v>
      </c>
      <c r="M51" s="156" t="n">
        <f aca="false">SUM(M37:M50)+despesafixaconsolidado[[#This Row],[8]]</f>
        <v>0</v>
      </c>
      <c r="N51" s="156" t="n">
        <f aca="false">SUM(N37:N50)+despesafixaconsolidado[[#This Row],[9]]</f>
        <v>0</v>
      </c>
      <c r="O51" s="156" t="n">
        <f aca="false">SUM(O37:O50)+despesafixaconsolidado[[#This Row],[10]]</f>
        <v>0</v>
      </c>
      <c r="P51" s="156" t="n">
        <f aca="false">SUM(P37:P50)+despesafixaconsolidado[[#This Row],[11]]</f>
        <v>0</v>
      </c>
      <c r="Q51" s="156" t="n">
        <f aca="false">SUM(Q37:Q50)+despesafixaconsolidado[[#This Row],[12]]</f>
        <v>0</v>
      </c>
      <c r="R51" s="156" t="n">
        <f aca="false">SUM(R37:R50)+despesafixaconsolidado[[#This Row],[13]]</f>
        <v>0</v>
      </c>
      <c r="S51" s="156" t="n">
        <f aca="false">SUM(S37:S50)+despesafixaconsolidado[[#This Row],[14]]</f>
        <v>0</v>
      </c>
      <c r="T51" s="156" t="n">
        <f aca="false">SUM(T37:T50)+despesafixaconsolidado[[#This Row],[15]]</f>
        <v>0</v>
      </c>
      <c r="U51" s="156" t="n">
        <f aca="false">SUM(U37:U50)+despesafixaconsolidado[[#This Row],[16]]</f>
        <v>0</v>
      </c>
      <c r="V51" s="156" t="n">
        <f aca="false">SUM(V37:V50)+despesafixaconsolidado[[#This Row],[17]]</f>
        <v>0</v>
      </c>
      <c r="W51" s="156" t="n">
        <f aca="false">SUM(W37:W50)+despesafixaconsolidado[[#This Row],[18]]</f>
        <v>0</v>
      </c>
      <c r="X51" s="156" t="n">
        <f aca="false">SUM(X37:X50)+despesafixaconsolidado[[#This Row],[19]]</f>
        <v>0</v>
      </c>
      <c r="Y51" s="156" t="n">
        <f aca="false">SUM(Y37:Y50)+despesafixaconsolidado[[#This Row],[20]]</f>
        <v>0</v>
      </c>
      <c r="Z51" s="156" t="n">
        <f aca="false">SUM(Z37:Z50)+despesafixaconsolidado[[#This Row],[21]]</f>
        <v>0</v>
      </c>
      <c r="AA51" s="156" t="n">
        <f aca="false">SUM(AA37:AA50)+despesafixaconsolidado[[#This Row],[22]]</f>
        <v>0</v>
      </c>
      <c r="AB51" s="156" t="n">
        <f aca="false">SUM(AB37:AB50)+despesafixaconsolidado[[#This Row],[23]]</f>
        <v>0</v>
      </c>
      <c r="AC51" s="156" t="n">
        <f aca="false">SUM(AC37:AC50)+despesafixaconsolidado[[#This Row],[24]]</f>
        <v>0</v>
      </c>
      <c r="AD51" s="156" t="n">
        <f aca="false">SUM(AD37:AD50)+despesafixaconsolidado[[#This Row],[25]]</f>
        <v>0</v>
      </c>
      <c r="AE51" s="156" t="n">
        <f aca="false">SUM(AE37:AE50)+despesafixaconsolidado[[#This Row],[26]]</f>
        <v>0</v>
      </c>
      <c r="AF51" s="156" t="n">
        <f aca="false">SUM(AF37:AF50)+despesafixaconsolidado[[#This Row],[27]]</f>
        <v>0</v>
      </c>
      <c r="AG51" s="156" t="n">
        <f aca="false">SUM(AG37:AG50)+despesafixaconsolidado[[#This Row],[28]]</f>
        <v>0</v>
      </c>
      <c r="AH51" s="156" t="n">
        <f aca="false">SUM(AH37:AH50)+despesafixaconsolidado[[#This Row],[29]]</f>
        <v>0</v>
      </c>
      <c r="AI51" s="223" t="n">
        <f aca="false">SUM(AI37:AI50)+despesafixaconsolidado[[#This Row],[30]]</f>
        <v>0</v>
      </c>
      <c r="AJ51" s="157" t="n">
        <f aca="false">despesafixaconsolidado[[#This Row],[31]]</f>
        <v>0</v>
      </c>
      <c r="AK51" s="224"/>
      <c r="AL51" s="199"/>
    </row>
    <row r="52" customFormat="false" ht="6.75" hidden="false" customHeight="true" outlineLevel="0" collapsed="false">
      <c r="A52" s="189"/>
      <c r="B52" s="185"/>
      <c r="C52" s="225"/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7"/>
      <c r="AJ52" s="185"/>
      <c r="AK52" s="228"/>
      <c r="AL52" s="189"/>
    </row>
    <row r="53" customFormat="false" ht="12.75" hidden="false" customHeight="false" outlineLevel="0" collapsed="false">
      <c r="A53" s="189"/>
      <c r="B53" s="189"/>
      <c r="C53" s="203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89"/>
      <c r="AK53" s="190"/>
      <c r="AL53" s="189"/>
    </row>
    <row r="54" customFormat="false" ht="12" hidden="false" customHeight="false" outlineLevel="0" collapsed="false">
      <c r="A54" s="189"/>
      <c r="B54" s="189"/>
      <c r="C54" s="203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89"/>
      <c r="AK54" s="189"/>
      <c r="AL54" s="189"/>
    </row>
    <row r="55" customFormat="false" ht="12" hidden="false" customHeight="false" outlineLevel="0" collapsed="false">
      <c r="A55" s="189"/>
      <c r="B55" s="189"/>
      <c r="C55" s="203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89"/>
      <c r="AK55" s="189"/>
      <c r="AL55" s="189"/>
    </row>
    <row r="56" customFormat="false" ht="39.75" hidden="false" customHeight="true" outlineLevel="0" collapsed="false">
      <c r="A56" s="189"/>
      <c r="B56" s="189"/>
      <c r="C56" s="203"/>
      <c r="D56" s="189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03" t="s">
        <v>2</v>
      </c>
      <c r="AK56" s="189"/>
      <c r="AL56" s="189"/>
    </row>
    <row r="57" customFormat="false" ht="11.25" hidden="false" customHeight="true" outlineLevel="0" collapsed="false">
      <c r="A57" s="189"/>
      <c r="B57" s="189"/>
      <c r="C57" s="191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89"/>
      <c r="AD57" s="189"/>
      <c r="AE57" s="189"/>
      <c r="AF57" s="189"/>
      <c r="AG57" s="189"/>
      <c r="AH57" s="189"/>
      <c r="AI57" s="189"/>
      <c r="AJ57" s="106" t="s">
        <v>64</v>
      </c>
      <c r="AK57" s="189"/>
      <c r="AL57" s="189"/>
    </row>
    <row r="58" customFormat="false" ht="6.75" hidden="false" customHeight="true" outlineLevel="0" collapsed="false">
      <c r="A58" s="189"/>
      <c r="B58" s="209"/>
      <c r="C58" s="210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  <c r="AB58" s="211"/>
      <c r="AC58" s="211"/>
      <c r="AD58" s="211"/>
      <c r="AE58" s="211"/>
      <c r="AF58" s="211"/>
      <c r="AG58" s="211"/>
      <c r="AH58" s="211"/>
      <c r="AI58" s="211"/>
      <c r="AJ58" s="212"/>
      <c r="AK58" s="209"/>
      <c r="AL58" s="189"/>
    </row>
    <row r="59" customFormat="false" ht="12.75" hidden="true" customHeight="false" outlineLevel="0" collapsed="false">
      <c r="A59" s="189"/>
      <c r="B59" s="172"/>
      <c r="C59" s="195" t="s">
        <v>79</v>
      </c>
      <c r="D59" s="196" t="s">
        <v>69</v>
      </c>
      <c r="E59" s="196" t="s">
        <v>30</v>
      </c>
      <c r="F59" s="196" t="s">
        <v>31</v>
      </c>
      <c r="G59" s="196" t="s">
        <v>32</v>
      </c>
      <c r="H59" s="196" t="s">
        <v>33</v>
      </c>
      <c r="I59" s="196" t="s">
        <v>34</v>
      </c>
      <c r="J59" s="196" t="s">
        <v>35</v>
      </c>
      <c r="K59" s="196" t="s">
        <v>36</v>
      </c>
      <c r="L59" s="196" t="s">
        <v>37</v>
      </c>
      <c r="M59" s="196" t="s">
        <v>38</v>
      </c>
      <c r="N59" s="196" t="s">
        <v>39</v>
      </c>
      <c r="O59" s="196" t="s">
        <v>40</v>
      </c>
      <c r="P59" s="196" t="s">
        <v>41</v>
      </c>
      <c r="Q59" s="196" t="s">
        <v>81</v>
      </c>
      <c r="R59" s="196" t="s">
        <v>82</v>
      </c>
      <c r="S59" s="196" t="s">
        <v>83</v>
      </c>
      <c r="T59" s="196" t="s">
        <v>84</v>
      </c>
      <c r="U59" s="196" t="s">
        <v>85</v>
      </c>
      <c r="V59" s="196" t="s">
        <v>86</v>
      </c>
      <c r="W59" s="196" t="s">
        <v>87</v>
      </c>
      <c r="X59" s="196" t="s">
        <v>88</v>
      </c>
      <c r="Y59" s="196" t="s">
        <v>89</v>
      </c>
      <c r="Z59" s="196" t="s">
        <v>90</v>
      </c>
      <c r="AA59" s="196" t="s">
        <v>91</v>
      </c>
      <c r="AB59" s="196" t="s">
        <v>92</v>
      </c>
      <c r="AC59" s="196" t="s">
        <v>93</v>
      </c>
      <c r="AD59" s="196" t="s">
        <v>94</v>
      </c>
      <c r="AE59" s="196" t="s">
        <v>95</v>
      </c>
      <c r="AF59" s="196" t="s">
        <v>96</v>
      </c>
      <c r="AG59" s="196" t="s">
        <v>97</v>
      </c>
      <c r="AH59" s="196" t="s">
        <v>98</v>
      </c>
      <c r="AI59" s="196" t="s">
        <v>99</v>
      </c>
      <c r="AJ59" s="142" t="s">
        <v>2</v>
      </c>
      <c r="AK59" s="172" t="s">
        <v>75</v>
      </c>
      <c r="AL59" s="189"/>
    </row>
    <row r="60" customFormat="false" ht="19.5" hidden="false" customHeight="true" outlineLevel="0" collapsed="false">
      <c r="A60" s="189"/>
      <c r="B60" s="213"/>
      <c r="C60" s="214" t="str">
        <f aca="false">DADOS!$T$3</f>
        <v>🍕 ALIMENTAÇÃO</v>
      </c>
      <c r="D60" s="215" t="str">
        <f aca="false">IF(despesavariávelconsolidado[[#This Row],[TOTAL]]=0,"",IF(OR(despesavariávelconsolidado[[#This Row],[TOTAL]]=LARGE($AJ$60:$AJ$72,1),despesavariávelconsolidado[[#This Row],[TOTAL]]=LARGE($AJ$60:$AJ$72,2),despesavariávelconsolidado[[#This Row],[TOTAL]]=LARGE($AJ$60:$AJ$72,3),despesavariávelconsolidado[[#This Row],[TOTAL]]=LARGE($AJ$60:$AJ$72,4),despesavariávelconsolidado[[#This Row],[TOTAL]]=LARGE($AJ$60:$AJ$72,5)),DADOS!$I$8,""))</f>
        <v/>
      </c>
      <c r="E60" s="146" t="n">
        <f aca="false">SUMIFS(tabela_registros[VALOR],tabela_registros[MÊS],$AE$1,tabela_registros[DIA],jantotal[[#Headers],[1]],tabela_registros[REGISTRO],DADOS!$N$4,tabela_registros[TIPO],DADOS!$P$4,tabela_registros[CATEGORIA],despesavariávelconsolidado[[#This Row],[DESPESA VARIÁVEL]])</f>
        <v>0</v>
      </c>
      <c r="F60" s="114" t="n">
        <f aca="false">SUMIFS(tabela_registros[VALOR],tabela_registros[MÊS],$AE$1,tabela_registros[DIA],jantotal[[#Headers],[2]],tabela_registros[REGISTRO],DADOS!$N$4,tabela_registros[TIPO],DADOS!$P$4,tabela_registros[CATEGORIA],despesavariávelconsolidado[[#This Row],[DESPESA VARIÁVEL]])</f>
        <v>0</v>
      </c>
      <c r="G60" s="114" t="n">
        <f aca="false">SUMIFS(tabela_registros[VALOR],tabela_registros[MÊS],$AE$1,tabela_registros[DIA],jantotal[[#Headers],[3]],tabela_registros[REGISTRO],DADOS!$N$4,tabela_registros[TIPO],DADOS!$P$4,tabela_registros[CATEGORIA],despesavariávelconsolidado[[#This Row],[DESPESA VARIÁVEL]])</f>
        <v>0</v>
      </c>
      <c r="H60" s="114" t="n">
        <f aca="false">SUMIFS(tabela_registros[VALOR],tabela_registros[MÊS],$AE$1,tabela_registros[DIA],jantotal[[#Headers],[4]],tabela_registros[REGISTRO],DADOS!$N$4,tabela_registros[TIPO],DADOS!$P$4,tabela_registros[CATEGORIA],despesavariávelconsolidado[[#This Row],[DESPESA VARIÁVEL]])</f>
        <v>0</v>
      </c>
      <c r="I60" s="114" t="n">
        <f aca="false">SUMIFS(tabela_registros[VALOR],tabela_registros[MÊS],$AE$1,tabela_registros[DIA],jantotal[[#Headers],[5]],tabela_registros[REGISTRO],DADOS!$N$4,tabela_registros[TIPO],DADOS!$P$4,tabela_registros[CATEGORIA],despesavariávelconsolidado[[#This Row],[DESPESA VARIÁVEL]])</f>
        <v>0</v>
      </c>
      <c r="J60" s="114" t="n">
        <f aca="false">SUMIFS(tabela_registros[VALOR],tabela_registros[MÊS],$AE$1,tabela_registros[DIA],jantotal[[#Headers],[6]],tabela_registros[REGISTRO],DADOS!$N$4,tabela_registros[TIPO],DADOS!$P$4,tabela_registros[CATEGORIA],despesavariávelconsolidado[[#This Row],[DESPESA VARIÁVEL]])</f>
        <v>0</v>
      </c>
      <c r="K60" s="114" t="n">
        <f aca="false">SUMIFS(tabela_registros[VALOR],tabela_registros[MÊS],$AE$1,tabela_registros[DIA],jantotal[[#Headers],[7]],tabela_registros[REGISTRO],DADOS!$N$4,tabela_registros[TIPO],DADOS!$P$4,tabela_registros[CATEGORIA],despesavariávelconsolidado[[#This Row],[DESPESA VARIÁVEL]])</f>
        <v>0</v>
      </c>
      <c r="L60" s="114" t="n">
        <f aca="false">SUMIFS(tabela_registros[VALOR],tabela_registros[MÊS],$AE$1,tabela_registros[DIA],jantotal[[#Headers],[8]],tabela_registros[REGISTRO],DADOS!$N$4,tabela_registros[TIPO],DADOS!$P$4,tabela_registros[CATEGORIA],despesavariávelconsolidado[[#This Row],[DESPESA VARIÁVEL]])</f>
        <v>0</v>
      </c>
      <c r="M60" s="114" t="n">
        <f aca="false">SUMIFS(tabela_registros[VALOR],tabela_registros[MÊS],$AE$1,tabela_registros[DIA],jantotal[[#Headers],[9]],tabela_registros[REGISTRO],DADOS!$N$4,tabela_registros[TIPO],DADOS!$P$4,tabela_registros[CATEGORIA],despesavariávelconsolidado[[#This Row],[DESPESA VARIÁVEL]])</f>
        <v>0</v>
      </c>
      <c r="N60" s="114" t="n">
        <f aca="false">SUMIFS(tabela_registros[VALOR],tabela_registros[MÊS],$AE$1,tabela_registros[DIA],jantotal[[#Headers],[10]],tabela_registros[REGISTRO],DADOS!$N$4,tabela_registros[TIPO],DADOS!$P$4,tabela_registros[CATEGORIA],despesavariávelconsolidado[[#This Row],[DESPESA VARIÁVEL]])</f>
        <v>0</v>
      </c>
      <c r="O60" s="114" t="n">
        <f aca="false">SUMIFS(tabela_registros[VALOR],tabela_registros[MÊS],$AE$1,tabela_registros[DIA],jantotal[[#Headers],[11]],tabela_registros[REGISTRO],DADOS!$N$4,tabela_registros[TIPO],DADOS!$P$4,tabela_registros[CATEGORIA],despesavariávelconsolidado[[#This Row],[DESPESA VARIÁVEL]])</f>
        <v>0</v>
      </c>
      <c r="P60" s="114" t="n">
        <f aca="false">SUMIFS(tabela_registros[VALOR],tabela_registros[MÊS],$AE$1,tabela_registros[DIA],jantotal[[#Headers],[12]],tabela_registros[REGISTRO],DADOS!$N$4,tabela_registros[TIPO],DADOS!$P$4,tabela_registros[CATEGORIA],despesavariávelconsolidado[[#This Row],[DESPESA VARIÁVEL]])</f>
        <v>0</v>
      </c>
      <c r="Q60" s="114" t="n">
        <f aca="false">SUMIFS(tabela_registros[VALOR],tabela_registros[MÊS],$AE$1,tabela_registros[DIA],jantotal[[#Headers],[13]],tabela_registros[REGISTRO],DADOS!$N$4,tabela_registros[TIPO],DADOS!$P$4,tabela_registros[CATEGORIA],despesavariávelconsolidado[[#This Row],[DESPESA VARIÁVEL]])</f>
        <v>0</v>
      </c>
      <c r="R60" s="114" t="n">
        <f aca="false">SUMIFS(tabela_registros[VALOR],tabela_registros[MÊS],$AE$1,tabela_registros[DIA],jantotal[[#Headers],[14]],tabela_registros[REGISTRO],DADOS!$N$4,tabela_registros[TIPO],DADOS!$P$4,tabela_registros[CATEGORIA],despesavariávelconsolidado[[#This Row],[DESPESA VARIÁVEL]])</f>
        <v>0</v>
      </c>
      <c r="S60" s="114" t="n">
        <f aca="false">SUMIFS(tabela_registros[VALOR],tabela_registros[MÊS],$AE$1,tabela_registros[DIA],jantotal[[#Headers],[15]],tabela_registros[REGISTRO],DADOS!$N$4,tabela_registros[TIPO],DADOS!$P$4,tabela_registros[CATEGORIA],despesavariávelconsolidado[[#This Row],[DESPESA VARIÁVEL]])</f>
        <v>0</v>
      </c>
      <c r="T60" s="114" t="n">
        <f aca="false">SUMIFS(tabela_registros[VALOR],tabela_registros[MÊS],$AE$1,tabela_registros[DIA],jantotal[[#Headers],[16]],tabela_registros[REGISTRO],DADOS!$N$4,tabela_registros[TIPO],DADOS!$P$4,tabela_registros[CATEGORIA],despesavariávelconsolidado[[#This Row],[DESPESA VARIÁVEL]])</f>
        <v>0</v>
      </c>
      <c r="U60" s="114" t="n">
        <f aca="false">SUMIFS(tabela_registros[VALOR],tabela_registros[MÊS],$AE$1,tabela_registros[DIA],jantotal[[#Headers],[17]],tabela_registros[REGISTRO],DADOS!$N$4,tabela_registros[TIPO],DADOS!$P$4,tabela_registros[CATEGORIA],despesavariávelconsolidado[[#This Row],[DESPESA VARIÁVEL]])</f>
        <v>0</v>
      </c>
      <c r="V60" s="114" t="n">
        <f aca="false">SUMIFS(tabela_registros[VALOR],tabela_registros[MÊS],$AE$1,tabela_registros[DIA],jantotal[[#Headers],[18]],tabela_registros[REGISTRO],DADOS!$N$4,tabela_registros[TIPO],DADOS!$P$4,tabela_registros[CATEGORIA],despesavariávelconsolidado[[#This Row],[DESPESA VARIÁVEL]])</f>
        <v>0</v>
      </c>
      <c r="W60" s="114" t="n">
        <f aca="false">SUMIFS(tabela_registros[VALOR],tabela_registros[MÊS],$AE$1,tabela_registros[DIA],jantotal[[#Headers],[19]],tabela_registros[REGISTRO],DADOS!$N$4,tabela_registros[TIPO],DADOS!$P$4,tabela_registros[CATEGORIA],despesavariávelconsolidado[[#This Row],[DESPESA VARIÁVEL]])</f>
        <v>0</v>
      </c>
      <c r="X60" s="114" t="n">
        <f aca="false">SUMIFS(tabela_registros[VALOR],tabela_registros[MÊS],$AE$1,tabela_registros[DIA],jantotal[[#Headers],[20]],tabela_registros[REGISTRO],DADOS!$N$4,tabela_registros[TIPO],DADOS!$P$4,tabela_registros[CATEGORIA],despesavariávelconsolidado[[#This Row],[DESPESA VARIÁVEL]])</f>
        <v>0</v>
      </c>
      <c r="Y60" s="114" t="n">
        <f aca="false">SUMIFS(tabela_registros[VALOR],tabela_registros[MÊS],$AE$1,tabela_registros[DIA],jantotal[[#Headers],[21]],tabela_registros[REGISTRO],DADOS!$N$4,tabela_registros[TIPO],DADOS!$P$4,tabela_registros[CATEGORIA],despesavariávelconsolidado[[#This Row],[DESPESA VARIÁVEL]])</f>
        <v>0</v>
      </c>
      <c r="Z60" s="114" t="n">
        <f aca="false">SUMIFS(tabela_registros[VALOR],tabela_registros[MÊS],$AE$1,tabela_registros[DIA],jantotal[[#Headers],[22]],tabela_registros[REGISTRO],DADOS!$N$4,tabela_registros[TIPO],DADOS!$P$4,tabela_registros[CATEGORIA],despesavariávelconsolidado[[#This Row],[DESPESA VARIÁVEL]])</f>
        <v>0</v>
      </c>
      <c r="AA60" s="114" t="n">
        <f aca="false">SUMIFS(tabela_registros[VALOR],tabela_registros[MÊS],$AE$1,tabela_registros[DIA],jantotal[[#Headers],[23]],tabela_registros[REGISTRO],DADOS!$N$4,tabela_registros[TIPO],DADOS!$P$4,tabela_registros[CATEGORIA],despesavariávelconsolidado[[#This Row],[DESPESA VARIÁVEL]])</f>
        <v>0</v>
      </c>
      <c r="AB60" s="114" t="n">
        <f aca="false">SUMIFS(tabela_registros[VALOR],tabela_registros[MÊS],$AE$1,tabela_registros[DIA],jantotal[[#Headers],[24]],tabela_registros[REGISTRO],DADOS!$N$4,tabela_registros[TIPO],DADOS!$P$4,tabela_registros[CATEGORIA],despesavariávelconsolidado[[#This Row],[DESPESA VARIÁVEL]])</f>
        <v>0</v>
      </c>
      <c r="AC60" s="114" t="n">
        <f aca="false">SUMIFS(tabela_registros[VALOR],tabela_registros[MÊS],$AE$1,tabela_registros[DIA],jantotal[[#Headers],[25]],tabela_registros[REGISTRO],DADOS!$N$4,tabela_registros[TIPO],DADOS!$P$4,tabela_registros[CATEGORIA],despesavariávelconsolidado[[#This Row],[DESPESA VARIÁVEL]])</f>
        <v>0</v>
      </c>
      <c r="AD60" s="114" t="n">
        <f aca="false">SUMIFS(tabela_registros[VALOR],tabela_registros[MÊS],$AE$1,tabela_registros[DIA],jantotal[[#Headers],[26]],tabela_registros[REGISTRO],DADOS!$N$4,tabela_registros[TIPO],DADOS!$P$4,tabela_registros[CATEGORIA],despesavariávelconsolidado[[#This Row],[DESPESA VARIÁVEL]])</f>
        <v>0</v>
      </c>
      <c r="AE60" s="114" t="n">
        <f aca="false">SUMIFS(tabela_registros[VALOR],tabela_registros[MÊS],$AE$1,tabela_registros[DIA],jantotal[[#Headers],[27]],tabela_registros[REGISTRO],DADOS!$N$4,tabela_registros[TIPO],DADOS!$P$4,tabela_registros[CATEGORIA],despesavariávelconsolidado[[#This Row],[DESPESA VARIÁVEL]])</f>
        <v>0</v>
      </c>
      <c r="AF60" s="114" t="n">
        <f aca="false">SUMIFS(tabela_registros[VALOR],tabela_registros[MÊS],$AE$1,tabela_registros[DIA],jantotal[[#Headers],[28]],tabela_registros[REGISTRO],DADOS!$N$4,tabela_registros[TIPO],DADOS!$P$4,tabela_registros[CATEGORIA],despesavariávelconsolidado[[#This Row],[DESPESA VARIÁVEL]])</f>
        <v>0</v>
      </c>
      <c r="AG60" s="114" t="n">
        <f aca="false">SUMIFS(tabela_registros[VALOR],tabela_registros[MÊS],$AE$1,tabela_registros[DIA],jantotal[[#Headers],[29]],tabela_registros[REGISTRO],DADOS!$N$4,tabela_registros[TIPO],DADOS!$P$4,tabela_registros[CATEGORIA],despesavariávelconsolidado[[#This Row],[DESPESA VARIÁVEL]])</f>
        <v>0</v>
      </c>
      <c r="AH60" s="114" t="n">
        <f aca="false">SUMIFS(tabela_registros[VALOR],tabela_registros[MÊS],$AE$1,tabela_registros[DIA],jantotal[[#Headers],[30]],tabela_registros[REGISTRO],DADOS!$N$4,tabela_registros[TIPO],DADOS!$P$4,tabela_registros[CATEGORIA],despesavariávelconsolidado[[#This Row],[DESPESA VARIÁVEL]])</f>
        <v>0</v>
      </c>
      <c r="AI60" s="216" t="n">
        <f aca="false">SUMIFS(tabela_registros[VALOR],tabela_registros[MÊS],$AE$1,tabela_registros[DIA],jantotal[[#Headers],[31]],tabela_registros[REGISTRO],DADOS!$N$4,tabela_registros[TIPO],DADOS!$P$4,tabela_registros[CATEGORIA],despesavariávelconsolidado[[#This Row],[DESPESA VARIÁVEL]])</f>
        <v>0</v>
      </c>
      <c r="AJ60" s="147" t="n">
        <f aca="false">SUM(despesavariávelconsolidado[[#This Row],[1]:[31]])</f>
        <v>0</v>
      </c>
      <c r="AK60" s="213"/>
      <c r="AL60" s="189"/>
    </row>
    <row r="61" customFormat="false" ht="18" hidden="false" customHeight="true" outlineLevel="0" collapsed="false">
      <c r="A61" s="189"/>
      <c r="B61" s="213"/>
      <c r="C61" s="214" t="str">
        <f aca="false">DADOS!$T$4</f>
        <v>💳 CARTÃO DE CRÉDITO</v>
      </c>
      <c r="D61" s="215" t="str">
        <f aca="false">IF(despesavariávelconsolidado[[#This Row],[TOTAL]]=0,"",IF(OR(despesavariávelconsolidado[[#This Row],[TOTAL]]=LARGE($AJ$60:$AJ$72,1),despesavariávelconsolidado[[#This Row],[TOTAL]]=LARGE($AJ$60:$AJ$72,2),despesavariávelconsolidado[[#This Row],[TOTAL]]=LARGE($AJ$60:$AJ$72,3),despesavariávelconsolidado[[#This Row],[TOTAL]]=LARGE($AJ$60:$AJ$72,4),despesavariávelconsolidado[[#This Row],[TOTAL]]=LARGE($AJ$60:$AJ$72,5)),DADOS!$I$8,""))</f>
        <v/>
      </c>
      <c r="E61" s="148" t="n">
        <f aca="false">SUMIFS(tabela_registros[VALOR],tabela_registros[MÊS],$AE$1,tabela_registros[DIA],jantotal[[#Headers],[1]],tabela_registros[REGISTRO],DADOS!$N$4,tabela_registros[TIPO],DADOS!$P$4,tabela_registros[CATEGORIA],despesavariávelconsolidado[[#This Row],[DESPESA VARIÁVEL]])</f>
        <v>0</v>
      </c>
      <c r="F61" s="119" t="n">
        <f aca="false">SUMIFS(tabela_registros[VALOR],tabela_registros[MÊS],$AE$1,tabela_registros[DIA],jantotal[[#Headers],[2]],tabela_registros[REGISTRO],DADOS!$N$4,tabela_registros[TIPO],DADOS!$P$4,tabela_registros[CATEGORIA],despesavariávelconsolidado[[#This Row],[DESPESA VARIÁVEL]])</f>
        <v>0</v>
      </c>
      <c r="G61" s="119" t="n">
        <f aca="false">SUMIFS(tabela_registros[VALOR],tabela_registros[MÊS],$AE$1,tabela_registros[DIA],jantotal[[#Headers],[3]],tabela_registros[REGISTRO],DADOS!$N$4,tabela_registros[TIPO],DADOS!$P$4,tabela_registros[CATEGORIA],despesavariávelconsolidado[[#This Row],[DESPESA VARIÁVEL]])</f>
        <v>0</v>
      </c>
      <c r="H61" s="119" t="n">
        <f aca="false">SUMIFS(tabela_registros[VALOR],tabela_registros[MÊS],$AE$1,tabela_registros[DIA],jantotal[[#Headers],[4]],tabela_registros[REGISTRO],DADOS!$N$4,tabela_registros[TIPO],DADOS!$P$4,tabela_registros[CATEGORIA],despesavariávelconsolidado[[#This Row],[DESPESA VARIÁVEL]])</f>
        <v>0</v>
      </c>
      <c r="I61" s="119" t="n">
        <f aca="false">SUMIFS(tabela_registros[VALOR],tabela_registros[MÊS],$AE$1,tabela_registros[DIA],jantotal[[#Headers],[5]],tabela_registros[REGISTRO],DADOS!$N$4,tabela_registros[TIPO],DADOS!$P$4,tabela_registros[CATEGORIA],despesavariávelconsolidado[[#This Row],[DESPESA VARIÁVEL]])</f>
        <v>0</v>
      </c>
      <c r="J61" s="119" t="n">
        <f aca="false">SUMIFS(tabela_registros[VALOR],tabela_registros[MÊS],$AE$1,tabela_registros[DIA],jantotal[[#Headers],[6]],tabela_registros[REGISTRO],DADOS!$N$4,tabela_registros[TIPO],DADOS!$P$4,tabela_registros[CATEGORIA],despesavariávelconsolidado[[#This Row],[DESPESA VARIÁVEL]])</f>
        <v>0</v>
      </c>
      <c r="K61" s="119" t="n">
        <f aca="false">SUMIFS(tabela_registros[VALOR],tabela_registros[MÊS],$AE$1,tabela_registros[DIA],jantotal[[#Headers],[7]],tabela_registros[REGISTRO],DADOS!$N$4,tabela_registros[TIPO],DADOS!$P$4,tabela_registros[CATEGORIA],despesavariávelconsolidado[[#This Row],[DESPESA VARIÁVEL]])</f>
        <v>0</v>
      </c>
      <c r="L61" s="119" t="n">
        <f aca="false">SUMIFS(tabela_registros[VALOR],tabela_registros[MÊS],$AE$1,tabela_registros[DIA],jantotal[[#Headers],[8]],tabela_registros[REGISTRO],DADOS!$N$4,tabela_registros[TIPO],DADOS!$P$4,tabela_registros[CATEGORIA],despesavariávelconsolidado[[#This Row],[DESPESA VARIÁVEL]])</f>
        <v>0</v>
      </c>
      <c r="M61" s="119" t="n">
        <f aca="false">SUMIFS(tabela_registros[VALOR],tabela_registros[MÊS],$AE$1,tabela_registros[DIA],jantotal[[#Headers],[9]],tabela_registros[REGISTRO],DADOS!$N$4,tabela_registros[TIPO],DADOS!$P$4,tabela_registros[CATEGORIA],despesavariávelconsolidado[[#This Row],[DESPESA VARIÁVEL]])</f>
        <v>0</v>
      </c>
      <c r="N61" s="119" t="n">
        <f aca="false">SUMIFS(tabela_registros[VALOR],tabela_registros[MÊS],$AE$1,tabela_registros[DIA],jantotal[[#Headers],[10]],tabela_registros[REGISTRO],DADOS!$N$4,tabela_registros[TIPO],DADOS!$P$4,tabela_registros[CATEGORIA],despesavariávelconsolidado[[#This Row],[DESPESA VARIÁVEL]])</f>
        <v>0</v>
      </c>
      <c r="O61" s="119" t="n">
        <f aca="false">SUMIFS(tabela_registros[VALOR],tabela_registros[MÊS],$AE$1,tabela_registros[DIA],jantotal[[#Headers],[11]],tabela_registros[REGISTRO],DADOS!$N$4,tabela_registros[TIPO],DADOS!$P$4,tabela_registros[CATEGORIA],despesavariávelconsolidado[[#This Row],[DESPESA VARIÁVEL]])</f>
        <v>0</v>
      </c>
      <c r="P61" s="119" t="n">
        <f aca="false">SUMIFS(tabela_registros[VALOR],tabela_registros[MÊS],$AE$1,tabela_registros[DIA],jantotal[[#Headers],[12]],tabela_registros[REGISTRO],DADOS!$N$4,tabela_registros[TIPO],DADOS!$P$4,tabela_registros[CATEGORIA],despesavariávelconsolidado[[#This Row],[DESPESA VARIÁVEL]])</f>
        <v>0</v>
      </c>
      <c r="Q61" s="119" t="n">
        <f aca="false">SUMIFS(tabela_registros[VALOR],tabela_registros[MÊS],$AE$1,tabela_registros[DIA],jantotal[[#Headers],[13]],tabela_registros[REGISTRO],DADOS!$N$4,tabela_registros[TIPO],DADOS!$P$4,tabela_registros[CATEGORIA],despesavariávelconsolidado[[#This Row],[DESPESA VARIÁVEL]])</f>
        <v>0</v>
      </c>
      <c r="R61" s="119" t="n">
        <f aca="false">SUMIFS(tabela_registros[VALOR],tabela_registros[MÊS],$AE$1,tabela_registros[DIA],jantotal[[#Headers],[14]],tabela_registros[REGISTRO],DADOS!$N$4,tabela_registros[TIPO],DADOS!$P$4,tabela_registros[CATEGORIA],despesavariávelconsolidado[[#This Row],[DESPESA VARIÁVEL]])</f>
        <v>0</v>
      </c>
      <c r="S61" s="119" t="n">
        <f aca="false">SUMIFS(tabela_registros[VALOR],tabela_registros[MÊS],$AE$1,tabela_registros[DIA],jantotal[[#Headers],[15]],tabela_registros[REGISTRO],DADOS!$N$4,tabela_registros[TIPO],DADOS!$P$4,tabela_registros[CATEGORIA],despesavariávelconsolidado[[#This Row],[DESPESA VARIÁVEL]])</f>
        <v>0</v>
      </c>
      <c r="T61" s="119" t="n">
        <f aca="false">SUMIFS(tabela_registros[VALOR],tabela_registros[MÊS],$AE$1,tabela_registros[DIA],jantotal[[#Headers],[16]],tabela_registros[REGISTRO],DADOS!$N$4,tabela_registros[TIPO],DADOS!$P$4,tabela_registros[CATEGORIA],despesavariávelconsolidado[[#This Row],[DESPESA VARIÁVEL]])</f>
        <v>0</v>
      </c>
      <c r="U61" s="119" t="n">
        <f aca="false">SUMIFS(tabela_registros[VALOR],tabela_registros[MÊS],$AE$1,tabela_registros[DIA],jantotal[[#Headers],[17]],tabela_registros[REGISTRO],DADOS!$N$4,tabela_registros[TIPO],DADOS!$P$4,tabela_registros[CATEGORIA],despesavariávelconsolidado[[#This Row],[DESPESA VARIÁVEL]])</f>
        <v>0</v>
      </c>
      <c r="V61" s="119" t="n">
        <f aca="false">SUMIFS(tabela_registros[VALOR],tabela_registros[MÊS],$AE$1,tabela_registros[DIA],jantotal[[#Headers],[18]],tabela_registros[REGISTRO],DADOS!$N$4,tabela_registros[TIPO],DADOS!$P$4,tabela_registros[CATEGORIA],despesavariávelconsolidado[[#This Row],[DESPESA VARIÁVEL]])</f>
        <v>0</v>
      </c>
      <c r="W61" s="119" t="n">
        <f aca="false">SUMIFS(tabela_registros[VALOR],tabela_registros[MÊS],$AE$1,tabela_registros[DIA],jantotal[[#Headers],[19]],tabela_registros[REGISTRO],DADOS!$N$4,tabela_registros[TIPO],DADOS!$P$4,tabela_registros[CATEGORIA],despesavariávelconsolidado[[#This Row],[DESPESA VARIÁVEL]])</f>
        <v>0</v>
      </c>
      <c r="X61" s="119" t="n">
        <f aca="false">SUMIFS(tabela_registros[VALOR],tabela_registros[MÊS],$AE$1,tabela_registros[DIA],jantotal[[#Headers],[20]],tabela_registros[REGISTRO],DADOS!$N$4,tabela_registros[TIPO],DADOS!$P$4,tabela_registros[CATEGORIA],despesavariávelconsolidado[[#This Row],[DESPESA VARIÁVEL]])</f>
        <v>0</v>
      </c>
      <c r="Y61" s="119" t="n">
        <f aca="false">SUMIFS(tabela_registros[VALOR],tabela_registros[MÊS],$AE$1,tabela_registros[DIA],jantotal[[#Headers],[21]],tabela_registros[REGISTRO],DADOS!$N$4,tabela_registros[TIPO],DADOS!$P$4,tabela_registros[CATEGORIA],despesavariávelconsolidado[[#This Row],[DESPESA VARIÁVEL]])</f>
        <v>0</v>
      </c>
      <c r="Z61" s="119" t="n">
        <f aca="false">SUMIFS(tabela_registros[VALOR],tabela_registros[MÊS],$AE$1,tabela_registros[DIA],jantotal[[#Headers],[22]],tabela_registros[REGISTRO],DADOS!$N$4,tabela_registros[TIPO],DADOS!$P$4,tabela_registros[CATEGORIA],despesavariávelconsolidado[[#This Row],[DESPESA VARIÁVEL]])</f>
        <v>0</v>
      </c>
      <c r="AA61" s="119" t="n">
        <f aca="false">SUMIFS(tabela_registros[VALOR],tabela_registros[MÊS],$AE$1,tabela_registros[DIA],jantotal[[#Headers],[23]],tabela_registros[REGISTRO],DADOS!$N$4,tabela_registros[TIPO],DADOS!$P$4,tabela_registros[CATEGORIA],despesavariávelconsolidado[[#This Row],[DESPESA VARIÁVEL]])</f>
        <v>0</v>
      </c>
      <c r="AB61" s="119" t="n">
        <f aca="false">SUMIFS(tabela_registros[VALOR],tabela_registros[MÊS],$AE$1,tabela_registros[DIA],jantotal[[#Headers],[24]],tabela_registros[REGISTRO],DADOS!$N$4,tabela_registros[TIPO],DADOS!$P$4,tabela_registros[CATEGORIA],despesavariávelconsolidado[[#This Row],[DESPESA VARIÁVEL]])</f>
        <v>0</v>
      </c>
      <c r="AC61" s="119" t="n">
        <f aca="false">SUMIFS(tabela_registros[VALOR],tabela_registros[MÊS],$AE$1,tabela_registros[DIA],jantotal[[#Headers],[25]],tabela_registros[REGISTRO],DADOS!$N$4,tabela_registros[TIPO],DADOS!$P$4,tabela_registros[CATEGORIA],despesavariávelconsolidado[[#This Row],[DESPESA VARIÁVEL]])</f>
        <v>0</v>
      </c>
      <c r="AD61" s="119" t="n">
        <f aca="false">SUMIFS(tabela_registros[VALOR],tabela_registros[MÊS],$AE$1,tabela_registros[DIA],jantotal[[#Headers],[26]],tabela_registros[REGISTRO],DADOS!$N$4,tabela_registros[TIPO],DADOS!$P$4,tabela_registros[CATEGORIA],despesavariávelconsolidado[[#This Row],[DESPESA VARIÁVEL]])</f>
        <v>0</v>
      </c>
      <c r="AE61" s="119" t="n">
        <f aca="false">SUMIFS(tabela_registros[VALOR],tabela_registros[MÊS],$AE$1,tabela_registros[DIA],jantotal[[#Headers],[27]],tabela_registros[REGISTRO],DADOS!$N$4,tabela_registros[TIPO],DADOS!$P$4,tabela_registros[CATEGORIA],despesavariávelconsolidado[[#This Row],[DESPESA VARIÁVEL]])</f>
        <v>0</v>
      </c>
      <c r="AF61" s="119" t="n">
        <f aca="false">SUMIFS(tabela_registros[VALOR],tabela_registros[MÊS],$AE$1,tabela_registros[DIA],jantotal[[#Headers],[28]],tabela_registros[REGISTRO],DADOS!$N$4,tabela_registros[TIPO],DADOS!$P$4,tabela_registros[CATEGORIA],despesavariávelconsolidado[[#This Row],[DESPESA VARIÁVEL]])</f>
        <v>0</v>
      </c>
      <c r="AG61" s="119" t="n">
        <f aca="false">SUMIFS(tabela_registros[VALOR],tabela_registros[MÊS],$AE$1,tabela_registros[DIA],jantotal[[#Headers],[29]],tabela_registros[REGISTRO],DADOS!$N$4,tabela_registros[TIPO],DADOS!$P$4,tabela_registros[CATEGORIA],despesavariávelconsolidado[[#This Row],[DESPESA VARIÁVEL]])</f>
        <v>0</v>
      </c>
      <c r="AH61" s="119" t="n">
        <f aca="false">SUMIFS(tabela_registros[VALOR],tabela_registros[MÊS],$AE$1,tabela_registros[DIA],jantotal[[#Headers],[30]],tabela_registros[REGISTRO],DADOS!$N$4,tabela_registros[TIPO],DADOS!$P$4,tabela_registros[CATEGORIA],despesavariávelconsolidado[[#This Row],[DESPESA VARIÁVEL]])</f>
        <v>0</v>
      </c>
      <c r="AI61" s="217" t="n">
        <f aca="false">SUMIFS(tabela_registros[VALOR],tabela_registros[MÊS],$AE$1,tabela_registros[DIA],jantotal[[#Headers],[31]],tabela_registros[REGISTRO],DADOS!$N$4,tabela_registros[TIPO],DADOS!$P$4,tabela_registros[CATEGORIA],despesavariávelconsolidado[[#This Row],[DESPESA VARIÁVEL]])</f>
        <v>0</v>
      </c>
      <c r="AJ61" s="149" t="n">
        <f aca="false">SUM(despesavariávelconsolidado[[#This Row],[1]:[31]])</f>
        <v>0</v>
      </c>
      <c r="AK61" s="213"/>
      <c r="AL61" s="189"/>
    </row>
    <row r="62" customFormat="false" ht="18" hidden="false" customHeight="true" outlineLevel="0" collapsed="false">
      <c r="A62" s="189"/>
      <c r="B62" s="213"/>
      <c r="C62" s="214" t="str">
        <f aca="false">DADOS!$T$5</f>
        <v>✍️ CHEQUE ESPECIAL</v>
      </c>
      <c r="D62" s="215" t="str">
        <f aca="false">IF(despesavariávelconsolidado[[#This Row],[TOTAL]]=0,"",IF(OR(despesavariávelconsolidado[[#This Row],[TOTAL]]=LARGE($AJ$60:$AJ$72,1),despesavariávelconsolidado[[#This Row],[TOTAL]]=LARGE($AJ$60:$AJ$72,2),despesavariávelconsolidado[[#This Row],[TOTAL]]=LARGE($AJ$60:$AJ$72,3),despesavariávelconsolidado[[#This Row],[TOTAL]]=LARGE($AJ$60:$AJ$72,4),despesavariávelconsolidado[[#This Row],[TOTAL]]=LARGE($AJ$60:$AJ$72,5)),DADOS!$I$8,""))</f>
        <v/>
      </c>
      <c r="E62" s="148" t="n">
        <f aca="false">SUMIFS(tabela_registros[VALOR],tabela_registros[MÊS],$AE$1,tabela_registros[DIA],jantotal[[#Headers],[1]],tabela_registros[REGISTRO],DADOS!$N$4,tabela_registros[TIPO],DADOS!$P$4,tabela_registros[CATEGORIA],despesavariávelconsolidado[[#This Row],[DESPESA VARIÁVEL]])</f>
        <v>0</v>
      </c>
      <c r="F62" s="119" t="n">
        <f aca="false">SUMIFS(tabela_registros[VALOR],tabela_registros[MÊS],$AE$1,tabela_registros[DIA],jantotal[[#Headers],[2]],tabela_registros[REGISTRO],DADOS!$N$4,tabela_registros[TIPO],DADOS!$P$4,tabela_registros[CATEGORIA],despesavariávelconsolidado[[#This Row],[DESPESA VARIÁVEL]])</f>
        <v>0</v>
      </c>
      <c r="G62" s="119" t="n">
        <f aca="false">SUMIFS(tabela_registros[VALOR],tabela_registros[MÊS],$AE$1,tabela_registros[DIA],jantotal[[#Headers],[3]],tabela_registros[REGISTRO],DADOS!$N$4,tabela_registros[TIPO],DADOS!$P$4,tabela_registros[CATEGORIA],despesavariávelconsolidado[[#This Row],[DESPESA VARIÁVEL]])</f>
        <v>0</v>
      </c>
      <c r="H62" s="119" t="n">
        <f aca="false">SUMIFS(tabela_registros[VALOR],tabela_registros[MÊS],$AE$1,tabela_registros[DIA],jantotal[[#Headers],[4]],tabela_registros[REGISTRO],DADOS!$N$4,tabela_registros[TIPO],DADOS!$P$4,tabela_registros[CATEGORIA],despesavariávelconsolidado[[#This Row],[DESPESA VARIÁVEL]])</f>
        <v>0</v>
      </c>
      <c r="I62" s="119" t="n">
        <f aca="false">SUMIFS(tabela_registros[VALOR],tabela_registros[MÊS],$AE$1,tabela_registros[DIA],jantotal[[#Headers],[5]],tabela_registros[REGISTRO],DADOS!$N$4,tabela_registros[TIPO],DADOS!$P$4,tabela_registros[CATEGORIA],despesavariávelconsolidado[[#This Row],[DESPESA VARIÁVEL]])</f>
        <v>0</v>
      </c>
      <c r="J62" s="119" t="n">
        <f aca="false">SUMIFS(tabela_registros[VALOR],tabela_registros[MÊS],$AE$1,tabela_registros[DIA],jantotal[[#Headers],[6]],tabela_registros[REGISTRO],DADOS!$N$4,tabela_registros[TIPO],DADOS!$P$4,tabela_registros[CATEGORIA],despesavariávelconsolidado[[#This Row],[DESPESA VARIÁVEL]])</f>
        <v>0</v>
      </c>
      <c r="K62" s="119" t="n">
        <f aca="false">SUMIFS(tabela_registros[VALOR],tabela_registros[MÊS],$AE$1,tabela_registros[DIA],jantotal[[#Headers],[7]],tabela_registros[REGISTRO],DADOS!$N$4,tabela_registros[TIPO],DADOS!$P$4,tabela_registros[CATEGORIA],despesavariávelconsolidado[[#This Row],[DESPESA VARIÁVEL]])</f>
        <v>0</v>
      </c>
      <c r="L62" s="119" t="n">
        <f aca="false">SUMIFS(tabela_registros[VALOR],tabela_registros[MÊS],$AE$1,tabela_registros[DIA],jantotal[[#Headers],[8]],tabela_registros[REGISTRO],DADOS!$N$4,tabela_registros[TIPO],DADOS!$P$4,tabela_registros[CATEGORIA],despesavariávelconsolidado[[#This Row],[DESPESA VARIÁVEL]])</f>
        <v>0</v>
      </c>
      <c r="M62" s="119" t="n">
        <f aca="false">SUMIFS(tabela_registros[VALOR],tabela_registros[MÊS],$AE$1,tabela_registros[DIA],jantotal[[#Headers],[9]],tabela_registros[REGISTRO],DADOS!$N$4,tabela_registros[TIPO],DADOS!$P$4,tabela_registros[CATEGORIA],despesavariávelconsolidado[[#This Row],[DESPESA VARIÁVEL]])</f>
        <v>0</v>
      </c>
      <c r="N62" s="119" t="n">
        <f aca="false">SUMIFS(tabela_registros[VALOR],tabela_registros[MÊS],$AE$1,tabela_registros[DIA],jantotal[[#Headers],[10]],tabela_registros[REGISTRO],DADOS!$N$4,tabela_registros[TIPO],DADOS!$P$4,tabela_registros[CATEGORIA],despesavariávelconsolidado[[#This Row],[DESPESA VARIÁVEL]])</f>
        <v>0</v>
      </c>
      <c r="O62" s="119" t="n">
        <f aca="false">SUMIFS(tabela_registros[VALOR],tabela_registros[MÊS],$AE$1,tabela_registros[DIA],jantotal[[#Headers],[11]],tabela_registros[REGISTRO],DADOS!$N$4,tabela_registros[TIPO],DADOS!$P$4,tabela_registros[CATEGORIA],despesavariávelconsolidado[[#This Row],[DESPESA VARIÁVEL]])</f>
        <v>0</v>
      </c>
      <c r="P62" s="119" t="n">
        <f aca="false">SUMIFS(tabela_registros[VALOR],tabela_registros[MÊS],$AE$1,tabela_registros[DIA],jantotal[[#Headers],[12]],tabela_registros[REGISTRO],DADOS!$N$4,tabela_registros[TIPO],DADOS!$P$4,tabela_registros[CATEGORIA],despesavariávelconsolidado[[#This Row],[DESPESA VARIÁVEL]])</f>
        <v>0</v>
      </c>
      <c r="Q62" s="119" t="n">
        <f aca="false">SUMIFS(tabela_registros[VALOR],tabela_registros[MÊS],$AE$1,tabela_registros[DIA],jantotal[[#Headers],[13]],tabela_registros[REGISTRO],DADOS!$N$4,tabela_registros[TIPO],DADOS!$P$4,tabela_registros[CATEGORIA],despesavariávelconsolidado[[#This Row],[DESPESA VARIÁVEL]])</f>
        <v>0</v>
      </c>
      <c r="R62" s="119" t="n">
        <f aca="false">SUMIFS(tabela_registros[VALOR],tabela_registros[MÊS],$AE$1,tabela_registros[DIA],jantotal[[#Headers],[14]],tabela_registros[REGISTRO],DADOS!$N$4,tabela_registros[TIPO],DADOS!$P$4,tabela_registros[CATEGORIA],despesavariávelconsolidado[[#This Row],[DESPESA VARIÁVEL]])</f>
        <v>0</v>
      </c>
      <c r="S62" s="119" t="n">
        <f aca="false">SUMIFS(tabela_registros[VALOR],tabela_registros[MÊS],$AE$1,tabela_registros[DIA],jantotal[[#Headers],[15]],tabela_registros[REGISTRO],DADOS!$N$4,tabela_registros[TIPO],DADOS!$P$4,tabela_registros[CATEGORIA],despesavariávelconsolidado[[#This Row],[DESPESA VARIÁVEL]])</f>
        <v>0</v>
      </c>
      <c r="T62" s="119" t="n">
        <f aca="false">SUMIFS(tabela_registros[VALOR],tabela_registros[MÊS],$AE$1,tabela_registros[DIA],jantotal[[#Headers],[16]],tabela_registros[REGISTRO],DADOS!$N$4,tabela_registros[TIPO],DADOS!$P$4,tabela_registros[CATEGORIA],despesavariávelconsolidado[[#This Row],[DESPESA VARIÁVEL]])</f>
        <v>0</v>
      </c>
      <c r="U62" s="119" t="n">
        <f aca="false">SUMIFS(tabela_registros[VALOR],tabela_registros[MÊS],$AE$1,tabela_registros[DIA],jantotal[[#Headers],[17]],tabela_registros[REGISTRO],DADOS!$N$4,tabela_registros[TIPO],DADOS!$P$4,tabela_registros[CATEGORIA],despesavariávelconsolidado[[#This Row],[DESPESA VARIÁVEL]])</f>
        <v>0</v>
      </c>
      <c r="V62" s="119" t="n">
        <f aca="false">SUMIFS(tabela_registros[VALOR],tabela_registros[MÊS],$AE$1,tabela_registros[DIA],jantotal[[#Headers],[18]],tabela_registros[REGISTRO],DADOS!$N$4,tabela_registros[TIPO],DADOS!$P$4,tabela_registros[CATEGORIA],despesavariávelconsolidado[[#This Row],[DESPESA VARIÁVEL]])</f>
        <v>0</v>
      </c>
      <c r="W62" s="119" t="n">
        <f aca="false">SUMIFS(tabela_registros[VALOR],tabela_registros[MÊS],$AE$1,tabela_registros[DIA],jantotal[[#Headers],[19]],tabela_registros[REGISTRO],DADOS!$N$4,tabela_registros[TIPO],DADOS!$P$4,tabela_registros[CATEGORIA],despesavariávelconsolidado[[#This Row],[DESPESA VARIÁVEL]])</f>
        <v>0</v>
      </c>
      <c r="X62" s="119" t="n">
        <f aca="false">SUMIFS(tabela_registros[VALOR],tabela_registros[MÊS],$AE$1,tabela_registros[DIA],jantotal[[#Headers],[20]],tabela_registros[REGISTRO],DADOS!$N$4,tabela_registros[TIPO],DADOS!$P$4,tabela_registros[CATEGORIA],despesavariávelconsolidado[[#This Row],[DESPESA VARIÁVEL]])</f>
        <v>0</v>
      </c>
      <c r="Y62" s="119" t="n">
        <f aca="false">SUMIFS(tabela_registros[VALOR],tabela_registros[MÊS],$AE$1,tabela_registros[DIA],jantotal[[#Headers],[21]],tabela_registros[REGISTRO],DADOS!$N$4,tabela_registros[TIPO],DADOS!$P$4,tabela_registros[CATEGORIA],despesavariávelconsolidado[[#This Row],[DESPESA VARIÁVEL]])</f>
        <v>0</v>
      </c>
      <c r="Z62" s="119" t="n">
        <f aca="false">SUMIFS(tabela_registros[VALOR],tabela_registros[MÊS],$AE$1,tabela_registros[DIA],jantotal[[#Headers],[22]],tabela_registros[REGISTRO],DADOS!$N$4,tabela_registros[TIPO],DADOS!$P$4,tabela_registros[CATEGORIA],despesavariávelconsolidado[[#This Row],[DESPESA VARIÁVEL]])</f>
        <v>0</v>
      </c>
      <c r="AA62" s="119" t="n">
        <f aca="false">SUMIFS(tabela_registros[VALOR],tabela_registros[MÊS],$AE$1,tabela_registros[DIA],jantotal[[#Headers],[23]],tabela_registros[REGISTRO],DADOS!$N$4,tabela_registros[TIPO],DADOS!$P$4,tabela_registros[CATEGORIA],despesavariávelconsolidado[[#This Row],[DESPESA VARIÁVEL]])</f>
        <v>0</v>
      </c>
      <c r="AB62" s="119" t="n">
        <f aca="false">SUMIFS(tabela_registros[VALOR],tabela_registros[MÊS],$AE$1,tabela_registros[DIA],jantotal[[#Headers],[24]],tabela_registros[REGISTRO],DADOS!$N$4,tabela_registros[TIPO],DADOS!$P$4,tabela_registros[CATEGORIA],despesavariávelconsolidado[[#This Row],[DESPESA VARIÁVEL]])</f>
        <v>0</v>
      </c>
      <c r="AC62" s="119" t="n">
        <f aca="false">SUMIFS(tabela_registros[VALOR],tabela_registros[MÊS],$AE$1,tabela_registros[DIA],jantotal[[#Headers],[25]],tabela_registros[REGISTRO],DADOS!$N$4,tabela_registros[TIPO],DADOS!$P$4,tabela_registros[CATEGORIA],despesavariávelconsolidado[[#This Row],[DESPESA VARIÁVEL]])</f>
        <v>0</v>
      </c>
      <c r="AD62" s="119" t="n">
        <f aca="false">SUMIFS(tabela_registros[VALOR],tabela_registros[MÊS],$AE$1,tabela_registros[DIA],jantotal[[#Headers],[26]],tabela_registros[REGISTRO],DADOS!$N$4,tabela_registros[TIPO],DADOS!$P$4,tabela_registros[CATEGORIA],despesavariávelconsolidado[[#This Row],[DESPESA VARIÁVEL]])</f>
        <v>0</v>
      </c>
      <c r="AE62" s="119" t="n">
        <f aca="false">SUMIFS(tabela_registros[VALOR],tabela_registros[MÊS],$AE$1,tabela_registros[DIA],jantotal[[#Headers],[27]],tabela_registros[REGISTRO],DADOS!$N$4,tabela_registros[TIPO],DADOS!$P$4,tabela_registros[CATEGORIA],despesavariávelconsolidado[[#This Row],[DESPESA VARIÁVEL]])</f>
        <v>0</v>
      </c>
      <c r="AF62" s="119" t="n">
        <f aca="false">SUMIFS(tabela_registros[VALOR],tabela_registros[MÊS],$AE$1,tabela_registros[DIA],jantotal[[#Headers],[28]],tabela_registros[REGISTRO],DADOS!$N$4,tabela_registros[TIPO],DADOS!$P$4,tabela_registros[CATEGORIA],despesavariávelconsolidado[[#This Row],[DESPESA VARIÁVEL]])</f>
        <v>0</v>
      </c>
      <c r="AG62" s="119" t="n">
        <f aca="false">SUMIFS(tabela_registros[VALOR],tabela_registros[MÊS],$AE$1,tabela_registros[DIA],jantotal[[#Headers],[29]],tabela_registros[REGISTRO],DADOS!$N$4,tabela_registros[TIPO],DADOS!$P$4,tabela_registros[CATEGORIA],despesavariávelconsolidado[[#This Row],[DESPESA VARIÁVEL]])</f>
        <v>0</v>
      </c>
      <c r="AH62" s="119" t="n">
        <f aca="false">SUMIFS(tabela_registros[VALOR],tabela_registros[MÊS],$AE$1,tabela_registros[DIA],jantotal[[#Headers],[30]],tabela_registros[REGISTRO],DADOS!$N$4,tabela_registros[TIPO],DADOS!$P$4,tabela_registros[CATEGORIA],despesavariávelconsolidado[[#This Row],[DESPESA VARIÁVEL]])</f>
        <v>0</v>
      </c>
      <c r="AI62" s="217" t="n">
        <f aca="false">SUMIFS(tabela_registros[VALOR],tabela_registros[MÊS],$AE$1,tabela_registros[DIA],jantotal[[#Headers],[31]],tabela_registros[REGISTRO],DADOS!$N$4,tabela_registros[TIPO],DADOS!$P$4,tabela_registros[CATEGORIA],despesavariávelconsolidado[[#This Row],[DESPESA VARIÁVEL]])</f>
        <v>0</v>
      </c>
      <c r="AJ62" s="149" t="n">
        <f aca="false">SUM(despesavariávelconsolidado[[#This Row],[1]:[31]])</f>
        <v>0</v>
      </c>
      <c r="AK62" s="213"/>
      <c r="AL62" s="189"/>
    </row>
    <row r="63" customFormat="false" ht="18" hidden="false" customHeight="true" outlineLevel="0" collapsed="false">
      <c r="A63" s="189"/>
      <c r="B63" s="213"/>
      <c r="C63" s="214" t="str">
        <f aca="false">DADOS!$T$6</f>
        <v>💄 CUIDADOS PESSOAIS</v>
      </c>
      <c r="D63" s="215" t="str">
        <f aca="false">IF(despesavariávelconsolidado[[#This Row],[TOTAL]]=0,"",IF(OR(despesavariávelconsolidado[[#This Row],[TOTAL]]=LARGE($AJ$60:$AJ$72,1),despesavariávelconsolidado[[#This Row],[TOTAL]]=LARGE($AJ$60:$AJ$72,2),despesavariávelconsolidado[[#This Row],[TOTAL]]=LARGE($AJ$60:$AJ$72,3),despesavariávelconsolidado[[#This Row],[TOTAL]]=LARGE($AJ$60:$AJ$72,4),despesavariávelconsolidado[[#This Row],[TOTAL]]=LARGE($AJ$60:$AJ$72,5)),DADOS!$I$8,""))</f>
        <v/>
      </c>
      <c r="E63" s="148" t="n">
        <f aca="false">SUMIFS(tabela_registros[VALOR],tabela_registros[MÊS],$AE$1,tabela_registros[DIA],jantotal[[#Headers],[1]],tabela_registros[REGISTRO],DADOS!$N$4,tabela_registros[TIPO],DADOS!$P$4,tabela_registros[CATEGORIA],despesavariávelconsolidado[[#This Row],[DESPESA VARIÁVEL]])</f>
        <v>0</v>
      </c>
      <c r="F63" s="119" t="n">
        <f aca="false">SUMIFS(tabela_registros[VALOR],tabela_registros[MÊS],$AE$1,tabela_registros[DIA],jantotal[[#Headers],[2]],tabela_registros[REGISTRO],DADOS!$N$4,tabela_registros[TIPO],DADOS!$P$4,tabela_registros[CATEGORIA],despesavariávelconsolidado[[#This Row],[DESPESA VARIÁVEL]])</f>
        <v>0</v>
      </c>
      <c r="G63" s="119" t="n">
        <f aca="false">SUMIFS(tabela_registros[VALOR],tabela_registros[MÊS],$AE$1,tabela_registros[DIA],jantotal[[#Headers],[3]],tabela_registros[REGISTRO],DADOS!$N$4,tabela_registros[TIPO],DADOS!$P$4,tabela_registros[CATEGORIA],despesavariávelconsolidado[[#This Row],[DESPESA VARIÁVEL]])</f>
        <v>0</v>
      </c>
      <c r="H63" s="119" t="n">
        <f aca="false">SUMIFS(tabela_registros[VALOR],tabela_registros[MÊS],$AE$1,tabela_registros[DIA],jantotal[[#Headers],[4]],tabela_registros[REGISTRO],DADOS!$N$4,tabela_registros[TIPO],DADOS!$P$4,tabela_registros[CATEGORIA],despesavariávelconsolidado[[#This Row],[DESPESA VARIÁVEL]])</f>
        <v>0</v>
      </c>
      <c r="I63" s="119" t="n">
        <f aca="false">SUMIFS(tabela_registros[VALOR],tabela_registros[MÊS],$AE$1,tabela_registros[DIA],jantotal[[#Headers],[5]],tabela_registros[REGISTRO],DADOS!$N$4,tabela_registros[TIPO],DADOS!$P$4,tabela_registros[CATEGORIA],despesavariávelconsolidado[[#This Row],[DESPESA VARIÁVEL]])</f>
        <v>0</v>
      </c>
      <c r="J63" s="119" t="n">
        <f aca="false">SUMIFS(tabela_registros[VALOR],tabela_registros[MÊS],$AE$1,tabela_registros[DIA],jantotal[[#Headers],[6]],tabela_registros[REGISTRO],DADOS!$N$4,tabela_registros[TIPO],DADOS!$P$4,tabela_registros[CATEGORIA],despesavariávelconsolidado[[#This Row],[DESPESA VARIÁVEL]])</f>
        <v>0</v>
      </c>
      <c r="K63" s="119" t="n">
        <f aca="false">SUMIFS(tabela_registros[VALOR],tabela_registros[MÊS],$AE$1,tabela_registros[DIA],jantotal[[#Headers],[7]],tabela_registros[REGISTRO],DADOS!$N$4,tabela_registros[TIPO],DADOS!$P$4,tabela_registros[CATEGORIA],despesavariávelconsolidado[[#This Row],[DESPESA VARIÁVEL]])</f>
        <v>0</v>
      </c>
      <c r="L63" s="119" t="n">
        <f aca="false">SUMIFS(tabela_registros[VALOR],tabela_registros[MÊS],$AE$1,tabela_registros[DIA],jantotal[[#Headers],[8]],tabela_registros[REGISTRO],DADOS!$N$4,tabela_registros[TIPO],DADOS!$P$4,tabela_registros[CATEGORIA],despesavariávelconsolidado[[#This Row],[DESPESA VARIÁVEL]])</f>
        <v>0</v>
      </c>
      <c r="M63" s="119" t="n">
        <f aca="false">SUMIFS(tabela_registros[VALOR],tabela_registros[MÊS],$AE$1,tabela_registros[DIA],jantotal[[#Headers],[9]],tabela_registros[REGISTRO],DADOS!$N$4,tabela_registros[TIPO],DADOS!$P$4,tabela_registros[CATEGORIA],despesavariávelconsolidado[[#This Row],[DESPESA VARIÁVEL]])</f>
        <v>0</v>
      </c>
      <c r="N63" s="119" t="n">
        <f aca="false">SUMIFS(tabela_registros[VALOR],tabela_registros[MÊS],$AE$1,tabela_registros[DIA],jantotal[[#Headers],[10]],tabela_registros[REGISTRO],DADOS!$N$4,tabela_registros[TIPO],DADOS!$P$4,tabela_registros[CATEGORIA],despesavariávelconsolidado[[#This Row],[DESPESA VARIÁVEL]])</f>
        <v>0</v>
      </c>
      <c r="O63" s="119" t="n">
        <f aca="false">SUMIFS(tabela_registros[VALOR],tabela_registros[MÊS],$AE$1,tabela_registros[DIA],jantotal[[#Headers],[11]],tabela_registros[REGISTRO],DADOS!$N$4,tabela_registros[TIPO],DADOS!$P$4,tabela_registros[CATEGORIA],despesavariávelconsolidado[[#This Row],[DESPESA VARIÁVEL]])</f>
        <v>0</v>
      </c>
      <c r="P63" s="119" t="n">
        <f aca="false">SUMIFS(tabela_registros[VALOR],tabela_registros[MÊS],$AE$1,tabela_registros[DIA],jantotal[[#Headers],[12]],tabela_registros[REGISTRO],DADOS!$N$4,tabela_registros[TIPO],DADOS!$P$4,tabela_registros[CATEGORIA],despesavariávelconsolidado[[#This Row],[DESPESA VARIÁVEL]])</f>
        <v>0</v>
      </c>
      <c r="Q63" s="119" t="n">
        <f aca="false">SUMIFS(tabela_registros[VALOR],tabela_registros[MÊS],$AE$1,tabela_registros[DIA],jantotal[[#Headers],[13]],tabela_registros[REGISTRO],DADOS!$N$4,tabela_registros[TIPO],DADOS!$P$4,tabela_registros[CATEGORIA],despesavariávelconsolidado[[#This Row],[DESPESA VARIÁVEL]])</f>
        <v>0</v>
      </c>
      <c r="R63" s="119" t="n">
        <f aca="false">SUMIFS(tabela_registros[VALOR],tabela_registros[MÊS],$AE$1,tabela_registros[DIA],jantotal[[#Headers],[14]],tabela_registros[REGISTRO],DADOS!$N$4,tabela_registros[TIPO],DADOS!$P$4,tabela_registros[CATEGORIA],despesavariávelconsolidado[[#This Row],[DESPESA VARIÁVEL]])</f>
        <v>0</v>
      </c>
      <c r="S63" s="119" t="n">
        <f aca="false">SUMIFS(tabela_registros[VALOR],tabela_registros[MÊS],$AE$1,tabela_registros[DIA],jantotal[[#Headers],[15]],tabela_registros[REGISTRO],DADOS!$N$4,tabela_registros[TIPO],DADOS!$P$4,tabela_registros[CATEGORIA],despesavariávelconsolidado[[#This Row],[DESPESA VARIÁVEL]])</f>
        <v>0</v>
      </c>
      <c r="T63" s="119" t="n">
        <f aca="false">SUMIFS(tabela_registros[VALOR],tabela_registros[MÊS],$AE$1,tabela_registros[DIA],jantotal[[#Headers],[16]],tabela_registros[REGISTRO],DADOS!$N$4,tabela_registros[TIPO],DADOS!$P$4,tabela_registros[CATEGORIA],despesavariávelconsolidado[[#This Row],[DESPESA VARIÁVEL]])</f>
        <v>0</v>
      </c>
      <c r="U63" s="119" t="n">
        <f aca="false">SUMIFS(tabela_registros[VALOR],tabela_registros[MÊS],$AE$1,tabela_registros[DIA],jantotal[[#Headers],[17]],tabela_registros[REGISTRO],DADOS!$N$4,tabela_registros[TIPO],DADOS!$P$4,tabela_registros[CATEGORIA],despesavariávelconsolidado[[#This Row],[DESPESA VARIÁVEL]])</f>
        <v>0</v>
      </c>
      <c r="V63" s="119" t="n">
        <f aca="false">SUMIFS(tabela_registros[VALOR],tabela_registros[MÊS],$AE$1,tabela_registros[DIA],jantotal[[#Headers],[18]],tabela_registros[REGISTRO],DADOS!$N$4,tabela_registros[TIPO],DADOS!$P$4,tabela_registros[CATEGORIA],despesavariávelconsolidado[[#This Row],[DESPESA VARIÁVEL]])</f>
        <v>0</v>
      </c>
      <c r="W63" s="119" t="n">
        <f aca="false">SUMIFS(tabela_registros[VALOR],tabela_registros[MÊS],$AE$1,tabela_registros[DIA],jantotal[[#Headers],[19]],tabela_registros[REGISTRO],DADOS!$N$4,tabela_registros[TIPO],DADOS!$P$4,tabela_registros[CATEGORIA],despesavariávelconsolidado[[#This Row],[DESPESA VARIÁVEL]])</f>
        <v>0</v>
      </c>
      <c r="X63" s="119" t="n">
        <f aca="false">SUMIFS(tabela_registros[VALOR],tabela_registros[MÊS],$AE$1,tabela_registros[DIA],jantotal[[#Headers],[20]],tabela_registros[REGISTRO],DADOS!$N$4,tabela_registros[TIPO],DADOS!$P$4,tabela_registros[CATEGORIA],despesavariávelconsolidado[[#This Row],[DESPESA VARIÁVEL]])</f>
        <v>0</v>
      </c>
      <c r="Y63" s="119" t="n">
        <f aca="false">SUMIFS(tabela_registros[VALOR],tabela_registros[MÊS],$AE$1,tabela_registros[DIA],jantotal[[#Headers],[21]],tabela_registros[REGISTRO],DADOS!$N$4,tabela_registros[TIPO],DADOS!$P$4,tabela_registros[CATEGORIA],despesavariávelconsolidado[[#This Row],[DESPESA VARIÁVEL]])</f>
        <v>0</v>
      </c>
      <c r="Z63" s="119" t="n">
        <f aca="false">SUMIFS(tabela_registros[VALOR],tabela_registros[MÊS],$AE$1,tabela_registros[DIA],jantotal[[#Headers],[22]],tabela_registros[REGISTRO],DADOS!$N$4,tabela_registros[TIPO],DADOS!$P$4,tabela_registros[CATEGORIA],despesavariávelconsolidado[[#This Row],[DESPESA VARIÁVEL]])</f>
        <v>0</v>
      </c>
      <c r="AA63" s="119" t="n">
        <f aca="false">SUMIFS(tabela_registros[VALOR],tabela_registros[MÊS],$AE$1,tabela_registros[DIA],jantotal[[#Headers],[23]],tabela_registros[REGISTRO],DADOS!$N$4,tabela_registros[TIPO],DADOS!$P$4,tabela_registros[CATEGORIA],despesavariávelconsolidado[[#This Row],[DESPESA VARIÁVEL]])</f>
        <v>0</v>
      </c>
      <c r="AB63" s="119" t="n">
        <f aca="false">SUMIFS(tabela_registros[VALOR],tabela_registros[MÊS],$AE$1,tabela_registros[DIA],jantotal[[#Headers],[24]],tabela_registros[REGISTRO],DADOS!$N$4,tabela_registros[TIPO],DADOS!$P$4,tabela_registros[CATEGORIA],despesavariávelconsolidado[[#This Row],[DESPESA VARIÁVEL]])</f>
        <v>0</v>
      </c>
      <c r="AC63" s="119" t="n">
        <f aca="false">SUMIFS(tabela_registros[VALOR],tabela_registros[MÊS],$AE$1,tabela_registros[DIA],jantotal[[#Headers],[25]],tabela_registros[REGISTRO],DADOS!$N$4,tabela_registros[TIPO],DADOS!$P$4,tabela_registros[CATEGORIA],despesavariávelconsolidado[[#This Row],[DESPESA VARIÁVEL]])</f>
        <v>0</v>
      </c>
      <c r="AD63" s="119" t="n">
        <f aca="false">SUMIFS(tabela_registros[VALOR],tabela_registros[MÊS],$AE$1,tabela_registros[DIA],jantotal[[#Headers],[26]],tabela_registros[REGISTRO],DADOS!$N$4,tabela_registros[TIPO],DADOS!$P$4,tabela_registros[CATEGORIA],despesavariávelconsolidado[[#This Row],[DESPESA VARIÁVEL]])</f>
        <v>0</v>
      </c>
      <c r="AE63" s="119" t="n">
        <f aca="false">SUMIFS(tabela_registros[VALOR],tabela_registros[MÊS],$AE$1,tabela_registros[DIA],jantotal[[#Headers],[27]],tabela_registros[REGISTRO],DADOS!$N$4,tabela_registros[TIPO],DADOS!$P$4,tabela_registros[CATEGORIA],despesavariávelconsolidado[[#This Row],[DESPESA VARIÁVEL]])</f>
        <v>0</v>
      </c>
      <c r="AF63" s="119" t="n">
        <f aca="false">SUMIFS(tabela_registros[VALOR],tabela_registros[MÊS],$AE$1,tabela_registros[DIA],jantotal[[#Headers],[28]],tabela_registros[REGISTRO],DADOS!$N$4,tabela_registros[TIPO],DADOS!$P$4,tabela_registros[CATEGORIA],despesavariávelconsolidado[[#This Row],[DESPESA VARIÁVEL]])</f>
        <v>0</v>
      </c>
      <c r="AG63" s="119" t="n">
        <f aca="false">SUMIFS(tabela_registros[VALOR],tabela_registros[MÊS],$AE$1,tabela_registros[DIA],jantotal[[#Headers],[29]],tabela_registros[REGISTRO],DADOS!$N$4,tabela_registros[TIPO],DADOS!$P$4,tabela_registros[CATEGORIA],despesavariávelconsolidado[[#This Row],[DESPESA VARIÁVEL]])</f>
        <v>0</v>
      </c>
      <c r="AH63" s="119" t="n">
        <f aca="false">SUMIFS(tabela_registros[VALOR],tabela_registros[MÊS],$AE$1,tabela_registros[DIA],jantotal[[#Headers],[30]],tabela_registros[REGISTRO],DADOS!$N$4,tabela_registros[TIPO],DADOS!$P$4,tabela_registros[CATEGORIA],despesavariávelconsolidado[[#This Row],[DESPESA VARIÁVEL]])</f>
        <v>0</v>
      </c>
      <c r="AI63" s="217" t="n">
        <f aca="false">SUMIFS(tabela_registros[VALOR],tabela_registros[MÊS],$AE$1,tabela_registros[DIA],jantotal[[#Headers],[31]],tabela_registros[REGISTRO],DADOS!$N$4,tabela_registros[TIPO],DADOS!$P$4,tabela_registros[CATEGORIA],despesavariávelconsolidado[[#This Row],[DESPESA VARIÁVEL]])</f>
        <v>0</v>
      </c>
      <c r="AJ63" s="149" t="n">
        <f aca="false">SUM(despesavariávelconsolidado[[#This Row],[1]:[31]])</f>
        <v>0</v>
      </c>
      <c r="AK63" s="213"/>
      <c r="AL63" s="189"/>
    </row>
    <row r="64" customFormat="false" ht="18" hidden="false" customHeight="true" outlineLevel="0" collapsed="false">
      <c r="A64" s="189"/>
      <c r="B64" s="213"/>
      <c r="C64" s="214" t="str">
        <f aca="false">DADOS!$T$7</f>
        <v>🤝 DOAÇÃO</v>
      </c>
      <c r="D64" s="215" t="str">
        <f aca="false">IF(despesavariávelconsolidado[[#This Row],[TOTAL]]=0,"",IF(OR(despesavariávelconsolidado[[#This Row],[TOTAL]]=LARGE($AJ$60:$AJ$72,1),despesavariávelconsolidado[[#This Row],[TOTAL]]=LARGE($AJ$60:$AJ$72,2),despesavariávelconsolidado[[#This Row],[TOTAL]]=LARGE($AJ$60:$AJ$72,3),despesavariávelconsolidado[[#This Row],[TOTAL]]=LARGE($AJ$60:$AJ$72,4),despesavariávelconsolidado[[#This Row],[TOTAL]]=LARGE($AJ$60:$AJ$72,5)),DADOS!$I$8,""))</f>
        <v/>
      </c>
      <c r="E64" s="148" t="n">
        <f aca="false">SUMIFS(tabela_registros[VALOR],tabela_registros[MÊS],$AE$1,tabela_registros[DIA],jantotal[[#Headers],[1]],tabela_registros[REGISTRO],DADOS!$N$4,tabela_registros[TIPO],DADOS!$P$4,tabela_registros[CATEGORIA],despesavariávelconsolidado[[#This Row],[DESPESA VARIÁVEL]])</f>
        <v>0</v>
      </c>
      <c r="F64" s="119" t="n">
        <f aca="false">SUMIFS(tabela_registros[VALOR],tabela_registros[MÊS],$AE$1,tabela_registros[DIA],jantotal[[#Headers],[2]],tabela_registros[REGISTRO],DADOS!$N$4,tabela_registros[TIPO],DADOS!$P$4,tabela_registros[CATEGORIA],despesavariávelconsolidado[[#This Row],[DESPESA VARIÁVEL]])</f>
        <v>0</v>
      </c>
      <c r="G64" s="119" t="n">
        <f aca="false">SUMIFS(tabela_registros[VALOR],tabela_registros[MÊS],$AE$1,tabela_registros[DIA],jantotal[[#Headers],[3]],tabela_registros[REGISTRO],DADOS!$N$4,tabela_registros[TIPO],DADOS!$P$4,tabela_registros[CATEGORIA],despesavariávelconsolidado[[#This Row],[DESPESA VARIÁVEL]])</f>
        <v>0</v>
      </c>
      <c r="H64" s="119" t="n">
        <f aca="false">SUMIFS(tabela_registros[VALOR],tabela_registros[MÊS],$AE$1,tabela_registros[DIA],jantotal[[#Headers],[4]],tabela_registros[REGISTRO],DADOS!$N$4,tabela_registros[TIPO],DADOS!$P$4,tabela_registros[CATEGORIA],despesavariávelconsolidado[[#This Row],[DESPESA VARIÁVEL]])</f>
        <v>0</v>
      </c>
      <c r="I64" s="119" t="n">
        <f aca="false">SUMIFS(tabela_registros[VALOR],tabela_registros[MÊS],$AE$1,tabela_registros[DIA],jantotal[[#Headers],[5]],tabela_registros[REGISTRO],DADOS!$N$4,tabela_registros[TIPO],DADOS!$P$4,tabela_registros[CATEGORIA],despesavariávelconsolidado[[#This Row],[DESPESA VARIÁVEL]])</f>
        <v>0</v>
      </c>
      <c r="J64" s="119" t="n">
        <f aca="false">SUMIFS(tabela_registros[VALOR],tabela_registros[MÊS],$AE$1,tabela_registros[DIA],jantotal[[#Headers],[6]],tabela_registros[REGISTRO],DADOS!$N$4,tabela_registros[TIPO],DADOS!$P$4,tabela_registros[CATEGORIA],despesavariávelconsolidado[[#This Row],[DESPESA VARIÁVEL]])</f>
        <v>0</v>
      </c>
      <c r="K64" s="119" t="n">
        <f aca="false">SUMIFS(tabela_registros[VALOR],tabela_registros[MÊS],$AE$1,tabela_registros[DIA],jantotal[[#Headers],[7]],tabela_registros[REGISTRO],DADOS!$N$4,tabela_registros[TIPO],DADOS!$P$4,tabela_registros[CATEGORIA],despesavariávelconsolidado[[#This Row],[DESPESA VARIÁVEL]])</f>
        <v>0</v>
      </c>
      <c r="L64" s="119" t="n">
        <f aca="false">SUMIFS(tabela_registros[VALOR],tabela_registros[MÊS],$AE$1,tabela_registros[DIA],jantotal[[#Headers],[8]],tabela_registros[REGISTRO],DADOS!$N$4,tabela_registros[TIPO],DADOS!$P$4,tabela_registros[CATEGORIA],despesavariávelconsolidado[[#This Row],[DESPESA VARIÁVEL]])</f>
        <v>0</v>
      </c>
      <c r="M64" s="119" t="n">
        <f aca="false">SUMIFS(tabela_registros[VALOR],tabela_registros[MÊS],$AE$1,tabela_registros[DIA],jantotal[[#Headers],[9]],tabela_registros[REGISTRO],DADOS!$N$4,tabela_registros[TIPO],DADOS!$P$4,tabela_registros[CATEGORIA],despesavariávelconsolidado[[#This Row],[DESPESA VARIÁVEL]])</f>
        <v>0</v>
      </c>
      <c r="N64" s="119" t="n">
        <f aca="false">SUMIFS(tabela_registros[VALOR],tabela_registros[MÊS],$AE$1,tabela_registros[DIA],jantotal[[#Headers],[10]],tabela_registros[REGISTRO],DADOS!$N$4,tabela_registros[TIPO],DADOS!$P$4,tabela_registros[CATEGORIA],despesavariávelconsolidado[[#This Row],[DESPESA VARIÁVEL]])</f>
        <v>0</v>
      </c>
      <c r="O64" s="119" t="n">
        <f aca="false">SUMIFS(tabela_registros[VALOR],tabela_registros[MÊS],$AE$1,tabela_registros[DIA],jantotal[[#Headers],[11]],tabela_registros[REGISTRO],DADOS!$N$4,tabela_registros[TIPO],DADOS!$P$4,tabela_registros[CATEGORIA],despesavariávelconsolidado[[#This Row],[DESPESA VARIÁVEL]])</f>
        <v>0</v>
      </c>
      <c r="P64" s="119" t="n">
        <f aca="false">SUMIFS(tabela_registros[VALOR],tabela_registros[MÊS],$AE$1,tabela_registros[DIA],jantotal[[#Headers],[12]],tabela_registros[REGISTRO],DADOS!$N$4,tabela_registros[TIPO],DADOS!$P$4,tabela_registros[CATEGORIA],despesavariávelconsolidado[[#This Row],[DESPESA VARIÁVEL]])</f>
        <v>0</v>
      </c>
      <c r="Q64" s="119" t="n">
        <f aca="false">SUMIFS(tabela_registros[VALOR],tabela_registros[MÊS],$AE$1,tabela_registros[DIA],jantotal[[#Headers],[13]],tabela_registros[REGISTRO],DADOS!$N$4,tabela_registros[TIPO],DADOS!$P$4,tabela_registros[CATEGORIA],despesavariávelconsolidado[[#This Row],[DESPESA VARIÁVEL]])</f>
        <v>0</v>
      </c>
      <c r="R64" s="119" t="n">
        <f aca="false">SUMIFS(tabela_registros[VALOR],tabela_registros[MÊS],$AE$1,tabela_registros[DIA],jantotal[[#Headers],[14]],tabela_registros[REGISTRO],DADOS!$N$4,tabela_registros[TIPO],DADOS!$P$4,tabela_registros[CATEGORIA],despesavariávelconsolidado[[#This Row],[DESPESA VARIÁVEL]])</f>
        <v>0</v>
      </c>
      <c r="S64" s="119" t="n">
        <f aca="false">SUMIFS(tabela_registros[VALOR],tabela_registros[MÊS],$AE$1,tabela_registros[DIA],jantotal[[#Headers],[15]],tabela_registros[REGISTRO],DADOS!$N$4,tabela_registros[TIPO],DADOS!$P$4,tabela_registros[CATEGORIA],despesavariávelconsolidado[[#This Row],[DESPESA VARIÁVEL]])</f>
        <v>0</v>
      </c>
      <c r="T64" s="119" t="n">
        <f aca="false">SUMIFS(tabela_registros[VALOR],tabela_registros[MÊS],$AE$1,tabela_registros[DIA],jantotal[[#Headers],[16]],tabela_registros[REGISTRO],DADOS!$N$4,tabela_registros[TIPO],DADOS!$P$4,tabela_registros[CATEGORIA],despesavariávelconsolidado[[#This Row],[DESPESA VARIÁVEL]])</f>
        <v>0</v>
      </c>
      <c r="U64" s="119" t="n">
        <f aca="false">SUMIFS(tabela_registros[VALOR],tabela_registros[MÊS],$AE$1,tabela_registros[DIA],jantotal[[#Headers],[17]],tabela_registros[REGISTRO],DADOS!$N$4,tabela_registros[TIPO],DADOS!$P$4,tabela_registros[CATEGORIA],despesavariávelconsolidado[[#This Row],[DESPESA VARIÁVEL]])</f>
        <v>0</v>
      </c>
      <c r="V64" s="119" t="n">
        <f aca="false">SUMIFS(tabela_registros[VALOR],tabela_registros[MÊS],$AE$1,tabela_registros[DIA],jantotal[[#Headers],[18]],tabela_registros[REGISTRO],DADOS!$N$4,tabela_registros[TIPO],DADOS!$P$4,tabela_registros[CATEGORIA],despesavariávelconsolidado[[#This Row],[DESPESA VARIÁVEL]])</f>
        <v>0</v>
      </c>
      <c r="W64" s="119" t="n">
        <f aca="false">SUMIFS(tabela_registros[VALOR],tabela_registros[MÊS],$AE$1,tabela_registros[DIA],jantotal[[#Headers],[19]],tabela_registros[REGISTRO],DADOS!$N$4,tabela_registros[TIPO],DADOS!$P$4,tabela_registros[CATEGORIA],despesavariávelconsolidado[[#This Row],[DESPESA VARIÁVEL]])</f>
        <v>0</v>
      </c>
      <c r="X64" s="119" t="n">
        <f aca="false">SUMIFS(tabela_registros[VALOR],tabela_registros[MÊS],$AE$1,tabela_registros[DIA],jantotal[[#Headers],[20]],tabela_registros[REGISTRO],DADOS!$N$4,tabela_registros[TIPO],DADOS!$P$4,tabela_registros[CATEGORIA],despesavariávelconsolidado[[#This Row],[DESPESA VARIÁVEL]])</f>
        <v>0</v>
      </c>
      <c r="Y64" s="119" t="n">
        <f aca="false">SUMIFS(tabela_registros[VALOR],tabela_registros[MÊS],$AE$1,tabela_registros[DIA],jantotal[[#Headers],[21]],tabela_registros[REGISTRO],DADOS!$N$4,tabela_registros[TIPO],DADOS!$P$4,tabela_registros[CATEGORIA],despesavariávelconsolidado[[#This Row],[DESPESA VARIÁVEL]])</f>
        <v>0</v>
      </c>
      <c r="Z64" s="119" t="n">
        <f aca="false">SUMIFS(tabela_registros[VALOR],tabela_registros[MÊS],$AE$1,tabela_registros[DIA],jantotal[[#Headers],[22]],tabela_registros[REGISTRO],DADOS!$N$4,tabela_registros[TIPO],DADOS!$P$4,tabela_registros[CATEGORIA],despesavariávelconsolidado[[#This Row],[DESPESA VARIÁVEL]])</f>
        <v>0</v>
      </c>
      <c r="AA64" s="119" t="n">
        <f aca="false">SUMIFS(tabela_registros[VALOR],tabela_registros[MÊS],$AE$1,tabela_registros[DIA],jantotal[[#Headers],[23]],tabela_registros[REGISTRO],DADOS!$N$4,tabela_registros[TIPO],DADOS!$P$4,tabela_registros[CATEGORIA],despesavariávelconsolidado[[#This Row],[DESPESA VARIÁVEL]])</f>
        <v>0</v>
      </c>
      <c r="AB64" s="119" t="n">
        <f aca="false">SUMIFS(tabela_registros[VALOR],tabela_registros[MÊS],$AE$1,tabela_registros[DIA],jantotal[[#Headers],[24]],tabela_registros[REGISTRO],DADOS!$N$4,tabela_registros[TIPO],DADOS!$P$4,tabela_registros[CATEGORIA],despesavariávelconsolidado[[#This Row],[DESPESA VARIÁVEL]])</f>
        <v>0</v>
      </c>
      <c r="AC64" s="119" t="n">
        <f aca="false">SUMIFS(tabela_registros[VALOR],tabela_registros[MÊS],$AE$1,tabela_registros[DIA],jantotal[[#Headers],[25]],tabela_registros[REGISTRO],DADOS!$N$4,tabela_registros[TIPO],DADOS!$P$4,tabela_registros[CATEGORIA],despesavariávelconsolidado[[#This Row],[DESPESA VARIÁVEL]])</f>
        <v>0</v>
      </c>
      <c r="AD64" s="119" t="n">
        <f aca="false">SUMIFS(tabela_registros[VALOR],tabela_registros[MÊS],$AE$1,tabela_registros[DIA],jantotal[[#Headers],[26]],tabela_registros[REGISTRO],DADOS!$N$4,tabela_registros[TIPO],DADOS!$P$4,tabela_registros[CATEGORIA],despesavariávelconsolidado[[#This Row],[DESPESA VARIÁVEL]])</f>
        <v>0</v>
      </c>
      <c r="AE64" s="119" t="n">
        <f aca="false">SUMIFS(tabela_registros[VALOR],tabela_registros[MÊS],$AE$1,tabela_registros[DIA],jantotal[[#Headers],[27]],tabela_registros[REGISTRO],DADOS!$N$4,tabela_registros[TIPO],DADOS!$P$4,tabela_registros[CATEGORIA],despesavariávelconsolidado[[#This Row],[DESPESA VARIÁVEL]])</f>
        <v>0</v>
      </c>
      <c r="AF64" s="119" t="n">
        <f aca="false">SUMIFS(tabela_registros[VALOR],tabela_registros[MÊS],$AE$1,tabela_registros[DIA],jantotal[[#Headers],[28]],tabela_registros[REGISTRO],DADOS!$N$4,tabela_registros[TIPO],DADOS!$P$4,tabela_registros[CATEGORIA],despesavariávelconsolidado[[#This Row],[DESPESA VARIÁVEL]])</f>
        <v>0</v>
      </c>
      <c r="AG64" s="119" t="n">
        <f aca="false">SUMIFS(tabela_registros[VALOR],tabela_registros[MÊS],$AE$1,tabela_registros[DIA],jantotal[[#Headers],[29]],tabela_registros[REGISTRO],DADOS!$N$4,tabela_registros[TIPO],DADOS!$P$4,tabela_registros[CATEGORIA],despesavariávelconsolidado[[#This Row],[DESPESA VARIÁVEL]])</f>
        <v>0</v>
      </c>
      <c r="AH64" s="119" t="n">
        <f aca="false">SUMIFS(tabela_registros[VALOR],tabela_registros[MÊS],$AE$1,tabela_registros[DIA],jantotal[[#Headers],[30]],tabela_registros[REGISTRO],DADOS!$N$4,tabela_registros[TIPO],DADOS!$P$4,tabela_registros[CATEGORIA],despesavariávelconsolidado[[#This Row],[DESPESA VARIÁVEL]])</f>
        <v>0</v>
      </c>
      <c r="AI64" s="217" t="n">
        <f aca="false">SUMIFS(tabela_registros[VALOR],tabela_registros[MÊS],$AE$1,tabela_registros[DIA],jantotal[[#Headers],[31]],tabela_registros[REGISTRO],DADOS!$N$4,tabela_registros[TIPO],DADOS!$P$4,tabela_registros[CATEGORIA],despesavariávelconsolidado[[#This Row],[DESPESA VARIÁVEL]])</f>
        <v>0</v>
      </c>
      <c r="AJ64" s="149" t="n">
        <f aca="false">SUM(despesavariávelconsolidado[[#This Row],[1]:[31]])</f>
        <v>0</v>
      </c>
      <c r="AK64" s="213"/>
      <c r="AL64" s="189"/>
    </row>
    <row r="65" customFormat="false" ht="18" hidden="false" customHeight="true" outlineLevel="0" collapsed="false">
      <c r="A65" s="189"/>
      <c r="B65" s="213"/>
      <c r="C65" s="214" t="str">
        <f aca="false">DADOS!$T$8</f>
        <v>📖 EDUCAÇÃO</v>
      </c>
      <c r="D65" s="215" t="str">
        <f aca="false">IF(despesavariávelconsolidado[[#This Row],[TOTAL]]=0,"",IF(OR(despesavariávelconsolidado[[#This Row],[TOTAL]]=LARGE($AJ$60:$AJ$72,1),despesavariávelconsolidado[[#This Row],[TOTAL]]=LARGE($AJ$60:$AJ$72,2),despesavariávelconsolidado[[#This Row],[TOTAL]]=LARGE($AJ$60:$AJ$72,3),despesavariávelconsolidado[[#This Row],[TOTAL]]=LARGE($AJ$60:$AJ$72,4),despesavariávelconsolidado[[#This Row],[TOTAL]]=LARGE($AJ$60:$AJ$72,5)),DADOS!$I$8,""))</f>
        <v/>
      </c>
      <c r="E65" s="148" t="n">
        <f aca="false">SUMIFS(tabela_registros[VALOR],tabela_registros[MÊS],$AE$1,tabela_registros[DIA],jantotal[[#Headers],[1]],tabela_registros[REGISTRO],DADOS!$N$4,tabela_registros[TIPO],DADOS!$P$4,tabela_registros[CATEGORIA],despesavariávelconsolidado[[#This Row],[DESPESA VARIÁVEL]])</f>
        <v>0</v>
      </c>
      <c r="F65" s="119" t="n">
        <f aca="false">SUMIFS(tabela_registros[VALOR],tabela_registros[MÊS],$AE$1,tabela_registros[DIA],jantotal[[#Headers],[2]],tabela_registros[REGISTRO],DADOS!$N$4,tabela_registros[TIPO],DADOS!$P$4,tabela_registros[CATEGORIA],despesavariávelconsolidado[[#This Row],[DESPESA VARIÁVEL]])</f>
        <v>0</v>
      </c>
      <c r="G65" s="119" t="n">
        <f aca="false">SUMIFS(tabela_registros[VALOR],tabela_registros[MÊS],$AE$1,tabela_registros[DIA],jantotal[[#Headers],[3]],tabela_registros[REGISTRO],DADOS!$N$4,tabela_registros[TIPO],DADOS!$P$4,tabela_registros[CATEGORIA],despesavariávelconsolidado[[#This Row],[DESPESA VARIÁVEL]])</f>
        <v>0</v>
      </c>
      <c r="H65" s="119" t="n">
        <f aca="false">SUMIFS(tabela_registros[VALOR],tabela_registros[MÊS],$AE$1,tabela_registros[DIA],jantotal[[#Headers],[4]],tabela_registros[REGISTRO],DADOS!$N$4,tabela_registros[TIPO],DADOS!$P$4,tabela_registros[CATEGORIA],despesavariávelconsolidado[[#This Row],[DESPESA VARIÁVEL]])</f>
        <v>0</v>
      </c>
      <c r="I65" s="119" t="n">
        <f aca="false">SUMIFS(tabela_registros[VALOR],tabela_registros[MÊS],$AE$1,tabela_registros[DIA],jantotal[[#Headers],[5]],tabela_registros[REGISTRO],DADOS!$N$4,tabela_registros[TIPO],DADOS!$P$4,tabela_registros[CATEGORIA],despesavariávelconsolidado[[#This Row],[DESPESA VARIÁVEL]])</f>
        <v>0</v>
      </c>
      <c r="J65" s="119" t="n">
        <f aca="false">SUMIFS(tabela_registros[VALOR],tabela_registros[MÊS],$AE$1,tabela_registros[DIA],jantotal[[#Headers],[6]],tabela_registros[REGISTRO],DADOS!$N$4,tabela_registros[TIPO],DADOS!$P$4,tabela_registros[CATEGORIA],despesavariávelconsolidado[[#This Row],[DESPESA VARIÁVEL]])</f>
        <v>0</v>
      </c>
      <c r="K65" s="119" t="n">
        <f aca="false">SUMIFS(tabela_registros[VALOR],tabela_registros[MÊS],$AE$1,tabela_registros[DIA],jantotal[[#Headers],[7]],tabela_registros[REGISTRO],DADOS!$N$4,tabela_registros[TIPO],DADOS!$P$4,tabela_registros[CATEGORIA],despesavariávelconsolidado[[#This Row],[DESPESA VARIÁVEL]])</f>
        <v>0</v>
      </c>
      <c r="L65" s="119" t="n">
        <f aca="false">SUMIFS(tabela_registros[VALOR],tabela_registros[MÊS],$AE$1,tabela_registros[DIA],jantotal[[#Headers],[8]],tabela_registros[REGISTRO],DADOS!$N$4,tabela_registros[TIPO],DADOS!$P$4,tabela_registros[CATEGORIA],despesavariávelconsolidado[[#This Row],[DESPESA VARIÁVEL]])</f>
        <v>0</v>
      </c>
      <c r="M65" s="119" t="n">
        <f aca="false">SUMIFS(tabela_registros[VALOR],tabela_registros[MÊS],$AE$1,tabela_registros[DIA],jantotal[[#Headers],[9]],tabela_registros[REGISTRO],DADOS!$N$4,tabela_registros[TIPO],DADOS!$P$4,tabela_registros[CATEGORIA],despesavariávelconsolidado[[#This Row],[DESPESA VARIÁVEL]])</f>
        <v>0</v>
      </c>
      <c r="N65" s="119" t="n">
        <f aca="false">SUMIFS(tabela_registros[VALOR],tabela_registros[MÊS],$AE$1,tabela_registros[DIA],jantotal[[#Headers],[10]],tabela_registros[REGISTRO],DADOS!$N$4,tabela_registros[TIPO],DADOS!$P$4,tabela_registros[CATEGORIA],despesavariávelconsolidado[[#This Row],[DESPESA VARIÁVEL]])</f>
        <v>0</v>
      </c>
      <c r="O65" s="119" t="n">
        <f aca="false">SUMIFS(tabela_registros[VALOR],tabela_registros[MÊS],$AE$1,tabela_registros[DIA],jantotal[[#Headers],[11]],tabela_registros[REGISTRO],DADOS!$N$4,tabela_registros[TIPO],DADOS!$P$4,tabela_registros[CATEGORIA],despesavariávelconsolidado[[#This Row],[DESPESA VARIÁVEL]])</f>
        <v>0</v>
      </c>
      <c r="P65" s="119" t="n">
        <f aca="false">SUMIFS(tabela_registros[VALOR],tabela_registros[MÊS],$AE$1,tabela_registros[DIA],jantotal[[#Headers],[12]],tabela_registros[REGISTRO],DADOS!$N$4,tabela_registros[TIPO],DADOS!$P$4,tabela_registros[CATEGORIA],despesavariávelconsolidado[[#This Row],[DESPESA VARIÁVEL]])</f>
        <v>0</v>
      </c>
      <c r="Q65" s="119" t="n">
        <f aca="false">SUMIFS(tabela_registros[VALOR],tabela_registros[MÊS],$AE$1,tabela_registros[DIA],jantotal[[#Headers],[13]],tabela_registros[REGISTRO],DADOS!$N$4,tabela_registros[TIPO],DADOS!$P$4,tabela_registros[CATEGORIA],despesavariávelconsolidado[[#This Row],[DESPESA VARIÁVEL]])</f>
        <v>0</v>
      </c>
      <c r="R65" s="119" t="n">
        <f aca="false">SUMIFS(tabela_registros[VALOR],tabela_registros[MÊS],$AE$1,tabela_registros[DIA],jantotal[[#Headers],[14]],tabela_registros[REGISTRO],DADOS!$N$4,tabela_registros[TIPO],DADOS!$P$4,tabela_registros[CATEGORIA],despesavariávelconsolidado[[#This Row],[DESPESA VARIÁVEL]])</f>
        <v>0</v>
      </c>
      <c r="S65" s="119" t="n">
        <f aca="false">SUMIFS(tabela_registros[VALOR],tabela_registros[MÊS],$AE$1,tabela_registros[DIA],jantotal[[#Headers],[15]],tabela_registros[REGISTRO],DADOS!$N$4,tabela_registros[TIPO],DADOS!$P$4,tabela_registros[CATEGORIA],despesavariávelconsolidado[[#This Row],[DESPESA VARIÁVEL]])</f>
        <v>0</v>
      </c>
      <c r="T65" s="119" t="n">
        <f aca="false">SUMIFS(tabela_registros[VALOR],tabela_registros[MÊS],$AE$1,tabela_registros[DIA],jantotal[[#Headers],[16]],tabela_registros[REGISTRO],DADOS!$N$4,tabela_registros[TIPO],DADOS!$P$4,tabela_registros[CATEGORIA],despesavariávelconsolidado[[#This Row],[DESPESA VARIÁVEL]])</f>
        <v>0</v>
      </c>
      <c r="U65" s="119" t="n">
        <f aca="false">SUMIFS(tabela_registros[VALOR],tabela_registros[MÊS],$AE$1,tabela_registros[DIA],jantotal[[#Headers],[17]],tabela_registros[REGISTRO],DADOS!$N$4,tabela_registros[TIPO],DADOS!$P$4,tabela_registros[CATEGORIA],despesavariávelconsolidado[[#This Row],[DESPESA VARIÁVEL]])</f>
        <v>0</v>
      </c>
      <c r="V65" s="119" t="n">
        <f aca="false">SUMIFS(tabela_registros[VALOR],tabela_registros[MÊS],$AE$1,tabela_registros[DIA],jantotal[[#Headers],[18]],tabela_registros[REGISTRO],DADOS!$N$4,tabela_registros[TIPO],DADOS!$P$4,tabela_registros[CATEGORIA],despesavariávelconsolidado[[#This Row],[DESPESA VARIÁVEL]])</f>
        <v>0</v>
      </c>
      <c r="W65" s="119" t="n">
        <f aca="false">SUMIFS(tabela_registros[VALOR],tabela_registros[MÊS],$AE$1,tabela_registros[DIA],jantotal[[#Headers],[19]],tabela_registros[REGISTRO],DADOS!$N$4,tabela_registros[TIPO],DADOS!$P$4,tabela_registros[CATEGORIA],despesavariávelconsolidado[[#This Row],[DESPESA VARIÁVEL]])</f>
        <v>0</v>
      </c>
      <c r="X65" s="119" t="n">
        <f aca="false">SUMIFS(tabela_registros[VALOR],tabela_registros[MÊS],$AE$1,tabela_registros[DIA],jantotal[[#Headers],[20]],tabela_registros[REGISTRO],DADOS!$N$4,tabela_registros[TIPO],DADOS!$P$4,tabela_registros[CATEGORIA],despesavariávelconsolidado[[#This Row],[DESPESA VARIÁVEL]])</f>
        <v>0</v>
      </c>
      <c r="Y65" s="119" t="n">
        <f aca="false">SUMIFS(tabela_registros[VALOR],tabela_registros[MÊS],$AE$1,tabela_registros[DIA],jantotal[[#Headers],[21]],tabela_registros[REGISTRO],DADOS!$N$4,tabela_registros[TIPO],DADOS!$P$4,tabela_registros[CATEGORIA],despesavariávelconsolidado[[#This Row],[DESPESA VARIÁVEL]])</f>
        <v>0</v>
      </c>
      <c r="Z65" s="119" t="n">
        <f aca="false">SUMIFS(tabela_registros[VALOR],tabela_registros[MÊS],$AE$1,tabela_registros[DIA],jantotal[[#Headers],[22]],tabela_registros[REGISTRO],DADOS!$N$4,tabela_registros[TIPO],DADOS!$P$4,tabela_registros[CATEGORIA],despesavariávelconsolidado[[#This Row],[DESPESA VARIÁVEL]])</f>
        <v>0</v>
      </c>
      <c r="AA65" s="119" t="n">
        <f aca="false">SUMIFS(tabela_registros[VALOR],tabela_registros[MÊS],$AE$1,tabela_registros[DIA],jantotal[[#Headers],[23]],tabela_registros[REGISTRO],DADOS!$N$4,tabela_registros[TIPO],DADOS!$P$4,tabela_registros[CATEGORIA],despesavariávelconsolidado[[#This Row],[DESPESA VARIÁVEL]])</f>
        <v>0</v>
      </c>
      <c r="AB65" s="119" t="n">
        <f aca="false">SUMIFS(tabela_registros[VALOR],tabela_registros[MÊS],$AE$1,tabela_registros[DIA],jantotal[[#Headers],[24]],tabela_registros[REGISTRO],DADOS!$N$4,tabela_registros[TIPO],DADOS!$P$4,tabela_registros[CATEGORIA],despesavariávelconsolidado[[#This Row],[DESPESA VARIÁVEL]])</f>
        <v>0</v>
      </c>
      <c r="AC65" s="119" t="n">
        <f aca="false">SUMIFS(tabela_registros[VALOR],tabela_registros[MÊS],$AE$1,tabela_registros[DIA],jantotal[[#Headers],[25]],tabela_registros[REGISTRO],DADOS!$N$4,tabela_registros[TIPO],DADOS!$P$4,tabela_registros[CATEGORIA],despesavariávelconsolidado[[#This Row],[DESPESA VARIÁVEL]])</f>
        <v>0</v>
      </c>
      <c r="AD65" s="119" t="n">
        <f aca="false">SUMIFS(tabela_registros[VALOR],tabela_registros[MÊS],$AE$1,tabela_registros[DIA],jantotal[[#Headers],[26]],tabela_registros[REGISTRO],DADOS!$N$4,tabela_registros[TIPO],DADOS!$P$4,tabela_registros[CATEGORIA],despesavariávelconsolidado[[#This Row],[DESPESA VARIÁVEL]])</f>
        <v>0</v>
      </c>
      <c r="AE65" s="119" t="n">
        <f aca="false">SUMIFS(tabela_registros[VALOR],tabela_registros[MÊS],$AE$1,tabela_registros[DIA],jantotal[[#Headers],[27]],tabela_registros[REGISTRO],DADOS!$N$4,tabela_registros[TIPO],DADOS!$P$4,tabela_registros[CATEGORIA],despesavariávelconsolidado[[#This Row],[DESPESA VARIÁVEL]])</f>
        <v>0</v>
      </c>
      <c r="AF65" s="119" t="n">
        <f aca="false">SUMIFS(tabela_registros[VALOR],tabela_registros[MÊS],$AE$1,tabela_registros[DIA],jantotal[[#Headers],[28]],tabela_registros[REGISTRO],DADOS!$N$4,tabela_registros[TIPO],DADOS!$P$4,tabela_registros[CATEGORIA],despesavariávelconsolidado[[#This Row],[DESPESA VARIÁVEL]])</f>
        <v>0</v>
      </c>
      <c r="AG65" s="119" t="n">
        <f aca="false">SUMIFS(tabela_registros[VALOR],tabela_registros[MÊS],$AE$1,tabela_registros[DIA],jantotal[[#Headers],[29]],tabela_registros[REGISTRO],DADOS!$N$4,tabela_registros[TIPO],DADOS!$P$4,tabela_registros[CATEGORIA],despesavariávelconsolidado[[#This Row],[DESPESA VARIÁVEL]])</f>
        <v>0</v>
      </c>
      <c r="AH65" s="119" t="n">
        <f aca="false">SUMIFS(tabela_registros[VALOR],tabela_registros[MÊS],$AE$1,tabela_registros[DIA],jantotal[[#Headers],[30]],tabela_registros[REGISTRO],DADOS!$N$4,tabela_registros[TIPO],DADOS!$P$4,tabela_registros[CATEGORIA],despesavariávelconsolidado[[#This Row],[DESPESA VARIÁVEL]])</f>
        <v>0</v>
      </c>
      <c r="AI65" s="217" t="n">
        <f aca="false">SUMIFS(tabela_registros[VALOR],tabela_registros[MÊS],$AE$1,tabela_registros[DIA],jantotal[[#Headers],[31]],tabela_registros[REGISTRO],DADOS!$N$4,tabela_registros[TIPO],DADOS!$P$4,tabela_registros[CATEGORIA],despesavariávelconsolidado[[#This Row],[DESPESA VARIÁVEL]])</f>
        <v>0</v>
      </c>
      <c r="AJ65" s="149" t="n">
        <f aca="false">SUM(despesavariávelconsolidado[[#This Row],[1]:[31]])</f>
        <v>0</v>
      </c>
      <c r="AK65" s="213"/>
      <c r="AL65" s="189"/>
    </row>
    <row r="66" customFormat="false" ht="18" hidden="false" customHeight="true" outlineLevel="0" collapsed="false">
      <c r="A66" s="189"/>
      <c r="B66" s="213"/>
      <c r="C66" s="214" t="str">
        <f aca="false">DADOS!$T$9</f>
        <v>🎭 LAZER</v>
      </c>
      <c r="D66" s="215" t="str">
        <f aca="false">IF(despesavariávelconsolidado[[#This Row],[TOTAL]]=0,"",IF(OR(despesavariávelconsolidado[[#This Row],[TOTAL]]=LARGE($AJ$60:$AJ$72,1),despesavariávelconsolidado[[#This Row],[TOTAL]]=LARGE($AJ$60:$AJ$72,2),despesavariávelconsolidado[[#This Row],[TOTAL]]=LARGE($AJ$60:$AJ$72,3),despesavariávelconsolidado[[#This Row],[TOTAL]]=LARGE($AJ$60:$AJ$72,4),despesavariávelconsolidado[[#This Row],[TOTAL]]=LARGE($AJ$60:$AJ$72,5)),DADOS!$I$8,""))</f>
        <v/>
      </c>
      <c r="E66" s="148" t="n">
        <f aca="false">SUMIFS(tabela_registros[VALOR],tabela_registros[MÊS],$AE$1,tabela_registros[DIA],jantotal[[#Headers],[1]],tabela_registros[REGISTRO],DADOS!$N$4,tabela_registros[TIPO],DADOS!$P$4,tabela_registros[CATEGORIA],despesavariávelconsolidado[[#This Row],[DESPESA VARIÁVEL]])</f>
        <v>0</v>
      </c>
      <c r="F66" s="119" t="n">
        <f aca="false">SUMIFS(tabela_registros[VALOR],tabela_registros[MÊS],$AE$1,tabela_registros[DIA],jantotal[[#Headers],[2]],tabela_registros[REGISTRO],DADOS!$N$4,tabela_registros[TIPO],DADOS!$P$4,tabela_registros[CATEGORIA],despesavariávelconsolidado[[#This Row],[DESPESA VARIÁVEL]])</f>
        <v>0</v>
      </c>
      <c r="G66" s="119" t="n">
        <f aca="false">SUMIFS(tabela_registros[VALOR],tabela_registros[MÊS],$AE$1,tabela_registros[DIA],jantotal[[#Headers],[3]],tabela_registros[REGISTRO],DADOS!$N$4,tabela_registros[TIPO],DADOS!$P$4,tabela_registros[CATEGORIA],despesavariávelconsolidado[[#This Row],[DESPESA VARIÁVEL]])</f>
        <v>0</v>
      </c>
      <c r="H66" s="119" t="n">
        <f aca="false">SUMIFS(tabela_registros[VALOR],tabela_registros[MÊS],$AE$1,tabela_registros[DIA],jantotal[[#Headers],[4]],tabela_registros[REGISTRO],DADOS!$N$4,tabela_registros[TIPO],DADOS!$P$4,tabela_registros[CATEGORIA],despesavariávelconsolidado[[#This Row],[DESPESA VARIÁVEL]])</f>
        <v>0</v>
      </c>
      <c r="I66" s="119" t="n">
        <f aca="false">SUMIFS(tabela_registros[VALOR],tabela_registros[MÊS],$AE$1,tabela_registros[DIA],jantotal[[#Headers],[5]],tabela_registros[REGISTRO],DADOS!$N$4,tabela_registros[TIPO],DADOS!$P$4,tabela_registros[CATEGORIA],despesavariávelconsolidado[[#This Row],[DESPESA VARIÁVEL]])</f>
        <v>0</v>
      </c>
      <c r="J66" s="119" t="n">
        <f aca="false">SUMIFS(tabela_registros[VALOR],tabela_registros[MÊS],$AE$1,tabela_registros[DIA],jantotal[[#Headers],[6]],tabela_registros[REGISTRO],DADOS!$N$4,tabela_registros[TIPO],DADOS!$P$4,tabela_registros[CATEGORIA],despesavariávelconsolidado[[#This Row],[DESPESA VARIÁVEL]])</f>
        <v>0</v>
      </c>
      <c r="K66" s="119" t="n">
        <f aca="false">SUMIFS(tabela_registros[VALOR],tabela_registros[MÊS],$AE$1,tabela_registros[DIA],jantotal[[#Headers],[7]],tabela_registros[REGISTRO],DADOS!$N$4,tabela_registros[TIPO],DADOS!$P$4,tabela_registros[CATEGORIA],despesavariávelconsolidado[[#This Row],[DESPESA VARIÁVEL]])</f>
        <v>0</v>
      </c>
      <c r="L66" s="119" t="n">
        <f aca="false">SUMIFS(tabela_registros[VALOR],tabela_registros[MÊS],$AE$1,tabela_registros[DIA],jantotal[[#Headers],[8]],tabela_registros[REGISTRO],DADOS!$N$4,tabela_registros[TIPO],DADOS!$P$4,tabela_registros[CATEGORIA],despesavariávelconsolidado[[#This Row],[DESPESA VARIÁVEL]])</f>
        <v>0</v>
      </c>
      <c r="M66" s="119" t="n">
        <f aca="false">SUMIFS(tabela_registros[VALOR],tabela_registros[MÊS],$AE$1,tabela_registros[DIA],jantotal[[#Headers],[9]],tabela_registros[REGISTRO],DADOS!$N$4,tabela_registros[TIPO],DADOS!$P$4,tabela_registros[CATEGORIA],despesavariávelconsolidado[[#This Row],[DESPESA VARIÁVEL]])</f>
        <v>0</v>
      </c>
      <c r="N66" s="119" t="n">
        <f aca="false">SUMIFS(tabela_registros[VALOR],tabela_registros[MÊS],$AE$1,tabela_registros[DIA],jantotal[[#Headers],[10]],tabela_registros[REGISTRO],DADOS!$N$4,tabela_registros[TIPO],DADOS!$P$4,tabela_registros[CATEGORIA],despesavariávelconsolidado[[#This Row],[DESPESA VARIÁVEL]])</f>
        <v>0</v>
      </c>
      <c r="O66" s="119" t="n">
        <f aca="false">SUMIFS(tabela_registros[VALOR],tabela_registros[MÊS],$AE$1,tabela_registros[DIA],jantotal[[#Headers],[11]],tabela_registros[REGISTRO],DADOS!$N$4,tabela_registros[TIPO],DADOS!$P$4,tabela_registros[CATEGORIA],despesavariávelconsolidado[[#This Row],[DESPESA VARIÁVEL]])</f>
        <v>0</v>
      </c>
      <c r="P66" s="119" t="n">
        <f aca="false">SUMIFS(tabela_registros[VALOR],tabela_registros[MÊS],$AE$1,tabela_registros[DIA],jantotal[[#Headers],[12]],tabela_registros[REGISTRO],DADOS!$N$4,tabela_registros[TIPO],DADOS!$P$4,tabela_registros[CATEGORIA],despesavariávelconsolidado[[#This Row],[DESPESA VARIÁVEL]])</f>
        <v>0</v>
      </c>
      <c r="Q66" s="119" t="n">
        <f aca="false">SUMIFS(tabela_registros[VALOR],tabela_registros[MÊS],$AE$1,tabela_registros[DIA],jantotal[[#Headers],[13]],tabela_registros[REGISTRO],DADOS!$N$4,tabela_registros[TIPO],DADOS!$P$4,tabela_registros[CATEGORIA],despesavariávelconsolidado[[#This Row],[DESPESA VARIÁVEL]])</f>
        <v>0</v>
      </c>
      <c r="R66" s="119" t="n">
        <f aca="false">SUMIFS(tabela_registros[VALOR],tabela_registros[MÊS],$AE$1,tabela_registros[DIA],jantotal[[#Headers],[14]],tabela_registros[REGISTRO],DADOS!$N$4,tabela_registros[TIPO],DADOS!$P$4,tabela_registros[CATEGORIA],despesavariávelconsolidado[[#This Row],[DESPESA VARIÁVEL]])</f>
        <v>0</v>
      </c>
      <c r="S66" s="119" t="n">
        <f aca="false">SUMIFS(tabela_registros[VALOR],tabela_registros[MÊS],$AE$1,tabela_registros[DIA],jantotal[[#Headers],[15]],tabela_registros[REGISTRO],DADOS!$N$4,tabela_registros[TIPO],DADOS!$P$4,tabela_registros[CATEGORIA],despesavariávelconsolidado[[#This Row],[DESPESA VARIÁVEL]])</f>
        <v>0</v>
      </c>
      <c r="T66" s="119" t="n">
        <f aca="false">SUMIFS(tabela_registros[VALOR],tabela_registros[MÊS],$AE$1,tabela_registros[DIA],jantotal[[#Headers],[16]],tabela_registros[REGISTRO],DADOS!$N$4,tabela_registros[TIPO],DADOS!$P$4,tabela_registros[CATEGORIA],despesavariávelconsolidado[[#This Row],[DESPESA VARIÁVEL]])</f>
        <v>0</v>
      </c>
      <c r="U66" s="119" t="n">
        <f aca="false">SUMIFS(tabela_registros[VALOR],tabela_registros[MÊS],$AE$1,tabela_registros[DIA],jantotal[[#Headers],[17]],tabela_registros[REGISTRO],DADOS!$N$4,tabela_registros[TIPO],DADOS!$P$4,tabela_registros[CATEGORIA],despesavariávelconsolidado[[#This Row],[DESPESA VARIÁVEL]])</f>
        <v>0</v>
      </c>
      <c r="V66" s="119" t="n">
        <f aca="false">SUMIFS(tabela_registros[VALOR],tabela_registros[MÊS],$AE$1,tabela_registros[DIA],jantotal[[#Headers],[18]],tabela_registros[REGISTRO],DADOS!$N$4,tabela_registros[TIPO],DADOS!$P$4,tabela_registros[CATEGORIA],despesavariávelconsolidado[[#This Row],[DESPESA VARIÁVEL]])</f>
        <v>0</v>
      </c>
      <c r="W66" s="119" t="n">
        <f aca="false">SUMIFS(tabela_registros[VALOR],tabela_registros[MÊS],$AE$1,tabela_registros[DIA],jantotal[[#Headers],[19]],tabela_registros[REGISTRO],DADOS!$N$4,tabela_registros[TIPO],DADOS!$P$4,tabela_registros[CATEGORIA],despesavariávelconsolidado[[#This Row],[DESPESA VARIÁVEL]])</f>
        <v>0</v>
      </c>
      <c r="X66" s="119" t="n">
        <f aca="false">SUMIFS(tabela_registros[VALOR],tabela_registros[MÊS],$AE$1,tabela_registros[DIA],jantotal[[#Headers],[20]],tabela_registros[REGISTRO],DADOS!$N$4,tabela_registros[TIPO],DADOS!$P$4,tabela_registros[CATEGORIA],despesavariávelconsolidado[[#This Row],[DESPESA VARIÁVEL]])</f>
        <v>0</v>
      </c>
      <c r="Y66" s="119" t="n">
        <f aca="false">SUMIFS(tabela_registros[VALOR],tabela_registros[MÊS],$AE$1,tabela_registros[DIA],jantotal[[#Headers],[21]],tabela_registros[REGISTRO],DADOS!$N$4,tabela_registros[TIPO],DADOS!$P$4,tabela_registros[CATEGORIA],despesavariávelconsolidado[[#This Row],[DESPESA VARIÁVEL]])</f>
        <v>0</v>
      </c>
      <c r="Z66" s="119" t="n">
        <f aca="false">SUMIFS(tabela_registros[VALOR],tabela_registros[MÊS],$AE$1,tabela_registros[DIA],jantotal[[#Headers],[22]],tabela_registros[REGISTRO],DADOS!$N$4,tabela_registros[TIPO],DADOS!$P$4,tabela_registros[CATEGORIA],despesavariávelconsolidado[[#This Row],[DESPESA VARIÁVEL]])</f>
        <v>0</v>
      </c>
      <c r="AA66" s="119" t="n">
        <f aca="false">SUMIFS(tabela_registros[VALOR],tabela_registros[MÊS],$AE$1,tabela_registros[DIA],jantotal[[#Headers],[23]],tabela_registros[REGISTRO],DADOS!$N$4,tabela_registros[TIPO],DADOS!$P$4,tabela_registros[CATEGORIA],despesavariávelconsolidado[[#This Row],[DESPESA VARIÁVEL]])</f>
        <v>0</v>
      </c>
      <c r="AB66" s="119" t="n">
        <f aca="false">SUMIFS(tabela_registros[VALOR],tabela_registros[MÊS],$AE$1,tabela_registros[DIA],jantotal[[#Headers],[24]],tabela_registros[REGISTRO],DADOS!$N$4,tabela_registros[TIPO],DADOS!$P$4,tabela_registros[CATEGORIA],despesavariávelconsolidado[[#This Row],[DESPESA VARIÁVEL]])</f>
        <v>0</v>
      </c>
      <c r="AC66" s="119" t="n">
        <f aca="false">SUMIFS(tabela_registros[VALOR],tabela_registros[MÊS],$AE$1,tabela_registros[DIA],jantotal[[#Headers],[25]],tabela_registros[REGISTRO],DADOS!$N$4,tabela_registros[TIPO],DADOS!$P$4,tabela_registros[CATEGORIA],despesavariávelconsolidado[[#This Row],[DESPESA VARIÁVEL]])</f>
        <v>0</v>
      </c>
      <c r="AD66" s="119" t="n">
        <f aca="false">SUMIFS(tabela_registros[VALOR],tabela_registros[MÊS],$AE$1,tabela_registros[DIA],jantotal[[#Headers],[26]],tabela_registros[REGISTRO],DADOS!$N$4,tabela_registros[TIPO],DADOS!$P$4,tabela_registros[CATEGORIA],despesavariávelconsolidado[[#This Row],[DESPESA VARIÁVEL]])</f>
        <v>0</v>
      </c>
      <c r="AE66" s="119" t="n">
        <f aca="false">SUMIFS(tabela_registros[VALOR],tabela_registros[MÊS],$AE$1,tabela_registros[DIA],jantotal[[#Headers],[27]],tabela_registros[REGISTRO],DADOS!$N$4,tabela_registros[TIPO],DADOS!$P$4,tabela_registros[CATEGORIA],despesavariávelconsolidado[[#This Row],[DESPESA VARIÁVEL]])</f>
        <v>0</v>
      </c>
      <c r="AF66" s="119" t="n">
        <f aca="false">SUMIFS(tabela_registros[VALOR],tabela_registros[MÊS],$AE$1,tabela_registros[DIA],jantotal[[#Headers],[28]],tabela_registros[REGISTRO],DADOS!$N$4,tabela_registros[TIPO],DADOS!$P$4,tabela_registros[CATEGORIA],despesavariávelconsolidado[[#This Row],[DESPESA VARIÁVEL]])</f>
        <v>0</v>
      </c>
      <c r="AG66" s="119" t="n">
        <f aca="false">SUMIFS(tabela_registros[VALOR],tabela_registros[MÊS],$AE$1,tabela_registros[DIA],jantotal[[#Headers],[29]],tabela_registros[REGISTRO],DADOS!$N$4,tabela_registros[TIPO],DADOS!$P$4,tabela_registros[CATEGORIA],despesavariávelconsolidado[[#This Row],[DESPESA VARIÁVEL]])</f>
        <v>0</v>
      </c>
      <c r="AH66" s="119" t="n">
        <f aca="false">SUMIFS(tabela_registros[VALOR],tabela_registros[MÊS],$AE$1,tabela_registros[DIA],jantotal[[#Headers],[30]],tabela_registros[REGISTRO],DADOS!$N$4,tabela_registros[TIPO],DADOS!$P$4,tabela_registros[CATEGORIA],despesavariávelconsolidado[[#This Row],[DESPESA VARIÁVEL]])</f>
        <v>0</v>
      </c>
      <c r="AI66" s="217" t="n">
        <f aca="false">SUMIFS(tabela_registros[VALOR],tabela_registros[MÊS],$AE$1,tabela_registros[DIA],jantotal[[#Headers],[31]],tabela_registros[REGISTRO],DADOS!$N$4,tabela_registros[TIPO],DADOS!$P$4,tabela_registros[CATEGORIA],despesavariávelconsolidado[[#This Row],[DESPESA VARIÁVEL]])</f>
        <v>0</v>
      </c>
      <c r="AJ66" s="149" t="n">
        <f aca="false">SUM(despesavariávelconsolidado[[#This Row],[1]:[31]])</f>
        <v>0</v>
      </c>
      <c r="AK66" s="213"/>
      <c r="AL66" s="189"/>
    </row>
    <row r="67" customFormat="false" ht="18" hidden="false" customHeight="true" outlineLevel="0" collapsed="false">
      <c r="A67" s="189"/>
      <c r="B67" s="213"/>
      <c r="C67" s="214" t="str">
        <f aca="false">DADOS!$T$10</f>
        <v>🛒 MERCADO</v>
      </c>
      <c r="D67" s="215" t="str">
        <f aca="false">IF(despesavariávelconsolidado[[#This Row],[TOTAL]]=0,"",IF(OR(despesavariávelconsolidado[[#This Row],[TOTAL]]=LARGE($AJ$60:$AJ$72,1),despesavariávelconsolidado[[#This Row],[TOTAL]]=LARGE($AJ$60:$AJ$72,2),despesavariávelconsolidado[[#This Row],[TOTAL]]=LARGE($AJ$60:$AJ$72,3),despesavariávelconsolidado[[#This Row],[TOTAL]]=LARGE($AJ$60:$AJ$72,4),despesavariávelconsolidado[[#This Row],[TOTAL]]=LARGE($AJ$60:$AJ$72,5)),DADOS!$I$8,""))</f>
        <v/>
      </c>
      <c r="E67" s="148" t="n">
        <f aca="false">SUMIFS(tabela_registros[VALOR],tabela_registros[MÊS],$AE$1,tabela_registros[DIA],jantotal[[#Headers],[1]],tabela_registros[REGISTRO],DADOS!$N$4,tabela_registros[TIPO],DADOS!$P$4,tabela_registros[CATEGORIA],despesavariávelconsolidado[[#This Row],[DESPESA VARIÁVEL]])</f>
        <v>0</v>
      </c>
      <c r="F67" s="119" t="n">
        <f aca="false">SUMIFS(tabela_registros[VALOR],tabela_registros[MÊS],$AE$1,tabela_registros[DIA],jantotal[[#Headers],[2]],tabela_registros[REGISTRO],DADOS!$N$4,tabela_registros[TIPO],DADOS!$P$4,tabela_registros[CATEGORIA],despesavariávelconsolidado[[#This Row],[DESPESA VARIÁVEL]])</f>
        <v>0</v>
      </c>
      <c r="G67" s="119" t="n">
        <f aca="false">SUMIFS(tabela_registros[VALOR],tabela_registros[MÊS],$AE$1,tabela_registros[DIA],jantotal[[#Headers],[3]],tabela_registros[REGISTRO],DADOS!$N$4,tabela_registros[TIPO],DADOS!$P$4,tabela_registros[CATEGORIA],despesavariávelconsolidado[[#This Row],[DESPESA VARIÁVEL]])</f>
        <v>0</v>
      </c>
      <c r="H67" s="119" t="n">
        <f aca="false">SUMIFS(tabela_registros[VALOR],tabela_registros[MÊS],$AE$1,tabela_registros[DIA],jantotal[[#Headers],[4]],tabela_registros[REGISTRO],DADOS!$N$4,tabela_registros[TIPO],DADOS!$P$4,tabela_registros[CATEGORIA],despesavariávelconsolidado[[#This Row],[DESPESA VARIÁVEL]])</f>
        <v>0</v>
      </c>
      <c r="I67" s="119" t="n">
        <f aca="false">SUMIFS(tabela_registros[VALOR],tabela_registros[MÊS],$AE$1,tabela_registros[DIA],jantotal[[#Headers],[5]],tabela_registros[REGISTRO],DADOS!$N$4,tabela_registros[TIPO],DADOS!$P$4,tabela_registros[CATEGORIA],despesavariávelconsolidado[[#This Row],[DESPESA VARIÁVEL]])</f>
        <v>0</v>
      </c>
      <c r="J67" s="119" t="n">
        <f aca="false">SUMIFS(tabela_registros[VALOR],tabela_registros[MÊS],$AE$1,tabela_registros[DIA],jantotal[[#Headers],[6]],tabela_registros[REGISTRO],DADOS!$N$4,tabela_registros[TIPO],DADOS!$P$4,tabela_registros[CATEGORIA],despesavariávelconsolidado[[#This Row],[DESPESA VARIÁVEL]])</f>
        <v>0</v>
      </c>
      <c r="K67" s="119" t="n">
        <f aca="false">SUMIFS(tabela_registros[VALOR],tabela_registros[MÊS],$AE$1,tabela_registros[DIA],jantotal[[#Headers],[7]],tabela_registros[REGISTRO],DADOS!$N$4,tabela_registros[TIPO],DADOS!$P$4,tabela_registros[CATEGORIA],despesavariávelconsolidado[[#This Row],[DESPESA VARIÁVEL]])</f>
        <v>0</v>
      </c>
      <c r="L67" s="119" t="n">
        <f aca="false">SUMIFS(tabela_registros[VALOR],tabela_registros[MÊS],$AE$1,tabela_registros[DIA],jantotal[[#Headers],[8]],tabela_registros[REGISTRO],DADOS!$N$4,tabela_registros[TIPO],DADOS!$P$4,tabela_registros[CATEGORIA],despesavariávelconsolidado[[#This Row],[DESPESA VARIÁVEL]])</f>
        <v>0</v>
      </c>
      <c r="M67" s="119" t="n">
        <f aca="false">SUMIFS(tabela_registros[VALOR],tabela_registros[MÊS],$AE$1,tabela_registros[DIA],jantotal[[#Headers],[9]],tabela_registros[REGISTRO],DADOS!$N$4,tabela_registros[TIPO],DADOS!$P$4,tabela_registros[CATEGORIA],despesavariávelconsolidado[[#This Row],[DESPESA VARIÁVEL]])</f>
        <v>0</v>
      </c>
      <c r="N67" s="119" t="n">
        <f aca="false">SUMIFS(tabela_registros[VALOR],tabela_registros[MÊS],$AE$1,tabela_registros[DIA],jantotal[[#Headers],[10]],tabela_registros[REGISTRO],DADOS!$N$4,tabela_registros[TIPO],DADOS!$P$4,tabela_registros[CATEGORIA],despesavariávelconsolidado[[#This Row],[DESPESA VARIÁVEL]])</f>
        <v>0</v>
      </c>
      <c r="O67" s="119" t="n">
        <f aca="false">SUMIFS(tabela_registros[VALOR],tabela_registros[MÊS],$AE$1,tabela_registros[DIA],jantotal[[#Headers],[11]],tabela_registros[REGISTRO],DADOS!$N$4,tabela_registros[TIPO],DADOS!$P$4,tabela_registros[CATEGORIA],despesavariávelconsolidado[[#This Row],[DESPESA VARIÁVEL]])</f>
        <v>0</v>
      </c>
      <c r="P67" s="119" t="n">
        <f aca="false">SUMIFS(tabela_registros[VALOR],tabela_registros[MÊS],$AE$1,tabela_registros[DIA],jantotal[[#Headers],[12]],tabela_registros[REGISTRO],DADOS!$N$4,tabela_registros[TIPO],DADOS!$P$4,tabela_registros[CATEGORIA],despesavariávelconsolidado[[#This Row],[DESPESA VARIÁVEL]])</f>
        <v>0</v>
      </c>
      <c r="Q67" s="119" t="n">
        <f aca="false">SUMIFS(tabela_registros[VALOR],tabela_registros[MÊS],$AE$1,tabela_registros[DIA],jantotal[[#Headers],[13]],tabela_registros[REGISTRO],DADOS!$N$4,tabela_registros[TIPO],DADOS!$P$4,tabela_registros[CATEGORIA],despesavariávelconsolidado[[#This Row],[DESPESA VARIÁVEL]])</f>
        <v>0</v>
      </c>
      <c r="R67" s="119" t="n">
        <f aca="false">SUMIFS(tabela_registros[VALOR],tabela_registros[MÊS],$AE$1,tabela_registros[DIA],jantotal[[#Headers],[14]],tabela_registros[REGISTRO],DADOS!$N$4,tabela_registros[TIPO],DADOS!$P$4,tabela_registros[CATEGORIA],despesavariávelconsolidado[[#This Row],[DESPESA VARIÁVEL]])</f>
        <v>0</v>
      </c>
      <c r="S67" s="119" t="n">
        <f aca="false">SUMIFS(tabela_registros[VALOR],tabela_registros[MÊS],$AE$1,tabela_registros[DIA],jantotal[[#Headers],[15]],tabela_registros[REGISTRO],DADOS!$N$4,tabela_registros[TIPO],DADOS!$P$4,tabela_registros[CATEGORIA],despesavariávelconsolidado[[#This Row],[DESPESA VARIÁVEL]])</f>
        <v>0</v>
      </c>
      <c r="T67" s="119" t="n">
        <f aca="false">SUMIFS(tabela_registros[VALOR],tabela_registros[MÊS],$AE$1,tabela_registros[DIA],jantotal[[#Headers],[16]],tabela_registros[REGISTRO],DADOS!$N$4,tabela_registros[TIPO],DADOS!$P$4,tabela_registros[CATEGORIA],despesavariávelconsolidado[[#This Row],[DESPESA VARIÁVEL]])</f>
        <v>0</v>
      </c>
      <c r="U67" s="119" t="n">
        <f aca="false">SUMIFS(tabela_registros[VALOR],tabela_registros[MÊS],$AE$1,tabela_registros[DIA],jantotal[[#Headers],[17]],tabela_registros[REGISTRO],DADOS!$N$4,tabela_registros[TIPO],DADOS!$P$4,tabela_registros[CATEGORIA],despesavariávelconsolidado[[#This Row],[DESPESA VARIÁVEL]])</f>
        <v>0</v>
      </c>
      <c r="V67" s="119" t="n">
        <f aca="false">SUMIFS(tabela_registros[VALOR],tabela_registros[MÊS],$AE$1,tabela_registros[DIA],jantotal[[#Headers],[18]],tabela_registros[REGISTRO],DADOS!$N$4,tabela_registros[TIPO],DADOS!$P$4,tabela_registros[CATEGORIA],despesavariávelconsolidado[[#This Row],[DESPESA VARIÁVEL]])</f>
        <v>0</v>
      </c>
      <c r="W67" s="119" t="n">
        <f aca="false">SUMIFS(tabela_registros[VALOR],tabela_registros[MÊS],$AE$1,tabela_registros[DIA],jantotal[[#Headers],[19]],tabela_registros[REGISTRO],DADOS!$N$4,tabela_registros[TIPO],DADOS!$P$4,tabela_registros[CATEGORIA],despesavariávelconsolidado[[#This Row],[DESPESA VARIÁVEL]])</f>
        <v>0</v>
      </c>
      <c r="X67" s="119" t="n">
        <f aca="false">SUMIFS(tabela_registros[VALOR],tabela_registros[MÊS],$AE$1,tabela_registros[DIA],jantotal[[#Headers],[20]],tabela_registros[REGISTRO],DADOS!$N$4,tabela_registros[TIPO],DADOS!$P$4,tabela_registros[CATEGORIA],despesavariávelconsolidado[[#This Row],[DESPESA VARIÁVEL]])</f>
        <v>0</v>
      </c>
      <c r="Y67" s="119" t="n">
        <f aca="false">SUMIFS(tabela_registros[VALOR],tabela_registros[MÊS],$AE$1,tabela_registros[DIA],jantotal[[#Headers],[21]],tabela_registros[REGISTRO],DADOS!$N$4,tabela_registros[TIPO],DADOS!$P$4,tabela_registros[CATEGORIA],despesavariávelconsolidado[[#This Row],[DESPESA VARIÁVEL]])</f>
        <v>0</v>
      </c>
      <c r="Z67" s="119" t="n">
        <f aca="false">SUMIFS(tabela_registros[VALOR],tabela_registros[MÊS],$AE$1,tabela_registros[DIA],jantotal[[#Headers],[22]],tabela_registros[REGISTRO],DADOS!$N$4,tabela_registros[TIPO],DADOS!$P$4,tabela_registros[CATEGORIA],despesavariávelconsolidado[[#This Row],[DESPESA VARIÁVEL]])</f>
        <v>0</v>
      </c>
      <c r="AA67" s="119" t="n">
        <f aca="false">SUMIFS(tabela_registros[VALOR],tabela_registros[MÊS],$AE$1,tabela_registros[DIA],jantotal[[#Headers],[23]],tabela_registros[REGISTRO],DADOS!$N$4,tabela_registros[TIPO],DADOS!$P$4,tabela_registros[CATEGORIA],despesavariávelconsolidado[[#This Row],[DESPESA VARIÁVEL]])</f>
        <v>0</v>
      </c>
      <c r="AB67" s="119" t="n">
        <f aca="false">SUMIFS(tabela_registros[VALOR],tabela_registros[MÊS],$AE$1,tabela_registros[DIA],jantotal[[#Headers],[24]],tabela_registros[REGISTRO],DADOS!$N$4,tabela_registros[TIPO],DADOS!$P$4,tabela_registros[CATEGORIA],despesavariávelconsolidado[[#This Row],[DESPESA VARIÁVEL]])</f>
        <v>0</v>
      </c>
      <c r="AC67" s="119" t="n">
        <f aca="false">SUMIFS(tabela_registros[VALOR],tabela_registros[MÊS],$AE$1,tabela_registros[DIA],jantotal[[#Headers],[25]],tabela_registros[REGISTRO],DADOS!$N$4,tabela_registros[TIPO],DADOS!$P$4,tabela_registros[CATEGORIA],despesavariávelconsolidado[[#This Row],[DESPESA VARIÁVEL]])</f>
        <v>0</v>
      </c>
      <c r="AD67" s="119" t="n">
        <f aca="false">SUMIFS(tabela_registros[VALOR],tabela_registros[MÊS],$AE$1,tabela_registros[DIA],jantotal[[#Headers],[26]],tabela_registros[REGISTRO],DADOS!$N$4,tabela_registros[TIPO],DADOS!$P$4,tabela_registros[CATEGORIA],despesavariávelconsolidado[[#This Row],[DESPESA VARIÁVEL]])</f>
        <v>0</v>
      </c>
      <c r="AE67" s="119" t="n">
        <f aca="false">SUMIFS(tabela_registros[VALOR],tabela_registros[MÊS],$AE$1,tabela_registros[DIA],jantotal[[#Headers],[27]],tabela_registros[REGISTRO],DADOS!$N$4,tabela_registros[TIPO],DADOS!$P$4,tabela_registros[CATEGORIA],despesavariávelconsolidado[[#This Row],[DESPESA VARIÁVEL]])</f>
        <v>0</v>
      </c>
      <c r="AF67" s="119" t="n">
        <f aca="false">SUMIFS(tabela_registros[VALOR],tabela_registros[MÊS],$AE$1,tabela_registros[DIA],jantotal[[#Headers],[28]],tabela_registros[REGISTRO],DADOS!$N$4,tabela_registros[TIPO],DADOS!$P$4,tabela_registros[CATEGORIA],despesavariávelconsolidado[[#This Row],[DESPESA VARIÁVEL]])</f>
        <v>0</v>
      </c>
      <c r="AG67" s="119" t="n">
        <f aca="false">SUMIFS(tabela_registros[VALOR],tabela_registros[MÊS],$AE$1,tabela_registros[DIA],jantotal[[#Headers],[29]],tabela_registros[REGISTRO],DADOS!$N$4,tabela_registros[TIPO],DADOS!$P$4,tabela_registros[CATEGORIA],despesavariávelconsolidado[[#This Row],[DESPESA VARIÁVEL]])</f>
        <v>0</v>
      </c>
      <c r="AH67" s="119" t="n">
        <f aca="false">SUMIFS(tabela_registros[VALOR],tabela_registros[MÊS],$AE$1,tabela_registros[DIA],jantotal[[#Headers],[30]],tabela_registros[REGISTRO],DADOS!$N$4,tabela_registros[TIPO],DADOS!$P$4,tabela_registros[CATEGORIA],despesavariávelconsolidado[[#This Row],[DESPESA VARIÁVEL]])</f>
        <v>0</v>
      </c>
      <c r="AI67" s="217" t="n">
        <f aca="false">SUMIFS(tabela_registros[VALOR],tabela_registros[MÊS],$AE$1,tabela_registros[DIA],jantotal[[#Headers],[31]],tabela_registros[REGISTRO],DADOS!$N$4,tabela_registros[TIPO],DADOS!$P$4,tabela_registros[CATEGORIA],despesavariávelconsolidado[[#This Row],[DESPESA VARIÁVEL]])</f>
        <v>0</v>
      </c>
      <c r="AJ67" s="149" t="n">
        <f aca="false">SUM(despesavariávelconsolidado[[#This Row],[1]:[31]])</f>
        <v>0</v>
      </c>
      <c r="AK67" s="213"/>
      <c r="AL67" s="189"/>
    </row>
    <row r="68" customFormat="false" ht="18" hidden="false" customHeight="true" outlineLevel="0" collapsed="false">
      <c r="A68" s="189"/>
      <c r="B68" s="213"/>
      <c r="C68" s="214" t="str">
        <f aca="false">DADOS!$T$11</f>
        <v>🎁 PRESENTES</v>
      </c>
      <c r="D68" s="215" t="str">
        <f aca="false">IF(despesavariávelconsolidado[[#This Row],[TOTAL]]=0,"",IF(OR(despesavariávelconsolidado[[#This Row],[TOTAL]]=LARGE($AJ$60:$AJ$72,1),despesavariávelconsolidado[[#This Row],[TOTAL]]=LARGE($AJ$60:$AJ$72,2),despesavariávelconsolidado[[#This Row],[TOTAL]]=LARGE($AJ$60:$AJ$72,3),despesavariávelconsolidado[[#This Row],[TOTAL]]=LARGE($AJ$60:$AJ$72,4),despesavariávelconsolidado[[#This Row],[TOTAL]]=LARGE($AJ$60:$AJ$72,5)),DADOS!$I$8,""))</f>
        <v/>
      </c>
      <c r="E68" s="148" t="n">
        <f aca="false">SUMIFS(tabela_registros[VALOR],tabela_registros[MÊS],$AE$1,tabela_registros[DIA],jantotal[[#Headers],[1]],tabela_registros[REGISTRO],DADOS!$N$4,tabela_registros[TIPO],DADOS!$P$4,tabela_registros[CATEGORIA],despesavariávelconsolidado[[#This Row],[DESPESA VARIÁVEL]])</f>
        <v>0</v>
      </c>
      <c r="F68" s="119" t="n">
        <f aca="false">SUMIFS(tabela_registros[VALOR],tabela_registros[MÊS],$AE$1,tabela_registros[DIA],jantotal[[#Headers],[2]],tabela_registros[REGISTRO],DADOS!$N$4,tabela_registros[TIPO],DADOS!$P$4,tabela_registros[CATEGORIA],despesavariávelconsolidado[[#This Row],[DESPESA VARIÁVEL]])</f>
        <v>0</v>
      </c>
      <c r="G68" s="119" t="n">
        <f aca="false">SUMIFS(tabela_registros[VALOR],tabela_registros[MÊS],$AE$1,tabela_registros[DIA],jantotal[[#Headers],[3]],tabela_registros[REGISTRO],DADOS!$N$4,tabela_registros[TIPO],DADOS!$P$4,tabela_registros[CATEGORIA],despesavariávelconsolidado[[#This Row],[DESPESA VARIÁVEL]])</f>
        <v>0</v>
      </c>
      <c r="H68" s="119" t="n">
        <f aca="false">SUMIFS(tabela_registros[VALOR],tabela_registros[MÊS],$AE$1,tabela_registros[DIA],jantotal[[#Headers],[4]],tabela_registros[REGISTRO],DADOS!$N$4,tabela_registros[TIPO],DADOS!$P$4,tabela_registros[CATEGORIA],despesavariávelconsolidado[[#This Row],[DESPESA VARIÁVEL]])</f>
        <v>0</v>
      </c>
      <c r="I68" s="119" t="n">
        <f aca="false">SUMIFS(tabela_registros[VALOR],tabela_registros[MÊS],$AE$1,tabela_registros[DIA],jantotal[[#Headers],[5]],tabela_registros[REGISTRO],DADOS!$N$4,tabela_registros[TIPO],DADOS!$P$4,tabela_registros[CATEGORIA],despesavariávelconsolidado[[#This Row],[DESPESA VARIÁVEL]])</f>
        <v>0</v>
      </c>
      <c r="J68" s="119" t="n">
        <f aca="false">SUMIFS(tabela_registros[VALOR],tabela_registros[MÊS],$AE$1,tabela_registros[DIA],jantotal[[#Headers],[6]],tabela_registros[REGISTRO],DADOS!$N$4,tabela_registros[TIPO],DADOS!$P$4,tabela_registros[CATEGORIA],despesavariávelconsolidado[[#This Row],[DESPESA VARIÁVEL]])</f>
        <v>0</v>
      </c>
      <c r="K68" s="119" t="n">
        <f aca="false">SUMIFS(tabela_registros[VALOR],tabela_registros[MÊS],$AE$1,tabela_registros[DIA],jantotal[[#Headers],[7]],tabela_registros[REGISTRO],DADOS!$N$4,tabela_registros[TIPO],DADOS!$P$4,tabela_registros[CATEGORIA],despesavariávelconsolidado[[#This Row],[DESPESA VARIÁVEL]])</f>
        <v>0</v>
      </c>
      <c r="L68" s="119" t="n">
        <f aca="false">SUMIFS(tabela_registros[VALOR],tabela_registros[MÊS],$AE$1,tabela_registros[DIA],jantotal[[#Headers],[8]],tabela_registros[REGISTRO],DADOS!$N$4,tabela_registros[TIPO],DADOS!$P$4,tabela_registros[CATEGORIA],despesavariávelconsolidado[[#This Row],[DESPESA VARIÁVEL]])</f>
        <v>0</v>
      </c>
      <c r="M68" s="119" t="n">
        <f aca="false">SUMIFS(tabela_registros[VALOR],tabela_registros[MÊS],$AE$1,tabela_registros[DIA],jantotal[[#Headers],[9]],tabela_registros[REGISTRO],DADOS!$N$4,tabela_registros[TIPO],DADOS!$P$4,tabela_registros[CATEGORIA],despesavariávelconsolidado[[#This Row],[DESPESA VARIÁVEL]])</f>
        <v>0</v>
      </c>
      <c r="N68" s="119" t="n">
        <f aca="false">SUMIFS(tabela_registros[VALOR],tabela_registros[MÊS],$AE$1,tabela_registros[DIA],jantotal[[#Headers],[10]],tabela_registros[REGISTRO],DADOS!$N$4,tabela_registros[TIPO],DADOS!$P$4,tabela_registros[CATEGORIA],despesavariávelconsolidado[[#This Row],[DESPESA VARIÁVEL]])</f>
        <v>0</v>
      </c>
      <c r="O68" s="119" t="n">
        <f aca="false">SUMIFS(tabela_registros[VALOR],tabela_registros[MÊS],$AE$1,tabela_registros[DIA],jantotal[[#Headers],[11]],tabela_registros[REGISTRO],DADOS!$N$4,tabela_registros[TIPO],DADOS!$P$4,tabela_registros[CATEGORIA],despesavariávelconsolidado[[#This Row],[DESPESA VARIÁVEL]])</f>
        <v>0</v>
      </c>
      <c r="P68" s="119" t="n">
        <f aca="false">SUMIFS(tabela_registros[VALOR],tabela_registros[MÊS],$AE$1,tabela_registros[DIA],jantotal[[#Headers],[12]],tabela_registros[REGISTRO],DADOS!$N$4,tabela_registros[TIPO],DADOS!$P$4,tabela_registros[CATEGORIA],despesavariávelconsolidado[[#This Row],[DESPESA VARIÁVEL]])</f>
        <v>0</v>
      </c>
      <c r="Q68" s="119" t="n">
        <f aca="false">SUMIFS(tabela_registros[VALOR],tabela_registros[MÊS],$AE$1,tabela_registros[DIA],jantotal[[#Headers],[13]],tabela_registros[REGISTRO],DADOS!$N$4,tabela_registros[TIPO],DADOS!$P$4,tabela_registros[CATEGORIA],despesavariávelconsolidado[[#This Row],[DESPESA VARIÁVEL]])</f>
        <v>0</v>
      </c>
      <c r="R68" s="119" t="n">
        <f aca="false">SUMIFS(tabela_registros[VALOR],tabela_registros[MÊS],$AE$1,tabela_registros[DIA],jantotal[[#Headers],[14]],tabela_registros[REGISTRO],DADOS!$N$4,tabela_registros[TIPO],DADOS!$P$4,tabela_registros[CATEGORIA],despesavariávelconsolidado[[#This Row],[DESPESA VARIÁVEL]])</f>
        <v>0</v>
      </c>
      <c r="S68" s="119" t="n">
        <f aca="false">SUMIFS(tabela_registros[VALOR],tabela_registros[MÊS],$AE$1,tabela_registros[DIA],jantotal[[#Headers],[15]],tabela_registros[REGISTRO],DADOS!$N$4,tabela_registros[TIPO],DADOS!$P$4,tabela_registros[CATEGORIA],despesavariávelconsolidado[[#This Row],[DESPESA VARIÁVEL]])</f>
        <v>0</v>
      </c>
      <c r="T68" s="119" t="n">
        <f aca="false">SUMIFS(tabela_registros[VALOR],tabela_registros[MÊS],$AE$1,tabela_registros[DIA],jantotal[[#Headers],[16]],tabela_registros[REGISTRO],DADOS!$N$4,tabela_registros[TIPO],DADOS!$P$4,tabela_registros[CATEGORIA],despesavariávelconsolidado[[#This Row],[DESPESA VARIÁVEL]])</f>
        <v>0</v>
      </c>
      <c r="U68" s="119" t="n">
        <f aca="false">SUMIFS(tabela_registros[VALOR],tabela_registros[MÊS],$AE$1,tabela_registros[DIA],jantotal[[#Headers],[17]],tabela_registros[REGISTRO],DADOS!$N$4,tabela_registros[TIPO],DADOS!$P$4,tabela_registros[CATEGORIA],despesavariávelconsolidado[[#This Row],[DESPESA VARIÁVEL]])</f>
        <v>0</v>
      </c>
      <c r="V68" s="119" t="n">
        <f aca="false">SUMIFS(tabela_registros[VALOR],tabela_registros[MÊS],$AE$1,tabela_registros[DIA],jantotal[[#Headers],[18]],tabela_registros[REGISTRO],DADOS!$N$4,tabela_registros[TIPO],DADOS!$P$4,tabela_registros[CATEGORIA],despesavariávelconsolidado[[#This Row],[DESPESA VARIÁVEL]])</f>
        <v>0</v>
      </c>
      <c r="W68" s="119" t="n">
        <f aca="false">SUMIFS(tabela_registros[VALOR],tabela_registros[MÊS],$AE$1,tabela_registros[DIA],jantotal[[#Headers],[19]],tabela_registros[REGISTRO],DADOS!$N$4,tabela_registros[TIPO],DADOS!$P$4,tabela_registros[CATEGORIA],despesavariávelconsolidado[[#This Row],[DESPESA VARIÁVEL]])</f>
        <v>0</v>
      </c>
      <c r="X68" s="119" t="n">
        <f aca="false">SUMIFS(tabela_registros[VALOR],tabela_registros[MÊS],$AE$1,tabela_registros[DIA],jantotal[[#Headers],[20]],tabela_registros[REGISTRO],DADOS!$N$4,tabela_registros[TIPO],DADOS!$P$4,tabela_registros[CATEGORIA],despesavariávelconsolidado[[#This Row],[DESPESA VARIÁVEL]])</f>
        <v>0</v>
      </c>
      <c r="Y68" s="119" t="n">
        <f aca="false">SUMIFS(tabela_registros[VALOR],tabela_registros[MÊS],$AE$1,tabela_registros[DIA],jantotal[[#Headers],[21]],tabela_registros[REGISTRO],DADOS!$N$4,tabela_registros[TIPO],DADOS!$P$4,tabela_registros[CATEGORIA],despesavariávelconsolidado[[#This Row],[DESPESA VARIÁVEL]])</f>
        <v>0</v>
      </c>
      <c r="Z68" s="119" t="n">
        <f aca="false">SUMIFS(tabela_registros[VALOR],tabela_registros[MÊS],$AE$1,tabela_registros[DIA],jantotal[[#Headers],[22]],tabela_registros[REGISTRO],DADOS!$N$4,tabela_registros[TIPO],DADOS!$P$4,tabela_registros[CATEGORIA],despesavariávelconsolidado[[#This Row],[DESPESA VARIÁVEL]])</f>
        <v>0</v>
      </c>
      <c r="AA68" s="119" t="n">
        <f aca="false">SUMIFS(tabela_registros[VALOR],tabela_registros[MÊS],$AE$1,tabela_registros[DIA],jantotal[[#Headers],[23]],tabela_registros[REGISTRO],DADOS!$N$4,tabela_registros[TIPO],DADOS!$P$4,tabela_registros[CATEGORIA],despesavariávelconsolidado[[#This Row],[DESPESA VARIÁVEL]])</f>
        <v>0</v>
      </c>
      <c r="AB68" s="119" t="n">
        <f aca="false">SUMIFS(tabela_registros[VALOR],tabela_registros[MÊS],$AE$1,tabela_registros[DIA],jantotal[[#Headers],[24]],tabela_registros[REGISTRO],DADOS!$N$4,tabela_registros[TIPO],DADOS!$P$4,tabela_registros[CATEGORIA],despesavariávelconsolidado[[#This Row],[DESPESA VARIÁVEL]])</f>
        <v>0</v>
      </c>
      <c r="AC68" s="119" t="n">
        <f aca="false">SUMIFS(tabela_registros[VALOR],tabela_registros[MÊS],$AE$1,tabela_registros[DIA],jantotal[[#Headers],[25]],tabela_registros[REGISTRO],DADOS!$N$4,tabela_registros[TIPO],DADOS!$P$4,tabela_registros[CATEGORIA],despesavariávelconsolidado[[#This Row],[DESPESA VARIÁVEL]])</f>
        <v>0</v>
      </c>
      <c r="AD68" s="119" t="n">
        <f aca="false">SUMIFS(tabela_registros[VALOR],tabela_registros[MÊS],$AE$1,tabela_registros[DIA],jantotal[[#Headers],[26]],tabela_registros[REGISTRO],DADOS!$N$4,tabela_registros[TIPO],DADOS!$P$4,tabela_registros[CATEGORIA],despesavariávelconsolidado[[#This Row],[DESPESA VARIÁVEL]])</f>
        <v>0</v>
      </c>
      <c r="AE68" s="119" t="n">
        <f aca="false">SUMIFS(tabela_registros[VALOR],tabela_registros[MÊS],$AE$1,tabela_registros[DIA],jantotal[[#Headers],[27]],tabela_registros[REGISTRO],DADOS!$N$4,tabela_registros[TIPO],DADOS!$P$4,tabela_registros[CATEGORIA],despesavariávelconsolidado[[#This Row],[DESPESA VARIÁVEL]])</f>
        <v>0</v>
      </c>
      <c r="AF68" s="119" t="n">
        <f aca="false">SUMIFS(tabela_registros[VALOR],tabela_registros[MÊS],$AE$1,tabela_registros[DIA],jantotal[[#Headers],[28]],tabela_registros[REGISTRO],DADOS!$N$4,tabela_registros[TIPO],DADOS!$P$4,tabela_registros[CATEGORIA],despesavariávelconsolidado[[#This Row],[DESPESA VARIÁVEL]])</f>
        <v>0</v>
      </c>
      <c r="AG68" s="119" t="n">
        <f aca="false">SUMIFS(tabela_registros[VALOR],tabela_registros[MÊS],$AE$1,tabela_registros[DIA],jantotal[[#Headers],[29]],tabela_registros[REGISTRO],DADOS!$N$4,tabela_registros[TIPO],DADOS!$P$4,tabela_registros[CATEGORIA],despesavariávelconsolidado[[#This Row],[DESPESA VARIÁVEL]])</f>
        <v>0</v>
      </c>
      <c r="AH68" s="119" t="n">
        <f aca="false">SUMIFS(tabela_registros[VALOR],tabela_registros[MÊS],$AE$1,tabela_registros[DIA],jantotal[[#Headers],[30]],tabela_registros[REGISTRO],DADOS!$N$4,tabela_registros[TIPO],DADOS!$P$4,tabela_registros[CATEGORIA],despesavariávelconsolidado[[#This Row],[DESPESA VARIÁVEL]])</f>
        <v>0</v>
      </c>
      <c r="AI68" s="217" t="n">
        <f aca="false">SUMIFS(tabela_registros[VALOR],tabela_registros[MÊS],$AE$1,tabela_registros[DIA],jantotal[[#Headers],[31]],tabela_registros[REGISTRO],DADOS!$N$4,tabela_registros[TIPO],DADOS!$P$4,tabela_registros[CATEGORIA],despesavariávelconsolidado[[#This Row],[DESPESA VARIÁVEL]])</f>
        <v>0</v>
      </c>
      <c r="AJ68" s="149" t="n">
        <f aca="false">SUM(despesavariávelconsolidado[[#This Row],[1]:[31]])</f>
        <v>0</v>
      </c>
      <c r="AK68" s="213"/>
      <c r="AL68" s="189"/>
    </row>
    <row r="69" customFormat="false" ht="18" hidden="false" customHeight="true" outlineLevel="0" collapsed="false">
      <c r="A69" s="189"/>
      <c r="B69" s="213"/>
      <c r="C69" s="214" t="str">
        <f aca="false">DADOS!$T$12</f>
        <v>💊 SAÚDE</v>
      </c>
      <c r="D69" s="215" t="str">
        <f aca="false">IF(despesavariávelconsolidado[[#This Row],[TOTAL]]=0,"",IF(OR(despesavariávelconsolidado[[#This Row],[TOTAL]]=LARGE($AJ$60:$AJ$72,1),despesavariávelconsolidado[[#This Row],[TOTAL]]=LARGE($AJ$60:$AJ$72,2),despesavariávelconsolidado[[#This Row],[TOTAL]]=LARGE($AJ$60:$AJ$72,3),despesavariávelconsolidado[[#This Row],[TOTAL]]=LARGE($AJ$60:$AJ$72,4),despesavariávelconsolidado[[#This Row],[TOTAL]]=LARGE($AJ$60:$AJ$72,5)),DADOS!$I$8,""))</f>
        <v/>
      </c>
      <c r="E69" s="148" t="n">
        <f aca="false">SUMIFS(tabela_registros[VALOR],tabela_registros[MÊS],$AE$1,tabela_registros[DIA],jantotal[[#Headers],[1]],tabela_registros[REGISTRO],DADOS!$N$4,tabela_registros[TIPO],DADOS!$P$4,tabela_registros[CATEGORIA],despesavariávelconsolidado[[#This Row],[DESPESA VARIÁVEL]])</f>
        <v>0</v>
      </c>
      <c r="F69" s="119" t="n">
        <f aca="false">SUMIFS(tabela_registros[VALOR],tabela_registros[MÊS],$AE$1,tabela_registros[DIA],jantotal[[#Headers],[2]],tabela_registros[REGISTRO],DADOS!$N$4,tabela_registros[TIPO],DADOS!$P$4,tabela_registros[CATEGORIA],despesavariávelconsolidado[[#This Row],[DESPESA VARIÁVEL]])</f>
        <v>0</v>
      </c>
      <c r="G69" s="119" t="n">
        <f aca="false">SUMIFS(tabela_registros[VALOR],tabela_registros[MÊS],$AE$1,tabela_registros[DIA],jantotal[[#Headers],[3]],tabela_registros[REGISTRO],DADOS!$N$4,tabela_registros[TIPO],DADOS!$P$4,tabela_registros[CATEGORIA],despesavariávelconsolidado[[#This Row],[DESPESA VARIÁVEL]])</f>
        <v>0</v>
      </c>
      <c r="H69" s="119" t="n">
        <f aca="false">SUMIFS(tabela_registros[VALOR],tabela_registros[MÊS],$AE$1,tabela_registros[DIA],jantotal[[#Headers],[4]],tabela_registros[REGISTRO],DADOS!$N$4,tabela_registros[TIPO],DADOS!$P$4,tabela_registros[CATEGORIA],despesavariávelconsolidado[[#This Row],[DESPESA VARIÁVEL]])</f>
        <v>0</v>
      </c>
      <c r="I69" s="119" t="n">
        <f aca="false">SUMIFS(tabela_registros[VALOR],tabela_registros[MÊS],$AE$1,tabela_registros[DIA],jantotal[[#Headers],[5]],tabela_registros[REGISTRO],DADOS!$N$4,tabela_registros[TIPO],DADOS!$P$4,tabela_registros[CATEGORIA],despesavariávelconsolidado[[#This Row],[DESPESA VARIÁVEL]])</f>
        <v>0</v>
      </c>
      <c r="J69" s="119" t="n">
        <f aca="false">SUMIFS(tabela_registros[VALOR],tabela_registros[MÊS],$AE$1,tabela_registros[DIA],jantotal[[#Headers],[6]],tabela_registros[REGISTRO],DADOS!$N$4,tabela_registros[TIPO],DADOS!$P$4,tabela_registros[CATEGORIA],despesavariávelconsolidado[[#This Row],[DESPESA VARIÁVEL]])</f>
        <v>0</v>
      </c>
      <c r="K69" s="119" t="n">
        <f aca="false">SUMIFS(tabela_registros[VALOR],tabela_registros[MÊS],$AE$1,tabela_registros[DIA],jantotal[[#Headers],[7]],tabela_registros[REGISTRO],DADOS!$N$4,tabela_registros[TIPO],DADOS!$P$4,tabela_registros[CATEGORIA],despesavariávelconsolidado[[#This Row],[DESPESA VARIÁVEL]])</f>
        <v>0</v>
      </c>
      <c r="L69" s="119" t="n">
        <f aca="false">SUMIFS(tabela_registros[VALOR],tabela_registros[MÊS],$AE$1,tabela_registros[DIA],jantotal[[#Headers],[8]],tabela_registros[REGISTRO],DADOS!$N$4,tabela_registros[TIPO],DADOS!$P$4,tabela_registros[CATEGORIA],despesavariávelconsolidado[[#This Row],[DESPESA VARIÁVEL]])</f>
        <v>0</v>
      </c>
      <c r="M69" s="119" t="n">
        <f aca="false">SUMIFS(tabela_registros[VALOR],tabela_registros[MÊS],$AE$1,tabela_registros[DIA],jantotal[[#Headers],[9]],tabela_registros[REGISTRO],DADOS!$N$4,tabela_registros[TIPO],DADOS!$P$4,tabela_registros[CATEGORIA],despesavariávelconsolidado[[#This Row],[DESPESA VARIÁVEL]])</f>
        <v>0</v>
      </c>
      <c r="N69" s="119" t="n">
        <f aca="false">SUMIFS(tabela_registros[VALOR],tabela_registros[MÊS],$AE$1,tabela_registros[DIA],jantotal[[#Headers],[10]],tabela_registros[REGISTRO],DADOS!$N$4,tabela_registros[TIPO],DADOS!$P$4,tabela_registros[CATEGORIA],despesavariávelconsolidado[[#This Row],[DESPESA VARIÁVEL]])</f>
        <v>0</v>
      </c>
      <c r="O69" s="119" t="n">
        <f aca="false">SUMIFS(tabela_registros[VALOR],tabela_registros[MÊS],$AE$1,tabela_registros[DIA],jantotal[[#Headers],[11]],tabela_registros[REGISTRO],DADOS!$N$4,tabela_registros[TIPO],DADOS!$P$4,tabela_registros[CATEGORIA],despesavariávelconsolidado[[#This Row],[DESPESA VARIÁVEL]])</f>
        <v>0</v>
      </c>
      <c r="P69" s="119" t="n">
        <f aca="false">SUMIFS(tabela_registros[VALOR],tabela_registros[MÊS],$AE$1,tabela_registros[DIA],jantotal[[#Headers],[12]],tabela_registros[REGISTRO],DADOS!$N$4,tabela_registros[TIPO],DADOS!$P$4,tabela_registros[CATEGORIA],despesavariávelconsolidado[[#This Row],[DESPESA VARIÁVEL]])</f>
        <v>0</v>
      </c>
      <c r="Q69" s="119" t="n">
        <f aca="false">SUMIFS(tabela_registros[VALOR],tabela_registros[MÊS],$AE$1,tabela_registros[DIA],jantotal[[#Headers],[13]],tabela_registros[REGISTRO],DADOS!$N$4,tabela_registros[TIPO],DADOS!$P$4,tabela_registros[CATEGORIA],despesavariávelconsolidado[[#This Row],[DESPESA VARIÁVEL]])</f>
        <v>0</v>
      </c>
      <c r="R69" s="119" t="n">
        <f aca="false">SUMIFS(tabela_registros[VALOR],tabela_registros[MÊS],$AE$1,tabela_registros[DIA],jantotal[[#Headers],[14]],tabela_registros[REGISTRO],DADOS!$N$4,tabela_registros[TIPO],DADOS!$P$4,tabela_registros[CATEGORIA],despesavariávelconsolidado[[#This Row],[DESPESA VARIÁVEL]])</f>
        <v>0</v>
      </c>
      <c r="S69" s="119" t="n">
        <f aca="false">SUMIFS(tabela_registros[VALOR],tabela_registros[MÊS],$AE$1,tabela_registros[DIA],jantotal[[#Headers],[15]],tabela_registros[REGISTRO],DADOS!$N$4,tabela_registros[TIPO],DADOS!$P$4,tabela_registros[CATEGORIA],despesavariávelconsolidado[[#This Row],[DESPESA VARIÁVEL]])</f>
        <v>0</v>
      </c>
      <c r="T69" s="119" t="n">
        <f aca="false">SUMIFS(tabela_registros[VALOR],tabela_registros[MÊS],$AE$1,tabela_registros[DIA],jantotal[[#Headers],[16]],tabela_registros[REGISTRO],DADOS!$N$4,tabela_registros[TIPO],DADOS!$P$4,tabela_registros[CATEGORIA],despesavariávelconsolidado[[#This Row],[DESPESA VARIÁVEL]])</f>
        <v>0</v>
      </c>
      <c r="U69" s="119" t="n">
        <f aca="false">SUMIFS(tabela_registros[VALOR],tabela_registros[MÊS],$AE$1,tabela_registros[DIA],jantotal[[#Headers],[17]],tabela_registros[REGISTRO],DADOS!$N$4,tabela_registros[TIPO],DADOS!$P$4,tabela_registros[CATEGORIA],despesavariávelconsolidado[[#This Row],[DESPESA VARIÁVEL]])</f>
        <v>0</v>
      </c>
      <c r="V69" s="119" t="n">
        <f aca="false">SUMIFS(tabela_registros[VALOR],tabela_registros[MÊS],$AE$1,tabela_registros[DIA],jantotal[[#Headers],[18]],tabela_registros[REGISTRO],DADOS!$N$4,tabela_registros[TIPO],DADOS!$P$4,tabela_registros[CATEGORIA],despesavariávelconsolidado[[#This Row],[DESPESA VARIÁVEL]])</f>
        <v>0</v>
      </c>
      <c r="W69" s="119" t="n">
        <f aca="false">SUMIFS(tabela_registros[VALOR],tabela_registros[MÊS],$AE$1,tabela_registros[DIA],jantotal[[#Headers],[19]],tabela_registros[REGISTRO],DADOS!$N$4,tabela_registros[TIPO],DADOS!$P$4,tabela_registros[CATEGORIA],despesavariávelconsolidado[[#This Row],[DESPESA VARIÁVEL]])</f>
        <v>0</v>
      </c>
      <c r="X69" s="119" t="n">
        <f aca="false">SUMIFS(tabela_registros[VALOR],tabela_registros[MÊS],$AE$1,tabela_registros[DIA],jantotal[[#Headers],[20]],tabela_registros[REGISTRO],DADOS!$N$4,tabela_registros[TIPO],DADOS!$P$4,tabela_registros[CATEGORIA],despesavariávelconsolidado[[#This Row],[DESPESA VARIÁVEL]])</f>
        <v>0</v>
      </c>
      <c r="Y69" s="119" t="n">
        <f aca="false">SUMIFS(tabela_registros[VALOR],tabela_registros[MÊS],$AE$1,tabela_registros[DIA],jantotal[[#Headers],[21]],tabela_registros[REGISTRO],DADOS!$N$4,tabela_registros[TIPO],DADOS!$P$4,tabela_registros[CATEGORIA],despesavariávelconsolidado[[#This Row],[DESPESA VARIÁVEL]])</f>
        <v>0</v>
      </c>
      <c r="Z69" s="119" t="n">
        <f aca="false">SUMIFS(tabela_registros[VALOR],tabela_registros[MÊS],$AE$1,tabela_registros[DIA],jantotal[[#Headers],[22]],tabela_registros[REGISTRO],DADOS!$N$4,tabela_registros[TIPO],DADOS!$P$4,tabela_registros[CATEGORIA],despesavariávelconsolidado[[#This Row],[DESPESA VARIÁVEL]])</f>
        <v>0</v>
      </c>
      <c r="AA69" s="119" t="n">
        <f aca="false">SUMIFS(tabela_registros[VALOR],tabela_registros[MÊS],$AE$1,tabela_registros[DIA],jantotal[[#Headers],[23]],tabela_registros[REGISTRO],DADOS!$N$4,tabela_registros[TIPO],DADOS!$P$4,tabela_registros[CATEGORIA],despesavariávelconsolidado[[#This Row],[DESPESA VARIÁVEL]])</f>
        <v>0</v>
      </c>
      <c r="AB69" s="119" t="n">
        <f aca="false">SUMIFS(tabela_registros[VALOR],tabela_registros[MÊS],$AE$1,tabela_registros[DIA],jantotal[[#Headers],[24]],tabela_registros[REGISTRO],DADOS!$N$4,tabela_registros[TIPO],DADOS!$P$4,tabela_registros[CATEGORIA],despesavariávelconsolidado[[#This Row],[DESPESA VARIÁVEL]])</f>
        <v>0</v>
      </c>
      <c r="AC69" s="119" t="n">
        <f aca="false">SUMIFS(tabela_registros[VALOR],tabela_registros[MÊS],$AE$1,tabela_registros[DIA],jantotal[[#Headers],[25]],tabela_registros[REGISTRO],DADOS!$N$4,tabela_registros[TIPO],DADOS!$P$4,tabela_registros[CATEGORIA],despesavariávelconsolidado[[#This Row],[DESPESA VARIÁVEL]])</f>
        <v>0</v>
      </c>
      <c r="AD69" s="119" t="n">
        <f aca="false">SUMIFS(tabela_registros[VALOR],tabela_registros[MÊS],$AE$1,tabela_registros[DIA],jantotal[[#Headers],[26]],tabela_registros[REGISTRO],DADOS!$N$4,tabela_registros[TIPO],DADOS!$P$4,tabela_registros[CATEGORIA],despesavariávelconsolidado[[#This Row],[DESPESA VARIÁVEL]])</f>
        <v>0</v>
      </c>
      <c r="AE69" s="119" t="n">
        <f aca="false">SUMIFS(tabela_registros[VALOR],tabela_registros[MÊS],$AE$1,tabela_registros[DIA],jantotal[[#Headers],[27]],tabela_registros[REGISTRO],DADOS!$N$4,tabela_registros[TIPO],DADOS!$P$4,tabela_registros[CATEGORIA],despesavariávelconsolidado[[#This Row],[DESPESA VARIÁVEL]])</f>
        <v>0</v>
      </c>
      <c r="AF69" s="119" t="n">
        <f aca="false">SUMIFS(tabela_registros[VALOR],tabela_registros[MÊS],$AE$1,tabela_registros[DIA],jantotal[[#Headers],[28]],tabela_registros[REGISTRO],DADOS!$N$4,tabela_registros[TIPO],DADOS!$P$4,tabela_registros[CATEGORIA],despesavariávelconsolidado[[#This Row],[DESPESA VARIÁVEL]])</f>
        <v>0</v>
      </c>
      <c r="AG69" s="119" t="n">
        <f aca="false">SUMIFS(tabela_registros[VALOR],tabela_registros[MÊS],$AE$1,tabela_registros[DIA],jantotal[[#Headers],[29]],tabela_registros[REGISTRO],DADOS!$N$4,tabela_registros[TIPO],DADOS!$P$4,tabela_registros[CATEGORIA],despesavariávelconsolidado[[#This Row],[DESPESA VARIÁVEL]])</f>
        <v>0</v>
      </c>
      <c r="AH69" s="119" t="n">
        <f aca="false">SUMIFS(tabela_registros[VALOR],tabela_registros[MÊS],$AE$1,tabela_registros[DIA],jantotal[[#Headers],[30]],tabela_registros[REGISTRO],DADOS!$N$4,tabela_registros[TIPO],DADOS!$P$4,tabela_registros[CATEGORIA],despesavariávelconsolidado[[#This Row],[DESPESA VARIÁVEL]])</f>
        <v>0</v>
      </c>
      <c r="AI69" s="217" t="n">
        <f aca="false">SUMIFS(tabela_registros[VALOR],tabela_registros[MÊS],$AE$1,tabela_registros[DIA],jantotal[[#Headers],[31]],tabela_registros[REGISTRO],DADOS!$N$4,tabela_registros[TIPO],DADOS!$P$4,tabela_registros[CATEGORIA],despesavariávelconsolidado[[#This Row],[DESPESA VARIÁVEL]])</f>
        <v>0</v>
      </c>
      <c r="AJ69" s="149" t="n">
        <f aca="false">SUM(despesavariávelconsolidado[[#This Row],[1]:[31]])</f>
        <v>0</v>
      </c>
      <c r="AK69" s="213"/>
      <c r="AL69" s="189"/>
    </row>
    <row r="70" customFormat="false" ht="18" hidden="false" customHeight="true" outlineLevel="0" collapsed="false">
      <c r="A70" s="189"/>
      <c r="B70" s="213"/>
      <c r="C70" s="214" t="str">
        <f aca="false">DADOS!$T$13</f>
        <v>🚍 TRANSPORTE</v>
      </c>
      <c r="D70" s="215" t="str">
        <f aca="false">IF(despesavariávelconsolidado[[#This Row],[TOTAL]]=0,"",IF(OR(despesavariávelconsolidado[[#This Row],[TOTAL]]=LARGE($AJ$60:$AJ$72,1),despesavariávelconsolidado[[#This Row],[TOTAL]]=LARGE($AJ$60:$AJ$72,2),despesavariávelconsolidado[[#This Row],[TOTAL]]=LARGE($AJ$60:$AJ$72,3),despesavariávelconsolidado[[#This Row],[TOTAL]]=LARGE($AJ$60:$AJ$72,4),despesavariávelconsolidado[[#This Row],[TOTAL]]=LARGE($AJ$60:$AJ$72,5)),DADOS!$I$8,""))</f>
        <v/>
      </c>
      <c r="E70" s="148" t="n">
        <f aca="false">SUMIFS(tabela_registros[VALOR],tabela_registros[MÊS],$AE$1,tabela_registros[DIA],jantotal[[#Headers],[1]],tabela_registros[REGISTRO],DADOS!$N$4,tabela_registros[TIPO],DADOS!$P$4,tabela_registros[CATEGORIA],despesavariávelconsolidado[[#This Row],[DESPESA VARIÁVEL]])</f>
        <v>0</v>
      </c>
      <c r="F70" s="119" t="n">
        <f aca="false">SUMIFS(tabela_registros[VALOR],tabela_registros[MÊS],$AE$1,tabela_registros[DIA],jantotal[[#Headers],[2]],tabela_registros[REGISTRO],DADOS!$N$4,tabela_registros[TIPO],DADOS!$P$4,tabela_registros[CATEGORIA],despesavariávelconsolidado[[#This Row],[DESPESA VARIÁVEL]])</f>
        <v>0</v>
      </c>
      <c r="G70" s="119" t="n">
        <f aca="false">SUMIFS(tabela_registros[VALOR],tabela_registros[MÊS],$AE$1,tabela_registros[DIA],jantotal[[#Headers],[3]],tabela_registros[REGISTRO],DADOS!$N$4,tabela_registros[TIPO],DADOS!$P$4,tabela_registros[CATEGORIA],despesavariávelconsolidado[[#This Row],[DESPESA VARIÁVEL]])</f>
        <v>0</v>
      </c>
      <c r="H70" s="119" t="n">
        <f aca="false">SUMIFS(tabela_registros[VALOR],tabela_registros[MÊS],$AE$1,tabela_registros[DIA],jantotal[[#Headers],[4]],tabela_registros[REGISTRO],DADOS!$N$4,tabela_registros[TIPO],DADOS!$P$4,tabela_registros[CATEGORIA],despesavariávelconsolidado[[#This Row],[DESPESA VARIÁVEL]])</f>
        <v>0</v>
      </c>
      <c r="I70" s="119" t="n">
        <f aca="false">SUMIFS(tabela_registros[VALOR],tabela_registros[MÊS],$AE$1,tabela_registros[DIA],jantotal[[#Headers],[5]],tabela_registros[REGISTRO],DADOS!$N$4,tabela_registros[TIPO],DADOS!$P$4,tabela_registros[CATEGORIA],despesavariávelconsolidado[[#This Row],[DESPESA VARIÁVEL]])</f>
        <v>0</v>
      </c>
      <c r="J70" s="119" t="n">
        <f aca="false">SUMIFS(tabela_registros[VALOR],tabela_registros[MÊS],$AE$1,tabela_registros[DIA],jantotal[[#Headers],[6]],tabela_registros[REGISTRO],DADOS!$N$4,tabela_registros[TIPO],DADOS!$P$4,tabela_registros[CATEGORIA],despesavariávelconsolidado[[#This Row],[DESPESA VARIÁVEL]])</f>
        <v>0</v>
      </c>
      <c r="K70" s="119" t="n">
        <f aca="false">SUMIFS(tabela_registros[VALOR],tabela_registros[MÊS],$AE$1,tabela_registros[DIA],jantotal[[#Headers],[7]],tabela_registros[REGISTRO],DADOS!$N$4,tabela_registros[TIPO],DADOS!$P$4,tabela_registros[CATEGORIA],despesavariávelconsolidado[[#This Row],[DESPESA VARIÁVEL]])</f>
        <v>0</v>
      </c>
      <c r="L70" s="119" t="n">
        <f aca="false">SUMIFS(tabela_registros[VALOR],tabela_registros[MÊS],$AE$1,tabela_registros[DIA],jantotal[[#Headers],[8]],tabela_registros[REGISTRO],DADOS!$N$4,tabela_registros[TIPO],DADOS!$P$4,tabela_registros[CATEGORIA],despesavariávelconsolidado[[#This Row],[DESPESA VARIÁVEL]])</f>
        <v>0</v>
      </c>
      <c r="M70" s="119" t="n">
        <f aca="false">SUMIFS(tabela_registros[VALOR],tabela_registros[MÊS],$AE$1,tabela_registros[DIA],jantotal[[#Headers],[9]],tabela_registros[REGISTRO],DADOS!$N$4,tabela_registros[TIPO],DADOS!$P$4,tabela_registros[CATEGORIA],despesavariávelconsolidado[[#This Row],[DESPESA VARIÁVEL]])</f>
        <v>0</v>
      </c>
      <c r="N70" s="119" t="n">
        <f aca="false">SUMIFS(tabela_registros[VALOR],tabela_registros[MÊS],$AE$1,tabela_registros[DIA],jantotal[[#Headers],[10]],tabela_registros[REGISTRO],DADOS!$N$4,tabela_registros[TIPO],DADOS!$P$4,tabela_registros[CATEGORIA],despesavariávelconsolidado[[#This Row],[DESPESA VARIÁVEL]])</f>
        <v>0</v>
      </c>
      <c r="O70" s="119" t="n">
        <f aca="false">SUMIFS(tabela_registros[VALOR],tabela_registros[MÊS],$AE$1,tabela_registros[DIA],jantotal[[#Headers],[11]],tabela_registros[REGISTRO],DADOS!$N$4,tabela_registros[TIPO],DADOS!$P$4,tabela_registros[CATEGORIA],despesavariávelconsolidado[[#This Row],[DESPESA VARIÁVEL]])</f>
        <v>0</v>
      </c>
      <c r="P70" s="119" t="n">
        <f aca="false">SUMIFS(tabela_registros[VALOR],tabela_registros[MÊS],$AE$1,tabela_registros[DIA],jantotal[[#Headers],[12]],tabela_registros[REGISTRO],DADOS!$N$4,tabela_registros[TIPO],DADOS!$P$4,tabela_registros[CATEGORIA],despesavariávelconsolidado[[#This Row],[DESPESA VARIÁVEL]])</f>
        <v>0</v>
      </c>
      <c r="Q70" s="119" t="n">
        <f aca="false">SUMIFS(tabela_registros[VALOR],tabela_registros[MÊS],$AE$1,tabela_registros[DIA],jantotal[[#Headers],[13]],tabela_registros[REGISTRO],DADOS!$N$4,tabela_registros[TIPO],DADOS!$P$4,tabela_registros[CATEGORIA],despesavariávelconsolidado[[#This Row],[DESPESA VARIÁVEL]])</f>
        <v>0</v>
      </c>
      <c r="R70" s="119" t="n">
        <f aca="false">SUMIFS(tabela_registros[VALOR],tabela_registros[MÊS],$AE$1,tabela_registros[DIA],jantotal[[#Headers],[14]],tabela_registros[REGISTRO],DADOS!$N$4,tabela_registros[TIPO],DADOS!$P$4,tabela_registros[CATEGORIA],despesavariávelconsolidado[[#This Row],[DESPESA VARIÁVEL]])</f>
        <v>0</v>
      </c>
      <c r="S70" s="119" t="n">
        <f aca="false">SUMIFS(tabela_registros[VALOR],tabela_registros[MÊS],$AE$1,tabela_registros[DIA],jantotal[[#Headers],[15]],tabela_registros[REGISTRO],DADOS!$N$4,tabela_registros[TIPO],DADOS!$P$4,tabela_registros[CATEGORIA],despesavariávelconsolidado[[#This Row],[DESPESA VARIÁVEL]])</f>
        <v>0</v>
      </c>
      <c r="T70" s="119" t="n">
        <f aca="false">SUMIFS(tabela_registros[VALOR],tabela_registros[MÊS],$AE$1,tabela_registros[DIA],jantotal[[#Headers],[16]],tabela_registros[REGISTRO],DADOS!$N$4,tabela_registros[TIPO],DADOS!$P$4,tabela_registros[CATEGORIA],despesavariávelconsolidado[[#This Row],[DESPESA VARIÁVEL]])</f>
        <v>0</v>
      </c>
      <c r="U70" s="119" t="n">
        <f aca="false">SUMIFS(tabela_registros[VALOR],tabela_registros[MÊS],$AE$1,tabela_registros[DIA],jantotal[[#Headers],[17]],tabela_registros[REGISTRO],DADOS!$N$4,tabela_registros[TIPO],DADOS!$P$4,tabela_registros[CATEGORIA],despesavariávelconsolidado[[#This Row],[DESPESA VARIÁVEL]])</f>
        <v>0</v>
      </c>
      <c r="V70" s="119" t="n">
        <f aca="false">SUMIFS(tabela_registros[VALOR],tabela_registros[MÊS],$AE$1,tabela_registros[DIA],jantotal[[#Headers],[18]],tabela_registros[REGISTRO],DADOS!$N$4,tabela_registros[TIPO],DADOS!$P$4,tabela_registros[CATEGORIA],despesavariávelconsolidado[[#This Row],[DESPESA VARIÁVEL]])</f>
        <v>0</v>
      </c>
      <c r="W70" s="119" t="n">
        <f aca="false">SUMIFS(tabela_registros[VALOR],tabela_registros[MÊS],$AE$1,tabela_registros[DIA],jantotal[[#Headers],[19]],tabela_registros[REGISTRO],DADOS!$N$4,tabela_registros[TIPO],DADOS!$P$4,tabela_registros[CATEGORIA],despesavariávelconsolidado[[#This Row],[DESPESA VARIÁVEL]])</f>
        <v>0</v>
      </c>
      <c r="X70" s="119" t="n">
        <f aca="false">SUMIFS(tabela_registros[VALOR],tabela_registros[MÊS],$AE$1,tabela_registros[DIA],jantotal[[#Headers],[20]],tabela_registros[REGISTRO],DADOS!$N$4,tabela_registros[TIPO],DADOS!$P$4,tabela_registros[CATEGORIA],despesavariávelconsolidado[[#This Row],[DESPESA VARIÁVEL]])</f>
        <v>0</v>
      </c>
      <c r="Y70" s="119" t="n">
        <f aca="false">SUMIFS(tabela_registros[VALOR],tabela_registros[MÊS],$AE$1,tabela_registros[DIA],jantotal[[#Headers],[21]],tabela_registros[REGISTRO],DADOS!$N$4,tabela_registros[TIPO],DADOS!$P$4,tabela_registros[CATEGORIA],despesavariávelconsolidado[[#This Row],[DESPESA VARIÁVEL]])</f>
        <v>0</v>
      </c>
      <c r="Z70" s="119" t="n">
        <f aca="false">SUMIFS(tabela_registros[VALOR],tabela_registros[MÊS],$AE$1,tabela_registros[DIA],jantotal[[#Headers],[22]],tabela_registros[REGISTRO],DADOS!$N$4,tabela_registros[TIPO],DADOS!$P$4,tabela_registros[CATEGORIA],despesavariávelconsolidado[[#This Row],[DESPESA VARIÁVEL]])</f>
        <v>0</v>
      </c>
      <c r="AA70" s="119" t="n">
        <f aca="false">SUMIFS(tabela_registros[VALOR],tabela_registros[MÊS],$AE$1,tabela_registros[DIA],jantotal[[#Headers],[23]],tabela_registros[REGISTRO],DADOS!$N$4,tabela_registros[TIPO],DADOS!$P$4,tabela_registros[CATEGORIA],despesavariávelconsolidado[[#This Row],[DESPESA VARIÁVEL]])</f>
        <v>0</v>
      </c>
      <c r="AB70" s="119" t="n">
        <f aca="false">SUMIFS(tabela_registros[VALOR],tabela_registros[MÊS],$AE$1,tabela_registros[DIA],jantotal[[#Headers],[24]],tabela_registros[REGISTRO],DADOS!$N$4,tabela_registros[TIPO],DADOS!$P$4,tabela_registros[CATEGORIA],despesavariávelconsolidado[[#This Row],[DESPESA VARIÁVEL]])</f>
        <v>0</v>
      </c>
      <c r="AC70" s="119" t="n">
        <f aca="false">SUMIFS(tabela_registros[VALOR],tabela_registros[MÊS],$AE$1,tabela_registros[DIA],jantotal[[#Headers],[25]],tabela_registros[REGISTRO],DADOS!$N$4,tabela_registros[TIPO],DADOS!$P$4,tabela_registros[CATEGORIA],despesavariávelconsolidado[[#This Row],[DESPESA VARIÁVEL]])</f>
        <v>0</v>
      </c>
      <c r="AD70" s="119" t="n">
        <f aca="false">SUMIFS(tabela_registros[VALOR],tabela_registros[MÊS],$AE$1,tabela_registros[DIA],jantotal[[#Headers],[26]],tabela_registros[REGISTRO],DADOS!$N$4,tabela_registros[TIPO],DADOS!$P$4,tabela_registros[CATEGORIA],despesavariávelconsolidado[[#This Row],[DESPESA VARIÁVEL]])</f>
        <v>0</v>
      </c>
      <c r="AE70" s="119" t="n">
        <f aca="false">SUMIFS(tabela_registros[VALOR],tabela_registros[MÊS],$AE$1,tabela_registros[DIA],jantotal[[#Headers],[27]],tabela_registros[REGISTRO],DADOS!$N$4,tabela_registros[TIPO],DADOS!$P$4,tabela_registros[CATEGORIA],despesavariávelconsolidado[[#This Row],[DESPESA VARIÁVEL]])</f>
        <v>0</v>
      </c>
      <c r="AF70" s="119" t="n">
        <f aca="false">SUMIFS(tabela_registros[VALOR],tabela_registros[MÊS],$AE$1,tabela_registros[DIA],jantotal[[#Headers],[28]],tabela_registros[REGISTRO],DADOS!$N$4,tabela_registros[TIPO],DADOS!$P$4,tabela_registros[CATEGORIA],despesavariávelconsolidado[[#This Row],[DESPESA VARIÁVEL]])</f>
        <v>0</v>
      </c>
      <c r="AG70" s="119" t="n">
        <f aca="false">SUMIFS(tabela_registros[VALOR],tabela_registros[MÊS],$AE$1,tabela_registros[DIA],jantotal[[#Headers],[29]],tabela_registros[REGISTRO],DADOS!$N$4,tabela_registros[TIPO],DADOS!$P$4,tabela_registros[CATEGORIA],despesavariávelconsolidado[[#This Row],[DESPESA VARIÁVEL]])</f>
        <v>0</v>
      </c>
      <c r="AH70" s="119" t="n">
        <f aca="false">SUMIFS(tabela_registros[VALOR],tabela_registros[MÊS],$AE$1,tabela_registros[DIA],jantotal[[#Headers],[30]],tabela_registros[REGISTRO],DADOS!$N$4,tabela_registros[TIPO],DADOS!$P$4,tabela_registros[CATEGORIA],despesavariávelconsolidado[[#This Row],[DESPESA VARIÁVEL]])</f>
        <v>0</v>
      </c>
      <c r="AI70" s="217" t="n">
        <f aca="false">SUMIFS(tabela_registros[VALOR],tabela_registros[MÊS],$AE$1,tabela_registros[DIA],jantotal[[#Headers],[31]],tabela_registros[REGISTRO],DADOS!$N$4,tabela_registros[TIPO],DADOS!$P$4,tabela_registros[CATEGORIA],despesavariávelconsolidado[[#This Row],[DESPESA VARIÁVEL]])</f>
        <v>0</v>
      </c>
      <c r="AJ70" s="149" t="n">
        <f aca="false">SUM(despesavariávelconsolidado[[#This Row],[1]:[31]])</f>
        <v>0</v>
      </c>
      <c r="AK70" s="213"/>
      <c r="AL70" s="189"/>
    </row>
    <row r="71" customFormat="false" ht="18" hidden="false" customHeight="true" outlineLevel="0" collapsed="false">
      <c r="A71" s="189"/>
      <c r="B71" s="213"/>
      <c r="C71" s="214" t="str">
        <f aca="false">DADOS!$T$14</f>
        <v>🛍️ VESTUÁRIO</v>
      </c>
      <c r="D71" s="215" t="str">
        <f aca="false">IF(despesavariávelconsolidado[[#This Row],[TOTAL]]=0,"",IF(OR(despesavariávelconsolidado[[#This Row],[TOTAL]]=LARGE($AJ$60:$AJ$72,1),despesavariávelconsolidado[[#This Row],[TOTAL]]=LARGE($AJ$60:$AJ$72,2),despesavariávelconsolidado[[#This Row],[TOTAL]]=LARGE($AJ$60:$AJ$72,3),despesavariávelconsolidado[[#This Row],[TOTAL]]=LARGE($AJ$60:$AJ$72,4),despesavariávelconsolidado[[#This Row],[TOTAL]]=LARGE($AJ$60:$AJ$72,5)),DADOS!$I$8,""))</f>
        <v/>
      </c>
      <c r="E71" s="148" t="n">
        <f aca="false">SUMIFS(tabela_registros[VALOR],tabela_registros[MÊS],$AE$1,tabela_registros[DIA],jantotal[[#Headers],[1]],tabela_registros[REGISTRO],DADOS!$N$4,tabela_registros[TIPO],DADOS!$P$4,tabela_registros[CATEGORIA],despesavariávelconsolidado[[#This Row],[DESPESA VARIÁVEL]])</f>
        <v>0</v>
      </c>
      <c r="F71" s="119" t="n">
        <f aca="false">SUMIFS(tabela_registros[VALOR],tabela_registros[MÊS],$AE$1,tabela_registros[DIA],jantotal[[#Headers],[2]],tabela_registros[REGISTRO],DADOS!$N$4,tabela_registros[TIPO],DADOS!$P$4,tabela_registros[CATEGORIA],despesavariávelconsolidado[[#This Row],[DESPESA VARIÁVEL]])</f>
        <v>0</v>
      </c>
      <c r="G71" s="119" t="n">
        <f aca="false">SUMIFS(tabela_registros[VALOR],tabela_registros[MÊS],$AE$1,tabela_registros[DIA],jantotal[[#Headers],[3]],tabela_registros[REGISTRO],DADOS!$N$4,tabela_registros[TIPO],DADOS!$P$4,tabela_registros[CATEGORIA],despesavariávelconsolidado[[#This Row],[DESPESA VARIÁVEL]])</f>
        <v>0</v>
      </c>
      <c r="H71" s="119" t="n">
        <f aca="false">SUMIFS(tabela_registros[VALOR],tabela_registros[MÊS],$AE$1,tabela_registros[DIA],jantotal[[#Headers],[4]],tabela_registros[REGISTRO],DADOS!$N$4,tabela_registros[TIPO],DADOS!$P$4,tabela_registros[CATEGORIA],despesavariávelconsolidado[[#This Row],[DESPESA VARIÁVEL]])</f>
        <v>0</v>
      </c>
      <c r="I71" s="119" t="n">
        <f aca="false">SUMIFS(tabela_registros[VALOR],tabela_registros[MÊS],$AE$1,tabela_registros[DIA],jantotal[[#Headers],[5]],tabela_registros[REGISTRO],DADOS!$N$4,tabela_registros[TIPO],DADOS!$P$4,tabela_registros[CATEGORIA],despesavariávelconsolidado[[#This Row],[DESPESA VARIÁVEL]])</f>
        <v>0</v>
      </c>
      <c r="J71" s="119" t="n">
        <f aca="false">SUMIFS(tabela_registros[VALOR],tabela_registros[MÊS],$AE$1,tabela_registros[DIA],jantotal[[#Headers],[6]],tabela_registros[REGISTRO],DADOS!$N$4,tabela_registros[TIPO],DADOS!$P$4,tabela_registros[CATEGORIA],despesavariávelconsolidado[[#This Row],[DESPESA VARIÁVEL]])</f>
        <v>0</v>
      </c>
      <c r="K71" s="119" t="n">
        <f aca="false">SUMIFS(tabela_registros[VALOR],tabela_registros[MÊS],$AE$1,tabela_registros[DIA],jantotal[[#Headers],[7]],tabela_registros[REGISTRO],DADOS!$N$4,tabela_registros[TIPO],DADOS!$P$4,tabela_registros[CATEGORIA],despesavariávelconsolidado[[#This Row],[DESPESA VARIÁVEL]])</f>
        <v>0</v>
      </c>
      <c r="L71" s="119" t="n">
        <f aca="false">SUMIFS(tabela_registros[VALOR],tabela_registros[MÊS],$AE$1,tabela_registros[DIA],jantotal[[#Headers],[8]],tabela_registros[REGISTRO],DADOS!$N$4,tabela_registros[TIPO],DADOS!$P$4,tabela_registros[CATEGORIA],despesavariávelconsolidado[[#This Row],[DESPESA VARIÁVEL]])</f>
        <v>0</v>
      </c>
      <c r="M71" s="119" t="n">
        <f aca="false">SUMIFS(tabela_registros[VALOR],tabela_registros[MÊS],$AE$1,tabela_registros[DIA],jantotal[[#Headers],[9]],tabela_registros[REGISTRO],DADOS!$N$4,tabela_registros[TIPO],DADOS!$P$4,tabela_registros[CATEGORIA],despesavariávelconsolidado[[#This Row],[DESPESA VARIÁVEL]])</f>
        <v>0</v>
      </c>
      <c r="N71" s="119" t="n">
        <f aca="false">SUMIFS(tabela_registros[VALOR],tabela_registros[MÊS],$AE$1,tabela_registros[DIA],jantotal[[#Headers],[10]],tabela_registros[REGISTRO],DADOS!$N$4,tabela_registros[TIPO],DADOS!$P$4,tabela_registros[CATEGORIA],despesavariávelconsolidado[[#This Row],[DESPESA VARIÁVEL]])</f>
        <v>0</v>
      </c>
      <c r="O71" s="119" t="n">
        <f aca="false">SUMIFS(tabela_registros[VALOR],tabela_registros[MÊS],$AE$1,tabela_registros[DIA],jantotal[[#Headers],[11]],tabela_registros[REGISTRO],DADOS!$N$4,tabela_registros[TIPO],DADOS!$P$4,tabela_registros[CATEGORIA],despesavariávelconsolidado[[#This Row],[DESPESA VARIÁVEL]])</f>
        <v>0</v>
      </c>
      <c r="P71" s="119" t="n">
        <f aca="false">SUMIFS(tabela_registros[VALOR],tabela_registros[MÊS],$AE$1,tabela_registros[DIA],jantotal[[#Headers],[12]],tabela_registros[REGISTRO],DADOS!$N$4,tabela_registros[TIPO],DADOS!$P$4,tabela_registros[CATEGORIA],despesavariávelconsolidado[[#This Row],[DESPESA VARIÁVEL]])</f>
        <v>0</v>
      </c>
      <c r="Q71" s="119" t="n">
        <f aca="false">SUMIFS(tabela_registros[VALOR],tabela_registros[MÊS],$AE$1,tabela_registros[DIA],jantotal[[#Headers],[13]],tabela_registros[REGISTRO],DADOS!$N$4,tabela_registros[TIPO],DADOS!$P$4,tabela_registros[CATEGORIA],despesavariávelconsolidado[[#This Row],[DESPESA VARIÁVEL]])</f>
        <v>0</v>
      </c>
      <c r="R71" s="119" t="n">
        <f aca="false">SUMIFS(tabela_registros[VALOR],tabela_registros[MÊS],$AE$1,tabela_registros[DIA],jantotal[[#Headers],[14]],tabela_registros[REGISTRO],DADOS!$N$4,tabela_registros[TIPO],DADOS!$P$4,tabela_registros[CATEGORIA],despesavariávelconsolidado[[#This Row],[DESPESA VARIÁVEL]])</f>
        <v>0</v>
      </c>
      <c r="S71" s="119" t="n">
        <f aca="false">SUMIFS(tabela_registros[VALOR],tabela_registros[MÊS],$AE$1,tabela_registros[DIA],jantotal[[#Headers],[15]],tabela_registros[REGISTRO],DADOS!$N$4,tabela_registros[TIPO],DADOS!$P$4,tabela_registros[CATEGORIA],despesavariávelconsolidado[[#This Row],[DESPESA VARIÁVEL]])</f>
        <v>0</v>
      </c>
      <c r="T71" s="119" t="n">
        <f aca="false">SUMIFS(tabela_registros[VALOR],tabela_registros[MÊS],$AE$1,tabela_registros[DIA],jantotal[[#Headers],[16]],tabela_registros[REGISTRO],DADOS!$N$4,tabela_registros[TIPO],DADOS!$P$4,tabela_registros[CATEGORIA],despesavariávelconsolidado[[#This Row],[DESPESA VARIÁVEL]])</f>
        <v>0</v>
      </c>
      <c r="U71" s="119" t="n">
        <f aca="false">SUMIFS(tabela_registros[VALOR],tabela_registros[MÊS],$AE$1,tabela_registros[DIA],jantotal[[#Headers],[17]],tabela_registros[REGISTRO],DADOS!$N$4,tabela_registros[TIPO],DADOS!$P$4,tabela_registros[CATEGORIA],despesavariávelconsolidado[[#This Row],[DESPESA VARIÁVEL]])</f>
        <v>0</v>
      </c>
      <c r="V71" s="119" t="n">
        <f aca="false">SUMIFS(tabela_registros[VALOR],tabela_registros[MÊS],$AE$1,tabela_registros[DIA],jantotal[[#Headers],[18]],tabela_registros[REGISTRO],DADOS!$N$4,tabela_registros[TIPO],DADOS!$P$4,tabela_registros[CATEGORIA],despesavariávelconsolidado[[#This Row],[DESPESA VARIÁVEL]])</f>
        <v>0</v>
      </c>
      <c r="W71" s="119" t="n">
        <f aca="false">SUMIFS(tabela_registros[VALOR],tabela_registros[MÊS],$AE$1,tabela_registros[DIA],jantotal[[#Headers],[19]],tabela_registros[REGISTRO],DADOS!$N$4,tabela_registros[TIPO],DADOS!$P$4,tabela_registros[CATEGORIA],despesavariávelconsolidado[[#This Row],[DESPESA VARIÁVEL]])</f>
        <v>0</v>
      </c>
      <c r="X71" s="119" t="n">
        <f aca="false">SUMIFS(tabela_registros[VALOR],tabela_registros[MÊS],$AE$1,tabela_registros[DIA],jantotal[[#Headers],[20]],tabela_registros[REGISTRO],DADOS!$N$4,tabela_registros[TIPO],DADOS!$P$4,tabela_registros[CATEGORIA],despesavariávelconsolidado[[#This Row],[DESPESA VARIÁVEL]])</f>
        <v>0</v>
      </c>
      <c r="Y71" s="119" t="n">
        <f aca="false">SUMIFS(tabela_registros[VALOR],tabela_registros[MÊS],$AE$1,tabela_registros[DIA],jantotal[[#Headers],[21]],tabela_registros[REGISTRO],DADOS!$N$4,tabela_registros[TIPO],DADOS!$P$4,tabela_registros[CATEGORIA],despesavariávelconsolidado[[#This Row],[DESPESA VARIÁVEL]])</f>
        <v>0</v>
      </c>
      <c r="Z71" s="119" t="n">
        <f aca="false">SUMIFS(tabela_registros[VALOR],tabela_registros[MÊS],$AE$1,tabela_registros[DIA],jantotal[[#Headers],[22]],tabela_registros[REGISTRO],DADOS!$N$4,tabela_registros[TIPO],DADOS!$P$4,tabela_registros[CATEGORIA],despesavariávelconsolidado[[#This Row],[DESPESA VARIÁVEL]])</f>
        <v>0</v>
      </c>
      <c r="AA71" s="119" t="n">
        <f aca="false">SUMIFS(tabela_registros[VALOR],tabela_registros[MÊS],$AE$1,tabela_registros[DIA],jantotal[[#Headers],[23]],tabela_registros[REGISTRO],DADOS!$N$4,tabela_registros[TIPO],DADOS!$P$4,tabela_registros[CATEGORIA],despesavariávelconsolidado[[#This Row],[DESPESA VARIÁVEL]])</f>
        <v>0</v>
      </c>
      <c r="AB71" s="119" t="n">
        <f aca="false">SUMIFS(tabela_registros[VALOR],tabela_registros[MÊS],$AE$1,tabela_registros[DIA],jantotal[[#Headers],[24]],tabela_registros[REGISTRO],DADOS!$N$4,tabela_registros[TIPO],DADOS!$P$4,tabela_registros[CATEGORIA],despesavariávelconsolidado[[#This Row],[DESPESA VARIÁVEL]])</f>
        <v>0</v>
      </c>
      <c r="AC71" s="119" t="n">
        <f aca="false">SUMIFS(tabela_registros[VALOR],tabela_registros[MÊS],$AE$1,tabela_registros[DIA],jantotal[[#Headers],[25]],tabela_registros[REGISTRO],DADOS!$N$4,tabela_registros[TIPO],DADOS!$P$4,tabela_registros[CATEGORIA],despesavariávelconsolidado[[#This Row],[DESPESA VARIÁVEL]])</f>
        <v>0</v>
      </c>
      <c r="AD71" s="119" t="n">
        <f aca="false">SUMIFS(tabela_registros[VALOR],tabela_registros[MÊS],$AE$1,tabela_registros[DIA],jantotal[[#Headers],[26]],tabela_registros[REGISTRO],DADOS!$N$4,tabela_registros[TIPO],DADOS!$P$4,tabela_registros[CATEGORIA],despesavariávelconsolidado[[#This Row],[DESPESA VARIÁVEL]])</f>
        <v>0</v>
      </c>
      <c r="AE71" s="119" t="n">
        <f aca="false">SUMIFS(tabela_registros[VALOR],tabela_registros[MÊS],$AE$1,tabela_registros[DIA],jantotal[[#Headers],[27]],tabela_registros[REGISTRO],DADOS!$N$4,tabela_registros[TIPO],DADOS!$P$4,tabela_registros[CATEGORIA],despesavariávelconsolidado[[#This Row],[DESPESA VARIÁVEL]])</f>
        <v>0</v>
      </c>
      <c r="AF71" s="119" t="n">
        <f aca="false">SUMIFS(tabela_registros[VALOR],tabela_registros[MÊS],$AE$1,tabela_registros[DIA],jantotal[[#Headers],[28]],tabela_registros[REGISTRO],DADOS!$N$4,tabela_registros[TIPO],DADOS!$P$4,tabela_registros[CATEGORIA],despesavariávelconsolidado[[#This Row],[DESPESA VARIÁVEL]])</f>
        <v>0</v>
      </c>
      <c r="AG71" s="119" t="n">
        <f aca="false">SUMIFS(tabela_registros[VALOR],tabela_registros[MÊS],$AE$1,tabela_registros[DIA],jantotal[[#Headers],[29]],tabela_registros[REGISTRO],DADOS!$N$4,tabela_registros[TIPO],DADOS!$P$4,tabela_registros[CATEGORIA],despesavariávelconsolidado[[#This Row],[DESPESA VARIÁVEL]])</f>
        <v>0</v>
      </c>
      <c r="AH71" s="119" t="n">
        <f aca="false">SUMIFS(tabela_registros[VALOR],tabela_registros[MÊS],$AE$1,tabela_registros[DIA],jantotal[[#Headers],[30]],tabela_registros[REGISTRO],DADOS!$N$4,tabela_registros[TIPO],DADOS!$P$4,tabela_registros[CATEGORIA],despesavariávelconsolidado[[#This Row],[DESPESA VARIÁVEL]])</f>
        <v>0</v>
      </c>
      <c r="AI71" s="217" t="n">
        <f aca="false">SUMIFS(tabela_registros[VALOR],tabela_registros[MÊS],$AE$1,tabela_registros[DIA],jantotal[[#Headers],[31]],tabela_registros[REGISTRO],DADOS!$N$4,tabela_registros[TIPO],DADOS!$P$4,tabela_registros[CATEGORIA],despesavariávelconsolidado[[#This Row],[DESPESA VARIÁVEL]])</f>
        <v>0</v>
      </c>
      <c r="AJ71" s="149" t="n">
        <f aca="false">SUM(despesavariávelconsolidado[[#This Row],[1]:[31]])</f>
        <v>0</v>
      </c>
      <c r="AK71" s="213"/>
      <c r="AL71" s="189"/>
    </row>
    <row r="72" customFormat="false" ht="18" hidden="false" customHeight="true" outlineLevel="0" collapsed="false">
      <c r="A72" s="189"/>
      <c r="B72" s="213"/>
      <c r="C72" s="214" t="str">
        <f aca="false">DADOS!$T$15</f>
        <v>📎 OUTROS</v>
      </c>
      <c r="D72" s="215" t="str">
        <f aca="false">IF(despesavariávelconsolidado[[#This Row],[TOTAL]]=0,"",IF(OR(despesavariávelconsolidado[[#This Row],[TOTAL]]=LARGE($AJ$60:$AJ$72,1),despesavariávelconsolidado[[#This Row],[TOTAL]]=LARGE($AJ$60:$AJ$72,2),despesavariávelconsolidado[[#This Row],[TOTAL]]=LARGE($AJ$60:$AJ$72,3),despesavariávelconsolidado[[#This Row],[TOTAL]]=LARGE($AJ$60:$AJ$72,4),despesavariávelconsolidado[[#This Row],[TOTAL]]=LARGE($AJ$60:$AJ$72,5)),DADOS!$I$8,""))</f>
        <v/>
      </c>
      <c r="E72" s="148" t="n">
        <f aca="false">SUMIFS(tabela_registros[VALOR],tabela_registros[MÊS],$AE$1,tabela_registros[DIA],jantotal[[#Headers],[1]],tabela_registros[REGISTRO],DADOS!$N$4,tabela_registros[TIPO],DADOS!$P$4,tabela_registros[CATEGORIA],despesavariávelconsolidado[[#This Row],[DESPESA VARIÁVEL]])</f>
        <v>0</v>
      </c>
      <c r="F72" s="119" t="n">
        <f aca="false">SUMIFS(tabela_registros[VALOR],tabela_registros[MÊS],$AE$1,tabela_registros[DIA],jantotal[[#Headers],[2]],tabela_registros[REGISTRO],DADOS!$N$4,tabela_registros[TIPO],DADOS!$P$4,tabela_registros[CATEGORIA],despesavariávelconsolidado[[#This Row],[DESPESA VARIÁVEL]])</f>
        <v>0</v>
      </c>
      <c r="G72" s="119" t="n">
        <f aca="false">SUMIFS(tabela_registros[VALOR],tabela_registros[MÊS],$AE$1,tabela_registros[DIA],jantotal[[#Headers],[3]],tabela_registros[REGISTRO],DADOS!$N$4,tabela_registros[TIPO],DADOS!$P$4,tabela_registros[CATEGORIA],despesavariávelconsolidado[[#This Row],[DESPESA VARIÁVEL]])</f>
        <v>0</v>
      </c>
      <c r="H72" s="119" t="n">
        <f aca="false">SUMIFS(tabela_registros[VALOR],tabela_registros[MÊS],$AE$1,tabela_registros[DIA],jantotal[[#Headers],[4]],tabela_registros[REGISTRO],DADOS!$N$4,tabela_registros[TIPO],DADOS!$P$4,tabela_registros[CATEGORIA],despesavariávelconsolidado[[#This Row],[DESPESA VARIÁVEL]])</f>
        <v>0</v>
      </c>
      <c r="I72" s="119" t="n">
        <f aca="false">SUMIFS(tabela_registros[VALOR],tabela_registros[MÊS],$AE$1,tabela_registros[DIA],jantotal[[#Headers],[5]],tabela_registros[REGISTRO],DADOS!$N$4,tabela_registros[TIPO],DADOS!$P$4,tabela_registros[CATEGORIA],despesavariávelconsolidado[[#This Row],[DESPESA VARIÁVEL]])</f>
        <v>0</v>
      </c>
      <c r="J72" s="119" t="n">
        <f aca="false">SUMIFS(tabela_registros[VALOR],tabela_registros[MÊS],$AE$1,tabela_registros[DIA],jantotal[[#Headers],[6]],tabela_registros[REGISTRO],DADOS!$N$4,tabela_registros[TIPO],DADOS!$P$4,tabela_registros[CATEGORIA],despesavariávelconsolidado[[#This Row],[DESPESA VARIÁVEL]])</f>
        <v>0</v>
      </c>
      <c r="K72" s="119" t="n">
        <f aca="false">SUMIFS(tabela_registros[VALOR],tabela_registros[MÊS],$AE$1,tabela_registros[DIA],jantotal[[#Headers],[7]],tabela_registros[REGISTRO],DADOS!$N$4,tabela_registros[TIPO],DADOS!$P$4,tabela_registros[CATEGORIA],despesavariávelconsolidado[[#This Row],[DESPESA VARIÁVEL]])</f>
        <v>0</v>
      </c>
      <c r="L72" s="119" t="n">
        <f aca="false">SUMIFS(tabela_registros[VALOR],tabela_registros[MÊS],$AE$1,tabela_registros[DIA],jantotal[[#Headers],[8]],tabela_registros[REGISTRO],DADOS!$N$4,tabela_registros[TIPO],DADOS!$P$4,tabela_registros[CATEGORIA],despesavariávelconsolidado[[#This Row],[DESPESA VARIÁVEL]])</f>
        <v>0</v>
      </c>
      <c r="M72" s="119" t="n">
        <f aca="false">SUMIFS(tabela_registros[VALOR],tabela_registros[MÊS],$AE$1,tabela_registros[DIA],jantotal[[#Headers],[9]],tabela_registros[REGISTRO],DADOS!$N$4,tabela_registros[TIPO],DADOS!$P$4,tabela_registros[CATEGORIA],despesavariávelconsolidado[[#This Row],[DESPESA VARIÁVEL]])</f>
        <v>0</v>
      </c>
      <c r="N72" s="119" t="n">
        <f aca="false">SUMIFS(tabela_registros[VALOR],tabela_registros[MÊS],$AE$1,tabela_registros[DIA],jantotal[[#Headers],[10]],tabela_registros[REGISTRO],DADOS!$N$4,tabela_registros[TIPO],DADOS!$P$4,tabela_registros[CATEGORIA],despesavariávelconsolidado[[#This Row],[DESPESA VARIÁVEL]])</f>
        <v>0</v>
      </c>
      <c r="O72" s="119" t="n">
        <f aca="false">SUMIFS(tabela_registros[VALOR],tabela_registros[MÊS],$AE$1,tabela_registros[DIA],jantotal[[#Headers],[11]],tabela_registros[REGISTRO],DADOS!$N$4,tabela_registros[TIPO],DADOS!$P$4,tabela_registros[CATEGORIA],despesavariávelconsolidado[[#This Row],[DESPESA VARIÁVEL]])</f>
        <v>0</v>
      </c>
      <c r="P72" s="119" t="n">
        <f aca="false">SUMIFS(tabela_registros[VALOR],tabela_registros[MÊS],$AE$1,tabela_registros[DIA],jantotal[[#Headers],[12]],tabela_registros[REGISTRO],DADOS!$N$4,tabela_registros[TIPO],DADOS!$P$4,tabela_registros[CATEGORIA],despesavariávelconsolidado[[#This Row],[DESPESA VARIÁVEL]])</f>
        <v>0</v>
      </c>
      <c r="Q72" s="119" t="n">
        <f aca="false">SUMIFS(tabela_registros[VALOR],tabela_registros[MÊS],$AE$1,tabela_registros[DIA],jantotal[[#Headers],[13]],tabela_registros[REGISTRO],DADOS!$N$4,tabela_registros[TIPO],DADOS!$P$4,tabela_registros[CATEGORIA],despesavariávelconsolidado[[#This Row],[DESPESA VARIÁVEL]])</f>
        <v>0</v>
      </c>
      <c r="R72" s="119" t="n">
        <f aca="false">SUMIFS(tabela_registros[VALOR],tabela_registros[MÊS],$AE$1,tabela_registros[DIA],jantotal[[#Headers],[14]],tabela_registros[REGISTRO],DADOS!$N$4,tabela_registros[TIPO],DADOS!$P$4,tabela_registros[CATEGORIA],despesavariávelconsolidado[[#This Row],[DESPESA VARIÁVEL]])</f>
        <v>0</v>
      </c>
      <c r="S72" s="119" t="n">
        <f aca="false">SUMIFS(tabela_registros[VALOR],tabela_registros[MÊS],$AE$1,tabela_registros[DIA],jantotal[[#Headers],[15]],tabela_registros[REGISTRO],DADOS!$N$4,tabela_registros[TIPO],DADOS!$P$4,tabela_registros[CATEGORIA],despesavariávelconsolidado[[#This Row],[DESPESA VARIÁVEL]])</f>
        <v>0</v>
      </c>
      <c r="T72" s="119" t="n">
        <f aca="false">SUMIFS(tabela_registros[VALOR],tabela_registros[MÊS],$AE$1,tabela_registros[DIA],jantotal[[#Headers],[16]],tabela_registros[REGISTRO],DADOS!$N$4,tabela_registros[TIPO],DADOS!$P$4,tabela_registros[CATEGORIA],despesavariávelconsolidado[[#This Row],[DESPESA VARIÁVEL]])</f>
        <v>0</v>
      </c>
      <c r="U72" s="119" t="n">
        <f aca="false">SUMIFS(tabela_registros[VALOR],tabela_registros[MÊS],$AE$1,tabela_registros[DIA],jantotal[[#Headers],[17]],tabela_registros[REGISTRO],DADOS!$N$4,tabela_registros[TIPO],DADOS!$P$4,tabela_registros[CATEGORIA],despesavariávelconsolidado[[#This Row],[DESPESA VARIÁVEL]])</f>
        <v>0</v>
      </c>
      <c r="V72" s="119" t="n">
        <f aca="false">SUMIFS(tabela_registros[VALOR],tabela_registros[MÊS],$AE$1,tabela_registros[DIA],jantotal[[#Headers],[18]],tabela_registros[REGISTRO],DADOS!$N$4,tabela_registros[TIPO],DADOS!$P$4,tabela_registros[CATEGORIA],despesavariávelconsolidado[[#This Row],[DESPESA VARIÁVEL]])</f>
        <v>0</v>
      </c>
      <c r="W72" s="119" t="n">
        <f aca="false">SUMIFS(tabela_registros[VALOR],tabela_registros[MÊS],$AE$1,tabela_registros[DIA],jantotal[[#Headers],[19]],tabela_registros[REGISTRO],DADOS!$N$4,tabela_registros[TIPO],DADOS!$P$4,tabela_registros[CATEGORIA],despesavariávelconsolidado[[#This Row],[DESPESA VARIÁVEL]])</f>
        <v>0</v>
      </c>
      <c r="X72" s="119" t="n">
        <f aca="false">SUMIFS(tabela_registros[VALOR],tabela_registros[MÊS],$AE$1,tabela_registros[DIA],jantotal[[#Headers],[20]],tabela_registros[REGISTRO],DADOS!$N$4,tabela_registros[TIPO],DADOS!$P$4,tabela_registros[CATEGORIA],despesavariávelconsolidado[[#This Row],[DESPESA VARIÁVEL]])</f>
        <v>0</v>
      </c>
      <c r="Y72" s="119" t="n">
        <f aca="false">SUMIFS(tabela_registros[VALOR],tabela_registros[MÊS],$AE$1,tabela_registros[DIA],jantotal[[#Headers],[21]],tabela_registros[REGISTRO],DADOS!$N$4,tabela_registros[TIPO],DADOS!$P$4,tabela_registros[CATEGORIA],despesavariávelconsolidado[[#This Row],[DESPESA VARIÁVEL]])</f>
        <v>0</v>
      </c>
      <c r="Z72" s="119" t="n">
        <f aca="false">SUMIFS(tabela_registros[VALOR],tabela_registros[MÊS],$AE$1,tabela_registros[DIA],jantotal[[#Headers],[22]],tabela_registros[REGISTRO],DADOS!$N$4,tabela_registros[TIPO],DADOS!$P$4,tabela_registros[CATEGORIA],despesavariávelconsolidado[[#This Row],[DESPESA VARIÁVEL]])</f>
        <v>0</v>
      </c>
      <c r="AA72" s="119" t="n">
        <f aca="false">SUMIFS(tabela_registros[VALOR],tabela_registros[MÊS],$AE$1,tabela_registros[DIA],jantotal[[#Headers],[23]],tabela_registros[REGISTRO],DADOS!$N$4,tabela_registros[TIPO],DADOS!$P$4,tabela_registros[CATEGORIA],despesavariávelconsolidado[[#This Row],[DESPESA VARIÁVEL]])</f>
        <v>0</v>
      </c>
      <c r="AB72" s="119" t="n">
        <f aca="false">SUMIFS(tabela_registros[VALOR],tabela_registros[MÊS],$AE$1,tabela_registros[DIA],jantotal[[#Headers],[24]],tabela_registros[REGISTRO],DADOS!$N$4,tabela_registros[TIPO],DADOS!$P$4,tabela_registros[CATEGORIA],despesavariávelconsolidado[[#This Row],[DESPESA VARIÁVEL]])</f>
        <v>0</v>
      </c>
      <c r="AC72" s="119" t="n">
        <f aca="false">SUMIFS(tabela_registros[VALOR],tabela_registros[MÊS],$AE$1,tabela_registros[DIA],jantotal[[#Headers],[25]],tabela_registros[REGISTRO],DADOS!$N$4,tabela_registros[TIPO],DADOS!$P$4,tabela_registros[CATEGORIA],despesavariávelconsolidado[[#This Row],[DESPESA VARIÁVEL]])</f>
        <v>0</v>
      </c>
      <c r="AD72" s="119" t="n">
        <f aca="false">SUMIFS(tabela_registros[VALOR],tabela_registros[MÊS],$AE$1,tabela_registros[DIA],jantotal[[#Headers],[26]],tabela_registros[REGISTRO],DADOS!$N$4,tabela_registros[TIPO],DADOS!$P$4,tabela_registros[CATEGORIA],despesavariávelconsolidado[[#This Row],[DESPESA VARIÁVEL]])</f>
        <v>0</v>
      </c>
      <c r="AE72" s="119" t="n">
        <f aca="false">SUMIFS(tabela_registros[VALOR],tabela_registros[MÊS],$AE$1,tabela_registros[DIA],jantotal[[#Headers],[27]],tabela_registros[REGISTRO],DADOS!$N$4,tabela_registros[TIPO],DADOS!$P$4,tabela_registros[CATEGORIA],despesavariávelconsolidado[[#This Row],[DESPESA VARIÁVEL]])</f>
        <v>0</v>
      </c>
      <c r="AF72" s="119" t="n">
        <f aca="false">SUMIFS(tabela_registros[VALOR],tabela_registros[MÊS],$AE$1,tabela_registros[DIA],jantotal[[#Headers],[28]],tabela_registros[REGISTRO],DADOS!$N$4,tabela_registros[TIPO],DADOS!$P$4,tabela_registros[CATEGORIA],despesavariávelconsolidado[[#This Row],[DESPESA VARIÁVEL]])</f>
        <v>0</v>
      </c>
      <c r="AG72" s="119" t="n">
        <f aca="false">SUMIFS(tabela_registros[VALOR],tabela_registros[MÊS],$AE$1,tabela_registros[DIA],jantotal[[#Headers],[29]],tabela_registros[REGISTRO],DADOS!$N$4,tabela_registros[TIPO],DADOS!$P$4,tabela_registros[CATEGORIA],despesavariávelconsolidado[[#This Row],[DESPESA VARIÁVEL]])</f>
        <v>0</v>
      </c>
      <c r="AH72" s="119" t="n">
        <f aca="false">SUMIFS(tabela_registros[VALOR],tabela_registros[MÊS],$AE$1,tabela_registros[DIA],jantotal[[#Headers],[30]],tabela_registros[REGISTRO],DADOS!$N$4,tabela_registros[TIPO],DADOS!$P$4,tabela_registros[CATEGORIA],despesavariávelconsolidado[[#This Row],[DESPESA VARIÁVEL]])</f>
        <v>0</v>
      </c>
      <c r="AI72" s="218" t="n">
        <f aca="false">SUMIFS(tabela_registros[VALOR],tabela_registros[MÊS],$AE$1,tabela_registros[DIA],jantotal[[#Headers],[31]],tabela_registros[REGISTRO],DADOS!$N$4,tabela_registros[TIPO],DADOS!$P$4,tabela_registros[CATEGORIA],despesavariávelconsolidado[[#This Row],[DESPESA VARIÁVEL]])</f>
        <v>0</v>
      </c>
      <c r="AJ72" s="149" t="n">
        <f aca="false">SUM(despesavariávelconsolidado[[#This Row],[1]:[31]])</f>
        <v>0</v>
      </c>
      <c r="AK72" s="213"/>
      <c r="AL72" s="189"/>
    </row>
    <row r="73" s="122" customFormat="true" ht="21" hidden="false" customHeight="true" outlineLevel="0" collapsed="false">
      <c r="A73" s="199"/>
      <c r="B73" s="220"/>
      <c r="C73" s="221" t="s">
        <v>2</v>
      </c>
      <c r="D73" s="222" t="str">
        <f aca="false">IF(despesavariávelconsolidado[[#This Row],[TOTAL]]=0,"",IF(OR(despesavariávelconsolidado[[#This Row],[TOTAL]]=SMALL(despesavariávelconsolidado[TOTAL],1),despesavariávelconsolidado[[#This Row],[TOTAL]]=SMALL(despesavariávelconsolidado[TOTAL],2),despesavariávelconsolidado[[#This Row],[TOTAL]]=SMALL(despesavariávelconsolidado[TOTAL],3),despesavariávelconsolidado[[#This Row],[TOTAL]]=SMALL(despesavariávelconsolidado[TOTAL],4),despesavariávelconsolidado[[#This Row],[TOTAL]]=SMALL(despesavariávelconsolidado[TOTAL],5)),DADOS!$I$8,""))</f>
        <v/>
      </c>
      <c r="E73" s="155" t="n">
        <f aca="false">SUM(E60:E72)</f>
        <v>0</v>
      </c>
      <c r="F73" s="156" t="n">
        <f aca="false">SUM(F60:F72)+despesavariávelconsolidado[[#This Row],[1]]</f>
        <v>0</v>
      </c>
      <c r="G73" s="156" t="n">
        <f aca="false">SUM(G60:G72)+despesavariávelconsolidado[[#This Row],[2]]</f>
        <v>0</v>
      </c>
      <c r="H73" s="156" t="n">
        <f aca="false">SUM(H60:H72)+despesavariávelconsolidado[[#This Row],[3]]</f>
        <v>0</v>
      </c>
      <c r="I73" s="156" t="n">
        <f aca="false">SUM(I60:I72)+despesavariávelconsolidado[[#This Row],[4]]</f>
        <v>0</v>
      </c>
      <c r="J73" s="156" t="n">
        <f aca="false">SUM(J60:J72)+despesavariávelconsolidado[[#This Row],[5]]</f>
        <v>0</v>
      </c>
      <c r="K73" s="156" t="n">
        <f aca="false">SUM(K60:K72)+despesavariávelconsolidado[[#This Row],[6]]</f>
        <v>0</v>
      </c>
      <c r="L73" s="156" t="n">
        <f aca="false">SUM(L60:L72)+despesavariávelconsolidado[[#This Row],[7]]</f>
        <v>0</v>
      </c>
      <c r="M73" s="156" t="n">
        <f aca="false">SUM(M60:M72)+despesavariávelconsolidado[[#This Row],[8]]</f>
        <v>0</v>
      </c>
      <c r="N73" s="156" t="n">
        <f aca="false">SUM(N60:N72)+despesavariávelconsolidado[[#This Row],[9]]</f>
        <v>0</v>
      </c>
      <c r="O73" s="156" t="n">
        <f aca="false">SUM(O60:O72)+despesavariávelconsolidado[[#This Row],[10]]</f>
        <v>0</v>
      </c>
      <c r="P73" s="156" t="n">
        <f aca="false">SUM(P60:P72)+despesavariávelconsolidado[[#This Row],[11]]</f>
        <v>0</v>
      </c>
      <c r="Q73" s="156" t="n">
        <f aca="false">SUM(Q60:Q72)+despesavariávelconsolidado[[#This Row],[12]]</f>
        <v>0</v>
      </c>
      <c r="R73" s="156" t="n">
        <f aca="false">SUM(R60:R72)+despesavariávelconsolidado[[#This Row],[13]]</f>
        <v>0</v>
      </c>
      <c r="S73" s="156" t="n">
        <f aca="false">SUM(S60:S72)+despesavariávelconsolidado[[#This Row],[14]]</f>
        <v>0</v>
      </c>
      <c r="T73" s="156" t="n">
        <f aca="false">SUM(T60:T72)+despesavariávelconsolidado[[#This Row],[15]]</f>
        <v>0</v>
      </c>
      <c r="U73" s="156" t="n">
        <f aca="false">SUM(U60:U72)+despesavariávelconsolidado[[#This Row],[16]]</f>
        <v>0</v>
      </c>
      <c r="V73" s="156" t="n">
        <f aca="false">SUM(V60:V72)+despesavariávelconsolidado[[#This Row],[17]]</f>
        <v>0</v>
      </c>
      <c r="W73" s="156" t="n">
        <f aca="false">SUM(W60:W72)+despesavariávelconsolidado[[#This Row],[18]]</f>
        <v>0</v>
      </c>
      <c r="X73" s="156" t="n">
        <f aca="false">SUM(X60:X72)+despesavariávelconsolidado[[#This Row],[19]]</f>
        <v>0</v>
      </c>
      <c r="Y73" s="156" t="n">
        <f aca="false">SUM(Y60:Y72)+despesavariávelconsolidado[[#This Row],[20]]</f>
        <v>0</v>
      </c>
      <c r="Z73" s="156" t="n">
        <f aca="false">SUM(Z60:Z72)+despesavariávelconsolidado[[#This Row],[21]]</f>
        <v>0</v>
      </c>
      <c r="AA73" s="156" t="n">
        <f aca="false">SUM(AA60:AA72)+despesavariávelconsolidado[[#This Row],[22]]</f>
        <v>0</v>
      </c>
      <c r="AB73" s="156" t="n">
        <f aca="false">SUM(AB60:AB72)+despesavariávelconsolidado[[#This Row],[23]]</f>
        <v>0</v>
      </c>
      <c r="AC73" s="156" t="n">
        <f aca="false">SUM(AC60:AC72)+despesavariávelconsolidado[[#This Row],[24]]</f>
        <v>0</v>
      </c>
      <c r="AD73" s="156" t="n">
        <f aca="false">SUM(AD60:AD72)+despesavariávelconsolidado[[#This Row],[25]]</f>
        <v>0</v>
      </c>
      <c r="AE73" s="156" t="n">
        <f aca="false">SUM(AE60:AE72)+despesavariávelconsolidado[[#This Row],[26]]</f>
        <v>0</v>
      </c>
      <c r="AF73" s="156" t="n">
        <f aca="false">SUM(AF60:AF72)+despesavariávelconsolidado[[#This Row],[27]]</f>
        <v>0</v>
      </c>
      <c r="AG73" s="156" t="n">
        <f aca="false">SUM(AG60:AG72)+despesavariávelconsolidado[[#This Row],[28]]</f>
        <v>0</v>
      </c>
      <c r="AH73" s="156" t="n">
        <f aca="false">SUM(AH60:AH72)+despesavariávelconsolidado[[#This Row],[29]]</f>
        <v>0</v>
      </c>
      <c r="AI73" s="223" t="n">
        <f aca="false">SUM(AI60:AI72)+despesavariávelconsolidado[[#This Row],[30]]</f>
        <v>0</v>
      </c>
      <c r="AJ73" s="157" t="n">
        <f aca="false">despesavariávelconsolidado[[#This Row],[31]]</f>
        <v>0</v>
      </c>
      <c r="AK73" s="224"/>
      <c r="AL73" s="199"/>
    </row>
    <row r="74" customFormat="false" ht="6.75" hidden="false" customHeight="true" outlineLevel="0" collapsed="false">
      <c r="A74" s="189"/>
      <c r="B74" s="185"/>
      <c r="C74" s="225"/>
      <c r="D74" s="226"/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  <c r="AA74" s="226"/>
      <c r="AB74" s="226"/>
      <c r="AC74" s="226"/>
      <c r="AD74" s="226"/>
      <c r="AE74" s="226"/>
      <c r="AF74" s="226"/>
      <c r="AG74" s="226"/>
      <c r="AH74" s="226"/>
      <c r="AI74" s="229"/>
      <c r="AJ74" s="185"/>
      <c r="AK74" s="228"/>
      <c r="AL74" s="189"/>
    </row>
    <row r="75" customFormat="false" ht="12.75" hidden="false" customHeight="false" outlineLevel="0" collapsed="false">
      <c r="A75" s="189"/>
      <c r="B75" s="189"/>
      <c r="C75" s="189"/>
      <c r="D75" s="189"/>
      <c r="E75" s="190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9"/>
      <c r="Y75" s="189"/>
      <c r="Z75" s="189"/>
      <c r="AA75" s="189"/>
      <c r="AB75" s="189"/>
      <c r="AC75" s="189"/>
      <c r="AD75" s="189"/>
      <c r="AE75" s="189"/>
      <c r="AF75" s="189"/>
      <c r="AG75" s="189"/>
      <c r="AH75" s="189"/>
      <c r="AI75" s="189"/>
      <c r="AJ75" s="189"/>
      <c r="AK75" s="189"/>
      <c r="AL75" s="189"/>
    </row>
    <row r="76" customFormat="false" ht="12" hidden="false" customHeight="false" outlineLevel="0" collapsed="false">
      <c r="A76" s="189"/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  <c r="Y76" s="189"/>
      <c r="Z76" s="189"/>
      <c r="AA76" s="189"/>
      <c r="AB76" s="189"/>
      <c r="AC76" s="189"/>
      <c r="AD76" s="189"/>
      <c r="AE76" s="189"/>
      <c r="AF76" s="189"/>
      <c r="AG76" s="189"/>
      <c r="AH76" s="189"/>
      <c r="AI76" s="189"/>
      <c r="AJ76" s="189"/>
      <c r="AK76" s="189"/>
      <c r="AL76" s="189"/>
    </row>
    <row r="77" customFormat="false" ht="12" hidden="false" customHeight="false" outlineLevel="0" collapsed="false">
      <c r="A77" s="189"/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  <c r="AB77" s="189"/>
      <c r="AC77" s="189"/>
      <c r="AD77" s="189"/>
      <c r="AE77" s="189"/>
      <c r="AF77" s="189"/>
      <c r="AG77" s="189"/>
      <c r="AH77" s="189"/>
      <c r="AI77" s="189"/>
      <c r="AJ77" s="189"/>
      <c r="AK77" s="189"/>
      <c r="AL77" s="189"/>
    </row>
    <row r="78" customFormat="false" ht="39.75" hidden="false" customHeight="true" outlineLevel="0" collapsed="false">
      <c r="A78" s="189"/>
      <c r="B78" s="189"/>
      <c r="C78" s="191"/>
      <c r="D78" s="189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03" t="s">
        <v>2</v>
      </c>
      <c r="AK78" s="189"/>
      <c r="AL78" s="189"/>
    </row>
    <row r="79" customFormat="false" ht="12.75" hidden="false" customHeight="false" outlineLevel="0" collapsed="false">
      <c r="A79" s="189"/>
      <c r="B79" s="230"/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06" t="s">
        <v>64</v>
      </c>
      <c r="AK79" s="189"/>
      <c r="AL79" s="189"/>
    </row>
    <row r="80" customFormat="false" ht="6.75" hidden="false" customHeight="true" outlineLevel="0" collapsed="false">
      <c r="A80" s="189"/>
      <c r="B80" s="172"/>
      <c r="C80" s="231"/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3"/>
      <c r="AK80" s="209"/>
      <c r="AL80" s="189"/>
    </row>
    <row r="81" customFormat="false" ht="13.5" hidden="true" customHeight="false" outlineLevel="0" collapsed="false">
      <c r="A81" s="189"/>
      <c r="B81" s="172"/>
      <c r="C81" s="195" t="s">
        <v>68</v>
      </c>
      <c r="D81" s="196" t="s">
        <v>69</v>
      </c>
      <c r="E81" s="196" t="s">
        <v>30</v>
      </c>
      <c r="F81" s="196" t="s">
        <v>31</v>
      </c>
      <c r="G81" s="196" t="s">
        <v>32</v>
      </c>
      <c r="H81" s="196" t="s">
        <v>33</v>
      </c>
      <c r="I81" s="196" t="s">
        <v>34</v>
      </c>
      <c r="J81" s="196" t="s">
        <v>35</v>
      </c>
      <c r="K81" s="196" t="s">
        <v>36</v>
      </c>
      <c r="L81" s="196" t="s">
        <v>37</v>
      </c>
      <c r="M81" s="196" t="s">
        <v>38</v>
      </c>
      <c r="N81" s="196" t="s">
        <v>39</v>
      </c>
      <c r="O81" s="196" t="s">
        <v>40</v>
      </c>
      <c r="P81" s="196" t="s">
        <v>41</v>
      </c>
      <c r="Q81" s="196" t="s">
        <v>81</v>
      </c>
      <c r="R81" s="196" t="s">
        <v>82</v>
      </c>
      <c r="S81" s="196" t="s">
        <v>83</v>
      </c>
      <c r="T81" s="196" t="s">
        <v>84</v>
      </c>
      <c r="U81" s="196" t="s">
        <v>85</v>
      </c>
      <c r="V81" s="196" t="s">
        <v>86</v>
      </c>
      <c r="W81" s="196" t="s">
        <v>87</v>
      </c>
      <c r="X81" s="196" t="s">
        <v>88</v>
      </c>
      <c r="Y81" s="196" t="s">
        <v>89</v>
      </c>
      <c r="Z81" s="196" t="s">
        <v>90</v>
      </c>
      <c r="AA81" s="196" t="s">
        <v>91</v>
      </c>
      <c r="AB81" s="196" t="s">
        <v>92</v>
      </c>
      <c r="AC81" s="196" t="s">
        <v>93</v>
      </c>
      <c r="AD81" s="196" t="s">
        <v>94</v>
      </c>
      <c r="AE81" s="196" t="s">
        <v>95</v>
      </c>
      <c r="AF81" s="196" t="s">
        <v>96</v>
      </c>
      <c r="AG81" s="196" t="s">
        <v>97</v>
      </c>
      <c r="AH81" s="196" t="s">
        <v>98</v>
      </c>
      <c r="AI81" s="196" t="s">
        <v>99</v>
      </c>
      <c r="AJ81" s="111" t="s">
        <v>70</v>
      </c>
      <c r="AK81" s="172"/>
      <c r="AL81" s="189"/>
    </row>
    <row r="82" customFormat="false" ht="19.5" hidden="false" customHeight="true" outlineLevel="0" collapsed="false">
      <c r="A82" s="189"/>
      <c r="B82" s="213"/>
      <c r="C82" s="214" t="str">
        <f aca="false">DADOS!$X$3</f>
        <v>💵 ALUGUEL</v>
      </c>
      <c r="D82" s="215" t="str">
        <f aca="false">IF(receitasfixasconsolidado[[#This Row],[TOTAL (R$)]]=0,"",IF(OR(receitasfixasconsolidado[[#This Row],[TOTAL (R$)]]=LARGE($AJ$82:$AJ$86,1),receitasfixasconsolidado[[#This Row],[TOTAL (R$)]]=LARGE($AJ$82:$AJ$86,2)),DADOS!$I$9,""))</f>
        <v/>
      </c>
      <c r="E82" s="146" t="n">
        <f aca="false">SUMIFS(tabela_registros[VALOR],tabela_registros[MÊS],$AE$1,tabela_registros[DIA],receitasfixasconsolidado[[#Headers],[1]],tabela_registros[REGISTRO],DADOS!$N$3,tabela_registros[TIPO],DADOS!$V$3,tabela_registros[CATEGORIA],receitasfixasconsolidado[[#This Row],[ATUAL]])</f>
        <v>0</v>
      </c>
      <c r="F82" s="114" t="n">
        <f aca="false">SUMIFS(tabela_registros[VALOR],tabela_registros[MÊS],$AE$1,tabela_registros[DIA],receitasfixasconsolidado[[#Headers],[2]],tabela_registros[REGISTRO],DADOS!$N$3,tabela_registros[TIPO],DADOS!$V$3,tabela_registros[CATEGORIA],receitasfixasconsolidado[[#This Row],[ATUAL]])</f>
        <v>0</v>
      </c>
      <c r="G82" s="114" t="n">
        <f aca="false">SUMIFS(tabela_registros[VALOR],tabela_registros[MÊS],$AE$1,tabela_registros[DIA],receitasfixasconsolidado[[#Headers],[3]],tabela_registros[REGISTRO],DADOS!$N$3,tabela_registros[TIPO],DADOS!$V$3,tabela_registros[CATEGORIA],receitasfixasconsolidado[[#This Row],[ATUAL]])</f>
        <v>0</v>
      </c>
      <c r="H82" s="114" t="n">
        <f aca="false">SUMIFS(tabela_registros[VALOR],tabela_registros[MÊS],$AE$1,tabela_registros[DIA],receitasfixasconsolidado[[#Headers],[4]],tabela_registros[REGISTRO],DADOS!$N$3,tabela_registros[TIPO],DADOS!$V$3,tabela_registros[CATEGORIA],receitasfixasconsolidado[[#This Row],[ATUAL]])</f>
        <v>0</v>
      </c>
      <c r="I82" s="114" t="n">
        <f aca="false">SUMIFS(tabela_registros[VALOR],tabela_registros[MÊS],$AE$1,tabela_registros[DIA],receitasfixasconsolidado[[#Headers],[5]],tabela_registros[REGISTRO],DADOS!$N$3,tabela_registros[TIPO],DADOS!$V$3,tabela_registros[CATEGORIA],receitasfixasconsolidado[[#This Row],[ATUAL]])</f>
        <v>0</v>
      </c>
      <c r="J82" s="114" t="n">
        <f aca="false">SUMIFS(tabela_registros[VALOR],tabela_registros[MÊS],$AE$1,tabela_registros[DIA],receitasfixasconsolidado[[#Headers],[6]],tabela_registros[REGISTRO],DADOS!$N$3,tabela_registros[TIPO],DADOS!$V$3,tabela_registros[CATEGORIA],receitasfixasconsolidado[[#This Row],[ATUAL]])</f>
        <v>0</v>
      </c>
      <c r="K82" s="114" t="n">
        <f aca="false">SUMIFS(tabela_registros[VALOR],tabela_registros[MÊS],$AE$1,tabela_registros[DIA],receitasfixasconsolidado[[#Headers],[7]],tabela_registros[REGISTRO],DADOS!$N$3,tabela_registros[TIPO],DADOS!$V$3,tabela_registros[CATEGORIA],receitasfixasconsolidado[[#This Row],[ATUAL]])</f>
        <v>0</v>
      </c>
      <c r="L82" s="114" t="n">
        <f aca="false">SUMIFS(tabela_registros[VALOR],tabela_registros[MÊS],$AE$1,tabela_registros[DIA],receitasfixasconsolidado[[#Headers],[8]],tabela_registros[REGISTRO],DADOS!$N$3,tabela_registros[TIPO],DADOS!$V$3,tabela_registros[CATEGORIA],receitasfixasconsolidado[[#This Row],[ATUAL]])</f>
        <v>0</v>
      </c>
      <c r="M82" s="114" t="n">
        <f aca="false">SUMIFS(tabela_registros[VALOR],tabela_registros[MÊS],$AE$1,tabela_registros[DIA],receitasfixasconsolidado[[#Headers],[9]],tabela_registros[REGISTRO],DADOS!$N$3,tabela_registros[TIPO],DADOS!$V$3,tabela_registros[CATEGORIA],receitasfixasconsolidado[[#This Row],[ATUAL]])</f>
        <v>0</v>
      </c>
      <c r="N82" s="114" t="n">
        <f aca="false">SUMIFS(tabela_registros[VALOR],tabela_registros[MÊS],$AE$1,tabela_registros[DIA],receitasfixasconsolidado[[#Headers],[10]],tabela_registros[REGISTRO],DADOS!$N$3,tabela_registros[TIPO],DADOS!$V$3,tabela_registros[CATEGORIA],receitasfixasconsolidado[[#This Row],[ATUAL]])</f>
        <v>0</v>
      </c>
      <c r="O82" s="114" t="n">
        <f aca="false">SUMIFS(tabela_registros[VALOR],tabela_registros[MÊS],$AE$1,tabela_registros[DIA],receitasfixasconsolidado[[#Headers],[11]],tabela_registros[REGISTRO],DADOS!$N$3,tabela_registros[TIPO],DADOS!$V$3,tabela_registros[CATEGORIA],receitasfixasconsolidado[[#This Row],[ATUAL]])</f>
        <v>0</v>
      </c>
      <c r="P82" s="114" t="n">
        <f aca="false">SUMIFS(tabela_registros[VALOR],tabela_registros[MÊS],$AE$1,tabela_registros[DIA],receitasfixasconsolidado[[#Headers],[12]],tabela_registros[REGISTRO],DADOS!$N$3,tabela_registros[TIPO],DADOS!$V$3,tabela_registros[CATEGORIA],receitasfixasconsolidado[[#This Row],[ATUAL]])</f>
        <v>0</v>
      </c>
      <c r="Q82" s="114" t="n">
        <f aca="false">SUMIFS(tabela_registros[VALOR],tabela_registros[MÊS],$AE$1,tabela_registros[DIA],receitasfixasconsolidado[[#Headers],[13]],tabela_registros[REGISTRO],DADOS!$N$3,tabela_registros[TIPO],DADOS!$V$3,tabela_registros[CATEGORIA],receitasfixasconsolidado[[#This Row],[ATUAL]])</f>
        <v>0</v>
      </c>
      <c r="R82" s="114" t="n">
        <f aca="false">SUMIFS(tabela_registros[VALOR],tabela_registros[MÊS],$AE$1,tabela_registros[DIA],receitasfixasconsolidado[[#Headers],[14]],tabela_registros[REGISTRO],DADOS!$N$3,tabela_registros[TIPO],DADOS!$V$3,tabela_registros[CATEGORIA],receitasfixasconsolidado[[#This Row],[ATUAL]])</f>
        <v>0</v>
      </c>
      <c r="S82" s="114" t="n">
        <f aca="false">SUMIFS(tabela_registros[VALOR],tabela_registros[MÊS],$AE$1,tabela_registros[DIA],receitasfixasconsolidado[[#Headers],[15]],tabela_registros[REGISTRO],DADOS!$N$3,tabela_registros[TIPO],DADOS!$V$3,tabela_registros[CATEGORIA],receitasfixasconsolidado[[#This Row],[ATUAL]])</f>
        <v>0</v>
      </c>
      <c r="T82" s="114" t="n">
        <f aca="false">SUMIFS(tabela_registros[VALOR],tabela_registros[MÊS],$AE$1,tabela_registros[DIA],receitasfixasconsolidado[[#Headers],[16]],tabela_registros[REGISTRO],DADOS!$N$3,tabela_registros[TIPO],DADOS!$V$3,tabela_registros[CATEGORIA],receitasfixasconsolidado[[#This Row],[ATUAL]])</f>
        <v>0</v>
      </c>
      <c r="U82" s="114" t="n">
        <f aca="false">SUMIFS(tabela_registros[VALOR],tabela_registros[MÊS],$AE$1,tabela_registros[DIA],receitasfixasconsolidado[[#Headers],[17]],tabela_registros[REGISTRO],DADOS!$N$3,tabela_registros[TIPO],DADOS!$V$3,tabela_registros[CATEGORIA],receitasfixasconsolidado[[#This Row],[ATUAL]])</f>
        <v>0</v>
      </c>
      <c r="V82" s="114" t="n">
        <f aca="false">SUMIFS(tabela_registros[VALOR],tabela_registros[MÊS],$AE$1,tabela_registros[DIA],receitasfixasconsolidado[[#Headers],[18]],tabela_registros[REGISTRO],DADOS!$N$3,tabela_registros[TIPO],DADOS!$V$3,tabela_registros[CATEGORIA],receitasfixasconsolidado[[#This Row],[ATUAL]])</f>
        <v>0</v>
      </c>
      <c r="W82" s="114" t="n">
        <f aca="false">SUMIFS(tabela_registros[VALOR],tabela_registros[MÊS],$AE$1,tabela_registros[DIA],receitasfixasconsolidado[[#Headers],[19]],tabela_registros[REGISTRO],DADOS!$N$3,tabela_registros[TIPO],DADOS!$V$3,tabela_registros[CATEGORIA],receitasfixasconsolidado[[#This Row],[ATUAL]])</f>
        <v>0</v>
      </c>
      <c r="X82" s="114" t="n">
        <f aca="false">SUMIFS(tabela_registros[VALOR],tabela_registros[MÊS],$AE$1,tabela_registros[DIA],receitasfixasconsolidado[[#Headers],[20]],tabela_registros[REGISTRO],DADOS!$N$3,tabela_registros[TIPO],DADOS!$V$3,tabela_registros[CATEGORIA],receitasfixasconsolidado[[#This Row],[ATUAL]])</f>
        <v>0</v>
      </c>
      <c r="Y82" s="114" t="n">
        <f aca="false">SUMIFS(tabela_registros[VALOR],tabela_registros[MÊS],$AE$1,tabela_registros[DIA],receitasfixasconsolidado[[#Headers],[21]],tabela_registros[REGISTRO],DADOS!$N$3,tabela_registros[TIPO],DADOS!$V$3,tabela_registros[CATEGORIA],receitasfixasconsolidado[[#This Row],[ATUAL]])</f>
        <v>0</v>
      </c>
      <c r="Z82" s="114" t="n">
        <f aca="false">SUMIFS(tabela_registros[VALOR],tabela_registros[MÊS],$AE$1,tabela_registros[DIA],receitasfixasconsolidado[[#Headers],[22]],tabela_registros[REGISTRO],DADOS!$N$3,tabela_registros[TIPO],DADOS!$V$3,tabela_registros[CATEGORIA],receitasfixasconsolidado[[#This Row],[ATUAL]])</f>
        <v>0</v>
      </c>
      <c r="AA82" s="114" t="n">
        <f aca="false">SUMIFS(tabela_registros[VALOR],tabela_registros[MÊS],$AE$1,tabela_registros[DIA],receitasfixasconsolidado[[#Headers],[23]],tabela_registros[REGISTRO],DADOS!$N$3,tabela_registros[TIPO],DADOS!$V$3,tabela_registros[CATEGORIA],receitasfixasconsolidado[[#This Row],[ATUAL]])</f>
        <v>0</v>
      </c>
      <c r="AB82" s="114" t="n">
        <f aca="false">SUMIFS(tabela_registros[VALOR],tabela_registros[MÊS],$AE$1,tabela_registros[DIA],receitasfixasconsolidado[[#Headers],[24]],tabela_registros[REGISTRO],DADOS!$N$3,tabela_registros[TIPO],DADOS!$V$3,tabela_registros[CATEGORIA],receitasfixasconsolidado[[#This Row],[ATUAL]])</f>
        <v>0</v>
      </c>
      <c r="AC82" s="114" t="n">
        <f aca="false">SUMIFS(tabela_registros[VALOR],tabela_registros[MÊS],$AE$1,tabela_registros[DIA],receitasfixasconsolidado[[#Headers],[25]],tabela_registros[REGISTRO],DADOS!$N$3,tabela_registros[TIPO],DADOS!$V$3,tabela_registros[CATEGORIA],receitasfixasconsolidado[[#This Row],[ATUAL]])</f>
        <v>0</v>
      </c>
      <c r="AD82" s="114" t="n">
        <f aca="false">SUMIFS(tabela_registros[VALOR],tabela_registros[MÊS],$AE$1,tabela_registros[DIA],receitasfixasconsolidado[[#Headers],[26]],tabela_registros[REGISTRO],DADOS!$N$3,tabela_registros[TIPO],DADOS!$V$3,tabela_registros[CATEGORIA],receitasfixasconsolidado[[#This Row],[ATUAL]])</f>
        <v>0</v>
      </c>
      <c r="AE82" s="114" t="n">
        <f aca="false">SUMIFS(tabela_registros[VALOR],tabela_registros[MÊS],$AE$1,tabela_registros[DIA],receitasfixasconsolidado[[#Headers],[27]],tabela_registros[REGISTRO],DADOS!$N$3,tabela_registros[TIPO],DADOS!$V$3,tabela_registros[CATEGORIA],receitasfixasconsolidado[[#This Row],[ATUAL]])</f>
        <v>0</v>
      </c>
      <c r="AF82" s="114" t="n">
        <f aca="false">SUMIFS(tabela_registros[VALOR],tabela_registros[MÊS],$AE$1,tabela_registros[DIA],receitasfixasconsolidado[[#Headers],[28]],tabela_registros[REGISTRO],DADOS!$N$3,tabela_registros[TIPO],DADOS!$V$3,tabela_registros[CATEGORIA],receitasfixasconsolidado[[#This Row],[ATUAL]])</f>
        <v>0</v>
      </c>
      <c r="AG82" s="114" t="n">
        <f aca="false">SUMIFS(tabela_registros[VALOR],tabela_registros[MÊS],$AE$1,tabela_registros[DIA],receitasfixasconsolidado[[#Headers],[29]],tabela_registros[REGISTRO],DADOS!$N$3,tabela_registros[TIPO],DADOS!$V$3,tabela_registros[CATEGORIA],receitasfixasconsolidado[[#This Row],[ATUAL]])</f>
        <v>0</v>
      </c>
      <c r="AH82" s="114" t="n">
        <f aca="false">SUMIFS(tabela_registros[VALOR],tabela_registros[MÊS],$AE$1,tabela_registros[DIA],receitasfixasconsolidado[[#Headers],[30]],tabela_registros[REGISTRO],DADOS!$N$3,tabela_registros[TIPO],DADOS!$V$3,tabela_registros[CATEGORIA],receitasfixasconsolidado[[#This Row],[ATUAL]])</f>
        <v>0</v>
      </c>
      <c r="AI82" s="216" t="n">
        <f aca="false">SUMIFS(tabela_registros[VALOR],tabela_registros[MÊS],$AE$1,tabela_registros[DIA],receitasfixasconsolidado[[#Headers],[31]],tabela_registros[REGISTRO],DADOS!$N$3,tabela_registros[TIPO],DADOS!$V$3,tabela_registros[CATEGORIA],receitasfixasconsolidado[[#This Row],[ATUAL]])</f>
        <v>0</v>
      </c>
      <c r="AJ82" s="149" t="n">
        <f aca="false">SUM(receitasfixasconsolidado[[#This Row],[1]:[31]])</f>
        <v>0</v>
      </c>
      <c r="AK82" s="234"/>
      <c r="AL82" s="189"/>
    </row>
    <row r="83" customFormat="false" ht="19.5" hidden="false" customHeight="true" outlineLevel="0" collapsed="false">
      <c r="A83" s="189"/>
      <c r="B83" s="213"/>
      <c r="C83" s="214" t="str">
        <f aca="false">DADOS!$X$4</f>
        <v>💸APOSENTADORIA</v>
      </c>
      <c r="D83" s="215" t="str">
        <f aca="false">IF(receitasfixasconsolidado[[#This Row],[TOTAL (R$)]]=0,"",IF(OR(receitasfixasconsolidado[[#This Row],[TOTAL (R$)]]=LARGE($AJ$82:$AJ$86,1),receitasfixasconsolidado[[#This Row],[TOTAL (R$)]]=LARGE($AJ$82:$AJ$86,2)),DADOS!$I$9,""))</f>
        <v/>
      </c>
      <c r="E83" s="148" t="n">
        <f aca="false">SUMIFS(tabela_registros[VALOR],tabela_registros[MÊS],$AE$1,tabela_registros[DIA],receitasfixasconsolidado[[#Headers],[1]],tabela_registros[REGISTRO],DADOS!$N$3,tabela_registros[TIPO],DADOS!$V$3,tabela_registros[CATEGORIA],receitasfixasconsolidado[[#This Row],[ATUAL]])</f>
        <v>0</v>
      </c>
      <c r="F83" s="119" t="n">
        <f aca="false">SUMIFS(tabela_registros[VALOR],tabela_registros[MÊS],$AE$1,tabela_registros[DIA],receitasfixasconsolidado[[#Headers],[2]],tabela_registros[REGISTRO],DADOS!$N$3,tabela_registros[TIPO],DADOS!$V$3,tabela_registros[CATEGORIA],receitasfixasconsolidado[[#This Row],[ATUAL]])</f>
        <v>0</v>
      </c>
      <c r="G83" s="119" t="n">
        <f aca="false">SUMIFS(tabela_registros[VALOR],tabela_registros[MÊS],$AE$1,tabela_registros[DIA],receitasfixasconsolidado[[#Headers],[3]],tabela_registros[REGISTRO],DADOS!$N$3,tabela_registros[TIPO],DADOS!$V$3,tabela_registros[CATEGORIA],receitasfixasconsolidado[[#This Row],[ATUAL]])</f>
        <v>0</v>
      </c>
      <c r="H83" s="119" t="n">
        <f aca="false">SUMIFS(tabela_registros[VALOR],tabela_registros[MÊS],$AE$1,tabela_registros[DIA],receitasfixasconsolidado[[#Headers],[4]],tabela_registros[REGISTRO],DADOS!$N$3,tabela_registros[TIPO],DADOS!$V$3,tabela_registros[CATEGORIA],receitasfixasconsolidado[[#This Row],[ATUAL]])</f>
        <v>0</v>
      </c>
      <c r="I83" s="119" t="n">
        <f aca="false">SUMIFS(tabela_registros[VALOR],tabela_registros[MÊS],$AE$1,tabela_registros[DIA],receitasfixasconsolidado[[#Headers],[5]],tabela_registros[REGISTRO],DADOS!$N$3,tabela_registros[TIPO],DADOS!$V$3,tabela_registros[CATEGORIA],receitasfixasconsolidado[[#This Row],[ATUAL]])</f>
        <v>0</v>
      </c>
      <c r="J83" s="119" t="n">
        <f aca="false">SUMIFS(tabela_registros[VALOR],tabela_registros[MÊS],$AE$1,tabela_registros[DIA],receitasfixasconsolidado[[#Headers],[6]],tabela_registros[REGISTRO],DADOS!$N$3,tabela_registros[TIPO],DADOS!$V$3,tabela_registros[CATEGORIA],receitasfixasconsolidado[[#This Row],[ATUAL]])</f>
        <v>0</v>
      </c>
      <c r="K83" s="119" t="n">
        <f aca="false">SUMIFS(tabela_registros[VALOR],tabela_registros[MÊS],$AE$1,tabela_registros[DIA],receitasfixasconsolidado[[#Headers],[7]],tabela_registros[REGISTRO],DADOS!$N$3,tabela_registros[TIPO],DADOS!$V$3,tabela_registros[CATEGORIA],receitasfixasconsolidado[[#This Row],[ATUAL]])</f>
        <v>0</v>
      </c>
      <c r="L83" s="119" t="n">
        <f aca="false">SUMIFS(tabela_registros[VALOR],tabela_registros[MÊS],$AE$1,tabela_registros[DIA],receitasfixasconsolidado[[#Headers],[8]],tabela_registros[REGISTRO],DADOS!$N$3,tabela_registros[TIPO],DADOS!$V$3,tabela_registros[CATEGORIA],receitasfixasconsolidado[[#This Row],[ATUAL]])</f>
        <v>0</v>
      </c>
      <c r="M83" s="119" t="n">
        <f aca="false">SUMIFS(tabela_registros[VALOR],tabela_registros[MÊS],$AE$1,tabela_registros[DIA],receitasfixasconsolidado[[#Headers],[9]],tabela_registros[REGISTRO],DADOS!$N$3,tabela_registros[TIPO],DADOS!$V$3,tabela_registros[CATEGORIA],receitasfixasconsolidado[[#This Row],[ATUAL]])</f>
        <v>0</v>
      </c>
      <c r="N83" s="119" t="n">
        <f aca="false">SUMIFS(tabela_registros[VALOR],tabela_registros[MÊS],$AE$1,tabela_registros[DIA],receitasfixasconsolidado[[#Headers],[10]],tabela_registros[REGISTRO],DADOS!$N$3,tabela_registros[TIPO],DADOS!$V$3,tabela_registros[CATEGORIA],receitasfixasconsolidado[[#This Row],[ATUAL]])</f>
        <v>0</v>
      </c>
      <c r="O83" s="119" t="n">
        <f aca="false">SUMIFS(tabela_registros[VALOR],tabela_registros[MÊS],$AE$1,tabela_registros[DIA],receitasfixasconsolidado[[#Headers],[11]],tabela_registros[REGISTRO],DADOS!$N$3,tabela_registros[TIPO],DADOS!$V$3,tabela_registros[CATEGORIA],receitasfixasconsolidado[[#This Row],[ATUAL]])</f>
        <v>0</v>
      </c>
      <c r="P83" s="119" t="n">
        <f aca="false">SUMIFS(tabela_registros[VALOR],tabela_registros[MÊS],$AE$1,tabela_registros[DIA],receitasfixasconsolidado[[#Headers],[12]],tabela_registros[REGISTRO],DADOS!$N$3,tabela_registros[TIPO],DADOS!$V$3,tabela_registros[CATEGORIA],receitasfixasconsolidado[[#This Row],[ATUAL]])</f>
        <v>0</v>
      </c>
      <c r="Q83" s="119" t="n">
        <f aca="false">SUMIFS(tabela_registros[VALOR],tabela_registros[MÊS],$AE$1,tabela_registros[DIA],receitasfixasconsolidado[[#Headers],[13]],tabela_registros[REGISTRO],DADOS!$N$3,tabela_registros[TIPO],DADOS!$V$3,tabela_registros[CATEGORIA],receitasfixasconsolidado[[#This Row],[ATUAL]])</f>
        <v>0</v>
      </c>
      <c r="R83" s="119" t="n">
        <f aca="false">SUMIFS(tabela_registros[VALOR],tabela_registros[MÊS],$AE$1,tabela_registros[DIA],receitasfixasconsolidado[[#Headers],[14]],tabela_registros[REGISTRO],DADOS!$N$3,tabela_registros[TIPO],DADOS!$V$3,tabela_registros[CATEGORIA],receitasfixasconsolidado[[#This Row],[ATUAL]])</f>
        <v>0</v>
      </c>
      <c r="S83" s="119" t="n">
        <f aca="false">SUMIFS(tabela_registros[VALOR],tabela_registros[MÊS],$AE$1,tabela_registros[DIA],receitasfixasconsolidado[[#Headers],[15]],tabela_registros[REGISTRO],DADOS!$N$3,tabela_registros[TIPO],DADOS!$V$3,tabela_registros[CATEGORIA],receitasfixasconsolidado[[#This Row],[ATUAL]])</f>
        <v>0</v>
      </c>
      <c r="T83" s="119" t="n">
        <f aca="false">SUMIFS(tabela_registros[VALOR],tabela_registros[MÊS],$AE$1,tabela_registros[DIA],receitasfixasconsolidado[[#Headers],[16]],tabela_registros[REGISTRO],DADOS!$N$3,tabela_registros[TIPO],DADOS!$V$3,tabela_registros[CATEGORIA],receitasfixasconsolidado[[#This Row],[ATUAL]])</f>
        <v>0</v>
      </c>
      <c r="U83" s="119" t="n">
        <f aca="false">SUMIFS(tabela_registros[VALOR],tabela_registros[MÊS],$AE$1,tabela_registros[DIA],receitasfixasconsolidado[[#Headers],[17]],tabela_registros[REGISTRO],DADOS!$N$3,tabela_registros[TIPO],DADOS!$V$3,tabela_registros[CATEGORIA],receitasfixasconsolidado[[#This Row],[ATUAL]])</f>
        <v>0</v>
      </c>
      <c r="V83" s="119" t="n">
        <f aca="false">SUMIFS(tabela_registros[VALOR],tabela_registros[MÊS],$AE$1,tabela_registros[DIA],receitasfixasconsolidado[[#Headers],[18]],tabela_registros[REGISTRO],DADOS!$N$3,tabela_registros[TIPO],DADOS!$V$3,tabela_registros[CATEGORIA],receitasfixasconsolidado[[#This Row],[ATUAL]])</f>
        <v>0</v>
      </c>
      <c r="W83" s="119" t="n">
        <f aca="false">SUMIFS(tabela_registros[VALOR],tabela_registros[MÊS],$AE$1,tabela_registros[DIA],receitasfixasconsolidado[[#Headers],[19]],tabela_registros[REGISTRO],DADOS!$N$3,tabela_registros[TIPO],DADOS!$V$3,tabela_registros[CATEGORIA],receitasfixasconsolidado[[#This Row],[ATUAL]])</f>
        <v>0</v>
      </c>
      <c r="X83" s="119" t="n">
        <f aca="false">SUMIFS(tabela_registros[VALOR],tabela_registros[MÊS],$AE$1,tabela_registros[DIA],receitasfixasconsolidado[[#Headers],[20]],tabela_registros[REGISTRO],DADOS!$N$3,tabela_registros[TIPO],DADOS!$V$3,tabela_registros[CATEGORIA],receitasfixasconsolidado[[#This Row],[ATUAL]])</f>
        <v>0</v>
      </c>
      <c r="Y83" s="119" t="n">
        <f aca="false">SUMIFS(tabela_registros[VALOR],tabela_registros[MÊS],$AE$1,tabela_registros[DIA],receitasfixasconsolidado[[#Headers],[21]],tabela_registros[REGISTRO],DADOS!$N$3,tabela_registros[TIPO],DADOS!$V$3,tabela_registros[CATEGORIA],receitasfixasconsolidado[[#This Row],[ATUAL]])</f>
        <v>0</v>
      </c>
      <c r="Z83" s="119" t="n">
        <f aca="false">SUMIFS(tabela_registros[VALOR],tabela_registros[MÊS],$AE$1,tabela_registros[DIA],receitasfixasconsolidado[[#Headers],[22]],tabela_registros[REGISTRO],DADOS!$N$3,tabela_registros[TIPO],DADOS!$V$3,tabela_registros[CATEGORIA],receitasfixasconsolidado[[#This Row],[ATUAL]])</f>
        <v>0</v>
      </c>
      <c r="AA83" s="119" t="n">
        <f aca="false">SUMIFS(tabela_registros[VALOR],tabela_registros[MÊS],$AE$1,tabela_registros[DIA],receitasfixasconsolidado[[#Headers],[23]],tabela_registros[REGISTRO],DADOS!$N$3,tabela_registros[TIPO],DADOS!$V$3,tabela_registros[CATEGORIA],receitasfixasconsolidado[[#This Row],[ATUAL]])</f>
        <v>0</v>
      </c>
      <c r="AB83" s="119" t="n">
        <f aca="false">SUMIFS(tabela_registros[VALOR],tabela_registros[MÊS],$AE$1,tabela_registros[DIA],receitasfixasconsolidado[[#Headers],[24]],tabela_registros[REGISTRO],DADOS!$N$3,tabela_registros[TIPO],DADOS!$V$3,tabela_registros[CATEGORIA],receitasfixasconsolidado[[#This Row],[ATUAL]])</f>
        <v>0</v>
      </c>
      <c r="AC83" s="119" t="n">
        <f aca="false">SUMIFS(tabela_registros[VALOR],tabela_registros[MÊS],$AE$1,tabela_registros[DIA],receitasfixasconsolidado[[#Headers],[25]],tabela_registros[REGISTRO],DADOS!$N$3,tabela_registros[TIPO],DADOS!$V$3,tabela_registros[CATEGORIA],receitasfixasconsolidado[[#This Row],[ATUAL]])</f>
        <v>0</v>
      </c>
      <c r="AD83" s="119" t="n">
        <f aca="false">SUMIFS(tabela_registros[VALOR],tabela_registros[MÊS],$AE$1,tabela_registros[DIA],receitasfixasconsolidado[[#Headers],[26]],tabela_registros[REGISTRO],DADOS!$N$3,tabela_registros[TIPO],DADOS!$V$3,tabela_registros[CATEGORIA],receitasfixasconsolidado[[#This Row],[ATUAL]])</f>
        <v>0</v>
      </c>
      <c r="AE83" s="119" t="n">
        <f aca="false">SUMIFS(tabela_registros[VALOR],tabela_registros[MÊS],$AE$1,tabela_registros[DIA],receitasfixasconsolidado[[#Headers],[27]],tabela_registros[REGISTRO],DADOS!$N$3,tabela_registros[TIPO],DADOS!$V$3,tabela_registros[CATEGORIA],receitasfixasconsolidado[[#This Row],[ATUAL]])</f>
        <v>0</v>
      </c>
      <c r="AF83" s="119" t="n">
        <f aca="false">SUMIFS(tabela_registros[VALOR],tabela_registros[MÊS],$AE$1,tabela_registros[DIA],receitasfixasconsolidado[[#Headers],[28]],tabela_registros[REGISTRO],DADOS!$N$3,tabela_registros[TIPO],DADOS!$V$3,tabela_registros[CATEGORIA],receitasfixasconsolidado[[#This Row],[ATUAL]])</f>
        <v>0</v>
      </c>
      <c r="AG83" s="119" t="n">
        <f aca="false">SUMIFS(tabela_registros[VALOR],tabela_registros[MÊS],$AE$1,tabela_registros[DIA],receitasfixasconsolidado[[#Headers],[29]],tabela_registros[REGISTRO],DADOS!$N$3,tabela_registros[TIPO],DADOS!$V$3,tabela_registros[CATEGORIA],receitasfixasconsolidado[[#This Row],[ATUAL]])</f>
        <v>0</v>
      </c>
      <c r="AH83" s="119" t="n">
        <f aca="false">SUMIFS(tabela_registros[VALOR],tabela_registros[MÊS],$AE$1,tabela_registros[DIA],receitasfixasconsolidado[[#Headers],[30]],tabela_registros[REGISTRO],DADOS!$N$3,tabela_registros[TIPO],DADOS!$V$3,tabela_registros[CATEGORIA],receitasfixasconsolidado[[#This Row],[ATUAL]])</f>
        <v>0</v>
      </c>
      <c r="AI83" s="217" t="n">
        <f aca="false">SUMIFS(tabela_registros[VALOR],tabela_registros[MÊS],$AE$1,tabela_registros[DIA],receitasfixasconsolidado[[#Headers],[31]],tabela_registros[REGISTRO],DADOS!$N$3,tabela_registros[TIPO],DADOS!$V$3,tabela_registros[CATEGORIA],receitasfixasconsolidado[[#This Row],[ATUAL]])</f>
        <v>0</v>
      </c>
      <c r="AJ83" s="149" t="n">
        <f aca="false">SUM(receitasfixasconsolidado[[#This Row],[1]:[31]])</f>
        <v>0</v>
      </c>
      <c r="AK83" s="234"/>
      <c r="AL83" s="189"/>
    </row>
    <row r="84" customFormat="false" ht="19.5" hidden="false" customHeight="true" outlineLevel="0" collapsed="false">
      <c r="A84" s="189"/>
      <c r="B84" s="213"/>
      <c r="C84" s="214" t="str">
        <f aca="false">DADOS!$X$5</f>
        <v>🎀 MESADA</v>
      </c>
      <c r="D84" s="215" t="str">
        <f aca="false">IF(receitasfixasconsolidado[[#This Row],[TOTAL (R$)]]=0,"",IF(OR(receitasfixasconsolidado[[#This Row],[TOTAL (R$)]]=LARGE($AJ$82:$AJ$86,1),receitasfixasconsolidado[[#This Row],[TOTAL (R$)]]=LARGE($AJ$82:$AJ$86,2)),DADOS!$I$9,""))</f>
        <v/>
      </c>
      <c r="E84" s="148" t="n">
        <f aca="false">SUMIFS(tabela_registros[VALOR],tabela_registros[MÊS],$AE$1,tabela_registros[DIA],receitasfixasconsolidado[[#Headers],[1]],tabela_registros[REGISTRO],DADOS!$N$3,tabela_registros[TIPO],DADOS!$V$3,tabela_registros[CATEGORIA],receitasfixasconsolidado[[#This Row],[ATUAL]])</f>
        <v>0</v>
      </c>
      <c r="F84" s="119" t="n">
        <f aca="false">SUMIFS(tabela_registros[VALOR],tabela_registros[MÊS],$AE$1,tabela_registros[DIA],receitasfixasconsolidado[[#Headers],[2]],tabela_registros[REGISTRO],DADOS!$N$3,tabela_registros[TIPO],DADOS!$V$3,tabela_registros[CATEGORIA],receitasfixasconsolidado[[#This Row],[ATUAL]])</f>
        <v>0</v>
      </c>
      <c r="G84" s="119" t="n">
        <f aca="false">SUMIFS(tabela_registros[VALOR],tabela_registros[MÊS],$AE$1,tabela_registros[DIA],receitasfixasconsolidado[[#Headers],[3]],tabela_registros[REGISTRO],DADOS!$N$3,tabela_registros[TIPO],DADOS!$V$3,tabela_registros[CATEGORIA],receitasfixasconsolidado[[#This Row],[ATUAL]])</f>
        <v>0</v>
      </c>
      <c r="H84" s="119" t="n">
        <f aca="false">SUMIFS(tabela_registros[VALOR],tabela_registros[MÊS],$AE$1,tabela_registros[DIA],receitasfixasconsolidado[[#Headers],[4]],tabela_registros[REGISTRO],DADOS!$N$3,tabela_registros[TIPO],DADOS!$V$3,tabela_registros[CATEGORIA],receitasfixasconsolidado[[#This Row],[ATUAL]])</f>
        <v>0</v>
      </c>
      <c r="I84" s="119" t="n">
        <f aca="false">SUMIFS(tabela_registros[VALOR],tabela_registros[MÊS],$AE$1,tabela_registros[DIA],receitasfixasconsolidado[[#Headers],[5]],tabela_registros[REGISTRO],DADOS!$N$3,tabela_registros[TIPO],DADOS!$V$3,tabela_registros[CATEGORIA],receitasfixasconsolidado[[#This Row],[ATUAL]])</f>
        <v>0</v>
      </c>
      <c r="J84" s="119" t="n">
        <f aca="false">SUMIFS(tabela_registros[VALOR],tabela_registros[MÊS],$AE$1,tabela_registros[DIA],receitasfixasconsolidado[[#Headers],[6]],tabela_registros[REGISTRO],DADOS!$N$3,tabela_registros[TIPO],DADOS!$V$3,tabela_registros[CATEGORIA],receitasfixasconsolidado[[#This Row],[ATUAL]])</f>
        <v>0</v>
      </c>
      <c r="K84" s="119" t="n">
        <f aca="false">SUMIFS(tabela_registros[VALOR],tabela_registros[MÊS],$AE$1,tabela_registros[DIA],receitasfixasconsolidado[[#Headers],[7]],tabela_registros[REGISTRO],DADOS!$N$3,tabela_registros[TIPO],DADOS!$V$3,tabela_registros[CATEGORIA],receitasfixasconsolidado[[#This Row],[ATUAL]])</f>
        <v>0</v>
      </c>
      <c r="L84" s="119" t="n">
        <f aca="false">SUMIFS(tabela_registros[VALOR],tabela_registros[MÊS],$AE$1,tabela_registros[DIA],receitasfixasconsolidado[[#Headers],[8]],tabela_registros[REGISTRO],DADOS!$N$3,tabela_registros[TIPO],DADOS!$V$3,tabela_registros[CATEGORIA],receitasfixasconsolidado[[#This Row],[ATUAL]])</f>
        <v>0</v>
      </c>
      <c r="M84" s="119" t="n">
        <f aca="false">SUMIFS(tabela_registros[VALOR],tabela_registros[MÊS],$AE$1,tabela_registros[DIA],receitasfixasconsolidado[[#Headers],[9]],tabela_registros[REGISTRO],DADOS!$N$3,tabela_registros[TIPO],DADOS!$V$3,tabela_registros[CATEGORIA],receitasfixasconsolidado[[#This Row],[ATUAL]])</f>
        <v>0</v>
      </c>
      <c r="N84" s="119" t="n">
        <f aca="false">SUMIFS(tabela_registros[VALOR],tabela_registros[MÊS],$AE$1,tabela_registros[DIA],receitasfixasconsolidado[[#Headers],[10]],tabela_registros[REGISTRO],DADOS!$N$3,tabela_registros[TIPO],DADOS!$V$3,tabela_registros[CATEGORIA],receitasfixasconsolidado[[#This Row],[ATUAL]])</f>
        <v>0</v>
      </c>
      <c r="O84" s="119" t="n">
        <f aca="false">SUMIFS(tabela_registros[VALOR],tabela_registros[MÊS],$AE$1,tabela_registros[DIA],receitasfixasconsolidado[[#Headers],[11]],tabela_registros[REGISTRO],DADOS!$N$3,tabela_registros[TIPO],DADOS!$V$3,tabela_registros[CATEGORIA],receitasfixasconsolidado[[#This Row],[ATUAL]])</f>
        <v>0</v>
      </c>
      <c r="P84" s="119" t="n">
        <f aca="false">SUMIFS(tabela_registros[VALOR],tabela_registros[MÊS],$AE$1,tabela_registros[DIA],receitasfixasconsolidado[[#Headers],[12]],tabela_registros[REGISTRO],DADOS!$N$3,tabela_registros[TIPO],DADOS!$V$3,tabela_registros[CATEGORIA],receitasfixasconsolidado[[#This Row],[ATUAL]])</f>
        <v>0</v>
      </c>
      <c r="Q84" s="119" t="n">
        <f aca="false">SUMIFS(tabela_registros[VALOR],tabela_registros[MÊS],$AE$1,tabela_registros[DIA],receitasfixasconsolidado[[#Headers],[13]],tabela_registros[REGISTRO],DADOS!$N$3,tabela_registros[TIPO],DADOS!$V$3,tabela_registros[CATEGORIA],receitasfixasconsolidado[[#This Row],[ATUAL]])</f>
        <v>0</v>
      </c>
      <c r="R84" s="119" t="n">
        <f aca="false">SUMIFS(tabela_registros[VALOR],tabela_registros[MÊS],$AE$1,tabela_registros[DIA],receitasfixasconsolidado[[#Headers],[14]],tabela_registros[REGISTRO],DADOS!$N$3,tabela_registros[TIPO],DADOS!$V$3,tabela_registros[CATEGORIA],receitasfixasconsolidado[[#This Row],[ATUAL]])</f>
        <v>0</v>
      </c>
      <c r="S84" s="119" t="n">
        <f aca="false">SUMIFS(tabela_registros[VALOR],tabela_registros[MÊS],$AE$1,tabela_registros[DIA],receitasfixasconsolidado[[#Headers],[15]],tabela_registros[REGISTRO],DADOS!$N$3,tabela_registros[TIPO],DADOS!$V$3,tabela_registros[CATEGORIA],receitasfixasconsolidado[[#This Row],[ATUAL]])</f>
        <v>0</v>
      </c>
      <c r="T84" s="119" t="n">
        <f aca="false">SUMIFS(tabela_registros[VALOR],tabela_registros[MÊS],$AE$1,tabela_registros[DIA],receitasfixasconsolidado[[#Headers],[16]],tabela_registros[REGISTRO],DADOS!$N$3,tabela_registros[TIPO],DADOS!$V$3,tabela_registros[CATEGORIA],receitasfixasconsolidado[[#This Row],[ATUAL]])</f>
        <v>0</v>
      </c>
      <c r="U84" s="119" t="n">
        <f aca="false">SUMIFS(tabela_registros[VALOR],tabela_registros[MÊS],$AE$1,tabela_registros[DIA],receitasfixasconsolidado[[#Headers],[17]],tabela_registros[REGISTRO],DADOS!$N$3,tabela_registros[TIPO],DADOS!$V$3,tabela_registros[CATEGORIA],receitasfixasconsolidado[[#This Row],[ATUAL]])</f>
        <v>0</v>
      </c>
      <c r="V84" s="119" t="n">
        <f aca="false">SUMIFS(tabela_registros[VALOR],tabela_registros[MÊS],$AE$1,tabela_registros[DIA],receitasfixasconsolidado[[#Headers],[18]],tabela_registros[REGISTRO],DADOS!$N$3,tabela_registros[TIPO],DADOS!$V$3,tabela_registros[CATEGORIA],receitasfixasconsolidado[[#This Row],[ATUAL]])</f>
        <v>0</v>
      </c>
      <c r="W84" s="119" t="n">
        <f aca="false">SUMIFS(tabela_registros[VALOR],tabela_registros[MÊS],$AE$1,tabela_registros[DIA],receitasfixasconsolidado[[#Headers],[19]],tabela_registros[REGISTRO],DADOS!$N$3,tabela_registros[TIPO],DADOS!$V$3,tabela_registros[CATEGORIA],receitasfixasconsolidado[[#This Row],[ATUAL]])</f>
        <v>0</v>
      </c>
      <c r="X84" s="119" t="n">
        <f aca="false">SUMIFS(tabela_registros[VALOR],tabela_registros[MÊS],$AE$1,tabela_registros[DIA],receitasfixasconsolidado[[#Headers],[20]],tabela_registros[REGISTRO],DADOS!$N$3,tabela_registros[TIPO],DADOS!$V$3,tabela_registros[CATEGORIA],receitasfixasconsolidado[[#This Row],[ATUAL]])</f>
        <v>0</v>
      </c>
      <c r="Y84" s="119" t="n">
        <f aca="false">SUMIFS(tabela_registros[VALOR],tabela_registros[MÊS],$AE$1,tabela_registros[DIA],receitasfixasconsolidado[[#Headers],[21]],tabela_registros[REGISTRO],DADOS!$N$3,tabela_registros[TIPO],DADOS!$V$3,tabela_registros[CATEGORIA],receitasfixasconsolidado[[#This Row],[ATUAL]])</f>
        <v>0</v>
      </c>
      <c r="Z84" s="119" t="n">
        <f aca="false">SUMIFS(tabela_registros[VALOR],tabela_registros[MÊS],$AE$1,tabela_registros[DIA],receitasfixasconsolidado[[#Headers],[22]],tabela_registros[REGISTRO],DADOS!$N$3,tabela_registros[TIPO],DADOS!$V$3,tabela_registros[CATEGORIA],receitasfixasconsolidado[[#This Row],[ATUAL]])</f>
        <v>0</v>
      </c>
      <c r="AA84" s="119" t="n">
        <f aca="false">SUMIFS(tabela_registros[VALOR],tabela_registros[MÊS],$AE$1,tabela_registros[DIA],receitasfixasconsolidado[[#Headers],[23]],tabela_registros[REGISTRO],DADOS!$N$3,tabela_registros[TIPO],DADOS!$V$3,tabela_registros[CATEGORIA],receitasfixasconsolidado[[#This Row],[ATUAL]])</f>
        <v>0</v>
      </c>
      <c r="AB84" s="119" t="n">
        <f aca="false">SUMIFS(tabela_registros[VALOR],tabela_registros[MÊS],$AE$1,tabela_registros[DIA],receitasfixasconsolidado[[#Headers],[24]],tabela_registros[REGISTRO],DADOS!$N$3,tabela_registros[TIPO],DADOS!$V$3,tabela_registros[CATEGORIA],receitasfixasconsolidado[[#This Row],[ATUAL]])</f>
        <v>0</v>
      </c>
      <c r="AC84" s="119" t="n">
        <f aca="false">SUMIFS(tabela_registros[VALOR],tabela_registros[MÊS],$AE$1,tabela_registros[DIA],receitasfixasconsolidado[[#Headers],[25]],tabela_registros[REGISTRO],DADOS!$N$3,tabela_registros[TIPO],DADOS!$V$3,tabela_registros[CATEGORIA],receitasfixasconsolidado[[#This Row],[ATUAL]])</f>
        <v>0</v>
      </c>
      <c r="AD84" s="119" t="n">
        <f aca="false">SUMIFS(tabela_registros[VALOR],tabela_registros[MÊS],$AE$1,tabela_registros[DIA],receitasfixasconsolidado[[#Headers],[26]],tabela_registros[REGISTRO],DADOS!$N$3,tabela_registros[TIPO],DADOS!$V$3,tabela_registros[CATEGORIA],receitasfixasconsolidado[[#This Row],[ATUAL]])</f>
        <v>0</v>
      </c>
      <c r="AE84" s="119" t="n">
        <f aca="false">SUMIFS(tabela_registros[VALOR],tabela_registros[MÊS],$AE$1,tabela_registros[DIA],receitasfixasconsolidado[[#Headers],[27]],tabela_registros[REGISTRO],DADOS!$N$3,tabela_registros[TIPO],DADOS!$V$3,tabela_registros[CATEGORIA],receitasfixasconsolidado[[#This Row],[ATUAL]])</f>
        <v>0</v>
      </c>
      <c r="AF84" s="119" t="n">
        <f aca="false">SUMIFS(tabela_registros[VALOR],tabela_registros[MÊS],$AE$1,tabela_registros[DIA],receitasfixasconsolidado[[#Headers],[28]],tabela_registros[REGISTRO],DADOS!$N$3,tabela_registros[TIPO],DADOS!$V$3,tabela_registros[CATEGORIA],receitasfixasconsolidado[[#This Row],[ATUAL]])</f>
        <v>0</v>
      </c>
      <c r="AG84" s="119" t="n">
        <f aca="false">SUMIFS(tabela_registros[VALOR],tabela_registros[MÊS],$AE$1,tabela_registros[DIA],receitasfixasconsolidado[[#Headers],[29]],tabela_registros[REGISTRO],DADOS!$N$3,tabela_registros[TIPO],DADOS!$V$3,tabela_registros[CATEGORIA],receitasfixasconsolidado[[#This Row],[ATUAL]])</f>
        <v>0</v>
      </c>
      <c r="AH84" s="119" t="n">
        <f aca="false">SUMIFS(tabela_registros[VALOR],tabela_registros[MÊS],$AE$1,tabela_registros[DIA],receitasfixasconsolidado[[#Headers],[30]],tabela_registros[REGISTRO],DADOS!$N$3,tabela_registros[TIPO],DADOS!$V$3,tabela_registros[CATEGORIA],receitasfixasconsolidado[[#This Row],[ATUAL]])</f>
        <v>0</v>
      </c>
      <c r="AI84" s="217" t="n">
        <f aca="false">SUMIFS(tabela_registros[VALOR],tabela_registros[MÊS],$AE$1,tabela_registros[DIA],receitasfixasconsolidado[[#Headers],[31]],tabela_registros[REGISTRO],DADOS!$N$3,tabela_registros[TIPO],DADOS!$V$3,tabela_registros[CATEGORIA],receitasfixasconsolidado[[#This Row],[ATUAL]])</f>
        <v>0</v>
      </c>
      <c r="AJ84" s="149" t="n">
        <f aca="false">SUM(receitasfixasconsolidado[[#This Row],[1]:[31]])</f>
        <v>0</v>
      </c>
      <c r="AK84" s="234"/>
      <c r="AL84" s="189"/>
    </row>
    <row r="85" customFormat="false" ht="19.5" hidden="false" customHeight="true" outlineLevel="0" collapsed="false">
      <c r="A85" s="189"/>
      <c r="B85" s="213"/>
      <c r="C85" s="214" t="str">
        <f aca="false">DADOS!$X$6</f>
        <v>💰 SALÁRIO</v>
      </c>
      <c r="D85" s="215" t="str">
        <f aca="false">IF(receitasfixasconsolidado[[#This Row],[TOTAL (R$)]]=0,"",IF(OR(receitasfixasconsolidado[[#This Row],[TOTAL (R$)]]=LARGE($AJ$82:$AJ$86,1),receitasfixasconsolidado[[#This Row],[TOTAL (R$)]]=LARGE($AJ$82:$AJ$86,2)),DADOS!$I$9,""))</f>
        <v/>
      </c>
      <c r="E85" s="148" t="n">
        <f aca="false">SUMIFS(tabela_registros[VALOR],tabela_registros[MÊS],$AE$1,tabela_registros[DIA],receitasfixasconsolidado[[#Headers],[1]],tabela_registros[REGISTRO],DADOS!$N$3,tabela_registros[TIPO],DADOS!$V$3,tabela_registros[CATEGORIA],receitasfixasconsolidado[[#This Row],[ATUAL]])</f>
        <v>0</v>
      </c>
      <c r="F85" s="119" t="n">
        <f aca="false">SUMIFS(tabela_registros[VALOR],tabela_registros[MÊS],$AE$1,tabela_registros[DIA],receitasfixasconsolidado[[#Headers],[2]],tabela_registros[REGISTRO],DADOS!$N$3,tabela_registros[TIPO],DADOS!$V$3,tabela_registros[CATEGORIA],receitasfixasconsolidado[[#This Row],[ATUAL]])</f>
        <v>0</v>
      </c>
      <c r="G85" s="119" t="n">
        <f aca="false">SUMIFS(tabela_registros[VALOR],tabela_registros[MÊS],$AE$1,tabela_registros[DIA],receitasfixasconsolidado[[#Headers],[3]],tabela_registros[REGISTRO],DADOS!$N$3,tabela_registros[TIPO],DADOS!$V$3,tabela_registros[CATEGORIA],receitasfixasconsolidado[[#This Row],[ATUAL]])</f>
        <v>0</v>
      </c>
      <c r="H85" s="119" t="n">
        <f aca="false">SUMIFS(tabela_registros[VALOR],tabela_registros[MÊS],$AE$1,tabela_registros[DIA],receitasfixasconsolidado[[#Headers],[4]],tabela_registros[REGISTRO],DADOS!$N$3,tabela_registros[TIPO],DADOS!$V$3,tabela_registros[CATEGORIA],receitasfixasconsolidado[[#This Row],[ATUAL]])</f>
        <v>0</v>
      </c>
      <c r="I85" s="119" t="n">
        <f aca="false">SUMIFS(tabela_registros[VALOR],tabela_registros[MÊS],$AE$1,tabela_registros[DIA],receitasfixasconsolidado[[#Headers],[5]],tabela_registros[REGISTRO],DADOS!$N$3,tabela_registros[TIPO],DADOS!$V$3,tabela_registros[CATEGORIA],receitasfixasconsolidado[[#This Row],[ATUAL]])</f>
        <v>0</v>
      </c>
      <c r="J85" s="119" t="n">
        <f aca="false">SUMIFS(tabela_registros[VALOR],tabela_registros[MÊS],$AE$1,tabela_registros[DIA],receitasfixasconsolidado[[#Headers],[6]],tabela_registros[REGISTRO],DADOS!$N$3,tabela_registros[TIPO],DADOS!$V$3,tabela_registros[CATEGORIA],receitasfixasconsolidado[[#This Row],[ATUAL]])</f>
        <v>0</v>
      </c>
      <c r="K85" s="119" t="n">
        <f aca="false">SUMIFS(tabela_registros[VALOR],tabela_registros[MÊS],$AE$1,tabela_registros[DIA],receitasfixasconsolidado[[#Headers],[7]],tabela_registros[REGISTRO],DADOS!$N$3,tabela_registros[TIPO],DADOS!$V$3,tabela_registros[CATEGORIA],receitasfixasconsolidado[[#This Row],[ATUAL]])</f>
        <v>0</v>
      </c>
      <c r="L85" s="119" t="n">
        <f aca="false">SUMIFS(tabela_registros[VALOR],tabela_registros[MÊS],$AE$1,tabela_registros[DIA],receitasfixasconsolidado[[#Headers],[8]],tabela_registros[REGISTRO],DADOS!$N$3,tabela_registros[TIPO],DADOS!$V$3,tabela_registros[CATEGORIA],receitasfixasconsolidado[[#This Row],[ATUAL]])</f>
        <v>0</v>
      </c>
      <c r="M85" s="119" t="n">
        <f aca="false">SUMIFS(tabela_registros[VALOR],tabela_registros[MÊS],$AE$1,tabela_registros[DIA],receitasfixasconsolidado[[#Headers],[9]],tabela_registros[REGISTRO],DADOS!$N$3,tabela_registros[TIPO],DADOS!$V$3,tabela_registros[CATEGORIA],receitasfixasconsolidado[[#This Row],[ATUAL]])</f>
        <v>0</v>
      </c>
      <c r="N85" s="119" t="n">
        <f aca="false">SUMIFS(tabela_registros[VALOR],tabela_registros[MÊS],$AE$1,tabela_registros[DIA],receitasfixasconsolidado[[#Headers],[10]],tabela_registros[REGISTRO],DADOS!$N$3,tabela_registros[TIPO],DADOS!$V$3,tabela_registros[CATEGORIA],receitasfixasconsolidado[[#This Row],[ATUAL]])</f>
        <v>0</v>
      </c>
      <c r="O85" s="119" t="n">
        <f aca="false">SUMIFS(tabela_registros[VALOR],tabela_registros[MÊS],$AE$1,tabela_registros[DIA],receitasfixasconsolidado[[#Headers],[11]],tabela_registros[REGISTRO],DADOS!$N$3,tabela_registros[TIPO],DADOS!$V$3,tabela_registros[CATEGORIA],receitasfixasconsolidado[[#This Row],[ATUAL]])</f>
        <v>0</v>
      </c>
      <c r="P85" s="119" t="n">
        <f aca="false">SUMIFS(tabela_registros[VALOR],tabela_registros[MÊS],$AE$1,tabela_registros[DIA],receitasfixasconsolidado[[#Headers],[12]],tabela_registros[REGISTRO],DADOS!$N$3,tabela_registros[TIPO],DADOS!$V$3,tabela_registros[CATEGORIA],receitasfixasconsolidado[[#This Row],[ATUAL]])</f>
        <v>0</v>
      </c>
      <c r="Q85" s="119" t="n">
        <f aca="false">SUMIFS(tabela_registros[VALOR],tabela_registros[MÊS],$AE$1,tabela_registros[DIA],receitasfixasconsolidado[[#Headers],[13]],tabela_registros[REGISTRO],DADOS!$N$3,tabela_registros[TIPO],DADOS!$V$3,tabela_registros[CATEGORIA],receitasfixasconsolidado[[#This Row],[ATUAL]])</f>
        <v>0</v>
      </c>
      <c r="R85" s="119" t="n">
        <f aca="false">SUMIFS(tabela_registros[VALOR],tabela_registros[MÊS],$AE$1,tabela_registros[DIA],receitasfixasconsolidado[[#Headers],[14]],tabela_registros[REGISTRO],DADOS!$N$3,tabela_registros[TIPO],DADOS!$V$3,tabela_registros[CATEGORIA],receitasfixasconsolidado[[#This Row],[ATUAL]])</f>
        <v>0</v>
      </c>
      <c r="S85" s="119" t="n">
        <f aca="false">SUMIFS(tabela_registros[VALOR],tabela_registros[MÊS],$AE$1,tabela_registros[DIA],receitasfixasconsolidado[[#Headers],[15]],tabela_registros[REGISTRO],DADOS!$N$3,tabela_registros[TIPO],DADOS!$V$3,tabela_registros[CATEGORIA],receitasfixasconsolidado[[#This Row],[ATUAL]])</f>
        <v>0</v>
      </c>
      <c r="T85" s="119" t="n">
        <f aca="false">SUMIFS(tabela_registros[VALOR],tabela_registros[MÊS],$AE$1,tabela_registros[DIA],receitasfixasconsolidado[[#Headers],[16]],tabela_registros[REGISTRO],DADOS!$N$3,tabela_registros[TIPO],DADOS!$V$3,tabela_registros[CATEGORIA],receitasfixasconsolidado[[#This Row],[ATUAL]])</f>
        <v>0</v>
      </c>
      <c r="U85" s="119" t="n">
        <f aca="false">SUMIFS(tabela_registros[VALOR],tabela_registros[MÊS],$AE$1,tabela_registros[DIA],receitasfixasconsolidado[[#Headers],[17]],tabela_registros[REGISTRO],DADOS!$N$3,tabela_registros[TIPO],DADOS!$V$3,tabela_registros[CATEGORIA],receitasfixasconsolidado[[#This Row],[ATUAL]])</f>
        <v>0</v>
      </c>
      <c r="V85" s="119" t="n">
        <f aca="false">SUMIFS(tabela_registros[VALOR],tabela_registros[MÊS],$AE$1,tabela_registros[DIA],receitasfixasconsolidado[[#Headers],[18]],tabela_registros[REGISTRO],DADOS!$N$3,tabela_registros[TIPO],DADOS!$V$3,tabela_registros[CATEGORIA],receitasfixasconsolidado[[#This Row],[ATUAL]])</f>
        <v>0</v>
      </c>
      <c r="W85" s="119" t="n">
        <f aca="false">SUMIFS(tabela_registros[VALOR],tabela_registros[MÊS],$AE$1,tabela_registros[DIA],receitasfixasconsolidado[[#Headers],[19]],tabela_registros[REGISTRO],DADOS!$N$3,tabela_registros[TIPO],DADOS!$V$3,tabela_registros[CATEGORIA],receitasfixasconsolidado[[#This Row],[ATUAL]])</f>
        <v>0</v>
      </c>
      <c r="X85" s="119" t="n">
        <f aca="false">SUMIFS(tabela_registros[VALOR],tabela_registros[MÊS],$AE$1,tabela_registros[DIA],receitasfixasconsolidado[[#Headers],[20]],tabela_registros[REGISTRO],DADOS!$N$3,tabela_registros[TIPO],DADOS!$V$3,tabela_registros[CATEGORIA],receitasfixasconsolidado[[#This Row],[ATUAL]])</f>
        <v>0</v>
      </c>
      <c r="Y85" s="119" t="n">
        <f aca="false">SUMIFS(tabela_registros[VALOR],tabela_registros[MÊS],$AE$1,tabela_registros[DIA],receitasfixasconsolidado[[#Headers],[21]],tabela_registros[REGISTRO],DADOS!$N$3,tabela_registros[TIPO],DADOS!$V$3,tabela_registros[CATEGORIA],receitasfixasconsolidado[[#This Row],[ATUAL]])</f>
        <v>0</v>
      </c>
      <c r="Z85" s="119" t="n">
        <f aca="false">SUMIFS(tabela_registros[VALOR],tabela_registros[MÊS],$AE$1,tabela_registros[DIA],receitasfixasconsolidado[[#Headers],[22]],tabela_registros[REGISTRO],DADOS!$N$3,tabela_registros[TIPO],DADOS!$V$3,tabela_registros[CATEGORIA],receitasfixasconsolidado[[#This Row],[ATUAL]])</f>
        <v>0</v>
      </c>
      <c r="AA85" s="119" t="n">
        <f aca="false">SUMIFS(tabela_registros[VALOR],tabela_registros[MÊS],$AE$1,tabela_registros[DIA],receitasfixasconsolidado[[#Headers],[23]],tabela_registros[REGISTRO],DADOS!$N$3,tabela_registros[TIPO],DADOS!$V$3,tabela_registros[CATEGORIA],receitasfixasconsolidado[[#This Row],[ATUAL]])</f>
        <v>0</v>
      </c>
      <c r="AB85" s="119" t="n">
        <f aca="false">SUMIFS(tabela_registros[VALOR],tabela_registros[MÊS],$AE$1,tabela_registros[DIA],receitasfixasconsolidado[[#Headers],[24]],tabela_registros[REGISTRO],DADOS!$N$3,tabela_registros[TIPO],DADOS!$V$3,tabela_registros[CATEGORIA],receitasfixasconsolidado[[#This Row],[ATUAL]])</f>
        <v>0</v>
      </c>
      <c r="AC85" s="119" t="n">
        <f aca="false">SUMIFS(tabela_registros[VALOR],tabela_registros[MÊS],$AE$1,tabela_registros[DIA],receitasfixasconsolidado[[#Headers],[25]],tabela_registros[REGISTRO],DADOS!$N$3,tabela_registros[TIPO],DADOS!$V$3,tabela_registros[CATEGORIA],receitasfixasconsolidado[[#This Row],[ATUAL]])</f>
        <v>0</v>
      </c>
      <c r="AD85" s="119" t="n">
        <f aca="false">SUMIFS(tabela_registros[VALOR],tabela_registros[MÊS],$AE$1,tabela_registros[DIA],receitasfixasconsolidado[[#Headers],[26]],tabela_registros[REGISTRO],DADOS!$N$3,tabela_registros[TIPO],DADOS!$V$3,tabela_registros[CATEGORIA],receitasfixasconsolidado[[#This Row],[ATUAL]])</f>
        <v>0</v>
      </c>
      <c r="AE85" s="119" t="n">
        <f aca="false">SUMIFS(tabela_registros[VALOR],tabela_registros[MÊS],$AE$1,tabela_registros[DIA],receitasfixasconsolidado[[#Headers],[27]],tabela_registros[REGISTRO],DADOS!$N$3,tabela_registros[TIPO],DADOS!$V$3,tabela_registros[CATEGORIA],receitasfixasconsolidado[[#This Row],[ATUAL]])</f>
        <v>0</v>
      </c>
      <c r="AF85" s="119" t="n">
        <f aca="false">SUMIFS(tabela_registros[VALOR],tabela_registros[MÊS],$AE$1,tabela_registros[DIA],receitasfixasconsolidado[[#Headers],[28]],tabela_registros[REGISTRO],DADOS!$N$3,tabela_registros[TIPO],DADOS!$V$3,tabela_registros[CATEGORIA],receitasfixasconsolidado[[#This Row],[ATUAL]])</f>
        <v>0</v>
      </c>
      <c r="AG85" s="119" t="n">
        <f aca="false">SUMIFS(tabela_registros[VALOR],tabela_registros[MÊS],$AE$1,tabela_registros[DIA],receitasfixasconsolidado[[#Headers],[29]],tabela_registros[REGISTRO],DADOS!$N$3,tabela_registros[TIPO],DADOS!$V$3,tabela_registros[CATEGORIA],receitasfixasconsolidado[[#This Row],[ATUAL]])</f>
        <v>0</v>
      </c>
      <c r="AH85" s="119" t="n">
        <f aca="false">SUMIFS(tabela_registros[VALOR],tabela_registros[MÊS],$AE$1,tabela_registros[DIA],receitasfixasconsolidado[[#Headers],[30]],tabela_registros[REGISTRO],DADOS!$N$3,tabela_registros[TIPO],DADOS!$V$3,tabela_registros[CATEGORIA],receitasfixasconsolidado[[#This Row],[ATUAL]])</f>
        <v>0</v>
      </c>
      <c r="AI85" s="217" t="n">
        <f aca="false">SUMIFS(tabela_registros[VALOR],tabela_registros[MÊS],$AE$1,tabela_registros[DIA],receitasfixasconsolidado[[#Headers],[31]],tabela_registros[REGISTRO],DADOS!$N$3,tabela_registros[TIPO],DADOS!$V$3,tabela_registros[CATEGORIA],receitasfixasconsolidado[[#This Row],[ATUAL]])</f>
        <v>0</v>
      </c>
      <c r="AJ85" s="149" t="n">
        <f aca="false">SUM(receitasfixasconsolidado[[#This Row],[1]:[31]])</f>
        <v>0</v>
      </c>
      <c r="AK85" s="234"/>
      <c r="AL85" s="189"/>
    </row>
    <row r="86" customFormat="false" ht="18" hidden="false" customHeight="true" outlineLevel="0" collapsed="false">
      <c r="A86" s="189"/>
      <c r="B86" s="213"/>
      <c r="C86" s="214" t="str">
        <f aca="false">DADOS!$X$7</f>
        <v>📎 OUTROS</v>
      </c>
      <c r="D86" s="215" t="str">
        <f aca="false">IF(receitasfixasconsolidado[[#This Row],[TOTAL (R$)]]=0,"",IF(OR(receitasfixasconsolidado[[#This Row],[TOTAL (R$)]]=LARGE($AJ$82:$AJ$86,1),receitasfixasconsolidado[[#This Row],[TOTAL (R$)]]=LARGE($AJ$82:$AJ$86,2)),DADOS!$I$9,""))</f>
        <v/>
      </c>
      <c r="E86" s="148" t="n">
        <f aca="false">SUMIFS(tabela_registros[VALOR],tabela_registros[MÊS],$AE$1,tabela_registros[DIA],receitasfixasconsolidado[[#Headers],[1]],tabela_registros[REGISTRO],DADOS!$N$3,tabela_registros[TIPO],DADOS!$V$3,tabela_registros[CATEGORIA],receitasfixasconsolidado[[#This Row],[ATUAL]])</f>
        <v>0</v>
      </c>
      <c r="F86" s="119" t="n">
        <f aca="false">SUMIFS(tabela_registros[VALOR],tabela_registros[MÊS],$AE$1,tabela_registros[DIA],receitasfixasconsolidado[[#Headers],[2]],tabela_registros[REGISTRO],DADOS!$N$3,tabela_registros[TIPO],DADOS!$V$3,tabela_registros[CATEGORIA],receitasfixasconsolidado[[#This Row],[ATUAL]])</f>
        <v>0</v>
      </c>
      <c r="G86" s="119" t="n">
        <f aca="false">SUMIFS(tabela_registros[VALOR],tabela_registros[MÊS],$AE$1,tabela_registros[DIA],receitasfixasconsolidado[[#Headers],[3]],tabela_registros[REGISTRO],DADOS!$N$3,tabela_registros[TIPO],DADOS!$V$3,tabela_registros[CATEGORIA],receitasfixasconsolidado[[#This Row],[ATUAL]])</f>
        <v>0</v>
      </c>
      <c r="H86" s="119" t="n">
        <f aca="false">SUMIFS(tabela_registros[VALOR],tabela_registros[MÊS],$AE$1,tabela_registros[DIA],receitasfixasconsolidado[[#Headers],[4]],tabela_registros[REGISTRO],DADOS!$N$3,tabela_registros[TIPO],DADOS!$V$3,tabela_registros[CATEGORIA],receitasfixasconsolidado[[#This Row],[ATUAL]])</f>
        <v>0</v>
      </c>
      <c r="I86" s="119" t="n">
        <f aca="false">SUMIFS(tabela_registros[VALOR],tabela_registros[MÊS],$AE$1,tabela_registros[DIA],receitasfixasconsolidado[[#Headers],[5]],tabela_registros[REGISTRO],DADOS!$N$3,tabela_registros[TIPO],DADOS!$V$3,tabela_registros[CATEGORIA],receitasfixasconsolidado[[#This Row],[ATUAL]])</f>
        <v>0</v>
      </c>
      <c r="J86" s="119" t="n">
        <f aca="false">SUMIFS(tabela_registros[VALOR],tabela_registros[MÊS],$AE$1,tabela_registros[DIA],receitasfixasconsolidado[[#Headers],[6]],tabela_registros[REGISTRO],DADOS!$N$3,tabela_registros[TIPO],DADOS!$V$3,tabela_registros[CATEGORIA],receitasfixasconsolidado[[#This Row],[ATUAL]])</f>
        <v>0</v>
      </c>
      <c r="K86" s="119" t="n">
        <f aca="false">SUMIFS(tabela_registros[VALOR],tabela_registros[MÊS],$AE$1,tabela_registros[DIA],receitasfixasconsolidado[[#Headers],[7]],tabela_registros[REGISTRO],DADOS!$N$3,tabela_registros[TIPO],DADOS!$V$3,tabela_registros[CATEGORIA],receitasfixasconsolidado[[#This Row],[ATUAL]])</f>
        <v>0</v>
      </c>
      <c r="L86" s="119" t="n">
        <f aca="false">SUMIFS(tabela_registros[VALOR],tabela_registros[MÊS],$AE$1,tabela_registros[DIA],receitasfixasconsolidado[[#Headers],[8]],tabela_registros[REGISTRO],DADOS!$N$3,tabela_registros[TIPO],DADOS!$V$3,tabela_registros[CATEGORIA],receitasfixasconsolidado[[#This Row],[ATUAL]])</f>
        <v>0</v>
      </c>
      <c r="M86" s="119" t="n">
        <f aca="false">SUMIFS(tabela_registros[VALOR],tabela_registros[MÊS],$AE$1,tabela_registros[DIA],receitasfixasconsolidado[[#Headers],[9]],tabela_registros[REGISTRO],DADOS!$N$3,tabela_registros[TIPO],DADOS!$V$3,tabela_registros[CATEGORIA],receitasfixasconsolidado[[#This Row],[ATUAL]])</f>
        <v>0</v>
      </c>
      <c r="N86" s="119" t="n">
        <f aca="false">SUMIFS(tabela_registros[VALOR],tabela_registros[MÊS],$AE$1,tabela_registros[DIA],receitasfixasconsolidado[[#Headers],[10]],tabela_registros[REGISTRO],DADOS!$N$3,tabela_registros[TIPO],DADOS!$V$3,tabela_registros[CATEGORIA],receitasfixasconsolidado[[#This Row],[ATUAL]])</f>
        <v>0</v>
      </c>
      <c r="O86" s="119" t="n">
        <f aca="false">SUMIFS(tabela_registros[VALOR],tabela_registros[MÊS],$AE$1,tabela_registros[DIA],receitasfixasconsolidado[[#Headers],[11]],tabela_registros[REGISTRO],DADOS!$N$3,tabela_registros[TIPO],DADOS!$V$3,tabela_registros[CATEGORIA],receitasfixasconsolidado[[#This Row],[ATUAL]])</f>
        <v>0</v>
      </c>
      <c r="P86" s="119" t="n">
        <f aca="false">SUMIFS(tabela_registros[VALOR],tabela_registros[MÊS],$AE$1,tabela_registros[DIA],receitasfixasconsolidado[[#Headers],[12]],tabela_registros[REGISTRO],DADOS!$N$3,tabela_registros[TIPO],DADOS!$V$3,tabela_registros[CATEGORIA],receitasfixasconsolidado[[#This Row],[ATUAL]])</f>
        <v>0</v>
      </c>
      <c r="Q86" s="119" t="n">
        <f aca="false">SUMIFS(tabela_registros[VALOR],tabela_registros[MÊS],$AE$1,tabela_registros[DIA],receitasfixasconsolidado[[#Headers],[13]],tabela_registros[REGISTRO],DADOS!$N$3,tabela_registros[TIPO],DADOS!$V$3,tabela_registros[CATEGORIA],receitasfixasconsolidado[[#This Row],[ATUAL]])</f>
        <v>0</v>
      </c>
      <c r="R86" s="119" t="n">
        <f aca="false">SUMIFS(tabela_registros[VALOR],tabela_registros[MÊS],$AE$1,tabela_registros[DIA],receitasfixasconsolidado[[#Headers],[14]],tabela_registros[REGISTRO],DADOS!$N$3,tabela_registros[TIPO],DADOS!$V$3,tabela_registros[CATEGORIA],receitasfixasconsolidado[[#This Row],[ATUAL]])</f>
        <v>0</v>
      </c>
      <c r="S86" s="119" t="n">
        <f aca="false">SUMIFS(tabela_registros[VALOR],tabela_registros[MÊS],$AE$1,tabela_registros[DIA],receitasfixasconsolidado[[#Headers],[15]],tabela_registros[REGISTRO],DADOS!$N$3,tabela_registros[TIPO],DADOS!$V$3,tabela_registros[CATEGORIA],receitasfixasconsolidado[[#This Row],[ATUAL]])</f>
        <v>0</v>
      </c>
      <c r="T86" s="119" t="n">
        <f aca="false">SUMIFS(tabela_registros[VALOR],tabela_registros[MÊS],$AE$1,tabela_registros[DIA],receitasfixasconsolidado[[#Headers],[16]],tabela_registros[REGISTRO],DADOS!$N$3,tabela_registros[TIPO],DADOS!$V$3,tabela_registros[CATEGORIA],receitasfixasconsolidado[[#This Row],[ATUAL]])</f>
        <v>0</v>
      </c>
      <c r="U86" s="119" t="n">
        <f aca="false">SUMIFS(tabela_registros[VALOR],tabela_registros[MÊS],$AE$1,tabela_registros[DIA],receitasfixasconsolidado[[#Headers],[17]],tabela_registros[REGISTRO],DADOS!$N$3,tabela_registros[TIPO],DADOS!$V$3,tabela_registros[CATEGORIA],receitasfixasconsolidado[[#This Row],[ATUAL]])</f>
        <v>0</v>
      </c>
      <c r="V86" s="119" t="n">
        <f aca="false">SUMIFS(tabela_registros[VALOR],tabela_registros[MÊS],$AE$1,tabela_registros[DIA],receitasfixasconsolidado[[#Headers],[18]],tabela_registros[REGISTRO],DADOS!$N$3,tabela_registros[TIPO],DADOS!$V$3,tabela_registros[CATEGORIA],receitasfixasconsolidado[[#This Row],[ATUAL]])</f>
        <v>0</v>
      </c>
      <c r="W86" s="119" t="n">
        <f aca="false">SUMIFS(tabela_registros[VALOR],tabela_registros[MÊS],$AE$1,tabela_registros[DIA],receitasfixasconsolidado[[#Headers],[19]],tabela_registros[REGISTRO],DADOS!$N$3,tabela_registros[TIPO],DADOS!$V$3,tabela_registros[CATEGORIA],receitasfixasconsolidado[[#This Row],[ATUAL]])</f>
        <v>0</v>
      </c>
      <c r="X86" s="119" t="n">
        <f aca="false">SUMIFS(tabela_registros[VALOR],tabela_registros[MÊS],$AE$1,tabela_registros[DIA],receitasfixasconsolidado[[#Headers],[20]],tabela_registros[REGISTRO],DADOS!$N$3,tabela_registros[TIPO],DADOS!$V$3,tabela_registros[CATEGORIA],receitasfixasconsolidado[[#This Row],[ATUAL]])</f>
        <v>0</v>
      </c>
      <c r="Y86" s="119" t="n">
        <f aca="false">SUMIFS(tabela_registros[VALOR],tabela_registros[MÊS],$AE$1,tabela_registros[DIA],receitasfixasconsolidado[[#Headers],[21]],tabela_registros[REGISTRO],DADOS!$N$3,tabela_registros[TIPO],DADOS!$V$3,tabela_registros[CATEGORIA],receitasfixasconsolidado[[#This Row],[ATUAL]])</f>
        <v>0</v>
      </c>
      <c r="Z86" s="119" t="n">
        <f aca="false">SUMIFS(tabela_registros[VALOR],tabela_registros[MÊS],$AE$1,tabela_registros[DIA],receitasfixasconsolidado[[#Headers],[22]],tabela_registros[REGISTRO],DADOS!$N$3,tabela_registros[TIPO],DADOS!$V$3,tabela_registros[CATEGORIA],receitasfixasconsolidado[[#This Row],[ATUAL]])</f>
        <v>0</v>
      </c>
      <c r="AA86" s="119" t="n">
        <f aca="false">SUMIFS(tabela_registros[VALOR],tabela_registros[MÊS],$AE$1,tabela_registros[DIA],receitasfixasconsolidado[[#Headers],[23]],tabela_registros[REGISTRO],DADOS!$N$3,tabela_registros[TIPO],DADOS!$V$3,tabela_registros[CATEGORIA],receitasfixasconsolidado[[#This Row],[ATUAL]])</f>
        <v>0</v>
      </c>
      <c r="AB86" s="119" t="n">
        <f aca="false">SUMIFS(tabela_registros[VALOR],tabela_registros[MÊS],$AE$1,tabela_registros[DIA],receitasfixasconsolidado[[#Headers],[24]],tabela_registros[REGISTRO],DADOS!$N$3,tabela_registros[TIPO],DADOS!$V$3,tabela_registros[CATEGORIA],receitasfixasconsolidado[[#This Row],[ATUAL]])</f>
        <v>0</v>
      </c>
      <c r="AC86" s="119" t="n">
        <f aca="false">SUMIFS(tabela_registros[VALOR],tabela_registros[MÊS],$AE$1,tabela_registros[DIA],receitasfixasconsolidado[[#Headers],[25]],tabela_registros[REGISTRO],DADOS!$N$3,tabela_registros[TIPO],DADOS!$V$3,tabela_registros[CATEGORIA],receitasfixasconsolidado[[#This Row],[ATUAL]])</f>
        <v>0</v>
      </c>
      <c r="AD86" s="119" t="n">
        <f aca="false">SUMIFS(tabela_registros[VALOR],tabela_registros[MÊS],$AE$1,tabela_registros[DIA],receitasfixasconsolidado[[#Headers],[26]],tabela_registros[REGISTRO],DADOS!$N$3,tabela_registros[TIPO],DADOS!$V$3,tabela_registros[CATEGORIA],receitasfixasconsolidado[[#This Row],[ATUAL]])</f>
        <v>0</v>
      </c>
      <c r="AE86" s="119" t="n">
        <f aca="false">SUMIFS(tabela_registros[VALOR],tabela_registros[MÊS],$AE$1,tabela_registros[DIA],receitasfixasconsolidado[[#Headers],[27]],tabela_registros[REGISTRO],DADOS!$N$3,tabela_registros[TIPO],DADOS!$V$3,tabela_registros[CATEGORIA],receitasfixasconsolidado[[#This Row],[ATUAL]])</f>
        <v>0</v>
      </c>
      <c r="AF86" s="119" t="n">
        <f aca="false">SUMIFS(tabela_registros[VALOR],tabela_registros[MÊS],$AE$1,tabela_registros[DIA],receitasfixasconsolidado[[#Headers],[28]],tabela_registros[REGISTRO],DADOS!$N$3,tabela_registros[TIPO],DADOS!$V$3,tabela_registros[CATEGORIA],receitasfixasconsolidado[[#This Row],[ATUAL]])</f>
        <v>0</v>
      </c>
      <c r="AG86" s="119" t="n">
        <f aca="false">SUMIFS(tabela_registros[VALOR],tabela_registros[MÊS],$AE$1,tabela_registros[DIA],receitasfixasconsolidado[[#Headers],[29]],tabela_registros[REGISTRO],DADOS!$N$3,tabela_registros[TIPO],DADOS!$V$3,tabela_registros[CATEGORIA],receitasfixasconsolidado[[#This Row],[ATUAL]])</f>
        <v>0</v>
      </c>
      <c r="AH86" s="119" t="n">
        <f aca="false">SUMIFS(tabela_registros[VALOR],tabela_registros[MÊS],$AE$1,tabela_registros[DIA],receitasfixasconsolidado[[#Headers],[30]],tabela_registros[REGISTRO],DADOS!$N$3,tabela_registros[TIPO],DADOS!$V$3,tabela_registros[CATEGORIA],receitasfixasconsolidado[[#This Row],[ATUAL]])</f>
        <v>0</v>
      </c>
      <c r="AI86" s="218" t="n">
        <f aca="false">SUMIFS(tabela_registros[VALOR],tabela_registros[MÊS],$AE$1,tabela_registros[DIA],receitasfixasconsolidado[[#Headers],[31]],tabela_registros[REGISTRO],DADOS!$N$3,tabela_registros[TIPO],DADOS!$V$3,tabela_registros[CATEGORIA],receitasfixasconsolidado[[#This Row],[ATUAL]])</f>
        <v>0</v>
      </c>
      <c r="AJ86" s="149" t="n">
        <f aca="false">SUM(receitasfixasconsolidado[[#This Row],[1]:[31]])</f>
        <v>0</v>
      </c>
      <c r="AK86" s="234"/>
      <c r="AL86" s="189"/>
    </row>
    <row r="87" s="122" customFormat="true" ht="21" hidden="false" customHeight="true" outlineLevel="0" collapsed="false">
      <c r="A87" s="199"/>
      <c r="B87" s="220"/>
      <c r="C87" s="221" t="s">
        <v>2</v>
      </c>
      <c r="D87" s="235"/>
      <c r="E87" s="155" t="n">
        <f aca="false">SUM(E82:E86)</f>
        <v>0</v>
      </c>
      <c r="F87" s="156" t="n">
        <f aca="false">SUM(F82:F86)+receitasfixasconsolidado[[#This Row],[1]]</f>
        <v>0</v>
      </c>
      <c r="G87" s="156" t="n">
        <f aca="false">SUM(G82:G86)+receitasfixasconsolidado[[#This Row],[2]]</f>
        <v>0</v>
      </c>
      <c r="H87" s="156" t="n">
        <f aca="false">SUM(H82:H86)+receitasfixasconsolidado[[#This Row],[3]]</f>
        <v>0</v>
      </c>
      <c r="I87" s="156" t="n">
        <f aca="false">SUM(I82:I86)+receitasfixasconsolidado[[#This Row],[4]]</f>
        <v>0</v>
      </c>
      <c r="J87" s="156" t="n">
        <f aca="false">SUM(J82:J86)+receitasfixasconsolidado[[#This Row],[5]]</f>
        <v>0</v>
      </c>
      <c r="K87" s="156" t="n">
        <f aca="false">SUM(K82:K86)+receitasfixasconsolidado[[#This Row],[6]]</f>
        <v>0</v>
      </c>
      <c r="L87" s="156" t="n">
        <f aca="false">SUM(L82:L86)+receitasfixasconsolidado[[#This Row],[7]]</f>
        <v>0</v>
      </c>
      <c r="M87" s="156" t="n">
        <f aca="false">SUM(M82:M86)+receitasfixasconsolidado[[#This Row],[8]]</f>
        <v>0</v>
      </c>
      <c r="N87" s="156" t="n">
        <f aca="false">SUM(N82:N86)+receitasfixasconsolidado[[#This Row],[9]]</f>
        <v>0</v>
      </c>
      <c r="O87" s="156" t="n">
        <f aca="false">SUM(O82:O86)+receitasfixasconsolidado[[#This Row],[10]]</f>
        <v>0</v>
      </c>
      <c r="P87" s="156" t="n">
        <f aca="false">SUM(P82:P86)+receitasfixasconsolidado[[#This Row],[11]]</f>
        <v>0</v>
      </c>
      <c r="Q87" s="156" t="n">
        <f aca="false">SUM(Q82:Q86)+receitasfixasconsolidado[[#This Row],[12]]</f>
        <v>0</v>
      </c>
      <c r="R87" s="156" t="n">
        <f aca="false">SUM(R82:R86)+receitasfixasconsolidado[[#This Row],[13]]</f>
        <v>0</v>
      </c>
      <c r="S87" s="156" t="n">
        <f aca="false">SUM(S82:S86)+receitasfixasconsolidado[[#This Row],[14]]</f>
        <v>0</v>
      </c>
      <c r="T87" s="156" t="n">
        <f aca="false">SUM(T82:T86)+receitasfixasconsolidado[[#This Row],[15]]</f>
        <v>0</v>
      </c>
      <c r="U87" s="156" t="n">
        <f aca="false">SUM(U82:U86)+receitasfixasconsolidado[[#This Row],[16]]</f>
        <v>0</v>
      </c>
      <c r="V87" s="156" t="n">
        <f aca="false">SUM(V82:V86)+receitasfixasconsolidado[[#This Row],[17]]</f>
        <v>0</v>
      </c>
      <c r="W87" s="156" t="n">
        <f aca="false">SUM(W82:W86)+receitasfixasconsolidado[[#This Row],[18]]</f>
        <v>0</v>
      </c>
      <c r="X87" s="156" t="n">
        <f aca="false">SUM(X82:X86)+receitasfixasconsolidado[[#This Row],[19]]</f>
        <v>0</v>
      </c>
      <c r="Y87" s="156" t="n">
        <f aca="false">SUM(Y82:Y86)+receitasfixasconsolidado[[#This Row],[20]]</f>
        <v>0</v>
      </c>
      <c r="Z87" s="156" t="n">
        <f aca="false">SUM(Z82:Z86)+receitasfixasconsolidado[[#This Row],[21]]</f>
        <v>0</v>
      </c>
      <c r="AA87" s="156" t="n">
        <f aca="false">SUM(AA82:AA86)+receitasfixasconsolidado[[#This Row],[22]]</f>
        <v>0</v>
      </c>
      <c r="AB87" s="156" t="n">
        <f aca="false">SUM(AB82:AB86)+receitasfixasconsolidado[[#This Row],[23]]</f>
        <v>0</v>
      </c>
      <c r="AC87" s="156" t="n">
        <f aca="false">SUM(AC82:AC86)+receitasfixasconsolidado[[#This Row],[24]]</f>
        <v>0</v>
      </c>
      <c r="AD87" s="156" t="n">
        <f aca="false">SUM(AD82:AD86)+receitasfixasconsolidado[[#This Row],[25]]</f>
        <v>0</v>
      </c>
      <c r="AE87" s="156" t="n">
        <f aca="false">SUM(AE82:AE86)+receitasfixasconsolidado[[#This Row],[26]]</f>
        <v>0</v>
      </c>
      <c r="AF87" s="156" t="n">
        <f aca="false">SUM(AF82:AF86)+receitasfixasconsolidado[[#This Row],[27]]</f>
        <v>0</v>
      </c>
      <c r="AG87" s="156" t="n">
        <f aca="false">SUM(AG82:AG86)+receitasfixasconsolidado[[#This Row],[28]]</f>
        <v>0</v>
      </c>
      <c r="AH87" s="156" t="n">
        <f aca="false">SUM(AH82:AH86)+receitasfixasconsolidado[[#This Row],[29]]</f>
        <v>0</v>
      </c>
      <c r="AI87" s="223" t="n">
        <f aca="false">SUM(AI82:AI86)+receitasfixasconsolidado[[#This Row],[30]]</f>
        <v>0</v>
      </c>
      <c r="AJ87" s="157" t="n">
        <f aca="false">receitasfixasconsolidado[[#This Row],[31]]</f>
        <v>0</v>
      </c>
      <c r="AK87" s="224"/>
      <c r="AL87" s="199"/>
    </row>
    <row r="88" customFormat="false" ht="6.75" hidden="false" customHeight="true" outlineLevel="0" collapsed="false">
      <c r="A88" s="189"/>
      <c r="B88" s="185"/>
      <c r="C88" s="231"/>
      <c r="D88" s="232"/>
      <c r="E88" s="232"/>
      <c r="F88" s="232"/>
      <c r="G88" s="232"/>
      <c r="H88" s="232"/>
      <c r="I88" s="232"/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2"/>
      <c r="AI88" s="233"/>
      <c r="AJ88" s="236"/>
      <c r="AK88" s="228"/>
      <c r="AL88" s="189"/>
    </row>
    <row r="89" customFormat="false" ht="12.75" hidden="false" customHeight="false" outlineLevel="0" collapsed="false">
      <c r="A89" s="189"/>
      <c r="B89" s="189"/>
      <c r="C89" s="189"/>
      <c r="D89" s="189"/>
      <c r="E89" s="190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  <c r="Z89" s="189"/>
      <c r="AA89" s="189"/>
      <c r="AB89" s="189"/>
      <c r="AC89" s="189"/>
      <c r="AD89" s="189"/>
      <c r="AE89" s="189"/>
      <c r="AF89" s="189"/>
      <c r="AG89" s="189"/>
      <c r="AH89" s="189"/>
      <c r="AI89" s="189"/>
      <c r="AJ89" s="189"/>
      <c r="AK89" s="189"/>
      <c r="AL89" s="189"/>
    </row>
    <row r="90" customFormat="false" ht="12" hidden="false" customHeight="false" outlineLevel="0" collapsed="false">
      <c r="A90" s="189"/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9"/>
      <c r="Y90" s="189"/>
      <c r="Z90" s="189"/>
      <c r="AA90" s="189"/>
      <c r="AB90" s="189"/>
      <c r="AC90" s="189"/>
      <c r="AD90" s="189"/>
      <c r="AE90" s="189"/>
      <c r="AF90" s="189"/>
      <c r="AG90" s="189"/>
      <c r="AH90" s="189"/>
      <c r="AI90" s="189"/>
      <c r="AJ90" s="189"/>
      <c r="AK90" s="189"/>
      <c r="AL90" s="189"/>
    </row>
    <row r="91" customFormat="false" ht="12" hidden="false" customHeight="false" outlineLevel="0" collapsed="false">
      <c r="A91" s="189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  <c r="AJ91" s="189"/>
      <c r="AK91" s="189"/>
      <c r="AL91" s="189"/>
    </row>
    <row r="92" customFormat="false" ht="39.75" hidden="false" customHeight="true" outlineLevel="0" collapsed="false">
      <c r="A92" s="189"/>
      <c r="B92" s="189"/>
      <c r="C92" s="191"/>
      <c r="D92" s="189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03" t="s">
        <v>2</v>
      </c>
      <c r="AK92" s="189"/>
      <c r="AL92" s="189"/>
    </row>
    <row r="93" customFormat="false" ht="12.75" hidden="false" customHeight="false" outlineLevel="0" collapsed="false">
      <c r="A93" s="189"/>
      <c r="B93" s="230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89"/>
      <c r="AB93" s="189"/>
      <c r="AC93" s="189"/>
      <c r="AD93" s="189"/>
      <c r="AE93" s="189"/>
      <c r="AF93" s="189"/>
      <c r="AG93" s="189"/>
      <c r="AH93" s="189"/>
      <c r="AI93" s="189"/>
      <c r="AJ93" s="106" t="s">
        <v>64</v>
      </c>
      <c r="AK93" s="189"/>
      <c r="AL93" s="189"/>
    </row>
    <row r="94" customFormat="false" ht="6.75" hidden="false" customHeight="true" outlineLevel="0" collapsed="false">
      <c r="A94" s="189"/>
      <c r="B94" s="172"/>
      <c r="C94" s="231"/>
      <c r="D94" s="232"/>
      <c r="E94" s="232"/>
      <c r="F94" s="232"/>
      <c r="G94" s="232"/>
      <c r="H94" s="232"/>
      <c r="I94" s="232"/>
      <c r="J94" s="232"/>
      <c r="K94" s="232"/>
      <c r="L94" s="232"/>
      <c r="M94" s="232"/>
      <c r="N94" s="232"/>
      <c r="O94" s="232"/>
      <c r="P94" s="232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  <c r="AI94" s="232"/>
      <c r="AJ94" s="233"/>
      <c r="AK94" s="209"/>
      <c r="AL94" s="189"/>
    </row>
    <row r="95" customFormat="false" ht="13.5" hidden="true" customHeight="false" outlineLevel="0" collapsed="false">
      <c r="A95" s="189"/>
      <c r="B95" s="172"/>
      <c r="C95" s="195" t="s">
        <v>68</v>
      </c>
      <c r="D95" s="196" t="s">
        <v>69</v>
      </c>
      <c r="E95" s="196" t="s">
        <v>30</v>
      </c>
      <c r="F95" s="196" t="s">
        <v>31</v>
      </c>
      <c r="G95" s="196" t="s">
        <v>32</v>
      </c>
      <c r="H95" s="196" t="s">
        <v>33</v>
      </c>
      <c r="I95" s="196" t="s">
        <v>34</v>
      </c>
      <c r="J95" s="196" t="s">
        <v>35</v>
      </c>
      <c r="K95" s="196" t="s">
        <v>36</v>
      </c>
      <c r="L95" s="196" t="s">
        <v>37</v>
      </c>
      <c r="M95" s="196" t="s">
        <v>38</v>
      </c>
      <c r="N95" s="196" t="s">
        <v>39</v>
      </c>
      <c r="O95" s="196" t="s">
        <v>40</v>
      </c>
      <c r="P95" s="196" t="s">
        <v>41</v>
      </c>
      <c r="Q95" s="196" t="s">
        <v>81</v>
      </c>
      <c r="R95" s="196" t="s">
        <v>82</v>
      </c>
      <c r="S95" s="196" t="s">
        <v>83</v>
      </c>
      <c r="T95" s="196" t="s">
        <v>84</v>
      </c>
      <c r="U95" s="196" t="s">
        <v>85</v>
      </c>
      <c r="V95" s="196" t="s">
        <v>86</v>
      </c>
      <c r="W95" s="196" t="s">
        <v>87</v>
      </c>
      <c r="X95" s="196" t="s">
        <v>88</v>
      </c>
      <c r="Y95" s="196" t="s">
        <v>89</v>
      </c>
      <c r="Z95" s="196" t="s">
        <v>90</v>
      </c>
      <c r="AA95" s="196" t="s">
        <v>91</v>
      </c>
      <c r="AB95" s="196" t="s">
        <v>92</v>
      </c>
      <c r="AC95" s="196" t="s">
        <v>93</v>
      </c>
      <c r="AD95" s="196" t="s">
        <v>94</v>
      </c>
      <c r="AE95" s="196" t="s">
        <v>95</v>
      </c>
      <c r="AF95" s="196" t="s">
        <v>96</v>
      </c>
      <c r="AG95" s="196" t="s">
        <v>97</v>
      </c>
      <c r="AH95" s="196" t="s">
        <v>98</v>
      </c>
      <c r="AI95" s="196" t="s">
        <v>99</v>
      </c>
      <c r="AJ95" s="111" t="s">
        <v>70</v>
      </c>
      <c r="AK95" s="172"/>
      <c r="AL95" s="189"/>
    </row>
    <row r="96" customFormat="false" ht="19.5" hidden="false" customHeight="true" outlineLevel="0" collapsed="false">
      <c r="A96" s="189"/>
      <c r="B96" s="213"/>
      <c r="C96" s="214" t="str">
        <f aca="false">DADOS!$Z$3</f>
        <v>🏅 BÔNUS</v>
      </c>
      <c r="D96" s="215" t="str">
        <f aca="false">IF(receitasvariáveisconsolidado28[[#This Row],[TOTAL (R$)]]=0,"",IF(OR(receitasvariáveisconsolidado28[[#This Row],[TOTAL (R$)]]=LARGE($AJ$96:$AJ$103,1),receitasvariáveisconsolidado28[[#This Row],[TOTAL (R$)]]=LARGE($AJ$96:$AJ$103,2)),DADOS!$I$9,""))</f>
        <v/>
      </c>
      <c r="E96" s="148" t="n">
        <f aca="false">SUMIFS(tabela_registros[VALOR],tabela_registros[MÊS],$AE$1,tabela_registros[DIA],receitasvariáveisconsolidado28[[#Headers],[1]],tabela_registros[REGISTRO],DADOS!$N$3,tabela_registros[TIPO],DADOS!$V$4,tabela_registros[CATEGORIA],receitasvariáveisconsolidado28[[#This Row],[ATUAL]])</f>
        <v>0</v>
      </c>
      <c r="F96" s="119" t="n">
        <f aca="false">SUMIFS(tabela_registros[VALOR],tabela_registros[MÊS],$AE$1,tabela_registros[DIA],receitasvariáveisconsolidado28[[#Headers],[2]],tabela_registros[REGISTRO],DADOS!$N$3,tabela_registros[TIPO],DADOS!$V$4,tabela_registros[CATEGORIA],receitasvariáveisconsolidado28[[#This Row],[ATUAL]])</f>
        <v>0</v>
      </c>
      <c r="G96" s="119" t="n">
        <f aca="false">SUMIFS(tabela_registros[VALOR],tabela_registros[MÊS],$AE$1,tabela_registros[DIA],receitasvariáveisconsolidado28[[#Headers],[3]],tabela_registros[REGISTRO],DADOS!$N$3,tabela_registros[TIPO],DADOS!$V$4,tabela_registros[CATEGORIA],receitasvariáveisconsolidado28[[#This Row],[ATUAL]])</f>
        <v>0</v>
      </c>
      <c r="H96" s="119" t="n">
        <f aca="false">SUMIFS(tabela_registros[VALOR],tabela_registros[MÊS],$AE$1,tabela_registros[DIA],receitasvariáveisconsolidado28[[#Headers],[4]],tabela_registros[REGISTRO],DADOS!$N$3,tabela_registros[TIPO],DADOS!$V$4,tabela_registros[CATEGORIA],receitasvariáveisconsolidado28[[#This Row],[ATUAL]])</f>
        <v>0</v>
      </c>
      <c r="I96" s="119" t="n">
        <f aca="false">SUMIFS(tabela_registros[VALOR],tabela_registros[MÊS],$AE$1,tabela_registros[DIA],receitasvariáveisconsolidado28[[#Headers],[5]],tabela_registros[REGISTRO],DADOS!$N$3,tabela_registros[TIPO],DADOS!$V$4,tabela_registros[CATEGORIA],receitasvariáveisconsolidado28[[#This Row],[ATUAL]])</f>
        <v>0</v>
      </c>
      <c r="J96" s="119" t="n">
        <f aca="false">SUMIFS(tabela_registros[VALOR],tabela_registros[MÊS],$AE$1,tabela_registros[DIA],receitasvariáveisconsolidado28[[#Headers],[6]],tabela_registros[REGISTRO],DADOS!$N$3,tabela_registros[TIPO],DADOS!$V$4,tabela_registros[CATEGORIA],receitasvariáveisconsolidado28[[#This Row],[ATUAL]])</f>
        <v>0</v>
      </c>
      <c r="K96" s="119" t="n">
        <f aca="false">SUMIFS(tabela_registros[VALOR],tabela_registros[MÊS],$AE$1,tabela_registros[DIA],receitasvariáveisconsolidado28[[#Headers],[7]],tabela_registros[REGISTRO],DADOS!$N$3,tabela_registros[TIPO],DADOS!$V$4,tabela_registros[CATEGORIA],receitasvariáveisconsolidado28[[#This Row],[ATUAL]])</f>
        <v>0</v>
      </c>
      <c r="L96" s="119" t="n">
        <f aca="false">SUMIFS(tabela_registros[VALOR],tabela_registros[MÊS],$AE$1,tabela_registros[DIA],receitasvariáveisconsolidado28[[#Headers],[8]],tabela_registros[REGISTRO],DADOS!$N$3,tabela_registros[TIPO],DADOS!$V$4,tabela_registros[CATEGORIA],receitasvariáveisconsolidado28[[#This Row],[ATUAL]])</f>
        <v>0</v>
      </c>
      <c r="M96" s="119" t="n">
        <f aca="false">SUMIFS(tabela_registros[VALOR],tabela_registros[MÊS],$AE$1,tabela_registros[DIA],receitasvariáveisconsolidado28[[#Headers],[9]],tabela_registros[REGISTRO],DADOS!$N$3,tabela_registros[TIPO],DADOS!$V$4,tabela_registros[CATEGORIA],receitasvariáveisconsolidado28[[#This Row],[ATUAL]])</f>
        <v>0</v>
      </c>
      <c r="N96" s="119" t="n">
        <f aca="false">SUMIFS(tabela_registros[VALOR],tabela_registros[MÊS],$AE$1,tabela_registros[DIA],receitasvariáveisconsolidado28[[#Headers],[10]],tabela_registros[REGISTRO],DADOS!$N$3,tabela_registros[TIPO],DADOS!$V$4,tabela_registros[CATEGORIA],receitasvariáveisconsolidado28[[#This Row],[ATUAL]])</f>
        <v>0</v>
      </c>
      <c r="O96" s="119" t="n">
        <f aca="false">SUMIFS(tabela_registros[VALOR],tabela_registros[MÊS],$AE$1,tabela_registros[DIA],receitasvariáveisconsolidado28[[#Headers],[11]],tabela_registros[REGISTRO],DADOS!$N$3,tabela_registros[TIPO],DADOS!$V$4,tabela_registros[CATEGORIA],receitasvariáveisconsolidado28[[#This Row],[ATUAL]])</f>
        <v>0</v>
      </c>
      <c r="P96" s="119" t="n">
        <f aca="false">SUMIFS(tabela_registros[VALOR],tabela_registros[MÊS],$AE$1,tabela_registros[DIA],receitasvariáveisconsolidado28[[#Headers],[12]],tabela_registros[REGISTRO],DADOS!$N$3,tabela_registros[TIPO],DADOS!$V$4,tabela_registros[CATEGORIA],receitasvariáveisconsolidado28[[#This Row],[ATUAL]])</f>
        <v>0</v>
      </c>
      <c r="Q96" s="119" t="n">
        <f aca="false">SUMIFS(tabela_registros[VALOR],tabela_registros[MÊS],$AE$1,tabela_registros[DIA],receitasvariáveisconsolidado28[[#Headers],[13]],tabela_registros[REGISTRO],DADOS!$N$3,tabela_registros[TIPO],DADOS!$V$4,tabela_registros[CATEGORIA],receitasvariáveisconsolidado28[[#This Row],[ATUAL]])</f>
        <v>0</v>
      </c>
      <c r="R96" s="119" t="n">
        <f aca="false">SUMIFS(tabela_registros[VALOR],tabela_registros[MÊS],$AE$1,tabela_registros[DIA],receitasvariáveisconsolidado28[[#Headers],[14]],tabela_registros[REGISTRO],DADOS!$N$3,tabela_registros[TIPO],DADOS!$V$4,tabela_registros[CATEGORIA],receitasvariáveisconsolidado28[[#This Row],[ATUAL]])</f>
        <v>0</v>
      </c>
      <c r="S96" s="119" t="n">
        <f aca="false">SUMIFS(tabela_registros[VALOR],tabela_registros[MÊS],$AE$1,tabela_registros[DIA],receitasvariáveisconsolidado28[[#Headers],[15]],tabela_registros[REGISTRO],DADOS!$N$3,tabela_registros[TIPO],DADOS!$V$4,tabela_registros[CATEGORIA],receitasvariáveisconsolidado28[[#This Row],[ATUAL]])</f>
        <v>0</v>
      </c>
      <c r="T96" s="119" t="n">
        <f aca="false">SUMIFS(tabela_registros[VALOR],tabela_registros[MÊS],$AE$1,tabela_registros[DIA],receitasvariáveisconsolidado28[[#Headers],[16]],tabela_registros[REGISTRO],DADOS!$N$3,tabela_registros[TIPO],DADOS!$V$4,tabela_registros[CATEGORIA],receitasvariáveisconsolidado28[[#This Row],[ATUAL]])</f>
        <v>0</v>
      </c>
      <c r="U96" s="119" t="n">
        <f aca="false">SUMIFS(tabela_registros[VALOR],tabela_registros[MÊS],$AE$1,tabela_registros[DIA],receitasvariáveisconsolidado28[[#Headers],[17]],tabela_registros[REGISTRO],DADOS!$N$3,tabela_registros[TIPO],DADOS!$V$4,tabela_registros[CATEGORIA],receitasvariáveisconsolidado28[[#This Row],[ATUAL]])</f>
        <v>0</v>
      </c>
      <c r="V96" s="119" t="n">
        <f aca="false">SUMIFS(tabela_registros[VALOR],tabela_registros[MÊS],$AE$1,tabela_registros[DIA],receitasvariáveisconsolidado28[[#Headers],[18]],tabela_registros[REGISTRO],DADOS!$N$3,tabela_registros[TIPO],DADOS!$V$4,tabela_registros[CATEGORIA],receitasvariáveisconsolidado28[[#This Row],[ATUAL]])</f>
        <v>0</v>
      </c>
      <c r="W96" s="119" t="n">
        <f aca="false">SUMIFS(tabela_registros[VALOR],tabela_registros[MÊS],$AE$1,tabela_registros[DIA],receitasvariáveisconsolidado28[[#Headers],[19]],tabela_registros[REGISTRO],DADOS!$N$3,tabela_registros[TIPO],DADOS!$V$4,tabela_registros[CATEGORIA],receitasvariáveisconsolidado28[[#This Row],[ATUAL]])</f>
        <v>0</v>
      </c>
      <c r="X96" s="119" t="n">
        <f aca="false">SUMIFS(tabela_registros[VALOR],tabela_registros[MÊS],$AE$1,tabela_registros[DIA],receitasvariáveisconsolidado28[[#Headers],[20]],tabela_registros[REGISTRO],DADOS!$N$3,tabela_registros[TIPO],DADOS!$V$4,tabela_registros[CATEGORIA],receitasvariáveisconsolidado28[[#This Row],[ATUAL]])</f>
        <v>0</v>
      </c>
      <c r="Y96" s="119" t="n">
        <f aca="false">SUMIFS(tabela_registros[VALOR],tabela_registros[MÊS],$AE$1,tabela_registros[DIA],receitasvariáveisconsolidado28[[#Headers],[21]],tabela_registros[REGISTRO],DADOS!$N$3,tabela_registros[TIPO],DADOS!$V$4,tabela_registros[CATEGORIA],receitasvariáveisconsolidado28[[#This Row],[ATUAL]])</f>
        <v>0</v>
      </c>
      <c r="Z96" s="119" t="n">
        <f aca="false">SUMIFS(tabela_registros[VALOR],tabela_registros[MÊS],$AE$1,tabela_registros[DIA],receitasvariáveisconsolidado28[[#Headers],[22]],tabela_registros[REGISTRO],DADOS!$N$3,tabela_registros[TIPO],DADOS!$V$4,tabela_registros[CATEGORIA],receitasvariáveisconsolidado28[[#This Row],[ATUAL]])</f>
        <v>0</v>
      </c>
      <c r="AA96" s="119" t="n">
        <f aca="false">SUMIFS(tabela_registros[VALOR],tabela_registros[MÊS],$AE$1,tabela_registros[DIA],receitasvariáveisconsolidado28[[#Headers],[23]],tabela_registros[REGISTRO],DADOS!$N$3,tabela_registros[TIPO],DADOS!$V$4,tabela_registros[CATEGORIA],receitasvariáveisconsolidado28[[#This Row],[ATUAL]])</f>
        <v>0</v>
      </c>
      <c r="AB96" s="119" t="n">
        <f aca="false">SUMIFS(tabela_registros[VALOR],tabela_registros[MÊS],$AE$1,tabela_registros[DIA],receitasvariáveisconsolidado28[[#Headers],[24]],tabela_registros[REGISTRO],DADOS!$N$3,tabela_registros[TIPO],DADOS!$V$4,tabela_registros[CATEGORIA],receitasvariáveisconsolidado28[[#This Row],[ATUAL]])</f>
        <v>0</v>
      </c>
      <c r="AC96" s="119" t="n">
        <f aca="false">SUMIFS(tabela_registros[VALOR],tabela_registros[MÊS],$AE$1,tabela_registros[DIA],receitasvariáveisconsolidado28[[#Headers],[25]],tabela_registros[REGISTRO],DADOS!$N$3,tabela_registros[TIPO],DADOS!$V$4,tabela_registros[CATEGORIA],receitasvariáveisconsolidado28[[#This Row],[ATUAL]])</f>
        <v>0</v>
      </c>
      <c r="AD96" s="119" t="n">
        <f aca="false">SUMIFS(tabela_registros[VALOR],tabela_registros[MÊS],$AE$1,tabela_registros[DIA],receitasvariáveisconsolidado28[[#Headers],[26]],tabela_registros[REGISTRO],DADOS!$N$3,tabela_registros[TIPO],DADOS!$V$4,tabela_registros[CATEGORIA],receitasvariáveisconsolidado28[[#This Row],[ATUAL]])</f>
        <v>0</v>
      </c>
      <c r="AE96" s="119" t="n">
        <f aca="false">SUMIFS(tabela_registros[VALOR],tabela_registros[MÊS],$AE$1,tabela_registros[DIA],receitasvariáveisconsolidado28[[#Headers],[27]],tabela_registros[REGISTRO],DADOS!$N$3,tabela_registros[TIPO],DADOS!$V$4,tabela_registros[CATEGORIA],receitasvariáveisconsolidado28[[#This Row],[ATUAL]])</f>
        <v>0</v>
      </c>
      <c r="AF96" s="119" t="n">
        <f aca="false">SUMIFS(tabela_registros[VALOR],tabela_registros[MÊS],$AE$1,tabela_registros[DIA],receitasvariáveisconsolidado28[[#Headers],[28]],tabela_registros[REGISTRO],DADOS!$N$3,tabela_registros[TIPO],DADOS!$V$4,tabela_registros[CATEGORIA],receitasvariáveisconsolidado28[[#This Row],[ATUAL]])</f>
        <v>0</v>
      </c>
      <c r="AG96" s="119" t="n">
        <f aca="false">SUMIFS(tabela_registros[VALOR],tabela_registros[MÊS],$AE$1,tabela_registros[DIA],receitasvariáveisconsolidado28[[#Headers],[29]],tabela_registros[REGISTRO],DADOS!$N$3,tabela_registros[TIPO],DADOS!$V$4,tabela_registros[CATEGORIA],receitasvariáveisconsolidado28[[#This Row],[ATUAL]])</f>
        <v>0</v>
      </c>
      <c r="AH96" s="119" t="n">
        <f aca="false">SUMIFS(tabela_registros[VALOR],tabela_registros[MÊS],$AE$1,tabela_registros[DIA],receitasvariáveisconsolidado28[[#Headers],[30]],tabela_registros[REGISTRO],DADOS!$N$3,tabela_registros[TIPO],DADOS!$V$4,tabela_registros[CATEGORIA],receitasvariáveisconsolidado28[[#This Row],[ATUAL]])</f>
        <v>0</v>
      </c>
      <c r="AI96" s="217" t="n">
        <f aca="false">SUMIFS(tabela_registros[VALOR],tabela_registros[MÊS],$AE$1,tabela_registros[DIA],receitasvariáveisconsolidado28[[#Headers],[31]],tabela_registros[REGISTRO],DADOS!$N$3,tabela_registros[TIPO],DADOS!$V$4,tabela_registros[CATEGORIA],receitasvariáveisconsolidado28[[#This Row],[ATUAL]])</f>
        <v>0</v>
      </c>
      <c r="AJ96" s="149" t="n">
        <f aca="false">SUM(receitasvariáveisconsolidado28[[#This Row],[1]:[31]])</f>
        <v>0</v>
      </c>
      <c r="AK96" s="234"/>
      <c r="AL96" s="189"/>
    </row>
    <row r="97" customFormat="false" ht="19.5" hidden="false" customHeight="true" outlineLevel="0" collapsed="false">
      <c r="A97" s="189"/>
      <c r="B97" s="213"/>
      <c r="C97" s="214" t="str">
        <f aca="false">DADOS!$Z$4</f>
        <v>🤑 COMISSÃO</v>
      </c>
      <c r="D97" s="215" t="str">
        <f aca="false">IF(receitasvariáveisconsolidado28[[#This Row],[TOTAL (R$)]]=0,"",IF(OR(receitasvariáveisconsolidado28[[#This Row],[TOTAL (R$)]]=LARGE($AJ$96:$AJ$103,1),receitasvariáveisconsolidado28[[#This Row],[TOTAL (R$)]]=LARGE($AJ$96:$AJ$103,2)),DADOS!$I$9,""))</f>
        <v/>
      </c>
      <c r="E97" s="148" t="n">
        <f aca="false">SUMIFS(tabela_registros[VALOR],tabela_registros[MÊS],$AE$1,tabela_registros[DIA],receitasvariáveisconsolidado28[[#Headers],[1]],tabela_registros[REGISTRO],DADOS!$N$3,tabela_registros[TIPO],DADOS!$V$4,tabela_registros[CATEGORIA],receitasvariáveisconsolidado28[[#This Row],[ATUAL]])</f>
        <v>0</v>
      </c>
      <c r="F97" s="119" t="n">
        <f aca="false">SUMIFS(tabela_registros[VALOR],tabela_registros[MÊS],$AE$1,tabela_registros[DIA],receitasvariáveisconsolidado28[[#Headers],[2]],tabela_registros[REGISTRO],DADOS!$N$3,tabela_registros[TIPO],DADOS!$V$4,tabela_registros[CATEGORIA],receitasvariáveisconsolidado28[[#This Row],[ATUAL]])</f>
        <v>0</v>
      </c>
      <c r="G97" s="119" t="n">
        <f aca="false">SUMIFS(tabela_registros[VALOR],tabela_registros[MÊS],$AE$1,tabela_registros[DIA],receitasvariáveisconsolidado28[[#Headers],[3]],tabela_registros[REGISTRO],DADOS!$N$3,tabela_registros[TIPO],DADOS!$V$4,tabela_registros[CATEGORIA],receitasvariáveisconsolidado28[[#This Row],[ATUAL]])</f>
        <v>0</v>
      </c>
      <c r="H97" s="119" t="n">
        <f aca="false">SUMIFS(tabela_registros[VALOR],tabela_registros[MÊS],$AE$1,tabela_registros[DIA],receitasvariáveisconsolidado28[[#Headers],[4]],tabela_registros[REGISTRO],DADOS!$N$3,tabela_registros[TIPO],DADOS!$V$4,tabela_registros[CATEGORIA],receitasvariáveisconsolidado28[[#This Row],[ATUAL]])</f>
        <v>0</v>
      </c>
      <c r="I97" s="119" t="n">
        <f aca="false">SUMIFS(tabela_registros[VALOR],tabela_registros[MÊS],$AE$1,tabela_registros[DIA],receitasvariáveisconsolidado28[[#Headers],[5]],tabela_registros[REGISTRO],DADOS!$N$3,tabela_registros[TIPO],DADOS!$V$4,tabela_registros[CATEGORIA],receitasvariáveisconsolidado28[[#This Row],[ATUAL]])</f>
        <v>0</v>
      </c>
      <c r="J97" s="119" t="n">
        <f aca="false">SUMIFS(tabela_registros[VALOR],tabela_registros[MÊS],$AE$1,tabela_registros[DIA],receitasvariáveisconsolidado28[[#Headers],[6]],tabela_registros[REGISTRO],DADOS!$N$3,tabela_registros[TIPO],DADOS!$V$4,tabela_registros[CATEGORIA],receitasvariáveisconsolidado28[[#This Row],[ATUAL]])</f>
        <v>0</v>
      </c>
      <c r="K97" s="119" t="n">
        <f aca="false">SUMIFS(tabela_registros[VALOR],tabela_registros[MÊS],$AE$1,tabela_registros[DIA],receitasvariáveisconsolidado28[[#Headers],[7]],tabela_registros[REGISTRO],DADOS!$N$3,tabela_registros[TIPO],DADOS!$V$4,tabela_registros[CATEGORIA],receitasvariáveisconsolidado28[[#This Row],[ATUAL]])</f>
        <v>0</v>
      </c>
      <c r="L97" s="119" t="n">
        <f aca="false">SUMIFS(tabela_registros[VALOR],tabela_registros[MÊS],$AE$1,tabela_registros[DIA],receitasvariáveisconsolidado28[[#Headers],[8]],tabela_registros[REGISTRO],DADOS!$N$3,tabela_registros[TIPO],DADOS!$V$4,tabela_registros[CATEGORIA],receitasvariáveisconsolidado28[[#This Row],[ATUAL]])</f>
        <v>0</v>
      </c>
      <c r="M97" s="119" t="n">
        <f aca="false">SUMIFS(tabela_registros[VALOR],tabela_registros[MÊS],$AE$1,tabela_registros[DIA],receitasvariáveisconsolidado28[[#Headers],[9]],tabela_registros[REGISTRO],DADOS!$N$3,tabela_registros[TIPO],DADOS!$V$4,tabela_registros[CATEGORIA],receitasvariáveisconsolidado28[[#This Row],[ATUAL]])</f>
        <v>0</v>
      </c>
      <c r="N97" s="119" t="n">
        <f aca="false">SUMIFS(tabela_registros[VALOR],tabela_registros[MÊS],$AE$1,tabela_registros[DIA],receitasvariáveisconsolidado28[[#Headers],[10]],tabela_registros[REGISTRO],DADOS!$N$3,tabela_registros[TIPO],DADOS!$V$4,tabela_registros[CATEGORIA],receitasvariáveisconsolidado28[[#This Row],[ATUAL]])</f>
        <v>0</v>
      </c>
      <c r="O97" s="119" t="n">
        <f aca="false">SUMIFS(tabela_registros[VALOR],tabela_registros[MÊS],$AE$1,tabela_registros[DIA],receitasvariáveisconsolidado28[[#Headers],[11]],tabela_registros[REGISTRO],DADOS!$N$3,tabela_registros[TIPO],DADOS!$V$4,tabela_registros[CATEGORIA],receitasvariáveisconsolidado28[[#This Row],[ATUAL]])</f>
        <v>0</v>
      </c>
      <c r="P97" s="119" t="n">
        <f aca="false">SUMIFS(tabela_registros[VALOR],tabela_registros[MÊS],$AE$1,tabela_registros[DIA],receitasvariáveisconsolidado28[[#Headers],[12]],tabela_registros[REGISTRO],DADOS!$N$3,tabela_registros[TIPO],DADOS!$V$4,tabela_registros[CATEGORIA],receitasvariáveisconsolidado28[[#This Row],[ATUAL]])</f>
        <v>0</v>
      </c>
      <c r="Q97" s="119" t="n">
        <f aca="false">SUMIFS(tabela_registros[VALOR],tabela_registros[MÊS],$AE$1,tabela_registros[DIA],receitasvariáveisconsolidado28[[#Headers],[13]],tabela_registros[REGISTRO],DADOS!$N$3,tabela_registros[TIPO],DADOS!$V$4,tabela_registros[CATEGORIA],receitasvariáveisconsolidado28[[#This Row],[ATUAL]])</f>
        <v>0</v>
      </c>
      <c r="R97" s="119" t="n">
        <f aca="false">SUMIFS(tabela_registros[VALOR],tabela_registros[MÊS],$AE$1,tabela_registros[DIA],receitasvariáveisconsolidado28[[#Headers],[14]],tabela_registros[REGISTRO],DADOS!$N$3,tabela_registros[TIPO],DADOS!$V$4,tabela_registros[CATEGORIA],receitasvariáveisconsolidado28[[#This Row],[ATUAL]])</f>
        <v>0</v>
      </c>
      <c r="S97" s="119" t="n">
        <f aca="false">SUMIFS(tabela_registros[VALOR],tabela_registros[MÊS],$AE$1,tabela_registros[DIA],receitasvariáveisconsolidado28[[#Headers],[15]],tabela_registros[REGISTRO],DADOS!$N$3,tabela_registros[TIPO],DADOS!$V$4,tabela_registros[CATEGORIA],receitasvariáveisconsolidado28[[#This Row],[ATUAL]])</f>
        <v>0</v>
      </c>
      <c r="T97" s="119" t="n">
        <f aca="false">SUMIFS(tabela_registros[VALOR],tabela_registros[MÊS],$AE$1,tabela_registros[DIA],receitasvariáveisconsolidado28[[#Headers],[16]],tabela_registros[REGISTRO],DADOS!$N$3,tabela_registros[TIPO],DADOS!$V$4,tabela_registros[CATEGORIA],receitasvariáveisconsolidado28[[#This Row],[ATUAL]])</f>
        <v>0</v>
      </c>
      <c r="U97" s="119" t="n">
        <f aca="false">SUMIFS(tabela_registros[VALOR],tabela_registros[MÊS],$AE$1,tabela_registros[DIA],receitasvariáveisconsolidado28[[#Headers],[17]],tabela_registros[REGISTRO],DADOS!$N$3,tabela_registros[TIPO],DADOS!$V$4,tabela_registros[CATEGORIA],receitasvariáveisconsolidado28[[#This Row],[ATUAL]])</f>
        <v>0</v>
      </c>
      <c r="V97" s="119" t="n">
        <f aca="false">SUMIFS(tabela_registros[VALOR],tabela_registros[MÊS],$AE$1,tabela_registros[DIA],receitasvariáveisconsolidado28[[#Headers],[18]],tabela_registros[REGISTRO],DADOS!$N$3,tabela_registros[TIPO],DADOS!$V$4,tabela_registros[CATEGORIA],receitasvariáveisconsolidado28[[#This Row],[ATUAL]])</f>
        <v>0</v>
      </c>
      <c r="W97" s="119" t="n">
        <f aca="false">SUMIFS(tabela_registros[VALOR],tabela_registros[MÊS],$AE$1,tabela_registros[DIA],receitasvariáveisconsolidado28[[#Headers],[19]],tabela_registros[REGISTRO],DADOS!$N$3,tabela_registros[TIPO],DADOS!$V$4,tabela_registros[CATEGORIA],receitasvariáveisconsolidado28[[#This Row],[ATUAL]])</f>
        <v>0</v>
      </c>
      <c r="X97" s="119" t="n">
        <f aca="false">SUMIFS(tabela_registros[VALOR],tabela_registros[MÊS],$AE$1,tabela_registros[DIA],receitasvariáveisconsolidado28[[#Headers],[20]],tabela_registros[REGISTRO],DADOS!$N$3,tabela_registros[TIPO],DADOS!$V$4,tabela_registros[CATEGORIA],receitasvariáveisconsolidado28[[#This Row],[ATUAL]])</f>
        <v>0</v>
      </c>
      <c r="Y97" s="119" t="n">
        <f aca="false">SUMIFS(tabela_registros[VALOR],tabela_registros[MÊS],$AE$1,tabela_registros[DIA],receitasvariáveisconsolidado28[[#Headers],[21]],tabela_registros[REGISTRO],DADOS!$N$3,tabela_registros[TIPO],DADOS!$V$4,tabela_registros[CATEGORIA],receitasvariáveisconsolidado28[[#This Row],[ATUAL]])</f>
        <v>0</v>
      </c>
      <c r="Z97" s="119" t="n">
        <f aca="false">SUMIFS(tabela_registros[VALOR],tabela_registros[MÊS],$AE$1,tabela_registros[DIA],receitasvariáveisconsolidado28[[#Headers],[22]],tabela_registros[REGISTRO],DADOS!$N$3,tabela_registros[TIPO],DADOS!$V$4,tabela_registros[CATEGORIA],receitasvariáveisconsolidado28[[#This Row],[ATUAL]])</f>
        <v>0</v>
      </c>
      <c r="AA97" s="119" t="n">
        <f aca="false">SUMIFS(tabela_registros[VALOR],tabela_registros[MÊS],$AE$1,tabela_registros[DIA],receitasvariáveisconsolidado28[[#Headers],[23]],tabela_registros[REGISTRO],DADOS!$N$3,tabela_registros[TIPO],DADOS!$V$4,tabela_registros[CATEGORIA],receitasvariáveisconsolidado28[[#This Row],[ATUAL]])</f>
        <v>0</v>
      </c>
      <c r="AB97" s="119" t="n">
        <f aca="false">SUMIFS(tabela_registros[VALOR],tabela_registros[MÊS],$AE$1,tabela_registros[DIA],receitasvariáveisconsolidado28[[#Headers],[24]],tabela_registros[REGISTRO],DADOS!$N$3,tabela_registros[TIPO],DADOS!$V$4,tabela_registros[CATEGORIA],receitasvariáveisconsolidado28[[#This Row],[ATUAL]])</f>
        <v>0</v>
      </c>
      <c r="AC97" s="119" t="n">
        <f aca="false">SUMIFS(tabela_registros[VALOR],tabela_registros[MÊS],$AE$1,tabela_registros[DIA],receitasvariáveisconsolidado28[[#Headers],[25]],tabela_registros[REGISTRO],DADOS!$N$3,tabela_registros[TIPO],DADOS!$V$4,tabela_registros[CATEGORIA],receitasvariáveisconsolidado28[[#This Row],[ATUAL]])</f>
        <v>0</v>
      </c>
      <c r="AD97" s="119" t="n">
        <f aca="false">SUMIFS(tabela_registros[VALOR],tabela_registros[MÊS],$AE$1,tabela_registros[DIA],receitasvariáveisconsolidado28[[#Headers],[26]],tabela_registros[REGISTRO],DADOS!$N$3,tabela_registros[TIPO],DADOS!$V$4,tabela_registros[CATEGORIA],receitasvariáveisconsolidado28[[#This Row],[ATUAL]])</f>
        <v>0</v>
      </c>
      <c r="AE97" s="119" t="n">
        <f aca="false">SUMIFS(tabela_registros[VALOR],tabela_registros[MÊS],$AE$1,tabela_registros[DIA],receitasvariáveisconsolidado28[[#Headers],[27]],tabela_registros[REGISTRO],DADOS!$N$3,tabela_registros[TIPO],DADOS!$V$4,tabela_registros[CATEGORIA],receitasvariáveisconsolidado28[[#This Row],[ATUAL]])</f>
        <v>0</v>
      </c>
      <c r="AF97" s="119" t="n">
        <f aca="false">SUMIFS(tabela_registros[VALOR],tabela_registros[MÊS],$AE$1,tabela_registros[DIA],receitasvariáveisconsolidado28[[#Headers],[28]],tabela_registros[REGISTRO],DADOS!$N$3,tabela_registros[TIPO],DADOS!$V$4,tabela_registros[CATEGORIA],receitasvariáveisconsolidado28[[#This Row],[ATUAL]])</f>
        <v>0</v>
      </c>
      <c r="AG97" s="119" t="n">
        <f aca="false">SUMIFS(tabela_registros[VALOR],tabela_registros[MÊS],$AE$1,tabela_registros[DIA],receitasvariáveisconsolidado28[[#Headers],[29]],tabela_registros[REGISTRO],DADOS!$N$3,tabela_registros[TIPO],DADOS!$V$4,tabela_registros[CATEGORIA],receitasvariáveisconsolidado28[[#This Row],[ATUAL]])</f>
        <v>0</v>
      </c>
      <c r="AH97" s="119" t="n">
        <f aca="false">SUMIFS(tabela_registros[VALOR],tabela_registros[MÊS],$AE$1,tabela_registros[DIA],receitasvariáveisconsolidado28[[#Headers],[30]],tabela_registros[REGISTRO],DADOS!$N$3,tabela_registros[TIPO],DADOS!$V$4,tabela_registros[CATEGORIA],receitasvariáveisconsolidado28[[#This Row],[ATUAL]])</f>
        <v>0</v>
      </c>
      <c r="AI97" s="217" t="n">
        <f aca="false">SUMIFS(tabela_registros[VALOR],tabela_registros[MÊS],$AE$1,tabela_registros[DIA],receitasvariáveisconsolidado28[[#Headers],[31]],tabela_registros[REGISTRO],DADOS!$N$3,tabela_registros[TIPO],DADOS!$V$4,tabela_registros[CATEGORIA],receitasvariáveisconsolidado28[[#This Row],[ATUAL]])</f>
        <v>0</v>
      </c>
      <c r="AJ97" s="149" t="n">
        <f aca="false">SUM(receitasvariáveisconsolidado28[[#This Row],[1]:[31]])</f>
        <v>0</v>
      </c>
      <c r="AK97" s="234"/>
      <c r="AL97" s="189"/>
    </row>
    <row r="98" customFormat="false" ht="19.5" hidden="false" customHeight="true" outlineLevel="0" collapsed="false">
      <c r="A98" s="189"/>
      <c r="B98" s="213"/>
      <c r="C98" s="214" t="str">
        <f aca="false">DADOS!$Z$5</f>
        <v>🎗️ HERANÇA</v>
      </c>
      <c r="D98" s="215" t="str">
        <f aca="false">IF(receitasvariáveisconsolidado28[[#This Row],[TOTAL (R$)]]=0,"",IF(OR(receitasvariáveisconsolidado28[[#This Row],[TOTAL (R$)]]=LARGE($AJ$96:$AJ$103,1),receitasvariáveisconsolidado28[[#This Row],[TOTAL (R$)]]=LARGE($AJ$96:$AJ$103,2)),DADOS!$I$9,""))</f>
        <v/>
      </c>
      <c r="E98" s="148" t="n">
        <f aca="false">SUMIFS(tabela_registros[VALOR],tabela_registros[MÊS],$AE$1,tabela_registros[DIA],receitasvariáveisconsolidado28[[#Headers],[1]],tabela_registros[REGISTRO],DADOS!$N$3,tabela_registros[TIPO],DADOS!$V$4,tabela_registros[CATEGORIA],receitasvariáveisconsolidado28[[#This Row],[ATUAL]])</f>
        <v>0</v>
      </c>
      <c r="F98" s="119" t="n">
        <f aca="false">SUMIFS(tabela_registros[VALOR],tabela_registros[MÊS],$AE$1,tabela_registros[DIA],receitasvariáveisconsolidado28[[#Headers],[2]],tabela_registros[REGISTRO],DADOS!$N$3,tabela_registros[TIPO],DADOS!$V$4,tabela_registros[CATEGORIA],receitasvariáveisconsolidado28[[#This Row],[ATUAL]])</f>
        <v>0</v>
      </c>
      <c r="G98" s="119" t="n">
        <f aca="false">SUMIFS(tabela_registros[VALOR],tabela_registros[MÊS],$AE$1,tabela_registros[DIA],receitasvariáveisconsolidado28[[#Headers],[3]],tabela_registros[REGISTRO],DADOS!$N$3,tabela_registros[TIPO],DADOS!$V$4,tabela_registros[CATEGORIA],receitasvariáveisconsolidado28[[#This Row],[ATUAL]])</f>
        <v>0</v>
      </c>
      <c r="H98" s="119" t="n">
        <f aca="false">SUMIFS(tabela_registros[VALOR],tabela_registros[MÊS],$AE$1,tabela_registros[DIA],receitasvariáveisconsolidado28[[#Headers],[4]],tabela_registros[REGISTRO],DADOS!$N$3,tabela_registros[TIPO],DADOS!$V$4,tabela_registros[CATEGORIA],receitasvariáveisconsolidado28[[#This Row],[ATUAL]])</f>
        <v>0</v>
      </c>
      <c r="I98" s="119" t="n">
        <f aca="false">SUMIFS(tabela_registros[VALOR],tabela_registros[MÊS],$AE$1,tabela_registros[DIA],receitasvariáveisconsolidado28[[#Headers],[5]],tabela_registros[REGISTRO],DADOS!$N$3,tabela_registros[TIPO],DADOS!$V$4,tabela_registros[CATEGORIA],receitasvariáveisconsolidado28[[#This Row],[ATUAL]])</f>
        <v>0</v>
      </c>
      <c r="J98" s="119" t="n">
        <f aca="false">SUMIFS(tabela_registros[VALOR],tabela_registros[MÊS],$AE$1,tabela_registros[DIA],receitasvariáveisconsolidado28[[#Headers],[6]],tabela_registros[REGISTRO],DADOS!$N$3,tabela_registros[TIPO],DADOS!$V$4,tabela_registros[CATEGORIA],receitasvariáveisconsolidado28[[#This Row],[ATUAL]])</f>
        <v>0</v>
      </c>
      <c r="K98" s="119" t="n">
        <f aca="false">SUMIFS(tabela_registros[VALOR],tabela_registros[MÊS],$AE$1,tabela_registros[DIA],receitasvariáveisconsolidado28[[#Headers],[7]],tabela_registros[REGISTRO],DADOS!$N$3,tabela_registros[TIPO],DADOS!$V$4,tabela_registros[CATEGORIA],receitasvariáveisconsolidado28[[#This Row],[ATUAL]])</f>
        <v>0</v>
      </c>
      <c r="L98" s="119" t="n">
        <f aca="false">SUMIFS(tabela_registros[VALOR],tabela_registros[MÊS],$AE$1,tabela_registros[DIA],receitasvariáveisconsolidado28[[#Headers],[8]],tabela_registros[REGISTRO],DADOS!$N$3,tabela_registros[TIPO],DADOS!$V$4,tabela_registros[CATEGORIA],receitasvariáveisconsolidado28[[#This Row],[ATUAL]])</f>
        <v>0</v>
      </c>
      <c r="M98" s="119" t="n">
        <f aca="false">SUMIFS(tabela_registros[VALOR],tabela_registros[MÊS],$AE$1,tabela_registros[DIA],receitasvariáveisconsolidado28[[#Headers],[9]],tabela_registros[REGISTRO],DADOS!$N$3,tabela_registros[TIPO],DADOS!$V$4,tabela_registros[CATEGORIA],receitasvariáveisconsolidado28[[#This Row],[ATUAL]])</f>
        <v>0</v>
      </c>
      <c r="N98" s="119" t="n">
        <f aca="false">SUMIFS(tabela_registros[VALOR],tabela_registros[MÊS],$AE$1,tabela_registros[DIA],receitasvariáveisconsolidado28[[#Headers],[10]],tabela_registros[REGISTRO],DADOS!$N$3,tabela_registros[TIPO],DADOS!$V$4,tabela_registros[CATEGORIA],receitasvariáveisconsolidado28[[#This Row],[ATUAL]])</f>
        <v>0</v>
      </c>
      <c r="O98" s="119" t="n">
        <f aca="false">SUMIFS(tabela_registros[VALOR],tabela_registros[MÊS],$AE$1,tabela_registros[DIA],receitasvariáveisconsolidado28[[#Headers],[11]],tabela_registros[REGISTRO],DADOS!$N$3,tabela_registros[TIPO],DADOS!$V$4,tabela_registros[CATEGORIA],receitasvariáveisconsolidado28[[#This Row],[ATUAL]])</f>
        <v>0</v>
      </c>
      <c r="P98" s="119" t="n">
        <f aca="false">SUMIFS(tabela_registros[VALOR],tabela_registros[MÊS],$AE$1,tabela_registros[DIA],receitasvariáveisconsolidado28[[#Headers],[12]],tabela_registros[REGISTRO],DADOS!$N$3,tabela_registros[TIPO],DADOS!$V$4,tabela_registros[CATEGORIA],receitasvariáveisconsolidado28[[#This Row],[ATUAL]])</f>
        <v>0</v>
      </c>
      <c r="Q98" s="119" t="n">
        <f aca="false">SUMIFS(tabela_registros[VALOR],tabela_registros[MÊS],$AE$1,tabela_registros[DIA],receitasvariáveisconsolidado28[[#Headers],[13]],tabela_registros[REGISTRO],DADOS!$N$3,tabela_registros[TIPO],DADOS!$V$4,tabela_registros[CATEGORIA],receitasvariáveisconsolidado28[[#This Row],[ATUAL]])</f>
        <v>0</v>
      </c>
      <c r="R98" s="119" t="n">
        <f aca="false">SUMIFS(tabela_registros[VALOR],tabela_registros[MÊS],$AE$1,tabela_registros[DIA],receitasvariáveisconsolidado28[[#Headers],[14]],tabela_registros[REGISTRO],DADOS!$N$3,tabela_registros[TIPO],DADOS!$V$4,tabela_registros[CATEGORIA],receitasvariáveisconsolidado28[[#This Row],[ATUAL]])</f>
        <v>0</v>
      </c>
      <c r="S98" s="119" t="n">
        <f aca="false">SUMIFS(tabela_registros[VALOR],tabela_registros[MÊS],$AE$1,tabela_registros[DIA],receitasvariáveisconsolidado28[[#Headers],[15]],tabela_registros[REGISTRO],DADOS!$N$3,tabela_registros[TIPO],DADOS!$V$4,tabela_registros[CATEGORIA],receitasvariáveisconsolidado28[[#This Row],[ATUAL]])</f>
        <v>0</v>
      </c>
      <c r="T98" s="119" t="n">
        <f aca="false">SUMIFS(tabela_registros[VALOR],tabela_registros[MÊS],$AE$1,tabela_registros[DIA],receitasvariáveisconsolidado28[[#Headers],[16]],tabela_registros[REGISTRO],DADOS!$N$3,tabela_registros[TIPO],DADOS!$V$4,tabela_registros[CATEGORIA],receitasvariáveisconsolidado28[[#This Row],[ATUAL]])</f>
        <v>0</v>
      </c>
      <c r="U98" s="119" t="n">
        <f aca="false">SUMIFS(tabela_registros[VALOR],tabela_registros[MÊS],$AE$1,tabela_registros[DIA],receitasvariáveisconsolidado28[[#Headers],[17]],tabela_registros[REGISTRO],DADOS!$N$3,tabela_registros[TIPO],DADOS!$V$4,tabela_registros[CATEGORIA],receitasvariáveisconsolidado28[[#This Row],[ATUAL]])</f>
        <v>0</v>
      </c>
      <c r="V98" s="119" t="n">
        <f aca="false">SUMIFS(tabela_registros[VALOR],tabela_registros[MÊS],$AE$1,tabela_registros[DIA],receitasvariáveisconsolidado28[[#Headers],[18]],tabela_registros[REGISTRO],DADOS!$N$3,tabela_registros[TIPO],DADOS!$V$4,tabela_registros[CATEGORIA],receitasvariáveisconsolidado28[[#This Row],[ATUAL]])</f>
        <v>0</v>
      </c>
      <c r="W98" s="119" t="n">
        <f aca="false">SUMIFS(tabela_registros[VALOR],tabela_registros[MÊS],$AE$1,tabela_registros[DIA],receitasvariáveisconsolidado28[[#Headers],[19]],tabela_registros[REGISTRO],DADOS!$N$3,tabela_registros[TIPO],DADOS!$V$4,tabela_registros[CATEGORIA],receitasvariáveisconsolidado28[[#This Row],[ATUAL]])</f>
        <v>0</v>
      </c>
      <c r="X98" s="119" t="n">
        <f aca="false">SUMIFS(tabela_registros[VALOR],tabela_registros[MÊS],$AE$1,tabela_registros[DIA],receitasvariáveisconsolidado28[[#Headers],[20]],tabela_registros[REGISTRO],DADOS!$N$3,tabela_registros[TIPO],DADOS!$V$4,tabela_registros[CATEGORIA],receitasvariáveisconsolidado28[[#This Row],[ATUAL]])</f>
        <v>0</v>
      </c>
      <c r="Y98" s="119" t="n">
        <f aca="false">SUMIFS(tabela_registros[VALOR],tabela_registros[MÊS],$AE$1,tabela_registros[DIA],receitasvariáveisconsolidado28[[#Headers],[21]],tabela_registros[REGISTRO],DADOS!$N$3,tabela_registros[TIPO],DADOS!$V$4,tabela_registros[CATEGORIA],receitasvariáveisconsolidado28[[#This Row],[ATUAL]])</f>
        <v>0</v>
      </c>
      <c r="Z98" s="119" t="n">
        <f aca="false">SUMIFS(tabela_registros[VALOR],tabela_registros[MÊS],$AE$1,tabela_registros[DIA],receitasvariáveisconsolidado28[[#Headers],[22]],tabela_registros[REGISTRO],DADOS!$N$3,tabela_registros[TIPO],DADOS!$V$4,tabela_registros[CATEGORIA],receitasvariáveisconsolidado28[[#This Row],[ATUAL]])</f>
        <v>0</v>
      </c>
      <c r="AA98" s="119" t="n">
        <f aca="false">SUMIFS(tabela_registros[VALOR],tabela_registros[MÊS],$AE$1,tabela_registros[DIA],receitasvariáveisconsolidado28[[#Headers],[23]],tabela_registros[REGISTRO],DADOS!$N$3,tabela_registros[TIPO],DADOS!$V$4,tabela_registros[CATEGORIA],receitasvariáveisconsolidado28[[#This Row],[ATUAL]])</f>
        <v>0</v>
      </c>
      <c r="AB98" s="119" t="n">
        <f aca="false">SUMIFS(tabela_registros[VALOR],tabela_registros[MÊS],$AE$1,tabela_registros[DIA],receitasvariáveisconsolidado28[[#Headers],[24]],tabela_registros[REGISTRO],DADOS!$N$3,tabela_registros[TIPO],DADOS!$V$4,tabela_registros[CATEGORIA],receitasvariáveisconsolidado28[[#This Row],[ATUAL]])</f>
        <v>0</v>
      </c>
      <c r="AC98" s="119" t="n">
        <f aca="false">SUMIFS(tabela_registros[VALOR],tabela_registros[MÊS],$AE$1,tabela_registros[DIA],receitasvariáveisconsolidado28[[#Headers],[25]],tabela_registros[REGISTRO],DADOS!$N$3,tabela_registros[TIPO],DADOS!$V$4,tabela_registros[CATEGORIA],receitasvariáveisconsolidado28[[#This Row],[ATUAL]])</f>
        <v>0</v>
      </c>
      <c r="AD98" s="119" t="n">
        <f aca="false">SUMIFS(tabela_registros[VALOR],tabela_registros[MÊS],$AE$1,tabela_registros[DIA],receitasvariáveisconsolidado28[[#Headers],[26]],tabela_registros[REGISTRO],DADOS!$N$3,tabela_registros[TIPO],DADOS!$V$4,tabela_registros[CATEGORIA],receitasvariáveisconsolidado28[[#This Row],[ATUAL]])</f>
        <v>0</v>
      </c>
      <c r="AE98" s="119" t="n">
        <f aca="false">SUMIFS(tabela_registros[VALOR],tabela_registros[MÊS],$AE$1,tabela_registros[DIA],receitasvariáveisconsolidado28[[#Headers],[27]],tabela_registros[REGISTRO],DADOS!$N$3,tabela_registros[TIPO],DADOS!$V$4,tabela_registros[CATEGORIA],receitasvariáveisconsolidado28[[#This Row],[ATUAL]])</f>
        <v>0</v>
      </c>
      <c r="AF98" s="119" t="n">
        <f aca="false">SUMIFS(tabela_registros[VALOR],tabela_registros[MÊS],$AE$1,tabela_registros[DIA],receitasvariáveisconsolidado28[[#Headers],[28]],tabela_registros[REGISTRO],DADOS!$N$3,tabela_registros[TIPO],DADOS!$V$4,tabela_registros[CATEGORIA],receitasvariáveisconsolidado28[[#This Row],[ATUAL]])</f>
        <v>0</v>
      </c>
      <c r="AG98" s="119" t="n">
        <f aca="false">SUMIFS(tabela_registros[VALOR],tabela_registros[MÊS],$AE$1,tabela_registros[DIA],receitasvariáveisconsolidado28[[#Headers],[29]],tabela_registros[REGISTRO],DADOS!$N$3,tabela_registros[TIPO],DADOS!$V$4,tabela_registros[CATEGORIA],receitasvariáveisconsolidado28[[#This Row],[ATUAL]])</f>
        <v>0</v>
      </c>
      <c r="AH98" s="119" t="n">
        <f aca="false">SUMIFS(tabela_registros[VALOR],tabela_registros[MÊS],$AE$1,tabela_registros[DIA],receitasvariáveisconsolidado28[[#Headers],[30]],tabela_registros[REGISTRO],DADOS!$N$3,tabela_registros[TIPO],DADOS!$V$4,tabela_registros[CATEGORIA],receitasvariáveisconsolidado28[[#This Row],[ATUAL]])</f>
        <v>0</v>
      </c>
      <c r="AI98" s="217" t="n">
        <f aca="false">SUMIFS(tabela_registros[VALOR],tabela_registros[MÊS],$AE$1,tabela_registros[DIA],receitasvariáveisconsolidado28[[#Headers],[31]],tabela_registros[REGISTRO],DADOS!$N$3,tabela_registros[TIPO],DADOS!$V$4,tabela_registros[CATEGORIA],receitasvariáveisconsolidado28[[#This Row],[ATUAL]])</f>
        <v>0</v>
      </c>
      <c r="AJ98" s="149" t="n">
        <f aca="false">SUM(receitasvariáveisconsolidado28[[#This Row],[1]:[31]])</f>
        <v>0</v>
      </c>
      <c r="AK98" s="234"/>
      <c r="AL98" s="189"/>
    </row>
    <row r="99" customFormat="false" ht="19.5" hidden="false" customHeight="true" outlineLevel="0" collapsed="false">
      <c r="A99" s="189"/>
      <c r="B99" s="213"/>
      <c r="C99" s="214" t="str">
        <f aca="false">DADOS!$Z$6</f>
        <v>💲 INVESTIMENTOS</v>
      </c>
      <c r="D99" s="215" t="str">
        <f aca="false">IF(receitasvariáveisconsolidado28[[#This Row],[TOTAL (R$)]]=0,"",IF(OR(receitasvariáveisconsolidado28[[#This Row],[TOTAL (R$)]]=LARGE($AJ$96:$AJ$103,1),receitasvariáveisconsolidado28[[#This Row],[TOTAL (R$)]]=LARGE($AJ$96:$AJ$103,2)),DADOS!$I$9,""))</f>
        <v/>
      </c>
      <c r="E99" s="148" t="n">
        <f aca="false">SUMIFS(tabela_registros[VALOR],tabela_registros[MÊS],$AE$1,tabela_registros[DIA],receitasvariáveisconsolidado28[[#Headers],[1]],tabela_registros[REGISTRO],DADOS!$N$3,tabela_registros[TIPO],DADOS!$V$4,tabela_registros[CATEGORIA],receitasvariáveisconsolidado28[[#This Row],[ATUAL]])</f>
        <v>0</v>
      </c>
      <c r="F99" s="119" t="n">
        <f aca="false">SUMIFS(tabela_registros[VALOR],tabela_registros[MÊS],$AE$1,tabela_registros[DIA],receitasvariáveisconsolidado28[[#Headers],[2]],tabela_registros[REGISTRO],DADOS!$N$3,tabela_registros[TIPO],DADOS!$V$4,tabela_registros[CATEGORIA],receitasvariáveisconsolidado28[[#This Row],[ATUAL]])</f>
        <v>0</v>
      </c>
      <c r="G99" s="119" t="n">
        <f aca="false">SUMIFS(tabela_registros[VALOR],tabela_registros[MÊS],$AE$1,tabela_registros[DIA],receitasvariáveisconsolidado28[[#Headers],[3]],tabela_registros[REGISTRO],DADOS!$N$3,tabela_registros[TIPO],DADOS!$V$4,tabela_registros[CATEGORIA],receitasvariáveisconsolidado28[[#This Row],[ATUAL]])</f>
        <v>0</v>
      </c>
      <c r="H99" s="119" t="n">
        <f aca="false">SUMIFS(tabela_registros[VALOR],tabela_registros[MÊS],$AE$1,tabela_registros[DIA],receitasvariáveisconsolidado28[[#Headers],[4]],tabela_registros[REGISTRO],DADOS!$N$3,tabela_registros[TIPO],DADOS!$V$4,tabela_registros[CATEGORIA],receitasvariáveisconsolidado28[[#This Row],[ATUAL]])</f>
        <v>0</v>
      </c>
      <c r="I99" s="119" t="n">
        <f aca="false">SUMIFS(tabela_registros[VALOR],tabela_registros[MÊS],$AE$1,tabela_registros[DIA],receitasvariáveisconsolidado28[[#Headers],[5]],tabela_registros[REGISTRO],DADOS!$N$3,tabela_registros[TIPO],DADOS!$V$4,tabela_registros[CATEGORIA],receitasvariáveisconsolidado28[[#This Row],[ATUAL]])</f>
        <v>0</v>
      </c>
      <c r="J99" s="119" t="n">
        <f aca="false">SUMIFS(tabela_registros[VALOR],tabela_registros[MÊS],$AE$1,tabela_registros[DIA],receitasvariáveisconsolidado28[[#Headers],[6]],tabela_registros[REGISTRO],DADOS!$N$3,tabela_registros[TIPO],DADOS!$V$4,tabela_registros[CATEGORIA],receitasvariáveisconsolidado28[[#This Row],[ATUAL]])</f>
        <v>0</v>
      </c>
      <c r="K99" s="119" t="n">
        <f aca="false">SUMIFS(tabela_registros[VALOR],tabela_registros[MÊS],$AE$1,tabela_registros[DIA],receitasvariáveisconsolidado28[[#Headers],[7]],tabela_registros[REGISTRO],DADOS!$N$3,tabela_registros[TIPO],DADOS!$V$4,tabela_registros[CATEGORIA],receitasvariáveisconsolidado28[[#This Row],[ATUAL]])</f>
        <v>0</v>
      </c>
      <c r="L99" s="119" t="n">
        <f aca="false">SUMIFS(tabela_registros[VALOR],tabela_registros[MÊS],$AE$1,tabela_registros[DIA],receitasvariáveisconsolidado28[[#Headers],[8]],tabela_registros[REGISTRO],DADOS!$N$3,tabela_registros[TIPO],DADOS!$V$4,tabela_registros[CATEGORIA],receitasvariáveisconsolidado28[[#This Row],[ATUAL]])</f>
        <v>0</v>
      </c>
      <c r="M99" s="119" t="n">
        <f aca="false">SUMIFS(tabela_registros[VALOR],tabela_registros[MÊS],$AE$1,tabela_registros[DIA],receitasvariáveisconsolidado28[[#Headers],[9]],tabela_registros[REGISTRO],DADOS!$N$3,tabela_registros[TIPO],DADOS!$V$4,tabela_registros[CATEGORIA],receitasvariáveisconsolidado28[[#This Row],[ATUAL]])</f>
        <v>0</v>
      </c>
      <c r="N99" s="119" t="n">
        <f aca="false">SUMIFS(tabela_registros[VALOR],tabela_registros[MÊS],$AE$1,tabela_registros[DIA],receitasvariáveisconsolidado28[[#Headers],[10]],tabela_registros[REGISTRO],DADOS!$N$3,tabela_registros[TIPO],DADOS!$V$4,tabela_registros[CATEGORIA],receitasvariáveisconsolidado28[[#This Row],[ATUAL]])</f>
        <v>0</v>
      </c>
      <c r="O99" s="119" t="n">
        <f aca="false">SUMIFS(tabela_registros[VALOR],tabela_registros[MÊS],$AE$1,tabela_registros[DIA],receitasvariáveisconsolidado28[[#Headers],[11]],tabela_registros[REGISTRO],DADOS!$N$3,tabela_registros[TIPO],DADOS!$V$4,tabela_registros[CATEGORIA],receitasvariáveisconsolidado28[[#This Row],[ATUAL]])</f>
        <v>0</v>
      </c>
      <c r="P99" s="119" t="n">
        <f aca="false">SUMIFS(tabela_registros[VALOR],tabela_registros[MÊS],$AE$1,tabela_registros[DIA],receitasvariáveisconsolidado28[[#Headers],[12]],tabela_registros[REGISTRO],DADOS!$N$3,tabela_registros[TIPO],DADOS!$V$4,tabela_registros[CATEGORIA],receitasvariáveisconsolidado28[[#This Row],[ATUAL]])</f>
        <v>0</v>
      </c>
      <c r="Q99" s="119" t="n">
        <f aca="false">SUMIFS(tabela_registros[VALOR],tabela_registros[MÊS],$AE$1,tabela_registros[DIA],receitasvariáveisconsolidado28[[#Headers],[13]],tabela_registros[REGISTRO],DADOS!$N$3,tabela_registros[TIPO],DADOS!$V$4,tabela_registros[CATEGORIA],receitasvariáveisconsolidado28[[#This Row],[ATUAL]])</f>
        <v>0</v>
      </c>
      <c r="R99" s="119" t="n">
        <f aca="false">SUMIFS(tabela_registros[VALOR],tabela_registros[MÊS],$AE$1,tabela_registros[DIA],receitasvariáveisconsolidado28[[#Headers],[14]],tabela_registros[REGISTRO],DADOS!$N$3,tabela_registros[TIPO],DADOS!$V$4,tabela_registros[CATEGORIA],receitasvariáveisconsolidado28[[#This Row],[ATUAL]])</f>
        <v>0</v>
      </c>
      <c r="S99" s="119" t="n">
        <f aca="false">SUMIFS(tabela_registros[VALOR],tabela_registros[MÊS],$AE$1,tabela_registros[DIA],receitasvariáveisconsolidado28[[#Headers],[15]],tabela_registros[REGISTRO],DADOS!$N$3,tabela_registros[TIPO],DADOS!$V$4,tabela_registros[CATEGORIA],receitasvariáveisconsolidado28[[#This Row],[ATUAL]])</f>
        <v>0</v>
      </c>
      <c r="T99" s="119" t="n">
        <f aca="false">SUMIFS(tabela_registros[VALOR],tabela_registros[MÊS],$AE$1,tabela_registros[DIA],receitasvariáveisconsolidado28[[#Headers],[16]],tabela_registros[REGISTRO],DADOS!$N$3,tabela_registros[TIPO],DADOS!$V$4,tabela_registros[CATEGORIA],receitasvariáveisconsolidado28[[#This Row],[ATUAL]])</f>
        <v>0</v>
      </c>
      <c r="U99" s="119" t="n">
        <f aca="false">SUMIFS(tabela_registros[VALOR],tabela_registros[MÊS],$AE$1,tabela_registros[DIA],receitasvariáveisconsolidado28[[#Headers],[17]],tabela_registros[REGISTRO],DADOS!$N$3,tabela_registros[TIPO],DADOS!$V$4,tabela_registros[CATEGORIA],receitasvariáveisconsolidado28[[#This Row],[ATUAL]])</f>
        <v>0</v>
      </c>
      <c r="V99" s="119" t="n">
        <f aca="false">SUMIFS(tabela_registros[VALOR],tabela_registros[MÊS],$AE$1,tabela_registros[DIA],receitasvariáveisconsolidado28[[#Headers],[18]],tabela_registros[REGISTRO],DADOS!$N$3,tabela_registros[TIPO],DADOS!$V$4,tabela_registros[CATEGORIA],receitasvariáveisconsolidado28[[#This Row],[ATUAL]])</f>
        <v>0</v>
      </c>
      <c r="W99" s="119" t="n">
        <f aca="false">SUMIFS(tabela_registros[VALOR],tabela_registros[MÊS],$AE$1,tabela_registros[DIA],receitasvariáveisconsolidado28[[#Headers],[19]],tabela_registros[REGISTRO],DADOS!$N$3,tabela_registros[TIPO],DADOS!$V$4,tabela_registros[CATEGORIA],receitasvariáveisconsolidado28[[#This Row],[ATUAL]])</f>
        <v>0</v>
      </c>
      <c r="X99" s="119" t="n">
        <f aca="false">SUMIFS(tabela_registros[VALOR],tabela_registros[MÊS],$AE$1,tabela_registros[DIA],receitasvariáveisconsolidado28[[#Headers],[20]],tabela_registros[REGISTRO],DADOS!$N$3,tabela_registros[TIPO],DADOS!$V$4,tabela_registros[CATEGORIA],receitasvariáveisconsolidado28[[#This Row],[ATUAL]])</f>
        <v>0</v>
      </c>
      <c r="Y99" s="119" t="n">
        <f aca="false">SUMIFS(tabela_registros[VALOR],tabela_registros[MÊS],$AE$1,tabela_registros[DIA],receitasvariáveisconsolidado28[[#Headers],[21]],tabela_registros[REGISTRO],DADOS!$N$3,tabela_registros[TIPO],DADOS!$V$4,tabela_registros[CATEGORIA],receitasvariáveisconsolidado28[[#This Row],[ATUAL]])</f>
        <v>0</v>
      </c>
      <c r="Z99" s="119" t="n">
        <f aca="false">SUMIFS(tabela_registros[VALOR],tabela_registros[MÊS],$AE$1,tabela_registros[DIA],receitasvariáveisconsolidado28[[#Headers],[22]],tabela_registros[REGISTRO],DADOS!$N$3,tabela_registros[TIPO],DADOS!$V$4,tabela_registros[CATEGORIA],receitasvariáveisconsolidado28[[#This Row],[ATUAL]])</f>
        <v>0</v>
      </c>
      <c r="AA99" s="119" t="n">
        <f aca="false">SUMIFS(tabela_registros[VALOR],tabela_registros[MÊS],$AE$1,tabela_registros[DIA],receitasvariáveisconsolidado28[[#Headers],[23]],tabela_registros[REGISTRO],DADOS!$N$3,tabela_registros[TIPO],DADOS!$V$4,tabela_registros[CATEGORIA],receitasvariáveisconsolidado28[[#This Row],[ATUAL]])</f>
        <v>0</v>
      </c>
      <c r="AB99" s="119" t="n">
        <f aca="false">SUMIFS(tabela_registros[VALOR],tabela_registros[MÊS],$AE$1,tabela_registros[DIA],receitasvariáveisconsolidado28[[#Headers],[24]],tabela_registros[REGISTRO],DADOS!$N$3,tabela_registros[TIPO],DADOS!$V$4,tabela_registros[CATEGORIA],receitasvariáveisconsolidado28[[#This Row],[ATUAL]])</f>
        <v>0</v>
      </c>
      <c r="AC99" s="119" t="n">
        <f aca="false">SUMIFS(tabela_registros[VALOR],tabela_registros[MÊS],$AE$1,tabela_registros[DIA],receitasvariáveisconsolidado28[[#Headers],[25]],tabela_registros[REGISTRO],DADOS!$N$3,tabela_registros[TIPO],DADOS!$V$4,tabela_registros[CATEGORIA],receitasvariáveisconsolidado28[[#This Row],[ATUAL]])</f>
        <v>0</v>
      </c>
      <c r="AD99" s="119" t="n">
        <f aca="false">SUMIFS(tabela_registros[VALOR],tabela_registros[MÊS],$AE$1,tabela_registros[DIA],receitasvariáveisconsolidado28[[#Headers],[26]],tabela_registros[REGISTRO],DADOS!$N$3,tabela_registros[TIPO],DADOS!$V$4,tabela_registros[CATEGORIA],receitasvariáveisconsolidado28[[#This Row],[ATUAL]])</f>
        <v>0</v>
      </c>
      <c r="AE99" s="119" t="n">
        <f aca="false">SUMIFS(tabela_registros[VALOR],tabela_registros[MÊS],$AE$1,tabela_registros[DIA],receitasvariáveisconsolidado28[[#Headers],[27]],tabela_registros[REGISTRO],DADOS!$N$3,tabela_registros[TIPO],DADOS!$V$4,tabela_registros[CATEGORIA],receitasvariáveisconsolidado28[[#This Row],[ATUAL]])</f>
        <v>0</v>
      </c>
      <c r="AF99" s="119" t="n">
        <f aca="false">SUMIFS(tabela_registros[VALOR],tabela_registros[MÊS],$AE$1,tabela_registros[DIA],receitasvariáveisconsolidado28[[#Headers],[28]],tabela_registros[REGISTRO],DADOS!$N$3,tabela_registros[TIPO],DADOS!$V$4,tabela_registros[CATEGORIA],receitasvariáveisconsolidado28[[#This Row],[ATUAL]])</f>
        <v>0</v>
      </c>
      <c r="AG99" s="119" t="n">
        <f aca="false">SUMIFS(tabela_registros[VALOR],tabela_registros[MÊS],$AE$1,tabela_registros[DIA],receitasvariáveisconsolidado28[[#Headers],[29]],tabela_registros[REGISTRO],DADOS!$N$3,tabela_registros[TIPO],DADOS!$V$4,tabela_registros[CATEGORIA],receitasvariáveisconsolidado28[[#This Row],[ATUAL]])</f>
        <v>0</v>
      </c>
      <c r="AH99" s="119" t="n">
        <f aca="false">SUMIFS(tabela_registros[VALOR],tabela_registros[MÊS],$AE$1,tabela_registros[DIA],receitasvariáveisconsolidado28[[#Headers],[30]],tabela_registros[REGISTRO],DADOS!$N$3,tabela_registros[TIPO],DADOS!$V$4,tabela_registros[CATEGORIA],receitasvariáveisconsolidado28[[#This Row],[ATUAL]])</f>
        <v>0</v>
      </c>
      <c r="AI99" s="217" t="n">
        <f aca="false">SUMIFS(tabela_registros[VALOR],tabela_registros[MÊS],$AE$1,tabela_registros[DIA],receitasvariáveisconsolidado28[[#Headers],[31]],tabela_registros[REGISTRO],DADOS!$N$3,tabela_registros[TIPO],DADOS!$V$4,tabela_registros[CATEGORIA],receitasvariáveisconsolidado28[[#This Row],[ATUAL]])</f>
        <v>0</v>
      </c>
      <c r="AJ99" s="149" t="n">
        <f aca="false">SUM(receitasvariáveisconsolidado28[[#This Row],[1]:[31]])</f>
        <v>0</v>
      </c>
      <c r="AK99" s="234"/>
      <c r="AL99" s="189"/>
    </row>
    <row r="100" customFormat="false" ht="19.5" hidden="false" customHeight="true" outlineLevel="0" collapsed="false">
      <c r="A100" s="189"/>
      <c r="B100" s="213"/>
      <c r="C100" s="214" t="str">
        <f aca="false">DADOS!$Z$7</f>
        <v>🧾 NOTA DE SERVIÇO</v>
      </c>
      <c r="D100" s="215" t="str">
        <f aca="false">IF(receitasvariáveisconsolidado28[[#This Row],[TOTAL (R$)]]=0,"",IF(OR(receitasvariáveisconsolidado28[[#This Row],[TOTAL (R$)]]=LARGE($AJ$96:$AJ$103,1),receitasvariáveisconsolidado28[[#This Row],[TOTAL (R$)]]=LARGE($AJ$96:$AJ$103,2)),DADOS!$I$9,""))</f>
        <v/>
      </c>
      <c r="E100" s="148" t="n">
        <f aca="false">SUMIFS(tabela_registros[VALOR],tabela_registros[MÊS],$AE$1,tabela_registros[DIA],receitasvariáveisconsolidado28[[#Headers],[1]],tabela_registros[REGISTRO],DADOS!$N$3,tabela_registros[TIPO],DADOS!$V$4,tabela_registros[CATEGORIA],receitasvariáveisconsolidado28[[#This Row],[ATUAL]])</f>
        <v>0</v>
      </c>
      <c r="F100" s="119" t="n">
        <f aca="false">SUMIFS(tabela_registros[VALOR],tabela_registros[MÊS],$AE$1,tabela_registros[DIA],receitasvariáveisconsolidado28[[#Headers],[2]],tabela_registros[REGISTRO],DADOS!$N$3,tabela_registros[TIPO],DADOS!$V$4,tabela_registros[CATEGORIA],receitasvariáveisconsolidado28[[#This Row],[ATUAL]])</f>
        <v>0</v>
      </c>
      <c r="G100" s="119" t="n">
        <f aca="false">SUMIFS(tabela_registros[VALOR],tabela_registros[MÊS],$AE$1,tabela_registros[DIA],receitasvariáveisconsolidado28[[#Headers],[3]],tabela_registros[REGISTRO],DADOS!$N$3,tabela_registros[TIPO],DADOS!$V$4,tabela_registros[CATEGORIA],receitasvariáveisconsolidado28[[#This Row],[ATUAL]])</f>
        <v>0</v>
      </c>
      <c r="H100" s="119" t="n">
        <f aca="false">SUMIFS(tabela_registros[VALOR],tabela_registros[MÊS],$AE$1,tabela_registros[DIA],receitasvariáveisconsolidado28[[#Headers],[4]],tabela_registros[REGISTRO],DADOS!$N$3,tabela_registros[TIPO],DADOS!$V$4,tabela_registros[CATEGORIA],receitasvariáveisconsolidado28[[#This Row],[ATUAL]])</f>
        <v>0</v>
      </c>
      <c r="I100" s="119" t="n">
        <f aca="false">SUMIFS(tabela_registros[VALOR],tabela_registros[MÊS],$AE$1,tabela_registros[DIA],receitasvariáveisconsolidado28[[#Headers],[5]],tabela_registros[REGISTRO],DADOS!$N$3,tabela_registros[TIPO],DADOS!$V$4,tabela_registros[CATEGORIA],receitasvariáveisconsolidado28[[#This Row],[ATUAL]])</f>
        <v>0</v>
      </c>
      <c r="J100" s="119" t="n">
        <f aca="false">SUMIFS(tabela_registros[VALOR],tabela_registros[MÊS],$AE$1,tabela_registros[DIA],receitasvariáveisconsolidado28[[#Headers],[6]],tabela_registros[REGISTRO],DADOS!$N$3,tabela_registros[TIPO],DADOS!$V$4,tabela_registros[CATEGORIA],receitasvariáveisconsolidado28[[#This Row],[ATUAL]])</f>
        <v>0</v>
      </c>
      <c r="K100" s="119" t="n">
        <f aca="false">SUMIFS(tabela_registros[VALOR],tabela_registros[MÊS],$AE$1,tabela_registros[DIA],receitasvariáveisconsolidado28[[#Headers],[7]],tabela_registros[REGISTRO],DADOS!$N$3,tabela_registros[TIPO],DADOS!$V$4,tabela_registros[CATEGORIA],receitasvariáveisconsolidado28[[#This Row],[ATUAL]])</f>
        <v>0</v>
      </c>
      <c r="L100" s="119" t="n">
        <f aca="false">SUMIFS(tabela_registros[VALOR],tabela_registros[MÊS],$AE$1,tabela_registros[DIA],receitasvariáveisconsolidado28[[#Headers],[8]],tabela_registros[REGISTRO],DADOS!$N$3,tabela_registros[TIPO],DADOS!$V$4,tabela_registros[CATEGORIA],receitasvariáveisconsolidado28[[#This Row],[ATUAL]])</f>
        <v>0</v>
      </c>
      <c r="M100" s="119" t="n">
        <f aca="false">SUMIFS(tabela_registros[VALOR],tabela_registros[MÊS],$AE$1,tabela_registros[DIA],receitasvariáveisconsolidado28[[#Headers],[9]],tabela_registros[REGISTRO],DADOS!$N$3,tabela_registros[TIPO],DADOS!$V$4,tabela_registros[CATEGORIA],receitasvariáveisconsolidado28[[#This Row],[ATUAL]])</f>
        <v>0</v>
      </c>
      <c r="N100" s="119" t="n">
        <f aca="false">SUMIFS(tabela_registros[VALOR],tabela_registros[MÊS],$AE$1,tabela_registros[DIA],receitasvariáveisconsolidado28[[#Headers],[10]],tabela_registros[REGISTRO],DADOS!$N$3,tabela_registros[TIPO],DADOS!$V$4,tabela_registros[CATEGORIA],receitasvariáveisconsolidado28[[#This Row],[ATUAL]])</f>
        <v>0</v>
      </c>
      <c r="O100" s="119" t="n">
        <f aca="false">SUMIFS(tabela_registros[VALOR],tabela_registros[MÊS],$AE$1,tabela_registros[DIA],receitasvariáveisconsolidado28[[#Headers],[11]],tabela_registros[REGISTRO],DADOS!$N$3,tabela_registros[TIPO],DADOS!$V$4,tabela_registros[CATEGORIA],receitasvariáveisconsolidado28[[#This Row],[ATUAL]])</f>
        <v>0</v>
      </c>
      <c r="P100" s="119" t="n">
        <f aca="false">SUMIFS(tabela_registros[VALOR],tabela_registros[MÊS],$AE$1,tabela_registros[DIA],receitasvariáveisconsolidado28[[#Headers],[12]],tabela_registros[REGISTRO],DADOS!$N$3,tabela_registros[TIPO],DADOS!$V$4,tabela_registros[CATEGORIA],receitasvariáveisconsolidado28[[#This Row],[ATUAL]])</f>
        <v>0</v>
      </c>
      <c r="Q100" s="119" t="n">
        <f aca="false">SUMIFS(tabela_registros[VALOR],tabela_registros[MÊS],$AE$1,tabela_registros[DIA],receitasvariáveisconsolidado28[[#Headers],[13]],tabela_registros[REGISTRO],DADOS!$N$3,tabela_registros[TIPO],DADOS!$V$4,tabela_registros[CATEGORIA],receitasvariáveisconsolidado28[[#This Row],[ATUAL]])</f>
        <v>0</v>
      </c>
      <c r="R100" s="119" t="n">
        <f aca="false">SUMIFS(tabela_registros[VALOR],tabela_registros[MÊS],$AE$1,tabela_registros[DIA],receitasvariáveisconsolidado28[[#Headers],[14]],tabela_registros[REGISTRO],DADOS!$N$3,tabela_registros[TIPO],DADOS!$V$4,tabela_registros[CATEGORIA],receitasvariáveisconsolidado28[[#This Row],[ATUAL]])</f>
        <v>0</v>
      </c>
      <c r="S100" s="119" t="n">
        <f aca="false">SUMIFS(tabela_registros[VALOR],tabela_registros[MÊS],$AE$1,tabela_registros[DIA],receitasvariáveisconsolidado28[[#Headers],[15]],tabela_registros[REGISTRO],DADOS!$N$3,tabela_registros[TIPO],DADOS!$V$4,tabela_registros[CATEGORIA],receitasvariáveisconsolidado28[[#This Row],[ATUAL]])</f>
        <v>0</v>
      </c>
      <c r="T100" s="119" t="n">
        <f aca="false">SUMIFS(tabela_registros[VALOR],tabela_registros[MÊS],$AE$1,tabela_registros[DIA],receitasvariáveisconsolidado28[[#Headers],[16]],tabela_registros[REGISTRO],DADOS!$N$3,tabela_registros[TIPO],DADOS!$V$4,tabela_registros[CATEGORIA],receitasvariáveisconsolidado28[[#This Row],[ATUAL]])</f>
        <v>0</v>
      </c>
      <c r="U100" s="119" t="n">
        <f aca="false">SUMIFS(tabela_registros[VALOR],tabela_registros[MÊS],$AE$1,tabela_registros[DIA],receitasvariáveisconsolidado28[[#Headers],[17]],tabela_registros[REGISTRO],DADOS!$N$3,tabela_registros[TIPO],DADOS!$V$4,tabela_registros[CATEGORIA],receitasvariáveisconsolidado28[[#This Row],[ATUAL]])</f>
        <v>0</v>
      </c>
      <c r="V100" s="119" t="n">
        <f aca="false">SUMIFS(tabela_registros[VALOR],tabela_registros[MÊS],$AE$1,tabela_registros[DIA],receitasvariáveisconsolidado28[[#Headers],[18]],tabela_registros[REGISTRO],DADOS!$N$3,tabela_registros[TIPO],DADOS!$V$4,tabela_registros[CATEGORIA],receitasvariáveisconsolidado28[[#This Row],[ATUAL]])</f>
        <v>0</v>
      </c>
      <c r="W100" s="119" t="n">
        <f aca="false">SUMIFS(tabela_registros[VALOR],tabela_registros[MÊS],$AE$1,tabela_registros[DIA],receitasvariáveisconsolidado28[[#Headers],[19]],tabela_registros[REGISTRO],DADOS!$N$3,tabela_registros[TIPO],DADOS!$V$4,tabela_registros[CATEGORIA],receitasvariáveisconsolidado28[[#This Row],[ATUAL]])</f>
        <v>0</v>
      </c>
      <c r="X100" s="119" t="n">
        <f aca="false">SUMIFS(tabela_registros[VALOR],tabela_registros[MÊS],$AE$1,tabela_registros[DIA],receitasvariáveisconsolidado28[[#Headers],[20]],tabela_registros[REGISTRO],DADOS!$N$3,tabela_registros[TIPO],DADOS!$V$4,tabela_registros[CATEGORIA],receitasvariáveisconsolidado28[[#This Row],[ATUAL]])</f>
        <v>0</v>
      </c>
      <c r="Y100" s="119" t="n">
        <f aca="false">SUMIFS(tabela_registros[VALOR],tabela_registros[MÊS],$AE$1,tabela_registros[DIA],receitasvariáveisconsolidado28[[#Headers],[21]],tabela_registros[REGISTRO],DADOS!$N$3,tabela_registros[TIPO],DADOS!$V$4,tabela_registros[CATEGORIA],receitasvariáveisconsolidado28[[#This Row],[ATUAL]])</f>
        <v>0</v>
      </c>
      <c r="Z100" s="119" t="n">
        <f aca="false">SUMIFS(tabela_registros[VALOR],tabela_registros[MÊS],$AE$1,tabela_registros[DIA],receitasvariáveisconsolidado28[[#Headers],[22]],tabela_registros[REGISTRO],DADOS!$N$3,tabela_registros[TIPO],DADOS!$V$4,tabela_registros[CATEGORIA],receitasvariáveisconsolidado28[[#This Row],[ATUAL]])</f>
        <v>0</v>
      </c>
      <c r="AA100" s="119" t="n">
        <f aca="false">SUMIFS(tabela_registros[VALOR],tabela_registros[MÊS],$AE$1,tabela_registros[DIA],receitasvariáveisconsolidado28[[#Headers],[23]],tabela_registros[REGISTRO],DADOS!$N$3,tabela_registros[TIPO],DADOS!$V$4,tabela_registros[CATEGORIA],receitasvariáveisconsolidado28[[#This Row],[ATUAL]])</f>
        <v>0</v>
      </c>
      <c r="AB100" s="119" t="n">
        <f aca="false">SUMIFS(tabela_registros[VALOR],tabela_registros[MÊS],$AE$1,tabela_registros[DIA],receitasvariáveisconsolidado28[[#Headers],[24]],tabela_registros[REGISTRO],DADOS!$N$3,tabela_registros[TIPO],DADOS!$V$4,tabela_registros[CATEGORIA],receitasvariáveisconsolidado28[[#This Row],[ATUAL]])</f>
        <v>0</v>
      </c>
      <c r="AC100" s="119" t="n">
        <f aca="false">SUMIFS(tabela_registros[VALOR],tabela_registros[MÊS],$AE$1,tabela_registros[DIA],receitasvariáveisconsolidado28[[#Headers],[25]],tabela_registros[REGISTRO],DADOS!$N$3,tabela_registros[TIPO],DADOS!$V$4,tabela_registros[CATEGORIA],receitasvariáveisconsolidado28[[#This Row],[ATUAL]])</f>
        <v>0</v>
      </c>
      <c r="AD100" s="119" t="n">
        <f aca="false">SUMIFS(tabela_registros[VALOR],tabela_registros[MÊS],$AE$1,tabela_registros[DIA],receitasvariáveisconsolidado28[[#Headers],[26]],tabela_registros[REGISTRO],DADOS!$N$3,tabela_registros[TIPO],DADOS!$V$4,tabela_registros[CATEGORIA],receitasvariáveisconsolidado28[[#This Row],[ATUAL]])</f>
        <v>0</v>
      </c>
      <c r="AE100" s="119" t="n">
        <f aca="false">SUMIFS(tabela_registros[VALOR],tabela_registros[MÊS],$AE$1,tabela_registros[DIA],receitasvariáveisconsolidado28[[#Headers],[27]],tabela_registros[REGISTRO],DADOS!$N$3,tabela_registros[TIPO],DADOS!$V$4,tabela_registros[CATEGORIA],receitasvariáveisconsolidado28[[#This Row],[ATUAL]])</f>
        <v>0</v>
      </c>
      <c r="AF100" s="119" t="n">
        <f aca="false">SUMIFS(tabela_registros[VALOR],tabela_registros[MÊS],$AE$1,tabela_registros[DIA],receitasvariáveisconsolidado28[[#Headers],[28]],tabela_registros[REGISTRO],DADOS!$N$3,tabela_registros[TIPO],DADOS!$V$4,tabela_registros[CATEGORIA],receitasvariáveisconsolidado28[[#This Row],[ATUAL]])</f>
        <v>0</v>
      </c>
      <c r="AG100" s="119" t="n">
        <f aca="false">SUMIFS(tabela_registros[VALOR],tabela_registros[MÊS],$AE$1,tabela_registros[DIA],receitasvariáveisconsolidado28[[#Headers],[29]],tabela_registros[REGISTRO],DADOS!$N$3,tabela_registros[TIPO],DADOS!$V$4,tabela_registros[CATEGORIA],receitasvariáveisconsolidado28[[#This Row],[ATUAL]])</f>
        <v>0</v>
      </c>
      <c r="AH100" s="119" t="n">
        <f aca="false">SUMIFS(tabela_registros[VALOR],tabela_registros[MÊS],$AE$1,tabela_registros[DIA],receitasvariáveisconsolidado28[[#Headers],[30]],tabela_registros[REGISTRO],DADOS!$N$3,tabela_registros[TIPO],DADOS!$V$4,tabela_registros[CATEGORIA],receitasvariáveisconsolidado28[[#This Row],[ATUAL]])</f>
        <v>0</v>
      </c>
      <c r="AI100" s="217" t="n">
        <f aca="false">SUMIFS(tabela_registros[VALOR],tabela_registros[MÊS],$AE$1,tabela_registros[DIA],receitasvariáveisconsolidado28[[#Headers],[31]],tabela_registros[REGISTRO],DADOS!$N$3,tabela_registros[TIPO],DADOS!$V$4,tabela_registros[CATEGORIA],receitasvariáveisconsolidado28[[#This Row],[ATUAL]])</f>
        <v>0</v>
      </c>
      <c r="AJ100" s="237" t="n">
        <f aca="false">SUM(receitasvariáveisconsolidado28[[#This Row],[1]:[31]])</f>
        <v>0</v>
      </c>
      <c r="AK100" s="234"/>
      <c r="AL100" s="189"/>
    </row>
    <row r="101" customFormat="false" ht="19.5" hidden="false" customHeight="true" outlineLevel="0" collapsed="false">
      <c r="A101" s="189"/>
      <c r="B101" s="213"/>
      <c r="C101" s="214" t="str">
        <f aca="false">DADOS!$Z$8</f>
        <v>🎁 PRESENTE</v>
      </c>
      <c r="D101" s="215" t="str">
        <f aca="false">IF(receitasvariáveisconsolidado28[[#This Row],[TOTAL (R$)]]=0,"",IF(OR(receitasvariáveisconsolidado28[[#This Row],[TOTAL (R$)]]=LARGE($AJ$96:$AJ$103,1),receitasvariáveisconsolidado28[[#This Row],[TOTAL (R$)]]=LARGE($AJ$96:$AJ$103,2)),DADOS!$I$9,""))</f>
        <v/>
      </c>
      <c r="E101" s="148" t="n">
        <f aca="false">SUMIFS(tabela_registros[VALOR],tabela_registros[MÊS],$AE$1,tabela_registros[DIA],receitasvariáveisconsolidado28[[#Headers],[1]],tabela_registros[REGISTRO],DADOS!$N$3,tabela_registros[TIPO],DADOS!$V$4,tabela_registros[CATEGORIA],receitasvariáveisconsolidado28[[#This Row],[ATUAL]])</f>
        <v>0</v>
      </c>
      <c r="F101" s="119" t="n">
        <f aca="false">SUMIFS(tabela_registros[VALOR],tabela_registros[MÊS],$AE$1,tabela_registros[DIA],receitasvariáveisconsolidado28[[#Headers],[2]],tabela_registros[REGISTRO],DADOS!$N$3,tabela_registros[TIPO],DADOS!$V$4,tabela_registros[CATEGORIA],receitasvariáveisconsolidado28[[#This Row],[ATUAL]])</f>
        <v>0</v>
      </c>
      <c r="G101" s="119" t="n">
        <f aca="false">SUMIFS(tabela_registros[VALOR],tabela_registros[MÊS],$AE$1,tabela_registros[DIA],receitasvariáveisconsolidado28[[#Headers],[3]],tabela_registros[REGISTRO],DADOS!$N$3,tabela_registros[TIPO],DADOS!$V$4,tabela_registros[CATEGORIA],receitasvariáveisconsolidado28[[#This Row],[ATUAL]])</f>
        <v>0</v>
      </c>
      <c r="H101" s="119" t="n">
        <f aca="false">SUMIFS(tabela_registros[VALOR],tabela_registros[MÊS],$AE$1,tabela_registros[DIA],receitasvariáveisconsolidado28[[#Headers],[4]],tabela_registros[REGISTRO],DADOS!$N$3,tabela_registros[TIPO],DADOS!$V$4,tabela_registros[CATEGORIA],receitasvariáveisconsolidado28[[#This Row],[ATUAL]])</f>
        <v>0</v>
      </c>
      <c r="I101" s="119" t="n">
        <f aca="false">SUMIFS(tabela_registros[VALOR],tabela_registros[MÊS],$AE$1,tabela_registros[DIA],receitasvariáveisconsolidado28[[#Headers],[5]],tabela_registros[REGISTRO],DADOS!$N$3,tabela_registros[TIPO],DADOS!$V$4,tabela_registros[CATEGORIA],receitasvariáveisconsolidado28[[#This Row],[ATUAL]])</f>
        <v>0</v>
      </c>
      <c r="J101" s="119" t="n">
        <f aca="false">SUMIFS(tabela_registros[VALOR],tabela_registros[MÊS],$AE$1,tabela_registros[DIA],receitasvariáveisconsolidado28[[#Headers],[6]],tabela_registros[REGISTRO],DADOS!$N$3,tabela_registros[TIPO],DADOS!$V$4,tabela_registros[CATEGORIA],receitasvariáveisconsolidado28[[#This Row],[ATUAL]])</f>
        <v>0</v>
      </c>
      <c r="K101" s="119" t="n">
        <f aca="false">SUMIFS(tabela_registros[VALOR],tabela_registros[MÊS],$AE$1,tabela_registros[DIA],receitasvariáveisconsolidado28[[#Headers],[7]],tabela_registros[REGISTRO],DADOS!$N$3,tabela_registros[TIPO],DADOS!$V$4,tabela_registros[CATEGORIA],receitasvariáveisconsolidado28[[#This Row],[ATUAL]])</f>
        <v>0</v>
      </c>
      <c r="L101" s="119" t="n">
        <f aca="false">SUMIFS(tabela_registros[VALOR],tabela_registros[MÊS],$AE$1,tabela_registros[DIA],receitasvariáveisconsolidado28[[#Headers],[8]],tabela_registros[REGISTRO],DADOS!$N$3,tabela_registros[TIPO],DADOS!$V$4,tabela_registros[CATEGORIA],receitasvariáveisconsolidado28[[#This Row],[ATUAL]])</f>
        <v>0</v>
      </c>
      <c r="M101" s="119" t="n">
        <f aca="false">SUMIFS(tabela_registros[VALOR],tabela_registros[MÊS],$AE$1,tabela_registros[DIA],receitasvariáveisconsolidado28[[#Headers],[9]],tabela_registros[REGISTRO],DADOS!$N$3,tabela_registros[TIPO],DADOS!$V$4,tabela_registros[CATEGORIA],receitasvariáveisconsolidado28[[#This Row],[ATUAL]])</f>
        <v>0</v>
      </c>
      <c r="N101" s="119" t="n">
        <f aca="false">SUMIFS(tabela_registros[VALOR],tabela_registros[MÊS],$AE$1,tabela_registros[DIA],receitasvariáveisconsolidado28[[#Headers],[10]],tabela_registros[REGISTRO],DADOS!$N$3,tabela_registros[TIPO],DADOS!$V$4,tabela_registros[CATEGORIA],receitasvariáveisconsolidado28[[#This Row],[ATUAL]])</f>
        <v>0</v>
      </c>
      <c r="O101" s="119" t="n">
        <f aca="false">SUMIFS(tabela_registros[VALOR],tabela_registros[MÊS],$AE$1,tabela_registros[DIA],receitasvariáveisconsolidado28[[#Headers],[11]],tabela_registros[REGISTRO],DADOS!$N$3,tabela_registros[TIPO],DADOS!$V$4,tabela_registros[CATEGORIA],receitasvariáveisconsolidado28[[#This Row],[ATUAL]])</f>
        <v>0</v>
      </c>
      <c r="P101" s="119" t="n">
        <f aca="false">SUMIFS(tabela_registros[VALOR],tabela_registros[MÊS],$AE$1,tabela_registros[DIA],receitasvariáveisconsolidado28[[#Headers],[12]],tabela_registros[REGISTRO],DADOS!$N$3,tabela_registros[TIPO],DADOS!$V$4,tabela_registros[CATEGORIA],receitasvariáveisconsolidado28[[#This Row],[ATUAL]])</f>
        <v>0</v>
      </c>
      <c r="Q101" s="119" t="n">
        <f aca="false">SUMIFS(tabela_registros[VALOR],tabela_registros[MÊS],$AE$1,tabela_registros[DIA],receitasvariáveisconsolidado28[[#Headers],[13]],tabela_registros[REGISTRO],DADOS!$N$3,tabela_registros[TIPO],DADOS!$V$4,tabela_registros[CATEGORIA],receitasvariáveisconsolidado28[[#This Row],[ATUAL]])</f>
        <v>0</v>
      </c>
      <c r="R101" s="119" t="n">
        <f aca="false">SUMIFS(tabela_registros[VALOR],tabela_registros[MÊS],$AE$1,tabela_registros[DIA],receitasvariáveisconsolidado28[[#Headers],[14]],tabela_registros[REGISTRO],DADOS!$N$3,tabela_registros[TIPO],DADOS!$V$4,tabela_registros[CATEGORIA],receitasvariáveisconsolidado28[[#This Row],[ATUAL]])</f>
        <v>0</v>
      </c>
      <c r="S101" s="119" t="n">
        <f aca="false">SUMIFS(tabela_registros[VALOR],tabela_registros[MÊS],$AE$1,tabela_registros[DIA],receitasvariáveisconsolidado28[[#Headers],[15]],tabela_registros[REGISTRO],DADOS!$N$3,tabela_registros[TIPO],DADOS!$V$4,tabela_registros[CATEGORIA],receitasvariáveisconsolidado28[[#This Row],[ATUAL]])</f>
        <v>0</v>
      </c>
      <c r="T101" s="119" t="n">
        <f aca="false">SUMIFS(tabela_registros[VALOR],tabela_registros[MÊS],$AE$1,tabela_registros[DIA],receitasvariáveisconsolidado28[[#Headers],[16]],tabela_registros[REGISTRO],DADOS!$N$3,tabela_registros[TIPO],DADOS!$V$4,tabela_registros[CATEGORIA],receitasvariáveisconsolidado28[[#This Row],[ATUAL]])</f>
        <v>0</v>
      </c>
      <c r="U101" s="119" t="n">
        <f aca="false">SUMIFS(tabela_registros[VALOR],tabela_registros[MÊS],$AE$1,tabela_registros[DIA],receitasvariáveisconsolidado28[[#Headers],[17]],tabela_registros[REGISTRO],DADOS!$N$3,tabela_registros[TIPO],DADOS!$V$4,tabela_registros[CATEGORIA],receitasvariáveisconsolidado28[[#This Row],[ATUAL]])</f>
        <v>0</v>
      </c>
      <c r="V101" s="119" t="n">
        <f aca="false">SUMIFS(tabela_registros[VALOR],tabela_registros[MÊS],$AE$1,tabela_registros[DIA],receitasvariáveisconsolidado28[[#Headers],[18]],tabela_registros[REGISTRO],DADOS!$N$3,tabela_registros[TIPO],DADOS!$V$4,tabela_registros[CATEGORIA],receitasvariáveisconsolidado28[[#This Row],[ATUAL]])</f>
        <v>0</v>
      </c>
      <c r="W101" s="119" t="n">
        <f aca="false">SUMIFS(tabela_registros[VALOR],tabela_registros[MÊS],$AE$1,tabela_registros[DIA],receitasvariáveisconsolidado28[[#Headers],[19]],tabela_registros[REGISTRO],DADOS!$N$3,tabela_registros[TIPO],DADOS!$V$4,tabela_registros[CATEGORIA],receitasvariáveisconsolidado28[[#This Row],[ATUAL]])</f>
        <v>0</v>
      </c>
      <c r="X101" s="119" t="n">
        <f aca="false">SUMIFS(tabela_registros[VALOR],tabela_registros[MÊS],$AE$1,tabela_registros[DIA],receitasvariáveisconsolidado28[[#Headers],[20]],tabela_registros[REGISTRO],DADOS!$N$3,tabela_registros[TIPO],DADOS!$V$4,tabela_registros[CATEGORIA],receitasvariáveisconsolidado28[[#This Row],[ATUAL]])</f>
        <v>0</v>
      </c>
      <c r="Y101" s="119" t="n">
        <f aca="false">SUMIFS(tabela_registros[VALOR],tabela_registros[MÊS],$AE$1,tabela_registros[DIA],receitasvariáveisconsolidado28[[#Headers],[21]],tabela_registros[REGISTRO],DADOS!$N$3,tabela_registros[TIPO],DADOS!$V$4,tabela_registros[CATEGORIA],receitasvariáveisconsolidado28[[#This Row],[ATUAL]])</f>
        <v>0</v>
      </c>
      <c r="Z101" s="119" t="n">
        <f aca="false">SUMIFS(tabela_registros[VALOR],tabela_registros[MÊS],$AE$1,tabela_registros[DIA],receitasvariáveisconsolidado28[[#Headers],[22]],tabela_registros[REGISTRO],DADOS!$N$3,tabela_registros[TIPO],DADOS!$V$4,tabela_registros[CATEGORIA],receitasvariáveisconsolidado28[[#This Row],[ATUAL]])</f>
        <v>0</v>
      </c>
      <c r="AA101" s="119" t="n">
        <f aca="false">SUMIFS(tabela_registros[VALOR],tabela_registros[MÊS],$AE$1,tabela_registros[DIA],receitasvariáveisconsolidado28[[#Headers],[23]],tabela_registros[REGISTRO],DADOS!$N$3,tabela_registros[TIPO],DADOS!$V$4,tabela_registros[CATEGORIA],receitasvariáveisconsolidado28[[#This Row],[ATUAL]])</f>
        <v>0</v>
      </c>
      <c r="AB101" s="119" t="n">
        <f aca="false">SUMIFS(tabela_registros[VALOR],tabela_registros[MÊS],$AE$1,tabela_registros[DIA],receitasvariáveisconsolidado28[[#Headers],[24]],tabela_registros[REGISTRO],DADOS!$N$3,tabela_registros[TIPO],DADOS!$V$4,tabela_registros[CATEGORIA],receitasvariáveisconsolidado28[[#This Row],[ATUAL]])</f>
        <v>0</v>
      </c>
      <c r="AC101" s="119" t="n">
        <f aca="false">SUMIFS(tabela_registros[VALOR],tabela_registros[MÊS],$AE$1,tabela_registros[DIA],receitasvariáveisconsolidado28[[#Headers],[25]],tabela_registros[REGISTRO],DADOS!$N$3,tabela_registros[TIPO],DADOS!$V$4,tabela_registros[CATEGORIA],receitasvariáveisconsolidado28[[#This Row],[ATUAL]])</f>
        <v>0</v>
      </c>
      <c r="AD101" s="119" t="n">
        <f aca="false">SUMIFS(tabela_registros[VALOR],tabela_registros[MÊS],$AE$1,tabela_registros[DIA],receitasvariáveisconsolidado28[[#Headers],[26]],tabela_registros[REGISTRO],DADOS!$N$3,tabela_registros[TIPO],DADOS!$V$4,tabela_registros[CATEGORIA],receitasvariáveisconsolidado28[[#This Row],[ATUAL]])</f>
        <v>0</v>
      </c>
      <c r="AE101" s="119" t="n">
        <f aca="false">SUMIFS(tabela_registros[VALOR],tabela_registros[MÊS],$AE$1,tabela_registros[DIA],receitasvariáveisconsolidado28[[#Headers],[27]],tabela_registros[REGISTRO],DADOS!$N$3,tabela_registros[TIPO],DADOS!$V$4,tabela_registros[CATEGORIA],receitasvariáveisconsolidado28[[#This Row],[ATUAL]])</f>
        <v>0</v>
      </c>
      <c r="AF101" s="119" t="n">
        <f aca="false">SUMIFS(tabela_registros[VALOR],tabela_registros[MÊS],$AE$1,tabela_registros[DIA],receitasvariáveisconsolidado28[[#Headers],[28]],tabela_registros[REGISTRO],DADOS!$N$3,tabela_registros[TIPO],DADOS!$V$4,tabela_registros[CATEGORIA],receitasvariáveisconsolidado28[[#This Row],[ATUAL]])</f>
        <v>0</v>
      </c>
      <c r="AG101" s="119" t="n">
        <f aca="false">SUMIFS(tabela_registros[VALOR],tabela_registros[MÊS],$AE$1,tabela_registros[DIA],receitasvariáveisconsolidado28[[#Headers],[29]],tabela_registros[REGISTRO],DADOS!$N$3,tabela_registros[TIPO],DADOS!$V$4,tabela_registros[CATEGORIA],receitasvariáveisconsolidado28[[#This Row],[ATUAL]])</f>
        <v>0</v>
      </c>
      <c r="AH101" s="119" t="n">
        <f aca="false">SUMIFS(tabela_registros[VALOR],tabela_registros[MÊS],$AE$1,tabela_registros[DIA],receitasvariáveisconsolidado28[[#Headers],[30]],tabela_registros[REGISTRO],DADOS!$N$3,tabela_registros[TIPO],DADOS!$V$4,tabela_registros[CATEGORIA],receitasvariáveisconsolidado28[[#This Row],[ATUAL]])</f>
        <v>0</v>
      </c>
      <c r="AI101" s="217" t="n">
        <f aca="false">SUMIFS(tabela_registros[VALOR],tabela_registros[MÊS],$AE$1,tabela_registros[DIA],receitasvariáveisconsolidado28[[#Headers],[31]],tabela_registros[REGISTRO],DADOS!$N$3,tabela_registros[TIPO],DADOS!$V$4,tabela_registros[CATEGORIA],receitasvariáveisconsolidado28[[#This Row],[ATUAL]])</f>
        <v>0</v>
      </c>
      <c r="AJ101" s="237" t="n">
        <f aca="false">SUM(receitasvariáveisconsolidado28[[#This Row],[1]:[31]])</f>
        <v>0</v>
      </c>
      <c r="AK101" s="234"/>
      <c r="AL101" s="189"/>
    </row>
    <row r="102" customFormat="false" ht="19.5" hidden="false" customHeight="true" outlineLevel="0" collapsed="false">
      <c r="A102" s="189"/>
      <c r="B102" s="213"/>
      <c r="C102" s="214" t="str">
        <f aca="false">DADOS!$Z$9</f>
        <v>👷‍♀️ TRABALHO TEMPORÁRIO</v>
      </c>
      <c r="D102" s="215" t="str">
        <f aca="false">IF(receitasvariáveisconsolidado28[[#This Row],[TOTAL (R$)]]=0,"",IF(OR(receitasvariáveisconsolidado28[[#This Row],[TOTAL (R$)]]=LARGE($AJ$96:$AJ$103,1),receitasvariáveisconsolidado28[[#This Row],[TOTAL (R$)]]=LARGE($AJ$96:$AJ$103,2)),DADOS!$I$9,""))</f>
        <v/>
      </c>
      <c r="E102" s="148" t="n">
        <f aca="false">SUMIFS(tabela_registros[VALOR],tabela_registros[MÊS],$AE$1,tabela_registros[DIA],receitasvariáveisconsolidado28[[#Headers],[1]],tabela_registros[REGISTRO],DADOS!$N$3,tabela_registros[TIPO],DADOS!$V$4,tabela_registros[CATEGORIA],receitasvariáveisconsolidado28[[#This Row],[ATUAL]])</f>
        <v>0</v>
      </c>
      <c r="F102" s="119" t="n">
        <f aca="false">SUMIFS(tabela_registros[VALOR],tabela_registros[MÊS],$AE$1,tabela_registros[DIA],receitasvariáveisconsolidado28[[#Headers],[2]],tabela_registros[REGISTRO],DADOS!$N$3,tabela_registros[TIPO],DADOS!$V$4,tabela_registros[CATEGORIA],receitasvariáveisconsolidado28[[#This Row],[ATUAL]])</f>
        <v>0</v>
      </c>
      <c r="G102" s="119" t="n">
        <f aca="false">SUMIFS(tabela_registros[VALOR],tabela_registros[MÊS],$AE$1,tabela_registros[DIA],receitasvariáveisconsolidado28[[#Headers],[3]],tabela_registros[REGISTRO],DADOS!$N$3,tabela_registros[TIPO],DADOS!$V$4,tabela_registros[CATEGORIA],receitasvariáveisconsolidado28[[#This Row],[ATUAL]])</f>
        <v>0</v>
      </c>
      <c r="H102" s="119" t="n">
        <f aca="false">SUMIFS(tabela_registros[VALOR],tabela_registros[MÊS],$AE$1,tabela_registros[DIA],receitasvariáveisconsolidado28[[#Headers],[4]],tabela_registros[REGISTRO],DADOS!$N$3,tabela_registros[TIPO],DADOS!$V$4,tabela_registros[CATEGORIA],receitasvariáveisconsolidado28[[#This Row],[ATUAL]])</f>
        <v>0</v>
      </c>
      <c r="I102" s="119" t="n">
        <f aca="false">SUMIFS(tabela_registros[VALOR],tabela_registros[MÊS],$AE$1,tabela_registros[DIA],receitasvariáveisconsolidado28[[#Headers],[5]],tabela_registros[REGISTRO],DADOS!$N$3,tabela_registros[TIPO],DADOS!$V$4,tabela_registros[CATEGORIA],receitasvariáveisconsolidado28[[#This Row],[ATUAL]])</f>
        <v>0</v>
      </c>
      <c r="J102" s="119" t="n">
        <f aca="false">SUMIFS(tabela_registros[VALOR],tabela_registros[MÊS],$AE$1,tabela_registros[DIA],receitasvariáveisconsolidado28[[#Headers],[6]],tabela_registros[REGISTRO],DADOS!$N$3,tabela_registros[TIPO],DADOS!$V$4,tabela_registros[CATEGORIA],receitasvariáveisconsolidado28[[#This Row],[ATUAL]])</f>
        <v>0</v>
      </c>
      <c r="K102" s="119" t="n">
        <f aca="false">SUMIFS(tabela_registros[VALOR],tabela_registros[MÊS],$AE$1,tabela_registros[DIA],receitasvariáveisconsolidado28[[#Headers],[7]],tabela_registros[REGISTRO],DADOS!$N$3,tabela_registros[TIPO],DADOS!$V$4,tabela_registros[CATEGORIA],receitasvariáveisconsolidado28[[#This Row],[ATUAL]])</f>
        <v>0</v>
      </c>
      <c r="L102" s="119" t="n">
        <f aca="false">SUMIFS(tabela_registros[VALOR],tabela_registros[MÊS],$AE$1,tabela_registros[DIA],receitasvariáveisconsolidado28[[#Headers],[8]],tabela_registros[REGISTRO],DADOS!$N$3,tabela_registros[TIPO],DADOS!$V$4,tabela_registros[CATEGORIA],receitasvariáveisconsolidado28[[#This Row],[ATUAL]])</f>
        <v>0</v>
      </c>
      <c r="M102" s="119" t="n">
        <f aca="false">SUMIFS(tabela_registros[VALOR],tabela_registros[MÊS],$AE$1,tabela_registros[DIA],receitasvariáveisconsolidado28[[#Headers],[9]],tabela_registros[REGISTRO],DADOS!$N$3,tabela_registros[TIPO],DADOS!$V$4,tabela_registros[CATEGORIA],receitasvariáveisconsolidado28[[#This Row],[ATUAL]])</f>
        <v>0</v>
      </c>
      <c r="N102" s="119" t="n">
        <f aca="false">SUMIFS(tabela_registros[VALOR],tabela_registros[MÊS],$AE$1,tabela_registros[DIA],receitasvariáveisconsolidado28[[#Headers],[10]],tabela_registros[REGISTRO],DADOS!$N$3,tabela_registros[TIPO],DADOS!$V$4,tabela_registros[CATEGORIA],receitasvariáveisconsolidado28[[#This Row],[ATUAL]])</f>
        <v>0</v>
      </c>
      <c r="O102" s="119" t="n">
        <f aca="false">SUMIFS(tabela_registros[VALOR],tabela_registros[MÊS],$AE$1,tabela_registros[DIA],receitasvariáveisconsolidado28[[#Headers],[11]],tabela_registros[REGISTRO],DADOS!$N$3,tabela_registros[TIPO],DADOS!$V$4,tabela_registros[CATEGORIA],receitasvariáveisconsolidado28[[#This Row],[ATUAL]])</f>
        <v>0</v>
      </c>
      <c r="P102" s="119" t="n">
        <f aca="false">SUMIFS(tabela_registros[VALOR],tabela_registros[MÊS],$AE$1,tabela_registros[DIA],receitasvariáveisconsolidado28[[#Headers],[12]],tabela_registros[REGISTRO],DADOS!$N$3,tabela_registros[TIPO],DADOS!$V$4,tabela_registros[CATEGORIA],receitasvariáveisconsolidado28[[#This Row],[ATUAL]])</f>
        <v>0</v>
      </c>
      <c r="Q102" s="119" t="n">
        <f aca="false">SUMIFS(tabela_registros[VALOR],tabela_registros[MÊS],$AE$1,tabela_registros[DIA],receitasvariáveisconsolidado28[[#Headers],[13]],tabela_registros[REGISTRO],DADOS!$N$3,tabela_registros[TIPO],DADOS!$V$4,tabela_registros[CATEGORIA],receitasvariáveisconsolidado28[[#This Row],[ATUAL]])</f>
        <v>0</v>
      </c>
      <c r="R102" s="119" t="n">
        <f aca="false">SUMIFS(tabela_registros[VALOR],tabela_registros[MÊS],$AE$1,tabela_registros[DIA],receitasvariáveisconsolidado28[[#Headers],[14]],tabela_registros[REGISTRO],DADOS!$N$3,tabela_registros[TIPO],DADOS!$V$4,tabela_registros[CATEGORIA],receitasvariáveisconsolidado28[[#This Row],[ATUAL]])</f>
        <v>0</v>
      </c>
      <c r="S102" s="119" t="n">
        <f aca="false">SUMIFS(tabela_registros[VALOR],tabela_registros[MÊS],$AE$1,tabela_registros[DIA],receitasvariáveisconsolidado28[[#Headers],[15]],tabela_registros[REGISTRO],DADOS!$N$3,tabela_registros[TIPO],DADOS!$V$4,tabela_registros[CATEGORIA],receitasvariáveisconsolidado28[[#This Row],[ATUAL]])</f>
        <v>0</v>
      </c>
      <c r="T102" s="119" t="n">
        <f aca="false">SUMIFS(tabela_registros[VALOR],tabela_registros[MÊS],$AE$1,tabela_registros[DIA],receitasvariáveisconsolidado28[[#Headers],[16]],tabela_registros[REGISTRO],DADOS!$N$3,tabela_registros[TIPO],DADOS!$V$4,tabela_registros[CATEGORIA],receitasvariáveisconsolidado28[[#This Row],[ATUAL]])</f>
        <v>0</v>
      </c>
      <c r="U102" s="119" t="n">
        <f aca="false">SUMIFS(tabela_registros[VALOR],tabela_registros[MÊS],$AE$1,tabela_registros[DIA],receitasvariáveisconsolidado28[[#Headers],[17]],tabela_registros[REGISTRO],DADOS!$N$3,tabela_registros[TIPO],DADOS!$V$4,tabela_registros[CATEGORIA],receitasvariáveisconsolidado28[[#This Row],[ATUAL]])</f>
        <v>0</v>
      </c>
      <c r="V102" s="119" t="n">
        <f aca="false">SUMIFS(tabela_registros[VALOR],tabela_registros[MÊS],$AE$1,tabela_registros[DIA],receitasvariáveisconsolidado28[[#Headers],[18]],tabela_registros[REGISTRO],DADOS!$N$3,tabela_registros[TIPO],DADOS!$V$4,tabela_registros[CATEGORIA],receitasvariáveisconsolidado28[[#This Row],[ATUAL]])</f>
        <v>0</v>
      </c>
      <c r="W102" s="119" t="n">
        <f aca="false">SUMIFS(tabela_registros[VALOR],tabela_registros[MÊS],$AE$1,tabela_registros[DIA],receitasvariáveisconsolidado28[[#Headers],[19]],tabela_registros[REGISTRO],DADOS!$N$3,tabela_registros[TIPO],DADOS!$V$4,tabela_registros[CATEGORIA],receitasvariáveisconsolidado28[[#This Row],[ATUAL]])</f>
        <v>0</v>
      </c>
      <c r="X102" s="119" t="n">
        <f aca="false">SUMIFS(tabela_registros[VALOR],tabela_registros[MÊS],$AE$1,tabela_registros[DIA],receitasvariáveisconsolidado28[[#Headers],[20]],tabela_registros[REGISTRO],DADOS!$N$3,tabela_registros[TIPO],DADOS!$V$4,tabela_registros[CATEGORIA],receitasvariáveisconsolidado28[[#This Row],[ATUAL]])</f>
        <v>0</v>
      </c>
      <c r="Y102" s="119" t="n">
        <f aca="false">SUMIFS(tabela_registros[VALOR],tabela_registros[MÊS],$AE$1,tabela_registros[DIA],receitasvariáveisconsolidado28[[#Headers],[21]],tabela_registros[REGISTRO],DADOS!$N$3,tabela_registros[TIPO],DADOS!$V$4,tabela_registros[CATEGORIA],receitasvariáveisconsolidado28[[#This Row],[ATUAL]])</f>
        <v>0</v>
      </c>
      <c r="Z102" s="119" t="n">
        <f aca="false">SUMIFS(tabela_registros[VALOR],tabela_registros[MÊS],$AE$1,tabela_registros[DIA],receitasvariáveisconsolidado28[[#Headers],[22]],tabela_registros[REGISTRO],DADOS!$N$3,tabela_registros[TIPO],DADOS!$V$4,tabela_registros[CATEGORIA],receitasvariáveisconsolidado28[[#This Row],[ATUAL]])</f>
        <v>0</v>
      </c>
      <c r="AA102" s="119" t="n">
        <f aca="false">SUMIFS(tabela_registros[VALOR],tabela_registros[MÊS],$AE$1,tabela_registros[DIA],receitasvariáveisconsolidado28[[#Headers],[23]],tabela_registros[REGISTRO],DADOS!$N$3,tabela_registros[TIPO],DADOS!$V$4,tabela_registros[CATEGORIA],receitasvariáveisconsolidado28[[#This Row],[ATUAL]])</f>
        <v>0</v>
      </c>
      <c r="AB102" s="119" t="n">
        <f aca="false">SUMIFS(tabela_registros[VALOR],tabela_registros[MÊS],$AE$1,tabela_registros[DIA],receitasvariáveisconsolidado28[[#Headers],[24]],tabela_registros[REGISTRO],DADOS!$N$3,tabela_registros[TIPO],DADOS!$V$4,tabela_registros[CATEGORIA],receitasvariáveisconsolidado28[[#This Row],[ATUAL]])</f>
        <v>0</v>
      </c>
      <c r="AC102" s="119" t="n">
        <f aca="false">SUMIFS(tabela_registros[VALOR],tabela_registros[MÊS],$AE$1,tabela_registros[DIA],receitasvariáveisconsolidado28[[#Headers],[25]],tabela_registros[REGISTRO],DADOS!$N$3,tabela_registros[TIPO],DADOS!$V$4,tabela_registros[CATEGORIA],receitasvariáveisconsolidado28[[#This Row],[ATUAL]])</f>
        <v>0</v>
      </c>
      <c r="AD102" s="119" t="n">
        <f aca="false">SUMIFS(tabela_registros[VALOR],tabela_registros[MÊS],$AE$1,tabela_registros[DIA],receitasvariáveisconsolidado28[[#Headers],[26]],tabela_registros[REGISTRO],DADOS!$N$3,tabela_registros[TIPO],DADOS!$V$4,tabela_registros[CATEGORIA],receitasvariáveisconsolidado28[[#This Row],[ATUAL]])</f>
        <v>0</v>
      </c>
      <c r="AE102" s="119" t="n">
        <f aca="false">SUMIFS(tabela_registros[VALOR],tabela_registros[MÊS],$AE$1,tabela_registros[DIA],receitasvariáveisconsolidado28[[#Headers],[27]],tabela_registros[REGISTRO],DADOS!$N$3,tabela_registros[TIPO],DADOS!$V$4,tabela_registros[CATEGORIA],receitasvariáveisconsolidado28[[#This Row],[ATUAL]])</f>
        <v>0</v>
      </c>
      <c r="AF102" s="119" t="n">
        <f aca="false">SUMIFS(tabela_registros[VALOR],tabela_registros[MÊS],$AE$1,tabela_registros[DIA],receitasvariáveisconsolidado28[[#Headers],[28]],tabela_registros[REGISTRO],DADOS!$N$3,tabela_registros[TIPO],DADOS!$V$4,tabela_registros[CATEGORIA],receitasvariáveisconsolidado28[[#This Row],[ATUAL]])</f>
        <v>0</v>
      </c>
      <c r="AG102" s="119" t="n">
        <f aca="false">SUMIFS(tabela_registros[VALOR],tabela_registros[MÊS],$AE$1,tabela_registros[DIA],receitasvariáveisconsolidado28[[#Headers],[29]],tabela_registros[REGISTRO],DADOS!$N$3,tabela_registros[TIPO],DADOS!$V$4,tabela_registros[CATEGORIA],receitasvariáveisconsolidado28[[#This Row],[ATUAL]])</f>
        <v>0</v>
      </c>
      <c r="AH102" s="119" t="n">
        <f aca="false">SUMIFS(tabela_registros[VALOR],tabela_registros[MÊS],$AE$1,tabela_registros[DIA],receitasvariáveisconsolidado28[[#Headers],[30]],tabela_registros[REGISTRO],DADOS!$N$3,tabela_registros[TIPO],DADOS!$V$4,tabela_registros[CATEGORIA],receitasvariáveisconsolidado28[[#This Row],[ATUAL]])</f>
        <v>0</v>
      </c>
      <c r="AI102" s="217" t="n">
        <f aca="false">SUMIFS(tabela_registros[VALOR],tabela_registros[MÊS],$AE$1,tabela_registros[DIA],receitasvariáveisconsolidado28[[#Headers],[31]],tabela_registros[REGISTRO],DADOS!$N$3,tabela_registros[TIPO],DADOS!$V$4,tabela_registros[CATEGORIA],receitasvariáveisconsolidado28[[#This Row],[ATUAL]])</f>
        <v>0</v>
      </c>
      <c r="AJ102" s="237" t="n">
        <f aca="false">SUM(receitasvariáveisconsolidado28[[#This Row],[1]:[31]])</f>
        <v>0</v>
      </c>
      <c r="AK102" s="234"/>
      <c r="AL102" s="189"/>
    </row>
    <row r="103" customFormat="false" ht="18" hidden="false" customHeight="true" outlineLevel="0" collapsed="false">
      <c r="A103" s="189"/>
      <c r="B103" s="213"/>
      <c r="C103" s="214" t="str">
        <f aca="false">DADOS!$Z$10</f>
        <v>📎 OUTROS</v>
      </c>
      <c r="D103" s="215" t="str">
        <f aca="false">IF(receitasvariáveisconsolidado28[[#This Row],[TOTAL (R$)]]=0,"",IF(OR(receitasvariáveisconsolidado28[[#This Row],[TOTAL (R$)]]=LARGE($AJ$96:$AJ$103,1),receitasvariáveisconsolidado28[[#This Row],[TOTAL (R$)]]=LARGE($AJ$96:$AJ$103,2)),DADOS!$I$9,""))</f>
        <v/>
      </c>
      <c r="E103" s="148" t="n">
        <f aca="false">SUMIFS(tabela_registros[VALOR],tabela_registros[MÊS],$AE$1,tabela_registros[DIA],receitasvariáveisconsolidado28[[#Headers],[1]],tabela_registros[REGISTRO],DADOS!$N$3,tabela_registros[TIPO],DADOS!$V$4,tabela_registros[CATEGORIA],receitasvariáveisconsolidado28[[#This Row],[ATUAL]])</f>
        <v>0</v>
      </c>
      <c r="F103" s="119" t="n">
        <f aca="false">SUMIFS(tabela_registros[VALOR],tabela_registros[MÊS],$AE$1,tabela_registros[DIA],receitasvariáveisconsolidado28[[#Headers],[2]],tabela_registros[REGISTRO],DADOS!$N$3,tabela_registros[TIPO],DADOS!$V$4,tabela_registros[CATEGORIA],receitasvariáveisconsolidado28[[#This Row],[ATUAL]])</f>
        <v>0</v>
      </c>
      <c r="G103" s="119" t="n">
        <f aca="false">SUMIFS(tabela_registros[VALOR],tabela_registros[MÊS],$AE$1,tabela_registros[DIA],receitasvariáveisconsolidado28[[#Headers],[3]],tabela_registros[REGISTRO],DADOS!$N$3,tabela_registros[TIPO],DADOS!$V$4,tabela_registros[CATEGORIA],receitasvariáveisconsolidado28[[#This Row],[ATUAL]])</f>
        <v>0</v>
      </c>
      <c r="H103" s="119" t="n">
        <f aca="false">SUMIFS(tabela_registros[VALOR],tabela_registros[MÊS],$AE$1,tabela_registros[DIA],receitasvariáveisconsolidado28[[#Headers],[4]],tabela_registros[REGISTRO],DADOS!$N$3,tabela_registros[TIPO],DADOS!$V$4,tabela_registros[CATEGORIA],receitasvariáveisconsolidado28[[#This Row],[ATUAL]])</f>
        <v>0</v>
      </c>
      <c r="I103" s="119" t="n">
        <f aca="false">SUMIFS(tabela_registros[VALOR],tabela_registros[MÊS],$AE$1,tabela_registros[DIA],receitasvariáveisconsolidado28[[#Headers],[5]],tabela_registros[REGISTRO],DADOS!$N$3,tabela_registros[TIPO],DADOS!$V$4,tabela_registros[CATEGORIA],receitasvariáveisconsolidado28[[#This Row],[ATUAL]])</f>
        <v>0</v>
      </c>
      <c r="J103" s="119" t="n">
        <f aca="false">SUMIFS(tabela_registros[VALOR],tabela_registros[MÊS],$AE$1,tabela_registros[DIA],receitasvariáveisconsolidado28[[#Headers],[6]],tabela_registros[REGISTRO],DADOS!$N$3,tabela_registros[TIPO],DADOS!$V$4,tabela_registros[CATEGORIA],receitasvariáveisconsolidado28[[#This Row],[ATUAL]])</f>
        <v>0</v>
      </c>
      <c r="K103" s="119" t="n">
        <f aca="false">SUMIFS(tabela_registros[VALOR],tabela_registros[MÊS],$AE$1,tabela_registros[DIA],receitasvariáveisconsolidado28[[#Headers],[7]],tabela_registros[REGISTRO],DADOS!$N$3,tabela_registros[TIPO],DADOS!$V$4,tabela_registros[CATEGORIA],receitasvariáveisconsolidado28[[#This Row],[ATUAL]])</f>
        <v>0</v>
      </c>
      <c r="L103" s="119" t="n">
        <f aca="false">SUMIFS(tabela_registros[VALOR],tabela_registros[MÊS],$AE$1,tabela_registros[DIA],receitasvariáveisconsolidado28[[#Headers],[8]],tabela_registros[REGISTRO],DADOS!$N$3,tabela_registros[TIPO],DADOS!$V$4,tabela_registros[CATEGORIA],receitasvariáveisconsolidado28[[#This Row],[ATUAL]])</f>
        <v>0</v>
      </c>
      <c r="M103" s="119" t="n">
        <f aca="false">SUMIFS(tabela_registros[VALOR],tabela_registros[MÊS],$AE$1,tabela_registros[DIA],receitasvariáveisconsolidado28[[#Headers],[9]],tabela_registros[REGISTRO],DADOS!$N$3,tabela_registros[TIPO],DADOS!$V$4,tabela_registros[CATEGORIA],receitasvariáveisconsolidado28[[#This Row],[ATUAL]])</f>
        <v>0</v>
      </c>
      <c r="N103" s="119" t="n">
        <f aca="false">SUMIFS(tabela_registros[VALOR],tabela_registros[MÊS],$AE$1,tabela_registros[DIA],receitasvariáveisconsolidado28[[#Headers],[10]],tabela_registros[REGISTRO],DADOS!$N$3,tabela_registros[TIPO],DADOS!$V$4,tabela_registros[CATEGORIA],receitasvariáveisconsolidado28[[#This Row],[ATUAL]])</f>
        <v>0</v>
      </c>
      <c r="O103" s="119" t="n">
        <f aca="false">SUMIFS(tabela_registros[VALOR],tabela_registros[MÊS],$AE$1,tabela_registros[DIA],receitasvariáveisconsolidado28[[#Headers],[11]],tabela_registros[REGISTRO],DADOS!$N$3,tabela_registros[TIPO],DADOS!$V$4,tabela_registros[CATEGORIA],receitasvariáveisconsolidado28[[#This Row],[ATUAL]])</f>
        <v>0</v>
      </c>
      <c r="P103" s="119" t="n">
        <f aca="false">SUMIFS(tabela_registros[VALOR],tabela_registros[MÊS],$AE$1,tabela_registros[DIA],receitasvariáveisconsolidado28[[#Headers],[12]],tabela_registros[REGISTRO],DADOS!$N$3,tabela_registros[TIPO],DADOS!$V$4,tabela_registros[CATEGORIA],receitasvariáveisconsolidado28[[#This Row],[ATUAL]])</f>
        <v>0</v>
      </c>
      <c r="Q103" s="119" t="n">
        <f aca="false">SUMIFS(tabela_registros[VALOR],tabela_registros[MÊS],$AE$1,tabela_registros[DIA],receitasvariáveisconsolidado28[[#Headers],[13]],tabela_registros[REGISTRO],DADOS!$N$3,tabela_registros[TIPO],DADOS!$V$4,tabela_registros[CATEGORIA],receitasvariáveisconsolidado28[[#This Row],[ATUAL]])</f>
        <v>0</v>
      </c>
      <c r="R103" s="119" t="n">
        <f aca="false">SUMIFS(tabela_registros[VALOR],tabela_registros[MÊS],$AE$1,tabela_registros[DIA],receitasvariáveisconsolidado28[[#Headers],[14]],tabela_registros[REGISTRO],DADOS!$N$3,tabela_registros[TIPO],DADOS!$V$4,tabela_registros[CATEGORIA],receitasvariáveisconsolidado28[[#This Row],[ATUAL]])</f>
        <v>0</v>
      </c>
      <c r="S103" s="119" t="n">
        <f aca="false">SUMIFS(tabela_registros[VALOR],tabela_registros[MÊS],$AE$1,tabela_registros[DIA],receitasvariáveisconsolidado28[[#Headers],[15]],tabela_registros[REGISTRO],DADOS!$N$3,tabela_registros[TIPO],DADOS!$V$4,tabela_registros[CATEGORIA],receitasvariáveisconsolidado28[[#This Row],[ATUAL]])</f>
        <v>0</v>
      </c>
      <c r="T103" s="119" t="n">
        <f aca="false">SUMIFS(tabela_registros[VALOR],tabela_registros[MÊS],$AE$1,tabela_registros[DIA],receitasvariáveisconsolidado28[[#Headers],[16]],tabela_registros[REGISTRO],DADOS!$N$3,tabela_registros[TIPO],DADOS!$V$4,tabela_registros[CATEGORIA],receitasvariáveisconsolidado28[[#This Row],[ATUAL]])</f>
        <v>0</v>
      </c>
      <c r="U103" s="119" t="n">
        <f aca="false">SUMIFS(tabela_registros[VALOR],tabela_registros[MÊS],$AE$1,tabela_registros[DIA],receitasvariáveisconsolidado28[[#Headers],[17]],tabela_registros[REGISTRO],DADOS!$N$3,tabela_registros[TIPO],DADOS!$V$4,tabela_registros[CATEGORIA],receitasvariáveisconsolidado28[[#This Row],[ATUAL]])</f>
        <v>0</v>
      </c>
      <c r="V103" s="119" t="n">
        <f aca="false">SUMIFS(tabela_registros[VALOR],tabela_registros[MÊS],$AE$1,tabela_registros[DIA],receitasvariáveisconsolidado28[[#Headers],[18]],tabela_registros[REGISTRO],DADOS!$N$3,tabela_registros[TIPO],DADOS!$V$4,tabela_registros[CATEGORIA],receitasvariáveisconsolidado28[[#This Row],[ATUAL]])</f>
        <v>0</v>
      </c>
      <c r="W103" s="119" t="n">
        <f aca="false">SUMIFS(tabela_registros[VALOR],tabela_registros[MÊS],$AE$1,tabela_registros[DIA],receitasvariáveisconsolidado28[[#Headers],[19]],tabela_registros[REGISTRO],DADOS!$N$3,tabela_registros[TIPO],DADOS!$V$4,tabela_registros[CATEGORIA],receitasvariáveisconsolidado28[[#This Row],[ATUAL]])</f>
        <v>0</v>
      </c>
      <c r="X103" s="119" t="n">
        <f aca="false">SUMIFS(tabela_registros[VALOR],tabela_registros[MÊS],$AE$1,tabela_registros[DIA],receitasvariáveisconsolidado28[[#Headers],[20]],tabela_registros[REGISTRO],DADOS!$N$3,tabela_registros[TIPO],DADOS!$V$4,tabela_registros[CATEGORIA],receitasvariáveisconsolidado28[[#This Row],[ATUAL]])</f>
        <v>0</v>
      </c>
      <c r="Y103" s="119" t="n">
        <f aca="false">SUMIFS(tabela_registros[VALOR],tabela_registros[MÊS],$AE$1,tabela_registros[DIA],receitasvariáveisconsolidado28[[#Headers],[21]],tabela_registros[REGISTRO],DADOS!$N$3,tabela_registros[TIPO],DADOS!$V$4,tabela_registros[CATEGORIA],receitasvariáveisconsolidado28[[#This Row],[ATUAL]])</f>
        <v>0</v>
      </c>
      <c r="Z103" s="119" t="n">
        <f aca="false">SUMIFS(tabela_registros[VALOR],tabela_registros[MÊS],$AE$1,tabela_registros[DIA],receitasvariáveisconsolidado28[[#Headers],[22]],tabela_registros[REGISTRO],DADOS!$N$3,tabela_registros[TIPO],DADOS!$V$4,tabela_registros[CATEGORIA],receitasvariáveisconsolidado28[[#This Row],[ATUAL]])</f>
        <v>0</v>
      </c>
      <c r="AA103" s="119" t="n">
        <f aca="false">SUMIFS(tabela_registros[VALOR],tabela_registros[MÊS],$AE$1,tabela_registros[DIA],receitasvariáveisconsolidado28[[#Headers],[23]],tabela_registros[REGISTRO],DADOS!$N$3,tabela_registros[TIPO],DADOS!$V$4,tabela_registros[CATEGORIA],receitasvariáveisconsolidado28[[#This Row],[ATUAL]])</f>
        <v>0</v>
      </c>
      <c r="AB103" s="119" t="n">
        <f aca="false">SUMIFS(tabela_registros[VALOR],tabela_registros[MÊS],$AE$1,tabela_registros[DIA],receitasvariáveisconsolidado28[[#Headers],[24]],tabela_registros[REGISTRO],DADOS!$N$3,tabela_registros[TIPO],DADOS!$V$4,tabela_registros[CATEGORIA],receitasvariáveisconsolidado28[[#This Row],[ATUAL]])</f>
        <v>0</v>
      </c>
      <c r="AC103" s="119" t="n">
        <f aca="false">SUMIFS(tabela_registros[VALOR],tabela_registros[MÊS],$AE$1,tabela_registros[DIA],receitasvariáveisconsolidado28[[#Headers],[25]],tabela_registros[REGISTRO],DADOS!$N$3,tabela_registros[TIPO],DADOS!$V$4,tabela_registros[CATEGORIA],receitasvariáveisconsolidado28[[#This Row],[ATUAL]])</f>
        <v>0</v>
      </c>
      <c r="AD103" s="119" t="n">
        <f aca="false">SUMIFS(tabela_registros[VALOR],tabela_registros[MÊS],$AE$1,tabela_registros[DIA],receitasvariáveisconsolidado28[[#Headers],[26]],tabela_registros[REGISTRO],DADOS!$N$3,tabela_registros[TIPO],DADOS!$V$4,tabela_registros[CATEGORIA],receitasvariáveisconsolidado28[[#This Row],[ATUAL]])</f>
        <v>0</v>
      </c>
      <c r="AE103" s="119" t="n">
        <f aca="false">SUMIFS(tabela_registros[VALOR],tabela_registros[MÊS],$AE$1,tabela_registros[DIA],receitasvariáveisconsolidado28[[#Headers],[27]],tabela_registros[REGISTRO],DADOS!$N$3,tabela_registros[TIPO],DADOS!$V$4,tabela_registros[CATEGORIA],receitasvariáveisconsolidado28[[#This Row],[ATUAL]])</f>
        <v>0</v>
      </c>
      <c r="AF103" s="119" t="n">
        <f aca="false">SUMIFS(tabela_registros[VALOR],tabela_registros[MÊS],$AE$1,tabela_registros[DIA],receitasvariáveisconsolidado28[[#Headers],[28]],tabela_registros[REGISTRO],DADOS!$N$3,tabela_registros[TIPO],DADOS!$V$4,tabela_registros[CATEGORIA],receitasvariáveisconsolidado28[[#This Row],[ATUAL]])</f>
        <v>0</v>
      </c>
      <c r="AG103" s="119" t="n">
        <f aca="false">SUMIFS(tabela_registros[VALOR],tabela_registros[MÊS],$AE$1,tabela_registros[DIA],receitasvariáveisconsolidado28[[#Headers],[29]],tabela_registros[REGISTRO],DADOS!$N$3,tabela_registros[TIPO],DADOS!$V$4,tabela_registros[CATEGORIA],receitasvariáveisconsolidado28[[#This Row],[ATUAL]])</f>
        <v>0</v>
      </c>
      <c r="AH103" s="119" t="n">
        <f aca="false">SUMIFS(tabela_registros[VALOR],tabela_registros[MÊS],$AE$1,tabela_registros[DIA],receitasvariáveisconsolidado28[[#Headers],[30]],tabela_registros[REGISTRO],DADOS!$N$3,tabela_registros[TIPO],DADOS!$V$4,tabela_registros[CATEGORIA],receitasvariáveisconsolidado28[[#This Row],[ATUAL]])</f>
        <v>0</v>
      </c>
      <c r="AI103" s="218" t="n">
        <f aca="false">SUMIFS(tabela_registros[VALOR],tabela_registros[MÊS],$AE$1,tabela_registros[DIA],receitasvariáveisconsolidado28[[#Headers],[31]],tabela_registros[REGISTRO],DADOS!$N$3,tabela_registros[TIPO],DADOS!$V$4,tabela_registros[CATEGORIA],receitasvariáveisconsolidado28[[#This Row],[ATUAL]])</f>
        <v>0</v>
      </c>
      <c r="AJ103" s="149" t="n">
        <f aca="false">SUM(receitasvariáveisconsolidado28[[#This Row],[1]:[31]])</f>
        <v>0</v>
      </c>
      <c r="AK103" s="234"/>
      <c r="AL103" s="189"/>
    </row>
    <row r="104" s="122" customFormat="true" ht="21" hidden="false" customHeight="true" outlineLevel="0" collapsed="false">
      <c r="A104" s="199"/>
      <c r="B104" s="220"/>
      <c r="C104" s="221" t="s">
        <v>2</v>
      </c>
      <c r="D104" s="235"/>
      <c r="E104" s="155" t="n">
        <f aca="false">SUM(E96:E103)</f>
        <v>0</v>
      </c>
      <c r="F104" s="156" t="n">
        <f aca="false">SUM(F96:F103)+receitasvariáveisconsolidado28[[#This Row],[1]]</f>
        <v>0</v>
      </c>
      <c r="G104" s="156" t="n">
        <f aca="false">SUM(G96:G103)+receitasvariáveisconsolidado28[[#This Row],[2]]</f>
        <v>0</v>
      </c>
      <c r="H104" s="156" t="n">
        <f aca="false">SUM(H96:H103)+receitasvariáveisconsolidado28[[#This Row],[3]]</f>
        <v>0</v>
      </c>
      <c r="I104" s="156" t="n">
        <f aca="false">SUM(I96:I103)+receitasvariáveisconsolidado28[[#This Row],[4]]</f>
        <v>0</v>
      </c>
      <c r="J104" s="156" t="n">
        <f aca="false">SUM(J96:J103)+receitasvariáveisconsolidado28[[#This Row],[5]]</f>
        <v>0</v>
      </c>
      <c r="K104" s="156" t="n">
        <f aca="false">SUM(K96:K103)+receitasvariáveisconsolidado28[[#This Row],[6]]</f>
        <v>0</v>
      </c>
      <c r="L104" s="156" t="n">
        <f aca="false">SUM(L96:L103)+receitasvariáveisconsolidado28[[#This Row],[7]]</f>
        <v>0</v>
      </c>
      <c r="M104" s="156" t="n">
        <f aca="false">SUM(M96:M103)+receitasvariáveisconsolidado28[[#This Row],[8]]</f>
        <v>0</v>
      </c>
      <c r="N104" s="156" t="n">
        <f aca="false">SUM(N96:N103)+receitasvariáveisconsolidado28[[#This Row],[9]]</f>
        <v>0</v>
      </c>
      <c r="O104" s="156" t="n">
        <f aca="false">SUM(O96:O103)+receitasvariáveisconsolidado28[[#This Row],[10]]</f>
        <v>0</v>
      </c>
      <c r="P104" s="156" t="n">
        <f aca="false">SUM(P96:P103)+receitasvariáveisconsolidado28[[#This Row],[11]]</f>
        <v>0</v>
      </c>
      <c r="Q104" s="156" t="n">
        <f aca="false">SUM(Q96:Q103)+receitasvariáveisconsolidado28[[#This Row],[12]]</f>
        <v>0</v>
      </c>
      <c r="R104" s="156" t="n">
        <f aca="false">SUM(R96:R103)+receitasvariáveisconsolidado28[[#This Row],[13]]</f>
        <v>0</v>
      </c>
      <c r="S104" s="156" t="n">
        <f aca="false">SUM(S96:S103)+receitasvariáveisconsolidado28[[#This Row],[14]]</f>
        <v>0</v>
      </c>
      <c r="T104" s="156" t="n">
        <f aca="false">SUM(T96:T103)+receitasvariáveisconsolidado28[[#This Row],[15]]</f>
        <v>0</v>
      </c>
      <c r="U104" s="156" t="n">
        <f aca="false">SUM(U96:U103)+receitasvariáveisconsolidado28[[#This Row],[16]]</f>
        <v>0</v>
      </c>
      <c r="V104" s="156" t="n">
        <f aca="false">SUM(V96:V103)+receitasvariáveisconsolidado28[[#This Row],[17]]</f>
        <v>0</v>
      </c>
      <c r="W104" s="156" t="n">
        <f aca="false">SUM(W96:W103)+receitasvariáveisconsolidado28[[#This Row],[18]]</f>
        <v>0</v>
      </c>
      <c r="X104" s="156" t="n">
        <f aca="false">SUM(X96:X103)+receitasvariáveisconsolidado28[[#This Row],[19]]</f>
        <v>0</v>
      </c>
      <c r="Y104" s="156" t="n">
        <f aca="false">SUM(Y96:Y103)+receitasvariáveisconsolidado28[[#This Row],[20]]</f>
        <v>0</v>
      </c>
      <c r="Z104" s="156" t="n">
        <f aca="false">SUM(Z96:Z103)+receitasvariáveisconsolidado28[[#This Row],[21]]</f>
        <v>0</v>
      </c>
      <c r="AA104" s="156" t="n">
        <f aca="false">SUM(AA96:AA103)+receitasvariáveisconsolidado28[[#This Row],[22]]</f>
        <v>0</v>
      </c>
      <c r="AB104" s="156" t="n">
        <f aca="false">SUM(AB96:AB103)+receitasvariáveisconsolidado28[[#This Row],[23]]</f>
        <v>0</v>
      </c>
      <c r="AC104" s="156" t="n">
        <f aca="false">SUM(AC96:AC103)+receitasvariáveisconsolidado28[[#This Row],[24]]</f>
        <v>0</v>
      </c>
      <c r="AD104" s="156" t="n">
        <f aca="false">SUM(AD96:AD103)+receitasvariáveisconsolidado28[[#This Row],[25]]</f>
        <v>0</v>
      </c>
      <c r="AE104" s="156" t="n">
        <f aca="false">SUM(AE96:AE103)+receitasvariáveisconsolidado28[[#This Row],[26]]</f>
        <v>0</v>
      </c>
      <c r="AF104" s="156" t="n">
        <f aca="false">SUM(AF96:AF103)+receitasvariáveisconsolidado28[[#This Row],[27]]</f>
        <v>0</v>
      </c>
      <c r="AG104" s="156" t="n">
        <f aca="false">SUM(AG96:AG103)+receitasvariáveisconsolidado28[[#This Row],[28]]</f>
        <v>0</v>
      </c>
      <c r="AH104" s="156" t="n">
        <f aca="false">SUM(AH96:AH103)+receitasvariáveisconsolidado28[[#This Row],[29]]</f>
        <v>0</v>
      </c>
      <c r="AI104" s="223" t="n">
        <f aca="false">SUM(AI96:AI103)+receitasvariáveisconsolidado28[[#This Row],[30]]</f>
        <v>0</v>
      </c>
      <c r="AJ104" s="157" t="n">
        <f aca="false">receitasvariáveisconsolidado28[[#This Row],[31]]</f>
        <v>0</v>
      </c>
      <c r="AK104" s="224"/>
      <c r="AL104" s="199"/>
    </row>
    <row r="105" customFormat="false" ht="6.75" hidden="false" customHeight="true" outlineLevel="0" collapsed="false">
      <c r="A105" s="189"/>
      <c r="B105" s="185"/>
      <c r="C105" s="231"/>
      <c r="D105" s="232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32"/>
      <c r="R105" s="232"/>
      <c r="S105" s="232"/>
      <c r="T105" s="232"/>
      <c r="U105" s="232"/>
      <c r="V105" s="232"/>
      <c r="W105" s="232"/>
      <c r="X105" s="232"/>
      <c r="Y105" s="232"/>
      <c r="Z105" s="232"/>
      <c r="AA105" s="232"/>
      <c r="AB105" s="232"/>
      <c r="AC105" s="232"/>
      <c r="AD105" s="232"/>
      <c r="AE105" s="232"/>
      <c r="AF105" s="232"/>
      <c r="AG105" s="232"/>
      <c r="AH105" s="232"/>
      <c r="AI105" s="233"/>
      <c r="AJ105" s="236"/>
      <c r="AK105" s="228"/>
      <c r="AL105" s="189"/>
    </row>
    <row r="106" customFormat="false" ht="12.75" hidden="false" customHeight="false" outlineLevel="0" collapsed="false">
      <c r="A106" s="189"/>
      <c r="B106" s="189"/>
      <c r="C106" s="189"/>
      <c r="D106" s="189"/>
      <c r="E106" s="190"/>
      <c r="F106" s="189"/>
      <c r="G106" s="189"/>
      <c r="H106" s="189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89"/>
      <c r="AH106" s="189"/>
      <c r="AI106" s="189"/>
      <c r="AJ106" s="189"/>
      <c r="AK106" s="189"/>
      <c r="AL106" s="189"/>
    </row>
    <row r="107" customFormat="false" ht="12" hidden="false" customHeight="false" outlineLevel="0" collapsed="false">
      <c r="A107" s="189"/>
      <c r="B107" s="189"/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89"/>
      <c r="Y107" s="189"/>
      <c r="Z107" s="189"/>
      <c r="AA107" s="189"/>
      <c r="AB107" s="189"/>
      <c r="AC107" s="189"/>
      <c r="AD107" s="189"/>
      <c r="AE107" s="189"/>
      <c r="AF107" s="189"/>
      <c r="AG107" s="189"/>
      <c r="AH107" s="189"/>
      <c r="AI107" s="189"/>
      <c r="AJ107" s="189"/>
      <c r="AK107" s="189"/>
      <c r="AL107" s="189"/>
    </row>
    <row r="108" customFormat="false" ht="12" hidden="false" customHeight="false" outlineLevel="0" collapsed="false">
      <c r="A108" s="189"/>
      <c r="B108" s="189"/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189"/>
      <c r="Y108" s="189"/>
      <c r="Z108" s="189"/>
      <c r="AA108" s="189"/>
      <c r="AB108" s="189"/>
      <c r="AC108" s="189"/>
      <c r="AD108" s="189"/>
      <c r="AE108" s="189"/>
      <c r="AF108" s="189"/>
      <c r="AG108" s="189"/>
      <c r="AH108" s="189"/>
      <c r="AI108" s="189"/>
      <c r="AJ108" s="189"/>
      <c r="AK108" s="189"/>
      <c r="AL108" s="189"/>
    </row>
    <row r="109" customFormat="false" ht="39.75" hidden="false" customHeight="true" outlineLevel="0" collapsed="false">
      <c r="A109" s="189"/>
      <c r="B109" s="189"/>
      <c r="C109" s="191"/>
      <c r="D109" s="189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03" t="s">
        <v>2</v>
      </c>
      <c r="AK109" s="189"/>
      <c r="AL109" s="189"/>
    </row>
    <row r="110" customFormat="false" ht="12.75" hidden="false" customHeight="false" outlineLevel="0" collapsed="false">
      <c r="A110" s="189"/>
      <c r="B110" s="230"/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  <c r="V110" s="189"/>
      <c r="W110" s="189"/>
      <c r="X110" s="189"/>
      <c r="Y110" s="189"/>
      <c r="Z110" s="189"/>
      <c r="AA110" s="189"/>
      <c r="AB110" s="189"/>
      <c r="AC110" s="189"/>
      <c r="AD110" s="189"/>
      <c r="AE110" s="189"/>
      <c r="AF110" s="189"/>
      <c r="AG110" s="189"/>
      <c r="AH110" s="189"/>
      <c r="AI110" s="189"/>
      <c r="AJ110" s="106" t="s">
        <v>64</v>
      </c>
      <c r="AK110" s="189"/>
      <c r="AL110" s="189"/>
    </row>
    <row r="111" customFormat="false" ht="6.75" hidden="false" customHeight="true" outlineLevel="0" collapsed="false">
      <c r="A111" s="189"/>
      <c r="B111" s="172"/>
      <c r="C111" s="231"/>
      <c r="D111" s="232"/>
      <c r="E111" s="232"/>
      <c r="F111" s="232"/>
      <c r="G111" s="232"/>
      <c r="H111" s="232"/>
      <c r="I111" s="232"/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3"/>
      <c r="AK111" s="209"/>
      <c r="AL111" s="189"/>
    </row>
    <row r="112" customFormat="false" ht="13.5" hidden="true" customHeight="false" outlineLevel="0" collapsed="false">
      <c r="A112" s="189"/>
      <c r="B112" s="172"/>
      <c r="C112" s="195" t="s">
        <v>68</v>
      </c>
      <c r="D112" s="196" t="s">
        <v>69</v>
      </c>
      <c r="E112" s="196" t="s">
        <v>30</v>
      </c>
      <c r="F112" s="196" t="s">
        <v>31</v>
      </c>
      <c r="G112" s="196" t="s">
        <v>32</v>
      </c>
      <c r="H112" s="196" t="s">
        <v>33</v>
      </c>
      <c r="I112" s="196" t="s">
        <v>34</v>
      </c>
      <c r="J112" s="196" t="s">
        <v>35</v>
      </c>
      <c r="K112" s="196" t="s">
        <v>36</v>
      </c>
      <c r="L112" s="196" t="s">
        <v>37</v>
      </c>
      <c r="M112" s="196" t="s">
        <v>38</v>
      </c>
      <c r="N112" s="196" t="s">
        <v>39</v>
      </c>
      <c r="O112" s="196" t="s">
        <v>40</v>
      </c>
      <c r="P112" s="196" t="s">
        <v>41</v>
      </c>
      <c r="Q112" s="196" t="s">
        <v>81</v>
      </c>
      <c r="R112" s="196" t="s">
        <v>82</v>
      </c>
      <c r="S112" s="196" t="s">
        <v>83</v>
      </c>
      <c r="T112" s="196" t="s">
        <v>84</v>
      </c>
      <c r="U112" s="196" t="s">
        <v>85</v>
      </c>
      <c r="V112" s="196" t="s">
        <v>86</v>
      </c>
      <c r="W112" s="196" t="s">
        <v>87</v>
      </c>
      <c r="X112" s="196" t="s">
        <v>88</v>
      </c>
      <c r="Y112" s="196" t="s">
        <v>89</v>
      </c>
      <c r="Z112" s="196" t="s">
        <v>90</v>
      </c>
      <c r="AA112" s="196" t="s">
        <v>91</v>
      </c>
      <c r="AB112" s="196" t="s">
        <v>92</v>
      </c>
      <c r="AC112" s="196" t="s">
        <v>93</v>
      </c>
      <c r="AD112" s="196" t="s">
        <v>94</v>
      </c>
      <c r="AE112" s="196" t="s">
        <v>95</v>
      </c>
      <c r="AF112" s="196" t="s">
        <v>96</v>
      </c>
      <c r="AG112" s="196" t="s">
        <v>97</v>
      </c>
      <c r="AH112" s="196" t="s">
        <v>98</v>
      </c>
      <c r="AI112" s="196" t="s">
        <v>99</v>
      </c>
      <c r="AJ112" s="111" t="s">
        <v>70</v>
      </c>
      <c r="AK112" s="172"/>
      <c r="AL112" s="189"/>
    </row>
    <row r="113" customFormat="false" ht="19.5" hidden="false" customHeight="true" outlineLevel="0" collapsed="false">
      <c r="A113" s="189"/>
      <c r="B113" s="213"/>
      <c r="C113" s="214" t="str">
        <f aca="false">DADOS!$AD$3</f>
        <v>📝 CDB</v>
      </c>
      <c r="D113" s="215" t="str">
        <f aca="false">IF(investirrendafixaconsolidado2829[[#This Row],[TOTAL (R$)]]=0,"",IF(OR(investirrendafixaconsolidado2829[[#This Row],[TOTAL (R$)]]=LARGE($AJ$113:$AJ$122,1),investirrendafixaconsolidado2829[[#This Row],[TOTAL (R$)]]=LARGE($AJ$113:$AJ$122,2)),DADOS!$I$10,""))</f>
        <v/>
      </c>
      <c r="E113" s="148" t="n">
        <f aca="false">SUMIFS(tabela_registros[VALOR],tabela_registros[MÊS],$AE$1,tabela_registros[DIA],investirrendafixaconsolidado2829[[#Headers],[1]],tabela_registros[REGISTRO],DADOS!$N$5,tabela_registros[TIPO],DADOS!$AB$3,tabela_registros[CATEGORIA],investirrendafixaconsolidado2829[[#This Row],[ATUAL]])</f>
        <v>0</v>
      </c>
      <c r="F113" s="119" t="n">
        <f aca="false">SUMIFS(tabela_registros[VALOR],tabela_registros[MÊS],$AE$1,tabela_registros[DIA],investirrendafixaconsolidado2829[[#Headers],[2]],tabela_registros[REGISTRO],DADOS!$N$5,tabela_registros[TIPO],DADOS!$AB$3,tabela_registros[CATEGORIA],investirrendafixaconsolidado2829[[#This Row],[ATUAL]])</f>
        <v>0</v>
      </c>
      <c r="G113" s="119" t="n">
        <f aca="false">SUMIFS(tabela_registros[VALOR],tabela_registros[MÊS],$AE$1,tabela_registros[DIA],investirrendafixaconsolidado2829[[#Headers],[3]],tabela_registros[REGISTRO],DADOS!$N$5,tabela_registros[TIPO],DADOS!$AB$3,tabela_registros[CATEGORIA],investirrendafixaconsolidado2829[[#This Row],[ATUAL]])</f>
        <v>0</v>
      </c>
      <c r="H113" s="119" t="n">
        <f aca="false">SUMIFS(tabela_registros[VALOR],tabela_registros[MÊS],$AE$1,tabela_registros[DIA],investirrendafixaconsolidado2829[[#Headers],[4]],tabela_registros[REGISTRO],DADOS!$N$5,tabela_registros[TIPO],DADOS!$AB$3,tabela_registros[CATEGORIA],investirrendafixaconsolidado2829[[#This Row],[ATUAL]])</f>
        <v>0</v>
      </c>
      <c r="I113" s="119" t="n">
        <f aca="false">SUMIFS(tabela_registros[VALOR],tabela_registros[MÊS],$AE$1,tabela_registros[DIA],investirrendafixaconsolidado2829[[#Headers],[5]],tabela_registros[REGISTRO],DADOS!$N$5,tabela_registros[TIPO],DADOS!$AB$3,tabela_registros[CATEGORIA],investirrendafixaconsolidado2829[[#This Row],[ATUAL]])</f>
        <v>0</v>
      </c>
      <c r="J113" s="119" t="n">
        <f aca="false">SUMIFS(tabela_registros[VALOR],tabela_registros[MÊS],$AE$1,tabela_registros[DIA],investirrendafixaconsolidado2829[[#Headers],[6]],tabela_registros[REGISTRO],DADOS!$N$5,tabela_registros[TIPO],DADOS!$AB$3,tabela_registros[CATEGORIA],investirrendafixaconsolidado2829[[#This Row],[ATUAL]])</f>
        <v>0</v>
      </c>
      <c r="K113" s="119" t="n">
        <f aca="false">SUMIFS(tabela_registros[VALOR],tabela_registros[MÊS],$AE$1,tabela_registros[DIA],investirrendafixaconsolidado2829[[#Headers],[7]],tabela_registros[REGISTRO],DADOS!$N$5,tabela_registros[TIPO],DADOS!$AB$3,tabela_registros[CATEGORIA],investirrendafixaconsolidado2829[[#This Row],[ATUAL]])</f>
        <v>0</v>
      </c>
      <c r="L113" s="119" t="n">
        <f aca="false">SUMIFS(tabela_registros[VALOR],tabela_registros[MÊS],$AE$1,tabela_registros[DIA],investirrendafixaconsolidado2829[[#Headers],[8]],tabela_registros[REGISTRO],DADOS!$N$5,tabela_registros[TIPO],DADOS!$AB$3,tabela_registros[CATEGORIA],investirrendafixaconsolidado2829[[#This Row],[ATUAL]])</f>
        <v>0</v>
      </c>
      <c r="M113" s="119" t="n">
        <f aca="false">SUMIFS(tabela_registros[VALOR],tabela_registros[MÊS],$AE$1,tabela_registros[DIA],investirrendafixaconsolidado2829[[#Headers],[9]],tabela_registros[REGISTRO],DADOS!$N$5,tabela_registros[TIPO],DADOS!$AB$3,tabela_registros[CATEGORIA],investirrendafixaconsolidado2829[[#This Row],[ATUAL]])</f>
        <v>0</v>
      </c>
      <c r="N113" s="119" t="n">
        <f aca="false">SUMIFS(tabela_registros[VALOR],tabela_registros[MÊS],$AE$1,tabela_registros[DIA],investirrendafixaconsolidado2829[[#Headers],[10]],tabela_registros[REGISTRO],DADOS!$N$5,tabela_registros[TIPO],DADOS!$AB$3,tabela_registros[CATEGORIA],investirrendafixaconsolidado2829[[#This Row],[ATUAL]])</f>
        <v>0</v>
      </c>
      <c r="O113" s="119" t="n">
        <f aca="false">SUMIFS(tabela_registros[VALOR],tabela_registros[MÊS],$AE$1,tabela_registros[DIA],investirrendafixaconsolidado2829[[#Headers],[11]],tabela_registros[REGISTRO],DADOS!$N$5,tabela_registros[TIPO],DADOS!$AB$3,tabela_registros[CATEGORIA],investirrendafixaconsolidado2829[[#This Row],[ATUAL]])</f>
        <v>0</v>
      </c>
      <c r="P113" s="119" t="n">
        <f aca="false">SUMIFS(tabela_registros[VALOR],tabela_registros[MÊS],$AE$1,tabela_registros[DIA],investirrendafixaconsolidado2829[[#Headers],[12]],tabela_registros[REGISTRO],DADOS!$N$5,tabela_registros[TIPO],DADOS!$AB$3,tabela_registros[CATEGORIA],investirrendafixaconsolidado2829[[#This Row],[ATUAL]])</f>
        <v>0</v>
      </c>
      <c r="Q113" s="119" t="n">
        <f aca="false">SUMIFS(tabela_registros[VALOR],tabela_registros[MÊS],$AE$1,tabela_registros[DIA],investirrendafixaconsolidado2829[[#Headers],[13]],tabela_registros[REGISTRO],DADOS!$N$5,tabela_registros[TIPO],DADOS!$AB$3,tabela_registros[CATEGORIA],investirrendafixaconsolidado2829[[#This Row],[ATUAL]])</f>
        <v>0</v>
      </c>
      <c r="R113" s="119" t="n">
        <f aca="false">SUMIFS(tabela_registros[VALOR],tabela_registros[MÊS],$AE$1,tabela_registros[DIA],investirrendafixaconsolidado2829[[#Headers],[14]],tabela_registros[REGISTRO],DADOS!$N$5,tabela_registros[TIPO],DADOS!$AB$3,tabela_registros[CATEGORIA],investirrendafixaconsolidado2829[[#This Row],[ATUAL]])</f>
        <v>0</v>
      </c>
      <c r="S113" s="119" t="n">
        <f aca="false">SUMIFS(tabela_registros[VALOR],tabela_registros[MÊS],$AE$1,tabela_registros[DIA],investirrendafixaconsolidado2829[[#Headers],[15]],tabela_registros[REGISTRO],DADOS!$N$5,tabela_registros[TIPO],DADOS!$AB$3,tabela_registros[CATEGORIA],investirrendafixaconsolidado2829[[#This Row],[ATUAL]])</f>
        <v>0</v>
      </c>
      <c r="T113" s="119" t="n">
        <f aca="false">SUMIFS(tabela_registros[VALOR],tabela_registros[MÊS],$AE$1,tabela_registros[DIA],investirrendafixaconsolidado2829[[#Headers],[16]],tabela_registros[REGISTRO],DADOS!$N$5,tabela_registros[TIPO],DADOS!$AB$3,tabela_registros[CATEGORIA],investirrendafixaconsolidado2829[[#This Row],[ATUAL]])</f>
        <v>0</v>
      </c>
      <c r="U113" s="119" t="n">
        <f aca="false">SUMIFS(tabela_registros[VALOR],tabela_registros[MÊS],$AE$1,tabela_registros[DIA],investirrendafixaconsolidado2829[[#Headers],[17]],tabela_registros[REGISTRO],DADOS!$N$5,tabela_registros[TIPO],DADOS!$AB$3,tabela_registros[CATEGORIA],investirrendafixaconsolidado2829[[#This Row],[ATUAL]])</f>
        <v>0</v>
      </c>
      <c r="V113" s="119" t="n">
        <f aca="false">SUMIFS(tabela_registros[VALOR],tabela_registros[MÊS],$AE$1,tabela_registros[DIA],investirrendafixaconsolidado2829[[#Headers],[18]],tabela_registros[REGISTRO],DADOS!$N$5,tabela_registros[TIPO],DADOS!$AB$3,tabela_registros[CATEGORIA],investirrendafixaconsolidado2829[[#This Row],[ATUAL]])</f>
        <v>0</v>
      </c>
      <c r="W113" s="119" t="n">
        <f aca="false">SUMIFS(tabela_registros[VALOR],tabela_registros[MÊS],$AE$1,tabela_registros[DIA],investirrendafixaconsolidado2829[[#Headers],[19]],tabela_registros[REGISTRO],DADOS!$N$5,tabela_registros[TIPO],DADOS!$AB$3,tabela_registros[CATEGORIA],investirrendafixaconsolidado2829[[#This Row],[ATUAL]])</f>
        <v>0</v>
      </c>
      <c r="X113" s="119" t="n">
        <f aca="false">SUMIFS(tabela_registros[VALOR],tabela_registros[MÊS],$AE$1,tabela_registros[DIA],investirrendafixaconsolidado2829[[#Headers],[20]],tabela_registros[REGISTRO],DADOS!$N$5,tabela_registros[TIPO],DADOS!$AB$3,tabela_registros[CATEGORIA],investirrendafixaconsolidado2829[[#This Row],[ATUAL]])</f>
        <v>0</v>
      </c>
      <c r="Y113" s="119" t="n">
        <f aca="false">SUMIFS(tabela_registros[VALOR],tabela_registros[MÊS],$AE$1,tabela_registros[DIA],investirrendafixaconsolidado2829[[#Headers],[21]],tabela_registros[REGISTRO],DADOS!$N$5,tabela_registros[TIPO],DADOS!$AB$3,tabela_registros[CATEGORIA],investirrendafixaconsolidado2829[[#This Row],[ATUAL]])</f>
        <v>0</v>
      </c>
      <c r="Z113" s="119" t="n">
        <f aca="false">SUMIFS(tabela_registros[VALOR],tabela_registros[MÊS],$AE$1,tabela_registros[DIA],investirrendafixaconsolidado2829[[#Headers],[22]],tabela_registros[REGISTRO],DADOS!$N$5,tabela_registros[TIPO],DADOS!$AB$3,tabela_registros[CATEGORIA],investirrendafixaconsolidado2829[[#This Row],[ATUAL]])</f>
        <v>0</v>
      </c>
      <c r="AA113" s="119" t="n">
        <f aca="false">SUMIFS(tabela_registros[VALOR],tabela_registros[MÊS],$AE$1,tabela_registros[DIA],investirrendafixaconsolidado2829[[#Headers],[23]],tabela_registros[REGISTRO],DADOS!$N$5,tabela_registros[TIPO],DADOS!$AB$3,tabela_registros[CATEGORIA],investirrendafixaconsolidado2829[[#This Row],[ATUAL]])</f>
        <v>0</v>
      </c>
      <c r="AB113" s="119" t="n">
        <f aca="false">SUMIFS(tabela_registros[VALOR],tabela_registros[MÊS],$AE$1,tabela_registros[DIA],investirrendafixaconsolidado2829[[#Headers],[24]],tabela_registros[REGISTRO],DADOS!$N$5,tabela_registros[TIPO],DADOS!$AB$3,tabela_registros[CATEGORIA],investirrendafixaconsolidado2829[[#This Row],[ATUAL]])</f>
        <v>0</v>
      </c>
      <c r="AC113" s="119" t="n">
        <f aca="false">SUMIFS(tabela_registros[VALOR],tabela_registros[MÊS],$AE$1,tabela_registros[DIA],investirrendafixaconsolidado2829[[#Headers],[25]],tabela_registros[REGISTRO],DADOS!$N$5,tabela_registros[TIPO],DADOS!$AB$3,tabela_registros[CATEGORIA],investirrendafixaconsolidado2829[[#This Row],[ATUAL]])</f>
        <v>0</v>
      </c>
      <c r="AD113" s="119" t="n">
        <f aca="false">SUMIFS(tabela_registros[VALOR],tabela_registros[MÊS],$AE$1,tabela_registros[DIA],investirrendafixaconsolidado2829[[#Headers],[26]],tabela_registros[REGISTRO],DADOS!$N$5,tabela_registros[TIPO],DADOS!$AB$3,tabela_registros[CATEGORIA],investirrendafixaconsolidado2829[[#This Row],[ATUAL]])</f>
        <v>0</v>
      </c>
      <c r="AE113" s="119" t="n">
        <f aca="false">SUMIFS(tabela_registros[VALOR],tabela_registros[MÊS],$AE$1,tabela_registros[DIA],investirrendafixaconsolidado2829[[#Headers],[27]],tabela_registros[REGISTRO],DADOS!$N$5,tabela_registros[TIPO],DADOS!$AB$3,tabela_registros[CATEGORIA],investirrendafixaconsolidado2829[[#This Row],[ATUAL]])</f>
        <v>0</v>
      </c>
      <c r="AF113" s="119" t="n">
        <f aca="false">SUMIFS(tabela_registros[VALOR],tabela_registros[MÊS],$AE$1,tabela_registros[DIA],investirrendafixaconsolidado2829[[#Headers],[28]],tabela_registros[REGISTRO],DADOS!$N$5,tabela_registros[TIPO],DADOS!$AB$3,tabela_registros[CATEGORIA],investirrendafixaconsolidado2829[[#This Row],[ATUAL]])</f>
        <v>0</v>
      </c>
      <c r="AG113" s="119" t="n">
        <f aca="false">SUMIFS(tabela_registros[VALOR],tabela_registros[MÊS],$AE$1,tabela_registros[DIA],investirrendafixaconsolidado2829[[#Headers],[29]],tabela_registros[REGISTRO],DADOS!$N$5,tabela_registros[TIPO],DADOS!$AB$3,tabela_registros[CATEGORIA],investirrendafixaconsolidado2829[[#This Row],[ATUAL]])</f>
        <v>0</v>
      </c>
      <c r="AH113" s="119" t="n">
        <f aca="false">SUMIFS(tabela_registros[VALOR],tabela_registros[MÊS],$AE$1,tabela_registros[DIA],investirrendafixaconsolidado2829[[#Headers],[30]],tabela_registros[REGISTRO],DADOS!$N$5,tabela_registros[TIPO],DADOS!$AB$3,tabela_registros[CATEGORIA],investirrendafixaconsolidado2829[[#This Row],[ATUAL]])</f>
        <v>0</v>
      </c>
      <c r="AI113" s="217" t="n">
        <f aca="false">SUMIFS(tabela_registros[VALOR],tabela_registros[MÊS],$AE$1,tabela_registros[DIA],investirrendafixaconsolidado2829[[#Headers],[31]],tabela_registros[REGISTRO],DADOS!$N$5,tabela_registros[TIPO],DADOS!$AB$3,tabela_registros[CATEGORIA],investirrendafixaconsolidado2829[[#This Row],[ATUAL]])</f>
        <v>0</v>
      </c>
      <c r="AJ113" s="149" t="n">
        <f aca="false">SUM(investirrendafixaconsolidado2829[[#This Row],[1]:[31]])</f>
        <v>0</v>
      </c>
      <c r="AK113" s="234"/>
      <c r="AL113" s="189"/>
    </row>
    <row r="114" customFormat="false" ht="19.5" hidden="false" customHeight="true" outlineLevel="0" collapsed="false">
      <c r="A114" s="189"/>
      <c r="B114" s="213"/>
      <c r="C114" s="214" t="str">
        <f aca="false">DADOS!$AD$4</f>
        <v>📝 CRA</v>
      </c>
      <c r="D114" s="215" t="str">
        <f aca="false">IF(investirrendafixaconsolidado2829[[#This Row],[TOTAL (R$)]]=0,"",IF(OR(investirrendafixaconsolidado2829[[#This Row],[TOTAL (R$)]]=LARGE($AJ$113:$AJ$122,1),investirrendafixaconsolidado2829[[#This Row],[TOTAL (R$)]]=LARGE($AJ$113:$AJ$122,2)),DADOS!$I$10,""))</f>
        <v/>
      </c>
      <c r="E114" s="148" t="n">
        <f aca="false">SUMIFS(tabela_registros[VALOR],tabela_registros[MÊS],$AE$1,tabela_registros[DIA],investirrendafixaconsolidado2829[[#Headers],[1]],tabela_registros[REGISTRO],DADOS!$N$5,tabela_registros[TIPO],DADOS!$AB$3,tabela_registros[CATEGORIA],investirrendafixaconsolidado2829[[#This Row],[ATUAL]])</f>
        <v>0</v>
      </c>
      <c r="F114" s="119" t="n">
        <f aca="false">SUMIFS(tabela_registros[VALOR],tabela_registros[MÊS],$AE$1,tabela_registros[DIA],investirrendafixaconsolidado2829[[#Headers],[2]],tabela_registros[REGISTRO],DADOS!$N$5,tabela_registros[TIPO],DADOS!$AB$3,tabela_registros[CATEGORIA],investirrendafixaconsolidado2829[[#This Row],[ATUAL]])</f>
        <v>0</v>
      </c>
      <c r="G114" s="119" t="n">
        <f aca="false">SUMIFS(tabela_registros[VALOR],tabela_registros[MÊS],$AE$1,tabela_registros[DIA],investirrendafixaconsolidado2829[[#Headers],[3]],tabela_registros[REGISTRO],DADOS!$N$5,tabela_registros[TIPO],DADOS!$AB$3,tabela_registros[CATEGORIA],investirrendafixaconsolidado2829[[#This Row],[ATUAL]])</f>
        <v>0</v>
      </c>
      <c r="H114" s="119" t="n">
        <f aca="false">SUMIFS(tabela_registros[VALOR],tabela_registros[MÊS],$AE$1,tabela_registros[DIA],investirrendafixaconsolidado2829[[#Headers],[4]],tabela_registros[REGISTRO],DADOS!$N$5,tabela_registros[TIPO],DADOS!$AB$3,tabela_registros[CATEGORIA],investirrendafixaconsolidado2829[[#This Row],[ATUAL]])</f>
        <v>0</v>
      </c>
      <c r="I114" s="119" t="n">
        <f aca="false">SUMIFS(tabela_registros[VALOR],tabela_registros[MÊS],$AE$1,tabela_registros[DIA],investirrendafixaconsolidado2829[[#Headers],[5]],tabela_registros[REGISTRO],DADOS!$N$5,tabela_registros[TIPO],DADOS!$AB$3,tabela_registros[CATEGORIA],investirrendafixaconsolidado2829[[#This Row],[ATUAL]])</f>
        <v>0</v>
      </c>
      <c r="J114" s="119" t="n">
        <f aca="false">SUMIFS(tabela_registros[VALOR],tabela_registros[MÊS],$AE$1,tabela_registros[DIA],investirrendafixaconsolidado2829[[#Headers],[6]],tabela_registros[REGISTRO],DADOS!$N$5,tabela_registros[TIPO],DADOS!$AB$3,tabela_registros[CATEGORIA],investirrendafixaconsolidado2829[[#This Row],[ATUAL]])</f>
        <v>0</v>
      </c>
      <c r="K114" s="119" t="n">
        <f aca="false">SUMIFS(tabela_registros[VALOR],tabela_registros[MÊS],$AE$1,tabela_registros[DIA],investirrendafixaconsolidado2829[[#Headers],[7]],tabela_registros[REGISTRO],DADOS!$N$5,tabela_registros[TIPO],DADOS!$AB$3,tabela_registros[CATEGORIA],investirrendafixaconsolidado2829[[#This Row],[ATUAL]])</f>
        <v>0</v>
      </c>
      <c r="L114" s="119" t="n">
        <f aca="false">SUMIFS(tabela_registros[VALOR],tabela_registros[MÊS],$AE$1,tabela_registros[DIA],investirrendafixaconsolidado2829[[#Headers],[8]],tabela_registros[REGISTRO],DADOS!$N$5,tabela_registros[TIPO],DADOS!$AB$3,tabela_registros[CATEGORIA],investirrendafixaconsolidado2829[[#This Row],[ATUAL]])</f>
        <v>0</v>
      </c>
      <c r="M114" s="119" t="n">
        <f aca="false">SUMIFS(tabela_registros[VALOR],tabela_registros[MÊS],$AE$1,tabela_registros[DIA],investirrendafixaconsolidado2829[[#Headers],[9]],tabela_registros[REGISTRO],DADOS!$N$5,tabela_registros[TIPO],DADOS!$AB$3,tabela_registros[CATEGORIA],investirrendafixaconsolidado2829[[#This Row],[ATUAL]])</f>
        <v>0</v>
      </c>
      <c r="N114" s="119" t="n">
        <f aca="false">SUMIFS(tabela_registros[VALOR],tabela_registros[MÊS],$AE$1,tabela_registros[DIA],investirrendafixaconsolidado2829[[#Headers],[10]],tabela_registros[REGISTRO],DADOS!$N$5,tabela_registros[TIPO],DADOS!$AB$3,tabela_registros[CATEGORIA],investirrendafixaconsolidado2829[[#This Row],[ATUAL]])</f>
        <v>0</v>
      </c>
      <c r="O114" s="119" t="n">
        <f aca="false">SUMIFS(tabela_registros[VALOR],tabela_registros[MÊS],$AE$1,tabela_registros[DIA],investirrendafixaconsolidado2829[[#Headers],[11]],tabela_registros[REGISTRO],DADOS!$N$5,tabela_registros[TIPO],DADOS!$AB$3,tabela_registros[CATEGORIA],investirrendafixaconsolidado2829[[#This Row],[ATUAL]])</f>
        <v>0</v>
      </c>
      <c r="P114" s="119" t="n">
        <f aca="false">SUMIFS(tabela_registros[VALOR],tabela_registros[MÊS],$AE$1,tabela_registros[DIA],investirrendafixaconsolidado2829[[#Headers],[12]],tabela_registros[REGISTRO],DADOS!$N$5,tabela_registros[TIPO],DADOS!$AB$3,tabela_registros[CATEGORIA],investirrendafixaconsolidado2829[[#This Row],[ATUAL]])</f>
        <v>0</v>
      </c>
      <c r="Q114" s="119" t="n">
        <f aca="false">SUMIFS(tabela_registros[VALOR],tabela_registros[MÊS],$AE$1,tabela_registros[DIA],investirrendafixaconsolidado2829[[#Headers],[13]],tabela_registros[REGISTRO],DADOS!$N$5,tabela_registros[TIPO],DADOS!$AB$3,tabela_registros[CATEGORIA],investirrendafixaconsolidado2829[[#This Row],[ATUAL]])</f>
        <v>0</v>
      </c>
      <c r="R114" s="119" t="n">
        <f aca="false">SUMIFS(tabela_registros[VALOR],tabela_registros[MÊS],$AE$1,tabela_registros[DIA],investirrendafixaconsolidado2829[[#Headers],[14]],tabela_registros[REGISTRO],DADOS!$N$5,tabela_registros[TIPO],DADOS!$AB$3,tabela_registros[CATEGORIA],investirrendafixaconsolidado2829[[#This Row],[ATUAL]])</f>
        <v>0</v>
      </c>
      <c r="S114" s="119" t="n">
        <f aca="false">SUMIFS(tabela_registros[VALOR],tabela_registros[MÊS],$AE$1,tabela_registros[DIA],investirrendafixaconsolidado2829[[#Headers],[15]],tabela_registros[REGISTRO],DADOS!$N$5,tabela_registros[TIPO],DADOS!$AB$3,tabela_registros[CATEGORIA],investirrendafixaconsolidado2829[[#This Row],[ATUAL]])</f>
        <v>0</v>
      </c>
      <c r="T114" s="119" t="n">
        <f aca="false">SUMIFS(tabela_registros[VALOR],tabela_registros[MÊS],$AE$1,tabela_registros[DIA],investirrendafixaconsolidado2829[[#Headers],[16]],tabela_registros[REGISTRO],DADOS!$N$5,tabela_registros[TIPO],DADOS!$AB$3,tabela_registros[CATEGORIA],investirrendafixaconsolidado2829[[#This Row],[ATUAL]])</f>
        <v>0</v>
      </c>
      <c r="U114" s="119" t="n">
        <f aca="false">SUMIFS(tabela_registros[VALOR],tabela_registros[MÊS],$AE$1,tabela_registros[DIA],investirrendafixaconsolidado2829[[#Headers],[17]],tabela_registros[REGISTRO],DADOS!$N$5,tabela_registros[TIPO],DADOS!$AB$3,tabela_registros[CATEGORIA],investirrendafixaconsolidado2829[[#This Row],[ATUAL]])</f>
        <v>0</v>
      </c>
      <c r="V114" s="119" t="n">
        <f aca="false">SUMIFS(tabela_registros[VALOR],tabela_registros[MÊS],$AE$1,tabela_registros[DIA],investirrendafixaconsolidado2829[[#Headers],[18]],tabela_registros[REGISTRO],DADOS!$N$5,tabela_registros[TIPO],DADOS!$AB$3,tabela_registros[CATEGORIA],investirrendafixaconsolidado2829[[#This Row],[ATUAL]])</f>
        <v>0</v>
      </c>
      <c r="W114" s="119" t="n">
        <f aca="false">SUMIFS(tabela_registros[VALOR],tabela_registros[MÊS],$AE$1,tabela_registros[DIA],investirrendafixaconsolidado2829[[#Headers],[19]],tabela_registros[REGISTRO],DADOS!$N$5,tabela_registros[TIPO],DADOS!$AB$3,tabela_registros[CATEGORIA],investirrendafixaconsolidado2829[[#This Row],[ATUAL]])</f>
        <v>0</v>
      </c>
      <c r="X114" s="119" t="n">
        <f aca="false">SUMIFS(tabela_registros[VALOR],tabela_registros[MÊS],$AE$1,tabela_registros[DIA],investirrendafixaconsolidado2829[[#Headers],[20]],tabela_registros[REGISTRO],DADOS!$N$5,tabela_registros[TIPO],DADOS!$AB$3,tabela_registros[CATEGORIA],investirrendafixaconsolidado2829[[#This Row],[ATUAL]])</f>
        <v>0</v>
      </c>
      <c r="Y114" s="119" t="n">
        <f aca="false">SUMIFS(tabela_registros[VALOR],tabela_registros[MÊS],$AE$1,tabela_registros[DIA],investirrendafixaconsolidado2829[[#Headers],[21]],tabela_registros[REGISTRO],DADOS!$N$5,tabela_registros[TIPO],DADOS!$AB$3,tabela_registros[CATEGORIA],investirrendafixaconsolidado2829[[#This Row],[ATUAL]])</f>
        <v>0</v>
      </c>
      <c r="Z114" s="119" t="n">
        <f aca="false">SUMIFS(tabela_registros[VALOR],tabela_registros[MÊS],$AE$1,tabela_registros[DIA],investirrendafixaconsolidado2829[[#Headers],[22]],tabela_registros[REGISTRO],DADOS!$N$5,tabela_registros[TIPO],DADOS!$AB$3,tabela_registros[CATEGORIA],investirrendafixaconsolidado2829[[#This Row],[ATUAL]])</f>
        <v>0</v>
      </c>
      <c r="AA114" s="119" t="n">
        <f aca="false">SUMIFS(tabela_registros[VALOR],tabela_registros[MÊS],$AE$1,tabela_registros[DIA],investirrendafixaconsolidado2829[[#Headers],[23]],tabela_registros[REGISTRO],DADOS!$N$5,tabela_registros[TIPO],DADOS!$AB$3,tabela_registros[CATEGORIA],investirrendafixaconsolidado2829[[#This Row],[ATUAL]])</f>
        <v>0</v>
      </c>
      <c r="AB114" s="119" t="n">
        <f aca="false">SUMIFS(tabela_registros[VALOR],tabela_registros[MÊS],$AE$1,tabela_registros[DIA],investirrendafixaconsolidado2829[[#Headers],[24]],tabela_registros[REGISTRO],DADOS!$N$5,tabela_registros[TIPO],DADOS!$AB$3,tabela_registros[CATEGORIA],investirrendafixaconsolidado2829[[#This Row],[ATUAL]])</f>
        <v>0</v>
      </c>
      <c r="AC114" s="119" t="n">
        <f aca="false">SUMIFS(tabela_registros[VALOR],tabela_registros[MÊS],$AE$1,tabela_registros[DIA],investirrendafixaconsolidado2829[[#Headers],[25]],tabela_registros[REGISTRO],DADOS!$N$5,tabela_registros[TIPO],DADOS!$AB$3,tabela_registros[CATEGORIA],investirrendafixaconsolidado2829[[#This Row],[ATUAL]])</f>
        <v>0</v>
      </c>
      <c r="AD114" s="119" t="n">
        <f aca="false">SUMIFS(tabela_registros[VALOR],tabela_registros[MÊS],$AE$1,tabela_registros[DIA],investirrendafixaconsolidado2829[[#Headers],[26]],tabela_registros[REGISTRO],DADOS!$N$5,tabela_registros[TIPO],DADOS!$AB$3,tabela_registros[CATEGORIA],investirrendafixaconsolidado2829[[#This Row],[ATUAL]])</f>
        <v>0</v>
      </c>
      <c r="AE114" s="119" t="n">
        <f aca="false">SUMIFS(tabela_registros[VALOR],tabela_registros[MÊS],$AE$1,tabela_registros[DIA],investirrendafixaconsolidado2829[[#Headers],[27]],tabela_registros[REGISTRO],DADOS!$N$5,tabela_registros[TIPO],DADOS!$AB$3,tabela_registros[CATEGORIA],investirrendafixaconsolidado2829[[#This Row],[ATUAL]])</f>
        <v>0</v>
      </c>
      <c r="AF114" s="119" t="n">
        <f aca="false">SUMIFS(tabela_registros[VALOR],tabela_registros[MÊS],$AE$1,tabela_registros[DIA],investirrendafixaconsolidado2829[[#Headers],[28]],tabela_registros[REGISTRO],DADOS!$N$5,tabela_registros[TIPO],DADOS!$AB$3,tabela_registros[CATEGORIA],investirrendafixaconsolidado2829[[#This Row],[ATUAL]])</f>
        <v>0</v>
      </c>
      <c r="AG114" s="119" t="n">
        <f aca="false">SUMIFS(tabela_registros[VALOR],tabela_registros[MÊS],$AE$1,tabela_registros[DIA],investirrendafixaconsolidado2829[[#Headers],[29]],tabela_registros[REGISTRO],DADOS!$N$5,tabela_registros[TIPO],DADOS!$AB$3,tabela_registros[CATEGORIA],investirrendafixaconsolidado2829[[#This Row],[ATUAL]])</f>
        <v>0</v>
      </c>
      <c r="AH114" s="119" t="n">
        <f aca="false">SUMIFS(tabela_registros[VALOR],tabela_registros[MÊS],$AE$1,tabela_registros[DIA],investirrendafixaconsolidado2829[[#Headers],[30]],tabela_registros[REGISTRO],DADOS!$N$5,tabela_registros[TIPO],DADOS!$AB$3,tabela_registros[CATEGORIA],investirrendafixaconsolidado2829[[#This Row],[ATUAL]])</f>
        <v>0</v>
      </c>
      <c r="AI114" s="217" t="n">
        <f aca="false">SUMIFS(tabela_registros[VALOR],tabela_registros[MÊS],$AE$1,tabela_registros[DIA],investirrendafixaconsolidado2829[[#Headers],[31]],tabela_registros[REGISTRO],DADOS!$N$5,tabela_registros[TIPO],DADOS!$AB$3,tabela_registros[CATEGORIA],investirrendafixaconsolidado2829[[#This Row],[ATUAL]])</f>
        <v>0</v>
      </c>
      <c r="AJ114" s="149" t="n">
        <f aca="false">SUM(investirrendafixaconsolidado2829[[#This Row],[1]:[31]])</f>
        <v>0</v>
      </c>
      <c r="AK114" s="234"/>
      <c r="AL114" s="189"/>
    </row>
    <row r="115" customFormat="false" ht="19.5" hidden="false" customHeight="true" outlineLevel="0" collapsed="false">
      <c r="A115" s="189"/>
      <c r="B115" s="213"/>
      <c r="C115" s="214" t="str">
        <f aca="false">DADOS!$AD$5</f>
        <v>📝 CRI</v>
      </c>
      <c r="D115" s="215" t="str">
        <f aca="false">IF(investirrendafixaconsolidado2829[[#This Row],[TOTAL (R$)]]=0,"",IF(OR(investirrendafixaconsolidado2829[[#This Row],[TOTAL (R$)]]=LARGE($AJ$113:$AJ$122,1),investirrendafixaconsolidado2829[[#This Row],[TOTAL (R$)]]=LARGE($AJ$113:$AJ$122,2)),DADOS!$I$10,""))</f>
        <v/>
      </c>
      <c r="E115" s="148" t="n">
        <f aca="false">SUMIFS(tabela_registros[VALOR],tabela_registros[MÊS],$AE$1,tabela_registros[DIA],investirrendafixaconsolidado2829[[#Headers],[1]],tabela_registros[REGISTRO],DADOS!$N$5,tabela_registros[TIPO],DADOS!$AB$3,tabela_registros[CATEGORIA],investirrendafixaconsolidado2829[[#This Row],[ATUAL]])</f>
        <v>0</v>
      </c>
      <c r="F115" s="119" t="n">
        <f aca="false">SUMIFS(tabela_registros[VALOR],tabela_registros[MÊS],$AE$1,tabela_registros[DIA],investirrendafixaconsolidado2829[[#Headers],[2]],tabela_registros[REGISTRO],DADOS!$N$5,tabela_registros[TIPO],DADOS!$AB$3,tabela_registros[CATEGORIA],investirrendafixaconsolidado2829[[#This Row],[ATUAL]])</f>
        <v>0</v>
      </c>
      <c r="G115" s="119" t="n">
        <f aca="false">SUMIFS(tabela_registros[VALOR],tabela_registros[MÊS],$AE$1,tabela_registros[DIA],investirrendafixaconsolidado2829[[#Headers],[3]],tabela_registros[REGISTRO],DADOS!$N$5,tabela_registros[TIPO],DADOS!$AB$3,tabela_registros[CATEGORIA],investirrendafixaconsolidado2829[[#This Row],[ATUAL]])</f>
        <v>0</v>
      </c>
      <c r="H115" s="119" t="n">
        <f aca="false">SUMIFS(tabela_registros[VALOR],tabela_registros[MÊS],$AE$1,tabela_registros[DIA],investirrendafixaconsolidado2829[[#Headers],[4]],tabela_registros[REGISTRO],DADOS!$N$5,tabela_registros[TIPO],DADOS!$AB$3,tabela_registros[CATEGORIA],investirrendafixaconsolidado2829[[#This Row],[ATUAL]])</f>
        <v>0</v>
      </c>
      <c r="I115" s="119" t="n">
        <f aca="false">SUMIFS(tabela_registros[VALOR],tabela_registros[MÊS],$AE$1,tabela_registros[DIA],investirrendafixaconsolidado2829[[#Headers],[5]],tabela_registros[REGISTRO],DADOS!$N$5,tabela_registros[TIPO],DADOS!$AB$3,tabela_registros[CATEGORIA],investirrendafixaconsolidado2829[[#This Row],[ATUAL]])</f>
        <v>0</v>
      </c>
      <c r="J115" s="119" t="n">
        <f aca="false">SUMIFS(tabela_registros[VALOR],tabela_registros[MÊS],$AE$1,tabela_registros[DIA],investirrendafixaconsolidado2829[[#Headers],[6]],tabela_registros[REGISTRO],DADOS!$N$5,tabela_registros[TIPO],DADOS!$AB$3,tabela_registros[CATEGORIA],investirrendafixaconsolidado2829[[#This Row],[ATUAL]])</f>
        <v>0</v>
      </c>
      <c r="K115" s="119" t="n">
        <f aca="false">SUMIFS(tabela_registros[VALOR],tabela_registros[MÊS],$AE$1,tabela_registros[DIA],investirrendafixaconsolidado2829[[#Headers],[7]],tabela_registros[REGISTRO],DADOS!$N$5,tabela_registros[TIPO],DADOS!$AB$3,tabela_registros[CATEGORIA],investirrendafixaconsolidado2829[[#This Row],[ATUAL]])</f>
        <v>0</v>
      </c>
      <c r="L115" s="119" t="n">
        <f aca="false">SUMIFS(tabela_registros[VALOR],tabela_registros[MÊS],$AE$1,tabela_registros[DIA],investirrendafixaconsolidado2829[[#Headers],[8]],tabela_registros[REGISTRO],DADOS!$N$5,tabela_registros[TIPO],DADOS!$AB$3,tabela_registros[CATEGORIA],investirrendafixaconsolidado2829[[#This Row],[ATUAL]])</f>
        <v>0</v>
      </c>
      <c r="M115" s="119" t="n">
        <f aca="false">SUMIFS(tabela_registros[VALOR],tabela_registros[MÊS],$AE$1,tabela_registros[DIA],investirrendafixaconsolidado2829[[#Headers],[9]],tabela_registros[REGISTRO],DADOS!$N$5,tabela_registros[TIPO],DADOS!$AB$3,tabela_registros[CATEGORIA],investirrendafixaconsolidado2829[[#This Row],[ATUAL]])</f>
        <v>0</v>
      </c>
      <c r="N115" s="119" t="n">
        <f aca="false">SUMIFS(tabela_registros[VALOR],tabela_registros[MÊS],$AE$1,tabela_registros[DIA],investirrendafixaconsolidado2829[[#Headers],[10]],tabela_registros[REGISTRO],DADOS!$N$5,tabela_registros[TIPO],DADOS!$AB$3,tabela_registros[CATEGORIA],investirrendafixaconsolidado2829[[#This Row],[ATUAL]])</f>
        <v>0</v>
      </c>
      <c r="O115" s="119" t="n">
        <f aca="false">SUMIFS(tabela_registros[VALOR],tabela_registros[MÊS],$AE$1,tabela_registros[DIA],investirrendafixaconsolidado2829[[#Headers],[11]],tabela_registros[REGISTRO],DADOS!$N$5,tabela_registros[TIPO],DADOS!$AB$3,tabela_registros[CATEGORIA],investirrendafixaconsolidado2829[[#This Row],[ATUAL]])</f>
        <v>0</v>
      </c>
      <c r="P115" s="119" t="n">
        <f aca="false">SUMIFS(tabela_registros[VALOR],tabela_registros[MÊS],$AE$1,tabela_registros[DIA],investirrendafixaconsolidado2829[[#Headers],[12]],tabela_registros[REGISTRO],DADOS!$N$5,tabela_registros[TIPO],DADOS!$AB$3,tabela_registros[CATEGORIA],investirrendafixaconsolidado2829[[#This Row],[ATUAL]])</f>
        <v>0</v>
      </c>
      <c r="Q115" s="119" t="n">
        <f aca="false">SUMIFS(tabela_registros[VALOR],tabela_registros[MÊS],$AE$1,tabela_registros[DIA],investirrendafixaconsolidado2829[[#Headers],[13]],tabela_registros[REGISTRO],DADOS!$N$5,tabela_registros[TIPO],DADOS!$AB$3,tabela_registros[CATEGORIA],investirrendafixaconsolidado2829[[#This Row],[ATUAL]])</f>
        <v>0</v>
      </c>
      <c r="R115" s="119" t="n">
        <f aca="false">SUMIFS(tabela_registros[VALOR],tabela_registros[MÊS],$AE$1,tabela_registros[DIA],investirrendafixaconsolidado2829[[#Headers],[14]],tabela_registros[REGISTRO],DADOS!$N$5,tabela_registros[TIPO],DADOS!$AB$3,tabela_registros[CATEGORIA],investirrendafixaconsolidado2829[[#This Row],[ATUAL]])</f>
        <v>0</v>
      </c>
      <c r="S115" s="119" t="n">
        <f aca="false">SUMIFS(tabela_registros[VALOR],tabela_registros[MÊS],$AE$1,tabela_registros[DIA],investirrendafixaconsolidado2829[[#Headers],[15]],tabela_registros[REGISTRO],DADOS!$N$5,tabela_registros[TIPO],DADOS!$AB$3,tabela_registros[CATEGORIA],investirrendafixaconsolidado2829[[#This Row],[ATUAL]])</f>
        <v>0</v>
      </c>
      <c r="T115" s="119" t="n">
        <f aca="false">SUMIFS(tabela_registros[VALOR],tabela_registros[MÊS],$AE$1,tabela_registros[DIA],investirrendafixaconsolidado2829[[#Headers],[16]],tabela_registros[REGISTRO],DADOS!$N$5,tabela_registros[TIPO],DADOS!$AB$3,tabela_registros[CATEGORIA],investirrendafixaconsolidado2829[[#This Row],[ATUAL]])</f>
        <v>0</v>
      </c>
      <c r="U115" s="119" t="n">
        <f aca="false">SUMIFS(tabela_registros[VALOR],tabela_registros[MÊS],$AE$1,tabela_registros[DIA],investirrendafixaconsolidado2829[[#Headers],[17]],tabela_registros[REGISTRO],DADOS!$N$5,tabela_registros[TIPO],DADOS!$AB$3,tabela_registros[CATEGORIA],investirrendafixaconsolidado2829[[#This Row],[ATUAL]])</f>
        <v>0</v>
      </c>
      <c r="V115" s="119" t="n">
        <f aca="false">SUMIFS(tabela_registros[VALOR],tabela_registros[MÊS],$AE$1,tabela_registros[DIA],investirrendafixaconsolidado2829[[#Headers],[18]],tabela_registros[REGISTRO],DADOS!$N$5,tabela_registros[TIPO],DADOS!$AB$3,tabela_registros[CATEGORIA],investirrendafixaconsolidado2829[[#This Row],[ATUAL]])</f>
        <v>0</v>
      </c>
      <c r="W115" s="119" t="n">
        <f aca="false">SUMIFS(tabela_registros[VALOR],tabela_registros[MÊS],$AE$1,tabela_registros[DIA],investirrendafixaconsolidado2829[[#Headers],[19]],tabela_registros[REGISTRO],DADOS!$N$5,tabela_registros[TIPO],DADOS!$AB$3,tabela_registros[CATEGORIA],investirrendafixaconsolidado2829[[#This Row],[ATUAL]])</f>
        <v>0</v>
      </c>
      <c r="X115" s="119" t="n">
        <f aca="false">SUMIFS(tabela_registros[VALOR],tabela_registros[MÊS],$AE$1,tabela_registros[DIA],investirrendafixaconsolidado2829[[#Headers],[20]],tabela_registros[REGISTRO],DADOS!$N$5,tabela_registros[TIPO],DADOS!$AB$3,tabela_registros[CATEGORIA],investirrendafixaconsolidado2829[[#This Row],[ATUAL]])</f>
        <v>0</v>
      </c>
      <c r="Y115" s="119" t="n">
        <f aca="false">SUMIFS(tabela_registros[VALOR],tabela_registros[MÊS],$AE$1,tabela_registros[DIA],investirrendafixaconsolidado2829[[#Headers],[21]],tabela_registros[REGISTRO],DADOS!$N$5,tabela_registros[TIPO],DADOS!$AB$3,tabela_registros[CATEGORIA],investirrendafixaconsolidado2829[[#This Row],[ATUAL]])</f>
        <v>0</v>
      </c>
      <c r="Z115" s="119" t="n">
        <f aca="false">SUMIFS(tabela_registros[VALOR],tabela_registros[MÊS],$AE$1,tabela_registros[DIA],investirrendafixaconsolidado2829[[#Headers],[22]],tabela_registros[REGISTRO],DADOS!$N$5,tabela_registros[TIPO],DADOS!$AB$3,tabela_registros[CATEGORIA],investirrendafixaconsolidado2829[[#This Row],[ATUAL]])</f>
        <v>0</v>
      </c>
      <c r="AA115" s="119" t="n">
        <f aca="false">SUMIFS(tabela_registros[VALOR],tabela_registros[MÊS],$AE$1,tabela_registros[DIA],investirrendafixaconsolidado2829[[#Headers],[23]],tabela_registros[REGISTRO],DADOS!$N$5,tabela_registros[TIPO],DADOS!$AB$3,tabela_registros[CATEGORIA],investirrendafixaconsolidado2829[[#This Row],[ATUAL]])</f>
        <v>0</v>
      </c>
      <c r="AB115" s="119" t="n">
        <f aca="false">SUMIFS(tabela_registros[VALOR],tabela_registros[MÊS],$AE$1,tabela_registros[DIA],investirrendafixaconsolidado2829[[#Headers],[24]],tabela_registros[REGISTRO],DADOS!$N$5,tabela_registros[TIPO],DADOS!$AB$3,tabela_registros[CATEGORIA],investirrendafixaconsolidado2829[[#This Row],[ATUAL]])</f>
        <v>0</v>
      </c>
      <c r="AC115" s="119" t="n">
        <f aca="false">SUMIFS(tabela_registros[VALOR],tabela_registros[MÊS],$AE$1,tabela_registros[DIA],investirrendafixaconsolidado2829[[#Headers],[25]],tabela_registros[REGISTRO],DADOS!$N$5,tabela_registros[TIPO],DADOS!$AB$3,tabela_registros[CATEGORIA],investirrendafixaconsolidado2829[[#This Row],[ATUAL]])</f>
        <v>0</v>
      </c>
      <c r="AD115" s="119" t="n">
        <f aca="false">SUMIFS(tabela_registros[VALOR],tabela_registros[MÊS],$AE$1,tabela_registros[DIA],investirrendafixaconsolidado2829[[#Headers],[26]],tabela_registros[REGISTRO],DADOS!$N$5,tabela_registros[TIPO],DADOS!$AB$3,tabela_registros[CATEGORIA],investirrendafixaconsolidado2829[[#This Row],[ATUAL]])</f>
        <v>0</v>
      </c>
      <c r="AE115" s="119" t="n">
        <f aca="false">SUMIFS(tabela_registros[VALOR],tabela_registros[MÊS],$AE$1,tabela_registros[DIA],investirrendafixaconsolidado2829[[#Headers],[27]],tabela_registros[REGISTRO],DADOS!$N$5,tabela_registros[TIPO],DADOS!$AB$3,tabela_registros[CATEGORIA],investirrendafixaconsolidado2829[[#This Row],[ATUAL]])</f>
        <v>0</v>
      </c>
      <c r="AF115" s="119" t="n">
        <f aca="false">SUMIFS(tabela_registros[VALOR],tabela_registros[MÊS],$AE$1,tabela_registros[DIA],investirrendafixaconsolidado2829[[#Headers],[28]],tabela_registros[REGISTRO],DADOS!$N$5,tabela_registros[TIPO],DADOS!$AB$3,tabela_registros[CATEGORIA],investirrendafixaconsolidado2829[[#This Row],[ATUAL]])</f>
        <v>0</v>
      </c>
      <c r="AG115" s="119" t="n">
        <f aca="false">SUMIFS(tabela_registros[VALOR],tabela_registros[MÊS],$AE$1,tabela_registros[DIA],investirrendafixaconsolidado2829[[#Headers],[29]],tabela_registros[REGISTRO],DADOS!$N$5,tabela_registros[TIPO],DADOS!$AB$3,tabela_registros[CATEGORIA],investirrendafixaconsolidado2829[[#This Row],[ATUAL]])</f>
        <v>0</v>
      </c>
      <c r="AH115" s="119" t="n">
        <f aca="false">SUMIFS(tabela_registros[VALOR],tabela_registros[MÊS],$AE$1,tabela_registros[DIA],investirrendafixaconsolidado2829[[#Headers],[30]],tabela_registros[REGISTRO],DADOS!$N$5,tabela_registros[TIPO],DADOS!$AB$3,tabela_registros[CATEGORIA],investirrendafixaconsolidado2829[[#This Row],[ATUAL]])</f>
        <v>0</v>
      </c>
      <c r="AI115" s="217" t="n">
        <f aca="false">SUMIFS(tabela_registros[VALOR],tabela_registros[MÊS],$AE$1,tabela_registros[DIA],investirrendafixaconsolidado2829[[#Headers],[31]],tabela_registros[REGISTRO],DADOS!$N$5,tabela_registros[TIPO],DADOS!$AB$3,tabela_registros[CATEGORIA],investirrendafixaconsolidado2829[[#This Row],[ATUAL]])</f>
        <v>0</v>
      </c>
      <c r="AJ115" s="149" t="n">
        <f aca="false">SUM(investirrendafixaconsolidado2829[[#This Row],[1]:[31]])</f>
        <v>0</v>
      </c>
      <c r="AK115" s="234"/>
      <c r="AL115" s="189"/>
    </row>
    <row r="116" customFormat="false" ht="19.5" hidden="false" customHeight="true" outlineLevel="0" collapsed="false">
      <c r="A116" s="189"/>
      <c r="B116" s="213"/>
      <c r="C116" s="214" t="str">
        <f aca="false">DADOS!$AD$6</f>
        <v>📝 DEBÊNTURE</v>
      </c>
      <c r="D116" s="215" t="str">
        <f aca="false">IF(investirrendafixaconsolidado2829[[#This Row],[TOTAL (R$)]]=0,"",IF(OR(investirrendafixaconsolidado2829[[#This Row],[TOTAL (R$)]]=LARGE($AJ$113:$AJ$122,1),investirrendafixaconsolidado2829[[#This Row],[TOTAL (R$)]]=LARGE($AJ$113:$AJ$122,2)),DADOS!$I$10,""))</f>
        <v/>
      </c>
      <c r="E116" s="148" t="n">
        <f aca="false">SUMIFS(tabela_registros[VALOR],tabela_registros[MÊS],$AE$1,tabela_registros[DIA],investirrendafixaconsolidado2829[[#Headers],[1]],tabela_registros[REGISTRO],DADOS!$N$5,tabela_registros[TIPO],DADOS!$AB$3,tabela_registros[CATEGORIA],investirrendafixaconsolidado2829[[#This Row],[ATUAL]])</f>
        <v>0</v>
      </c>
      <c r="F116" s="119" t="n">
        <f aca="false">SUMIFS(tabela_registros[VALOR],tabela_registros[MÊS],$AE$1,tabela_registros[DIA],investirrendafixaconsolidado2829[[#Headers],[2]],tabela_registros[REGISTRO],DADOS!$N$5,tabela_registros[TIPO],DADOS!$AB$3,tabela_registros[CATEGORIA],investirrendafixaconsolidado2829[[#This Row],[ATUAL]])</f>
        <v>0</v>
      </c>
      <c r="G116" s="119" t="n">
        <f aca="false">SUMIFS(tabela_registros[VALOR],tabela_registros[MÊS],$AE$1,tabela_registros[DIA],investirrendafixaconsolidado2829[[#Headers],[3]],tabela_registros[REGISTRO],DADOS!$N$5,tabela_registros[TIPO],DADOS!$AB$3,tabela_registros[CATEGORIA],investirrendafixaconsolidado2829[[#This Row],[ATUAL]])</f>
        <v>0</v>
      </c>
      <c r="H116" s="119" t="n">
        <f aca="false">SUMIFS(tabela_registros[VALOR],tabela_registros[MÊS],$AE$1,tabela_registros[DIA],investirrendafixaconsolidado2829[[#Headers],[4]],tabela_registros[REGISTRO],DADOS!$N$5,tabela_registros[TIPO],DADOS!$AB$3,tabela_registros[CATEGORIA],investirrendafixaconsolidado2829[[#This Row],[ATUAL]])</f>
        <v>0</v>
      </c>
      <c r="I116" s="119" t="n">
        <f aca="false">SUMIFS(tabela_registros[VALOR],tabela_registros[MÊS],$AE$1,tabela_registros[DIA],investirrendafixaconsolidado2829[[#Headers],[5]],tabela_registros[REGISTRO],DADOS!$N$5,tabela_registros[TIPO],DADOS!$AB$3,tabela_registros[CATEGORIA],investirrendafixaconsolidado2829[[#This Row],[ATUAL]])</f>
        <v>0</v>
      </c>
      <c r="J116" s="119" t="n">
        <f aca="false">SUMIFS(tabela_registros[VALOR],tabela_registros[MÊS],$AE$1,tabela_registros[DIA],investirrendafixaconsolidado2829[[#Headers],[6]],tabela_registros[REGISTRO],DADOS!$N$5,tabela_registros[TIPO],DADOS!$AB$3,tabela_registros[CATEGORIA],investirrendafixaconsolidado2829[[#This Row],[ATUAL]])</f>
        <v>0</v>
      </c>
      <c r="K116" s="119" t="n">
        <f aca="false">SUMIFS(tabela_registros[VALOR],tabela_registros[MÊS],$AE$1,tabela_registros[DIA],investirrendafixaconsolidado2829[[#Headers],[7]],tabela_registros[REGISTRO],DADOS!$N$5,tabela_registros[TIPO],DADOS!$AB$3,tabela_registros[CATEGORIA],investirrendafixaconsolidado2829[[#This Row],[ATUAL]])</f>
        <v>0</v>
      </c>
      <c r="L116" s="119" t="n">
        <f aca="false">SUMIFS(tabela_registros[VALOR],tabela_registros[MÊS],$AE$1,tabela_registros[DIA],investirrendafixaconsolidado2829[[#Headers],[8]],tabela_registros[REGISTRO],DADOS!$N$5,tabela_registros[TIPO],DADOS!$AB$3,tabela_registros[CATEGORIA],investirrendafixaconsolidado2829[[#This Row],[ATUAL]])</f>
        <v>0</v>
      </c>
      <c r="M116" s="119" t="n">
        <f aca="false">SUMIFS(tabela_registros[VALOR],tabela_registros[MÊS],$AE$1,tabela_registros[DIA],investirrendafixaconsolidado2829[[#Headers],[9]],tabela_registros[REGISTRO],DADOS!$N$5,tabela_registros[TIPO],DADOS!$AB$3,tabela_registros[CATEGORIA],investirrendafixaconsolidado2829[[#This Row],[ATUAL]])</f>
        <v>0</v>
      </c>
      <c r="N116" s="119" t="n">
        <f aca="false">SUMIFS(tabela_registros[VALOR],tabela_registros[MÊS],$AE$1,tabela_registros[DIA],investirrendafixaconsolidado2829[[#Headers],[10]],tabela_registros[REGISTRO],DADOS!$N$5,tabela_registros[TIPO],DADOS!$AB$3,tabela_registros[CATEGORIA],investirrendafixaconsolidado2829[[#This Row],[ATUAL]])</f>
        <v>0</v>
      </c>
      <c r="O116" s="119" t="n">
        <f aca="false">SUMIFS(tabela_registros[VALOR],tabela_registros[MÊS],$AE$1,tabela_registros[DIA],investirrendafixaconsolidado2829[[#Headers],[11]],tabela_registros[REGISTRO],DADOS!$N$5,tabela_registros[TIPO],DADOS!$AB$3,tabela_registros[CATEGORIA],investirrendafixaconsolidado2829[[#This Row],[ATUAL]])</f>
        <v>0</v>
      </c>
      <c r="P116" s="119" t="n">
        <f aca="false">SUMIFS(tabela_registros[VALOR],tabela_registros[MÊS],$AE$1,tabela_registros[DIA],investirrendafixaconsolidado2829[[#Headers],[12]],tabela_registros[REGISTRO],DADOS!$N$5,tabela_registros[TIPO],DADOS!$AB$3,tabela_registros[CATEGORIA],investirrendafixaconsolidado2829[[#This Row],[ATUAL]])</f>
        <v>0</v>
      </c>
      <c r="Q116" s="119" t="n">
        <f aca="false">SUMIFS(tabela_registros[VALOR],tabela_registros[MÊS],$AE$1,tabela_registros[DIA],investirrendafixaconsolidado2829[[#Headers],[13]],tabela_registros[REGISTRO],DADOS!$N$5,tabela_registros[TIPO],DADOS!$AB$3,tabela_registros[CATEGORIA],investirrendafixaconsolidado2829[[#This Row],[ATUAL]])</f>
        <v>0</v>
      </c>
      <c r="R116" s="119" t="n">
        <f aca="false">SUMIFS(tabela_registros[VALOR],tabela_registros[MÊS],$AE$1,tabela_registros[DIA],investirrendafixaconsolidado2829[[#Headers],[14]],tabela_registros[REGISTRO],DADOS!$N$5,tabela_registros[TIPO],DADOS!$AB$3,tabela_registros[CATEGORIA],investirrendafixaconsolidado2829[[#This Row],[ATUAL]])</f>
        <v>0</v>
      </c>
      <c r="S116" s="119" t="n">
        <f aca="false">SUMIFS(tabela_registros[VALOR],tabela_registros[MÊS],$AE$1,tabela_registros[DIA],investirrendafixaconsolidado2829[[#Headers],[15]],tabela_registros[REGISTRO],DADOS!$N$5,tabela_registros[TIPO],DADOS!$AB$3,tabela_registros[CATEGORIA],investirrendafixaconsolidado2829[[#This Row],[ATUAL]])</f>
        <v>0</v>
      </c>
      <c r="T116" s="119" t="n">
        <f aca="false">SUMIFS(tabela_registros[VALOR],tabela_registros[MÊS],$AE$1,tabela_registros[DIA],investirrendafixaconsolidado2829[[#Headers],[16]],tabela_registros[REGISTRO],DADOS!$N$5,tabela_registros[TIPO],DADOS!$AB$3,tabela_registros[CATEGORIA],investirrendafixaconsolidado2829[[#This Row],[ATUAL]])</f>
        <v>0</v>
      </c>
      <c r="U116" s="119" t="n">
        <f aca="false">SUMIFS(tabela_registros[VALOR],tabela_registros[MÊS],$AE$1,tabela_registros[DIA],investirrendafixaconsolidado2829[[#Headers],[17]],tabela_registros[REGISTRO],DADOS!$N$5,tabela_registros[TIPO],DADOS!$AB$3,tabela_registros[CATEGORIA],investirrendafixaconsolidado2829[[#This Row],[ATUAL]])</f>
        <v>0</v>
      </c>
      <c r="V116" s="119" t="n">
        <f aca="false">SUMIFS(tabela_registros[VALOR],tabela_registros[MÊS],$AE$1,tabela_registros[DIA],investirrendafixaconsolidado2829[[#Headers],[18]],tabela_registros[REGISTRO],DADOS!$N$5,tabela_registros[TIPO],DADOS!$AB$3,tabela_registros[CATEGORIA],investirrendafixaconsolidado2829[[#This Row],[ATUAL]])</f>
        <v>0</v>
      </c>
      <c r="W116" s="119" t="n">
        <f aca="false">SUMIFS(tabela_registros[VALOR],tabela_registros[MÊS],$AE$1,tabela_registros[DIA],investirrendafixaconsolidado2829[[#Headers],[19]],tabela_registros[REGISTRO],DADOS!$N$5,tabela_registros[TIPO],DADOS!$AB$3,tabela_registros[CATEGORIA],investirrendafixaconsolidado2829[[#This Row],[ATUAL]])</f>
        <v>0</v>
      </c>
      <c r="X116" s="119" t="n">
        <f aca="false">SUMIFS(tabela_registros[VALOR],tabela_registros[MÊS],$AE$1,tabela_registros[DIA],investirrendafixaconsolidado2829[[#Headers],[20]],tabela_registros[REGISTRO],DADOS!$N$5,tabela_registros[TIPO],DADOS!$AB$3,tabela_registros[CATEGORIA],investirrendafixaconsolidado2829[[#This Row],[ATUAL]])</f>
        <v>0</v>
      </c>
      <c r="Y116" s="119" t="n">
        <f aca="false">SUMIFS(tabela_registros[VALOR],tabela_registros[MÊS],$AE$1,tabela_registros[DIA],investirrendafixaconsolidado2829[[#Headers],[21]],tabela_registros[REGISTRO],DADOS!$N$5,tabela_registros[TIPO],DADOS!$AB$3,tabela_registros[CATEGORIA],investirrendafixaconsolidado2829[[#This Row],[ATUAL]])</f>
        <v>0</v>
      </c>
      <c r="Z116" s="119" t="n">
        <f aca="false">SUMIFS(tabela_registros[VALOR],tabela_registros[MÊS],$AE$1,tabela_registros[DIA],investirrendafixaconsolidado2829[[#Headers],[22]],tabela_registros[REGISTRO],DADOS!$N$5,tabela_registros[TIPO],DADOS!$AB$3,tabela_registros[CATEGORIA],investirrendafixaconsolidado2829[[#This Row],[ATUAL]])</f>
        <v>0</v>
      </c>
      <c r="AA116" s="119" t="n">
        <f aca="false">SUMIFS(tabela_registros[VALOR],tabela_registros[MÊS],$AE$1,tabela_registros[DIA],investirrendafixaconsolidado2829[[#Headers],[23]],tabela_registros[REGISTRO],DADOS!$N$5,tabela_registros[TIPO],DADOS!$AB$3,tabela_registros[CATEGORIA],investirrendafixaconsolidado2829[[#This Row],[ATUAL]])</f>
        <v>0</v>
      </c>
      <c r="AB116" s="119" t="n">
        <f aca="false">SUMIFS(tabela_registros[VALOR],tabela_registros[MÊS],$AE$1,tabela_registros[DIA],investirrendafixaconsolidado2829[[#Headers],[24]],tabela_registros[REGISTRO],DADOS!$N$5,tabela_registros[TIPO],DADOS!$AB$3,tabela_registros[CATEGORIA],investirrendafixaconsolidado2829[[#This Row],[ATUAL]])</f>
        <v>0</v>
      </c>
      <c r="AC116" s="119" t="n">
        <f aca="false">SUMIFS(tabela_registros[VALOR],tabela_registros[MÊS],$AE$1,tabela_registros[DIA],investirrendafixaconsolidado2829[[#Headers],[25]],tabela_registros[REGISTRO],DADOS!$N$5,tabela_registros[TIPO],DADOS!$AB$3,tabela_registros[CATEGORIA],investirrendafixaconsolidado2829[[#This Row],[ATUAL]])</f>
        <v>0</v>
      </c>
      <c r="AD116" s="119" t="n">
        <f aca="false">SUMIFS(tabela_registros[VALOR],tabela_registros[MÊS],$AE$1,tabela_registros[DIA],investirrendafixaconsolidado2829[[#Headers],[26]],tabela_registros[REGISTRO],DADOS!$N$5,tabela_registros[TIPO],DADOS!$AB$3,tabela_registros[CATEGORIA],investirrendafixaconsolidado2829[[#This Row],[ATUAL]])</f>
        <v>0</v>
      </c>
      <c r="AE116" s="119" t="n">
        <f aca="false">SUMIFS(tabela_registros[VALOR],tabela_registros[MÊS],$AE$1,tabela_registros[DIA],investirrendafixaconsolidado2829[[#Headers],[27]],tabela_registros[REGISTRO],DADOS!$N$5,tabela_registros[TIPO],DADOS!$AB$3,tabela_registros[CATEGORIA],investirrendafixaconsolidado2829[[#This Row],[ATUAL]])</f>
        <v>0</v>
      </c>
      <c r="AF116" s="119" t="n">
        <f aca="false">SUMIFS(tabela_registros[VALOR],tabela_registros[MÊS],$AE$1,tabela_registros[DIA],investirrendafixaconsolidado2829[[#Headers],[28]],tabela_registros[REGISTRO],DADOS!$N$5,tabela_registros[TIPO],DADOS!$AB$3,tabela_registros[CATEGORIA],investirrendafixaconsolidado2829[[#This Row],[ATUAL]])</f>
        <v>0</v>
      </c>
      <c r="AG116" s="119" t="n">
        <f aca="false">SUMIFS(tabela_registros[VALOR],tabela_registros[MÊS],$AE$1,tabela_registros[DIA],investirrendafixaconsolidado2829[[#Headers],[29]],tabela_registros[REGISTRO],DADOS!$N$5,tabela_registros[TIPO],DADOS!$AB$3,tabela_registros[CATEGORIA],investirrendafixaconsolidado2829[[#This Row],[ATUAL]])</f>
        <v>0</v>
      </c>
      <c r="AH116" s="119" t="n">
        <f aca="false">SUMIFS(tabela_registros[VALOR],tabela_registros[MÊS],$AE$1,tabela_registros[DIA],investirrendafixaconsolidado2829[[#Headers],[30]],tabela_registros[REGISTRO],DADOS!$N$5,tabela_registros[TIPO],DADOS!$AB$3,tabela_registros[CATEGORIA],investirrendafixaconsolidado2829[[#This Row],[ATUAL]])</f>
        <v>0</v>
      </c>
      <c r="AI116" s="217" t="n">
        <f aca="false">SUMIFS(tabela_registros[VALOR],tabela_registros[MÊS],$AE$1,tabela_registros[DIA],investirrendafixaconsolidado2829[[#Headers],[31]],tabela_registros[REGISTRO],DADOS!$N$5,tabela_registros[TIPO],DADOS!$AB$3,tabela_registros[CATEGORIA],investirrendafixaconsolidado2829[[#This Row],[ATUAL]])</f>
        <v>0</v>
      </c>
      <c r="AJ116" s="149" t="n">
        <f aca="false">SUM(investirrendafixaconsolidado2829[[#This Row],[1]:[31]])</f>
        <v>0</v>
      </c>
      <c r="AK116" s="234"/>
      <c r="AL116" s="189"/>
    </row>
    <row r="117" customFormat="false" ht="19.5" hidden="false" customHeight="true" outlineLevel="0" collapsed="false">
      <c r="A117" s="189"/>
      <c r="B117" s="213"/>
      <c r="C117" s="214" t="str">
        <f aca="false">DADOS!$AD$7</f>
        <v>📝 EXTERIOR</v>
      </c>
      <c r="D117" s="215" t="str">
        <f aca="false">IF(investirrendafixaconsolidado2829[[#This Row],[TOTAL (R$)]]=0,"",IF(OR(investirrendafixaconsolidado2829[[#This Row],[TOTAL (R$)]]=LARGE($AJ$113:$AJ$122,1),investirrendafixaconsolidado2829[[#This Row],[TOTAL (R$)]]=LARGE($AJ$113:$AJ$122,2)),DADOS!$I$10,""))</f>
        <v/>
      </c>
      <c r="E117" s="148" t="n">
        <f aca="false">SUMIFS(tabela_registros[VALOR],tabela_registros[MÊS],$AE$1,tabela_registros[DIA],investirrendafixaconsolidado2829[[#Headers],[1]],tabela_registros[REGISTRO],DADOS!$N$5,tabela_registros[TIPO],DADOS!$AB$3,tabela_registros[CATEGORIA],investirrendafixaconsolidado2829[[#This Row],[ATUAL]])</f>
        <v>0</v>
      </c>
      <c r="F117" s="119" t="n">
        <f aca="false">SUMIFS(tabela_registros[VALOR],tabela_registros[MÊS],$AE$1,tabela_registros[DIA],investirrendafixaconsolidado2829[[#Headers],[2]],tabela_registros[REGISTRO],DADOS!$N$5,tabela_registros[TIPO],DADOS!$AB$3,tabela_registros[CATEGORIA],investirrendafixaconsolidado2829[[#This Row],[ATUAL]])</f>
        <v>0</v>
      </c>
      <c r="G117" s="119" t="n">
        <f aca="false">SUMIFS(tabela_registros[VALOR],tabela_registros[MÊS],$AE$1,tabela_registros[DIA],investirrendafixaconsolidado2829[[#Headers],[3]],tabela_registros[REGISTRO],DADOS!$N$5,tabela_registros[TIPO],DADOS!$AB$3,tabela_registros[CATEGORIA],investirrendafixaconsolidado2829[[#This Row],[ATUAL]])</f>
        <v>0</v>
      </c>
      <c r="H117" s="119" t="n">
        <f aca="false">SUMIFS(tabela_registros[VALOR],tabela_registros[MÊS],$AE$1,tabela_registros[DIA],investirrendafixaconsolidado2829[[#Headers],[4]],tabela_registros[REGISTRO],DADOS!$N$5,tabela_registros[TIPO],DADOS!$AB$3,tabela_registros[CATEGORIA],investirrendafixaconsolidado2829[[#This Row],[ATUAL]])</f>
        <v>0</v>
      </c>
      <c r="I117" s="119" t="n">
        <f aca="false">SUMIFS(tabela_registros[VALOR],tabela_registros[MÊS],$AE$1,tabela_registros[DIA],investirrendafixaconsolidado2829[[#Headers],[5]],tabela_registros[REGISTRO],DADOS!$N$5,tabela_registros[TIPO],DADOS!$AB$3,tabela_registros[CATEGORIA],investirrendafixaconsolidado2829[[#This Row],[ATUAL]])</f>
        <v>0</v>
      </c>
      <c r="J117" s="119" t="n">
        <f aca="false">SUMIFS(tabela_registros[VALOR],tabela_registros[MÊS],$AE$1,tabela_registros[DIA],investirrendafixaconsolidado2829[[#Headers],[6]],tabela_registros[REGISTRO],DADOS!$N$5,tabela_registros[TIPO],DADOS!$AB$3,tabela_registros[CATEGORIA],investirrendafixaconsolidado2829[[#This Row],[ATUAL]])</f>
        <v>0</v>
      </c>
      <c r="K117" s="119" t="n">
        <f aca="false">SUMIFS(tabela_registros[VALOR],tabela_registros[MÊS],$AE$1,tabela_registros[DIA],investirrendafixaconsolidado2829[[#Headers],[7]],tabela_registros[REGISTRO],DADOS!$N$5,tabela_registros[TIPO],DADOS!$AB$3,tabela_registros[CATEGORIA],investirrendafixaconsolidado2829[[#This Row],[ATUAL]])</f>
        <v>0</v>
      </c>
      <c r="L117" s="119" t="n">
        <f aca="false">SUMIFS(tabela_registros[VALOR],tabela_registros[MÊS],$AE$1,tabela_registros[DIA],investirrendafixaconsolidado2829[[#Headers],[8]],tabela_registros[REGISTRO],DADOS!$N$5,tabela_registros[TIPO],DADOS!$AB$3,tabela_registros[CATEGORIA],investirrendafixaconsolidado2829[[#This Row],[ATUAL]])</f>
        <v>0</v>
      </c>
      <c r="M117" s="119" t="n">
        <f aca="false">SUMIFS(tabela_registros[VALOR],tabela_registros[MÊS],$AE$1,tabela_registros[DIA],investirrendafixaconsolidado2829[[#Headers],[9]],tabela_registros[REGISTRO],DADOS!$N$5,tabela_registros[TIPO],DADOS!$AB$3,tabela_registros[CATEGORIA],investirrendafixaconsolidado2829[[#This Row],[ATUAL]])</f>
        <v>0</v>
      </c>
      <c r="N117" s="119" t="n">
        <f aca="false">SUMIFS(tabela_registros[VALOR],tabela_registros[MÊS],$AE$1,tabela_registros[DIA],investirrendafixaconsolidado2829[[#Headers],[10]],tabela_registros[REGISTRO],DADOS!$N$5,tabela_registros[TIPO],DADOS!$AB$3,tabela_registros[CATEGORIA],investirrendafixaconsolidado2829[[#This Row],[ATUAL]])</f>
        <v>0</v>
      </c>
      <c r="O117" s="119" t="n">
        <f aca="false">SUMIFS(tabela_registros[VALOR],tabela_registros[MÊS],$AE$1,tabela_registros[DIA],investirrendafixaconsolidado2829[[#Headers],[11]],tabela_registros[REGISTRO],DADOS!$N$5,tabela_registros[TIPO],DADOS!$AB$3,tabela_registros[CATEGORIA],investirrendafixaconsolidado2829[[#This Row],[ATUAL]])</f>
        <v>0</v>
      </c>
      <c r="P117" s="119" t="n">
        <f aca="false">SUMIFS(tabela_registros[VALOR],tabela_registros[MÊS],$AE$1,tabela_registros[DIA],investirrendafixaconsolidado2829[[#Headers],[12]],tabela_registros[REGISTRO],DADOS!$N$5,tabela_registros[TIPO],DADOS!$AB$3,tabela_registros[CATEGORIA],investirrendafixaconsolidado2829[[#This Row],[ATUAL]])</f>
        <v>0</v>
      </c>
      <c r="Q117" s="119" t="n">
        <f aca="false">SUMIFS(tabela_registros[VALOR],tabela_registros[MÊS],$AE$1,tabela_registros[DIA],investirrendafixaconsolidado2829[[#Headers],[13]],tabela_registros[REGISTRO],DADOS!$N$5,tabela_registros[TIPO],DADOS!$AB$3,tabela_registros[CATEGORIA],investirrendafixaconsolidado2829[[#This Row],[ATUAL]])</f>
        <v>0</v>
      </c>
      <c r="R117" s="119" t="n">
        <f aca="false">SUMIFS(tabela_registros[VALOR],tabela_registros[MÊS],$AE$1,tabela_registros[DIA],investirrendafixaconsolidado2829[[#Headers],[14]],tabela_registros[REGISTRO],DADOS!$N$5,tabela_registros[TIPO],DADOS!$AB$3,tabela_registros[CATEGORIA],investirrendafixaconsolidado2829[[#This Row],[ATUAL]])</f>
        <v>0</v>
      </c>
      <c r="S117" s="119" t="n">
        <f aca="false">SUMIFS(tabela_registros[VALOR],tabela_registros[MÊS],$AE$1,tabela_registros[DIA],investirrendafixaconsolidado2829[[#Headers],[15]],tabela_registros[REGISTRO],DADOS!$N$5,tabela_registros[TIPO],DADOS!$AB$3,tabela_registros[CATEGORIA],investirrendafixaconsolidado2829[[#This Row],[ATUAL]])</f>
        <v>0</v>
      </c>
      <c r="T117" s="119" t="n">
        <f aca="false">SUMIFS(tabela_registros[VALOR],tabela_registros[MÊS],$AE$1,tabela_registros[DIA],investirrendafixaconsolidado2829[[#Headers],[16]],tabela_registros[REGISTRO],DADOS!$N$5,tabela_registros[TIPO],DADOS!$AB$3,tabela_registros[CATEGORIA],investirrendafixaconsolidado2829[[#This Row],[ATUAL]])</f>
        <v>0</v>
      </c>
      <c r="U117" s="119" t="n">
        <f aca="false">SUMIFS(tabela_registros[VALOR],tabela_registros[MÊS],$AE$1,tabela_registros[DIA],investirrendafixaconsolidado2829[[#Headers],[17]],tabela_registros[REGISTRO],DADOS!$N$5,tabela_registros[TIPO],DADOS!$AB$3,tabela_registros[CATEGORIA],investirrendafixaconsolidado2829[[#This Row],[ATUAL]])</f>
        <v>0</v>
      </c>
      <c r="V117" s="119" t="n">
        <f aca="false">SUMIFS(tabela_registros[VALOR],tabela_registros[MÊS],$AE$1,tabela_registros[DIA],investirrendafixaconsolidado2829[[#Headers],[18]],tabela_registros[REGISTRO],DADOS!$N$5,tabela_registros[TIPO],DADOS!$AB$3,tabela_registros[CATEGORIA],investirrendafixaconsolidado2829[[#This Row],[ATUAL]])</f>
        <v>0</v>
      </c>
      <c r="W117" s="119" t="n">
        <f aca="false">SUMIFS(tabela_registros[VALOR],tabela_registros[MÊS],$AE$1,tabela_registros[DIA],investirrendafixaconsolidado2829[[#Headers],[19]],tabela_registros[REGISTRO],DADOS!$N$5,tabela_registros[TIPO],DADOS!$AB$3,tabela_registros[CATEGORIA],investirrendafixaconsolidado2829[[#This Row],[ATUAL]])</f>
        <v>0</v>
      </c>
      <c r="X117" s="119" t="n">
        <f aca="false">SUMIFS(tabela_registros[VALOR],tabela_registros[MÊS],$AE$1,tabela_registros[DIA],investirrendafixaconsolidado2829[[#Headers],[20]],tabela_registros[REGISTRO],DADOS!$N$5,tabela_registros[TIPO],DADOS!$AB$3,tabela_registros[CATEGORIA],investirrendafixaconsolidado2829[[#This Row],[ATUAL]])</f>
        <v>0</v>
      </c>
      <c r="Y117" s="119" t="n">
        <f aca="false">SUMIFS(tabela_registros[VALOR],tabela_registros[MÊS],$AE$1,tabela_registros[DIA],investirrendafixaconsolidado2829[[#Headers],[21]],tabela_registros[REGISTRO],DADOS!$N$5,tabela_registros[TIPO],DADOS!$AB$3,tabela_registros[CATEGORIA],investirrendafixaconsolidado2829[[#This Row],[ATUAL]])</f>
        <v>0</v>
      </c>
      <c r="Z117" s="119" t="n">
        <f aca="false">SUMIFS(tabela_registros[VALOR],tabela_registros[MÊS],$AE$1,tabela_registros[DIA],investirrendafixaconsolidado2829[[#Headers],[22]],tabela_registros[REGISTRO],DADOS!$N$5,tabela_registros[TIPO],DADOS!$AB$3,tabela_registros[CATEGORIA],investirrendafixaconsolidado2829[[#This Row],[ATUAL]])</f>
        <v>0</v>
      </c>
      <c r="AA117" s="119" t="n">
        <f aca="false">SUMIFS(tabela_registros[VALOR],tabela_registros[MÊS],$AE$1,tabela_registros[DIA],investirrendafixaconsolidado2829[[#Headers],[23]],tabela_registros[REGISTRO],DADOS!$N$5,tabela_registros[TIPO],DADOS!$AB$3,tabela_registros[CATEGORIA],investirrendafixaconsolidado2829[[#This Row],[ATUAL]])</f>
        <v>0</v>
      </c>
      <c r="AB117" s="119" t="n">
        <f aca="false">SUMIFS(tabela_registros[VALOR],tabela_registros[MÊS],$AE$1,tabela_registros[DIA],investirrendafixaconsolidado2829[[#Headers],[24]],tabela_registros[REGISTRO],DADOS!$N$5,tabela_registros[TIPO],DADOS!$AB$3,tabela_registros[CATEGORIA],investirrendafixaconsolidado2829[[#This Row],[ATUAL]])</f>
        <v>0</v>
      </c>
      <c r="AC117" s="119" t="n">
        <f aca="false">SUMIFS(tabela_registros[VALOR],tabela_registros[MÊS],$AE$1,tabela_registros[DIA],investirrendafixaconsolidado2829[[#Headers],[25]],tabela_registros[REGISTRO],DADOS!$N$5,tabela_registros[TIPO],DADOS!$AB$3,tabela_registros[CATEGORIA],investirrendafixaconsolidado2829[[#This Row],[ATUAL]])</f>
        <v>0</v>
      </c>
      <c r="AD117" s="119" t="n">
        <f aca="false">SUMIFS(tabela_registros[VALOR],tabela_registros[MÊS],$AE$1,tabela_registros[DIA],investirrendafixaconsolidado2829[[#Headers],[26]],tabela_registros[REGISTRO],DADOS!$N$5,tabela_registros[TIPO],DADOS!$AB$3,tabela_registros[CATEGORIA],investirrendafixaconsolidado2829[[#This Row],[ATUAL]])</f>
        <v>0</v>
      </c>
      <c r="AE117" s="119" t="n">
        <f aca="false">SUMIFS(tabela_registros[VALOR],tabela_registros[MÊS],$AE$1,tabela_registros[DIA],investirrendafixaconsolidado2829[[#Headers],[27]],tabela_registros[REGISTRO],DADOS!$N$5,tabela_registros[TIPO],DADOS!$AB$3,tabela_registros[CATEGORIA],investirrendafixaconsolidado2829[[#This Row],[ATUAL]])</f>
        <v>0</v>
      </c>
      <c r="AF117" s="119" t="n">
        <f aca="false">SUMIFS(tabela_registros[VALOR],tabela_registros[MÊS],$AE$1,tabela_registros[DIA],investirrendafixaconsolidado2829[[#Headers],[28]],tabela_registros[REGISTRO],DADOS!$N$5,tabela_registros[TIPO],DADOS!$AB$3,tabela_registros[CATEGORIA],investirrendafixaconsolidado2829[[#This Row],[ATUAL]])</f>
        <v>0</v>
      </c>
      <c r="AG117" s="119" t="n">
        <f aca="false">SUMIFS(tabela_registros[VALOR],tabela_registros[MÊS],$AE$1,tabela_registros[DIA],investirrendafixaconsolidado2829[[#Headers],[29]],tabela_registros[REGISTRO],DADOS!$N$5,tabela_registros[TIPO],DADOS!$AB$3,tabela_registros[CATEGORIA],investirrendafixaconsolidado2829[[#This Row],[ATUAL]])</f>
        <v>0</v>
      </c>
      <c r="AH117" s="119" t="n">
        <f aca="false">SUMIFS(tabela_registros[VALOR],tabela_registros[MÊS],$AE$1,tabela_registros[DIA],investirrendafixaconsolidado2829[[#Headers],[30]],tabela_registros[REGISTRO],DADOS!$N$5,tabela_registros[TIPO],DADOS!$AB$3,tabela_registros[CATEGORIA],investirrendafixaconsolidado2829[[#This Row],[ATUAL]])</f>
        <v>0</v>
      </c>
      <c r="AI117" s="217" t="n">
        <f aca="false">SUMIFS(tabela_registros[VALOR],tabela_registros[MÊS],$AE$1,tabela_registros[DIA],investirrendafixaconsolidado2829[[#Headers],[31]],tabela_registros[REGISTRO],DADOS!$N$5,tabela_registros[TIPO],DADOS!$AB$3,tabela_registros[CATEGORIA],investirrendafixaconsolidado2829[[#This Row],[ATUAL]])</f>
        <v>0</v>
      </c>
      <c r="AJ117" s="149" t="n">
        <f aca="false">SUM(investirrendafixaconsolidado2829[[#This Row],[1]:[31]])</f>
        <v>0</v>
      </c>
      <c r="AK117" s="234"/>
      <c r="AL117" s="189"/>
    </row>
    <row r="118" customFormat="false" ht="19.5" hidden="false" customHeight="true" outlineLevel="0" collapsed="false">
      <c r="A118" s="189"/>
      <c r="B118" s="213"/>
      <c r="C118" s="214" t="str">
        <f aca="false">DADOS!$AD$8</f>
        <v>📝 LC</v>
      </c>
      <c r="D118" s="215" t="str">
        <f aca="false">IF(investirrendafixaconsolidado2829[[#This Row],[TOTAL (R$)]]=0,"",IF(OR(investirrendafixaconsolidado2829[[#This Row],[TOTAL (R$)]]=LARGE($AJ$113:$AJ$122,1),investirrendafixaconsolidado2829[[#This Row],[TOTAL (R$)]]=LARGE($AJ$113:$AJ$122,2)),DADOS!$I$10,""))</f>
        <v/>
      </c>
      <c r="E118" s="148" t="n">
        <f aca="false">SUMIFS(tabela_registros[VALOR],tabela_registros[MÊS],$AE$1,tabela_registros[DIA],investirrendafixaconsolidado2829[[#Headers],[1]],tabela_registros[REGISTRO],DADOS!$N$5,tabela_registros[TIPO],DADOS!$AB$3,tabela_registros[CATEGORIA],investirrendafixaconsolidado2829[[#This Row],[ATUAL]])</f>
        <v>0</v>
      </c>
      <c r="F118" s="119" t="n">
        <f aca="false">SUMIFS(tabela_registros[VALOR],tabela_registros[MÊS],$AE$1,tabela_registros[DIA],investirrendafixaconsolidado2829[[#Headers],[2]],tabela_registros[REGISTRO],DADOS!$N$5,tabela_registros[TIPO],DADOS!$AB$3,tabela_registros[CATEGORIA],investirrendafixaconsolidado2829[[#This Row],[ATUAL]])</f>
        <v>0</v>
      </c>
      <c r="G118" s="119" t="n">
        <f aca="false">SUMIFS(tabela_registros[VALOR],tabela_registros[MÊS],$AE$1,tabela_registros[DIA],investirrendafixaconsolidado2829[[#Headers],[3]],tabela_registros[REGISTRO],DADOS!$N$5,tabela_registros[TIPO],DADOS!$AB$3,tabela_registros[CATEGORIA],investirrendafixaconsolidado2829[[#This Row],[ATUAL]])</f>
        <v>0</v>
      </c>
      <c r="H118" s="119" t="n">
        <f aca="false">SUMIFS(tabela_registros[VALOR],tabela_registros[MÊS],$AE$1,tabela_registros[DIA],investirrendafixaconsolidado2829[[#Headers],[4]],tabela_registros[REGISTRO],DADOS!$N$5,tabela_registros[TIPO],DADOS!$AB$3,tabela_registros[CATEGORIA],investirrendafixaconsolidado2829[[#This Row],[ATUAL]])</f>
        <v>0</v>
      </c>
      <c r="I118" s="119" t="n">
        <f aca="false">SUMIFS(tabela_registros[VALOR],tabela_registros[MÊS],$AE$1,tabela_registros[DIA],investirrendafixaconsolidado2829[[#Headers],[5]],tabela_registros[REGISTRO],DADOS!$N$5,tabela_registros[TIPO],DADOS!$AB$3,tabela_registros[CATEGORIA],investirrendafixaconsolidado2829[[#This Row],[ATUAL]])</f>
        <v>0</v>
      </c>
      <c r="J118" s="119" t="n">
        <f aca="false">SUMIFS(tabela_registros[VALOR],tabela_registros[MÊS],$AE$1,tabela_registros[DIA],investirrendafixaconsolidado2829[[#Headers],[6]],tabela_registros[REGISTRO],DADOS!$N$5,tabela_registros[TIPO],DADOS!$AB$3,tabela_registros[CATEGORIA],investirrendafixaconsolidado2829[[#This Row],[ATUAL]])</f>
        <v>0</v>
      </c>
      <c r="K118" s="119" t="n">
        <f aca="false">SUMIFS(tabela_registros[VALOR],tabela_registros[MÊS],$AE$1,tabela_registros[DIA],investirrendafixaconsolidado2829[[#Headers],[7]],tabela_registros[REGISTRO],DADOS!$N$5,tabela_registros[TIPO],DADOS!$AB$3,tabela_registros[CATEGORIA],investirrendafixaconsolidado2829[[#This Row],[ATUAL]])</f>
        <v>0</v>
      </c>
      <c r="L118" s="119" t="n">
        <f aca="false">SUMIFS(tabela_registros[VALOR],tabela_registros[MÊS],$AE$1,tabela_registros[DIA],investirrendafixaconsolidado2829[[#Headers],[8]],tabela_registros[REGISTRO],DADOS!$N$5,tabela_registros[TIPO],DADOS!$AB$3,tabela_registros[CATEGORIA],investirrendafixaconsolidado2829[[#This Row],[ATUAL]])</f>
        <v>0</v>
      </c>
      <c r="M118" s="119" t="n">
        <f aca="false">SUMIFS(tabela_registros[VALOR],tabela_registros[MÊS],$AE$1,tabela_registros[DIA],investirrendafixaconsolidado2829[[#Headers],[9]],tabela_registros[REGISTRO],DADOS!$N$5,tabela_registros[TIPO],DADOS!$AB$3,tabela_registros[CATEGORIA],investirrendafixaconsolidado2829[[#This Row],[ATUAL]])</f>
        <v>0</v>
      </c>
      <c r="N118" s="119" t="n">
        <f aca="false">SUMIFS(tabela_registros[VALOR],tabela_registros[MÊS],$AE$1,tabela_registros[DIA],investirrendafixaconsolidado2829[[#Headers],[10]],tabela_registros[REGISTRO],DADOS!$N$5,tabela_registros[TIPO],DADOS!$AB$3,tabela_registros[CATEGORIA],investirrendafixaconsolidado2829[[#This Row],[ATUAL]])</f>
        <v>0</v>
      </c>
      <c r="O118" s="119" t="n">
        <f aca="false">SUMIFS(tabela_registros[VALOR],tabela_registros[MÊS],$AE$1,tabela_registros[DIA],investirrendafixaconsolidado2829[[#Headers],[11]],tabela_registros[REGISTRO],DADOS!$N$5,tabela_registros[TIPO],DADOS!$AB$3,tabela_registros[CATEGORIA],investirrendafixaconsolidado2829[[#This Row],[ATUAL]])</f>
        <v>0</v>
      </c>
      <c r="P118" s="119" t="n">
        <f aca="false">SUMIFS(tabela_registros[VALOR],tabela_registros[MÊS],$AE$1,tabela_registros[DIA],investirrendafixaconsolidado2829[[#Headers],[12]],tabela_registros[REGISTRO],DADOS!$N$5,tabela_registros[TIPO],DADOS!$AB$3,tabela_registros[CATEGORIA],investirrendafixaconsolidado2829[[#This Row],[ATUAL]])</f>
        <v>0</v>
      </c>
      <c r="Q118" s="119" t="n">
        <f aca="false">SUMIFS(tabela_registros[VALOR],tabela_registros[MÊS],$AE$1,tabela_registros[DIA],investirrendafixaconsolidado2829[[#Headers],[13]],tabela_registros[REGISTRO],DADOS!$N$5,tabela_registros[TIPO],DADOS!$AB$3,tabela_registros[CATEGORIA],investirrendafixaconsolidado2829[[#This Row],[ATUAL]])</f>
        <v>0</v>
      </c>
      <c r="R118" s="119" t="n">
        <f aca="false">SUMIFS(tabela_registros[VALOR],tabela_registros[MÊS],$AE$1,tabela_registros[DIA],investirrendafixaconsolidado2829[[#Headers],[14]],tabela_registros[REGISTRO],DADOS!$N$5,tabela_registros[TIPO],DADOS!$AB$3,tabela_registros[CATEGORIA],investirrendafixaconsolidado2829[[#This Row],[ATUAL]])</f>
        <v>0</v>
      </c>
      <c r="S118" s="119" t="n">
        <f aca="false">SUMIFS(tabela_registros[VALOR],tabela_registros[MÊS],$AE$1,tabela_registros[DIA],investirrendafixaconsolidado2829[[#Headers],[15]],tabela_registros[REGISTRO],DADOS!$N$5,tabela_registros[TIPO],DADOS!$AB$3,tabela_registros[CATEGORIA],investirrendafixaconsolidado2829[[#This Row],[ATUAL]])</f>
        <v>0</v>
      </c>
      <c r="T118" s="119" t="n">
        <f aca="false">SUMIFS(tabela_registros[VALOR],tabela_registros[MÊS],$AE$1,tabela_registros[DIA],investirrendafixaconsolidado2829[[#Headers],[16]],tabela_registros[REGISTRO],DADOS!$N$5,tabela_registros[TIPO],DADOS!$AB$3,tabela_registros[CATEGORIA],investirrendafixaconsolidado2829[[#This Row],[ATUAL]])</f>
        <v>0</v>
      </c>
      <c r="U118" s="119" t="n">
        <f aca="false">SUMIFS(tabela_registros[VALOR],tabela_registros[MÊS],$AE$1,tabela_registros[DIA],investirrendafixaconsolidado2829[[#Headers],[17]],tabela_registros[REGISTRO],DADOS!$N$5,tabela_registros[TIPO],DADOS!$AB$3,tabela_registros[CATEGORIA],investirrendafixaconsolidado2829[[#This Row],[ATUAL]])</f>
        <v>0</v>
      </c>
      <c r="V118" s="119" t="n">
        <f aca="false">SUMIFS(tabela_registros[VALOR],tabela_registros[MÊS],$AE$1,tabela_registros[DIA],investirrendafixaconsolidado2829[[#Headers],[18]],tabela_registros[REGISTRO],DADOS!$N$5,tabela_registros[TIPO],DADOS!$AB$3,tabela_registros[CATEGORIA],investirrendafixaconsolidado2829[[#This Row],[ATUAL]])</f>
        <v>0</v>
      </c>
      <c r="W118" s="119" t="n">
        <f aca="false">SUMIFS(tabela_registros[VALOR],tabela_registros[MÊS],$AE$1,tabela_registros[DIA],investirrendafixaconsolidado2829[[#Headers],[19]],tabela_registros[REGISTRO],DADOS!$N$5,tabela_registros[TIPO],DADOS!$AB$3,tabela_registros[CATEGORIA],investirrendafixaconsolidado2829[[#This Row],[ATUAL]])</f>
        <v>0</v>
      </c>
      <c r="X118" s="119" t="n">
        <f aca="false">SUMIFS(tabela_registros[VALOR],tabela_registros[MÊS],$AE$1,tabela_registros[DIA],investirrendafixaconsolidado2829[[#Headers],[20]],tabela_registros[REGISTRO],DADOS!$N$5,tabela_registros[TIPO],DADOS!$AB$3,tabela_registros[CATEGORIA],investirrendafixaconsolidado2829[[#This Row],[ATUAL]])</f>
        <v>0</v>
      </c>
      <c r="Y118" s="119" t="n">
        <f aca="false">SUMIFS(tabela_registros[VALOR],tabela_registros[MÊS],$AE$1,tabela_registros[DIA],investirrendafixaconsolidado2829[[#Headers],[21]],tabela_registros[REGISTRO],DADOS!$N$5,tabela_registros[TIPO],DADOS!$AB$3,tabela_registros[CATEGORIA],investirrendafixaconsolidado2829[[#This Row],[ATUAL]])</f>
        <v>0</v>
      </c>
      <c r="Z118" s="119" t="n">
        <f aca="false">SUMIFS(tabela_registros[VALOR],tabela_registros[MÊS],$AE$1,tabela_registros[DIA],investirrendafixaconsolidado2829[[#Headers],[22]],tabela_registros[REGISTRO],DADOS!$N$5,tabela_registros[TIPO],DADOS!$AB$3,tabela_registros[CATEGORIA],investirrendafixaconsolidado2829[[#This Row],[ATUAL]])</f>
        <v>0</v>
      </c>
      <c r="AA118" s="119" t="n">
        <f aca="false">SUMIFS(tabela_registros[VALOR],tabela_registros[MÊS],$AE$1,tabela_registros[DIA],investirrendafixaconsolidado2829[[#Headers],[23]],tabela_registros[REGISTRO],DADOS!$N$5,tabela_registros[TIPO],DADOS!$AB$3,tabela_registros[CATEGORIA],investirrendafixaconsolidado2829[[#This Row],[ATUAL]])</f>
        <v>0</v>
      </c>
      <c r="AB118" s="119" t="n">
        <f aca="false">SUMIFS(tabela_registros[VALOR],tabela_registros[MÊS],$AE$1,tabela_registros[DIA],investirrendafixaconsolidado2829[[#Headers],[24]],tabela_registros[REGISTRO],DADOS!$N$5,tabela_registros[TIPO],DADOS!$AB$3,tabela_registros[CATEGORIA],investirrendafixaconsolidado2829[[#This Row],[ATUAL]])</f>
        <v>0</v>
      </c>
      <c r="AC118" s="119" t="n">
        <f aca="false">SUMIFS(tabela_registros[VALOR],tabela_registros[MÊS],$AE$1,tabela_registros[DIA],investirrendafixaconsolidado2829[[#Headers],[25]],tabela_registros[REGISTRO],DADOS!$N$5,tabela_registros[TIPO],DADOS!$AB$3,tabela_registros[CATEGORIA],investirrendafixaconsolidado2829[[#This Row],[ATUAL]])</f>
        <v>0</v>
      </c>
      <c r="AD118" s="119" t="n">
        <f aca="false">SUMIFS(tabela_registros[VALOR],tabela_registros[MÊS],$AE$1,tabela_registros[DIA],investirrendafixaconsolidado2829[[#Headers],[26]],tabela_registros[REGISTRO],DADOS!$N$5,tabela_registros[TIPO],DADOS!$AB$3,tabela_registros[CATEGORIA],investirrendafixaconsolidado2829[[#This Row],[ATUAL]])</f>
        <v>0</v>
      </c>
      <c r="AE118" s="119" t="n">
        <f aca="false">SUMIFS(tabela_registros[VALOR],tabela_registros[MÊS],$AE$1,tabela_registros[DIA],investirrendafixaconsolidado2829[[#Headers],[27]],tabela_registros[REGISTRO],DADOS!$N$5,tabela_registros[TIPO],DADOS!$AB$3,tabela_registros[CATEGORIA],investirrendafixaconsolidado2829[[#This Row],[ATUAL]])</f>
        <v>0</v>
      </c>
      <c r="AF118" s="119" t="n">
        <f aca="false">SUMIFS(tabela_registros[VALOR],tabela_registros[MÊS],$AE$1,tabela_registros[DIA],investirrendafixaconsolidado2829[[#Headers],[28]],tabela_registros[REGISTRO],DADOS!$N$5,tabela_registros[TIPO],DADOS!$AB$3,tabela_registros[CATEGORIA],investirrendafixaconsolidado2829[[#This Row],[ATUAL]])</f>
        <v>0</v>
      </c>
      <c r="AG118" s="119" t="n">
        <f aca="false">SUMIFS(tabela_registros[VALOR],tabela_registros[MÊS],$AE$1,tabela_registros[DIA],investirrendafixaconsolidado2829[[#Headers],[29]],tabela_registros[REGISTRO],DADOS!$N$5,tabela_registros[TIPO],DADOS!$AB$3,tabela_registros[CATEGORIA],investirrendafixaconsolidado2829[[#This Row],[ATUAL]])</f>
        <v>0</v>
      </c>
      <c r="AH118" s="119" t="n">
        <f aca="false">SUMIFS(tabela_registros[VALOR],tabela_registros[MÊS],$AE$1,tabela_registros[DIA],investirrendafixaconsolidado2829[[#Headers],[30]],tabela_registros[REGISTRO],DADOS!$N$5,tabela_registros[TIPO],DADOS!$AB$3,tabela_registros[CATEGORIA],investirrendafixaconsolidado2829[[#This Row],[ATUAL]])</f>
        <v>0</v>
      </c>
      <c r="AI118" s="217" t="n">
        <f aca="false">SUMIFS(tabela_registros[VALOR],tabela_registros[MÊS],$AE$1,tabela_registros[DIA],investirrendafixaconsolidado2829[[#Headers],[31]],tabela_registros[REGISTRO],DADOS!$N$5,tabela_registros[TIPO],DADOS!$AB$3,tabela_registros[CATEGORIA],investirrendafixaconsolidado2829[[#This Row],[ATUAL]])</f>
        <v>0</v>
      </c>
      <c r="AJ118" s="149" t="n">
        <f aca="false">SUM(investirrendafixaconsolidado2829[[#This Row],[1]:[31]])</f>
        <v>0</v>
      </c>
      <c r="AK118" s="234"/>
      <c r="AL118" s="189"/>
    </row>
    <row r="119" customFormat="false" ht="19.5" hidden="false" customHeight="true" outlineLevel="0" collapsed="false">
      <c r="A119" s="189"/>
      <c r="B119" s="213"/>
      <c r="C119" s="214" t="str">
        <f aca="false">DADOS!$AD$9</f>
        <v>📝 LCA</v>
      </c>
      <c r="D119" s="215" t="str">
        <f aca="false">IF(investirrendafixaconsolidado2829[[#This Row],[TOTAL (R$)]]=0,"",IF(OR(investirrendafixaconsolidado2829[[#This Row],[TOTAL (R$)]]=LARGE($AJ$113:$AJ$122,1),investirrendafixaconsolidado2829[[#This Row],[TOTAL (R$)]]=LARGE($AJ$113:$AJ$122,2)),DADOS!$I$10,""))</f>
        <v/>
      </c>
      <c r="E119" s="148" t="n">
        <f aca="false">SUMIFS(tabela_registros[VALOR],tabela_registros[MÊS],$AE$1,tabela_registros[DIA],investirrendafixaconsolidado2829[[#Headers],[1]],tabela_registros[REGISTRO],DADOS!$N$5,tabela_registros[TIPO],DADOS!$AB$3,tabela_registros[CATEGORIA],investirrendafixaconsolidado2829[[#This Row],[ATUAL]])</f>
        <v>0</v>
      </c>
      <c r="F119" s="119" t="n">
        <f aca="false">SUMIFS(tabela_registros[VALOR],tabela_registros[MÊS],$AE$1,tabela_registros[DIA],investirrendafixaconsolidado2829[[#Headers],[2]],tabela_registros[REGISTRO],DADOS!$N$5,tabela_registros[TIPO],DADOS!$AB$3,tabela_registros[CATEGORIA],investirrendafixaconsolidado2829[[#This Row],[ATUAL]])</f>
        <v>0</v>
      </c>
      <c r="G119" s="119" t="n">
        <f aca="false">SUMIFS(tabela_registros[VALOR],tabela_registros[MÊS],$AE$1,tabela_registros[DIA],investirrendafixaconsolidado2829[[#Headers],[3]],tabela_registros[REGISTRO],DADOS!$N$5,tabela_registros[TIPO],DADOS!$AB$3,tabela_registros[CATEGORIA],investirrendafixaconsolidado2829[[#This Row],[ATUAL]])</f>
        <v>0</v>
      </c>
      <c r="H119" s="119" t="n">
        <f aca="false">SUMIFS(tabela_registros[VALOR],tabela_registros[MÊS],$AE$1,tabela_registros[DIA],investirrendafixaconsolidado2829[[#Headers],[4]],tabela_registros[REGISTRO],DADOS!$N$5,tabela_registros[TIPO],DADOS!$AB$3,tabela_registros[CATEGORIA],investirrendafixaconsolidado2829[[#This Row],[ATUAL]])</f>
        <v>0</v>
      </c>
      <c r="I119" s="119" t="n">
        <f aca="false">SUMIFS(tabela_registros[VALOR],tabela_registros[MÊS],$AE$1,tabela_registros[DIA],investirrendafixaconsolidado2829[[#Headers],[5]],tabela_registros[REGISTRO],DADOS!$N$5,tabela_registros[TIPO],DADOS!$AB$3,tabela_registros[CATEGORIA],investirrendafixaconsolidado2829[[#This Row],[ATUAL]])</f>
        <v>0</v>
      </c>
      <c r="J119" s="119" t="n">
        <f aca="false">SUMIFS(tabela_registros[VALOR],tabela_registros[MÊS],$AE$1,tabela_registros[DIA],investirrendafixaconsolidado2829[[#Headers],[6]],tabela_registros[REGISTRO],DADOS!$N$5,tabela_registros[TIPO],DADOS!$AB$3,tabela_registros[CATEGORIA],investirrendafixaconsolidado2829[[#This Row],[ATUAL]])</f>
        <v>0</v>
      </c>
      <c r="K119" s="119" t="n">
        <f aca="false">SUMIFS(tabela_registros[VALOR],tabela_registros[MÊS],$AE$1,tabela_registros[DIA],investirrendafixaconsolidado2829[[#Headers],[7]],tabela_registros[REGISTRO],DADOS!$N$5,tabela_registros[TIPO],DADOS!$AB$3,tabela_registros[CATEGORIA],investirrendafixaconsolidado2829[[#This Row],[ATUAL]])</f>
        <v>0</v>
      </c>
      <c r="L119" s="119" t="n">
        <f aca="false">SUMIFS(tabela_registros[VALOR],tabela_registros[MÊS],$AE$1,tabela_registros[DIA],investirrendafixaconsolidado2829[[#Headers],[8]],tabela_registros[REGISTRO],DADOS!$N$5,tabela_registros[TIPO],DADOS!$AB$3,tabela_registros[CATEGORIA],investirrendafixaconsolidado2829[[#This Row],[ATUAL]])</f>
        <v>0</v>
      </c>
      <c r="M119" s="119" t="n">
        <f aca="false">SUMIFS(tabela_registros[VALOR],tabela_registros[MÊS],$AE$1,tabela_registros[DIA],investirrendafixaconsolidado2829[[#Headers],[9]],tabela_registros[REGISTRO],DADOS!$N$5,tabela_registros[TIPO],DADOS!$AB$3,tabela_registros[CATEGORIA],investirrendafixaconsolidado2829[[#This Row],[ATUAL]])</f>
        <v>0</v>
      </c>
      <c r="N119" s="119" t="n">
        <f aca="false">SUMIFS(tabela_registros[VALOR],tabela_registros[MÊS],$AE$1,tabela_registros[DIA],investirrendafixaconsolidado2829[[#Headers],[10]],tabela_registros[REGISTRO],DADOS!$N$5,tabela_registros[TIPO],DADOS!$AB$3,tabela_registros[CATEGORIA],investirrendafixaconsolidado2829[[#This Row],[ATUAL]])</f>
        <v>0</v>
      </c>
      <c r="O119" s="119" t="n">
        <f aca="false">SUMIFS(tabela_registros[VALOR],tabela_registros[MÊS],$AE$1,tabela_registros[DIA],investirrendafixaconsolidado2829[[#Headers],[11]],tabela_registros[REGISTRO],DADOS!$N$5,tabela_registros[TIPO],DADOS!$AB$3,tabela_registros[CATEGORIA],investirrendafixaconsolidado2829[[#This Row],[ATUAL]])</f>
        <v>0</v>
      </c>
      <c r="P119" s="119" t="n">
        <f aca="false">SUMIFS(tabela_registros[VALOR],tabela_registros[MÊS],$AE$1,tabela_registros[DIA],investirrendafixaconsolidado2829[[#Headers],[12]],tabela_registros[REGISTRO],DADOS!$N$5,tabela_registros[TIPO],DADOS!$AB$3,tabela_registros[CATEGORIA],investirrendafixaconsolidado2829[[#This Row],[ATUAL]])</f>
        <v>0</v>
      </c>
      <c r="Q119" s="119" t="n">
        <f aca="false">SUMIFS(tabela_registros[VALOR],tabela_registros[MÊS],$AE$1,tabela_registros[DIA],investirrendafixaconsolidado2829[[#Headers],[13]],tabela_registros[REGISTRO],DADOS!$N$5,tabela_registros[TIPO],DADOS!$AB$3,tabela_registros[CATEGORIA],investirrendafixaconsolidado2829[[#This Row],[ATUAL]])</f>
        <v>0</v>
      </c>
      <c r="R119" s="119" t="n">
        <f aca="false">SUMIFS(tabela_registros[VALOR],tabela_registros[MÊS],$AE$1,tabela_registros[DIA],investirrendafixaconsolidado2829[[#Headers],[14]],tabela_registros[REGISTRO],DADOS!$N$5,tabela_registros[TIPO],DADOS!$AB$3,tabela_registros[CATEGORIA],investirrendafixaconsolidado2829[[#This Row],[ATUAL]])</f>
        <v>0</v>
      </c>
      <c r="S119" s="119" t="n">
        <f aca="false">SUMIFS(tabela_registros[VALOR],tabela_registros[MÊS],$AE$1,tabela_registros[DIA],investirrendafixaconsolidado2829[[#Headers],[15]],tabela_registros[REGISTRO],DADOS!$N$5,tabela_registros[TIPO],DADOS!$AB$3,tabela_registros[CATEGORIA],investirrendafixaconsolidado2829[[#This Row],[ATUAL]])</f>
        <v>0</v>
      </c>
      <c r="T119" s="119" t="n">
        <f aca="false">SUMIFS(tabela_registros[VALOR],tabela_registros[MÊS],$AE$1,tabela_registros[DIA],investirrendafixaconsolidado2829[[#Headers],[16]],tabela_registros[REGISTRO],DADOS!$N$5,tabela_registros[TIPO],DADOS!$AB$3,tabela_registros[CATEGORIA],investirrendafixaconsolidado2829[[#This Row],[ATUAL]])</f>
        <v>0</v>
      </c>
      <c r="U119" s="119" t="n">
        <f aca="false">SUMIFS(tabela_registros[VALOR],tabela_registros[MÊS],$AE$1,tabela_registros[DIA],investirrendafixaconsolidado2829[[#Headers],[17]],tabela_registros[REGISTRO],DADOS!$N$5,tabela_registros[TIPO],DADOS!$AB$3,tabela_registros[CATEGORIA],investirrendafixaconsolidado2829[[#This Row],[ATUAL]])</f>
        <v>0</v>
      </c>
      <c r="V119" s="119" t="n">
        <f aca="false">SUMIFS(tabela_registros[VALOR],tabela_registros[MÊS],$AE$1,tabela_registros[DIA],investirrendafixaconsolidado2829[[#Headers],[18]],tabela_registros[REGISTRO],DADOS!$N$5,tabela_registros[TIPO],DADOS!$AB$3,tabela_registros[CATEGORIA],investirrendafixaconsolidado2829[[#This Row],[ATUAL]])</f>
        <v>0</v>
      </c>
      <c r="W119" s="119" t="n">
        <f aca="false">SUMIFS(tabela_registros[VALOR],tabela_registros[MÊS],$AE$1,tabela_registros[DIA],investirrendafixaconsolidado2829[[#Headers],[19]],tabela_registros[REGISTRO],DADOS!$N$5,tabela_registros[TIPO],DADOS!$AB$3,tabela_registros[CATEGORIA],investirrendafixaconsolidado2829[[#This Row],[ATUAL]])</f>
        <v>0</v>
      </c>
      <c r="X119" s="119" t="n">
        <f aca="false">SUMIFS(tabela_registros[VALOR],tabela_registros[MÊS],$AE$1,tabela_registros[DIA],investirrendafixaconsolidado2829[[#Headers],[20]],tabela_registros[REGISTRO],DADOS!$N$5,tabela_registros[TIPO],DADOS!$AB$3,tabela_registros[CATEGORIA],investirrendafixaconsolidado2829[[#This Row],[ATUAL]])</f>
        <v>0</v>
      </c>
      <c r="Y119" s="119" t="n">
        <f aca="false">SUMIFS(tabela_registros[VALOR],tabela_registros[MÊS],$AE$1,tabela_registros[DIA],investirrendafixaconsolidado2829[[#Headers],[21]],tabela_registros[REGISTRO],DADOS!$N$5,tabela_registros[TIPO],DADOS!$AB$3,tabela_registros[CATEGORIA],investirrendafixaconsolidado2829[[#This Row],[ATUAL]])</f>
        <v>0</v>
      </c>
      <c r="Z119" s="119" t="n">
        <f aca="false">SUMIFS(tabela_registros[VALOR],tabela_registros[MÊS],$AE$1,tabela_registros[DIA],investirrendafixaconsolidado2829[[#Headers],[22]],tabela_registros[REGISTRO],DADOS!$N$5,tabela_registros[TIPO],DADOS!$AB$3,tabela_registros[CATEGORIA],investirrendafixaconsolidado2829[[#This Row],[ATUAL]])</f>
        <v>0</v>
      </c>
      <c r="AA119" s="119" t="n">
        <f aca="false">SUMIFS(tabela_registros[VALOR],tabela_registros[MÊS],$AE$1,tabela_registros[DIA],investirrendafixaconsolidado2829[[#Headers],[23]],tabela_registros[REGISTRO],DADOS!$N$5,tabela_registros[TIPO],DADOS!$AB$3,tabela_registros[CATEGORIA],investirrendafixaconsolidado2829[[#This Row],[ATUAL]])</f>
        <v>0</v>
      </c>
      <c r="AB119" s="119" t="n">
        <f aca="false">SUMIFS(tabela_registros[VALOR],tabela_registros[MÊS],$AE$1,tabela_registros[DIA],investirrendafixaconsolidado2829[[#Headers],[24]],tabela_registros[REGISTRO],DADOS!$N$5,tabela_registros[TIPO],DADOS!$AB$3,tabela_registros[CATEGORIA],investirrendafixaconsolidado2829[[#This Row],[ATUAL]])</f>
        <v>0</v>
      </c>
      <c r="AC119" s="119" t="n">
        <f aca="false">SUMIFS(tabela_registros[VALOR],tabela_registros[MÊS],$AE$1,tabela_registros[DIA],investirrendafixaconsolidado2829[[#Headers],[25]],tabela_registros[REGISTRO],DADOS!$N$5,tabela_registros[TIPO],DADOS!$AB$3,tabela_registros[CATEGORIA],investirrendafixaconsolidado2829[[#This Row],[ATUAL]])</f>
        <v>0</v>
      </c>
      <c r="AD119" s="119" t="n">
        <f aca="false">SUMIFS(tabela_registros[VALOR],tabela_registros[MÊS],$AE$1,tabela_registros[DIA],investirrendafixaconsolidado2829[[#Headers],[26]],tabela_registros[REGISTRO],DADOS!$N$5,tabela_registros[TIPO],DADOS!$AB$3,tabela_registros[CATEGORIA],investirrendafixaconsolidado2829[[#This Row],[ATUAL]])</f>
        <v>0</v>
      </c>
      <c r="AE119" s="119" t="n">
        <f aca="false">SUMIFS(tabela_registros[VALOR],tabela_registros[MÊS],$AE$1,tabela_registros[DIA],investirrendafixaconsolidado2829[[#Headers],[27]],tabela_registros[REGISTRO],DADOS!$N$5,tabela_registros[TIPO],DADOS!$AB$3,tabela_registros[CATEGORIA],investirrendafixaconsolidado2829[[#This Row],[ATUAL]])</f>
        <v>0</v>
      </c>
      <c r="AF119" s="119" t="n">
        <f aca="false">SUMIFS(tabela_registros[VALOR],tabela_registros[MÊS],$AE$1,tabela_registros[DIA],investirrendafixaconsolidado2829[[#Headers],[28]],tabela_registros[REGISTRO],DADOS!$N$5,tabela_registros[TIPO],DADOS!$AB$3,tabela_registros[CATEGORIA],investirrendafixaconsolidado2829[[#This Row],[ATUAL]])</f>
        <v>0</v>
      </c>
      <c r="AG119" s="119" t="n">
        <f aca="false">SUMIFS(tabela_registros[VALOR],tabela_registros[MÊS],$AE$1,tabela_registros[DIA],investirrendafixaconsolidado2829[[#Headers],[29]],tabela_registros[REGISTRO],DADOS!$N$5,tabela_registros[TIPO],DADOS!$AB$3,tabela_registros[CATEGORIA],investirrendafixaconsolidado2829[[#This Row],[ATUAL]])</f>
        <v>0</v>
      </c>
      <c r="AH119" s="119" t="n">
        <f aca="false">SUMIFS(tabela_registros[VALOR],tabela_registros[MÊS],$AE$1,tabela_registros[DIA],investirrendafixaconsolidado2829[[#Headers],[30]],tabela_registros[REGISTRO],DADOS!$N$5,tabela_registros[TIPO],DADOS!$AB$3,tabela_registros[CATEGORIA],investirrendafixaconsolidado2829[[#This Row],[ATUAL]])</f>
        <v>0</v>
      </c>
      <c r="AI119" s="217" t="n">
        <f aca="false">SUMIFS(tabela_registros[VALOR],tabela_registros[MÊS],$AE$1,tabela_registros[DIA],investirrendafixaconsolidado2829[[#Headers],[31]],tabela_registros[REGISTRO],DADOS!$N$5,tabela_registros[TIPO],DADOS!$AB$3,tabela_registros[CATEGORIA],investirrendafixaconsolidado2829[[#This Row],[ATUAL]])</f>
        <v>0</v>
      </c>
      <c r="AJ119" s="149" t="n">
        <f aca="false">SUM(investirrendafixaconsolidado2829[[#This Row],[1]:[31]])</f>
        <v>0</v>
      </c>
      <c r="AK119" s="234"/>
      <c r="AL119" s="189"/>
    </row>
    <row r="120" customFormat="false" ht="19.5" hidden="false" customHeight="true" outlineLevel="0" collapsed="false">
      <c r="A120" s="189"/>
      <c r="B120" s="213"/>
      <c r="C120" s="214" t="str">
        <f aca="false">DADOS!$AD$10</f>
        <v>📝 LCI</v>
      </c>
      <c r="D120" s="215" t="str">
        <f aca="false">IF(investirrendafixaconsolidado2829[[#This Row],[TOTAL (R$)]]=0,"",IF(OR(investirrendafixaconsolidado2829[[#This Row],[TOTAL (R$)]]=LARGE($AJ$113:$AJ$122,1),investirrendafixaconsolidado2829[[#This Row],[TOTAL (R$)]]=LARGE($AJ$113:$AJ$122,2)),DADOS!$I$10,""))</f>
        <v/>
      </c>
      <c r="E120" s="148" t="n">
        <f aca="false">SUMIFS(tabela_registros[VALOR],tabela_registros[MÊS],$AE$1,tabela_registros[DIA],investirrendafixaconsolidado2829[[#Headers],[1]],tabela_registros[REGISTRO],DADOS!$N$5,tabela_registros[TIPO],DADOS!$AB$3,tabela_registros[CATEGORIA],investirrendafixaconsolidado2829[[#This Row],[ATUAL]])</f>
        <v>0</v>
      </c>
      <c r="F120" s="119" t="n">
        <f aca="false">SUMIFS(tabela_registros[VALOR],tabela_registros[MÊS],$AE$1,tabela_registros[DIA],investirrendafixaconsolidado2829[[#Headers],[2]],tabela_registros[REGISTRO],DADOS!$N$5,tabela_registros[TIPO],DADOS!$AB$3,tabela_registros[CATEGORIA],investirrendafixaconsolidado2829[[#This Row],[ATUAL]])</f>
        <v>0</v>
      </c>
      <c r="G120" s="119" t="n">
        <f aca="false">SUMIFS(tabela_registros[VALOR],tabela_registros[MÊS],$AE$1,tabela_registros[DIA],investirrendafixaconsolidado2829[[#Headers],[3]],tabela_registros[REGISTRO],DADOS!$N$5,tabela_registros[TIPO],DADOS!$AB$3,tabela_registros[CATEGORIA],investirrendafixaconsolidado2829[[#This Row],[ATUAL]])</f>
        <v>0</v>
      </c>
      <c r="H120" s="119" t="n">
        <f aca="false">SUMIFS(tabela_registros[VALOR],tabela_registros[MÊS],$AE$1,tabela_registros[DIA],investirrendafixaconsolidado2829[[#Headers],[4]],tabela_registros[REGISTRO],DADOS!$N$5,tabela_registros[TIPO],DADOS!$AB$3,tabela_registros[CATEGORIA],investirrendafixaconsolidado2829[[#This Row],[ATUAL]])</f>
        <v>0</v>
      </c>
      <c r="I120" s="119" t="n">
        <f aca="false">SUMIFS(tabela_registros[VALOR],tabela_registros[MÊS],$AE$1,tabela_registros[DIA],investirrendafixaconsolidado2829[[#Headers],[5]],tabela_registros[REGISTRO],DADOS!$N$5,tabela_registros[TIPO],DADOS!$AB$3,tabela_registros[CATEGORIA],investirrendafixaconsolidado2829[[#This Row],[ATUAL]])</f>
        <v>0</v>
      </c>
      <c r="J120" s="119" t="n">
        <f aca="false">SUMIFS(tabela_registros[VALOR],tabela_registros[MÊS],$AE$1,tabela_registros[DIA],investirrendafixaconsolidado2829[[#Headers],[6]],tabela_registros[REGISTRO],DADOS!$N$5,tabela_registros[TIPO],DADOS!$AB$3,tabela_registros[CATEGORIA],investirrendafixaconsolidado2829[[#This Row],[ATUAL]])</f>
        <v>0</v>
      </c>
      <c r="K120" s="119" t="n">
        <f aca="false">SUMIFS(tabela_registros[VALOR],tabela_registros[MÊS],$AE$1,tabela_registros[DIA],investirrendafixaconsolidado2829[[#Headers],[7]],tabela_registros[REGISTRO],DADOS!$N$5,tabela_registros[TIPO],DADOS!$AB$3,tabela_registros[CATEGORIA],investirrendafixaconsolidado2829[[#This Row],[ATUAL]])</f>
        <v>0</v>
      </c>
      <c r="L120" s="119" t="n">
        <f aca="false">SUMIFS(tabela_registros[VALOR],tabela_registros[MÊS],$AE$1,tabela_registros[DIA],investirrendafixaconsolidado2829[[#Headers],[8]],tabela_registros[REGISTRO],DADOS!$N$5,tabela_registros[TIPO],DADOS!$AB$3,tabela_registros[CATEGORIA],investirrendafixaconsolidado2829[[#This Row],[ATUAL]])</f>
        <v>0</v>
      </c>
      <c r="M120" s="119" t="n">
        <f aca="false">SUMIFS(tabela_registros[VALOR],tabela_registros[MÊS],$AE$1,tabela_registros[DIA],investirrendafixaconsolidado2829[[#Headers],[9]],tabela_registros[REGISTRO],DADOS!$N$5,tabela_registros[TIPO],DADOS!$AB$3,tabela_registros[CATEGORIA],investirrendafixaconsolidado2829[[#This Row],[ATUAL]])</f>
        <v>0</v>
      </c>
      <c r="N120" s="119" t="n">
        <f aca="false">SUMIFS(tabela_registros[VALOR],tabela_registros[MÊS],$AE$1,tabela_registros[DIA],investirrendafixaconsolidado2829[[#Headers],[10]],tabela_registros[REGISTRO],DADOS!$N$5,tabela_registros[TIPO],DADOS!$AB$3,tabela_registros[CATEGORIA],investirrendafixaconsolidado2829[[#This Row],[ATUAL]])</f>
        <v>0</v>
      </c>
      <c r="O120" s="119" t="n">
        <f aca="false">SUMIFS(tabela_registros[VALOR],tabela_registros[MÊS],$AE$1,tabela_registros[DIA],investirrendafixaconsolidado2829[[#Headers],[11]],tabela_registros[REGISTRO],DADOS!$N$5,tabela_registros[TIPO],DADOS!$AB$3,tabela_registros[CATEGORIA],investirrendafixaconsolidado2829[[#This Row],[ATUAL]])</f>
        <v>0</v>
      </c>
      <c r="P120" s="119" t="n">
        <f aca="false">SUMIFS(tabela_registros[VALOR],tabela_registros[MÊS],$AE$1,tabela_registros[DIA],investirrendafixaconsolidado2829[[#Headers],[12]],tabela_registros[REGISTRO],DADOS!$N$5,tabela_registros[TIPO],DADOS!$AB$3,tabela_registros[CATEGORIA],investirrendafixaconsolidado2829[[#This Row],[ATUAL]])</f>
        <v>0</v>
      </c>
      <c r="Q120" s="119" t="n">
        <f aca="false">SUMIFS(tabela_registros[VALOR],tabela_registros[MÊS],$AE$1,tabela_registros[DIA],investirrendafixaconsolidado2829[[#Headers],[13]],tabela_registros[REGISTRO],DADOS!$N$5,tabela_registros[TIPO],DADOS!$AB$3,tabela_registros[CATEGORIA],investirrendafixaconsolidado2829[[#This Row],[ATUAL]])</f>
        <v>0</v>
      </c>
      <c r="R120" s="119" t="n">
        <f aca="false">SUMIFS(tabela_registros[VALOR],tabela_registros[MÊS],$AE$1,tabela_registros[DIA],investirrendafixaconsolidado2829[[#Headers],[14]],tabela_registros[REGISTRO],DADOS!$N$5,tabela_registros[TIPO],DADOS!$AB$3,tabela_registros[CATEGORIA],investirrendafixaconsolidado2829[[#This Row],[ATUAL]])</f>
        <v>0</v>
      </c>
      <c r="S120" s="119" t="n">
        <f aca="false">SUMIFS(tabela_registros[VALOR],tabela_registros[MÊS],$AE$1,tabela_registros[DIA],investirrendafixaconsolidado2829[[#Headers],[15]],tabela_registros[REGISTRO],DADOS!$N$5,tabela_registros[TIPO],DADOS!$AB$3,tabela_registros[CATEGORIA],investirrendafixaconsolidado2829[[#This Row],[ATUAL]])</f>
        <v>0</v>
      </c>
      <c r="T120" s="119" t="n">
        <f aca="false">SUMIFS(tabela_registros[VALOR],tabela_registros[MÊS],$AE$1,tabela_registros[DIA],investirrendafixaconsolidado2829[[#Headers],[16]],tabela_registros[REGISTRO],DADOS!$N$5,tabela_registros[TIPO],DADOS!$AB$3,tabela_registros[CATEGORIA],investirrendafixaconsolidado2829[[#This Row],[ATUAL]])</f>
        <v>0</v>
      </c>
      <c r="U120" s="119" t="n">
        <f aca="false">SUMIFS(tabela_registros[VALOR],tabela_registros[MÊS],$AE$1,tabela_registros[DIA],investirrendafixaconsolidado2829[[#Headers],[17]],tabela_registros[REGISTRO],DADOS!$N$5,tabela_registros[TIPO],DADOS!$AB$3,tabela_registros[CATEGORIA],investirrendafixaconsolidado2829[[#This Row],[ATUAL]])</f>
        <v>0</v>
      </c>
      <c r="V120" s="119" t="n">
        <f aca="false">SUMIFS(tabela_registros[VALOR],tabela_registros[MÊS],$AE$1,tabela_registros[DIA],investirrendafixaconsolidado2829[[#Headers],[18]],tabela_registros[REGISTRO],DADOS!$N$5,tabela_registros[TIPO],DADOS!$AB$3,tabela_registros[CATEGORIA],investirrendafixaconsolidado2829[[#This Row],[ATUAL]])</f>
        <v>0</v>
      </c>
      <c r="W120" s="119" t="n">
        <f aca="false">SUMIFS(tabela_registros[VALOR],tabela_registros[MÊS],$AE$1,tabela_registros[DIA],investirrendafixaconsolidado2829[[#Headers],[19]],tabela_registros[REGISTRO],DADOS!$N$5,tabela_registros[TIPO],DADOS!$AB$3,tabela_registros[CATEGORIA],investirrendafixaconsolidado2829[[#This Row],[ATUAL]])</f>
        <v>0</v>
      </c>
      <c r="X120" s="119" t="n">
        <f aca="false">SUMIFS(tabela_registros[VALOR],tabela_registros[MÊS],$AE$1,tabela_registros[DIA],investirrendafixaconsolidado2829[[#Headers],[20]],tabela_registros[REGISTRO],DADOS!$N$5,tabela_registros[TIPO],DADOS!$AB$3,tabela_registros[CATEGORIA],investirrendafixaconsolidado2829[[#This Row],[ATUAL]])</f>
        <v>0</v>
      </c>
      <c r="Y120" s="119" t="n">
        <f aca="false">SUMIFS(tabela_registros[VALOR],tabela_registros[MÊS],$AE$1,tabela_registros[DIA],investirrendafixaconsolidado2829[[#Headers],[21]],tabela_registros[REGISTRO],DADOS!$N$5,tabela_registros[TIPO],DADOS!$AB$3,tabela_registros[CATEGORIA],investirrendafixaconsolidado2829[[#This Row],[ATUAL]])</f>
        <v>0</v>
      </c>
      <c r="Z120" s="119" t="n">
        <f aca="false">SUMIFS(tabela_registros[VALOR],tabela_registros[MÊS],$AE$1,tabela_registros[DIA],investirrendafixaconsolidado2829[[#Headers],[22]],tabela_registros[REGISTRO],DADOS!$N$5,tabela_registros[TIPO],DADOS!$AB$3,tabela_registros[CATEGORIA],investirrendafixaconsolidado2829[[#This Row],[ATUAL]])</f>
        <v>0</v>
      </c>
      <c r="AA120" s="119" t="n">
        <f aca="false">SUMIFS(tabela_registros[VALOR],tabela_registros[MÊS],$AE$1,tabela_registros[DIA],investirrendafixaconsolidado2829[[#Headers],[23]],tabela_registros[REGISTRO],DADOS!$N$5,tabela_registros[TIPO],DADOS!$AB$3,tabela_registros[CATEGORIA],investirrendafixaconsolidado2829[[#This Row],[ATUAL]])</f>
        <v>0</v>
      </c>
      <c r="AB120" s="119" t="n">
        <f aca="false">SUMIFS(tabela_registros[VALOR],tabela_registros[MÊS],$AE$1,tabela_registros[DIA],investirrendafixaconsolidado2829[[#Headers],[24]],tabela_registros[REGISTRO],DADOS!$N$5,tabela_registros[TIPO],DADOS!$AB$3,tabela_registros[CATEGORIA],investirrendafixaconsolidado2829[[#This Row],[ATUAL]])</f>
        <v>0</v>
      </c>
      <c r="AC120" s="119" t="n">
        <f aca="false">SUMIFS(tabela_registros[VALOR],tabela_registros[MÊS],$AE$1,tabela_registros[DIA],investirrendafixaconsolidado2829[[#Headers],[25]],tabela_registros[REGISTRO],DADOS!$N$5,tabela_registros[TIPO],DADOS!$AB$3,tabela_registros[CATEGORIA],investirrendafixaconsolidado2829[[#This Row],[ATUAL]])</f>
        <v>0</v>
      </c>
      <c r="AD120" s="119" t="n">
        <f aca="false">SUMIFS(tabela_registros[VALOR],tabela_registros[MÊS],$AE$1,tabela_registros[DIA],investirrendafixaconsolidado2829[[#Headers],[26]],tabela_registros[REGISTRO],DADOS!$N$5,tabela_registros[TIPO],DADOS!$AB$3,tabela_registros[CATEGORIA],investirrendafixaconsolidado2829[[#This Row],[ATUAL]])</f>
        <v>0</v>
      </c>
      <c r="AE120" s="119" t="n">
        <f aca="false">SUMIFS(tabela_registros[VALOR],tabela_registros[MÊS],$AE$1,tabela_registros[DIA],investirrendafixaconsolidado2829[[#Headers],[27]],tabela_registros[REGISTRO],DADOS!$N$5,tabela_registros[TIPO],DADOS!$AB$3,tabela_registros[CATEGORIA],investirrendafixaconsolidado2829[[#This Row],[ATUAL]])</f>
        <v>0</v>
      </c>
      <c r="AF120" s="119" t="n">
        <f aca="false">SUMIFS(tabela_registros[VALOR],tabela_registros[MÊS],$AE$1,tabela_registros[DIA],investirrendafixaconsolidado2829[[#Headers],[28]],tabela_registros[REGISTRO],DADOS!$N$5,tabela_registros[TIPO],DADOS!$AB$3,tabela_registros[CATEGORIA],investirrendafixaconsolidado2829[[#This Row],[ATUAL]])</f>
        <v>0</v>
      </c>
      <c r="AG120" s="119" t="n">
        <f aca="false">SUMIFS(tabela_registros[VALOR],tabela_registros[MÊS],$AE$1,tabela_registros[DIA],investirrendafixaconsolidado2829[[#Headers],[29]],tabela_registros[REGISTRO],DADOS!$N$5,tabela_registros[TIPO],DADOS!$AB$3,tabela_registros[CATEGORIA],investirrendafixaconsolidado2829[[#This Row],[ATUAL]])</f>
        <v>0</v>
      </c>
      <c r="AH120" s="119" t="n">
        <f aca="false">SUMIFS(tabela_registros[VALOR],tabela_registros[MÊS],$AE$1,tabela_registros[DIA],investirrendafixaconsolidado2829[[#Headers],[30]],tabela_registros[REGISTRO],DADOS!$N$5,tabela_registros[TIPO],DADOS!$AB$3,tabela_registros[CATEGORIA],investirrendafixaconsolidado2829[[#This Row],[ATUAL]])</f>
        <v>0</v>
      </c>
      <c r="AI120" s="217" t="n">
        <f aca="false">SUMIFS(tabela_registros[VALOR],tabela_registros[MÊS],$AE$1,tabela_registros[DIA],investirrendafixaconsolidado2829[[#Headers],[31]],tabela_registros[REGISTRO],DADOS!$N$5,tabela_registros[TIPO],DADOS!$AB$3,tabela_registros[CATEGORIA],investirrendafixaconsolidado2829[[#This Row],[ATUAL]])</f>
        <v>0</v>
      </c>
      <c r="AJ120" s="149" t="n">
        <f aca="false">SUM(investirrendafixaconsolidado2829[[#This Row],[1]:[31]])</f>
        <v>0</v>
      </c>
      <c r="AK120" s="234"/>
      <c r="AL120" s="189"/>
    </row>
    <row r="121" customFormat="false" ht="19.5" hidden="false" customHeight="true" outlineLevel="0" collapsed="false">
      <c r="A121" s="189"/>
      <c r="B121" s="213"/>
      <c r="C121" s="214" t="str">
        <f aca="false">DADOS!$AD$11</f>
        <v>📝 TESOURO DIRETO</v>
      </c>
      <c r="D121" s="215" t="str">
        <f aca="false">IF(investirrendafixaconsolidado2829[[#This Row],[TOTAL (R$)]]=0,"",IF(OR(investirrendafixaconsolidado2829[[#This Row],[TOTAL (R$)]]=LARGE($AJ$113:$AJ$122,1),investirrendafixaconsolidado2829[[#This Row],[TOTAL (R$)]]=LARGE($AJ$113:$AJ$122,2)),DADOS!$I$10,""))</f>
        <v/>
      </c>
      <c r="E121" s="148" t="n">
        <f aca="false">SUMIFS(tabela_registros[VALOR],tabela_registros[MÊS],$AE$1,tabela_registros[DIA],investirrendafixaconsolidado2829[[#Headers],[1]],tabela_registros[REGISTRO],DADOS!$N$5,tabela_registros[TIPO],DADOS!$AB$3,tabela_registros[CATEGORIA],investirrendafixaconsolidado2829[[#This Row],[ATUAL]])</f>
        <v>0</v>
      </c>
      <c r="F121" s="119" t="n">
        <f aca="false">SUMIFS(tabela_registros[VALOR],tabela_registros[MÊS],$AE$1,tabela_registros[DIA],investirrendafixaconsolidado2829[[#Headers],[2]],tabela_registros[REGISTRO],DADOS!$N$5,tabela_registros[TIPO],DADOS!$AB$3,tabela_registros[CATEGORIA],investirrendafixaconsolidado2829[[#This Row],[ATUAL]])</f>
        <v>0</v>
      </c>
      <c r="G121" s="119" t="n">
        <f aca="false">SUMIFS(tabela_registros[VALOR],tabela_registros[MÊS],$AE$1,tabela_registros[DIA],investirrendafixaconsolidado2829[[#Headers],[3]],tabela_registros[REGISTRO],DADOS!$N$5,tabela_registros[TIPO],DADOS!$AB$3,tabela_registros[CATEGORIA],investirrendafixaconsolidado2829[[#This Row],[ATUAL]])</f>
        <v>0</v>
      </c>
      <c r="H121" s="119" t="n">
        <f aca="false">SUMIFS(tabela_registros[VALOR],tabela_registros[MÊS],$AE$1,tabela_registros[DIA],investirrendafixaconsolidado2829[[#Headers],[4]],tabela_registros[REGISTRO],DADOS!$N$5,tabela_registros[TIPO],DADOS!$AB$3,tabela_registros[CATEGORIA],investirrendafixaconsolidado2829[[#This Row],[ATUAL]])</f>
        <v>0</v>
      </c>
      <c r="I121" s="119" t="n">
        <f aca="false">SUMIFS(tabela_registros[VALOR],tabela_registros[MÊS],$AE$1,tabela_registros[DIA],investirrendafixaconsolidado2829[[#Headers],[5]],tabela_registros[REGISTRO],DADOS!$N$5,tabela_registros[TIPO],DADOS!$AB$3,tabela_registros[CATEGORIA],investirrendafixaconsolidado2829[[#This Row],[ATUAL]])</f>
        <v>0</v>
      </c>
      <c r="J121" s="119" t="n">
        <f aca="false">SUMIFS(tabela_registros[VALOR],tabela_registros[MÊS],$AE$1,tabela_registros[DIA],investirrendafixaconsolidado2829[[#Headers],[6]],tabela_registros[REGISTRO],DADOS!$N$5,tabela_registros[TIPO],DADOS!$AB$3,tabela_registros[CATEGORIA],investirrendafixaconsolidado2829[[#This Row],[ATUAL]])</f>
        <v>0</v>
      </c>
      <c r="K121" s="119" t="n">
        <f aca="false">SUMIFS(tabela_registros[VALOR],tabela_registros[MÊS],$AE$1,tabela_registros[DIA],investirrendafixaconsolidado2829[[#Headers],[7]],tabela_registros[REGISTRO],DADOS!$N$5,tabela_registros[TIPO],DADOS!$AB$3,tabela_registros[CATEGORIA],investirrendafixaconsolidado2829[[#This Row],[ATUAL]])</f>
        <v>0</v>
      </c>
      <c r="L121" s="119" t="n">
        <f aca="false">SUMIFS(tabela_registros[VALOR],tabela_registros[MÊS],$AE$1,tabela_registros[DIA],investirrendafixaconsolidado2829[[#Headers],[8]],tabela_registros[REGISTRO],DADOS!$N$5,tabela_registros[TIPO],DADOS!$AB$3,tabela_registros[CATEGORIA],investirrendafixaconsolidado2829[[#This Row],[ATUAL]])</f>
        <v>0</v>
      </c>
      <c r="M121" s="119" t="n">
        <f aca="false">SUMIFS(tabela_registros[VALOR],tabela_registros[MÊS],$AE$1,tabela_registros[DIA],investirrendafixaconsolidado2829[[#Headers],[9]],tabela_registros[REGISTRO],DADOS!$N$5,tabela_registros[TIPO],DADOS!$AB$3,tabela_registros[CATEGORIA],investirrendafixaconsolidado2829[[#This Row],[ATUAL]])</f>
        <v>0</v>
      </c>
      <c r="N121" s="119" t="n">
        <f aca="false">SUMIFS(tabela_registros[VALOR],tabela_registros[MÊS],$AE$1,tabela_registros[DIA],investirrendafixaconsolidado2829[[#Headers],[10]],tabela_registros[REGISTRO],DADOS!$N$5,tabela_registros[TIPO],DADOS!$AB$3,tabela_registros[CATEGORIA],investirrendafixaconsolidado2829[[#This Row],[ATUAL]])</f>
        <v>0</v>
      </c>
      <c r="O121" s="119" t="n">
        <f aca="false">SUMIFS(tabela_registros[VALOR],tabela_registros[MÊS],$AE$1,tabela_registros[DIA],investirrendafixaconsolidado2829[[#Headers],[11]],tabela_registros[REGISTRO],DADOS!$N$5,tabela_registros[TIPO],DADOS!$AB$3,tabela_registros[CATEGORIA],investirrendafixaconsolidado2829[[#This Row],[ATUAL]])</f>
        <v>0</v>
      </c>
      <c r="P121" s="119" t="n">
        <f aca="false">SUMIFS(tabela_registros[VALOR],tabela_registros[MÊS],$AE$1,tabela_registros[DIA],investirrendafixaconsolidado2829[[#Headers],[12]],tabela_registros[REGISTRO],DADOS!$N$5,tabela_registros[TIPO],DADOS!$AB$3,tabela_registros[CATEGORIA],investirrendafixaconsolidado2829[[#This Row],[ATUAL]])</f>
        <v>0</v>
      </c>
      <c r="Q121" s="119" t="n">
        <f aca="false">SUMIFS(tabela_registros[VALOR],tabela_registros[MÊS],$AE$1,tabela_registros[DIA],investirrendafixaconsolidado2829[[#Headers],[13]],tabela_registros[REGISTRO],DADOS!$N$5,tabela_registros[TIPO],DADOS!$AB$3,tabela_registros[CATEGORIA],investirrendafixaconsolidado2829[[#This Row],[ATUAL]])</f>
        <v>0</v>
      </c>
      <c r="R121" s="119" t="n">
        <f aca="false">SUMIFS(tabela_registros[VALOR],tabela_registros[MÊS],$AE$1,tabela_registros[DIA],investirrendafixaconsolidado2829[[#Headers],[14]],tabela_registros[REGISTRO],DADOS!$N$5,tabela_registros[TIPO],DADOS!$AB$3,tabela_registros[CATEGORIA],investirrendafixaconsolidado2829[[#This Row],[ATUAL]])</f>
        <v>0</v>
      </c>
      <c r="S121" s="119" t="n">
        <f aca="false">SUMIFS(tabela_registros[VALOR],tabela_registros[MÊS],$AE$1,tabela_registros[DIA],investirrendafixaconsolidado2829[[#Headers],[15]],tabela_registros[REGISTRO],DADOS!$N$5,tabela_registros[TIPO],DADOS!$AB$3,tabela_registros[CATEGORIA],investirrendafixaconsolidado2829[[#This Row],[ATUAL]])</f>
        <v>0</v>
      </c>
      <c r="T121" s="119" t="n">
        <f aca="false">SUMIFS(tabela_registros[VALOR],tabela_registros[MÊS],$AE$1,tabela_registros[DIA],investirrendafixaconsolidado2829[[#Headers],[16]],tabela_registros[REGISTRO],DADOS!$N$5,tabela_registros[TIPO],DADOS!$AB$3,tabela_registros[CATEGORIA],investirrendafixaconsolidado2829[[#This Row],[ATUAL]])</f>
        <v>0</v>
      </c>
      <c r="U121" s="119" t="n">
        <f aca="false">SUMIFS(tabela_registros[VALOR],tabela_registros[MÊS],$AE$1,tabela_registros[DIA],investirrendafixaconsolidado2829[[#Headers],[17]],tabela_registros[REGISTRO],DADOS!$N$5,tabela_registros[TIPO],DADOS!$AB$3,tabela_registros[CATEGORIA],investirrendafixaconsolidado2829[[#This Row],[ATUAL]])</f>
        <v>0</v>
      </c>
      <c r="V121" s="119" t="n">
        <f aca="false">SUMIFS(tabela_registros[VALOR],tabela_registros[MÊS],$AE$1,tabela_registros[DIA],investirrendafixaconsolidado2829[[#Headers],[18]],tabela_registros[REGISTRO],DADOS!$N$5,tabela_registros[TIPO],DADOS!$AB$3,tabela_registros[CATEGORIA],investirrendafixaconsolidado2829[[#This Row],[ATUAL]])</f>
        <v>0</v>
      </c>
      <c r="W121" s="119" t="n">
        <f aca="false">SUMIFS(tabela_registros[VALOR],tabela_registros[MÊS],$AE$1,tabela_registros[DIA],investirrendafixaconsolidado2829[[#Headers],[19]],tabela_registros[REGISTRO],DADOS!$N$5,tabela_registros[TIPO],DADOS!$AB$3,tabela_registros[CATEGORIA],investirrendafixaconsolidado2829[[#This Row],[ATUAL]])</f>
        <v>0</v>
      </c>
      <c r="X121" s="119" t="n">
        <f aca="false">SUMIFS(tabela_registros[VALOR],tabela_registros[MÊS],$AE$1,tabela_registros[DIA],investirrendafixaconsolidado2829[[#Headers],[20]],tabela_registros[REGISTRO],DADOS!$N$5,tabela_registros[TIPO],DADOS!$AB$3,tabela_registros[CATEGORIA],investirrendafixaconsolidado2829[[#This Row],[ATUAL]])</f>
        <v>0</v>
      </c>
      <c r="Y121" s="119" t="n">
        <f aca="false">SUMIFS(tabela_registros[VALOR],tabela_registros[MÊS],$AE$1,tabela_registros[DIA],investirrendafixaconsolidado2829[[#Headers],[21]],tabela_registros[REGISTRO],DADOS!$N$5,tabela_registros[TIPO],DADOS!$AB$3,tabela_registros[CATEGORIA],investirrendafixaconsolidado2829[[#This Row],[ATUAL]])</f>
        <v>0</v>
      </c>
      <c r="Z121" s="119" t="n">
        <f aca="false">SUMIFS(tabela_registros[VALOR],tabela_registros[MÊS],$AE$1,tabela_registros[DIA],investirrendafixaconsolidado2829[[#Headers],[22]],tabela_registros[REGISTRO],DADOS!$N$5,tabela_registros[TIPO],DADOS!$AB$3,tabela_registros[CATEGORIA],investirrendafixaconsolidado2829[[#This Row],[ATUAL]])</f>
        <v>0</v>
      </c>
      <c r="AA121" s="119" t="n">
        <f aca="false">SUMIFS(tabela_registros[VALOR],tabela_registros[MÊS],$AE$1,tabela_registros[DIA],investirrendafixaconsolidado2829[[#Headers],[23]],tabela_registros[REGISTRO],DADOS!$N$5,tabela_registros[TIPO],DADOS!$AB$3,tabela_registros[CATEGORIA],investirrendafixaconsolidado2829[[#This Row],[ATUAL]])</f>
        <v>0</v>
      </c>
      <c r="AB121" s="119" t="n">
        <f aca="false">SUMIFS(tabela_registros[VALOR],tabela_registros[MÊS],$AE$1,tabela_registros[DIA],investirrendafixaconsolidado2829[[#Headers],[24]],tabela_registros[REGISTRO],DADOS!$N$5,tabela_registros[TIPO],DADOS!$AB$3,tabela_registros[CATEGORIA],investirrendafixaconsolidado2829[[#This Row],[ATUAL]])</f>
        <v>0</v>
      </c>
      <c r="AC121" s="119" t="n">
        <f aca="false">SUMIFS(tabela_registros[VALOR],tabela_registros[MÊS],$AE$1,tabela_registros[DIA],investirrendafixaconsolidado2829[[#Headers],[25]],tabela_registros[REGISTRO],DADOS!$N$5,tabela_registros[TIPO],DADOS!$AB$3,tabela_registros[CATEGORIA],investirrendafixaconsolidado2829[[#This Row],[ATUAL]])</f>
        <v>0</v>
      </c>
      <c r="AD121" s="119" t="n">
        <f aca="false">SUMIFS(tabela_registros[VALOR],tabela_registros[MÊS],$AE$1,tabela_registros[DIA],investirrendafixaconsolidado2829[[#Headers],[26]],tabela_registros[REGISTRO],DADOS!$N$5,tabela_registros[TIPO],DADOS!$AB$3,tabela_registros[CATEGORIA],investirrendafixaconsolidado2829[[#This Row],[ATUAL]])</f>
        <v>0</v>
      </c>
      <c r="AE121" s="119" t="n">
        <f aca="false">SUMIFS(tabela_registros[VALOR],tabela_registros[MÊS],$AE$1,tabela_registros[DIA],investirrendafixaconsolidado2829[[#Headers],[27]],tabela_registros[REGISTRO],DADOS!$N$5,tabela_registros[TIPO],DADOS!$AB$3,tabela_registros[CATEGORIA],investirrendafixaconsolidado2829[[#This Row],[ATUAL]])</f>
        <v>0</v>
      </c>
      <c r="AF121" s="119" t="n">
        <f aca="false">SUMIFS(tabela_registros[VALOR],tabela_registros[MÊS],$AE$1,tabela_registros[DIA],investirrendafixaconsolidado2829[[#Headers],[28]],tabela_registros[REGISTRO],DADOS!$N$5,tabela_registros[TIPO],DADOS!$AB$3,tabela_registros[CATEGORIA],investirrendafixaconsolidado2829[[#This Row],[ATUAL]])</f>
        <v>0</v>
      </c>
      <c r="AG121" s="119" t="n">
        <f aca="false">SUMIFS(tabela_registros[VALOR],tabela_registros[MÊS],$AE$1,tabela_registros[DIA],investirrendafixaconsolidado2829[[#Headers],[29]],tabela_registros[REGISTRO],DADOS!$N$5,tabela_registros[TIPO],DADOS!$AB$3,tabela_registros[CATEGORIA],investirrendafixaconsolidado2829[[#This Row],[ATUAL]])</f>
        <v>0</v>
      </c>
      <c r="AH121" s="119" t="n">
        <f aca="false">SUMIFS(tabela_registros[VALOR],tabela_registros[MÊS],$AE$1,tabela_registros[DIA],investirrendafixaconsolidado2829[[#Headers],[30]],tabela_registros[REGISTRO],DADOS!$N$5,tabela_registros[TIPO],DADOS!$AB$3,tabela_registros[CATEGORIA],investirrendafixaconsolidado2829[[#This Row],[ATUAL]])</f>
        <v>0</v>
      </c>
      <c r="AI121" s="217" t="n">
        <f aca="false">SUMIFS(tabela_registros[VALOR],tabela_registros[MÊS],$AE$1,tabela_registros[DIA],investirrendafixaconsolidado2829[[#Headers],[31]],tabela_registros[REGISTRO],DADOS!$N$5,tabela_registros[TIPO],DADOS!$AB$3,tabela_registros[CATEGORIA],investirrendafixaconsolidado2829[[#This Row],[ATUAL]])</f>
        <v>0</v>
      </c>
      <c r="AJ121" s="149" t="n">
        <f aca="false">SUM(investirrendafixaconsolidado2829[[#This Row],[1]:[31]])</f>
        <v>0</v>
      </c>
      <c r="AK121" s="234"/>
      <c r="AL121" s="189"/>
    </row>
    <row r="122" customFormat="false" ht="19.5" hidden="false" customHeight="true" outlineLevel="0" collapsed="false">
      <c r="A122" s="189"/>
      <c r="B122" s="213"/>
      <c r="C122" s="214" t="str">
        <f aca="false">DADOS!$AD$12</f>
        <v>📎 OUTROS</v>
      </c>
      <c r="D122" s="215" t="str">
        <f aca="false">IF(investirrendafixaconsolidado2829[[#This Row],[TOTAL (R$)]]=0,"",IF(OR(investirrendafixaconsolidado2829[[#This Row],[TOTAL (R$)]]=LARGE($AJ$113:$AJ$122,1),investirrendafixaconsolidado2829[[#This Row],[TOTAL (R$)]]=LARGE($AJ$113:$AJ$122,2)),DADOS!$I$10,""))</f>
        <v/>
      </c>
      <c r="E122" s="148" t="n">
        <f aca="false">SUMIFS(tabela_registros[VALOR],tabela_registros[MÊS],$AE$1,tabela_registros[DIA],investirrendafixaconsolidado2829[[#Headers],[1]],tabela_registros[REGISTRO],DADOS!$N$5,tabela_registros[TIPO],DADOS!$AB$3,tabela_registros[CATEGORIA],investirrendafixaconsolidado2829[[#This Row],[ATUAL]])</f>
        <v>0</v>
      </c>
      <c r="F122" s="119" t="n">
        <f aca="false">SUMIFS(tabela_registros[VALOR],tabela_registros[MÊS],$AE$1,tabela_registros[DIA],investirrendafixaconsolidado2829[[#Headers],[2]],tabela_registros[REGISTRO],DADOS!$N$5,tabela_registros[TIPO],DADOS!$AB$3,tabela_registros[CATEGORIA],investirrendafixaconsolidado2829[[#This Row],[ATUAL]])</f>
        <v>0</v>
      </c>
      <c r="G122" s="119" t="n">
        <f aca="false">SUMIFS(tabela_registros[VALOR],tabela_registros[MÊS],$AE$1,tabela_registros[DIA],investirrendafixaconsolidado2829[[#Headers],[3]],tabela_registros[REGISTRO],DADOS!$N$5,tabela_registros[TIPO],DADOS!$AB$3,tabela_registros[CATEGORIA],investirrendafixaconsolidado2829[[#This Row],[ATUAL]])</f>
        <v>0</v>
      </c>
      <c r="H122" s="119" t="n">
        <f aca="false">SUMIFS(tabela_registros[VALOR],tabela_registros[MÊS],$AE$1,tabela_registros[DIA],investirrendafixaconsolidado2829[[#Headers],[4]],tabela_registros[REGISTRO],DADOS!$N$5,tabela_registros[TIPO],DADOS!$AB$3,tabela_registros[CATEGORIA],investirrendafixaconsolidado2829[[#This Row],[ATUAL]])</f>
        <v>0</v>
      </c>
      <c r="I122" s="119" t="n">
        <f aca="false">SUMIFS(tabela_registros[VALOR],tabela_registros[MÊS],$AE$1,tabela_registros[DIA],investirrendafixaconsolidado2829[[#Headers],[5]],tabela_registros[REGISTRO],DADOS!$N$5,tabela_registros[TIPO],DADOS!$AB$3,tabela_registros[CATEGORIA],investirrendafixaconsolidado2829[[#This Row],[ATUAL]])</f>
        <v>0</v>
      </c>
      <c r="J122" s="119" t="n">
        <f aca="false">SUMIFS(tabela_registros[VALOR],tabela_registros[MÊS],$AE$1,tabela_registros[DIA],investirrendafixaconsolidado2829[[#Headers],[6]],tabela_registros[REGISTRO],DADOS!$N$5,tabela_registros[TIPO],DADOS!$AB$3,tabela_registros[CATEGORIA],investirrendafixaconsolidado2829[[#This Row],[ATUAL]])</f>
        <v>0</v>
      </c>
      <c r="K122" s="119" t="n">
        <f aca="false">SUMIFS(tabela_registros[VALOR],tabela_registros[MÊS],$AE$1,tabela_registros[DIA],investirrendafixaconsolidado2829[[#Headers],[7]],tabela_registros[REGISTRO],DADOS!$N$5,tabela_registros[TIPO],DADOS!$AB$3,tabela_registros[CATEGORIA],investirrendafixaconsolidado2829[[#This Row],[ATUAL]])</f>
        <v>0</v>
      </c>
      <c r="L122" s="119" t="n">
        <f aca="false">SUMIFS(tabela_registros[VALOR],tabela_registros[MÊS],$AE$1,tabela_registros[DIA],investirrendafixaconsolidado2829[[#Headers],[8]],tabela_registros[REGISTRO],DADOS!$N$5,tabela_registros[TIPO],DADOS!$AB$3,tabela_registros[CATEGORIA],investirrendafixaconsolidado2829[[#This Row],[ATUAL]])</f>
        <v>0</v>
      </c>
      <c r="M122" s="119" t="n">
        <f aca="false">SUMIFS(tabela_registros[VALOR],tabela_registros[MÊS],$AE$1,tabela_registros[DIA],investirrendafixaconsolidado2829[[#Headers],[9]],tabela_registros[REGISTRO],DADOS!$N$5,tabela_registros[TIPO],DADOS!$AB$3,tabela_registros[CATEGORIA],investirrendafixaconsolidado2829[[#This Row],[ATUAL]])</f>
        <v>0</v>
      </c>
      <c r="N122" s="119" t="n">
        <f aca="false">SUMIFS(tabela_registros[VALOR],tabela_registros[MÊS],$AE$1,tabela_registros[DIA],investirrendafixaconsolidado2829[[#Headers],[10]],tabela_registros[REGISTRO],DADOS!$N$5,tabela_registros[TIPO],DADOS!$AB$3,tabela_registros[CATEGORIA],investirrendafixaconsolidado2829[[#This Row],[ATUAL]])</f>
        <v>0</v>
      </c>
      <c r="O122" s="119" t="n">
        <f aca="false">SUMIFS(tabela_registros[VALOR],tabela_registros[MÊS],$AE$1,tabela_registros[DIA],investirrendafixaconsolidado2829[[#Headers],[11]],tabela_registros[REGISTRO],DADOS!$N$5,tabela_registros[TIPO],DADOS!$AB$3,tabela_registros[CATEGORIA],investirrendafixaconsolidado2829[[#This Row],[ATUAL]])</f>
        <v>0</v>
      </c>
      <c r="P122" s="119" t="n">
        <f aca="false">SUMIFS(tabela_registros[VALOR],tabela_registros[MÊS],$AE$1,tabela_registros[DIA],investirrendafixaconsolidado2829[[#Headers],[12]],tabela_registros[REGISTRO],DADOS!$N$5,tabela_registros[TIPO],DADOS!$AB$3,tabela_registros[CATEGORIA],investirrendafixaconsolidado2829[[#This Row],[ATUAL]])</f>
        <v>0</v>
      </c>
      <c r="Q122" s="119" t="n">
        <f aca="false">SUMIFS(tabela_registros[VALOR],tabela_registros[MÊS],$AE$1,tabela_registros[DIA],investirrendafixaconsolidado2829[[#Headers],[13]],tabela_registros[REGISTRO],DADOS!$N$5,tabela_registros[TIPO],DADOS!$AB$3,tabela_registros[CATEGORIA],investirrendafixaconsolidado2829[[#This Row],[ATUAL]])</f>
        <v>0</v>
      </c>
      <c r="R122" s="119" t="n">
        <f aca="false">SUMIFS(tabela_registros[VALOR],tabela_registros[MÊS],$AE$1,tabela_registros[DIA],investirrendafixaconsolidado2829[[#Headers],[14]],tabela_registros[REGISTRO],DADOS!$N$5,tabela_registros[TIPO],DADOS!$AB$3,tabela_registros[CATEGORIA],investirrendafixaconsolidado2829[[#This Row],[ATUAL]])</f>
        <v>0</v>
      </c>
      <c r="S122" s="119" t="n">
        <f aca="false">SUMIFS(tabela_registros[VALOR],tabela_registros[MÊS],$AE$1,tabela_registros[DIA],investirrendafixaconsolidado2829[[#Headers],[15]],tabela_registros[REGISTRO],DADOS!$N$5,tabela_registros[TIPO],DADOS!$AB$3,tabela_registros[CATEGORIA],investirrendafixaconsolidado2829[[#This Row],[ATUAL]])</f>
        <v>0</v>
      </c>
      <c r="T122" s="119" t="n">
        <f aca="false">SUMIFS(tabela_registros[VALOR],tabela_registros[MÊS],$AE$1,tabela_registros[DIA],investirrendafixaconsolidado2829[[#Headers],[16]],tabela_registros[REGISTRO],DADOS!$N$5,tabela_registros[TIPO],DADOS!$AB$3,tabela_registros[CATEGORIA],investirrendafixaconsolidado2829[[#This Row],[ATUAL]])</f>
        <v>0</v>
      </c>
      <c r="U122" s="119" t="n">
        <f aca="false">SUMIFS(tabela_registros[VALOR],tabela_registros[MÊS],$AE$1,tabela_registros[DIA],investirrendafixaconsolidado2829[[#Headers],[17]],tabela_registros[REGISTRO],DADOS!$N$5,tabela_registros[TIPO],DADOS!$AB$3,tabela_registros[CATEGORIA],investirrendafixaconsolidado2829[[#This Row],[ATUAL]])</f>
        <v>0</v>
      </c>
      <c r="V122" s="119" t="n">
        <f aca="false">SUMIFS(tabela_registros[VALOR],tabela_registros[MÊS],$AE$1,tabela_registros[DIA],investirrendafixaconsolidado2829[[#Headers],[18]],tabela_registros[REGISTRO],DADOS!$N$5,tabela_registros[TIPO],DADOS!$AB$3,tabela_registros[CATEGORIA],investirrendafixaconsolidado2829[[#This Row],[ATUAL]])</f>
        <v>0</v>
      </c>
      <c r="W122" s="119" t="n">
        <f aca="false">SUMIFS(tabela_registros[VALOR],tabela_registros[MÊS],$AE$1,tabela_registros[DIA],investirrendafixaconsolidado2829[[#Headers],[19]],tabela_registros[REGISTRO],DADOS!$N$5,tabela_registros[TIPO],DADOS!$AB$3,tabela_registros[CATEGORIA],investirrendafixaconsolidado2829[[#This Row],[ATUAL]])</f>
        <v>0</v>
      </c>
      <c r="X122" s="119" t="n">
        <f aca="false">SUMIFS(tabela_registros[VALOR],tabela_registros[MÊS],$AE$1,tabela_registros[DIA],investirrendafixaconsolidado2829[[#Headers],[20]],tabela_registros[REGISTRO],DADOS!$N$5,tabela_registros[TIPO],DADOS!$AB$3,tabela_registros[CATEGORIA],investirrendafixaconsolidado2829[[#This Row],[ATUAL]])</f>
        <v>0</v>
      </c>
      <c r="Y122" s="119" t="n">
        <f aca="false">SUMIFS(tabela_registros[VALOR],tabela_registros[MÊS],$AE$1,tabela_registros[DIA],investirrendafixaconsolidado2829[[#Headers],[21]],tabela_registros[REGISTRO],DADOS!$N$5,tabela_registros[TIPO],DADOS!$AB$3,tabela_registros[CATEGORIA],investirrendafixaconsolidado2829[[#This Row],[ATUAL]])</f>
        <v>0</v>
      </c>
      <c r="Z122" s="119" t="n">
        <f aca="false">SUMIFS(tabela_registros[VALOR],tabela_registros[MÊS],$AE$1,tabela_registros[DIA],investirrendafixaconsolidado2829[[#Headers],[22]],tabela_registros[REGISTRO],DADOS!$N$5,tabela_registros[TIPO],DADOS!$AB$3,tabela_registros[CATEGORIA],investirrendafixaconsolidado2829[[#This Row],[ATUAL]])</f>
        <v>0</v>
      </c>
      <c r="AA122" s="119" t="n">
        <f aca="false">SUMIFS(tabela_registros[VALOR],tabela_registros[MÊS],$AE$1,tabela_registros[DIA],investirrendafixaconsolidado2829[[#Headers],[23]],tabela_registros[REGISTRO],DADOS!$N$5,tabela_registros[TIPO],DADOS!$AB$3,tabela_registros[CATEGORIA],investirrendafixaconsolidado2829[[#This Row],[ATUAL]])</f>
        <v>0</v>
      </c>
      <c r="AB122" s="119" t="n">
        <f aca="false">SUMIFS(tabela_registros[VALOR],tabela_registros[MÊS],$AE$1,tabela_registros[DIA],investirrendafixaconsolidado2829[[#Headers],[24]],tabela_registros[REGISTRO],DADOS!$N$5,tabela_registros[TIPO],DADOS!$AB$3,tabela_registros[CATEGORIA],investirrendafixaconsolidado2829[[#This Row],[ATUAL]])</f>
        <v>0</v>
      </c>
      <c r="AC122" s="119" t="n">
        <f aca="false">SUMIFS(tabela_registros[VALOR],tabela_registros[MÊS],$AE$1,tabela_registros[DIA],investirrendafixaconsolidado2829[[#Headers],[25]],tabela_registros[REGISTRO],DADOS!$N$5,tabela_registros[TIPO],DADOS!$AB$3,tabela_registros[CATEGORIA],investirrendafixaconsolidado2829[[#This Row],[ATUAL]])</f>
        <v>0</v>
      </c>
      <c r="AD122" s="119" t="n">
        <f aca="false">SUMIFS(tabela_registros[VALOR],tabela_registros[MÊS],$AE$1,tabela_registros[DIA],investirrendafixaconsolidado2829[[#Headers],[26]],tabela_registros[REGISTRO],DADOS!$N$5,tabela_registros[TIPO],DADOS!$AB$3,tabela_registros[CATEGORIA],investirrendafixaconsolidado2829[[#This Row],[ATUAL]])</f>
        <v>0</v>
      </c>
      <c r="AE122" s="119" t="n">
        <f aca="false">SUMIFS(tabela_registros[VALOR],tabela_registros[MÊS],$AE$1,tabela_registros[DIA],investirrendafixaconsolidado2829[[#Headers],[27]],tabela_registros[REGISTRO],DADOS!$N$5,tabela_registros[TIPO],DADOS!$AB$3,tabela_registros[CATEGORIA],investirrendafixaconsolidado2829[[#This Row],[ATUAL]])</f>
        <v>0</v>
      </c>
      <c r="AF122" s="119" t="n">
        <f aca="false">SUMIFS(tabela_registros[VALOR],tabela_registros[MÊS],$AE$1,tabela_registros[DIA],investirrendafixaconsolidado2829[[#Headers],[28]],tabela_registros[REGISTRO],DADOS!$N$5,tabela_registros[TIPO],DADOS!$AB$3,tabela_registros[CATEGORIA],investirrendafixaconsolidado2829[[#This Row],[ATUAL]])</f>
        <v>0</v>
      </c>
      <c r="AG122" s="119" t="n">
        <f aca="false">SUMIFS(tabela_registros[VALOR],tabela_registros[MÊS],$AE$1,tabela_registros[DIA],investirrendafixaconsolidado2829[[#Headers],[29]],tabela_registros[REGISTRO],DADOS!$N$5,tabela_registros[TIPO],DADOS!$AB$3,tabela_registros[CATEGORIA],investirrendafixaconsolidado2829[[#This Row],[ATUAL]])</f>
        <v>0</v>
      </c>
      <c r="AH122" s="119" t="n">
        <f aca="false">SUMIFS(tabela_registros[VALOR],tabela_registros[MÊS],$AE$1,tabela_registros[DIA],investirrendafixaconsolidado2829[[#Headers],[30]],tabela_registros[REGISTRO],DADOS!$N$5,tabela_registros[TIPO],DADOS!$AB$3,tabela_registros[CATEGORIA],investirrendafixaconsolidado2829[[#This Row],[ATUAL]])</f>
        <v>0</v>
      </c>
      <c r="AI122" s="218" t="n">
        <f aca="false">SUMIFS(tabela_registros[VALOR],tabela_registros[MÊS],$AE$1,tabela_registros[DIA],investirrendafixaconsolidado2829[[#Headers],[31]],tabela_registros[REGISTRO],DADOS!$N$5,tabela_registros[TIPO],DADOS!$AB$3,tabela_registros[CATEGORIA],investirrendafixaconsolidado2829[[#This Row],[ATUAL]])</f>
        <v>0</v>
      </c>
      <c r="AJ122" s="149" t="n">
        <f aca="false">SUM(investirrendafixaconsolidado2829[[#This Row],[1]:[31]])</f>
        <v>0</v>
      </c>
      <c r="AK122" s="234"/>
      <c r="AL122" s="189"/>
    </row>
    <row r="123" s="122" customFormat="true" ht="21" hidden="false" customHeight="true" outlineLevel="0" collapsed="false">
      <c r="A123" s="199"/>
      <c r="B123" s="220"/>
      <c r="C123" s="221" t="s">
        <v>2</v>
      </c>
      <c r="D123" s="235"/>
      <c r="E123" s="155" t="n">
        <f aca="false">SUM(E113:E122)</f>
        <v>0</v>
      </c>
      <c r="F123" s="156" t="n">
        <f aca="false">SUM(F113:F122)+investirrendafixaconsolidado2829[[#This Row],[1]]</f>
        <v>0</v>
      </c>
      <c r="G123" s="156" t="n">
        <f aca="false">SUM(G113:G122)+investirrendafixaconsolidado2829[[#This Row],[2]]</f>
        <v>0</v>
      </c>
      <c r="H123" s="156" t="n">
        <f aca="false">SUM(H113:H122)+investirrendafixaconsolidado2829[[#This Row],[3]]</f>
        <v>0</v>
      </c>
      <c r="I123" s="156" t="n">
        <f aca="false">SUM(I113:I122)+investirrendafixaconsolidado2829[[#This Row],[4]]</f>
        <v>0</v>
      </c>
      <c r="J123" s="156" t="n">
        <f aca="false">SUM(J113:J122)+investirrendafixaconsolidado2829[[#This Row],[5]]</f>
        <v>0</v>
      </c>
      <c r="K123" s="156" t="n">
        <f aca="false">SUM(K113:K122)+investirrendafixaconsolidado2829[[#This Row],[6]]</f>
        <v>0</v>
      </c>
      <c r="L123" s="156" t="n">
        <f aca="false">SUM(L113:L122)+investirrendafixaconsolidado2829[[#This Row],[7]]</f>
        <v>0</v>
      </c>
      <c r="M123" s="156" t="n">
        <f aca="false">SUM(M113:M122)+investirrendafixaconsolidado2829[[#This Row],[8]]</f>
        <v>0</v>
      </c>
      <c r="N123" s="156" t="n">
        <f aca="false">SUM(N113:N122)+investirrendafixaconsolidado2829[[#This Row],[9]]</f>
        <v>0</v>
      </c>
      <c r="O123" s="156" t="n">
        <f aca="false">SUM(O113:O122)+investirrendafixaconsolidado2829[[#This Row],[10]]</f>
        <v>0</v>
      </c>
      <c r="P123" s="156" t="n">
        <f aca="false">SUM(P113:P122)+investirrendafixaconsolidado2829[[#This Row],[11]]</f>
        <v>0</v>
      </c>
      <c r="Q123" s="156" t="n">
        <f aca="false">SUM(Q113:Q122)+investirrendafixaconsolidado2829[[#This Row],[12]]</f>
        <v>0</v>
      </c>
      <c r="R123" s="156" t="n">
        <f aca="false">SUM(R113:R122)+investirrendafixaconsolidado2829[[#This Row],[13]]</f>
        <v>0</v>
      </c>
      <c r="S123" s="156" t="n">
        <f aca="false">SUM(S113:S122)+investirrendafixaconsolidado2829[[#This Row],[14]]</f>
        <v>0</v>
      </c>
      <c r="T123" s="156" t="n">
        <f aca="false">SUM(T113:T122)+investirrendafixaconsolidado2829[[#This Row],[15]]</f>
        <v>0</v>
      </c>
      <c r="U123" s="156" t="n">
        <f aca="false">SUM(U113:U122)+investirrendafixaconsolidado2829[[#This Row],[16]]</f>
        <v>0</v>
      </c>
      <c r="V123" s="156" t="n">
        <f aca="false">SUM(V113:V122)+investirrendafixaconsolidado2829[[#This Row],[17]]</f>
        <v>0</v>
      </c>
      <c r="W123" s="156" t="n">
        <f aca="false">SUM(W113:W122)+investirrendafixaconsolidado2829[[#This Row],[18]]</f>
        <v>0</v>
      </c>
      <c r="X123" s="156" t="n">
        <f aca="false">SUM(X113:X122)+investirrendafixaconsolidado2829[[#This Row],[19]]</f>
        <v>0</v>
      </c>
      <c r="Y123" s="156" t="n">
        <f aca="false">SUM(Y113:Y122)+investirrendafixaconsolidado2829[[#This Row],[20]]</f>
        <v>0</v>
      </c>
      <c r="Z123" s="156" t="n">
        <f aca="false">SUM(Z113:Z122)+investirrendafixaconsolidado2829[[#This Row],[21]]</f>
        <v>0</v>
      </c>
      <c r="AA123" s="156" t="n">
        <f aca="false">SUM(AA113:AA122)+investirrendafixaconsolidado2829[[#This Row],[22]]</f>
        <v>0</v>
      </c>
      <c r="AB123" s="156" t="n">
        <f aca="false">SUM(AB113:AB122)+investirrendafixaconsolidado2829[[#This Row],[23]]</f>
        <v>0</v>
      </c>
      <c r="AC123" s="156" t="n">
        <f aca="false">SUM(AC113:AC122)+investirrendafixaconsolidado2829[[#This Row],[24]]</f>
        <v>0</v>
      </c>
      <c r="AD123" s="156" t="n">
        <f aca="false">SUM(AD113:AD122)+investirrendafixaconsolidado2829[[#This Row],[25]]</f>
        <v>0</v>
      </c>
      <c r="AE123" s="156" t="n">
        <f aca="false">SUM(AE113:AE122)+investirrendafixaconsolidado2829[[#This Row],[26]]</f>
        <v>0</v>
      </c>
      <c r="AF123" s="156" t="n">
        <f aca="false">SUM(AF113:AF122)+investirrendafixaconsolidado2829[[#This Row],[27]]</f>
        <v>0</v>
      </c>
      <c r="AG123" s="156" t="n">
        <f aca="false">SUM(AG113:AG122)+investirrendafixaconsolidado2829[[#This Row],[28]]</f>
        <v>0</v>
      </c>
      <c r="AH123" s="156" t="n">
        <f aca="false">SUM(AH113:AH122)+investirrendafixaconsolidado2829[[#This Row],[29]]</f>
        <v>0</v>
      </c>
      <c r="AI123" s="223" t="n">
        <f aca="false">SUM(AI113:AI122)+investirrendafixaconsolidado2829[[#This Row],[30]]</f>
        <v>0</v>
      </c>
      <c r="AJ123" s="157" t="n">
        <f aca="false">investirrendafixaconsolidado2829[[#This Row],[31]]</f>
        <v>0</v>
      </c>
      <c r="AK123" s="224"/>
      <c r="AL123" s="199"/>
    </row>
    <row r="124" customFormat="false" ht="6.75" hidden="false" customHeight="true" outlineLevel="0" collapsed="false">
      <c r="A124" s="189"/>
      <c r="B124" s="185"/>
      <c r="C124" s="231"/>
      <c r="D124" s="232"/>
      <c r="E124" s="232"/>
      <c r="F124" s="232"/>
      <c r="G124" s="232"/>
      <c r="H124" s="232"/>
      <c r="I124" s="232"/>
      <c r="J124" s="232"/>
      <c r="K124" s="232"/>
      <c r="L124" s="232"/>
      <c r="M124" s="232"/>
      <c r="N124" s="232"/>
      <c r="O124" s="232"/>
      <c r="P124" s="232"/>
      <c r="Q124" s="232"/>
      <c r="R124" s="232"/>
      <c r="S124" s="232"/>
      <c r="T124" s="232"/>
      <c r="U124" s="232"/>
      <c r="V124" s="232"/>
      <c r="W124" s="232"/>
      <c r="X124" s="232"/>
      <c r="Y124" s="232"/>
      <c r="Z124" s="232"/>
      <c r="AA124" s="232"/>
      <c r="AB124" s="232"/>
      <c r="AC124" s="232"/>
      <c r="AD124" s="232"/>
      <c r="AE124" s="232"/>
      <c r="AF124" s="232"/>
      <c r="AG124" s="232"/>
      <c r="AH124" s="232"/>
      <c r="AI124" s="233"/>
      <c r="AJ124" s="236"/>
      <c r="AK124" s="228"/>
      <c r="AL124" s="189"/>
    </row>
    <row r="125" customFormat="false" ht="12.75" hidden="false" customHeight="false" outlineLevel="0" collapsed="false">
      <c r="A125" s="189"/>
      <c r="B125" s="189"/>
      <c r="C125" s="189"/>
      <c r="D125" s="189"/>
      <c r="E125" s="190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  <c r="X125" s="189"/>
      <c r="Y125" s="189"/>
      <c r="Z125" s="189"/>
      <c r="AA125" s="189"/>
      <c r="AB125" s="189"/>
      <c r="AC125" s="189"/>
      <c r="AD125" s="189"/>
      <c r="AE125" s="189"/>
      <c r="AF125" s="189"/>
      <c r="AG125" s="189"/>
      <c r="AH125" s="189"/>
      <c r="AI125" s="189"/>
      <c r="AJ125" s="189"/>
      <c r="AK125" s="189"/>
      <c r="AL125" s="189"/>
    </row>
    <row r="126" customFormat="false" ht="12" hidden="false" customHeight="false" outlineLevel="0" collapsed="false">
      <c r="A126" s="189"/>
      <c r="B126" s="189"/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89"/>
      <c r="P126" s="189"/>
      <c r="Q126" s="189"/>
      <c r="R126" s="189"/>
      <c r="S126" s="189"/>
      <c r="T126" s="189"/>
      <c r="U126" s="189"/>
      <c r="V126" s="189"/>
      <c r="W126" s="189"/>
      <c r="X126" s="189"/>
      <c r="Y126" s="189"/>
      <c r="Z126" s="189"/>
      <c r="AA126" s="189"/>
      <c r="AB126" s="189"/>
      <c r="AC126" s="189"/>
      <c r="AD126" s="189"/>
      <c r="AE126" s="189"/>
      <c r="AF126" s="189"/>
      <c r="AG126" s="189"/>
      <c r="AH126" s="189"/>
      <c r="AI126" s="189"/>
      <c r="AJ126" s="189"/>
      <c r="AK126" s="189"/>
      <c r="AL126" s="189"/>
    </row>
    <row r="127" customFormat="false" ht="12" hidden="false" customHeight="false" outlineLevel="0" collapsed="false">
      <c r="A127" s="189"/>
      <c r="B127" s="189"/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  <c r="V127" s="189"/>
      <c r="W127" s="189"/>
      <c r="X127" s="189"/>
      <c r="Y127" s="189"/>
      <c r="Z127" s="189"/>
      <c r="AA127" s="189"/>
      <c r="AB127" s="189"/>
      <c r="AC127" s="189"/>
      <c r="AD127" s="189"/>
      <c r="AE127" s="189"/>
      <c r="AF127" s="189"/>
      <c r="AG127" s="189"/>
      <c r="AH127" s="189"/>
      <c r="AI127" s="189"/>
      <c r="AJ127" s="189"/>
      <c r="AK127" s="189"/>
      <c r="AL127" s="189"/>
    </row>
    <row r="128" customFormat="false" ht="39.75" hidden="false" customHeight="true" outlineLevel="0" collapsed="false">
      <c r="A128" s="189"/>
      <c r="B128" s="189"/>
      <c r="C128" s="191"/>
      <c r="D128" s="189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03" t="s">
        <v>2</v>
      </c>
      <c r="AK128" s="189"/>
      <c r="AL128" s="189"/>
    </row>
    <row r="129" customFormat="false" ht="12.75" hidden="false" customHeight="false" outlineLevel="0" collapsed="false">
      <c r="A129" s="189"/>
      <c r="B129" s="230"/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89"/>
      <c r="P129" s="189"/>
      <c r="Q129" s="189"/>
      <c r="R129" s="189"/>
      <c r="S129" s="189"/>
      <c r="T129" s="189"/>
      <c r="U129" s="189"/>
      <c r="V129" s="189"/>
      <c r="W129" s="189"/>
      <c r="X129" s="189"/>
      <c r="Y129" s="189"/>
      <c r="Z129" s="189"/>
      <c r="AA129" s="189"/>
      <c r="AB129" s="189"/>
      <c r="AC129" s="189"/>
      <c r="AD129" s="189"/>
      <c r="AE129" s="189"/>
      <c r="AF129" s="189"/>
      <c r="AG129" s="189"/>
      <c r="AH129" s="189"/>
      <c r="AI129" s="189"/>
      <c r="AJ129" s="106" t="s">
        <v>64</v>
      </c>
      <c r="AK129" s="189"/>
      <c r="AL129" s="189"/>
    </row>
    <row r="130" customFormat="false" ht="6.75" hidden="false" customHeight="true" outlineLevel="0" collapsed="false">
      <c r="A130" s="189"/>
      <c r="B130" s="172"/>
      <c r="C130" s="231"/>
      <c r="D130" s="232"/>
      <c r="E130" s="232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  <c r="Q130" s="232"/>
      <c r="R130" s="232"/>
      <c r="S130" s="232"/>
      <c r="T130" s="232"/>
      <c r="U130" s="232"/>
      <c r="V130" s="232"/>
      <c r="W130" s="232"/>
      <c r="X130" s="232"/>
      <c r="Y130" s="232"/>
      <c r="Z130" s="232"/>
      <c r="AA130" s="232"/>
      <c r="AB130" s="232"/>
      <c r="AC130" s="232"/>
      <c r="AD130" s="232"/>
      <c r="AE130" s="232"/>
      <c r="AF130" s="232"/>
      <c r="AG130" s="232"/>
      <c r="AH130" s="232"/>
      <c r="AI130" s="232"/>
      <c r="AJ130" s="233"/>
      <c r="AK130" s="209"/>
      <c r="AL130" s="189"/>
    </row>
    <row r="131" customFormat="false" ht="13.5" hidden="true" customHeight="false" outlineLevel="0" collapsed="false">
      <c r="A131" s="189"/>
      <c r="B131" s="172"/>
      <c r="C131" s="195" t="s">
        <v>68</v>
      </c>
      <c r="D131" s="196" t="s">
        <v>69</v>
      </c>
      <c r="E131" s="196" t="s">
        <v>30</v>
      </c>
      <c r="F131" s="196" t="s">
        <v>31</v>
      </c>
      <c r="G131" s="196" t="s">
        <v>32</v>
      </c>
      <c r="H131" s="196" t="s">
        <v>33</v>
      </c>
      <c r="I131" s="196" t="s">
        <v>34</v>
      </c>
      <c r="J131" s="196" t="s">
        <v>35</v>
      </c>
      <c r="K131" s="196" t="s">
        <v>36</v>
      </c>
      <c r="L131" s="196" t="s">
        <v>37</v>
      </c>
      <c r="M131" s="196" t="s">
        <v>38</v>
      </c>
      <c r="N131" s="196" t="s">
        <v>39</v>
      </c>
      <c r="O131" s="196" t="s">
        <v>40</v>
      </c>
      <c r="P131" s="196" t="s">
        <v>41</v>
      </c>
      <c r="Q131" s="196" t="s">
        <v>81</v>
      </c>
      <c r="R131" s="196" t="s">
        <v>82</v>
      </c>
      <c r="S131" s="196" t="s">
        <v>83</v>
      </c>
      <c r="T131" s="196" t="s">
        <v>84</v>
      </c>
      <c r="U131" s="196" t="s">
        <v>85</v>
      </c>
      <c r="V131" s="196" t="s">
        <v>86</v>
      </c>
      <c r="W131" s="196" t="s">
        <v>87</v>
      </c>
      <c r="X131" s="196" t="s">
        <v>88</v>
      </c>
      <c r="Y131" s="196" t="s">
        <v>89</v>
      </c>
      <c r="Z131" s="196" t="s">
        <v>90</v>
      </c>
      <c r="AA131" s="196" t="s">
        <v>91</v>
      </c>
      <c r="AB131" s="196" t="s">
        <v>92</v>
      </c>
      <c r="AC131" s="196" t="s">
        <v>93</v>
      </c>
      <c r="AD131" s="196" t="s">
        <v>94</v>
      </c>
      <c r="AE131" s="196" t="s">
        <v>95</v>
      </c>
      <c r="AF131" s="196" t="s">
        <v>96</v>
      </c>
      <c r="AG131" s="196" t="s">
        <v>97</v>
      </c>
      <c r="AH131" s="196" t="s">
        <v>98</v>
      </c>
      <c r="AI131" s="196" t="s">
        <v>99</v>
      </c>
      <c r="AJ131" s="111" t="s">
        <v>70</v>
      </c>
      <c r="AK131" s="172"/>
      <c r="AL131" s="189"/>
    </row>
    <row r="132" customFormat="false" ht="19.5" hidden="false" customHeight="true" outlineLevel="0" collapsed="false">
      <c r="A132" s="189"/>
      <c r="B132" s="213"/>
      <c r="C132" s="214" t="str">
        <f aca="false">DADOS!$AF$3</f>
        <v>📝 AÇÃO</v>
      </c>
      <c r="D132" s="215" t="str">
        <f aca="false">IF(investirrendavariávelconsolidado282931[[#This Row],[TOTAL (R$)]]=0,"",IF(OR(investirrendavariávelconsolidado282931[[#This Row],[TOTAL (R$)]]=LARGE($AJ$132:$AJ$141,1),investirrendavariávelconsolidado282931[[#This Row],[TOTAL (R$)]]=LARGE($AJ$132:$AJ$141,2)),DADOS!$I$10,""))</f>
        <v/>
      </c>
      <c r="E132" s="148" t="n">
        <f aca="false">SUMIFS(tabela_registros[VALOR],tabela_registros[MÊS],$AE$1,tabela_registros[DIA],investirrendavariávelconsolidado282931[[#Headers],[1]],tabela_registros[REGISTRO],DADOS!$N$5,tabela_registros[TIPO],DADOS!$AB$4,tabela_registros[CATEGORIA],investirrendavariávelconsolidado282931[[#This Row],[ATUAL]])</f>
        <v>0</v>
      </c>
      <c r="F132" s="119" t="n">
        <f aca="false">SUMIFS(tabela_registros[VALOR],tabela_registros[MÊS],$AE$1,tabela_registros[DIA],investirrendavariávelconsolidado282931[[#Headers],[2]],tabela_registros[REGISTRO],DADOS!$N$5,tabela_registros[TIPO],DADOS!$AB$4,tabela_registros[CATEGORIA],investirrendavariávelconsolidado282931[[#This Row],[ATUAL]])</f>
        <v>0</v>
      </c>
      <c r="G132" s="119" t="n">
        <f aca="false">SUMIFS(tabela_registros[VALOR],tabela_registros[MÊS],$AE$1,tabela_registros[DIA],investirrendavariávelconsolidado282931[[#Headers],[3]],tabela_registros[REGISTRO],DADOS!$N$5,tabela_registros[TIPO],DADOS!$AB$4,tabela_registros[CATEGORIA],investirrendavariávelconsolidado282931[[#This Row],[ATUAL]])</f>
        <v>0</v>
      </c>
      <c r="H132" s="119" t="n">
        <f aca="false">SUMIFS(tabela_registros[VALOR],tabela_registros[MÊS],$AE$1,tabela_registros[DIA],investirrendavariávelconsolidado282931[[#Headers],[4]],tabela_registros[REGISTRO],DADOS!$N$5,tabela_registros[TIPO],DADOS!$AB$4,tabela_registros[CATEGORIA],investirrendavariávelconsolidado282931[[#This Row],[ATUAL]])</f>
        <v>0</v>
      </c>
      <c r="I132" s="119" t="n">
        <f aca="false">SUMIFS(tabela_registros[VALOR],tabela_registros[MÊS],$AE$1,tabela_registros[DIA],investirrendavariávelconsolidado282931[[#Headers],[5]],tabela_registros[REGISTRO],DADOS!$N$5,tabela_registros[TIPO],DADOS!$AB$4,tabela_registros[CATEGORIA],investirrendavariávelconsolidado282931[[#This Row],[ATUAL]])</f>
        <v>0</v>
      </c>
      <c r="J132" s="119" t="n">
        <f aca="false">SUMIFS(tabela_registros[VALOR],tabela_registros[MÊS],$AE$1,tabela_registros[DIA],investirrendavariávelconsolidado282931[[#Headers],[6]],tabela_registros[REGISTRO],DADOS!$N$5,tabela_registros[TIPO],DADOS!$AB$4,tabela_registros[CATEGORIA],investirrendavariávelconsolidado282931[[#This Row],[ATUAL]])</f>
        <v>0</v>
      </c>
      <c r="K132" s="119" t="n">
        <f aca="false">SUMIFS(tabela_registros[VALOR],tabela_registros[MÊS],$AE$1,tabela_registros[DIA],investirrendavariávelconsolidado282931[[#Headers],[7]],tabela_registros[REGISTRO],DADOS!$N$5,tabela_registros[TIPO],DADOS!$AB$4,tabela_registros[CATEGORIA],investirrendavariávelconsolidado282931[[#This Row],[ATUAL]])</f>
        <v>0</v>
      </c>
      <c r="L132" s="119" t="n">
        <f aca="false">SUMIFS(tabela_registros[VALOR],tabela_registros[MÊS],$AE$1,tabela_registros[DIA],investirrendavariávelconsolidado282931[[#Headers],[8]],tabela_registros[REGISTRO],DADOS!$N$5,tabela_registros[TIPO],DADOS!$AB$4,tabela_registros[CATEGORIA],investirrendavariávelconsolidado282931[[#This Row],[ATUAL]])</f>
        <v>0</v>
      </c>
      <c r="M132" s="119" t="n">
        <f aca="false">SUMIFS(tabela_registros[VALOR],tabela_registros[MÊS],$AE$1,tabela_registros[DIA],investirrendavariávelconsolidado282931[[#Headers],[9]],tabela_registros[REGISTRO],DADOS!$N$5,tabela_registros[TIPO],DADOS!$AB$4,tabela_registros[CATEGORIA],investirrendavariávelconsolidado282931[[#This Row],[ATUAL]])</f>
        <v>0</v>
      </c>
      <c r="N132" s="119" t="n">
        <f aca="false">SUMIFS(tabela_registros[VALOR],tabela_registros[MÊS],$AE$1,tabela_registros[DIA],investirrendavariávelconsolidado282931[[#Headers],[10]],tabela_registros[REGISTRO],DADOS!$N$5,tabela_registros[TIPO],DADOS!$AB$4,tabela_registros[CATEGORIA],investirrendavariávelconsolidado282931[[#This Row],[ATUAL]])</f>
        <v>0</v>
      </c>
      <c r="O132" s="119" t="n">
        <f aca="false">SUMIFS(tabela_registros[VALOR],tabela_registros[MÊS],$AE$1,tabela_registros[DIA],investirrendavariávelconsolidado282931[[#Headers],[11]],tabela_registros[REGISTRO],DADOS!$N$5,tabela_registros[TIPO],DADOS!$AB$4,tabela_registros[CATEGORIA],investirrendavariávelconsolidado282931[[#This Row],[ATUAL]])</f>
        <v>0</v>
      </c>
      <c r="P132" s="119" t="n">
        <f aca="false">SUMIFS(tabela_registros[VALOR],tabela_registros[MÊS],$AE$1,tabela_registros[DIA],investirrendavariávelconsolidado282931[[#Headers],[12]],tabela_registros[REGISTRO],DADOS!$N$5,tabela_registros[TIPO],DADOS!$AB$4,tabela_registros[CATEGORIA],investirrendavariávelconsolidado282931[[#This Row],[ATUAL]])</f>
        <v>0</v>
      </c>
      <c r="Q132" s="119" t="n">
        <f aca="false">SUMIFS(tabela_registros[VALOR],tabela_registros[MÊS],$AE$1,tabela_registros[DIA],investirrendavariávelconsolidado282931[[#Headers],[13]],tabela_registros[REGISTRO],DADOS!$N$5,tabela_registros[TIPO],DADOS!$AB$4,tabela_registros[CATEGORIA],investirrendavariávelconsolidado282931[[#This Row],[ATUAL]])</f>
        <v>0</v>
      </c>
      <c r="R132" s="119" t="n">
        <f aca="false">SUMIFS(tabela_registros[VALOR],tabela_registros[MÊS],$AE$1,tabela_registros[DIA],investirrendavariávelconsolidado282931[[#Headers],[14]],tabela_registros[REGISTRO],DADOS!$N$5,tabela_registros[TIPO],DADOS!$AB$4,tabela_registros[CATEGORIA],investirrendavariávelconsolidado282931[[#This Row],[ATUAL]])</f>
        <v>0</v>
      </c>
      <c r="S132" s="119" t="n">
        <f aca="false">SUMIFS(tabela_registros[VALOR],tabela_registros[MÊS],$AE$1,tabela_registros[DIA],investirrendavariávelconsolidado282931[[#Headers],[15]],tabela_registros[REGISTRO],DADOS!$N$5,tabela_registros[TIPO],DADOS!$AB$4,tabela_registros[CATEGORIA],investirrendavariávelconsolidado282931[[#This Row],[ATUAL]])</f>
        <v>0</v>
      </c>
      <c r="T132" s="119" t="n">
        <f aca="false">SUMIFS(tabela_registros[VALOR],tabela_registros[MÊS],$AE$1,tabela_registros[DIA],investirrendavariávelconsolidado282931[[#Headers],[16]],tabela_registros[REGISTRO],DADOS!$N$5,tabela_registros[TIPO],DADOS!$AB$4,tabela_registros[CATEGORIA],investirrendavariávelconsolidado282931[[#This Row],[ATUAL]])</f>
        <v>0</v>
      </c>
      <c r="U132" s="119" t="n">
        <f aca="false">SUMIFS(tabela_registros[VALOR],tabela_registros[MÊS],$AE$1,tabela_registros[DIA],investirrendavariávelconsolidado282931[[#Headers],[17]],tabela_registros[REGISTRO],DADOS!$N$5,tabela_registros[TIPO],DADOS!$AB$4,tabela_registros[CATEGORIA],investirrendavariávelconsolidado282931[[#This Row],[ATUAL]])</f>
        <v>0</v>
      </c>
      <c r="V132" s="119" t="n">
        <f aca="false">SUMIFS(tabela_registros[VALOR],tabela_registros[MÊS],$AE$1,tabela_registros[DIA],investirrendavariávelconsolidado282931[[#Headers],[18]],tabela_registros[REGISTRO],DADOS!$N$5,tabela_registros[TIPO],DADOS!$AB$4,tabela_registros[CATEGORIA],investirrendavariávelconsolidado282931[[#This Row],[ATUAL]])</f>
        <v>0</v>
      </c>
      <c r="W132" s="119" t="n">
        <f aca="false">SUMIFS(tabela_registros[VALOR],tabela_registros[MÊS],$AE$1,tabela_registros[DIA],investirrendavariávelconsolidado282931[[#Headers],[19]],tabela_registros[REGISTRO],DADOS!$N$5,tabela_registros[TIPO],DADOS!$AB$4,tabela_registros[CATEGORIA],investirrendavariávelconsolidado282931[[#This Row],[ATUAL]])</f>
        <v>0</v>
      </c>
      <c r="X132" s="119" t="n">
        <f aca="false">SUMIFS(tabela_registros[VALOR],tabela_registros[MÊS],$AE$1,tabela_registros[DIA],investirrendavariávelconsolidado282931[[#Headers],[20]],tabela_registros[REGISTRO],DADOS!$N$5,tabela_registros[TIPO],DADOS!$AB$4,tabela_registros[CATEGORIA],investirrendavariávelconsolidado282931[[#This Row],[ATUAL]])</f>
        <v>0</v>
      </c>
      <c r="Y132" s="119" t="n">
        <f aca="false">SUMIFS(tabela_registros[VALOR],tabela_registros[MÊS],$AE$1,tabela_registros[DIA],investirrendavariávelconsolidado282931[[#Headers],[21]],tabela_registros[REGISTRO],DADOS!$N$5,tabela_registros[TIPO],DADOS!$AB$4,tabela_registros[CATEGORIA],investirrendavariávelconsolidado282931[[#This Row],[ATUAL]])</f>
        <v>0</v>
      </c>
      <c r="Z132" s="119" t="n">
        <f aca="false">SUMIFS(tabela_registros[VALOR],tabela_registros[MÊS],$AE$1,tabela_registros[DIA],investirrendavariávelconsolidado282931[[#Headers],[22]],tabela_registros[REGISTRO],DADOS!$N$5,tabela_registros[TIPO],DADOS!$AB$4,tabela_registros[CATEGORIA],investirrendavariávelconsolidado282931[[#This Row],[ATUAL]])</f>
        <v>0</v>
      </c>
      <c r="AA132" s="119" t="n">
        <f aca="false">SUMIFS(tabela_registros[VALOR],tabela_registros[MÊS],$AE$1,tabela_registros[DIA],investirrendavariávelconsolidado282931[[#Headers],[23]],tabela_registros[REGISTRO],DADOS!$N$5,tabela_registros[TIPO],DADOS!$AB$4,tabela_registros[CATEGORIA],investirrendavariávelconsolidado282931[[#This Row],[ATUAL]])</f>
        <v>0</v>
      </c>
      <c r="AB132" s="119" t="n">
        <f aca="false">SUMIFS(tabela_registros[VALOR],tabela_registros[MÊS],$AE$1,tabela_registros[DIA],investirrendavariávelconsolidado282931[[#Headers],[24]],tabela_registros[REGISTRO],DADOS!$N$5,tabela_registros[TIPO],DADOS!$AB$4,tabela_registros[CATEGORIA],investirrendavariávelconsolidado282931[[#This Row],[ATUAL]])</f>
        <v>0</v>
      </c>
      <c r="AC132" s="119" t="n">
        <f aca="false">SUMIFS(tabela_registros[VALOR],tabela_registros[MÊS],$AE$1,tabela_registros[DIA],investirrendavariávelconsolidado282931[[#Headers],[25]],tabela_registros[REGISTRO],DADOS!$N$5,tabela_registros[TIPO],DADOS!$AB$4,tabela_registros[CATEGORIA],investirrendavariávelconsolidado282931[[#This Row],[ATUAL]])</f>
        <v>0</v>
      </c>
      <c r="AD132" s="119" t="n">
        <f aca="false">SUMIFS(tabela_registros[VALOR],tabela_registros[MÊS],$AE$1,tabela_registros[DIA],investirrendavariávelconsolidado282931[[#Headers],[26]],tabela_registros[REGISTRO],DADOS!$N$5,tabela_registros[TIPO],DADOS!$AB$4,tabela_registros[CATEGORIA],investirrendavariávelconsolidado282931[[#This Row],[ATUAL]])</f>
        <v>0</v>
      </c>
      <c r="AE132" s="119" t="n">
        <f aca="false">SUMIFS(tabela_registros[VALOR],tabela_registros[MÊS],$AE$1,tabela_registros[DIA],investirrendavariávelconsolidado282931[[#Headers],[27]],tabela_registros[REGISTRO],DADOS!$N$5,tabela_registros[TIPO],DADOS!$AB$4,tabela_registros[CATEGORIA],investirrendavariávelconsolidado282931[[#This Row],[ATUAL]])</f>
        <v>0</v>
      </c>
      <c r="AF132" s="119" t="n">
        <f aca="false">SUMIFS(tabela_registros[VALOR],tabela_registros[MÊS],$AE$1,tabela_registros[DIA],investirrendavariávelconsolidado282931[[#Headers],[28]],tabela_registros[REGISTRO],DADOS!$N$5,tabela_registros[TIPO],DADOS!$AB$4,tabela_registros[CATEGORIA],investirrendavariávelconsolidado282931[[#This Row],[ATUAL]])</f>
        <v>0</v>
      </c>
      <c r="AG132" s="119" t="n">
        <f aca="false">SUMIFS(tabela_registros[VALOR],tabela_registros[MÊS],$AE$1,tabela_registros[DIA],investirrendavariávelconsolidado282931[[#Headers],[29]],tabela_registros[REGISTRO],DADOS!$N$5,tabela_registros[TIPO],DADOS!$AB$4,tabela_registros[CATEGORIA],investirrendavariávelconsolidado282931[[#This Row],[ATUAL]])</f>
        <v>0</v>
      </c>
      <c r="AH132" s="119" t="n">
        <f aca="false">SUMIFS(tabela_registros[VALOR],tabela_registros[MÊS],$AE$1,tabela_registros[DIA],investirrendavariávelconsolidado282931[[#Headers],[30]],tabela_registros[REGISTRO],DADOS!$N$5,tabela_registros[TIPO],DADOS!$AB$4,tabela_registros[CATEGORIA],investirrendavariávelconsolidado282931[[#This Row],[ATUAL]])</f>
        <v>0</v>
      </c>
      <c r="AI132" s="217" t="n">
        <f aca="false">SUMIFS(tabela_registros[VALOR],tabela_registros[MÊS],$AE$1,tabela_registros[DIA],investirrendavariávelconsolidado282931[[#Headers],[31]],tabela_registros[REGISTRO],DADOS!$N$5,tabela_registros[TIPO],DADOS!$AB$4,tabela_registros[CATEGORIA],investirrendavariávelconsolidado282931[[#This Row],[ATUAL]])</f>
        <v>0</v>
      </c>
      <c r="AJ132" s="149" t="n">
        <f aca="false">SUM(investirrendavariávelconsolidado282931[[#This Row],[1]:[31]])</f>
        <v>0</v>
      </c>
      <c r="AK132" s="234"/>
      <c r="AL132" s="189"/>
    </row>
    <row r="133" customFormat="false" ht="19.5" hidden="false" customHeight="true" outlineLevel="0" collapsed="false">
      <c r="A133" s="189"/>
      <c r="B133" s="213"/>
      <c r="C133" s="214" t="str">
        <f aca="false">DADOS!$AF$4</f>
        <v>📝 COMÓDITE</v>
      </c>
      <c r="D133" s="215" t="str">
        <f aca="false">IF(investirrendavariávelconsolidado282931[[#This Row],[TOTAL (R$)]]=0,"",IF(OR(investirrendavariávelconsolidado282931[[#This Row],[TOTAL (R$)]]=LARGE($AJ$132:$AJ$141,1),investirrendavariávelconsolidado282931[[#This Row],[TOTAL (R$)]]=LARGE($AJ$132:$AJ$141,2)),DADOS!$I$10,""))</f>
        <v/>
      </c>
      <c r="E133" s="148" t="n">
        <f aca="false">SUMIFS(tabela_registros[VALOR],tabela_registros[MÊS],$AE$1,tabela_registros[DIA],investirrendavariávelconsolidado282931[[#Headers],[1]],tabela_registros[REGISTRO],DADOS!$N$5,tabela_registros[TIPO],DADOS!$AB$4,tabela_registros[CATEGORIA],investirrendavariávelconsolidado282931[[#This Row],[ATUAL]])</f>
        <v>0</v>
      </c>
      <c r="F133" s="119" t="n">
        <f aca="false">SUMIFS(tabela_registros[VALOR],tabela_registros[MÊS],$AE$1,tabela_registros[DIA],investirrendavariávelconsolidado282931[[#Headers],[2]],tabela_registros[REGISTRO],DADOS!$N$5,tabela_registros[TIPO],DADOS!$AB$4,tabela_registros[CATEGORIA],investirrendavariávelconsolidado282931[[#This Row],[ATUAL]])</f>
        <v>0</v>
      </c>
      <c r="G133" s="119" t="n">
        <f aca="false">SUMIFS(tabela_registros[VALOR],tabela_registros[MÊS],$AE$1,tabela_registros[DIA],investirrendavariávelconsolidado282931[[#Headers],[3]],tabela_registros[REGISTRO],DADOS!$N$5,tabela_registros[TIPO],DADOS!$AB$4,tabela_registros[CATEGORIA],investirrendavariávelconsolidado282931[[#This Row],[ATUAL]])</f>
        <v>0</v>
      </c>
      <c r="H133" s="119" t="n">
        <f aca="false">SUMIFS(tabela_registros[VALOR],tabela_registros[MÊS],$AE$1,tabela_registros[DIA],investirrendavariávelconsolidado282931[[#Headers],[4]],tabela_registros[REGISTRO],DADOS!$N$5,tabela_registros[TIPO],DADOS!$AB$4,tabela_registros[CATEGORIA],investirrendavariávelconsolidado282931[[#This Row],[ATUAL]])</f>
        <v>0</v>
      </c>
      <c r="I133" s="119" t="n">
        <f aca="false">SUMIFS(tabela_registros[VALOR],tabela_registros[MÊS],$AE$1,tabela_registros[DIA],investirrendavariávelconsolidado282931[[#Headers],[5]],tabela_registros[REGISTRO],DADOS!$N$5,tabela_registros[TIPO],DADOS!$AB$4,tabela_registros[CATEGORIA],investirrendavariávelconsolidado282931[[#This Row],[ATUAL]])</f>
        <v>0</v>
      </c>
      <c r="J133" s="119" t="n">
        <f aca="false">SUMIFS(tabela_registros[VALOR],tabela_registros[MÊS],$AE$1,tabela_registros[DIA],investirrendavariávelconsolidado282931[[#Headers],[6]],tabela_registros[REGISTRO],DADOS!$N$5,tabela_registros[TIPO],DADOS!$AB$4,tabela_registros[CATEGORIA],investirrendavariávelconsolidado282931[[#This Row],[ATUAL]])</f>
        <v>0</v>
      </c>
      <c r="K133" s="119" t="n">
        <f aca="false">SUMIFS(tabela_registros[VALOR],tabela_registros[MÊS],$AE$1,tabela_registros[DIA],investirrendavariávelconsolidado282931[[#Headers],[7]],tabela_registros[REGISTRO],DADOS!$N$5,tabela_registros[TIPO],DADOS!$AB$4,tabela_registros[CATEGORIA],investirrendavariávelconsolidado282931[[#This Row],[ATUAL]])</f>
        <v>0</v>
      </c>
      <c r="L133" s="119" t="n">
        <f aca="false">SUMIFS(tabela_registros[VALOR],tabela_registros[MÊS],$AE$1,tabela_registros[DIA],investirrendavariávelconsolidado282931[[#Headers],[8]],tabela_registros[REGISTRO],DADOS!$N$5,tabela_registros[TIPO],DADOS!$AB$4,tabela_registros[CATEGORIA],investirrendavariávelconsolidado282931[[#This Row],[ATUAL]])</f>
        <v>0</v>
      </c>
      <c r="M133" s="119" t="n">
        <f aca="false">SUMIFS(tabela_registros[VALOR],tabela_registros[MÊS],$AE$1,tabela_registros[DIA],investirrendavariávelconsolidado282931[[#Headers],[9]],tabela_registros[REGISTRO],DADOS!$N$5,tabela_registros[TIPO],DADOS!$AB$4,tabela_registros[CATEGORIA],investirrendavariávelconsolidado282931[[#This Row],[ATUAL]])</f>
        <v>0</v>
      </c>
      <c r="N133" s="119" t="n">
        <f aca="false">SUMIFS(tabela_registros[VALOR],tabela_registros[MÊS],$AE$1,tabela_registros[DIA],investirrendavariávelconsolidado282931[[#Headers],[10]],tabela_registros[REGISTRO],DADOS!$N$5,tabela_registros[TIPO],DADOS!$AB$4,tabela_registros[CATEGORIA],investirrendavariávelconsolidado282931[[#This Row],[ATUAL]])</f>
        <v>0</v>
      </c>
      <c r="O133" s="119" t="n">
        <f aca="false">SUMIFS(tabela_registros[VALOR],tabela_registros[MÊS],$AE$1,tabela_registros[DIA],investirrendavariávelconsolidado282931[[#Headers],[11]],tabela_registros[REGISTRO],DADOS!$N$5,tabela_registros[TIPO],DADOS!$AB$4,tabela_registros[CATEGORIA],investirrendavariávelconsolidado282931[[#This Row],[ATUAL]])</f>
        <v>0</v>
      </c>
      <c r="P133" s="119" t="n">
        <f aca="false">SUMIFS(tabela_registros[VALOR],tabela_registros[MÊS],$AE$1,tabela_registros[DIA],investirrendavariávelconsolidado282931[[#Headers],[12]],tabela_registros[REGISTRO],DADOS!$N$5,tabela_registros[TIPO],DADOS!$AB$4,tabela_registros[CATEGORIA],investirrendavariávelconsolidado282931[[#This Row],[ATUAL]])</f>
        <v>0</v>
      </c>
      <c r="Q133" s="119" t="n">
        <f aca="false">SUMIFS(tabela_registros[VALOR],tabela_registros[MÊS],$AE$1,tabela_registros[DIA],investirrendavariávelconsolidado282931[[#Headers],[13]],tabela_registros[REGISTRO],DADOS!$N$5,tabela_registros[TIPO],DADOS!$AB$4,tabela_registros[CATEGORIA],investirrendavariávelconsolidado282931[[#This Row],[ATUAL]])</f>
        <v>0</v>
      </c>
      <c r="R133" s="119" t="n">
        <f aca="false">SUMIFS(tabela_registros[VALOR],tabela_registros[MÊS],$AE$1,tabela_registros[DIA],investirrendavariávelconsolidado282931[[#Headers],[14]],tabela_registros[REGISTRO],DADOS!$N$5,tabela_registros[TIPO],DADOS!$AB$4,tabela_registros[CATEGORIA],investirrendavariávelconsolidado282931[[#This Row],[ATUAL]])</f>
        <v>0</v>
      </c>
      <c r="S133" s="119" t="n">
        <f aca="false">SUMIFS(tabela_registros[VALOR],tabela_registros[MÊS],$AE$1,tabela_registros[DIA],investirrendavariávelconsolidado282931[[#Headers],[15]],tabela_registros[REGISTRO],DADOS!$N$5,tabela_registros[TIPO],DADOS!$AB$4,tabela_registros[CATEGORIA],investirrendavariávelconsolidado282931[[#This Row],[ATUAL]])</f>
        <v>0</v>
      </c>
      <c r="T133" s="119" t="n">
        <f aca="false">SUMIFS(tabela_registros[VALOR],tabela_registros[MÊS],$AE$1,tabela_registros[DIA],investirrendavariávelconsolidado282931[[#Headers],[16]],tabela_registros[REGISTRO],DADOS!$N$5,tabela_registros[TIPO],DADOS!$AB$4,tabela_registros[CATEGORIA],investirrendavariávelconsolidado282931[[#This Row],[ATUAL]])</f>
        <v>0</v>
      </c>
      <c r="U133" s="119" t="n">
        <f aca="false">SUMIFS(tabela_registros[VALOR],tabela_registros[MÊS],$AE$1,tabela_registros[DIA],investirrendavariávelconsolidado282931[[#Headers],[17]],tabela_registros[REGISTRO],DADOS!$N$5,tabela_registros[TIPO],DADOS!$AB$4,tabela_registros[CATEGORIA],investirrendavariávelconsolidado282931[[#This Row],[ATUAL]])</f>
        <v>0</v>
      </c>
      <c r="V133" s="119" t="n">
        <f aca="false">SUMIFS(tabela_registros[VALOR],tabela_registros[MÊS],$AE$1,tabela_registros[DIA],investirrendavariávelconsolidado282931[[#Headers],[18]],tabela_registros[REGISTRO],DADOS!$N$5,tabela_registros[TIPO],DADOS!$AB$4,tabela_registros[CATEGORIA],investirrendavariávelconsolidado282931[[#This Row],[ATUAL]])</f>
        <v>0</v>
      </c>
      <c r="W133" s="119" t="n">
        <f aca="false">SUMIFS(tabela_registros[VALOR],tabela_registros[MÊS],$AE$1,tabela_registros[DIA],investirrendavariávelconsolidado282931[[#Headers],[19]],tabela_registros[REGISTRO],DADOS!$N$5,tabela_registros[TIPO],DADOS!$AB$4,tabela_registros[CATEGORIA],investirrendavariávelconsolidado282931[[#This Row],[ATUAL]])</f>
        <v>0</v>
      </c>
      <c r="X133" s="119" t="n">
        <f aca="false">SUMIFS(tabela_registros[VALOR],tabela_registros[MÊS],$AE$1,tabela_registros[DIA],investirrendavariávelconsolidado282931[[#Headers],[20]],tabela_registros[REGISTRO],DADOS!$N$5,tabela_registros[TIPO],DADOS!$AB$4,tabela_registros[CATEGORIA],investirrendavariávelconsolidado282931[[#This Row],[ATUAL]])</f>
        <v>0</v>
      </c>
      <c r="Y133" s="119" t="n">
        <f aca="false">SUMIFS(tabela_registros[VALOR],tabela_registros[MÊS],$AE$1,tabela_registros[DIA],investirrendavariávelconsolidado282931[[#Headers],[21]],tabela_registros[REGISTRO],DADOS!$N$5,tabela_registros[TIPO],DADOS!$AB$4,tabela_registros[CATEGORIA],investirrendavariávelconsolidado282931[[#This Row],[ATUAL]])</f>
        <v>0</v>
      </c>
      <c r="Z133" s="119" t="n">
        <f aca="false">SUMIFS(tabela_registros[VALOR],tabela_registros[MÊS],$AE$1,tabela_registros[DIA],investirrendavariávelconsolidado282931[[#Headers],[22]],tabela_registros[REGISTRO],DADOS!$N$5,tabela_registros[TIPO],DADOS!$AB$4,tabela_registros[CATEGORIA],investirrendavariávelconsolidado282931[[#This Row],[ATUAL]])</f>
        <v>0</v>
      </c>
      <c r="AA133" s="119" t="n">
        <f aca="false">SUMIFS(tabela_registros[VALOR],tabela_registros[MÊS],$AE$1,tabela_registros[DIA],investirrendavariávelconsolidado282931[[#Headers],[23]],tabela_registros[REGISTRO],DADOS!$N$5,tabela_registros[TIPO],DADOS!$AB$4,tabela_registros[CATEGORIA],investirrendavariávelconsolidado282931[[#This Row],[ATUAL]])</f>
        <v>0</v>
      </c>
      <c r="AB133" s="119" t="n">
        <f aca="false">SUMIFS(tabela_registros[VALOR],tabela_registros[MÊS],$AE$1,tabela_registros[DIA],investirrendavariávelconsolidado282931[[#Headers],[24]],tabela_registros[REGISTRO],DADOS!$N$5,tabela_registros[TIPO],DADOS!$AB$4,tabela_registros[CATEGORIA],investirrendavariávelconsolidado282931[[#This Row],[ATUAL]])</f>
        <v>0</v>
      </c>
      <c r="AC133" s="119" t="n">
        <f aca="false">SUMIFS(tabela_registros[VALOR],tabela_registros[MÊS],$AE$1,tabela_registros[DIA],investirrendavariávelconsolidado282931[[#Headers],[25]],tabela_registros[REGISTRO],DADOS!$N$5,tabela_registros[TIPO],DADOS!$AB$4,tabela_registros[CATEGORIA],investirrendavariávelconsolidado282931[[#This Row],[ATUAL]])</f>
        <v>0</v>
      </c>
      <c r="AD133" s="119" t="n">
        <f aca="false">SUMIFS(tabela_registros[VALOR],tabela_registros[MÊS],$AE$1,tabela_registros[DIA],investirrendavariávelconsolidado282931[[#Headers],[26]],tabela_registros[REGISTRO],DADOS!$N$5,tabela_registros[TIPO],DADOS!$AB$4,tabela_registros[CATEGORIA],investirrendavariávelconsolidado282931[[#This Row],[ATUAL]])</f>
        <v>0</v>
      </c>
      <c r="AE133" s="119" t="n">
        <f aca="false">SUMIFS(tabela_registros[VALOR],tabela_registros[MÊS],$AE$1,tabela_registros[DIA],investirrendavariávelconsolidado282931[[#Headers],[27]],tabela_registros[REGISTRO],DADOS!$N$5,tabela_registros[TIPO],DADOS!$AB$4,tabela_registros[CATEGORIA],investirrendavariávelconsolidado282931[[#This Row],[ATUAL]])</f>
        <v>0</v>
      </c>
      <c r="AF133" s="119" t="n">
        <f aca="false">SUMIFS(tabela_registros[VALOR],tabela_registros[MÊS],$AE$1,tabela_registros[DIA],investirrendavariávelconsolidado282931[[#Headers],[28]],tabela_registros[REGISTRO],DADOS!$N$5,tabela_registros[TIPO],DADOS!$AB$4,tabela_registros[CATEGORIA],investirrendavariávelconsolidado282931[[#This Row],[ATUAL]])</f>
        <v>0</v>
      </c>
      <c r="AG133" s="119" t="n">
        <f aca="false">SUMIFS(tabela_registros[VALOR],tabela_registros[MÊS],$AE$1,tabela_registros[DIA],investirrendavariávelconsolidado282931[[#Headers],[29]],tabela_registros[REGISTRO],DADOS!$N$5,tabela_registros[TIPO],DADOS!$AB$4,tabela_registros[CATEGORIA],investirrendavariávelconsolidado282931[[#This Row],[ATUAL]])</f>
        <v>0</v>
      </c>
      <c r="AH133" s="119" t="n">
        <f aca="false">SUMIFS(tabela_registros[VALOR],tabela_registros[MÊS],$AE$1,tabela_registros[DIA],investirrendavariávelconsolidado282931[[#Headers],[30]],tabela_registros[REGISTRO],DADOS!$N$5,tabela_registros[TIPO],DADOS!$AB$4,tabela_registros[CATEGORIA],investirrendavariávelconsolidado282931[[#This Row],[ATUAL]])</f>
        <v>0</v>
      </c>
      <c r="AI133" s="217" t="n">
        <f aca="false">SUMIFS(tabela_registros[VALOR],tabela_registros[MÊS],$AE$1,tabela_registros[DIA],investirrendavariávelconsolidado282931[[#Headers],[31]],tabela_registros[REGISTRO],DADOS!$N$5,tabela_registros[TIPO],DADOS!$AB$4,tabela_registros[CATEGORIA],investirrendavariávelconsolidado282931[[#This Row],[ATUAL]])</f>
        <v>0</v>
      </c>
      <c r="AJ133" s="149" t="n">
        <f aca="false">SUM(investirrendavariávelconsolidado282931[[#This Row],[1]:[31]])</f>
        <v>0</v>
      </c>
      <c r="AK133" s="234"/>
      <c r="AL133" s="189"/>
    </row>
    <row r="134" customFormat="false" ht="19.5" hidden="false" customHeight="true" outlineLevel="0" collapsed="false">
      <c r="A134" s="189"/>
      <c r="B134" s="213"/>
      <c r="C134" s="214" t="str">
        <f aca="false">DADOS!$AF$5</f>
        <v>📝 CONTRATO DE FUTUROS</v>
      </c>
      <c r="D134" s="215" t="str">
        <f aca="false">IF(investirrendavariávelconsolidado282931[[#This Row],[TOTAL (R$)]]=0,"",IF(OR(investirrendavariávelconsolidado282931[[#This Row],[TOTAL (R$)]]=LARGE($AJ$132:$AJ$141,1),investirrendavariávelconsolidado282931[[#This Row],[TOTAL (R$)]]=LARGE($AJ$132:$AJ$141,2)),DADOS!$I$10,""))</f>
        <v/>
      </c>
      <c r="E134" s="148" t="n">
        <f aca="false">SUMIFS(tabela_registros[VALOR],tabela_registros[MÊS],$AE$1,tabela_registros[DIA],investirrendavariávelconsolidado282931[[#Headers],[1]],tabela_registros[REGISTRO],DADOS!$N$5,tabela_registros[TIPO],DADOS!$AB$4,tabela_registros[CATEGORIA],investirrendavariávelconsolidado282931[[#This Row],[ATUAL]])</f>
        <v>0</v>
      </c>
      <c r="F134" s="119" t="n">
        <f aca="false">SUMIFS(tabela_registros[VALOR],tabela_registros[MÊS],$AE$1,tabela_registros[DIA],investirrendavariávelconsolidado282931[[#Headers],[2]],tabela_registros[REGISTRO],DADOS!$N$5,tabela_registros[TIPO],DADOS!$AB$4,tabela_registros[CATEGORIA],investirrendavariávelconsolidado282931[[#This Row],[ATUAL]])</f>
        <v>0</v>
      </c>
      <c r="G134" s="119" t="n">
        <f aca="false">SUMIFS(tabela_registros[VALOR],tabela_registros[MÊS],$AE$1,tabela_registros[DIA],investirrendavariávelconsolidado282931[[#Headers],[3]],tabela_registros[REGISTRO],DADOS!$N$5,tabela_registros[TIPO],DADOS!$AB$4,tabela_registros[CATEGORIA],investirrendavariávelconsolidado282931[[#This Row],[ATUAL]])</f>
        <v>0</v>
      </c>
      <c r="H134" s="119" t="n">
        <f aca="false">SUMIFS(tabela_registros[VALOR],tabela_registros[MÊS],$AE$1,tabela_registros[DIA],investirrendavariávelconsolidado282931[[#Headers],[4]],tabela_registros[REGISTRO],DADOS!$N$5,tabela_registros[TIPO],DADOS!$AB$4,tabela_registros[CATEGORIA],investirrendavariávelconsolidado282931[[#This Row],[ATUAL]])</f>
        <v>0</v>
      </c>
      <c r="I134" s="119" t="n">
        <f aca="false">SUMIFS(tabela_registros[VALOR],tabela_registros[MÊS],$AE$1,tabela_registros[DIA],investirrendavariávelconsolidado282931[[#Headers],[5]],tabela_registros[REGISTRO],DADOS!$N$5,tabela_registros[TIPO],DADOS!$AB$4,tabela_registros[CATEGORIA],investirrendavariávelconsolidado282931[[#This Row],[ATUAL]])</f>
        <v>0</v>
      </c>
      <c r="J134" s="119" t="n">
        <f aca="false">SUMIFS(tabela_registros[VALOR],tabela_registros[MÊS],$AE$1,tabela_registros[DIA],investirrendavariávelconsolidado282931[[#Headers],[6]],tabela_registros[REGISTRO],DADOS!$N$5,tabela_registros[TIPO],DADOS!$AB$4,tabela_registros[CATEGORIA],investirrendavariávelconsolidado282931[[#This Row],[ATUAL]])</f>
        <v>0</v>
      </c>
      <c r="K134" s="119" t="n">
        <f aca="false">SUMIFS(tabela_registros[VALOR],tabela_registros[MÊS],$AE$1,tabela_registros[DIA],investirrendavariávelconsolidado282931[[#Headers],[7]],tabela_registros[REGISTRO],DADOS!$N$5,tabela_registros[TIPO],DADOS!$AB$4,tabela_registros[CATEGORIA],investirrendavariávelconsolidado282931[[#This Row],[ATUAL]])</f>
        <v>0</v>
      </c>
      <c r="L134" s="119" t="n">
        <f aca="false">SUMIFS(tabela_registros[VALOR],tabela_registros[MÊS],$AE$1,tabela_registros[DIA],investirrendavariávelconsolidado282931[[#Headers],[8]],tabela_registros[REGISTRO],DADOS!$N$5,tabela_registros[TIPO],DADOS!$AB$4,tabela_registros[CATEGORIA],investirrendavariávelconsolidado282931[[#This Row],[ATUAL]])</f>
        <v>0</v>
      </c>
      <c r="M134" s="119" t="n">
        <f aca="false">SUMIFS(tabela_registros[VALOR],tabela_registros[MÊS],$AE$1,tabela_registros[DIA],investirrendavariávelconsolidado282931[[#Headers],[9]],tabela_registros[REGISTRO],DADOS!$N$5,tabela_registros[TIPO],DADOS!$AB$4,tabela_registros[CATEGORIA],investirrendavariávelconsolidado282931[[#This Row],[ATUAL]])</f>
        <v>0</v>
      </c>
      <c r="N134" s="119" t="n">
        <f aca="false">SUMIFS(tabela_registros[VALOR],tabela_registros[MÊS],$AE$1,tabela_registros[DIA],investirrendavariávelconsolidado282931[[#Headers],[10]],tabela_registros[REGISTRO],DADOS!$N$5,tabela_registros[TIPO],DADOS!$AB$4,tabela_registros[CATEGORIA],investirrendavariávelconsolidado282931[[#This Row],[ATUAL]])</f>
        <v>0</v>
      </c>
      <c r="O134" s="119" t="n">
        <f aca="false">SUMIFS(tabela_registros[VALOR],tabela_registros[MÊS],$AE$1,tabela_registros[DIA],investirrendavariávelconsolidado282931[[#Headers],[11]],tabela_registros[REGISTRO],DADOS!$N$5,tabela_registros[TIPO],DADOS!$AB$4,tabela_registros[CATEGORIA],investirrendavariávelconsolidado282931[[#This Row],[ATUAL]])</f>
        <v>0</v>
      </c>
      <c r="P134" s="119" t="n">
        <f aca="false">SUMIFS(tabela_registros[VALOR],tabela_registros[MÊS],$AE$1,tabela_registros[DIA],investirrendavariávelconsolidado282931[[#Headers],[12]],tabela_registros[REGISTRO],DADOS!$N$5,tabela_registros[TIPO],DADOS!$AB$4,tabela_registros[CATEGORIA],investirrendavariávelconsolidado282931[[#This Row],[ATUAL]])</f>
        <v>0</v>
      </c>
      <c r="Q134" s="119" t="n">
        <f aca="false">SUMIFS(tabela_registros[VALOR],tabela_registros[MÊS],$AE$1,tabela_registros[DIA],investirrendavariávelconsolidado282931[[#Headers],[13]],tabela_registros[REGISTRO],DADOS!$N$5,tabela_registros[TIPO],DADOS!$AB$4,tabela_registros[CATEGORIA],investirrendavariávelconsolidado282931[[#This Row],[ATUAL]])</f>
        <v>0</v>
      </c>
      <c r="R134" s="119" t="n">
        <f aca="false">SUMIFS(tabela_registros[VALOR],tabela_registros[MÊS],$AE$1,tabela_registros[DIA],investirrendavariávelconsolidado282931[[#Headers],[14]],tabela_registros[REGISTRO],DADOS!$N$5,tabela_registros[TIPO],DADOS!$AB$4,tabela_registros[CATEGORIA],investirrendavariávelconsolidado282931[[#This Row],[ATUAL]])</f>
        <v>0</v>
      </c>
      <c r="S134" s="119" t="n">
        <f aca="false">SUMIFS(tabela_registros[VALOR],tabela_registros[MÊS],$AE$1,tabela_registros[DIA],investirrendavariávelconsolidado282931[[#Headers],[15]],tabela_registros[REGISTRO],DADOS!$N$5,tabela_registros[TIPO],DADOS!$AB$4,tabela_registros[CATEGORIA],investirrendavariávelconsolidado282931[[#This Row],[ATUAL]])</f>
        <v>0</v>
      </c>
      <c r="T134" s="119" t="n">
        <f aca="false">SUMIFS(tabela_registros[VALOR],tabela_registros[MÊS],$AE$1,tabela_registros[DIA],investirrendavariávelconsolidado282931[[#Headers],[16]],tabela_registros[REGISTRO],DADOS!$N$5,tabela_registros[TIPO],DADOS!$AB$4,tabela_registros[CATEGORIA],investirrendavariávelconsolidado282931[[#This Row],[ATUAL]])</f>
        <v>0</v>
      </c>
      <c r="U134" s="119" t="n">
        <f aca="false">SUMIFS(tabela_registros[VALOR],tabela_registros[MÊS],$AE$1,tabela_registros[DIA],investirrendavariávelconsolidado282931[[#Headers],[17]],tabela_registros[REGISTRO],DADOS!$N$5,tabela_registros[TIPO],DADOS!$AB$4,tabela_registros[CATEGORIA],investirrendavariávelconsolidado282931[[#This Row],[ATUAL]])</f>
        <v>0</v>
      </c>
      <c r="V134" s="119" t="n">
        <f aca="false">SUMIFS(tabela_registros[VALOR],tabela_registros[MÊS],$AE$1,tabela_registros[DIA],investirrendavariávelconsolidado282931[[#Headers],[18]],tabela_registros[REGISTRO],DADOS!$N$5,tabela_registros[TIPO],DADOS!$AB$4,tabela_registros[CATEGORIA],investirrendavariávelconsolidado282931[[#This Row],[ATUAL]])</f>
        <v>0</v>
      </c>
      <c r="W134" s="119" t="n">
        <f aca="false">SUMIFS(tabela_registros[VALOR],tabela_registros[MÊS],$AE$1,tabela_registros[DIA],investirrendavariávelconsolidado282931[[#Headers],[19]],tabela_registros[REGISTRO],DADOS!$N$5,tabela_registros[TIPO],DADOS!$AB$4,tabela_registros[CATEGORIA],investirrendavariávelconsolidado282931[[#This Row],[ATUAL]])</f>
        <v>0</v>
      </c>
      <c r="X134" s="119" t="n">
        <f aca="false">SUMIFS(tabela_registros[VALOR],tabela_registros[MÊS],$AE$1,tabela_registros[DIA],investirrendavariávelconsolidado282931[[#Headers],[20]],tabela_registros[REGISTRO],DADOS!$N$5,tabela_registros[TIPO],DADOS!$AB$4,tabela_registros[CATEGORIA],investirrendavariávelconsolidado282931[[#This Row],[ATUAL]])</f>
        <v>0</v>
      </c>
      <c r="Y134" s="119" t="n">
        <f aca="false">SUMIFS(tabela_registros[VALOR],tabela_registros[MÊS],$AE$1,tabela_registros[DIA],investirrendavariávelconsolidado282931[[#Headers],[21]],tabela_registros[REGISTRO],DADOS!$N$5,tabela_registros[TIPO],DADOS!$AB$4,tabela_registros[CATEGORIA],investirrendavariávelconsolidado282931[[#This Row],[ATUAL]])</f>
        <v>0</v>
      </c>
      <c r="Z134" s="119" t="n">
        <f aca="false">SUMIFS(tabela_registros[VALOR],tabela_registros[MÊS],$AE$1,tabela_registros[DIA],investirrendavariávelconsolidado282931[[#Headers],[22]],tabela_registros[REGISTRO],DADOS!$N$5,tabela_registros[TIPO],DADOS!$AB$4,tabela_registros[CATEGORIA],investirrendavariávelconsolidado282931[[#This Row],[ATUAL]])</f>
        <v>0</v>
      </c>
      <c r="AA134" s="119" t="n">
        <f aca="false">SUMIFS(tabela_registros[VALOR],tabela_registros[MÊS],$AE$1,tabela_registros[DIA],investirrendavariávelconsolidado282931[[#Headers],[23]],tabela_registros[REGISTRO],DADOS!$N$5,tabela_registros[TIPO],DADOS!$AB$4,tabela_registros[CATEGORIA],investirrendavariávelconsolidado282931[[#This Row],[ATUAL]])</f>
        <v>0</v>
      </c>
      <c r="AB134" s="119" t="n">
        <f aca="false">SUMIFS(tabela_registros[VALOR],tabela_registros[MÊS],$AE$1,tabela_registros[DIA],investirrendavariávelconsolidado282931[[#Headers],[24]],tabela_registros[REGISTRO],DADOS!$N$5,tabela_registros[TIPO],DADOS!$AB$4,tabela_registros[CATEGORIA],investirrendavariávelconsolidado282931[[#This Row],[ATUAL]])</f>
        <v>0</v>
      </c>
      <c r="AC134" s="119" t="n">
        <f aca="false">SUMIFS(tabela_registros[VALOR],tabela_registros[MÊS],$AE$1,tabela_registros[DIA],investirrendavariávelconsolidado282931[[#Headers],[25]],tabela_registros[REGISTRO],DADOS!$N$5,tabela_registros[TIPO],DADOS!$AB$4,tabela_registros[CATEGORIA],investirrendavariávelconsolidado282931[[#This Row],[ATUAL]])</f>
        <v>0</v>
      </c>
      <c r="AD134" s="119" t="n">
        <f aca="false">SUMIFS(tabela_registros[VALOR],tabela_registros[MÊS],$AE$1,tabela_registros[DIA],investirrendavariávelconsolidado282931[[#Headers],[26]],tabela_registros[REGISTRO],DADOS!$N$5,tabela_registros[TIPO],DADOS!$AB$4,tabela_registros[CATEGORIA],investirrendavariávelconsolidado282931[[#This Row],[ATUAL]])</f>
        <v>0</v>
      </c>
      <c r="AE134" s="119" t="n">
        <f aca="false">SUMIFS(tabela_registros[VALOR],tabela_registros[MÊS],$AE$1,tabela_registros[DIA],investirrendavariávelconsolidado282931[[#Headers],[27]],tabela_registros[REGISTRO],DADOS!$N$5,tabela_registros[TIPO],DADOS!$AB$4,tabela_registros[CATEGORIA],investirrendavariávelconsolidado282931[[#This Row],[ATUAL]])</f>
        <v>0</v>
      </c>
      <c r="AF134" s="119" t="n">
        <f aca="false">SUMIFS(tabela_registros[VALOR],tabela_registros[MÊS],$AE$1,tabela_registros[DIA],investirrendavariávelconsolidado282931[[#Headers],[28]],tabela_registros[REGISTRO],DADOS!$N$5,tabela_registros[TIPO],DADOS!$AB$4,tabela_registros[CATEGORIA],investirrendavariávelconsolidado282931[[#This Row],[ATUAL]])</f>
        <v>0</v>
      </c>
      <c r="AG134" s="119" t="n">
        <f aca="false">SUMIFS(tabela_registros[VALOR],tabela_registros[MÊS],$AE$1,tabela_registros[DIA],investirrendavariávelconsolidado282931[[#Headers],[29]],tabela_registros[REGISTRO],DADOS!$N$5,tabela_registros[TIPO],DADOS!$AB$4,tabela_registros[CATEGORIA],investirrendavariávelconsolidado282931[[#This Row],[ATUAL]])</f>
        <v>0</v>
      </c>
      <c r="AH134" s="119" t="n">
        <f aca="false">SUMIFS(tabela_registros[VALOR],tabela_registros[MÊS],$AE$1,tabela_registros[DIA],investirrendavariávelconsolidado282931[[#Headers],[30]],tabela_registros[REGISTRO],DADOS!$N$5,tabela_registros[TIPO],DADOS!$AB$4,tabela_registros[CATEGORIA],investirrendavariávelconsolidado282931[[#This Row],[ATUAL]])</f>
        <v>0</v>
      </c>
      <c r="AI134" s="217" t="n">
        <f aca="false">SUMIFS(tabela_registros[VALOR],tabela_registros[MÊS],$AE$1,tabela_registros[DIA],investirrendavariávelconsolidado282931[[#Headers],[31]],tabela_registros[REGISTRO],DADOS!$N$5,tabela_registros[TIPO],DADOS!$AB$4,tabela_registros[CATEGORIA],investirrendavariávelconsolidado282931[[#This Row],[ATUAL]])</f>
        <v>0</v>
      </c>
      <c r="AJ134" s="149" t="n">
        <f aca="false">SUM(investirrendavariávelconsolidado282931[[#This Row],[1]:[31]])</f>
        <v>0</v>
      </c>
      <c r="AK134" s="234"/>
      <c r="AL134" s="189"/>
    </row>
    <row r="135" customFormat="false" ht="19.5" hidden="false" customHeight="true" outlineLevel="0" collapsed="false">
      <c r="A135" s="189"/>
      <c r="B135" s="213"/>
      <c r="C135" s="214" t="str">
        <f aca="false">DADOS!$AF$6</f>
        <v>📝 CONTRATO DE OPÇÕES</v>
      </c>
      <c r="D135" s="215" t="str">
        <f aca="false">IF(investirrendavariávelconsolidado282931[[#This Row],[TOTAL (R$)]]=0,"",IF(OR(investirrendavariávelconsolidado282931[[#This Row],[TOTAL (R$)]]=LARGE($AJ$132:$AJ$141,1),investirrendavariávelconsolidado282931[[#This Row],[TOTAL (R$)]]=LARGE($AJ$132:$AJ$141,2)),DADOS!$I$10,""))</f>
        <v/>
      </c>
      <c r="E135" s="148" t="n">
        <f aca="false">SUMIFS(tabela_registros[VALOR],tabela_registros[MÊS],$AE$1,tabela_registros[DIA],investirrendavariávelconsolidado282931[[#Headers],[1]],tabela_registros[REGISTRO],DADOS!$N$5,tabela_registros[TIPO],DADOS!$AB$4,tabela_registros[CATEGORIA],investirrendavariávelconsolidado282931[[#This Row],[ATUAL]])</f>
        <v>0</v>
      </c>
      <c r="F135" s="119" t="n">
        <f aca="false">SUMIFS(tabela_registros[VALOR],tabela_registros[MÊS],$AE$1,tabela_registros[DIA],investirrendavariávelconsolidado282931[[#Headers],[2]],tabela_registros[REGISTRO],DADOS!$N$5,tabela_registros[TIPO],DADOS!$AB$4,tabela_registros[CATEGORIA],investirrendavariávelconsolidado282931[[#This Row],[ATUAL]])</f>
        <v>0</v>
      </c>
      <c r="G135" s="119" t="n">
        <f aca="false">SUMIFS(tabela_registros[VALOR],tabela_registros[MÊS],$AE$1,tabela_registros[DIA],investirrendavariávelconsolidado282931[[#Headers],[3]],tabela_registros[REGISTRO],DADOS!$N$5,tabela_registros[TIPO],DADOS!$AB$4,tabela_registros[CATEGORIA],investirrendavariávelconsolidado282931[[#This Row],[ATUAL]])</f>
        <v>0</v>
      </c>
      <c r="H135" s="119" t="n">
        <f aca="false">SUMIFS(tabela_registros[VALOR],tabela_registros[MÊS],$AE$1,tabela_registros[DIA],investirrendavariávelconsolidado282931[[#Headers],[4]],tabela_registros[REGISTRO],DADOS!$N$5,tabela_registros[TIPO],DADOS!$AB$4,tabela_registros[CATEGORIA],investirrendavariávelconsolidado282931[[#This Row],[ATUAL]])</f>
        <v>0</v>
      </c>
      <c r="I135" s="119" t="n">
        <f aca="false">SUMIFS(tabela_registros[VALOR],tabela_registros[MÊS],$AE$1,tabela_registros[DIA],investirrendavariávelconsolidado282931[[#Headers],[5]],tabela_registros[REGISTRO],DADOS!$N$5,tabela_registros[TIPO],DADOS!$AB$4,tabela_registros[CATEGORIA],investirrendavariávelconsolidado282931[[#This Row],[ATUAL]])</f>
        <v>0</v>
      </c>
      <c r="J135" s="119" t="n">
        <f aca="false">SUMIFS(tabela_registros[VALOR],tabela_registros[MÊS],$AE$1,tabela_registros[DIA],investirrendavariávelconsolidado282931[[#Headers],[6]],tabela_registros[REGISTRO],DADOS!$N$5,tabela_registros[TIPO],DADOS!$AB$4,tabela_registros[CATEGORIA],investirrendavariávelconsolidado282931[[#This Row],[ATUAL]])</f>
        <v>0</v>
      </c>
      <c r="K135" s="119" t="n">
        <f aca="false">SUMIFS(tabela_registros[VALOR],tabela_registros[MÊS],$AE$1,tabela_registros[DIA],investirrendavariávelconsolidado282931[[#Headers],[7]],tabela_registros[REGISTRO],DADOS!$N$5,tabela_registros[TIPO],DADOS!$AB$4,tabela_registros[CATEGORIA],investirrendavariávelconsolidado282931[[#This Row],[ATUAL]])</f>
        <v>0</v>
      </c>
      <c r="L135" s="119" t="n">
        <f aca="false">SUMIFS(tabela_registros[VALOR],tabela_registros[MÊS],$AE$1,tabela_registros[DIA],investirrendavariávelconsolidado282931[[#Headers],[8]],tabela_registros[REGISTRO],DADOS!$N$5,tabela_registros[TIPO],DADOS!$AB$4,tabela_registros[CATEGORIA],investirrendavariávelconsolidado282931[[#This Row],[ATUAL]])</f>
        <v>0</v>
      </c>
      <c r="M135" s="119" t="n">
        <f aca="false">SUMIFS(tabela_registros[VALOR],tabela_registros[MÊS],$AE$1,tabela_registros[DIA],investirrendavariávelconsolidado282931[[#Headers],[9]],tabela_registros[REGISTRO],DADOS!$N$5,tabela_registros[TIPO],DADOS!$AB$4,tabela_registros[CATEGORIA],investirrendavariávelconsolidado282931[[#This Row],[ATUAL]])</f>
        <v>0</v>
      </c>
      <c r="N135" s="119" t="n">
        <f aca="false">SUMIFS(tabela_registros[VALOR],tabela_registros[MÊS],$AE$1,tabela_registros[DIA],investirrendavariávelconsolidado282931[[#Headers],[10]],tabela_registros[REGISTRO],DADOS!$N$5,tabela_registros[TIPO],DADOS!$AB$4,tabela_registros[CATEGORIA],investirrendavariávelconsolidado282931[[#This Row],[ATUAL]])</f>
        <v>0</v>
      </c>
      <c r="O135" s="119" t="n">
        <f aca="false">SUMIFS(tabela_registros[VALOR],tabela_registros[MÊS],$AE$1,tabela_registros[DIA],investirrendavariávelconsolidado282931[[#Headers],[11]],tabela_registros[REGISTRO],DADOS!$N$5,tabela_registros[TIPO],DADOS!$AB$4,tabela_registros[CATEGORIA],investirrendavariávelconsolidado282931[[#This Row],[ATUAL]])</f>
        <v>0</v>
      </c>
      <c r="P135" s="119" t="n">
        <f aca="false">SUMIFS(tabela_registros[VALOR],tabela_registros[MÊS],$AE$1,tabela_registros[DIA],investirrendavariávelconsolidado282931[[#Headers],[12]],tabela_registros[REGISTRO],DADOS!$N$5,tabela_registros[TIPO],DADOS!$AB$4,tabela_registros[CATEGORIA],investirrendavariávelconsolidado282931[[#This Row],[ATUAL]])</f>
        <v>0</v>
      </c>
      <c r="Q135" s="119" t="n">
        <f aca="false">SUMIFS(tabela_registros[VALOR],tabela_registros[MÊS],$AE$1,tabela_registros[DIA],investirrendavariávelconsolidado282931[[#Headers],[13]],tabela_registros[REGISTRO],DADOS!$N$5,tabela_registros[TIPO],DADOS!$AB$4,tabela_registros[CATEGORIA],investirrendavariávelconsolidado282931[[#This Row],[ATUAL]])</f>
        <v>0</v>
      </c>
      <c r="R135" s="119" t="n">
        <f aca="false">SUMIFS(tabela_registros[VALOR],tabela_registros[MÊS],$AE$1,tabela_registros[DIA],investirrendavariávelconsolidado282931[[#Headers],[14]],tabela_registros[REGISTRO],DADOS!$N$5,tabela_registros[TIPO],DADOS!$AB$4,tabela_registros[CATEGORIA],investirrendavariávelconsolidado282931[[#This Row],[ATUAL]])</f>
        <v>0</v>
      </c>
      <c r="S135" s="119" t="n">
        <f aca="false">SUMIFS(tabela_registros[VALOR],tabela_registros[MÊS],$AE$1,tabela_registros[DIA],investirrendavariávelconsolidado282931[[#Headers],[15]],tabela_registros[REGISTRO],DADOS!$N$5,tabela_registros[TIPO],DADOS!$AB$4,tabela_registros[CATEGORIA],investirrendavariávelconsolidado282931[[#This Row],[ATUAL]])</f>
        <v>0</v>
      </c>
      <c r="T135" s="119" t="n">
        <f aca="false">SUMIFS(tabela_registros[VALOR],tabela_registros[MÊS],$AE$1,tabela_registros[DIA],investirrendavariávelconsolidado282931[[#Headers],[16]],tabela_registros[REGISTRO],DADOS!$N$5,tabela_registros[TIPO],DADOS!$AB$4,tabela_registros[CATEGORIA],investirrendavariávelconsolidado282931[[#This Row],[ATUAL]])</f>
        <v>0</v>
      </c>
      <c r="U135" s="119" t="n">
        <f aca="false">SUMIFS(tabela_registros[VALOR],tabela_registros[MÊS],$AE$1,tabela_registros[DIA],investirrendavariávelconsolidado282931[[#Headers],[17]],tabela_registros[REGISTRO],DADOS!$N$5,tabela_registros[TIPO],DADOS!$AB$4,tabela_registros[CATEGORIA],investirrendavariávelconsolidado282931[[#This Row],[ATUAL]])</f>
        <v>0</v>
      </c>
      <c r="V135" s="119" t="n">
        <f aca="false">SUMIFS(tabela_registros[VALOR],tabela_registros[MÊS],$AE$1,tabela_registros[DIA],investirrendavariávelconsolidado282931[[#Headers],[18]],tabela_registros[REGISTRO],DADOS!$N$5,tabela_registros[TIPO],DADOS!$AB$4,tabela_registros[CATEGORIA],investirrendavariávelconsolidado282931[[#This Row],[ATUAL]])</f>
        <v>0</v>
      </c>
      <c r="W135" s="119" t="n">
        <f aca="false">SUMIFS(tabela_registros[VALOR],tabela_registros[MÊS],$AE$1,tabela_registros[DIA],investirrendavariávelconsolidado282931[[#Headers],[19]],tabela_registros[REGISTRO],DADOS!$N$5,tabela_registros[TIPO],DADOS!$AB$4,tabela_registros[CATEGORIA],investirrendavariávelconsolidado282931[[#This Row],[ATUAL]])</f>
        <v>0</v>
      </c>
      <c r="X135" s="119" t="n">
        <f aca="false">SUMIFS(tabela_registros[VALOR],tabela_registros[MÊS],$AE$1,tabela_registros[DIA],investirrendavariávelconsolidado282931[[#Headers],[20]],tabela_registros[REGISTRO],DADOS!$N$5,tabela_registros[TIPO],DADOS!$AB$4,tabela_registros[CATEGORIA],investirrendavariávelconsolidado282931[[#This Row],[ATUAL]])</f>
        <v>0</v>
      </c>
      <c r="Y135" s="119" t="n">
        <f aca="false">SUMIFS(tabela_registros[VALOR],tabela_registros[MÊS],$AE$1,tabela_registros[DIA],investirrendavariávelconsolidado282931[[#Headers],[21]],tabela_registros[REGISTRO],DADOS!$N$5,tabela_registros[TIPO],DADOS!$AB$4,tabela_registros[CATEGORIA],investirrendavariávelconsolidado282931[[#This Row],[ATUAL]])</f>
        <v>0</v>
      </c>
      <c r="Z135" s="119" t="n">
        <f aca="false">SUMIFS(tabela_registros[VALOR],tabela_registros[MÊS],$AE$1,tabela_registros[DIA],investirrendavariávelconsolidado282931[[#Headers],[22]],tabela_registros[REGISTRO],DADOS!$N$5,tabela_registros[TIPO],DADOS!$AB$4,tabela_registros[CATEGORIA],investirrendavariávelconsolidado282931[[#This Row],[ATUAL]])</f>
        <v>0</v>
      </c>
      <c r="AA135" s="119" t="n">
        <f aca="false">SUMIFS(tabela_registros[VALOR],tabela_registros[MÊS],$AE$1,tabela_registros[DIA],investirrendavariávelconsolidado282931[[#Headers],[23]],tabela_registros[REGISTRO],DADOS!$N$5,tabela_registros[TIPO],DADOS!$AB$4,tabela_registros[CATEGORIA],investirrendavariávelconsolidado282931[[#This Row],[ATUAL]])</f>
        <v>0</v>
      </c>
      <c r="AB135" s="119" t="n">
        <f aca="false">SUMIFS(tabela_registros[VALOR],tabela_registros[MÊS],$AE$1,tabela_registros[DIA],investirrendavariávelconsolidado282931[[#Headers],[24]],tabela_registros[REGISTRO],DADOS!$N$5,tabela_registros[TIPO],DADOS!$AB$4,tabela_registros[CATEGORIA],investirrendavariávelconsolidado282931[[#This Row],[ATUAL]])</f>
        <v>0</v>
      </c>
      <c r="AC135" s="119" t="n">
        <f aca="false">SUMIFS(tabela_registros[VALOR],tabela_registros[MÊS],$AE$1,tabela_registros[DIA],investirrendavariávelconsolidado282931[[#Headers],[25]],tabela_registros[REGISTRO],DADOS!$N$5,tabela_registros[TIPO],DADOS!$AB$4,tabela_registros[CATEGORIA],investirrendavariávelconsolidado282931[[#This Row],[ATUAL]])</f>
        <v>0</v>
      </c>
      <c r="AD135" s="119" t="n">
        <f aca="false">SUMIFS(tabela_registros[VALOR],tabela_registros[MÊS],$AE$1,tabela_registros[DIA],investirrendavariávelconsolidado282931[[#Headers],[26]],tabela_registros[REGISTRO],DADOS!$N$5,tabela_registros[TIPO],DADOS!$AB$4,tabela_registros[CATEGORIA],investirrendavariávelconsolidado282931[[#This Row],[ATUAL]])</f>
        <v>0</v>
      </c>
      <c r="AE135" s="119" t="n">
        <f aca="false">SUMIFS(tabela_registros[VALOR],tabela_registros[MÊS],$AE$1,tabela_registros[DIA],investirrendavariávelconsolidado282931[[#Headers],[27]],tabela_registros[REGISTRO],DADOS!$N$5,tabela_registros[TIPO],DADOS!$AB$4,tabela_registros[CATEGORIA],investirrendavariávelconsolidado282931[[#This Row],[ATUAL]])</f>
        <v>0</v>
      </c>
      <c r="AF135" s="119" t="n">
        <f aca="false">SUMIFS(tabela_registros[VALOR],tabela_registros[MÊS],$AE$1,tabela_registros[DIA],investirrendavariávelconsolidado282931[[#Headers],[28]],tabela_registros[REGISTRO],DADOS!$N$5,tabela_registros[TIPO],DADOS!$AB$4,tabela_registros[CATEGORIA],investirrendavariávelconsolidado282931[[#This Row],[ATUAL]])</f>
        <v>0</v>
      </c>
      <c r="AG135" s="119" t="n">
        <f aca="false">SUMIFS(tabela_registros[VALOR],tabela_registros[MÊS],$AE$1,tabela_registros[DIA],investirrendavariávelconsolidado282931[[#Headers],[29]],tabela_registros[REGISTRO],DADOS!$N$5,tabela_registros[TIPO],DADOS!$AB$4,tabela_registros[CATEGORIA],investirrendavariávelconsolidado282931[[#This Row],[ATUAL]])</f>
        <v>0</v>
      </c>
      <c r="AH135" s="119" t="n">
        <f aca="false">SUMIFS(tabela_registros[VALOR],tabela_registros[MÊS],$AE$1,tabela_registros[DIA],investirrendavariávelconsolidado282931[[#Headers],[30]],tabela_registros[REGISTRO],DADOS!$N$5,tabela_registros[TIPO],DADOS!$AB$4,tabela_registros[CATEGORIA],investirrendavariávelconsolidado282931[[#This Row],[ATUAL]])</f>
        <v>0</v>
      </c>
      <c r="AI135" s="217" t="n">
        <f aca="false">SUMIFS(tabela_registros[VALOR],tabela_registros[MÊS],$AE$1,tabela_registros[DIA],investirrendavariávelconsolidado282931[[#Headers],[31]],tabela_registros[REGISTRO],DADOS!$N$5,tabela_registros[TIPO],DADOS!$AB$4,tabela_registros[CATEGORIA],investirrendavariávelconsolidado282931[[#This Row],[ATUAL]])</f>
        <v>0</v>
      </c>
      <c r="AJ135" s="149" t="n">
        <f aca="false">SUM(investirrendavariávelconsolidado282931[[#This Row],[1]:[31]])</f>
        <v>0</v>
      </c>
      <c r="AK135" s="234"/>
      <c r="AL135" s="189"/>
    </row>
    <row r="136" customFormat="false" ht="19.5" hidden="false" customHeight="true" outlineLevel="0" collapsed="false">
      <c r="A136" s="189"/>
      <c r="B136" s="213"/>
      <c r="C136" s="214" t="str">
        <f aca="false">DADOS!$AF$7</f>
        <v>📝 CRIPTOMOEDA</v>
      </c>
      <c r="D136" s="215" t="str">
        <f aca="false">IF(investirrendavariávelconsolidado282931[[#This Row],[TOTAL (R$)]]=0,"",IF(OR(investirrendavariávelconsolidado282931[[#This Row],[TOTAL (R$)]]=LARGE($AJ$132:$AJ$141,1),investirrendavariávelconsolidado282931[[#This Row],[TOTAL (R$)]]=LARGE($AJ$132:$AJ$141,2)),DADOS!$I$10,""))</f>
        <v/>
      </c>
      <c r="E136" s="148" t="n">
        <f aca="false">SUMIFS(tabela_registros[VALOR],tabela_registros[MÊS],$AE$1,tabela_registros[DIA],investirrendavariávelconsolidado282931[[#Headers],[1]],tabela_registros[REGISTRO],DADOS!$N$5,tabela_registros[TIPO],DADOS!$AB$4,tabela_registros[CATEGORIA],investirrendavariávelconsolidado282931[[#This Row],[ATUAL]])</f>
        <v>0</v>
      </c>
      <c r="F136" s="119" t="n">
        <f aca="false">SUMIFS(tabela_registros[VALOR],tabela_registros[MÊS],$AE$1,tabela_registros[DIA],investirrendavariávelconsolidado282931[[#Headers],[2]],tabela_registros[REGISTRO],DADOS!$N$5,tabela_registros[TIPO],DADOS!$AB$4,tabela_registros[CATEGORIA],investirrendavariávelconsolidado282931[[#This Row],[ATUAL]])</f>
        <v>0</v>
      </c>
      <c r="G136" s="119" t="n">
        <f aca="false">SUMIFS(tabela_registros[VALOR],tabela_registros[MÊS],$AE$1,tabela_registros[DIA],investirrendavariávelconsolidado282931[[#Headers],[3]],tabela_registros[REGISTRO],DADOS!$N$5,tabela_registros[TIPO],DADOS!$AB$4,tabela_registros[CATEGORIA],investirrendavariávelconsolidado282931[[#This Row],[ATUAL]])</f>
        <v>0</v>
      </c>
      <c r="H136" s="119" t="n">
        <f aca="false">SUMIFS(tabela_registros[VALOR],tabela_registros[MÊS],$AE$1,tabela_registros[DIA],investirrendavariávelconsolidado282931[[#Headers],[4]],tabela_registros[REGISTRO],DADOS!$N$5,tabela_registros[TIPO],DADOS!$AB$4,tabela_registros[CATEGORIA],investirrendavariávelconsolidado282931[[#This Row],[ATUAL]])</f>
        <v>0</v>
      </c>
      <c r="I136" s="119" t="n">
        <f aca="false">SUMIFS(tabela_registros[VALOR],tabela_registros[MÊS],$AE$1,tabela_registros[DIA],investirrendavariávelconsolidado282931[[#Headers],[5]],tabela_registros[REGISTRO],DADOS!$N$5,tabela_registros[TIPO],DADOS!$AB$4,tabela_registros[CATEGORIA],investirrendavariávelconsolidado282931[[#This Row],[ATUAL]])</f>
        <v>0</v>
      </c>
      <c r="J136" s="119" t="n">
        <f aca="false">SUMIFS(tabela_registros[VALOR],tabela_registros[MÊS],$AE$1,tabela_registros[DIA],investirrendavariávelconsolidado282931[[#Headers],[6]],tabela_registros[REGISTRO],DADOS!$N$5,tabela_registros[TIPO],DADOS!$AB$4,tabela_registros[CATEGORIA],investirrendavariávelconsolidado282931[[#This Row],[ATUAL]])</f>
        <v>0</v>
      </c>
      <c r="K136" s="119" t="n">
        <f aca="false">SUMIFS(tabela_registros[VALOR],tabela_registros[MÊS],$AE$1,tabela_registros[DIA],investirrendavariávelconsolidado282931[[#Headers],[7]],tabela_registros[REGISTRO],DADOS!$N$5,tabela_registros[TIPO],DADOS!$AB$4,tabela_registros[CATEGORIA],investirrendavariávelconsolidado282931[[#This Row],[ATUAL]])</f>
        <v>0</v>
      </c>
      <c r="L136" s="119" t="n">
        <f aca="false">SUMIFS(tabela_registros[VALOR],tabela_registros[MÊS],$AE$1,tabela_registros[DIA],investirrendavariávelconsolidado282931[[#Headers],[8]],tabela_registros[REGISTRO],DADOS!$N$5,tabela_registros[TIPO],DADOS!$AB$4,tabela_registros[CATEGORIA],investirrendavariávelconsolidado282931[[#This Row],[ATUAL]])</f>
        <v>0</v>
      </c>
      <c r="M136" s="119" t="n">
        <f aca="false">SUMIFS(tabela_registros[VALOR],tabela_registros[MÊS],$AE$1,tabela_registros[DIA],investirrendavariávelconsolidado282931[[#Headers],[9]],tabela_registros[REGISTRO],DADOS!$N$5,tabela_registros[TIPO],DADOS!$AB$4,tabela_registros[CATEGORIA],investirrendavariávelconsolidado282931[[#This Row],[ATUAL]])</f>
        <v>0</v>
      </c>
      <c r="N136" s="119" t="n">
        <f aca="false">SUMIFS(tabela_registros[VALOR],tabela_registros[MÊS],$AE$1,tabela_registros[DIA],investirrendavariávelconsolidado282931[[#Headers],[10]],tabela_registros[REGISTRO],DADOS!$N$5,tabela_registros[TIPO],DADOS!$AB$4,tabela_registros[CATEGORIA],investirrendavariávelconsolidado282931[[#This Row],[ATUAL]])</f>
        <v>0</v>
      </c>
      <c r="O136" s="119" t="n">
        <f aca="false">SUMIFS(tabela_registros[VALOR],tabela_registros[MÊS],$AE$1,tabela_registros[DIA],investirrendavariávelconsolidado282931[[#Headers],[11]],tabela_registros[REGISTRO],DADOS!$N$5,tabela_registros[TIPO],DADOS!$AB$4,tabela_registros[CATEGORIA],investirrendavariávelconsolidado282931[[#This Row],[ATUAL]])</f>
        <v>0</v>
      </c>
      <c r="P136" s="119" t="n">
        <f aca="false">SUMIFS(tabela_registros[VALOR],tabela_registros[MÊS],$AE$1,tabela_registros[DIA],investirrendavariávelconsolidado282931[[#Headers],[12]],tabela_registros[REGISTRO],DADOS!$N$5,tabela_registros[TIPO],DADOS!$AB$4,tabela_registros[CATEGORIA],investirrendavariávelconsolidado282931[[#This Row],[ATUAL]])</f>
        <v>0</v>
      </c>
      <c r="Q136" s="119" t="n">
        <f aca="false">SUMIFS(tabela_registros[VALOR],tabela_registros[MÊS],$AE$1,tabela_registros[DIA],investirrendavariávelconsolidado282931[[#Headers],[13]],tabela_registros[REGISTRO],DADOS!$N$5,tabela_registros[TIPO],DADOS!$AB$4,tabela_registros[CATEGORIA],investirrendavariávelconsolidado282931[[#This Row],[ATUAL]])</f>
        <v>0</v>
      </c>
      <c r="R136" s="119" t="n">
        <f aca="false">SUMIFS(tabela_registros[VALOR],tabela_registros[MÊS],$AE$1,tabela_registros[DIA],investirrendavariávelconsolidado282931[[#Headers],[14]],tabela_registros[REGISTRO],DADOS!$N$5,tabela_registros[TIPO],DADOS!$AB$4,tabela_registros[CATEGORIA],investirrendavariávelconsolidado282931[[#This Row],[ATUAL]])</f>
        <v>0</v>
      </c>
      <c r="S136" s="119" t="n">
        <f aca="false">SUMIFS(tabela_registros[VALOR],tabela_registros[MÊS],$AE$1,tabela_registros[DIA],investirrendavariávelconsolidado282931[[#Headers],[15]],tabela_registros[REGISTRO],DADOS!$N$5,tabela_registros[TIPO],DADOS!$AB$4,tabela_registros[CATEGORIA],investirrendavariávelconsolidado282931[[#This Row],[ATUAL]])</f>
        <v>0</v>
      </c>
      <c r="T136" s="119" t="n">
        <f aca="false">SUMIFS(tabela_registros[VALOR],tabela_registros[MÊS],$AE$1,tabela_registros[DIA],investirrendavariávelconsolidado282931[[#Headers],[16]],tabela_registros[REGISTRO],DADOS!$N$5,tabela_registros[TIPO],DADOS!$AB$4,tabela_registros[CATEGORIA],investirrendavariávelconsolidado282931[[#This Row],[ATUAL]])</f>
        <v>0</v>
      </c>
      <c r="U136" s="119" t="n">
        <f aca="false">SUMIFS(tabela_registros[VALOR],tabela_registros[MÊS],$AE$1,tabela_registros[DIA],investirrendavariávelconsolidado282931[[#Headers],[17]],tabela_registros[REGISTRO],DADOS!$N$5,tabela_registros[TIPO],DADOS!$AB$4,tabela_registros[CATEGORIA],investirrendavariávelconsolidado282931[[#This Row],[ATUAL]])</f>
        <v>0</v>
      </c>
      <c r="V136" s="119" t="n">
        <f aca="false">SUMIFS(tabela_registros[VALOR],tabela_registros[MÊS],$AE$1,tabela_registros[DIA],investirrendavariávelconsolidado282931[[#Headers],[18]],tabela_registros[REGISTRO],DADOS!$N$5,tabela_registros[TIPO],DADOS!$AB$4,tabela_registros[CATEGORIA],investirrendavariávelconsolidado282931[[#This Row],[ATUAL]])</f>
        <v>0</v>
      </c>
      <c r="W136" s="119" t="n">
        <f aca="false">SUMIFS(tabela_registros[VALOR],tabela_registros[MÊS],$AE$1,tabela_registros[DIA],investirrendavariávelconsolidado282931[[#Headers],[19]],tabela_registros[REGISTRO],DADOS!$N$5,tabela_registros[TIPO],DADOS!$AB$4,tabela_registros[CATEGORIA],investirrendavariávelconsolidado282931[[#This Row],[ATUAL]])</f>
        <v>0</v>
      </c>
      <c r="X136" s="119" t="n">
        <f aca="false">SUMIFS(tabela_registros[VALOR],tabela_registros[MÊS],$AE$1,tabela_registros[DIA],investirrendavariávelconsolidado282931[[#Headers],[20]],tabela_registros[REGISTRO],DADOS!$N$5,tabela_registros[TIPO],DADOS!$AB$4,tabela_registros[CATEGORIA],investirrendavariávelconsolidado282931[[#This Row],[ATUAL]])</f>
        <v>0</v>
      </c>
      <c r="Y136" s="119" t="n">
        <f aca="false">SUMIFS(tabela_registros[VALOR],tabela_registros[MÊS],$AE$1,tabela_registros[DIA],investirrendavariávelconsolidado282931[[#Headers],[21]],tabela_registros[REGISTRO],DADOS!$N$5,tabela_registros[TIPO],DADOS!$AB$4,tabela_registros[CATEGORIA],investirrendavariávelconsolidado282931[[#This Row],[ATUAL]])</f>
        <v>0</v>
      </c>
      <c r="Z136" s="119" t="n">
        <f aca="false">SUMIFS(tabela_registros[VALOR],tabela_registros[MÊS],$AE$1,tabela_registros[DIA],investirrendavariávelconsolidado282931[[#Headers],[22]],tabela_registros[REGISTRO],DADOS!$N$5,tabela_registros[TIPO],DADOS!$AB$4,tabela_registros[CATEGORIA],investirrendavariávelconsolidado282931[[#This Row],[ATUAL]])</f>
        <v>0</v>
      </c>
      <c r="AA136" s="119" t="n">
        <f aca="false">SUMIFS(tabela_registros[VALOR],tabela_registros[MÊS],$AE$1,tabela_registros[DIA],investirrendavariávelconsolidado282931[[#Headers],[23]],tabela_registros[REGISTRO],DADOS!$N$5,tabela_registros[TIPO],DADOS!$AB$4,tabela_registros[CATEGORIA],investirrendavariávelconsolidado282931[[#This Row],[ATUAL]])</f>
        <v>0</v>
      </c>
      <c r="AB136" s="119" t="n">
        <f aca="false">SUMIFS(tabela_registros[VALOR],tabela_registros[MÊS],$AE$1,tabela_registros[DIA],investirrendavariávelconsolidado282931[[#Headers],[24]],tabela_registros[REGISTRO],DADOS!$N$5,tabela_registros[TIPO],DADOS!$AB$4,tabela_registros[CATEGORIA],investirrendavariávelconsolidado282931[[#This Row],[ATUAL]])</f>
        <v>0</v>
      </c>
      <c r="AC136" s="119" t="n">
        <f aca="false">SUMIFS(tabela_registros[VALOR],tabela_registros[MÊS],$AE$1,tabela_registros[DIA],investirrendavariávelconsolidado282931[[#Headers],[25]],tabela_registros[REGISTRO],DADOS!$N$5,tabela_registros[TIPO],DADOS!$AB$4,tabela_registros[CATEGORIA],investirrendavariávelconsolidado282931[[#This Row],[ATUAL]])</f>
        <v>0</v>
      </c>
      <c r="AD136" s="119" t="n">
        <f aca="false">SUMIFS(tabela_registros[VALOR],tabela_registros[MÊS],$AE$1,tabela_registros[DIA],investirrendavariávelconsolidado282931[[#Headers],[26]],tabela_registros[REGISTRO],DADOS!$N$5,tabela_registros[TIPO],DADOS!$AB$4,tabela_registros[CATEGORIA],investirrendavariávelconsolidado282931[[#This Row],[ATUAL]])</f>
        <v>0</v>
      </c>
      <c r="AE136" s="119" t="n">
        <f aca="false">SUMIFS(tabela_registros[VALOR],tabela_registros[MÊS],$AE$1,tabela_registros[DIA],investirrendavariávelconsolidado282931[[#Headers],[27]],tabela_registros[REGISTRO],DADOS!$N$5,tabela_registros[TIPO],DADOS!$AB$4,tabela_registros[CATEGORIA],investirrendavariávelconsolidado282931[[#This Row],[ATUAL]])</f>
        <v>0</v>
      </c>
      <c r="AF136" s="119" t="n">
        <f aca="false">SUMIFS(tabela_registros[VALOR],tabela_registros[MÊS],$AE$1,tabela_registros[DIA],investirrendavariávelconsolidado282931[[#Headers],[28]],tabela_registros[REGISTRO],DADOS!$N$5,tabela_registros[TIPO],DADOS!$AB$4,tabela_registros[CATEGORIA],investirrendavariávelconsolidado282931[[#This Row],[ATUAL]])</f>
        <v>0</v>
      </c>
      <c r="AG136" s="119" t="n">
        <f aca="false">SUMIFS(tabela_registros[VALOR],tabela_registros[MÊS],$AE$1,tabela_registros[DIA],investirrendavariávelconsolidado282931[[#Headers],[29]],tabela_registros[REGISTRO],DADOS!$N$5,tabela_registros[TIPO],DADOS!$AB$4,tabela_registros[CATEGORIA],investirrendavariávelconsolidado282931[[#This Row],[ATUAL]])</f>
        <v>0</v>
      </c>
      <c r="AH136" s="119" t="n">
        <f aca="false">SUMIFS(tabela_registros[VALOR],tabela_registros[MÊS],$AE$1,tabela_registros[DIA],investirrendavariávelconsolidado282931[[#Headers],[30]],tabela_registros[REGISTRO],DADOS!$N$5,tabela_registros[TIPO],DADOS!$AB$4,tabela_registros[CATEGORIA],investirrendavariávelconsolidado282931[[#This Row],[ATUAL]])</f>
        <v>0</v>
      </c>
      <c r="AI136" s="217" t="n">
        <f aca="false">SUMIFS(tabela_registros[VALOR],tabela_registros[MÊS],$AE$1,tabela_registros[DIA],investirrendavariávelconsolidado282931[[#Headers],[31]],tabela_registros[REGISTRO],DADOS!$N$5,tabela_registros[TIPO],DADOS!$AB$4,tabela_registros[CATEGORIA],investirrendavariávelconsolidado282931[[#This Row],[ATUAL]])</f>
        <v>0</v>
      </c>
      <c r="AJ136" s="237" t="n">
        <f aca="false">SUM(investirrendavariávelconsolidado282931[[#This Row],[1]:[31]])</f>
        <v>0</v>
      </c>
      <c r="AK136" s="234"/>
      <c r="AL136" s="189"/>
    </row>
    <row r="137" customFormat="false" ht="19.5" hidden="false" customHeight="true" outlineLevel="0" collapsed="false">
      <c r="A137" s="189"/>
      <c r="B137" s="213"/>
      <c r="C137" s="214" t="str">
        <f aca="false">DADOS!$AF$8</f>
        <v>📝 ETF</v>
      </c>
      <c r="D137" s="215" t="str">
        <f aca="false">IF(investirrendavariávelconsolidado282931[[#This Row],[TOTAL (R$)]]=0,"",IF(OR(investirrendavariávelconsolidado282931[[#This Row],[TOTAL (R$)]]=LARGE($AJ$132:$AJ$141,1),investirrendavariávelconsolidado282931[[#This Row],[TOTAL (R$)]]=LARGE($AJ$132:$AJ$141,2)),DADOS!$I$10,""))</f>
        <v/>
      </c>
      <c r="E137" s="148" t="n">
        <f aca="false">SUMIFS(tabela_registros[VALOR],tabela_registros[MÊS],$AE$1,tabela_registros[DIA],investirrendavariávelconsolidado282931[[#Headers],[1]],tabela_registros[REGISTRO],DADOS!$N$5,tabela_registros[TIPO],DADOS!$AB$4,tabela_registros[CATEGORIA],investirrendavariávelconsolidado282931[[#This Row],[ATUAL]])</f>
        <v>0</v>
      </c>
      <c r="F137" s="119" t="n">
        <f aca="false">SUMIFS(tabela_registros[VALOR],tabela_registros[MÊS],$AE$1,tabela_registros[DIA],investirrendavariávelconsolidado282931[[#Headers],[2]],tabela_registros[REGISTRO],DADOS!$N$5,tabela_registros[TIPO],DADOS!$AB$4,tabela_registros[CATEGORIA],investirrendavariávelconsolidado282931[[#This Row],[ATUAL]])</f>
        <v>0</v>
      </c>
      <c r="G137" s="119" t="n">
        <f aca="false">SUMIFS(tabela_registros[VALOR],tabela_registros[MÊS],$AE$1,tabela_registros[DIA],investirrendavariávelconsolidado282931[[#Headers],[3]],tabela_registros[REGISTRO],DADOS!$N$5,tabela_registros[TIPO],DADOS!$AB$4,tabela_registros[CATEGORIA],investirrendavariávelconsolidado282931[[#This Row],[ATUAL]])</f>
        <v>0</v>
      </c>
      <c r="H137" s="119" t="n">
        <f aca="false">SUMIFS(tabela_registros[VALOR],tabela_registros[MÊS],$AE$1,tabela_registros[DIA],investirrendavariávelconsolidado282931[[#Headers],[4]],tabela_registros[REGISTRO],DADOS!$N$5,tabela_registros[TIPO],DADOS!$AB$4,tabela_registros[CATEGORIA],investirrendavariávelconsolidado282931[[#This Row],[ATUAL]])</f>
        <v>0</v>
      </c>
      <c r="I137" s="119" t="n">
        <f aca="false">SUMIFS(tabela_registros[VALOR],tabela_registros[MÊS],$AE$1,tabela_registros[DIA],investirrendavariávelconsolidado282931[[#Headers],[5]],tabela_registros[REGISTRO],DADOS!$N$5,tabela_registros[TIPO],DADOS!$AB$4,tabela_registros[CATEGORIA],investirrendavariávelconsolidado282931[[#This Row],[ATUAL]])</f>
        <v>0</v>
      </c>
      <c r="J137" s="119" t="n">
        <f aca="false">SUMIFS(tabela_registros[VALOR],tabela_registros[MÊS],$AE$1,tabela_registros[DIA],investirrendavariávelconsolidado282931[[#Headers],[6]],tabela_registros[REGISTRO],DADOS!$N$5,tabela_registros[TIPO],DADOS!$AB$4,tabela_registros[CATEGORIA],investirrendavariávelconsolidado282931[[#This Row],[ATUAL]])</f>
        <v>0</v>
      </c>
      <c r="K137" s="119" t="n">
        <f aca="false">SUMIFS(tabela_registros[VALOR],tabela_registros[MÊS],$AE$1,tabela_registros[DIA],investirrendavariávelconsolidado282931[[#Headers],[7]],tabela_registros[REGISTRO],DADOS!$N$5,tabela_registros[TIPO],DADOS!$AB$4,tabela_registros[CATEGORIA],investirrendavariávelconsolidado282931[[#This Row],[ATUAL]])</f>
        <v>0</v>
      </c>
      <c r="L137" s="119" t="n">
        <f aca="false">SUMIFS(tabela_registros[VALOR],tabela_registros[MÊS],$AE$1,tabela_registros[DIA],investirrendavariávelconsolidado282931[[#Headers],[8]],tabela_registros[REGISTRO],DADOS!$N$5,tabela_registros[TIPO],DADOS!$AB$4,tabela_registros[CATEGORIA],investirrendavariávelconsolidado282931[[#This Row],[ATUAL]])</f>
        <v>0</v>
      </c>
      <c r="M137" s="119" t="n">
        <f aca="false">SUMIFS(tabela_registros[VALOR],tabela_registros[MÊS],$AE$1,tabela_registros[DIA],investirrendavariávelconsolidado282931[[#Headers],[9]],tabela_registros[REGISTRO],DADOS!$N$5,tabela_registros[TIPO],DADOS!$AB$4,tabela_registros[CATEGORIA],investirrendavariávelconsolidado282931[[#This Row],[ATUAL]])</f>
        <v>0</v>
      </c>
      <c r="N137" s="119" t="n">
        <f aca="false">SUMIFS(tabela_registros[VALOR],tabela_registros[MÊS],$AE$1,tabela_registros[DIA],investirrendavariávelconsolidado282931[[#Headers],[10]],tabela_registros[REGISTRO],DADOS!$N$5,tabela_registros[TIPO],DADOS!$AB$4,tabela_registros[CATEGORIA],investirrendavariávelconsolidado282931[[#This Row],[ATUAL]])</f>
        <v>0</v>
      </c>
      <c r="O137" s="119" t="n">
        <f aca="false">SUMIFS(tabela_registros[VALOR],tabela_registros[MÊS],$AE$1,tabela_registros[DIA],investirrendavariávelconsolidado282931[[#Headers],[11]],tabela_registros[REGISTRO],DADOS!$N$5,tabela_registros[TIPO],DADOS!$AB$4,tabela_registros[CATEGORIA],investirrendavariávelconsolidado282931[[#This Row],[ATUAL]])</f>
        <v>0</v>
      </c>
      <c r="P137" s="119" t="n">
        <f aca="false">SUMIFS(tabela_registros[VALOR],tabela_registros[MÊS],$AE$1,tabela_registros[DIA],investirrendavariávelconsolidado282931[[#Headers],[12]],tabela_registros[REGISTRO],DADOS!$N$5,tabela_registros[TIPO],DADOS!$AB$4,tabela_registros[CATEGORIA],investirrendavariávelconsolidado282931[[#This Row],[ATUAL]])</f>
        <v>0</v>
      </c>
      <c r="Q137" s="119" t="n">
        <f aca="false">SUMIFS(tabela_registros[VALOR],tabela_registros[MÊS],$AE$1,tabela_registros[DIA],investirrendavariávelconsolidado282931[[#Headers],[13]],tabela_registros[REGISTRO],DADOS!$N$5,tabela_registros[TIPO],DADOS!$AB$4,tabela_registros[CATEGORIA],investirrendavariávelconsolidado282931[[#This Row],[ATUAL]])</f>
        <v>0</v>
      </c>
      <c r="R137" s="119" t="n">
        <f aca="false">SUMIFS(tabela_registros[VALOR],tabela_registros[MÊS],$AE$1,tabela_registros[DIA],investirrendavariávelconsolidado282931[[#Headers],[14]],tabela_registros[REGISTRO],DADOS!$N$5,tabela_registros[TIPO],DADOS!$AB$4,tabela_registros[CATEGORIA],investirrendavariávelconsolidado282931[[#This Row],[ATUAL]])</f>
        <v>0</v>
      </c>
      <c r="S137" s="119" t="n">
        <f aca="false">SUMIFS(tabela_registros[VALOR],tabela_registros[MÊS],$AE$1,tabela_registros[DIA],investirrendavariávelconsolidado282931[[#Headers],[15]],tabela_registros[REGISTRO],DADOS!$N$5,tabela_registros[TIPO],DADOS!$AB$4,tabela_registros[CATEGORIA],investirrendavariávelconsolidado282931[[#This Row],[ATUAL]])</f>
        <v>0</v>
      </c>
      <c r="T137" s="119" t="n">
        <f aca="false">SUMIFS(tabela_registros[VALOR],tabela_registros[MÊS],$AE$1,tabela_registros[DIA],investirrendavariávelconsolidado282931[[#Headers],[16]],tabela_registros[REGISTRO],DADOS!$N$5,tabela_registros[TIPO],DADOS!$AB$4,tabela_registros[CATEGORIA],investirrendavariávelconsolidado282931[[#This Row],[ATUAL]])</f>
        <v>0</v>
      </c>
      <c r="U137" s="119" t="n">
        <f aca="false">SUMIFS(tabela_registros[VALOR],tabela_registros[MÊS],$AE$1,tabela_registros[DIA],investirrendavariávelconsolidado282931[[#Headers],[17]],tabela_registros[REGISTRO],DADOS!$N$5,tabela_registros[TIPO],DADOS!$AB$4,tabela_registros[CATEGORIA],investirrendavariávelconsolidado282931[[#This Row],[ATUAL]])</f>
        <v>0</v>
      </c>
      <c r="V137" s="119" t="n">
        <f aca="false">SUMIFS(tabela_registros[VALOR],tabela_registros[MÊS],$AE$1,tabela_registros[DIA],investirrendavariávelconsolidado282931[[#Headers],[18]],tabela_registros[REGISTRO],DADOS!$N$5,tabela_registros[TIPO],DADOS!$AB$4,tabela_registros[CATEGORIA],investirrendavariávelconsolidado282931[[#This Row],[ATUAL]])</f>
        <v>0</v>
      </c>
      <c r="W137" s="119" t="n">
        <f aca="false">SUMIFS(tabela_registros[VALOR],tabela_registros[MÊS],$AE$1,tabela_registros[DIA],investirrendavariávelconsolidado282931[[#Headers],[19]],tabela_registros[REGISTRO],DADOS!$N$5,tabela_registros[TIPO],DADOS!$AB$4,tabela_registros[CATEGORIA],investirrendavariávelconsolidado282931[[#This Row],[ATUAL]])</f>
        <v>0</v>
      </c>
      <c r="X137" s="119" t="n">
        <f aca="false">SUMIFS(tabela_registros[VALOR],tabela_registros[MÊS],$AE$1,tabela_registros[DIA],investirrendavariávelconsolidado282931[[#Headers],[20]],tabela_registros[REGISTRO],DADOS!$N$5,tabela_registros[TIPO],DADOS!$AB$4,tabela_registros[CATEGORIA],investirrendavariávelconsolidado282931[[#This Row],[ATUAL]])</f>
        <v>0</v>
      </c>
      <c r="Y137" s="119" t="n">
        <f aca="false">SUMIFS(tabela_registros[VALOR],tabela_registros[MÊS],$AE$1,tabela_registros[DIA],investirrendavariávelconsolidado282931[[#Headers],[21]],tabela_registros[REGISTRO],DADOS!$N$5,tabela_registros[TIPO],DADOS!$AB$4,tabela_registros[CATEGORIA],investirrendavariávelconsolidado282931[[#This Row],[ATUAL]])</f>
        <v>0</v>
      </c>
      <c r="Z137" s="119" t="n">
        <f aca="false">SUMIFS(tabela_registros[VALOR],tabela_registros[MÊS],$AE$1,tabela_registros[DIA],investirrendavariávelconsolidado282931[[#Headers],[22]],tabela_registros[REGISTRO],DADOS!$N$5,tabela_registros[TIPO],DADOS!$AB$4,tabela_registros[CATEGORIA],investirrendavariávelconsolidado282931[[#This Row],[ATUAL]])</f>
        <v>0</v>
      </c>
      <c r="AA137" s="119" t="n">
        <f aca="false">SUMIFS(tabela_registros[VALOR],tabela_registros[MÊS],$AE$1,tabela_registros[DIA],investirrendavariávelconsolidado282931[[#Headers],[23]],tabela_registros[REGISTRO],DADOS!$N$5,tabela_registros[TIPO],DADOS!$AB$4,tabela_registros[CATEGORIA],investirrendavariávelconsolidado282931[[#This Row],[ATUAL]])</f>
        <v>0</v>
      </c>
      <c r="AB137" s="119" t="n">
        <f aca="false">SUMIFS(tabela_registros[VALOR],tabela_registros[MÊS],$AE$1,tabela_registros[DIA],investirrendavariávelconsolidado282931[[#Headers],[24]],tabela_registros[REGISTRO],DADOS!$N$5,tabela_registros[TIPO],DADOS!$AB$4,tabela_registros[CATEGORIA],investirrendavariávelconsolidado282931[[#This Row],[ATUAL]])</f>
        <v>0</v>
      </c>
      <c r="AC137" s="119" t="n">
        <f aca="false">SUMIFS(tabela_registros[VALOR],tabela_registros[MÊS],$AE$1,tabela_registros[DIA],investirrendavariávelconsolidado282931[[#Headers],[25]],tabela_registros[REGISTRO],DADOS!$N$5,tabela_registros[TIPO],DADOS!$AB$4,tabela_registros[CATEGORIA],investirrendavariávelconsolidado282931[[#This Row],[ATUAL]])</f>
        <v>0</v>
      </c>
      <c r="AD137" s="119" t="n">
        <f aca="false">SUMIFS(tabela_registros[VALOR],tabela_registros[MÊS],$AE$1,tabela_registros[DIA],investirrendavariávelconsolidado282931[[#Headers],[26]],tabela_registros[REGISTRO],DADOS!$N$5,tabela_registros[TIPO],DADOS!$AB$4,tabela_registros[CATEGORIA],investirrendavariávelconsolidado282931[[#This Row],[ATUAL]])</f>
        <v>0</v>
      </c>
      <c r="AE137" s="119" t="n">
        <f aca="false">SUMIFS(tabela_registros[VALOR],tabela_registros[MÊS],$AE$1,tabela_registros[DIA],investirrendavariávelconsolidado282931[[#Headers],[27]],tabela_registros[REGISTRO],DADOS!$N$5,tabela_registros[TIPO],DADOS!$AB$4,tabela_registros[CATEGORIA],investirrendavariávelconsolidado282931[[#This Row],[ATUAL]])</f>
        <v>0</v>
      </c>
      <c r="AF137" s="119" t="n">
        <f aca="false">SUMIFS(tabela_registros[VALOR],tabela_registros[MÊS],$AE$1,tabela_registros[DIA],investirrendavariávelconsolidado282931[[#Headers],[28]],tabela_registros[REGISTRO],DADOS!$N$5,tabela_registros[TIPO],DADOS!$AB$4,tabela_registros[CATEGORIA],investirrendavariávelconsolidado282931[[#This Row],[ATUAL]])</f>
        <v>0</v>
      </c>
      <c r="AG137" s="119" t="n">
        <f aca="false">SUMIFS(tabela_registros[VALOR],tabela_registros[MÊS],$AE$1,tabela_registros[DIA],investirrendavariávelconsolidado282931[[#Headers],[29]],tabela_registros[REGISTRO],DADOS!$N$5,tabela_registros[TIPO],DADOS!$AB$4,tabela_registros[CATEGORIA],investirrendavariávelconsolidado282931[[#This Row],[ATUAL]])</f>
        <v>0</v>
      </c>
      <c r="AH137" s="119" t="n">
        <f aca="false">SUMIFS(tabela_registros[VALOR],tabela_registros[MÊS],$AE$1,tabela_registros[DIA],investirrendavariávelconsolidado282931[[#Headers],[30]],tabela_registros[REGISTRO],DADOS!$N$5,tabela_registros[TIPO],DADOS!$AB$4,tabela_registros[CATEGORIA],investirrendavariávelconsolidado282931[[#This Row],[ATUAL]])</f>
        <v>0</v>
      </c>
      <c r="AI137" s="217" t="n">
        <f aca="false">SUMIFS(tabela_registros[VALOR],tabela_registros[MÊS],$AE$1,tabela_registros[DIA],investirrendavariávelconsolidado282931[[#Headers],[31]],tabela_registros[REGISTRO],DADOS!$N$5,tabela_registros[TIPO],DADOS!$AB$4,tabela_registros[CATEGORIA],investirrendavariávelconsolidado282931[[#This Row],[ATUAL]])</f>
        <v>0</v>
      </c>
      <c r="AJ137" s="237" t="n">
        <f aca="false">SUM(investirrendavariávelconsolidado282931[[#This Row],[1]:[31]])</f>
        <v>0</v>
      </c>
      <c r="AK137" s="234"/>
      <c r="AL137" s="189"/>
    </row>
    <row r="138" customFormat="false" ht="19.5" hidden="false" customHeight="true" outlineLevel="0" collapsed="false">
      <c r="A138" s="189"/>
      <c r="B138" s="213"/>
      <c r="C138" s="214" t="str">
        <f aca="false">DADOS!$AF$9</f>
        <v>📝 EXTERIOR</v>
      </c>
      <c r="D138" s="215" t="str">
        <f aca="false">IF(investirrendavariávelconsolidado282931[[#This Row],[TOTAL (R$)]]=0,"",IF(OR(investirrendavariávelconsolidado282931[[#This Row],[TOTAL (R$)]]=LARGE($AJ$132:$AJ$141,1),investirrendavariávelconsolidado282931[[#This Row],[TOTAL (R$)]]=LARGE($AJ$132:$AJ$141,2)),DADOS!$I$10,""))</f>
        <v/>
      </c>
      <c r="E138" s="148" t="n">
        <f aca="false">SUMIFS(tabela_registros[VALOR],tabela_registros[MÊS],$AE$1,tabela_registros[DIA],investirrendavariávelconsolidado282931[[#Headers],[1]],tabela_registros[REGISTRO],DADOS!$N$5,tabela_registros[TIPO],DADOS!$AB$4,tabela_registros[CATEGORIA],investirrendavariávelconsolidado282931[[#This Row],[ATUAL]])</f>
        <v>0</v>
      </c>
      <c r="F138" s="119" t="n">
        <f aca="false">SUMIFS(tabela_registros[VALOR],tabela_registros[MÊS],$AE$1,tabela_registros[DIA],investirrendavariávelconsolidado282931[[#Headers],[2]],tabela_registros[REGISTRO],DADOS!$N$5,tabela_registros[TIPO],DADOS!$AB$4,tabela_registros[CATEGORIA],investirrendavariávelconsolidado282931[[#This Row],[ATUAL]])</f>
        <v>0</v>
      </c>
      <c r="G138" s="119" t="n">
        <f aca="false">SUMIFS(tabela_registros[VALOR],tabela_registros[MÊS],$AE$1,tabela_registros[DIA],investirrendavariávelconsolidado282931[[#Headers],[3]],tabela_registros[REGISTRO],DADOS!$N$5,tabela_registros[TIPO],DADOS!$AB$4,tabela_registros[CATEGORIA],investirrendavariávelconsolidado282931[[#This Row],[ATUAL]])</f>
        <v>0</v>
      </c>
      <c r="H138" s="119" t="n">
        <f aca="false">SUMIFS(tabela_registros[VALOR],tabela_registros[MÊS],$AE$1,tabela_registros[DIA],investirrendavariávelconsolidado282931[[#Headers],[4]],tabela_registros[REGISTRO],DADOS!$N$5,tabela_registros[TIPO],DADOS!$AB$4,tabela_registros[CATEGORIA],investirrendavariávelconsolidado282931[[#This Row],[ATUAL]])</f>
        <v>0</v>
      </c>
      <c r="I138" s="119" t="n">
        <f aca="false">SUMIFS(tabela_registros[VALOR],tabela_registros[MÊS],$AE$1,tabela_registros[DIA],investirrendavariávelconsolidado282931[[#Headers],[5]],tabela_registros[REGISTRO],DADOS!$N$5,tabela_registros[TIPO],DADOS!$AB$4,tabela_registros[CATEGORIA],investirrendavariávelconsolidado282931[[#This Row],[ATUAL]])</f>
        <v>0</v>
      </c>
      <c r="J138" s="119" t="n">
        <f aca="false">SUMIFS(tabela_registros[VALOR],tabela_registros[MÊS],$AE$1,tabela_registros[DIA],investirrendavariávelconsolidado282931[[#Headers],[6]],tabela_registros[REGISTRO],DADOS!$N$5,tabela_registros[TIPO],DADOS!$AB$4,tabela_registros[CATEGORIA],investirrendavariávelconsolidado282931[[#This Row],[ATUAL]])</f>
        <v>0</v>
      </c>
      <c r="K138" s="119" t="n">
        <f aca="false">SUMIFS(tabela_registros[VALOR],tabela_registros[MÊS],$AE$1,tabela_registros[DIA],investirrendavariávelconsolidado282931[[#Headers],[7]],tabela_registros[REGISTRO],DADOS!$N$5,tabela_registros[TIPO],DADOS!$AB$4,tabela_registros[CATEGORIA],investirrendavariávelconsolidado282931[[#This Row],[ATUAL]])</f>
        <v>0</v>
      </c>
      <c r="L138" s="119" t="n">
        <f aca="false">SUMIFS(tabela_registros[VALOR],tabela_registros[MÊS],$AE$1,tabela_registros[DIA],investirrendavariávelconsolidado282931[[#Headers],[8]],tabela_registros[REGISTRO],DADOS!$N$5,tabela_registros[TIPO],DADOS!$AB$4,tabela_registros[CATEGORIA],investirrendavariávelconsolidado282931[[#This Row],[ATUAL]])</f>
        <v>0</v>
      </c>
      <c r="M138" s="119" t="n">
        <f aca="false">SUMIFS(tabela_registros[VALOR],tabela_registros[MÊS],$AE$1,tabela_registros[DIA],investirrendavariávelconsolidado282931[[#Headers],[9]],tabela_registros[REGISTRO],DADOS!$N$5,tabela_registros[TIPO],DADOS!$AB$4,tabela_registros[CATEGORIA],investirrendavariávelconsolidado282931[[#This Row],[ATUAL]])</f>
        <v>0</v>
      </c>
      <c r="N138" s="119" t="n">
        <f aca="false">SUMIFS(tabela_registros[VALOR],tabela_registros[MÊS],$AE$1,tabela_registros[DIA],investirrendavariávelconsolidado282931[[#Headers],[10]],tabela_registros[REGISTRO],DADOS!$N$5,tabela_registros[TIPO],DADOS!$AB$4,tabela_registros[CATEGORIA],investirrendavariávelconsolidado282931[[#This Row],[ATUAL]])</f>
        <v>0</v>
      </c>
      <c r="O138" s="119" t="n">
        <f aca="false">SUMIFS(tabela_registros[VALOR],tabela_registros[MÊS],$AE$1,tabela_registros[DIA],investirrendavariávelconsolidado282931[[#Headers],[11]],tabela_registros[REGISTRO],DADOS!$N$5,tabela_registros[TIPO],DADOS!$AB$4,tabela_registros[CATEGORIA],investirrendavariávelconsolidado282931[[#This Row],[ATUAL]])</f>
        <v>0</v>
      </c>
      <c r="P138" s="119" t="n">
        <f aca="false">SUMIFS(tabela_registros[VALOR],tabela_registros[MÊS],$AE$1,tabela_registros[DIA],investirrendavariávelconsolidado282931[[#Headers],[12]],tabela_registros[REGISTRO],DADOS!$N$5,tabela_registros[TIPO],DADOS!$AB$4,tabela_registros[CATEGORIA],investirrendavariávelconsolidado282931[[#This Row],[ATUAL]])</f>
        <v>0</v>
      </c>
      <c r="Q138" s="119" t="n">
        <f aca="false">SUMIFS(tabela_registros[VALOR],tabela_registros[MÊS],$AE$1,tabela_registros[DIA],investirrendavariávelconsolidado282931[[#Headers],[13]],tabela_registros[REGISTRO],DADOS!$N$5,tabela_registros[TIPO],DADOS!$AB$4,tabela_registros[CATEGORIA],investirrendavariávelconsolidado282931[[#This Row],[ATUAL]])</f>
        <v>0</v>
      </c>
      <c r="R138" s="119" t="n">
        <f aca="false">SUMIFS(tabela_registros[VALOR],tabela_registros[MÊS],$AE$1,tabela_registros[DIA],investirrendavariávelconsolidado282931[[#Headers],[14]],tabela_registros[REGISTRO],DADOS!$N$5,tabela_registros[TIPO],DADOS!$AB$4,tabela_registros[CATEGORIA],investirrendavariávelconsolidado282931[[#This Row],[ATUAL]])</f>
        <v>0</v>
      </c>
      <c r="S138" s="119" t="n">
        <f aca="false">SUMIFS(tabela_registros[VALOR],tabela_registros[MÊS],$AE$1,tabela_registros[DIA],investirrendavariávelconsolidado282931[[#Headers],[15]],tabela_registros[REGISTRO],DADOS!$N$5,tabela_registros[TIPO],DADOS!$AB$4,tabela_registros[CATEGORIA],investirrendavariávelconsolidado282931[[#This Row],[ATUAL]])</f>
        <v>0</v>
      </c>
      <c r="T138" s="119" t="n">
        <f aca="false">SUMIFS(tabela_registros[VALOR],tabela_registros[MÊS],$AE$1,tabela_registros[DIA],investirrendavariávelconsolidado282931[[#Headers],[16]],tabela_registros[REGISTRO],DADOS!$N$5,tabela_registros[TIPO],DADOS!$AB$4,tabela_registros[CATEGORIA],investirrendavariávelconsolidado282931[[#This Row],[ATUAL]])</f>
        <v>0</v>
      </c>
      <c r="U138" s="119" t="n">
        <f aca="false">SUMIFS(tabela_registros[VALOR],tabela_registros[MÊS],$AE$1,tabela_registros[DIA],investirrendavariávelconsolidado282931[[#Headers],[17]],tabela_registros[REGISTRO],DADOS!$N$5,tabela_registros[TIPO],DADOS!$AB$4,tabela_registros[CATEGORIA],investirrendavariávelconsolidado282931[[#This Row],[ATUAL]])</f>
        <v>0</v>
      </c>
      <c r="V138" s="119" t="n">
        <f aca="false">SUMIFS(tabela_registros[VALOR],tabela_registros[MÊS],$AE$1,tabela_registros[DIA],investirrendavariávelconsolidado282931[[#Headers],[18]],tabela_registros[REGISTRO],DADOS!$N$5,tabela_registros[TIPO],DADOS!$AB$4,tabela_registros[CATEGORIA],investirrendavariávelconsolidado282931[[#This Row],[ATUAL]])</f>
        <v>0</v>
      </c>
      <c r="W138" s="119" t="n">
        <f aca="false">SUMIFS(tabela_registros[VALOR],tabela_registros[MÊS],$AE$1,tabela_registros[DIA],investirrendavariávelconsolidado282931[[#Headers],[19]],tabela_registros[REGISTRO],DADOS!$N$5,tabela_registros[TIPO],DADOS!$AB$4,tabela_registros[CATEGORIA],investirrendavariávelconsolidado282931[[#This Row],[ATUAL]])</f>
        <v>0</v>
      </c>
      <c r="X138" s="119" t="n">
        <f aca="false">SUMIFS(tabela_registros[VALOR],tabela_registros[MÊS],$AE$1,tabela_registros[DIA],investirrendavariávelconsolidado282931[[#Headers],[20]],tabela_registros[REGISTRO],DADOS!$N$5,tabela_registros[TIPO],DADOS!$AB$4,tabela_registros[CATEGORIA],investirrendavariávelconsolidado282931[[#This Row],[ATUAL]])</f>
        <v>0</v>
      </c>
      <c r="Y138" s="119" t="n">
        <f aca="false">SUMIFS(tabela_registros[VALOR],tabela_registros[MÊS],$AE$1,tabela_registros[DIA],investirrendavariávelconsolidado282931[[#Headers],[21]],tabela_registros[REGISTRO],DADOS!$N$5,tabela_registros[TIPO],DADOS!$AB$4,tabela_registros[CATEGORIA],investirrendavariávelconsolidado282931[[#This Row],[ATUAL]])</f>
        <v>0</v>
      </c>
      <c r="Z138" s="119" t="n">
        <f aca="false">SUMIFS(tabela_registros[VALOR],tabela_registros[MÊS],$AE$1,tabela_registros[DIA],investirrendavariávelconsolidado282931[[#Headers],[22]],tabela_registros[REGISTRO],DADOS!$N$5,tabela_registros[TIPO],DADOS!$AB$4,tabela_registros[CATEGORIA],investirrendavariávelconsolidado282931[[#This Row],[ATUAL]])</f>
        <v>0</v>
      </c>
      <c r="AA138" s="119" t="n">
        <f aca="false">SUMIFS(tabela_registros[VALOR],tabela_registros[MÊS],$AE$1,tabela_registros[DIA],investirrendavariávelconsolidado282931[[#Headers],[23]],tabela_registros[REGISTRO],DADOS!$N$5,tabela_registros[TIPO],DADOS!$AB$4,tabela_registros[CATEGORIA],investirrendavariávelconsolidado282931[[#This Row],[ATUAL]])</f>
        <v>0</v>
      </c>
      <c r="AB138" s="119" t="n">
        <f aca="false">SUMIFS(tabela_registros[VALOR],tabela_registros[MÊS],$AE$1,tabela_registros[DIA],investirrendavariávelconsolidado282931[[#Headers],[24]],tabela_registros[REGISTRO],DADOS!$N$5,tabela_registros[TIPO],DADOS!$AB$4,tabela_registros[CATEGORIA],investirrendavariávelconsolidado282931[[#This Row],[ATUAL]])</f>
        <v>0</v>
      </c>
      <c r="AC138" s="119" t="n">
        <f aca="false">SUMIFS(tabela_registros[VALOR],tabela_registros[MÊS],$AE$1,tabela_registros[DIA],investirrendavariávelconsolidado282931[[#Headers],[25]],tabela_registros[REGISTRO],DADOS!$N$5,tabela_registros[TIPO],DADOS!$AB$4,tabela_registros[CATEGORIA],investirrendavariávelconsolidado282931[[#This Row],[ATUAL]])</f>
        <v>0</v>
      </c>
      <c r="AD138" s="119" t="n">
        <f aca="false">SUMIFS(tabela_registros[VALOR],tabela_registros[MÊS],$AE$1,tabela_registros[DIA],investirrendavariávelconsolidado282931[[#Headers],[26]],tabela_registros[REGISTRO],DADOS!$N$5,tabela_registros[TIPO],DADOS!$AB$4,tabela_registros[CATEGORIA],investirrendavariávelconsolidado282931[[#This Row],[ATUAL]])</f>
        <v>0</v>
      </c>
      <c r="AE138" s="119" t="n">
        <f aca="false">SUMIFS(tabela_registros[VALOR],tabela_registros[MÊS],$AE$1,tabela_registros[DIA],investirrendavariávelconsolidado282931[[#Headers],[27]],tabela_registros[REGISTRO],DADOS!$N$5,tabela_registros[TIPO],DADOS!$AB$4,tabela_registros[CATEGORIA],investirrendavariávelconsolidado282931[[#This Row],[ATUAL]])</f>
        <v>0</v>
      </c>
      <c r="AF138" s="119" t="n">
        <f aca="false">SUMIFS(tabela_registros[VALOR],tabela_registros[MÊS],$AE$1,tabela_registros[DIA],investirrendavariávelconsolidado282931[[#Headers],[28]],tabela_registros[REGISTRO],DADOS!$N$5,tabela_registros[TIPO],DADOS!$AB$4,tabela_registros[CATEGORIA],investirrendavariávelconsolidado282931[[#This Row],[ATUAL]])</f>
        <v>0</v>
      </c>
      <c r="AG138" s="119" t="n">
        <f aca="false">SUMIFS(tabela_registros[VALOR],tabela_registros[MÊS],$AE$1,tabela_registros[DIA],investirrendavariávelconsolidado282931[[#Headers],[29]],tabela_registros[REGISTRO],DADOS!$N$5,tabela_registros[TIPO],DADOS!$AB$4,tabela_registros[CATEGORIA],investirrendavariávelconsolidado282931[[#This Row],[ATUAL]])</f>
        <v>0</v>
      </c>
      <c r="AH138" s="119" t="n">
        <f aca="false">SUMIFS(tabela_registros[VALOR],tabela_registros[MÊS],$AE$1,tabela_registros[DIA],investirrendavariávelconsolidado282931[[#Headers],[30]],tabela_registros[REGISTRO],DADOS!$N$5,tabela_registros[TIPO],DADOS!$AB$4,tabela_registros[CATEGORIA],investirrendavariávelconsolidado282931[[#This Row],[ATUAL]])</f>
        <v>0</v>
      </c>
      <c r="AI138" s="217" t="n">
        <f aca="false">SUMIFS(tabela_registros[VALOR],tabela_registros[MÊS],$AE$1,tabela_registros[DIA],investirrendavariávelconsolidado282931[[#Headers],[31]],tabela_registros[REGISTRO],DADOS!$N$5,tabela_registros[TIPO],DADOS!$AB$4,tabela_registros[CATEGORIA],investirrendavariávelconsolidado282931[[#This Row],[ATUAL]])</f>
        <v>0</v>
      </c>
      <c r="AJ138" s="237" t="n">
        <f aca="false">SUM(investirrendavariávelconsolidado282931[[#This Row],[1]:[31]])</f>
        <v>0</v>
      </c>
      <c r="AK138" s="234"/>
      <c r="AL138" s="189"/>
    </row>
    <row r="139" customFormat="false" ht="19.5" hidden="false" customHeight="true" outlineLevel="0" collapsed="false">
      <c r="A139" s="189"/>
      <c r="B139" s="213"/>
      <c r="C139" s="214" t="str">
        <f aca="false">DADOS!$AF$10</f>
        <v>📝 FII</v>
      </c>
      <c r="D139" s="215" t="str">
        <f aca="false">IF(investirrendavariávelconsolidado282931[[#This Row],[TOTAL (R$)]]=0,"",IF(OR(investirrendavariávelconsolidado282931[[#This Row],[TOTAL (R$)]]=LARGE($AJ$132:$AJ$141,1),investirrendavariávelconsolidado282931[[#This Row],[TOTAL (R$)]]=LARGE($AJ$132:$AJ$141,2)),DADOS!$I$10,""))</f>
        <v/>
      </c>
      <c r="E139" s="148" t="n">
        <f aca="false">SUMIFS(tabela_registros[VALOR],tabela_registros[MÊS],$AE$1,tabela_registros[DIA],investirrendavariávelconsolidado282931[[#Headers],[1]],tabela_registros[REGISTRO],DADOS!$N$5,tabela_registros[TIPO],DADOS!$AB$4,tabela_registros[CATEGORIA],investirrendavariávelconsolidado282931[[#This Row],[ATUAL]])</f>
        <v>0</v>
      </c>
      <c r="F139" s="119" t="n">
        <f aca="false">SUMIFS(tabela_registros[VALOR],tabela_registros[MÊS],$AE$1,tabela_registros[DIA],investirrendavariávelconsolidado282931[[#Headers],[2]],tabela_registros[REGISTRO],DADOS!$N$5,tabela_registros[TIPO],DADOS!$AB$4,tabela_registros[CATEGORIA],investirrendavariávelconsolidado282931[[#This Row],[ATUAL]])</f>
        <v>0</v>
      </c>
      <c r="G139" s="119" t="n">
        <f aca="false">SUMIFS(tabela_registros[VALOR],tabela_registros[MÊS],$AE$1,tabela_registros[DIA],investirrendavariávelconsolidado282931[[#Headers],[3]],tabela_registros[REGISTRO],DADOS!$N$5,tabela_registros[TIPO],DADOS!$AB$4,tabela_registros[CATEGORIA],investirrendavariávelconsolidado282931[[#This Row],[ATUAL]])</f>
        <v>0</v>
      </c>
      <c r="H139" s="119" t="n">
        <f aca="false">SUMIFS(tabela_registros[VALOR],tabela_registros[MÊS],$AE$1,tabela_registros[DIA],investirrendavariávelconsolidado282931[[#Headers],[4]],tabela_registros[REGISTRO],DADOS!$N$5,tabela_registros[TIPO],DADOS!$AB$4,tabela_registros[CATEGORIA],investirrendavariávelconsolidado282931[[#This Row],[ATUAL]])</f>
        <v>0</v>
      </c>
      <c r="I139" s="119" t="n">
        <f aca="false">SUMIFS(tabela_registros[VALOR],tabela_registros[MÊS],$AE$1,tabela_registros[DIA],investirrendavariávelconsolidado282931[[#Headers],[5]],tabela_registros[REGISTRO],DADOS!$N$5,tabela_registros[TIPO],DADOS!$AB$4,tabela_registros[CATEGORIA],investirrendavariávelconsolidado282931[[#This Row],[ATUAL]])</f>
        <v>0</v>
      </c>
      <c r="J139" s="119" t="n">
        <f aca="false">SUMIFS(tabela_registros[VALOR],tabela_registros[MÊS],$AE$1,tabela_registros[DIA],investirrendavariávelconsolidado282931[[#Headers],[6]],tabela_registros[REGISTRO],DADOS!$N$5,tabela_registros[TIPO],DADOS!$AB$4,tabela_registros[CATEGORIA],investirrendavariávelconsolidado282931[[#This Row],[ATUAL]])</f>
        <v>0</v>
      </c>
      <c r="K139" s="119" t="n">
        <f aca="false">SUMIFS(tabela_registros[VALOR],tabela_registros[MÊS],$AE$1,tabela_registros[DIA],investirrendavariávelconsolidado282931[[#Headers],[7]],tabela_registros[REGISTRO],DADOS!$N$5,tabela_registros[TIPO],DADOS!$AB$4,tabela_registros[CATEGORIA],investirrendavariávelconsolidado282931[[#This Row],[ATUAL]])</f>
        <v>0</v>
      </c>
      <c r="L139" s="119" t="n">
        <f aca="false">SUMIFS(tabela_registros[VALOR],tabela_registros[MÊS],$AE$1,tabela_registros[DIA],investirrendavariávelconsolidado282931[[#Headers],[8]],tabela_registros[REGISTRO],DADOS!$N$5,tabela_registros[TIPO],DADOS!$AB$4,tabela_registros[CATEGORIA],investirrendavariávelconsolidado282931[[#This Row],[ATUAL]])</f>
        <v>0</v>
      </c>
      <c r="M139" s="119" t="n">
        <f aca="false">SUMIFS(tabela_registros[VALOR],tabela_registros[MÊS],$AE$1,tabela_registros[DIA],investirrendavariávelconsolidado282931[[#Headers],[9]],tabela_registros[REGISTRO],DADOS!$N$5,tabela_registros[TIPO],DADOS!$AB$4,tabela_registros[CATEGORIA],investirrendavariávelconsolidado282931[[#This Row],[ATUAL]])</f>
        <v>0</v>
      </c>
      <c r="N139" s="119" t="n">
        <f aca="false">SUMIFS(tabela_registros[VALOR],tabela_registros[MÊS],$AE$1,tabela_registros[DIA],investirrendavariávelconsolidado282931[[#Headers],[10]],tabela_registros[REGISTRO],DADOS!$N$5,tabela_registros[TIPO],DADOS!$AB$4,tabela_registros[CATEGORIA],investirrendavariávelconsolidado282931[[#This Row],[ATUAL]])</f>
        <v>0</v>
      </c>
      <c r="O139" s="119" t="n">
        <f aca="false">SUMIFS(tabela_registros[VALOR],tabela_registros[MÊS],$AE$1,tabela_registros[DIA],investirrendavariávelconsolidado282931[[#Headers],[11]],tabela_registros[REGISTRO],DADOS!$N$5,tabela_registros[TIPO],DADOS!$AB$4,tabela_registros[CATEGORIA],investirrendavariávelconsolidado282931[[#This Row],[ATUAL]])</f>
        <v>0</v>
      </c>
      <c r="P139" s="119" t="n">
        <f aca="false">SUMIFS(tabela_registros[VALOR],tabela_registros[MÊS],$AE$1,tabela_registros[DIA],investirrendavariávelconsolidado282931[[#Headers],[12]],tabela_registros[REGISTRO],DADOS!$N$5,tabela_registros[TIPO],DADOS!$AB$4,tabela_registros[CATEGORIA],investirrendavariávelconsolidado282931[[#This Row],[ATUAL]])</f>
        <v>0</v>
      </c>
      <c r="Q139" s="119" t="n">
        <f aca="false">SUMIFS(tabela_registros[VALOR],tabela_registros[MÊS],$AE$1,tabela_registros[DIA],investirrendavariávelconsolidado282931[[#Headers],[13]],tabela_registros[REGISTRO],DADOS!$N$5,tabela_registros[TIPO],DADOS!$AB$4,tabela_registros[CATEGORIA],investirrendavariávelconsolidado282931[[#This Row],[ATUAL]])</f>
        <v>0</v>
      </c>
      <c r="R139" s="119" t="n">
        <f aca="false">SUMIFS(tabela_registros[VALOR],tabela_registros[MÊS],$AE$1,tabela_registros[DIA],investirrendavariávelconsolidado282931[[#Headers],[14]],tabela_registros[REGISTRO],DADOS!$N$5,tabela_registros[TIPO],DADOS!$AB$4,tabela_registros[CATEGORIA],investirrendavariávelconsolidado282931[[#This Row],[ATUAL]])</f>
        <v>0</v>
      </c>
      <c r="S139" s="119" t="n">
        <f aca="false">SUMIFS(tabela_registros[VALOR],tabela_registros[MÊS],$AE$1,tabela_registros[DIA],investirrendavariávelconsolidado282931[[#Headers],[15]],tabela_registros[REGISTRO],DADOS!$N$5,tabela_registros[TIPO],DADOS!$AB$4,tabela_registros[CATEGORIA],investirrendavariávelconsolidado282931[[#This Row],[ATUAL]])</f>
        <v>0</v>
      </c>
      <c r="T139" s="119" t="n">
        <f aca="false">SUMIFS(tabela_registros[VALOR],tabela_registros[MÊS],$AE$1,tabela_registros[DIA],investirrendavariávelconsolidado282931[[#Headers],[16]],tabela_registros[REGISTRO],DADOS!$N$5,tabela_registros[TIPO],DADOS!$AB$4,tabela_registros[CATEGORIA],investirrendavariávelconsolidado282931[[#This Row],[ATUAL]])</f>
        <v>0</v>
      </c>
      <c r="U139" s="119" t="n">
        <f aca="false">SUMIFS(tabela_registros[VALOR],tabela_registros[MÊS],$AE$1,tabela_registros[DIA],investirrendavariávelconsolidado282931[[#Headers],[17]],tabela_registros[REGISTRO],DADOS!$N$5,tabela_registros[TIPO],DADOS!$AB$4,tabela_registros[CATEGORIA],investirrendavariávelconsolidado282931[[#This Row],[ATUAL]])</f>
        <v>0</v>
      </c>
      <c r="V139" s="119" t="n">
        <f aca="false">SUMIFS(tabela_registros[VALOR],tabela_registros[MÊS],$AE$1,tabela_registros[DIA],investirrendavariávelconsolidado282931[[#Headers],[18]],tabela_registros[REGISTRO],DADOS!$N$5,tabela_registros[TIPO],DADOS!$AB$4,tabela_registros[CATEGORIA],investirrendavariávelconsolidado282931[[#This Row],[ATUAL]])</f>
        <v>0</v>
      </c>
      <c r="W139" s="119" t="n">
        <f aca="false">SUMIFS(tabela_registros[VALOR],tabela_registros[MÊS],$AE$1,tabela_registros[DIA],investirrendavariávelconsolidado282931[[#Headers],[19]],tabela_registros[REGISTRO],DADOS!$N$5,tabela_registros[TIPO],DADOS!$AB$4,tabela_registros[CATEGORIA],investirrendavariávelconsolidado282931[[#This Row],[ATUAL]])</f>
        <v>0</v>
      </c>
      <c r="X139" s="119" t="n">
        <f aca="false">SUMIFS(tabela_registros[VALOR],tabela_registros[MÊS],$AE$1,tabela_registros[DIA],investirrendavariávelconsolidado282931[[#Headers],[20]],tabela_registros[REGISTRO],DADOS!$N$5,tabela_registros[TIPO],DADOS!$AB$4,tabela_registros[CATEGORIA],investirrendavariávelconsolidado282931[[#This Row],[ATUAL]])</f>
        <v>0</v>
      </c>
      <c r="Y139" s="119" t="n">
        <f aca="false">SUMIFS(tabela_registros[VALOR],tabela_registros[MÊS],$AE$1,tabela_registros[DIA],investirrendavariávelconsolidado282931[[#Headers],[21]],tabela_registros[REGISTRO],DADOS!$N$5,tabela_registros[TIPO],DADOS!$AB$4,tabela_registros[CATEGORIA],investirrendavariávelconsolidado282931[[#This Row],[ATUAL]])</f>
        <v>0</v>
      </c>
      <c r="Z139" s="119" t="n">
        <f aca="false">SUMIFS(tabela_registros[VALOR],tabela_registros[MÊS],$AE$1,tabela_registros[DIA],investirrendavariávelconsolidado282931[[#Headers],[22]],tabela_registros[REGISTRO],DADOS!$N$5,tabela_registros[TIPO],DADOS!$AB$4,tabela_registros[CATEGORIA],investirrendavariávelconsolidado282931[[#This Row],[ATUAL]])</f>
        <v>0</v>
      </c>
      <c r="AA139" s="119" t="n">
        <f aca="false">SUMIFS(tabela_registros[VALOR],tabela_registros[MÊS],$AE$1,tabela_registros[DIA],investirrendavariávelconsolidado282931[[#Headers],[23]],tabela_registros[REGISTRO],DADOS!$N$5,tabela_registros[TIPO],DADOS!$AB$4,tabela_registros[CATEGORIA],investirrendavariávelconsolidado282931[[#This Row],[ATUAL]])</f>
        <v>0</v>
      </c>
      <c r="AB139" s="119" t="n">
        <f aca="false">SUMIFS(tabela_registros[VALOR],tabela_registros[MÊS],$AE$1,tabela_registros[DIA],investirrendavariávelconsolidado282931[[#Headers],[24]],tabela_registros[REGISTRO],DADOS!$N$5,tabela_registros[TIPO],DADOS!$AB$4,tabela_registros[CATEGORIA],investirrendavariávelconsolidado282931[[#This Row],[ATUAL]])</f>
        <v>0</v>
      </c>
      <c r="AC139" s="119" t="n">
        <f aca="false">SUMIFS(tabela_registros[VALOR],tabela_registros[MÊS],$AE$1,tabela_registros[DIA],investirrendavariávelconsolidado282931[[#Headers],[25]],tabela_registros[REGISTRO],DADOS!$N$5,tabela_registros[TIPO],DADOS!$AB$4,tabela_registros[CATEGORIA],investirrendavariávelconsolidado282931[[#This Row],[ATUAL]])</f>
        <v>0</v>
      </c>
      <c r="AD139" s="119" t="n">
        <f aca="false">SUMIFS(tabela_registros[VALOR],tabela_registros[MÊS],$AE$1,tabela_registros[DIA],investirrendavariávelconsolidado282931[[#Headers],[26]],tabela_registros[REGISTRO],DADOS!$N$5,tabela_registros[TIPO],DADOS!$AB$4,tabela_registros[CATEGORIA],investirrendavariávelconsolidado282931[[#This Row],[ATUAL]])</f>
        <v>0</v>
      </c>
      <c r="AE139" s="119" t="n">
        <f aca="false">SUMIFS(tabela_registros[VALOR],tabela_registros[MÊS],$AE$1,tabela_registros[DIA],investirrendavariávelconsolidado282931[[#Headers],[27]],tabela_registros[REGISTRO],DADOS!$N$5,tabela_registros[TIPO],DADOS!$AB$4,tabela_registros[CATEGORIA],investirrendavariávelconsolidado282931[[#This Row],[ATUAL]])</f>
        <v>0</v>
      </c>
      <c r="AF139" s="119" t="n">
        <f aca="false">SUMIFS(tabela_registros[VALOR],tabela_registros[MÊS],$AE$1,tabela_registros[DIA],investirrendavariávelconsolidado282931[[#Headers],[28]],tabela_registros[REGISTRO],DADOS!$N$5,tabela_registros[TIPO],DADOS!$AB$4,tabela_registros[CATEGORIA],investirrendavariávelconsolidado282931[[#This Row],[ATUAL]])</f>
        <v>0</v>
      </c>
      <c r="AG139" s="119" t="n">
        <f aca="false">SUMIFS(tabela_registros[VALOR],tabela_registros[MÊS],$AE$1,tabela_registros[DIA],investirrendavariávelconsolidado282931[[#Headers],[29]],tabela_registros[REGISTRO],DADOS!$N$5,tabela_registros[TIPO],DADOS!$AB$4,tabela_registros[CATEGORIA],investirrendavariávelconsolidado282931[[#This Row],[ATUAL]])</f>
        <v>0</v>
      </c>
      <c r="AH139" s="119" t="n">
        <f aca="false">SUMIFS(tabela_registros[VALOR],tabela_registros[MÊS],$AE$1,tabela_registros[DIA],investirrendavariávelconsolidado282931[[#Headers],[30]],tabela_registros[REGISTRO],DADOS!$N$5,tabela_registros[TIPO],DADOS!$AB$4,tabela_registros[CATEGORIA],investirrendavariávelconsolidado282931[[#This Row],[ATUAL]])</f>
        <v>0</v>
      </c>
      <c r="AI139" s="217" t="n">
        <f aca="false">SUMIFS(tabela_registros[VALOR],tabela_registros[MÊS],$AE$1,tabela_registros[DIA],investirrendavariávelconsolidado282931[[#Headers],[31]],tabela_registros[REGISTRO],DADOS!$N$5,tabela_registros[TIPO],DADOS!$AB$4,tabela_registros[CATEGORIA],investirrendavariávelconsolidado282931[[#This Row],[ATUAL]])</f>
        <v>0</v>
      </c>
      <c r="AJ139" s="237" t="n">
        <f aca="false">SUM(investirrendavariávelconsolidado282931[[#This Row],[1]:[31]])</f>
        <v>0</v>
      </c>
      <c r="AK139" s="234"/>
      <c r="AL139" s="189"/>
    </row>
    <row r="140" customFormat="false" ht="19.5" hidden="false" customHeight="true" outlineLevel="0" collapsed="false">
      <c r="A140" s="189"/>
      <c r="B140" s="213"/>
      <c r="C140" s="214" t="str">
        <f aca="false">DADOS!$AF$11</f>
        <v>📝 MOEDA</v>
      </c>
      <c r="D140" s="215" t="str">
        <f aca="false">IF(investirrendavariávelconsolidado282931[[#This Row],[TOTAL (R$)]]=0,"",IF(OR(investirrendavariávelconsolidado282931[[#This Row],[TOTAL (R$)]]=LARGE($AJ$132:$AJ$141,1),investirrendavariávelconsolidado282931[[#This Row],[TOTAL (R$)]]=LARGE($AJ$132:$AJ$141,2)),DADOS!$I$10,""))</f>
        <v/>
      </c>
      <c r="E140" s="148" t="n">
        <f aca="false">SUMIFS(tabela_registros[VALOR],tabela_registros[MÊS],$AE$1,tabela_registros[DIA],investirrendavariávelconsolidado282931[[#Headers],[1]],tabela_registros[REGISTRO],DADOS!$N$5,tabela_registros[TIPO],DADOS!$AB$4,tabela_registros[CATEGORIA],investirrendavariávelconsolidado282931[[#This Row],[ATUAL]])</f>
        <v>0</v>
      </c>
      <c r="F140" s="119" t="n">
        <f aca="false">SUMIFS(tabela_registros[VALOR],tabela_registros[MÊS],$AE$1,tabela_registros[DIA],investirrendavariávelconsolidado282931[[#Headers],[2]],tabela_registros[REGISTRO],DADOS!$N$5,tabela_registros[TIPO],DADOS!$AB$4,tabela_registros[CATEGORIA],investirrendavariávelconsolidado282931[[#This Row],[ATUAL]])</f>
        <v>0</v>
      </c>
      <c r="G140" s="119" t="n">
        <f aca="false">SUMIFS(tabela_registros[VALOR],tabela_registros[MÊS],$AE$1,tabela_registros[DIA],investirrendavariávelconsolidado282931[[#Headers],[3]],tabela_registros[REGISTRO],DADOS!$N$5,tabela_registros[TIPO],DADOS!$AB$4,tabela_registros[CATEGORIA],investirrendavariávelconsolidado282931[[#This Row],[ATUAL]])</f>
        <v>0</v>
      </c>
      <c r="H140" s="119" t="n">
        <f aca="false">SUMIFS(tabela_registros[VALOR],tabela_registros[MÊS],$AE$1,tabela_registros[DIA],investirrendavariávelconsolidado282931[[#Headers],[4]],tabela_registros[REGISTRO],DADOS!$N$5,tabela_registros[TIPO],DADOS!$AB$4,tabela_registros[CATEGORIA],investirrendavariávelconsolidado282931[[#This Row],[ATUAL]])</f>
        <v>0</v>
      </c>
      <c r="I140" s="119" t="n">
        <f aca="false">SUMIFS(tabela_registros[VALOR],tabela_registros[MÊS],$AE$1,tabela_registros[DIA],investirrendavariávelconsolidado282931[[#Headers],[5]],tabela_registros[REGISTRO],DADOS!$N$5,tabela_registros[TIPO],DADOS!$AB$4,tabela_registros[CATEGORIA],investirrendavariávelconsolidado282931[[#This Row],[ATUAL]])</f>
        <v>0</v>
      </c>
      <c r="J140" s="119" t="n">
        <f aca="false">SUMIFS(tabela_registros[VALOR],tabela_registros[MÊS],$AE$1,tabela_registros[DIA],investirrendavariávelconsolidado282931[[#Headers],[6]],tabela_registros[REGISTRO],DADOS!$N$5,tabela_registros[TIPO],DADOS!$AB$4,tabela_registros[CATEGORIA],investirrendavariávelconsolidado282931[[#This Row],[ATUAL]])</f>
        <v>0</v>
      </c>
      <c r="K140" s="119" t="n">
        <f aca="false">SUMIFS(tabela_registros[VALOR],tabela_registros[MÊS],$AE$1,tabela_registros[DIA],investirrendavariávelconsolidado282931[[#Headers],[7]],tabela_registros[REGISTRO],DADOS!$N$5,tabela_registros[TIPO],DADOS!$AB$4,tabela_registros[CATEGORIA],investirrendavariávelconsolidado282931[[#This Row],[ATUAL]])</f>
        <v>0</v>
      </c>
      <c r="L140" s="119" t="n">
        <f aca="false">SUMIFS(tabela_registros[VALOR],tabela_registros[MÊS],$AE$1,tabela_registros[DIA],investirrendavariávelconsolidado282931[[#Headers],[8]],tabela_registros[REGISTRO],DADOS!$N$5,tabela_registros[TIPO],DADOS!$AB$4,tabela_registros[CATEGORIA],investirrendavariávelconsolidado282931[[#This Row],[ATUAL]])</f>
        <v>0</v>
      </c>
      <c r="M140" s="119" t="n">
        <f aca="false">SUMIFS(tabela_registros[VALOR],tabela_registros[MÊS],$AE$1,tabela_registros[DIA],investirrendavariávelconsolidado282931[[#Headers],[9]],tabela_registros[REGISTRO],DADOS!$N$5,tabela_registros[TIPO],DADOS!$AB$4,tabela_registros[CATEGORIA],investirrendavariávelconsolidado282931[[#This Row],[ATUAL]])</f>
        <v>0</v>
      </c>
      <c r="N140" s="119" t="n">
        <f aca="false">SUMIFS(tabela_registros[VALOR],tabela_registros[MÊS],$AE$1,tabela_registros[DIA],investirrendavariávelconsolidado282931[[#Headers],[10]],tabela_registros[REGISTRO],DADOS!$N$5,tabela_registros[TIPO],DADOS!$AB$4,tabela_registros[CATEGORIA],investirrendavariávelconsolidado282931[[#This Row],[ATUAL]])</f>
        <v>0</v>
      </c>
      <c r="O140" s="119" t="n">
        <f aca="false">SUMIFS(tabela_registros[VALOR],tabela_registros[MÊS],$AE$1,tabela_registros[DIA],investirrendavariávelconsolidado282931[[#Headers],[11]],tabela_registros[REGISTRO],DADOS!$N$5,tabela_registros[TIPO],DADOS!$AB$4,tabela_registros[CATEGORIA],investirrendavariávelconsolidado282931[[#This Row],[ATUAL]])</f>
        <v>0</v>
      </c>
      <c r="P140" s="119" t="n">
        <f aca="false">SUMIFS(tabela_registros[VALOR],tabela_registros[MÊS],$AE$1,tabela_registros[DIA],investirrendavariávelconsolidado282931[[#Headers],[12]],tabela_registros[REGISTRO],DADOS!$N$5,tabela_registros[TIPO],DADOS!$AB$4,tabela_registros[CATEGORIA],investirrendavariávelconsolidado282931[[#This Row],[ATUAL]])</f>
        <v>0</v>
      </c>
      <c r="Q140" s="119" t="n">
        <f aca="false">SUMIFS(tabela_registros[VALOR],tabela_registros[MÊS],$AE$1,tabela_registros[DIA],investirrendavariávelconsolidado282931[[#Headers],[13]],tabela_registros[REGISTRO],DADOS!$N$5,tabela_registros[TIPO],DADOS!$AB$4,tabela_registros[CATEGORIA],investirrendavariávelconsolidado282931[[#This Row],[ATUAL]])</f>
        <v>0</v>
      </c>
      <c r="R140" s="119" t="n">
        <f aca="false">SUMIFS(tabela_registros[VALOR],tabela_registros[MÊS],$AE$1,tabela_registros[DIA],investirrendavariávelconsolidado282931[[#Headers],[14]],tabela_registros[REGISTRO],DADOS!$N$5,tabela_registros[TIPO],DADOS!$AB$4,tabela_registros[CATEGORIA],investirrendavariávelconsolidado282931[[#This Row],[ATUAL]])</f>
        <v>0</v>
      </c>
      <c r="S140" s="119" t="n">
        <f aca="false">SUMIFS(tabela_registros[VALOR],tabela_registros[MÊS],$AE$1,tabela_registros[DIA],investirrendavariávelconsolidado282931[[#Headers],[15]],tabela_registros[REGISTRO],DADOS!$N$5,tabela_registros[TIPO],DADOS!$AB$4,tabela_registros[CATEGORIA],investirrendavariávelconsolidado282931[[#This Row],[ATUAL]])</f>
        <v>0</v>
      </c>
      <c r="T140" s="119" t="n">
        <f aca="false">SUMIFS(tabela_registros[VALOR],tabela_registros[MÊS],$AE$1,tabela_registros[DIA],investirrendavariávelconsolidado282931[[#Headers],[16]],tabela_registros[REGISTRO],DADOS!$N$5,tabela_registros[TIPO],DADOS!$AB$4,tabela_registros[CATEGORIA],investirrendavariávelconsolidado282931[[#This Row],[ATUAL]])</f>
        <v>0</v>
      </c>
      <c r="U140" s="119" t="n">
        <f aca="false">SUMIFS(tabela_registros[VALOR],tabela_registros[MÊS],$AE$1,tabela_registros[DIA],investirrendavariávelconsolidado282931[[#Headers],[17]],tabela_registros[REGISTRO],DADOS!$N$5,tabela_registros[TIPO],DADOS!$AB$4,tabela_registros[CATEGORIA],investirrendavariávelconsolidado282931[[#This Row],[ATUAL]])</f>
        <v>0</v>
      </c>
      <c r="V140" s="119" t="n">
        <f aca="false">SUMIFS(tabela_registros[VALOR],tabela_registros[MÊS],$AE$1,tabela_registros[DIA],investirrendavariávelconsolidado282931[[#Headers],[18]],tabela_registros[REGISTRO],DADOS!$N$5,tabela_registros[TIPO],DADOS!$AB$4,tabela_registros[CATEGORIA],investirrendavariávelconsolidado282931[[#This Row],[ATUAL]])</f>
        <v>0</v>
      </c>
      <c r="W140" s="119" t="n">
        <f aca="false">SUMIFS(tabela_registros[VALOR],tabela_registros[MÊS],$AE$1,tabela_registros[DIA],investirrendavariávelconsolidado282931[[#Headers],[19]],tabela_registros[REGISTRO],DADOS!$N$5,tabela_registros[TIPO],DADOS!$AB$4,tabela_registros[CATEGORIA],investirrendavariávelconsolidado282931[[#This Row],[ATUAL]])</f>
        <v>0</v>
      </c>
      <c r="X140" s="119" t="n">
        <f aca="false">SUMIFS(tabela_registros[VALOR],tabela_registros[MÊS],$AE$1,tabela_registros[DIA],investirrendavariávelconsolidado282931[[#Headers],[20]],tabela_registros[REGISTRO],DADOS!$N$5,tabela_registros[TIPO],DADOS!$AB$4,tabela_registros[CATEGORIA],investirrendavariávelconsolidado282931[[#This Row],[ATUAL]])</f>
        <v>0</v>
      </c>
      <c r="Y140" s="119" t="n">
        <f aca="false">SUMIFS(tabela_registros[VALOR],tabela_registros[MÊS],$AE$1,tabela_registros[DIA],investirrendavariávelconsolidado282931[[#Headers],[21]],tabela_registros[REGISTRO],DADOS!$N$5,tabela_registros[TIPO],DADOS!$AB$4,tabela_registros[CATEGORIA],investirrendavariávelconsolidado282931[[#This Row],[ATUAL]])</f>
        <v>0</v>
      </c>
      <c r="Z140" s="119" t="n">
        <f aca="false">SUMIFS(tabela_registros[VALOR],tabela_registros[MÊS],$AE$1,tabela_registros[DIA],investirrendavariávelconsolidado282931[[#Headers],[22]],tabela_registros[REGISTRO],DADOS!$N$5,tabela_registros[TIPO],DADOS!$AB$4,tabela_registros[CATEGORIA],investirrendavariávelconsolidado282931[[#This Row],[ATUAL]])</f>
        <v>0</v>
      </c>
      <c r="AA140" s="119" t="n">
        <f aca="false">SUMIFS(tabela_registros[VALOR],tabela_registros[MÊS],$AE$1,tabela_registros[DIA],investirrendavariávelconsolidado282931[[#Headers],[23]],tabela_registros[REGISTRO],DADOS!$N$5,tabela_registros[TIPO],DADOS!$AB$4,tabela_registros[CATEGORIA],investirrendavariávelconsolidado282931[[#This Row],[ATUAL]])</f>
        <v>0</v>
      </c>
      <c r="AB140" s="119" t="n">
        <f aca="false">SUMIFS(tabela_registros[VALOR],tabela_registros[MÊS],$AE$1,tabela_registros[DIA],investirrendavariávelconsolidado282931[[#Headers],[24]],tabela_registros[REGISTRO],DADOS!$N$5,tabela_registros[TIPO],DADOS!$AB$4,tabela_registros[CATEGORIA],investirrendavariávelconsolidado282931[[#This Row],[ATUAL]])</f>
        <v>0</v>
      </c>
      <c r="AC140" s="119" t="n">
        <f aca="false">SUMIFS(tabela_registros[VALOR],tabela_registros[MÊS],$AE$1,tabela_registros[DIA],investirrendavariávelconsolidado282931[[#Headers],[25]],tabela_registros[REGISTRO],DADOS!$N$5,tabela_registros[TIPO],DADOS!$AB$4,tabela_registros[CATEGORIA],investirrendavariávelconsolidado282931[[#This Row],[ATUAL]])</f>
        <v>0</v>
      </c>
      <c r="AD140" s="119" t="n">
        <f aca="false">SUMIFS(tabela_registros[VALOR],tabela_registros[MÊS],$AE$1,tabela_registros[DIA],investirrendavariávelconsolidado282931[[#Headers],[26]],tabela_registros[REGISTRO],DADOS!$N$5,tabela_registros[TIPO],DADOS!$AB$4,tabela_registros[CATEGORIA],investirrendavariávelconsolidado282931[[#This Row],[ATUAL]])</f>
        <v>0</v>
      </c>
      <c r="AE140" s="119" t="n">
        <f aca="false">SUMIFS(tabela_registros[VALOR],tabela_registros[MÊS],$AE$1,tabela_registros[DIA],investirrendavariávelconsolidado282931[[#Headers],[27]],tabela_registros[REGISTRO],DADOS!$N$5,tabela_registros[TIPO],DADOS!$AB$4,tabela_registros[CATEGORIA],investirrendavariávelconsolidado282931[[#This Row],[ATUAL]])</f>
        <v>0</v>
      </c>
      <c r="AF140" s="119" t="n">
        <f aca="false">SUMIFS(tabela_registros[VALOR],tabela_registros[MÊS],$AE$1,tabela_registros[DIA],investirrendavariávelconsolidado282931[[#Headers],[28]],tabela_registros[REGISTRO],DADOS!$N$5,tabela_registros[TIPO],DADOS!$AB$4,tabela_registros[CATEGORIA],investirrendavariávelconsolidado282931[[#This Row],[ATUAL]])</f>
        <v>0</v>
      </c>
      <c r="AG140" s="119" t="n">
        <f aca="false">SUMIFS(tabela_registros[VALOR],tabela_registros[MÊS],$AE$1,tabela_registros[DIA],investirrendavariávelconsolidado282931[[#Headers],[29]],tabela_registros[REGISTRO],DADOS!$N$5,tabela_registros[TIPO],DADOS!$AB$4,tabela_registros[CATEGORIA],investirrendavariávelconsolidado282931[[#This Row],[ATUAL]])</f>
        <v>0</v>
      </c>
      <c r="AH140" s="119" t="n">
        <f aca="false">SUMIFS(tabela_registros[VALOR],tabela_registros[MÊS],$AE$1,tabela_registros[DIA],investirrendavariávelconsolidado282931[[#Headers],[30]],tabela_registros[REGISTRO],DADOS!$N$5,tabela_registros[TIPO],DADOS!$AB$4,tabela_registros[CATEGORIA],investirrendavariávelconsolidado282931[[#This Row],[ATUAL]])</f>
        <v>0</v>
      </c>
      <c r="AI140" s="217" t="n">
        <f aca="false">SUMIFS(tabela_registros[VALOR],tabela_registros[MÊS],$AE$1,tabela_registros[DIA],investirrendavariávelconsolidado282931[[#Headers],[31]],tabela_registros[REGISTRO],DADOS!$N$5,tabela_registros[TIPO],DADOS!$AB$4,tabela_registros[CATEGORIA],investirrendavariávelconsolidado282931[[#This Row],[ATUAL]])</f>
        <v>0</v>
      </c>
      <c r="AJ140" s="237" t="n">
        <f aca="false">SUM(investirrendavariávelconsolidado282931[[#This Row],[1]:[31]])</f>
        <v>0</v>
      </c>
      <c r="AK140" s="234"/>
      <c r="AL140" s="189"/>
    </row>
    <row r="141" customFormat="false" ht="19.5" hidden="false" customHeight="true" outlineLevel="0" collapsed="false">
      <c r="A141" s="189"/>
      <c r="B141" s="213"/>
      <c r="C141" s="214" t="str">
        <f aca="false">DADOS!$AF$12</f>
        <v>📎 OUTROS</v>
      </c>
      <c r="D141" s="215" t="str">
        <f aca="false">IF(investirrendavariávelconsolidado282931[[#This Row],[TOTAL (R$)]]=0,"",IF(OR(investirrendavariávelconsolidado282931[[#This Row],[TOTAL (R$)]]=LARGE($AJ$132:$AJ$141,1),investirrendavariávelconsolidado282931[[#This Row],[TOTAL (R$)]]=LARGE($AJ$132:$AJ$141,2)),DADOS!$I$10,""))</f>
        <v/>
      </c>
      <c r="E141" s="148" t="n">
        <f aca="false">SUMIFS(tabela_registros[VALOR],tabela_registros[MÊS],$AE$1,tabela_registros[DIA],investirrendavariávelconsolidado282931[[#Headers],[1]],tabela_registros[REGISTRO],DADOS!$N$5,tabela_registros[TIPO],DADOS!$AB$4,tabela_registros[CATEGORIA],investirrendavariávelconsolidado282931[[#This Row],[ATUAL]])</f>
        <v>0</v>
      </c>
      <c r="F141" s="119" t="n">
        <f aca="false">SUMIFS(tabela_registros[VALOR],tabela_registros[MÊS],$AE$1,tabela_registros[DIA],investirrendavariávelconsolidado282931[[#Headers],[2]],tabela_registros[REGISTRO],DADOS!$N$5,tabela_registros[TIPO],DADOS!$AB$4,tabela_registros[CATEGORIA],investirrendavariávelconsolidado282931[[#This Row],[ATUAL]])</f>
        <v>0</v>
      </c>
      <c r="G141" s="119" t="n">
        <f aca="false">SUMIFS(tabela_registros[VALOR],tabela_registros[MÊS],$AE$1,tabela_registros[DIA],investirrendavariávelconsolidado282931[[#Headers],[3]],tabela_registros[REGISTRO],DADOS!$N$5,tabela_registros[TIPO],DADOS!$AB$4,tabela_registros[CATEGORIA],investirrendavariávelconsolidado282931[[#This Row],[ATUAL]])</f>
        <v>0</v>
      </c>
      <c r="H141" s="119" t="n">
        <f aca="false">SUMIFS(tabela_registros[VALOR],tabela_registros[MÊS],$AE$1,tabela_registros[DIA],investirrendavariávelconsolidado282931[[#Headers],[4]],tabela_registros[REGISTRO],DADOS!$N$5,tabela_registros[TIPO],DADOS!$AB$4,tabela_registros[CATEGORIA],investirrendavariávelconsolidado282931[[#This Row],[ATUAL]])</f>
        <v>0</v>
      </c>
      <c r="I141" s="119" t="n">
        <f aca="false">SUMIFS(tabela_registros[VALOR],tabela_registros[MÊS],$AE$1,tabela_registros[DIA],investirrendavariávelconsolidado282931[[#Headers],[5]],tabela_registros[REGISTRO],DADOS!$N$5,tabela_registros[TIPO],DADOS!$AB$4,tabela_registros[CATEGORIA],investirrendavariávelconsolidado282931[[#This Row],[ATUAL]])</f>
        <v>0</v>
      </c>
      <c r="J141" s="119" t="n">
        <f aca="false">SUMIFS(tabela_registros[VALOR],tabela_registros[MÊS],$AE$1,tabela_registros[DIA],investirrendavariávelconsolidado282931[[#Headers],[6]],tabela_registros[REGISTRO],DADOS!$N$5,tabela_registros[TIPO],DADOS!$AB$4,tabela_registros[CATEGORIA],investirrendavariávelconsolidado282931[[#This Row],[ATUAL]])</f>
        <v>0</v>
      </c>
      <c r="K141" s="119" t="n">
        <f aca="false">SUMIFS(tabela_registros[VALOR],tabela_registros[MÊS],$AE$1,tabela_registros[DIA],investirrendavariávelconsolidado282931[[#Headers],[7]],tabela_registros[REGISTRO],DADOS!$N$5,tabela_registros[TIPO],DADOS!$AB$4,tabela_registros[CATEGORIA],investirrendavariávelconsolidado282931[[#This Row],[ATUAL]])</f>
        <v>0</v>
      </c>
      <c r="L141" s="119" t="n">
        <f aca="false">SUMIFS(tabela_registros[VALOR],tabela_registros[MÊS],$AE$1,tabela_registros[DIA],investirrendavariávelconsolidado282931[[#Headers],[8]],tabela_registros[REGISTRO],DADOS!$N$5,tabela_registros[TIPO],DADOS!$AB$4,tabela_registros[CATEGORIA],investirrendavariávelconsolidado282931[[#This Row],[ATUAL]])</f>
        <v>0</v>
      </c>
      <c r="M141" s="119" t="n">
        <f aca="false">SUMIFS(tabela_registros[VALOR],tabela_registros[MÊS],$AE$1,tabela_registros[DIA],investirrendavariávelconsolidado282931[[#Headers],[9]],tabela_registros[REGISTRO],DADOS!$N$5,tabela_registros[TIPO],DADOS!$AB$4,tabela_registros[CATEGORIA],investirrendavariávelconsolidado282931[[#This Row],[ATUAL]])</f>
        <v>0</v>
      </c>
      <c r="N141" s="119" t="n">
        <f aca="false">SUMIFS(tabela_registros[VALOR],tabela_registros[MÊS],$AE$1,tabela_registros[DIA],investirrendavariávelconsolidado282931[[#Headers],[10]],tabela_registros[REGISTRO],DADOS!$N$5,tabela_registros[TIPO],DADOS!$AB$4,tabela_registros[CATEGORIA],investirrendavariávelconsolidado282931[[#This Row],[ATUAL]])</f>
        <v>0</v>
      </c>
      <c r="O141" s="119" t="n">
        <f aca="false">SUMIFS(tabela_registros[VALOR],tabela_registros[MÊS],$AE$1,tabela_registros[DIA],investirrendavariávelconsolidado282931[[#Headers],[11]],tabela_registros[REGISTRO],DADOS!$N$5,tabela_registros[TIPO],DADOS!$AB$4,tabela_registros[CATEGORIA],investirrendavariávelconsolidado282931[[#This Row],[ATUAL]])</f>
        <v>0</v>
      </c>
      <c r="P141" s="119" t="n">
        <f aca="false">SUMIFS(tabela_registros[VALOR],tabela_registros[MÊS],$AE$1,tabela_registros[DIA],investirrendavariávelconsolidado282931[[#Headers],[12]],tabela_registros[REGISTRO],DADOS!$N$5,tabela_registros[TIPO],DADOS!$AB$4,tabela_registros[CATEGORIA],investirrendavariávelconsolidado282931[[#This Row],[ATUAL]])</f>
        <v>0</v>
      </c>
      <c r="Q141" s="119" t="n">
        <f aca="false">SUMIFS(tabela_registros[VALOR],tabela_registros[MÊS],$AE$1,tabela_registros[DIA],investirrendavariávelconsolidado282931[[#Headers],[13]],tabela_registros[REGISTRO],DADOS!$N$5,tabela_registros[TIPO],DADOS!$AB$4,tabela_registros[CATEGORIA],investirrendavariávelconsolidado282931[[#This Row],[ATUAL]])</f>
        <v>0</v>
      </c>
      <c r="R141" s="119" t="n">
        <f aca="false">SUMIFS(tabela_registros[VALOR],tabela_registros[MÊS],$AE$1,tabela_registros[DIA],investirrendavariávelconsolidado282931[[#Headers],[14]],tabela_registros[REGISTRO],DADOS!$N$5,tabela_registros[TIPO],DADOS!$AB$4,tabela_registros[CATEGORIA],investirrendavariávelconsolidado282931[[#This Row],[ATUAL]])</f>
        <v>0</v>
      </c>
      <c r="S141" s="119" t="n">
        <f aca="false">SUMIFS(tabela_registros[VALOR],tabela_registros[MÊS],$AE$1,tabela_registros[DIA],investirrendavariávelconsolidado282931[[#Headers],[15]],tabela_registros[REGISTRO],DADOS!$N$5,tabela_registros[TIPO],DADOS!$AB$4,tabela_registros[CATEGORIA],investirrendavariávelconsolidado282931[[#This Row],[ATUAL]])</f>
        <v>0</v>
      </c>
      <c r="T141" s="119" t="n">
        <f aca="false">SUMIFS(tabela_registros[VALOR],tabela_registros[MÊS],$AE$1,tabela_registros[DIA],investirrendavariávelconsolidado282931[[#Headers],[16]],tabela_registros[REGISTRO],DADOS!$N$5,tabela_registros[TIPO],DADOS!$AB$4,tabela_registros[CATEGORIA],investirrendavariávelconsolidado282931[[#This Row],[ATUAL]])</f>
        <v>0</v>
      </c>
      <c r="U141" s="119" t="n">
        <f aca="false">SUMIFS(tabela_registros[VALOR],tabela_registros[MÊS],$AE$1,tabela_registros[DIA],investirrendavariávelconsolidado282931[[#Headers],[17]],tabela_registros[REGISTRO],DADOS!$N$5,tabela_registros[TIPO],DADOS!$AB$4,tabela_registros[CATEGORIA],investirrendavariávelconsolidado282931[[#This Row],[ATUAL]])</f>
        <v>0</v>
      </c>
      <c r="V141" s="119" t="n">
        <f aca="false">SUMIFS(tabela_registros[VALOR],tabela_registros[MÊS],$AE$1,tabela_registros[DIA],investirrendavariávelconsolidado282931[[#Headers],[18]],tabela_registros[REGISTRO],DADOS!$N$5,tabela_registros[TIPO],DADOS!$AB$4,tabela_registros[CATEGORIA],investirrendavariávelconsolidado282931[[#This Row],[ATUAL]])</f>
        <v>0</v>
      </c>
      <c r="W141" s="119" t="n">
        <f aca="false">SUMIFS(tabela_registros[VALOR],tabela_registros[MÊS],$AE$1,tabela_registros[DIA],investirrendavariávelconsolidado282931[[#Headers],[19]],tabela_registros[REGISTRO],DADOS!$N$5,tabela_registros[TIPO],DADOS!$AB$4,tabela_registros[CATEGORIA],investirrendavariávelconsolidado282931[[#This Row],[ATUAL]])</f>
        <v>0</v>
      </c>
      <c r="X141" s="119" t="n">
        <f aca="false">SUMIFS(tabela_registros[VALOR],tabela_registros[MÊS],$AE$1,tabela_registros[DIA],investirrendavariávelconsolidado282931[[#Headers],[20]],tabela_registros[REGISTRO],DADOS!$N$5,tabela_registros[TIPO],DADOS!$AB$4,tabela_registros[CATEGORIA],investirrendavariávelconsolidado282931[[#This Row],[ATUAL]])</f>
        <v>0</v>
      </c>
      <c r="Y141" s="119" t="n">
        <f aca="false">SUMIFS(tabela_registros[VALOR],tabela_registros[MÊS],$AE$1,tabela_registros[DIA],investirrendavariávelconsolidado282931[[#Headers],[21]],tabela_registros[REGISTRO],DADOS!$N$5,tabela_registros[TIPO],DADOS!$AB$4,tabela_registros[CATEGORIA],investirrendavariávelconsolidado282931[[#This Row],[ATUAL]])</f>
        <v>0</v>
      </c>
      <c r="Z141" s="119" t="n">
        <f aca="false">SUMIFS(tabela_registros[VALOR],tabela_registros[MÊS],$AE$1,tabela_registros[DIA],investirrendavariávelconsolidado282931[[#Headers],[22]],tabela_registros[REGISTRO],DADOS!$N$5,tabela_registros[TIPO],DADOS!$AB$4,tabela_registros[CATEGORIA],investirrendavariávelconsolidado282931[[#This Row],[ATUAL]])</f>
        <v>0</v>
      </c>
      <c r="AA141" s="119" t="n">
        <f aca="false">SUMIFS(tabela_registros[VALOR],tabela_registros[MÊS],$AE$1,tabela_registros[DIA],investirrendavariávelconsolidado282931[[#Headers],[23]],tabela_registros[REGISTRO],DADOS!$N$5,tabela_registros[TIPO],DADOS!$AB$4,tabela_registros[CATEGORIA],investirrendavariávelconsolidado282931[[#This Row],[ATUAL]])</f>
        <v>0</v>
      </c>
      <c r="AB141" s="119" t="n">
        <f aca="false">SUMIFS(tabela_registros[VALOR],tabela_registros[MÊS],$AE$1,tabela_registros[DIA],investirrendavariávelconsolidado282931[[#Headers],[24]],tabela_registros[REGISTRO],DADOS!$N$5,tabela_registros[TIPO],DADOS!$AB$4,tabela_registros[CATEGORIA],investirrendavariávelconsolidado282931[[#This Row],[ATUAL]])</f>
        <v>0</v>
      </c>
      <c r="AC141" s="119" t="n">
        <f aca="false">SUMIFS(tabela_registros[VALOR],tabela_registros[MÊS],$AE$1,tabela_registros[DIA],investirrendavariávelconsolidado282931[[#Headers],[25]],tabela_registros[REGISTRO],DADOS!$N$5,tabela_registros[TIPO],DADOS!$AB$4,tabela_registros[CATEGORIA],investirrendavariávelconsolidado282931[[#This Row],[ATUAL]])</f>
        <v>0</v>
      </c>
      <c r="AD141" s="119" t="n">
        <f aca="false">SUMIFS(tabela_registros[VALOR],tabela_registros[MÊS],$AE$1,tabela_registros[DIA],investirrendavariávelconsolidado282931[[#Headers],[26]],tabela_registros[REGISTRO],DADOS!$N$5,tabela_registros[TIPO],DADOS!$AB$4,tabela_registros[CATEGORIA],investirrendavariávelconsolidado282931[[#This Row],[ATUAL]])</f>
        <v>0</v>
      </c>
      <c r="AE141" s="119" t="n">
        <f aca="false">SUMIFS(tabela_registros[VALOR],tabela_registros[MÊS],$AE$1,tabela_registros[DIA],investirrendavariávelconsolidado282931[[#Headers],[27]],tabela_registros[REGISTRO],DADOS!$N$5,tabela_registros[TIPO],DADOS!$AB$4,tabela_registros[CATEGORIA],investirrendavariávelconsolidado282931[[#This Row],[ATUAL]])</f>
        <v>0</v>
      </c>
      <c r="AF141" s="119" t="n">
        <f aca="false">SUMIFS(tabela_registros[VALOR],tabela_registros[MÊS],$AE$1,tabela_registros[DIA],investirrendavariávelconsolidado282931[[#Headers],[28]],tabela_registros[REGISTRO],DADOS!$N$5,tabela_registros[TIPO],DADOS!$AB$4,tabela_registros[CATEGORIA],investirrendavariávelconsolidado282931[[#This Row],[ATUAL]])</f>
        <v>0</v>
      </c>
      <c r="AG141" s="119" t="n">
        <f aca="false">SUMIFS(tabela_registros[VALOR],tabela_registros[MÊS],$AE$1,tabela_registros[DIA],investirrendavariávelconsolidado282931[[#Headers],[29]],tabela_registros[REGISTRO],DADOS!$N$5,tabela_registros[TIPO],DADOS!$AB$4,tabela_registros[CATEGORIA],investirrendavariávelconsolidado282931[[#This Row],[ATUAL]])</f>
        <v>0</v>
      </c>
      <c r="AH141" s="119" t="n">
        <f aca="false">SUMIFS(tabela_registros[VALOR],tabela_registros[MÊS],$AE$1,tabela_registros[DIA],investirrendavariávelconsolidado282931[[#Headers],[30]],tabela_registros[REGISTRO],DADOS!$N$5,tabela_registros[TIPO],DADOS!$AB$4,tabela_registros[CATEGORIA],investirrendavariávelconsolidado282931[[#This Row],[ATUAL]])</f>
        <v>0</v>
      </c>
      <c r="AI141" s="218" t="n">
        <f aca="false">SUMIFS(tabela_registros[VALOR],tabela_registros[MÊS],$AE$1,tabela_registros[DIA],investirrendavariávelconsolidado282931[[#Headers],[31]],tabela_registros[REGISTRO],DADOS!$N$5,tabela_registros[TIPO],DADOS!$AB$4,tabela_registros[CATEGORIA],investirrendavariávelconsolidado282931[[#This Row],[ATUAL]])</f>
        <v>0</v>
      </c>
      <c r="AJ141" s="149" t="n">
        <f aca="false">SUM(investirrendavariávelconsolidado282931[[#This Row],[1]:[31]])</f>
        <v>0</v>
      </c>
      <c r="AK141" s="234"/>
      <c r="AL141" s="189"/>
    </row>
    <row r="142" s="122" customFormat="true" ht="21" hidden="false" customHeight="true" outlineLevel="0" collapsed="false">
      <c r="A142" s="199"/>
      <c r="B142" s="220"/>
      <c r="C142" s="221" t="s">
        <v>2</v>
      </c>
      <c r="D142" s="235"/>
      <c r="E142" s="155" t="n">
        <f aca="false">SUM(E132:E141)</f>
        <v>0</v>
      </c>
      <c r="F142" s="156" t="n">
        <f aca="false">SUM(F132:F141)+investirrendavariávelconsolidado282931[[#This Row],[1]]</f>
        <v>0</v>
      </c>
      <c r="G142" s="156" t="n">
        <f aca="false">SUM(G132:G141)+investirrendavariávelconsolidado282931[[#This Row],[2]]</f>
        <v>0</v>
      </c>
      <c r="H142" s="156" t="n">
        <f aca="false">SUM(H132:H141)+investirrendavariávelconsolidado282931[[#This Row],[3]]</f>
        <v>0</v>
      </c>
      <c r="I142" s="156" t="n">
        <f aca="false">SUM(I132:I141)+investirrendavariávelconsolidado282931[[#This Row],[4]]</f>
        <v>0</v>
      </c>
      <c r="J142" s="156" t="n">
        <f aca="false">SUM(J132:J141)+investirrendavariávelconsolidado282931[[#This Row],[5]]</f>
        <v>0</v>
      </c>
      <c r="K142" s="156" t="n">
        <f aca="false">SUM(K132:K141)+investirrendavariávelconsolidado282931[[#This Row],[6]]</f>
        <v>0</v>
      </c>
      <c r="L142" s="156" t="n">
        <f aca="false">SUM(L132:L141)+investirrendavariávelconsolidado282931[[#This Row],[7]]</f>
        <v>0</v>
      </c>
      <c r="M142" s="156" t="n">
        <f aca="false">SUM(M132:M141)+investirrendavariávelconsolidado282931[[#This Row],[8]]</f>
        <v>0</v>
      </c>
      <c r="N142" s="156" t="n">
        <f aca="false">SUM(N132:N141)+investirrendavariávelconsolidado282931[[#This Row],[9]]</f>
        <v>0</v>
      </c>
      <c r="O142" s="156" t="n">
        <f aca="false">SUM(O132:O141)+investirrendavariávelconsolidado282931[[#This Row],[10]]</f>
        <v>0</v>
      </c>
      <c r="P142" s="156" t="n">
        <f aca="false">SUM(P132:P141)+investirrendavariávelconsolidado282931[[#This Row],[11]]</f>
        <v>0</v>
      </c>
      <c r="Q142" s="156" t="n">
        <f aca="false">SUM(Q132:Q141)+investirrendavariávelconsolidado282931[[#This Row],[12]]</f>
        <v>0</v>
      </c>
      <c r="R142" s="156" t="n">
        <f aca="false">SUM(R132:R141)+investirrendavariávelconsolidado282931[[#This Row],[13]]</f>
        <v>0</v>
      </c>
      <c r="S142" s="156" t="n">
        <f aca="false">SUM(S132:S141)+investirrendavariávelconsolidado282931[[#This Row],[14]]</f>
        <v>0</v>
      </c>
      <c r="T142" s="156" t="n">
        <f aca="false">SUM(T132:T141)+investirrendavariávelconsolidado282931[[#This Row],[15]]</f>
        <v>0</v>
      </c>
      <c r="U142" s="156" t="n">
        <f aca="false">SUM(U132:U141)+investirrendavariávelconsolidado282931[[#This Row],[16]]</f>
        <v>0</v>
      </c>
      <c r="V142" s="156" t="n">
        <f aca="false">SUM(V132:V141)+investirrendavariávelconsolidado282931[[#This Row],[17]]</f>
        <v>0</v>
      </c>
      <c r="W142" s="156" t="n">
        <f aca="false">SUM(W132:W141)+investirrendavariávelconsolidado282931[[#This Row],[18]]</f>
        <v>0</v>
      </c>
      <c r="X142" s="156" t="n">
        <f aca="false">SUM(X132:X141)+investirrendavariávelconsolidado282931[[#This Row],[19]]</f>
        <v>0</v>
      </c>
      <c r="Y142" s="156" t="n">
        <f aca="false">SUM(Y132:Y141)+investirrendavariávelconsolidado282931[[#This Row],[20]]</f>
        <v>0</v>
      </c>
      <c r="Z142" s="156" t="n">
        <f aca="false">SUM(Z132:Z141)+investirrendavariávelconsolidado282931[[#This Row],[21]]</f>
        <v>0</v>
      </c>
      <c r="AA142" s="156" t="n">
        <f aca="false">SUM(AA132:AA141)+investirrendavariávelconsolidado282931[[#This Row],[22]]</f>
        <v>0</v>
      </c>
      <c r="AB142" s="156" t="n">
        <f aca="false">SUM(AB132:AB141)+investirrendavariávelconsolidado282931[[#This Row],[23]]</f>
        <v>0</v>
      </c>
      <c r="AC142" s="156" t="n">
        <f aca="false">SUM(AC132:AC141)+investirrendavariávelconsolidado282931[[#This Row],[24]]</f>
        <v>0</v>
      </c>
      <c r="AD142" s="156" t="n">
        <f aca="false">SUM(AD132:AD141)+investirrendavariávelconsolidado282931[[#This Row],[25]]</f>
        <v>0</v>
      </c>
      <c r="AE142" s="156" t="n">
        <f aca="false">SUM(AE132:AE141)+investirrendavariávelconsolidado282931[[#This Row],[26]]</f>
        <v>0</v>
      </c>
      <c r="AF142" s="156" t="n">
        <f aca="false">SUM(AF132:AF141)+investirrendavariávelconsolidado282931[[#This Row],[27]]</f>
        <v>0</v>
      </c>
      <c r="AG142" s="156" t="n">
        <f aca="false">SUM(AG132:AG141)+investirrendavariávelconsolidado282931[[#This Row],[28]]</f>
        <v>0</v>
      </c>
      <c r="AH142" s="156" t="n">
        <f aca="false">SUM(AH132:AH141)+investirrendavariávelconsolidado282931[[#This Row],[29]]</f>
        <v>0</v>
      </c>
      <c r="AI142" s="223" t="n">
        <f aca="false">SUM(AI132:AI141)+investirrendavariávelconsolidado282931[[#This Row],[30]]</f>
        <v>0</v>
      </c>
      <c r="AJ142" s="157" t="n">
        <f aca="false">investirrendavariávelconsolidado282931[[#This Row],[31]]</f>
        <v>0</v>
      </c>
      <c r="AK142" s="224"/>
      <c r="AL142" s="199"/>
    </row>
    <row r="143" customFormat="false" ht="6.75" hidden="false" customHeight="true" outlineLevel="0" collapsed="false">
      <c r="A143" s="189"/>
      <c r="B143" s="185"/>
      <c r="C143" s="231"/>
      <c r="D143" s="232"/>
      <c r="E143" s="232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2"/>
      <c r="S143" s="232"/>
      <c r="T143" s="232"/>
      <c r="U143" s="232"/>
      <c r="V143" s="232"/>
      <c r="W143" s="232"/>
      <c r="X143" s="232"/>
      <c r="Y143" s="232"/>
      <c r="Z143" s="232"/>
      <c r="AA143" s="232"/>
      <c r="AB143" s="232"/>
      <c r="AC143" s="232"/>
      <c r="AD143" s="232"/>
      <c r="AE143" s="232"/>
      <c r="AF143" s="232"/>
      <c r="AG143" s="232"/>
      <c r="AH143" s="232"/>
      <c r="AI143" s="233"/>
      <c r="AJ143" s="236"/>
      <c r="AK143" s="228"/>
      <c r="AL143" s="189"/>
    </row>
    <row r="144" customFormat="false" ht="12.75" hidden="false" customHeight="false" outlineLevel="0" collapsed="false">
      <c r="A144" s="189"/>
      <c r="B144" s="189"/>
      <c r="C144" s="189"/>
      <c r="D144" s="189"/>
      <c r="E144" s="190"/>
      <c r="F144" s="189"/>
      <c r="G144" s="189"/>
      <c r="H144" s="189"/>
      <c r="I144" s="189"/>
      <c r="J144" s="189"/>
      <c r="K144" s="189"/>
      <c r="L144" s="189"/>
      <c r="M144" s="189"/>
      <c r="N144" s="189"/>
      <c r="O144" s="189"/>
      <c r="P144" s="189"/>
      <c r="Q144" s="189"/>
      <c r="R144" s="189"/>
      <c r="S144" s="189"/>
      <c r="T144" s="189"/>
      <c r="U144" s="189"/>
      <c r="V144" s="189"/>
      <c r="W144" s="189"/>
      <c r="X144" s="189"/>
      <c r="Y144" s="189"/>
      <c r="Z144" s="189"/>
      <c r="AA144" s="189"/>
      <c r="AB144" s="189"/>
      <c r="AC144" s="189"/>
      <c r="AD144" s="189"/>
      <c r="AE144" s="189"/>
      <c r="AF144" s="189"/>
      <c r="AG144" s="189"/>
      <c r="AH144" s="189"/>
      <c r="AI144" s="189"/>
      <c r="AJ144" s="189"/>
      <c r="AK144" s="189"/>
      <c r="AL144" s="189"/>
    </row>
    <row r="145" customFormat="false" ht="12" hidden="false" customHeight="false" outlineLevel="0" collapsed="false">
      <c r="A145" s="189"/>
      <c r="B145" s="189"/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89"/>
      <c r="O145" s="189"/>
      <c r="P145" s="189"/>
      <c r="Q145" s="189"/>
      <c r="R145" s="189"/>
      <c r="S145" s="189"/>
      <c r="T145" s="189"/>
      <c r="U145" s="189"/>
      <c r="V145" s="189"/>
      <c r="W145" s="189"/>
      <c r="X145" s="189"/>
      <c r="Y145" s="189"/>
      <c r="Z145" s="189"/>
      <c r="AA145" s="189"/>
      <c r="AB145" s="189"/>
      <c r="AC145" s="189"/>
      <c r="AD145" s="189"/>
      <c r="AE145" s="189"/>
      <c r="AF145" s="189"/>
      <c r="AG145" s="189"/>
      <c r="AH145" s="189"/>
      <c r="AI145" s="189"/>
      <c r="AJ145" s="189"/>
      <c r="AK145" s="189"/>
      <c r="AL145" s="189"/>
    </row>
    <row r="146" customFormat="false" ht="12" hidden="false" customHeight="false" outlineLevel="0" collapsed="false">
      <c r="A146" s="189"/>
      <c r="B146" s="189"/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  <c r="P146" s="189"/>
      <c r="Q146" s="189"/>
      <c r="R146" s="189"/>
      <c r="S146" s="189"/>
      <c r="T146" s="189"/>
      <c r="U146" s="189"/>
      <c r="V146" s="189"/>
      <c r="W146" s="189"/>
      <c r="X146" s="189"/>
      <c r="Y146" s="189"/>
      <c r="Z146" s="189"/>
      <c r="AA146" s="189"/>
      <c r="AB146" s="189"/>
      <c r="AC146" s="189"/>
      <c r="AD146" s="189"/>
      <c r="AE146" s="189"/>
      <c r="AF146" s="189"/>
      <c r="AG146" s="189"/>
      <c r="AH146" s="189"/>
      <c r="AI146" s="189"/>
      <c r="AJ146" s="189"/>
      <c r="AK146" s="189"/>
      <c r="AL146" s="189"/>
    </row>
    <row r="147" customFormat="false" ht="39.75" hidden="false" customHeight="true" outlineLevel="0" collapsed="false">
      <c r="A147" s="189"/>
      <c r="B147" s="189"/>
      <c r="C147" s="191"/>
      <c r="D147" s="189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  <c r="P147" s="192"/>
      <c r="Q147" s="192"/>
      <c r="R147" s="192"/>
      <c r="S147" s="192"/>
      <c r="T147" s="192"/>
      <c r="U147" s="192"/>
      <c r="V147" s="192"/>
      <c r="W147" s="192"/>
      <c r="X147" s="192"/>
      <c r="Y147" s="192"/>
      <c r="Z147" s="192"/>
      <c r="AA147" s="192"/>
      <c r="AB147" s="192"/>
      <c r="AC147" s="192"/>
      <c r="AD147" s="192"/>
      <c r="AE147" s="192"/>
      <c r="AF147" s="192"/>
      <c r="AG147" s="192"/>
      <c r="AH147" s="192"/>
      <c r="AI147" s="192"/>
      <c r="AJ147" s="103" t="s">
        <v>2</v>
      </c>
      <c r="AK147" s="189"/>
      <c r="AL147" s="189"/>
    </row>
    <row r="148" customFormat="false" ht="12.75" hidden="false" customHeight="false" outlineLevel="0" collapsed="false">
      <c r="A148" s="189"/>
      <c r="B148" s="230"/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89"/>
      <c r="O148" s="189"/>
      <c r="P148" s="189"/>
      <c r="Q148" s="189"/>
      <c r="R148" s="189"/>
      <c r="S148" s="189"/>
      <c r="T148" s="189"/>
      <c r="U148" s="189"/>
      <c r="V148" s="189"/>
      <c r="W148" s="189"/>
      <c r="X148" s="189"/>
      <c r="Y148" s="189"/>
      <c r="Z148" s="189"/>
      <c r="AA148" s="189"/>
      <c r="AB148" s="189"/>
      <c r="AC148" s="189"/>
      <c r="AD148" s="189"/>
      <c r="AE148" s="189"/>
      <c r="AF148" s="189"/>
      <c r="AG148" s="189"/>
      <c r="AH148" s="189"/>
      <c r="AI148" s="189"/>
      <c r="AJ148" s="106" t="s">
        <v>64</v>
      </c>
      <c r="AK148" s="189"/>
      <c r="AL148" s="189"/>
    </row>
    <row r="149" customFormat="false" ht="6.75" hidden="false" customHeight="true" outlineLevel="0" collapsed="false">
      <c r="A149" s="189"/>
      <c r="B149" s="172"/>
      <c r="C149" s="231"/>
      <c r="D149" s="232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2"/>
      <c r="S149" s="232"/>
      <c r="T149" s="232"/>
      <c r="U149" s="232"/>
      <c r="V149" s="232"/>
      <c r="W149" s="232"/>
      <c r="X149" s="232"/>
      <c r="Y149" s="232"/>
      <c r="Z149" s="232"/>
      <c r="AA149" s="232"/>
      <c r="AB149" s="232"/>
      <c r="AC149" s="232"/>
      <c r="AD149" s="232"/>
      <c r="AE149" s="232"/>
      <c r="AF149" s="232"/>
      <c r="AG149" s="232"/>
      <c r="AH149" s="232"/>
      <c r="AI149" s="232"/>
      <c r="AJ149" s="233"/>
      <c r="AK149" s="209"/>
      <c r="AL149" s="189"/>
    </row>
    <row r="150" customFormat="false" ht="13.5" hidden="true" customHeight="false" outlineLevel="0" collapsed="false">
      <c r="A150" s="189"/>
      <c r="B150" s="172"/>
      <c r="C150" s="195" t="s">
        <v>68</v>
      </c>
      <c r="D150" s="196" t="s">
        <v>69</v>
      </c>
      <c r="E150" s="196" t="s">
        <v>30</v>
      </c>
      <c r="F150" s="196" t="s">
        <v>31</v>
      </c>
      <c r="G150" s="196" t="s">
        <v>32</v>
      </c>
      <c r="H150" s="196" t="s">
        <v>33</v>
      </c>
      <c r="I150" s="196" t="s">
        <v>34</v>
      </c>
      <c r="J150" s="196" t="s">
        <v>35</v>
      </c>
      <c r="K150" s="196" t="s">
        <v>36</v>
      </c>
      <c r="L150" s="196" t="s">
        <v>37</v>
      </c>
      <c r="M150" s="196" t="s">
        <v>38</v>
      </c>
      <c r="N150" s="196" t="s">
        <v>39</v>
      </c>
      <c r="O150" s="196" t="s">
        <v>40</v>
      </c>
      <c r="P150" s="196" t="s">
        <v>41</v>
      </c>
      <c r="Q150" s="196" t="s">
        <v>81</v>
      </c>
      <c r="R150" s="196" t="s">
        <v>82</v>
      </c>
      <c r="S150" s="196" t="s">
        <v>83</v>
      </c>
      <c r="T150" s="196" t="s">
        <v>84</v>
      </c>
      <c r="U150" s="196" t="s">
        <v>85</v>
      </c>
      <c r="V150" s="196" t="s">
        <v>86</v>
      </c>
      <c r="W150" s="196" t="s">
        <v>87</v>
      </c>
      <c r="X150" s="196" t="s">
        <v>88</v>
      </c>
      <c r="Y150" s="196" t="s">
        <v>89</v>
      </c>
      <c r="Z150" s="196" t="s">
        <v>90</v>
      </c>
      <c r="AA150" s="196" t="s">
        <v>91</v>
      </c>
      <c r="AB150" s="196" t="s">
        <v>92</v>
      </c>
      <c r="AC150" s="196" t="s">
        <v>93</v>
      </c>
      <c r="AD150" s="196" t="s">
        <v>94</v>
      </c>
      <c r="AE150" s="196" t="s">
        <v>95</v>
      </c>
      <c r="AF150" s="196" t="s">
        <v>96</v>
      </c>
      <c r="AG150" s="196" t="s">
        <v>97</v>
      </c>
      <c r="AH150" s="196" t="s">
        <v>98</v>
      </c>
      <c r="AI150" s="196" t="s">
        <v>99</v>
      </c>
      <c r="AJ150" s="111" t="s">
        <v>70</v>
      </c>
      <c r="AK150" s="172"/>
      <c r="AL150" s="189"/>
    </row>
    <row r="151" customFormat="false" ht="19.5" hidden="false" customHeight="true" outlineLevel="0" collapsed="false">
      <c r="A151" s="189"/>
      <c r="B151" s="213"/>
      <c r="C151" s="214" t="str">
        <f aca="false">DADOS!$AH$3</f>
        <v>📝 COE</v>
      </c>
      <c r="D151" s="215" t="str">
        <f aca="false">IF(investiroutrosconsolidado282932[[#This Row],[TOTAL (R$)]]=0,"",IF(OR(investiroutrosconsolidado282932[[#This Row],[TOTAL (R$)]]=LARGE($AJ$151:$AJ$158,1),investiroutrosconsolidado282932[[#This Row],[TOTAL (R$)]]=LARGE($AJ$151:$AJ$158,2)),DADOS!$I$10,""))</f>
        <v/>
      </c>
      <c r="E151" s="148" t="n">
        <f aca="false">SUMIFS(tabela_registros[VALOR],tabela_registros[MÊS],$AE$1,tabela_registros[DIA],investiroutrosconsolidado282932[[#Headers],[1]],tabela_registros[REGISTRO],DADOS!$N$5,tabela_registros[TIPO],DADOS!$AB$5,tabela_registros[CATEGORIA],investiroutrosconsolidado282932[[#This Row],[ATUAL]])</f>
        <v>0</v>
      </c>
      <c r="F151" s="119" t="n">
        <f aca="false">SUMIFS(tabela_registros[VALOR],tabela_registros[MÊS],$AE$1,tabela_registros[DIA],investiroutrosconsolidado282932[[#Headers],[2]],tabela_registros[REGISTRO],DADOS!$N$5,tabela_registros[TIPO],DADOS!$AB$5,tabela_registros[CATEGORIA],investiroutrosconsolidado282932[[#This Row],[ATUAL]])</f>
        <v>0</v>
      </c>
      <c r="G151" s="119" t="n">
        <f aca="false">SUMIFS(tabela_registros[VALOR],tabela_registros[MÊS],$AE$1,tabela_registros[DIA],investiroutrosconsolidado282932[[#Headers],[3]],tabela_registros[REGISTRO],DADOS!$N$5,tabela_registros[TIPO],DADOS!$AB$5,tabela_registros[CATEGORIA],investiroutrosconsolidado282932[[#This Row],[ATUAL]])</f>
        <v>0</v>
      </c>
      <c r="H151" s="119" t="n">
        <f aca="false">SUMIFS(tabela_registros[VALOR],tabela_registros[MÊS],$AE$1,tabela_registros[DIA],investiroutrosconsolidado282932[[#Headers],[4]],tabela_registros[REGISTRO],DADOS!$N$5,tabela_registros[TIPO],DADOS!$AB$5,tabela_registros[CATEGORIA],investiroutrosconsolidado282932[[#This Row],[ATUAL]])</f>
        <v>0</v>
      </c>
      <c r="I151" s="119" t="n">
        <f aca="false">SUMIFS(tabela_registros[VALOR],tabela_registros[MÊS],$AE$1,tabela_registros[DIA],investiroutrosconsolidado282932[[#Headers],[5]],tabela_registros[REGISTRO],DADOS!$N$5,tabela_registros[TIPO],DADOS!$AB$5,tabela_registros[CATEGORIA],investiroutrosconsolidado282932[[#This Row],[ATUAL]])</f>
        <v>0</v>
      </c>
      <c r="J151" s="119" t="n">
        <f aca="false">SUMIFS(tabela_registros[VALOR],tabela_registros[MÊS],$AE$1,tabela_registros[DIA],investiroutrosconsolidado282932[[#Headers],[6]],tabela_registros[REGISTRO],DADOS!$N$5,tabela_registros[TIPO],DADOS!$AB$5,tabela_registros[CATEGORIA],investiroutrosconsolidado282932[[#This Row],[ATUAL]])</f>
        <v>0</v>
      </c>
      <c r="K151" s="119" t="n">
        <f aca="false">SUMIFS(tabela_registros[VALOR],tabela_registros[MÊS],$AE$1,tabela_registros[DIA],investiroutrosconsolidado282932[[#Headers],[7]],tabela_registros[REGISTRO],DADOS!$N$5,tabela_registros[TIPO],DADOS!$AB$5,tabela_registros[CATEGORIA],investiroutrosconsolidado282932[[#This Row],[ATUAL]])</f>
        <v>0</v>
      </c>
      <c r="L151" s="119" t="n">
        <f aca="false">SUMIFS(tabela_registros[VALOR],tabela_registros[MÊS],$AE$1,tabela_registros[DIA],investiroutrosconsolidado282932[[#Headers],[8]],tabela_registros[REGISTRO],DADOS!$N$5,tabela_registros[TIPO],DADOS!$AB$5,tabela_registros[CATEGORIA],investiroutrosconsolidado282932[[#This Row],[ATUAL]])</f>
        <v>0</v>
      </c>
      <c r="M151" s="119" t="n">
        <f aca="false">SUMIFS(tabela_registros[VALOR],tabela_registros[MÊS],$AE$1,tabela_registros[DIA],investiroutrosconsolidado282932[[#Headers],[9]],tabela_registros[REGISTRO],DADOS!$N$5,tabela_registros[TIPO],DADOS!$AB$5,tabela_registros[CATEGORIA],investiroutrosconsolidado282932[[#This Row],[ATUAL]])</f>
        <v>0</v>
      </c>
      <c r="N151" s="119" t="n">
        <f aca="false">SUMIFS(tabela_registros[VALOR],tabela_registros[MÊS],$AE$1,tabela_registros[DIA],investiroutrosconsolidado282932[[#Headers],[10]],tabela_registros[REGISTRO],DADOS!$N$5,tabela_registros[TIPO],DADOS!$AB$5,tabela_registros[CATEGORIA],investiroutrosconsolidado282932[[#This Row],[ATUAL]])</f>
        <v>0</v>
      </c>
      <c r="O151" s="119" t="n">
        <f aca="false">SUMIFS(tabela_registros[VALOR],tabela_registros[MÊS],$AE$1,tabela_registros[DIA],investiroutrosconsolidado282932[[#Headers],[11]],tabela_registros[REGISTRO],DADOS!$N$5,tabela_registros[TIPO],DADOS!$AB$5,tabela_registros[CATEGORIA],investiroutrosconsolidado282932[[#This Row],[ATUAL]])</f>
        <v>0</v>
      </c>
      <c r="P151" s="119" t="n">
        <f aca="false">SUMIFS(tabela_registros[VALOR],tabela_registros[MÊS],$AE$1,tabela_registros[DIA],investiroutrosconsolidado282932[[#Headers],[12]],tabela_registros[REGISTRO],DADOS!$N$5,tabela_registros[TIPO],DADOS!$AB$5,tabela_registros[CATEGORIA],investiroutrosconsolidado282932[[#This Row],[ATUAL]])</f>
        <v>0</v>
      </c>
      <c r="Q151" s="119" t="n">
        <f aca="false">SUMIFS(tabela_registros[VALOR],tabela_registros[MÊS],$AE$1,tabela_registros[DIA],investiroutrosconsolidado282932[[#Headers],[13]],tabela_registros[REGISTRO],DADOS!$N$5,tabela_registros[TIPO],DADOS!$AB$5,tabela_registros[CATEGORIA],investiroutrosconsolidado282932[[#This Row],[ATUAL]])</f>
        <v>0</v>
      </c>
      <c r="R151" s="119" t="n">
        <f aca="false">SUMIFS(tabela_registros[VALOR],tabela_registros[MÊS],$AE$1,tabela_registros[DIA],investiroutrosconsolidado282932[[#Headers],[14]],tabela_registros[REGISTRO],DADOS!$N$5,tabela_registros[TIPO],DADOS!$AB$5,tabela_registros[CATEGORIA],investiroutrosconsolidado282932[[#This Row],[ATUAL]])</f>
        <v>0</v>
      </c>
      <c r="S151" s="119" t="n">
        <f aca="false">SUMIFS(tabela_registros[VALOR],tabela_registros[MÊS],$AE$1,tabela_registros[DIA],investiroutrosconsolidado282932[[#Headers],[15]],tabela_registros[REGISTRO],DADOS!$N$5,tabela_registros[TIPO],DADOS!$AB$5,tabela_registros[CATEGORIA],investiroutrosconsolidado282932[[#This Row],[ATUAL]])</f>
        <v>0</v>
      </c>
      <c r="T151" s="119" t="n">
        <f aca="false">SUMIFS(tabela_registros[VALOR],tabela_registros[MÊS],$AE$1,tabela_registros[DIA],investiroutrosconsolidado282932[[#Headers],[16]],tabela_registros[REGISTRO],DADOS!$N$5,tabela_registros[TIPO],DADOS!$AB$5,tabela_registros[CATEGORIA],investiroutrosconsolidado282932[[#This Row],[ATUAL]])</f>
        <v>0</v>
      </c>
      <c r="U151" s="119" t="n">
        <f aca="false">SUMIFS(tabela_registros[VALOR],tabela_registros[MÊS],$AE$1,tabela_registros[DIA],investiroutrosconsolidado282932[[#Headers],[17]],tabela_registros[REGISTRO],DADOS!$N$5,tabela_registros[TIPO],DADOS!$AB$5,tabela_registros[CATEGORIA],investiroutrosconsolidado282932[[#This Row],[ATUAL]])</f>
        <v>0</v>
      </c>
      <c r="V151" s="119" t="n">
        <f aca="false">SUMIFS(tabela_registros[VALOR],tabela_registros[MÊS],$AE$1,tabela_registros[DIA],investiroutrosconsolidado282932[[#Headers],[18]],tabela_registros[REGISTRO],DADOS!$N$5,tabela_registros[TIPO],DADOS!$AB$5,tabela_registros[CATEGORIA],investiroutrosconsolidado282932[[#This Row],[ATUAL]])</f>
        <v>0</v>
      </c>
      <c r="W151" s="119" t="n">
        <f aca="false">SUMIFS(tabela_registros[VALOR],tabela_registros[MÊS],$AE$1,tabela_registros[DIA],investiroutrosconsolidado282932[[#Headers],[19]],tabela_registros[REGISTRO],DADOS!$N$5,tabela_registros[TIPO],DADOS!$AB$5,tabela_registros[CATEGORIA],investiroutrosconsolidado282932[[#This Row],[ATUAL]])</f>
        <v>0</v>
      </c>
      <c r="X151" s="119" t="n">
        <f aca="false">SUMIFS(tabela_registros[VALOR],tabela_registros[MÊS],$AE$1,tabela_registros[DIA],investiroutrosconsolidado282932[[#Headers],[20]],tabela_registros[REGISTRO],DADOS!$N$5,tabela_registros[TIPO],DADOS!$AB$5,tabela_registros[CATEGORIA],investiroutrosconsolidado282932[[#This Row],[ATUAL]])</f>
        <v>0</v>
      </c>
      <c r="Y151" s="119" t="n">
        <f aca="false">SUMIFS(tabela_registros[VALOR],tabela_registros[MÊS],$AE$1,tabela_registros[DIA],investiroutrosconsolidado282932[[#Headers],[21]],tabela_registros[REGISTRO],DADOS!$N$5,tabela_registros[TIPO],DADOS!$AB$5,tabela_registros[CATEGORIA],investiroutrosconsolidado282932[[#This Row],[ATUAL]])</f>
        <v>0</v>
      </c>
      <c r="Z151" s="119" t="n">
        <f aca="false">SUMIFS(tabela_registros[VALOR],tabela_registros[MÊS],$AE$1,tabela_registros[DIA],investiroutrosconsolidado282932[[#Headers],[22]],tabela_registros[REGISTRO],DADOS!$N$5,tabela_registros[TIPO],DADOS!$AB$5,tabela_registros[CATEGORIA],investiroutrosconsolidado282932[[#This Row],[ATUAL]])</f>
        <v>0</v>
      </c>
      <c r="AA151" s="119" t="n">
        <f aca="false">SUMIFS(tabela_registros[VALOR],tabela_registros[MÊS],$AE$1,tabela_registros[DIA],investiroutrosconsolidado282932[[#Headers],[23]],tabela_registros[REGISTRO],DADOS!$N$5,tabela_registros[TIPO],DADOS!$AB$5,tabela_registros[CATEGORIA],investiroutrosconsolidado282932[[#This Row],[ATUAL]])</f>
        <v>0</v>
      </c>
      <c r="AB151" s="119" t="n">
        <f aca="false">SUMIFS(tabela_registros[VALOR],tabela_registros[MÊS],$AE$1,tabela_registros[DIA],investiroutrosconsolidado282932[[#Headers],[24]],tabela_registros[REGISTRO],DADOS!$N$5,tabela_registros[TIPO],DADOS!$AB$5,tabela_registros[CATEGORIA],investiroutrosconsolidado282932[[#This Row],[ATUAL]])</f>
        <v>0</v>
      </c>
      <c r="AC151" s="119" t="n">
        <f aca="false">SUMIFS(tabela_registros[VALOR],tabela_registros[MÊS],$AE$1,tabela_registros[DIA],investiroutrosconsolidado282932[[#Headers],[25]],tabela_registros[REGISTRO],DADOS!$N$5,tabela_registros[TIPO],DADOS!$AB$5,tabela_registros[CATEGORIA],investiroutrosconsolidado282932[[#This Row],[ATUAL]])</f>
        <v>0</v>
      </c>
      <c r="AD151" s="119" t="n">
        <f aca="false">SUMIFS(tabela_registros[VALOR],tabela_registros[MÊS],$AE$1,tabela_registros[DIA],investiroutrosconsolidado282932[[#Headers],[26]],tabela_registros[REGISTRO],DADOS!$N$5,tabela_registros[TIPO],DADOS!$AB$5,tabela_registros[CATEGORIA],investiroutrosconsolidado282932[[#This Row],[ATUAL]])</f>
        <v>0</v>
      </c>
      <c r="AE151" s="119" t="n">
        <f aca="false">SUMIFS(tabela_registros[VALOR],tabela_registros[MÊS],$AE$1,tabela_registros[DIA],investiroutrosconsolidado282932[[#Headers],[27]],tabela_registros[REGISTRO],DADOS!$N$5,tabela_registros[TIPO],DADOS!$AB$5,tabela_registros[CATEGORIA],investiroutrosconsolidado282932[[#This Row],[ATUAL]])</f>
        <v>0</v>
      </c>
      <c r="AF151" s="119" t="n">
        <f aca="false">SUMIFS(tabela_registros[VALOR],tabela_registros[MÊS],$AE$1,tabela_registros[DIA],investiroutrosconsolidado282932[[#Headers],[28]],tabela_registros[REGISTRO],DADOS!$N$5,tabela_registros[TIPO],DADOS!$AB$5,tabela_registros[CATEGORIA],investiroutrosconsolidado282932[[#This Row],[ATUAL]])</f>
        <v>0</v>
      </c>
      <c r="AG151" s="119" t="n">
        <f aca="false">SUMIFS(tabela_registros[VALOR],tabela_registros[MÊS],$AE$1,tabela_registros[DIA],investiroutrosconsolidado282932[[#Headers],[29]],tabela_registros[REGISTRO],DADOS!$N$5,tabela_registros[TIPO],DADOS!$AB$5,tabela_registros[CATEGORIA],investiroutrosconsolidado282932[[#This Row],[ATUAL]])</f>
        <v>0</v>
      </c>
      <c r="AH151" s="119" t="n">
        <f aca="false">SUMIFS(tabela_registros[VALOR],tabela_registros[MÊS],$AE$1,tabela_registros[DIA],investiroutrosconsolidado282932[[#Headers],[30]],tabela_registros[REGISTRO],DADOS!$N$5,tabela_registros[TIPO],DADOS!$AB$5,tabela_registros[CATEGORIA],investiroutrosconsolidado282932[[#This Row],[ATUAL]])</f>
        <v>0</v>
      </c>
      <c r="AI151" s="217" t="n">
        <f aca="false">SUMIFS(tabela_registros[VALOR],tabela_registros[MÊS],$AE$1,tabela_registros[DIA],investiroutrosconsolidado282932[[#Headers],[31]],tabela_registros[REGISTRO],DADOS!$N$5,tabela_registros[TIPO],DADOS!$AB$5,tabela_registros[CATEGORIA],investiroutrosconsolidado282932[[#This Row],[ATUAL]])</f>
        <v>0</v>
      </c>
      <c r="AJ151" s="149" t="n">
        <f aca="false">SUM(investiroutrosconsolidado282932[[#This Row],[1]:[31]])</f>
        <v>0</v>
      </c>
      <c r="AK151" s="234"/>
      <c r="AL151" s="189"/>
    </row>
    <row r="152" customFormat="false" ht="19.5" hidden="false" customHeight="true" outlineLevel="0" collapsed="false">
      <c r="A152" s="189"/>
      <c r="B152" s="213"/>
      <c r="C152" s="214" t="str">
        <f aca="false">DADOS!$AH$4</f>
        <v>📝 FOREX</v>
      </c>
      <c r="D152" s="215" t="str">
        <f aca="false">IF(investiroutrosconsolidado282932[[#This Row],[TOTAL (R$)]]=0,"",IF(OR(investiroutrosconsolidado282932[[#This Row],[TOTAL (R$)]]=LARGE($AJ$151:$AJ$158,1),investiroutrosconsolidado282932[[#This Row],[TOTAL (R$)]]=LARGE($AJ$151:$AJ$158,2)),DADOS!$I$10,""))</f>
        <v/>
      </c>
      <c r="E152" s="148" t="n">
        <f aca="false">SUMIFS(tabela_registros[VALOR],tabela_registros[MÊS],$AE$1,tabela_registros[DIA],investiroutrosconsolidado282932[[#Headers],[1]],tabela_registros[REGISTRO],DADOS!$N$5,tabela_registros[TIPO],DADOS!$AB$5,tabela_registros[CATEGORIA],investiroutrosconsolidado282932[[#This Row],[ATUAL]])</f>
        <v>0</v>
      </c>
      <c r="F152" s="119" t="n">
        <f aca="false">SUMIFS(tabela_registros[VALOR],tabela_registros[MÊS],$AE$1,tabela_registros[DIA],investiroutrosconsolidado282932[[#Headers],[2]],tabela_registros[REGISTRO],DADOS!$N$5,tabela_registros[TIPO],DADOS!$AB$5,tabela_registros[CATEGORIA],investiroutrosconsolidado282932[[#This Row],[ATUAL]])</f>
        <v>0</v>
      </c>
      <c r="G152" s="119" t="n">
        <f aca="false">SUMIFS(tabela_registros[VALOR],tabela_registros[MÊS],$AE$1,tabela_registros[DIA],investiroutrosconsolidado282932[[#Headers],[3]],tabela_registros[REGISTRO],DADOS!$N$5,tabela_registros[TIPO],DADOS!$AB$5,tabela_registros[CATEGORIA],investiroutrosconsolidado282932[[#This Row],[ATUAL]])</f>
        <v>0</v>
      </c>
      <c r="H152" s="119" t="n">
        <f aca="false">SUMIFS(tabela_registros[VALOR],tabela_registros[MÊS],$AE$1,tabela_registros[DIA],investiroutrosconsolidado282932[[#Headers],[4]],tabela_registros[REGISTRO],DADOS!$N$5,tabela_registros[TIPO],DADOS!$AB$5,tabela_registros[CATEGORIA],investiroutrosconsolidado282932[[#This Row],[ATUAL]])</f>
        <v>0</v>
      </c>
      <c r="I152" s="119" t="n">
        <f aca="false">SUMIFS(tabela_registros[VALOR],tabela_registros[MÊS],$AE$1,tabela_registros[DIA],investiroutrosconsolidado282932[[#Headers],[5]],tabela_registros[REGISTRO],DADOS!$N$5,tabela_registros[TIPO],DADOS!$AB$5,tabela_registros[CATEGORIA],investiroutrosconsolidado282932[[#This Row],[ATUAL]])</f>
        <v>0</v>
      </c>
      <c r="J152" s="119" t="n">
        <f aca="false">SUMIFS(tabela_registros[VALOR],tabela_registros[MÊS],$AE$1,tabela_registros[DIA],investiroutrosconsolidado282932[[#Headers],[6]],tabela_registros[REGISTRO],DADOS!$N$5,tabela_registros[TIPO],DADOS!$AB$5,tabela_registros[CATEGORIA],investiroutrosconsolidado282932[[#This Row],[ATUAL]])</f>
        <v>0</v>
      </c>
      <c r="K152" s="119" t="n">
        <f aca="false">SUMIFS(tabela_registros[VALOR],tabela_registros[MÊS],$AE$1,tabela_registros[DIA],investiroutrosconsolidado282932[[#Headers],[7]],tabela_registros[REGISTRO],DADOS!$N$5,tabela_registros[TIPO],DADOS!$AB$5,tabela_registros[CATEGORIA],investiroutrosconsolidado282932[[#This Row],[ATUAL]])</f>
        <v>0</v>
      </c>
      <c r="L152" s="119" t="n">
        <f aca="false">SUMIFS(tabela_registros[VALOR],tabela_registros[MÊS],$AE$1,tabela_registros[DIA],investiroutrosconsolidado282932[[#Headers],[8]],tabela_registros[REGISTRO],DADOS!$N$5,tabela_registros[TIPO],DADOS!$AB$5,tabela_registros[CATEGORIA],investiroutrosconsolidado282932[[#This Row],[ATUAL]])</f>
        <v>0</v>
      </c>
      <c r="M152" s="119" t="n">
        <f aca="false">SUMIFS(tabela_registros[VALOR],tabela_registros[MÊS],$AE$1,tabela_registros[DIA],investiroutrosconsolidado282932[[#Headers],[9]],tabela_registros[REGISTRO],DADOS!$N$5,tabela_registros[TIPO],DADOS!$AB$5,tabela_registros[CATEGORIA],investiroutrosconsolidado282932[[#This Row],[ATUAL]])</f>
        <v>0</v>
      </c>
      <c r="N152" s="119" t="n">
        <f aca="false">SUMIFS(tabela_registros[VALOR],tabela_registros[MÊS],$AE$1,tabela_registros[DIA],investiroutrosconsolidado282932[[#Headers],[10]],tabela_registros[REGISTRO],DADOS!$N$5,tabela_registros[TIPO],DADOS!$AB$5,tabela_registros[CATEGORIA],investiroutrosconsolidado282932[[#This Row],[ATUAL]])</f>
        <v>0</v>
      </c>
      <c r="O152" s="119" t="n">
        <f aca="false">SUMIFS(tabela_registros[VALOR],tabela_registros[MÊS],$AE$1,tabela_registros[DIA],investiroutrosconsolidado282932[[#Headers],[11]],tabela_registros[REGISTRO],DADOS!$N$5,tabela_registros[TIPO],DADOS!$AB$5,tabela_registros[CATEGORIA],investiroutrosconsolidado282932[[#This Row],[ATUAL]])</f>
        <v>0</v>
      </c>
      <c r="P152" s="119" t="n">
        <f aca="false">SUMIFS(tabela_registros[VALOR],tabela_registros[MÊS],$AE$1,tabela_registros[DIA],investiroutrosconsolidado282932[[#Headers],[12]],tabela_registros[REGISTRO],DADOS!$N$5,tabela_registros[TIPO],DADOS!$AB$5,tabela_registros[CATEGORIA],investiroutrosconsolidado282932[[#This Row],[ATUAL]])</f>
        <v>0</v>
      </c>
      <c r="Q152" s="119" t="n">
        <f aca="false">SUMIFS(tabela_registros[VALOR],tabela_registros[MÊS],$AE$1,tabela_registros[DIA],investiroutrosconsolidado282932[[#Headers],[13]],tabela_registros[REGISTRO],DADOS!$N$5,tabela_registros[TIPO],DADOS!$AB$5,tabela_registros[CATEGORIA],investiroutrosconsolidado282932[[#This Row],[ATUAL]])</f>
        <v>0</v>
      </c>
      <c r="R152" s="119" t="n">
        <f aca="false">SUMIFS(tabela_registros[VALOR],tabela_registros[MÊS],$AE$1,tabela_registros[DIA],investiroutrosconsolidado282932[[#Headers],[14]],tabela_registros[REGISTRO],DADOS!$N$5,tabela_registros[TIPO],DADOS!$AB$5,tabela_registros[CATEGORIA],investiroutrosconsolidado282932[[#This Row],[ATUAL]])</f>
        <v>0</v>
      </c>
      <c r="S152" s="119" t="n">
        <f aca="false">SUMIFS(tabela_registros[VALOR],tabela_registros[MÊS],$AE$1,tabela_registros[DIA],investiroutrosconsolidado282932[[#Headers],[15]],tabela_registros[REGISTRO],DADOS!$N$5,tabela_registros[TIPO],DADOS!$AB$5,tabela_registros[CATEGORIA],investiroutrosconsolidado282932[[#This Row],[ATUAL]])</f>
        <v>0</v>
      </c>
      <c r="T152" s="119" t="n">
        <f aca="false">SUMIFS(tabela_registros[VALOR],tabela_registros[MÊS],$AE$1,tabela_registros[DIA],investiroutrosconsolidado282932[[#Headers],[16]],tabela_registros[REGISTRO],DADOS!$N$5,tabela_registros[TIPO],DADOS!$AB$5,tabela_registros[CATEGORIA],investiroutrosconsolidado282932[[#This Row],[ATUAL]])</f>
        <v>0</v>
      </c>
      <c r="U152" s="119" t="n">
        <f aca="false">SUMIFS(tabela_registros[VALOR],tabela_registros[MÊS],$AE$1,tabela_registros[DIA],investiroutrosconsolidado282932[[#Headers],[17]],tabela_registros[REGISTRO],DADOS!$N$5,tabela_registros[TIPO],DADOS!$AB$5,tabela_registros[CATEGORIA],investiroutrosconsolidado282932[[#This Row],[ATUAL]])</f>
        <v>0</v>
      </c>
      <c r="V152" s="119" t="n">
        <f aca="false">SUMIFS(tabela_registros[VALOR],tabela_registros[MÊS],$AE$1,tabela_registros[DIA],investiroutrosconsolidado282932[[#Headers],[18]],tabela_registros[REGISTRO],DADOS!$N$5,tabela_registros[TIPO],DADOS!$AB$5,tabela_registros[CATEGORIA],investiroutrosconsolidado282932[[#This Row],[ATUAL]])</f>
        <v>0</v>
      </c>
      <c r="W152" s="119" t="n">
        <f aca="false">SUMIFS(tabela_registros[VALOR],tabela_registros[MÊS],$AE$1,tabela_registros[DIA],investiroutrosconsolidado282932[[#Headers],[19]],tabela_registros[REGISTRO],DADOS!$N$5,tabela_registros[TIPO],DADOS!$AB$5,tabela_registros[CATEGORIA],investiroutrosconsolidado282932[[#This Row],[ATUAL]])</f>
        <v>0</v>
      </c>
      <c r="X152" s="119" t="n">
        <f aca="false">SUMIFS(tabela_registros[VALOR],tabela_registros[MÊS],$AE$1,tabela_registros[DIA],investiroutrosconsolidado282932[[#Headers],[20]],tabela_registros[REGISTRO],DADOS!$N$5,tabela_registros[TIPO],DADOS!$AB$5,tabela_registros[CATEGORIA],investiroutrosconsolidado282932[[#This Row],[ATUAL]])</f>
        <v>0</v>
      </c>
      <c r="Y152" s="119" t="n">
        <f aca="false">SUMIFS(tabela_registros[VALOR],tabela_registros[MÊS],$AE$1,tabela_registros[DIA],investiroutrosconsolidado282932[[#Headers],[21]],tabela_registros[REGISTRO],DADOS!$N$5,tabela_registros[TIPO],DADOS!$AB$5,tabela_registros[CATEGORIA],investiroutrosconsolidado282932[[#This Row],[ATUAL]])</f>
        <v>0</v>
      </c>
      <c r="Z152" s="119" t="n">
        <f aca="false">SUMIFS(tabela_registros[VALOR],tabela_registros[MÊS],$AE$1,tabela_registros[DIA],investiroutrosconsolidado282932[[#Headers],[22]],tabela_registros[REGISTRO],DADOS!$N$5,tabela_registros[TIPO],DADOS!$AB$5,tabela_registros[CATEGORIA],investiroutrosconsolidado282932[[#This Row],[ATUAL]])</f>
        <v>0</v>
      </c>
      <c r="AA152" s="119" t="n">
        <f aca="false">SUMIFS(tabela_registros[VALOR],tabela_registros[MÊS],$AE$1,tabela_registros[DIA],investiroutrosconsolidado282932[[#Headers],[23]],tabela_registros[REGISTRO],DADOS!$N$5,tabela_registros[TIPO],DADOS!$AB$5,tabela_registros[CATEGORIA],investiroutrosconsolidado282932[[#This Row],[ATUAL]])</f>
        <v>0</v>
      </c>
      <c r="AB152" s="119" t="n">
        <f aca="false">SUMIFS(tabela_registros[VALOR],tabela_registros[MÊS],$AE$1,tabela_registros[DIA],investiroutrosconsolidado282932[[#Headers],[24]],tabela_registros[REGISTRO],DADOS!$N$5,tabela_registros[TIPO],DADOS!$AB$5,tabela_registros[CATEGORIA],investiroutrosconsolidado282932[[#This Row],[ATUAL]])</f>
        <v>0</v>
      </c>
      <c r="AC152" s="119" t="n">
        <f aca="false">SUMIFS(tabela_registros[VALOR],tabela_registros[MÊS],$AE$1,tabela_registros[DIA],investiroutrosconsolidado282932[[#Headers],[25]],tabela_registros[REGISTRO],DADOS!$N$5,tabela_registros[TIPO],DADOS!$AB$5,tabela_registros[CATEGORIA],investiroutrosconsolidado282932[[#This Row],[ATUAL]])</f>
        <v>0</v>
      </c>
      <c r="AD152" s="119" t="n">
        <f aca="false">SUMIFS(tabela_registros[VALOR],tabela_registros[MÊS],$AE$1,tabela_registros[DIA],investiroutrosconsolidado282932[[#Headers],[26]],tabela_registros[REGISTRO],DADOS!$N$5,tabela_registros[TIPO],DADOS!$AB$5,tabela_registros[CATEGORIA],investiroutrosconsolidado282932[[#This Row],[ATUAL]])</f>
        <v>0</v>
      </c>
      <c r="AE152" s="119" t="n">
        <f aca="false">SUMIFS(tabela_registros[VALOR],tabela_registros[MÊS],$AE$1,tabela_registros[DIA],investiroutrosconsolidado282932[[#Headers],[27]],tabela_registros[REGISTRO],DADOS!$N$5,tabela_registros[TIPO],DADOS!$AB$5,tabela_registros[CATEGORIA],investiroutrosconsolidado282932[[#This Row],[ATUAL]])</f>
        <v>0</v>
      </c>
      <c r="AF152" s="119" t="n">
        <f aca="false">SUMIFS(tabela_registros[VALOR],tabela_registros[MÊS],$AE$1,tabela_registros[DIA],investiroutrosconsolidado282932[[#Headers],[28]],tabela_registros[REGISTRO],DADOS!$N$5,tabela_registros[TIPO],DADOS!$AB$5,tabela_registros[CATEGORIA],investiroutrosconsolidado282932[[#This Row],[ATUAL]])</f>
        <v>0</v>
      </c>
      <c r="AG152" s="119" t="n">
        <f aca="false">SUMIFS(tabela_registros[VALOR],tabela_registros[MÊS],$AE$1,tabela_registros[DIA],investiroutrosconsolidado282932[[#Headers],[29]],tabela_registros[REGISTRO],DADOS!$N$5,tabela_registros[TIPO],DADOS!$AB$5,tabela_registros[CATEGORIA],investiroutrosconsolidado282932[[#This Row],[ATUAL]])</f>
        <v>0</v>
      </c>
      <c r="AH152" s="119" t="n">
        <f aca="false">SUMIFS(tabela_registros[VALOR],tabela_registros[MÊS],$AE$1,tabela_registros[DIA],investiroutrosconsolidado282932[[#Headers],[30]],tabela_registros[REGISTRO],DADOS!$N$5,tabela_registros[TIPO],DADOS!$AB$5,tabela_registros[CATEGORIA],investiroutrosconsolidado282932[[#This Row],[ATUAL]])</f>
        <v>0</v>
      </c>
      <c r="AI152" s="217" t="n">
        <f aca="false">SUMIFS(tabela_registros[VALOR],tabela_registros[MÊS],$AE$1,tabela_registros[DIA],investiroutrosconsolidado282932[[#Headers],[31]],tabela_registros[REGISTRO],DADOS!$N$5,tabela_registros[TIPO],DADOS!$AB$5,tabela_registros[CATEGORIA],investiroutrosconsolidado282932[[#This Row],[ATUAL]])</f>
        <v>0</v>
      </c>
      <c r="AJ152" s="149" t="n">
        <f aca="false">SUM(investiroutrosconsolidado282932[[#This Row],[1]:[31]])</f>
        <v>0</v>
      </c>
      <c r="AK152" s="234"/>
      <c r="AL152" s="189"/>
    </row>
    <row r="153" customFormat="false" ht="19.5" hidden="false" customHeight="true" outlineLevel="0" collapsed="false">
      <c r="A153" s="189"/>
      <c r="B153" s="213"/>
      <c r="C153" s="214" t="str">
        <f aca="false">DADOS!$AH$5</f>
        <v>📝 FUNDO DE INVESTIMENTO</v>
      </c>
      <c r="D153" s="215" t="str">
        <f aca="false">IF(investiroutrosconsolidado282932[[#This Row],[TOTAL (R$)]]=0,"",IF(OR(investiroutrosconsolidado282932[[#This Row],[TOTAL (R$)]]=LARGE($AJ$151:$AJ$158,1),investiroutrosconsolidado282932[[#This Row],[TOTAL (R$)]]=LARGE($AJ$151:$AJ$158,2)),DADOS!$I$10,""))</f>
        <v/>
      </c>
      <c r="E153" s="148" t="n">
        <f aca="false">SUMIFS(tabela_registros[VALOR],tabela_registros[MÊS],$AE$1,tabela_registros[DIA],investiroutrosconsolidado282932[[#Headers],[1]],tabela_registros[REGISTRO],DADOS!$N$5,tabela_registros[TIPO],DADOS!$AB$5,tabela_registros[CATEGORIA],investiroutrosconsolidado282932[[#This Row],[ATUAL]])</f>
        <v>0</v>
      </c>
      <c r="F153" s="119" t="n">
        <f aca="false">SUMIFS(tabela_registros[VALOR],tabela_registros[MÊS],$AE$1,tabela_registros[DIA],investiroutrosconsolidado282932[[#Headers],[2]],tabela_registros[REGISTRO],DADOS!$N$5,tabela_registros[TIPO],DADOS!$AB$5,tabela_registros[CATEGORIA],investiroutrosconsolidado282932[[#This Row],[ATUAL]])</f>
        <v>0</v>
      </c>
      <c r="G153" s="119" t="n">
        <f aca="false">SUMIFS(tabela_registros[VALOR],tabela_registros[MÊS],$AE$1,tabela_registros[DIA],investiroutrosconsolidado282932[[#Headers],[3]],tabela_registros[REGISTRO],DADOS!$N$5,tabela_registros[TIPO],DADOS!$AB$5,tabela_registros[CATEGORIA],investiroutrosconsolidado282932[[#This Row],[ATUAL]])</f>
        <v>0</v>
      </c>
      <c r="H153" s="119" t="n">
        <f aca="false">SUMIFS(tabela_registros[VALOR],tabela_registros[MÊS],$AE$1,tabela_registros[DIA],investiroutrosconsolidado282932[[#Headers],[4]],tabela_registros[REGISTRO],DADOS!$N$5,tabela_registros[TIPO],DADOS!$AB$5,tabela_registros[CATEGORIA],investiroutrosconsolidado282932[[#This Row],[ATUAL]])</f>
        <v>0</v>
      </c>
      <c r="I153" s="119" t="n">
        <f aca="false">SUMIFS(tabela_registros[VALOR],tabela_registros[MÊS],$AE$1,tabela_registros[DIA],investiroutrosconsolidado282932[[#Headers],[5]],tabela_registros[REGISTRO],DADOS!$N$5,tabela_registros[TIPO],DADOS!$AB$5,tabela_registros[CATEGORIA],investiroutrosconsolidado282932[[#This Row],[ATUAL]])</f>
        <v>0</v>
      </c>
      <c r="J153" s="119" t="n">
        <f aca="false">SUMIFS(tabela_registros[VALOR],tabela_registros[MÊS],$AE$1,tabela_registros[DIA],investiroutrosconsolidado282932[[#Headers],[6]],tabela_registros[REGISTRO],DADOS!$N$5,tabela_registros[TIPO],DADOS!$AB$5,tabela_registros[CATEGORIA],investiroutrosconsolidado282932[[#This Row],[ATUAL]])</f>
        <v>0</v>
      </c>
      <c r="K153" s="119" t="n">
        <f aca="false">SUMIFS(tabela_registros[VALOR],tabela_registros[MÊS],$AE$1,tabela_registros[DIA],investiroutrosconsolidado282932[[#Headers],[7]],tabela_registros[REGISTRO],DADOS!$N$5,tabela_registros[TIPO],DADOS!$AB$5,tabela_registros[CATEGORIA],investiroutrosconsolidado282932[[#This Row],[ATUAL]])</f>
        <v>0</v>
      </c>
      <c r="L153" s="119" t="n">
        <f aca="false">SUMIFS(tabela_registros[VALOR],tabela_registros[MÊS],$AE$1,tabela_registros[DIA],investiroutrosconsolidado282932[[#Headers],[8]],tabela_registros[REGISTRO],DADOS!$N$5,tabela_registros[TIPO],DADOS!$AB$5,tabela_registros[CATEGORIA],investiroutrosconsolidado282932[[#This Row],[ATUAL]])</f>
        <v>0</v>
      </c>
      <c r="M153" s="119" t="n">
        <f aca="false">SUMIFS(tabela_registros[VALOR],tabela_registros[MÊS],$AE$1,tabela_registros[DIA],investiroutrosconsolidado282932[[#Headers],[9]],tabela_registros[REGISTRO],DADOS!$N$5,tabela_registros[TIPO],DADOS!$AB$5,tabela_registros[CATEGORIA],investiroutrosconsolidado282932[[#This Row],[ATUAL]])</f>
        <v>0</v>
      </c>
      <c r="N153" s="119" t="n">
        <f aca="false">SUMIFS(tabela_registros[VALOR],tabela_registros[MÊS],$AE$1,tabela_registros[DIA],investiroutrosconsolidado282932[[#Headers],[10]],tabela_registros[REGISTRO],DADOS!$N$5,tabela_registros[TIPO],DADOS!$AB$5,tabela_registros[CATEGORIA],investiroutrosconsolidado282932[[#This Row],[ATUAL]])</f>
        <v>0</v>
      </c>
      <c r="O153" s="119" t="n">
        <f aca="false">SUMIFS(tabela_registros[VALOR],tabela_registros[MÊS],$AE$1,tabela_registros[DIA],investiroutrosconsolidado282932[[#Headers],[11]],tabela_registros[REGISTRO],DADOS!$N$5,tabela_registros[TIPO],DADOS!$AB$5,tabela_registros[CATEGORIA],investiroutrosconsolidado282932[[#This Row],[ATUAL]])</f>
        <v>0</v>
      </c>
      <c r="P153" s="119" t="n">
        <f aca="false">SUMIFS(tabela_registros[VALOR],tabela_registros[MÊS],$AE$1,tabela_registros[DIA],investiroutrosconsolidado282932[[#Headers],[12]],tabela_registros[REGISTRO],DADOS!$N$5,tabela_registros[TIPO],DADOS!$AB$5,tabela_registros[CATEGORIA],investiroutrosconsolidado282932[[#This Row],[ATUAL]])</f>
        <v>0</v>
      </c>
      <c r="Q153" s="119" t="n">
        <f aca="false">SUMIFS(tabela_registros[VALOR],tabela_registros[MÊS],$AE$1,tabela_registros[DIA],investiroutrosconsolidado282932[[#Headers],[13]],tabela_registros[REGISTRO],DADOS!$N$5,tabela_registros[TIPO],DADOS!$AB$5,tabela_registros[CATEGORIA],investiroutrosconsolidado282932[[#This Row],[ATUAL]])</f>
        <v>0</v>
      </c>
      <c r="R153" s="119" t="n">
        <f aca="false">SUMIFS(tabela_registros[VALOR],tabela_registros[MÊS],$AE$1,tabela_registros[DIA],investiroutrosconsolidado282932[[#Headers],[14]],tabela_registros[REGISTRO],DADOS!$N$5,tabela_registros[TIPO],DADOS!$AB$5,tabela_registros[CATEGORIA],investiroutrosconsolidado282932[[#This Row],[ATUAL]])</f>
        <v>0</v>
      </c>
      <c r="S153" s="119" t="n">
        <f aca="false">SUMIFS(tabela_registros[VALOR],tabela_registros[MÊS],$AE$1,tabela_registros[DIA],investiroutrosconsolidado282932[[#Headers],[15]],tabela_registros[REGISTRO],DADOS!$N$5,tabela_registros[TIPO],DADOS!$AB$5,tabela_registros[CATEGORIA],investiroutrosconsolidado282932[[#This Row],[ATUAL]])</f>
        <v>0</v>
      </c>
      <c r="T153" s="119" t="n">
        <f aca="false">SUMIFS(tabela_registros[VALOR],tabela_registros[MÊS],$AE$1,tabela_registros[DIA],investiroutrosconsolidado282932[[#Headers],[16]],tabela_registros[REGISTRO],DADOS!$N$5,tabela_registros[TIPO],DADOS!$AB$5,tabela_registros[CATEGORIA],investiroutrosconsolidado282932[[#This Row],[ATUAL]])</f>
        <v>0</v>
      </c>
      <c r="U153" s="119" t="n">
        <f aca="false">SUMIFS(tabela_registros[VALOR],tabela_registros[MÊS],$AE$1,tabela_registros[DIA],investiroutrosconsolidado282932[[#Headers],[17]],tabela_registros[REGISTRO],DADOS!$N$5,tabela_registros[TIPO],DADOS!$AB$5,tabela_registros[CATEGORIA],investiroutrosconsolidado282932[[#This Row],[ATUAL]])</f>
        <v>0</v>
      </c>
      <c r="V153" s="119" t="n">
        <f aca="false">SUMIFS(tabela_registros[VALOR],tabela_registros[MÊS],$AE$1,tabela_registros[DIA],investiroutrosconsolidado282932[[#Headers],[18]],tabela_registros[REGISTRO],DADOS!$N$5,tabela_registros[TIPO],DADOS!$AB$5,tabela_registros[CATEGORIA],investiroutrosconsolidado282932[[#This Row],[ATUAL]])</f>
        <v>0</v>
      </c>
      <c r="W153" s="119" t="n">
        <f aca="false">SUMIFS(tabela_registros[VALOR],tabela_registros[MÊS],$AE$1,tabela_registros[DIA],investiroutrosconsolidado282932[[#Headers],[19]],tabela_registros[REGISTRO],DADOS!$N$5,tabela_registros[TIPO],DADOS!$AB$5,tabela_registros[CATEGORIA],investiroutrosconsolidado282932[[#This Row],[ATUAL]])</f>
        <v>0</v>
      </c>
      <c r="X153" s="119" t="n">
        <f aca="false">SUMIFS(tabela_registros[VALOR],tabela_registros[MÊS],$AE$1,tabela_registros[DIA],investiroutrosconsolidado282932[[#Headers],[20]],tabela_registros[REGISTRO],DADOS!$N$5,tabela_registros[TIPO],DADOS!$AB$5,tabela_registros[CATEGORIA],investiroutrosconsolidado282932[[#This Row],[ATUAL]])</f>
        <v>0</v>
      </c>
      <c r="Y153" s="119" t="n">
        <f aca="false">SUMIFS(tabela_registros[VALOR],tabela_registros[MÊS],$AE$1,tabela_registros[DIA],investiroutrosconsolidado282932[[#Headers],[21]],tabela_registros[REGISTRO],DADOS!$N$5,tabela_registros[TIPO],DADOS!$AB$5,tabela_registros[CATEGORIA],investiroutrosconsolidado282932[[#This Row],[ATUAL]])</f>
        <v>0</v>
      </c>
      <c r="Z153" s="119" t="n">
        <f aca="false">SUMIFS(tabela_registros[VALOR],tabela_registros[MÊS],$AE$1,tabela_registros[DIA],investiroutrosconsolidado282932[[#Headers],[22]],tabela_registros[REGISTRO],DADOS!$N$5,tabela_registros[TIPO],DADOS!$AB$5,tabela_registros[CATEGORIA],investiroutrosconsolidado282932[[#This Row],[ATUAL]])</f>
        <v>0</v>
      </c>
      <c r="AA153" s="119" t="n">
        <f aca="false">SUMIFS(tabela_registros[VALOR],tabela_registros[MÊS],$AE$1,tabela_registros[DIA],investiroutrosconsolidado282932[[#Headers],[23]],tabela_registros[REGISTRO],DADOS!$N$5,tabela_registros[TIPO],DADOS!$AB$5,tabela_registros[CATEGORIA],investiroutrosconsolidado282932[[#This Row],[ATUAL]])</f>
        <v>0</v>
      </c>
      <c r="AB153" s="119" t="n">
        <f aca="false">SUMIFS(tabela_registros[VALOR],tabela_registros[MÊS],$AE$1,tabela_registros[DIA],investiroutrosconsolidado282932[[#Headers],[24]],tabela_registros[REGISTRO],DADOS!$N$5,tabela_registros[TIPO],DADOS!$AB$5,tabela_registros[CATEGORIA],investiroutrosconsolidado282932[[#This Row],[ATUAL]])</f>
        <v>0</v>
      </c>
      <c r="AC153" s="119" t="n">
        <f aca="false">SUMIFS(tabela_registros[VALOR],tabela_registros[MÊS],$AE$1,tabela_registros[DIA],investiroutrosconsolidado282932[[#Headers],[25]],tabela_registros[REGISTRO],DADOS!$N$5,tabela_registros[TIPO],DADOS!$AB$5,tabela_registros[CATEGORIA],investiroutrosconsolidado282932[[#This Row],[ATUAL]])</f>
        <v>0</v>
      </c>
      <c r="AD153" s="119" t="n">
        <f aca="false">SUMIFS(tabela_registros[VALOR],tabela_registros[MÊS],$AE$1,tabela_registros[DIA],investiroutrosconsolidado282932[[#Headers],[26]],tabela_registros[REGISTRO],DADOS!$N$5,tabela_registros[TIPO],DADOS!$AB$5,tabela_registros[CATEGORIA],investiroutrosconsolidado282932[[#This Row],[ATUAL]])</f>
        <v>0</v>
      </c>
      <c r="AE153" s="119" t="n">
        <f aca="false">SUMIFS(tabela_registros[VALOR],tabela_registros[MÊS],$AE$1,tabela_registros[DIA],investiroutrosconsolidado282932[[#Headers],[27]],tabela_registros[REGISTRO],DADOS!$N$5,tabela_registros[TIPO],DADOS!$AB$5,tabela_registros[CATEGORIA],investiroutrosconsolidado282932[[#This Row],[ATUAL]])</f>
        <v>0</v>
      </c>
      <c r="AF153" s="119" t="n">
        <f aca="false">SUMIFS(tabela_registros[VALOR],tabela_registros[MÊS],$AE$1,tabela_registros[DIA],investiroutrosconsolidado282932[[#Headers],[28]],tabela_registros[REGISTRO],DADOS!$N$5,tabela_registros[TIPO],DADOS!$AB$5,tabela_registros[CATEGORIA],investiroutrosconsolidado282932[[#This Row],[ATUAL]])</f>
        <v>0</v>
      </c>
      <c r="AG153" s="119" t="n">
        <f aca="false">SUMIFS(tabela_registros[VALOR],tabela_registros[MÊS],$AE$1,tabela_registros[DIA],investiroutrosconsolidado282932[[#Headers],[29]],tabela_registros[REGISTRO],DADOS!$N$5,tabela_registros[TIPO],DADOS!$AB$5,tabela_registros[CATEGORIA],investiroutrosconsolidado282932[[#This Row],[ATUAL]])</f>
        <v>0</v>
      </c>
      <c r="AH153" s="119" t="n">
        <f aca="false">SUMIFS(tabela_registros[VALOR],tabela_registros[MÊS],$AE$1,tabela_registros[DIA],investiroutrosconsolidado282932[[#Headers],[30]],tabela_registros[REGISTRO],DADOS!$N$5,tabela_registros[TIPO],DADOS!$AB$5,tabela_registros[CATEGORIA],investiroutrosconsolidado282932[[#This Row],[ATUAL]])</f>
        <v>0</v>
      </c>
      <c r="AI153" s="217" t="n">
        <f aca="false">SUMIFS(tabela_registros[VALOR],tabela_registros[MÊS],$AE$1,tabela_registros[DIA],investiroutrosconsolidado282932[[#Headers],[31]],tabela_registros[REGISTRO],DADOS!$N$5,tabela_registros[TIPO],DADOS!$AB$5,tabela_registros[CATEGORIA],investiroutrosconsolidado282932[[#This Row],[ATUAL]])</f>
        <v>0</v>
      </c>
      <c r="AJ153" s="149" t="n">
        <f aca="false">SUM(investiroutrosconsolidado282932[[#This Row],[1]:[31]])</f>
        <v>0</v>
      </c>
      <c r="AK153" s="234"/>
      <c r="AL153" s="189"/>
    </row>
    <row r="154" customFormat="false" ht="19.5" hidden="false" customHeight="true" outlineLevel="0" collapsed="false">
      <c r="A154" s="189"/>
      <c r="B154" s="213"/>
      <c r="C154" s="214" t="str">
        <f aca="false">DADOS!$AH$6</f>
        <v>📝 NOVA EMPRESA</v>
      </c>
      <c r="D154" s="215" t="str">
        <f aca="false">IF(investiroutrosconsolidado282932[[#This Row],[TOTAL (R$)]]=0,"",IF(OR(investiroutrosconsolidado282932[[#This Row],[TOTAL (R$)]]=LARGE($AJ$151:$AJ$158,1),investiroutrosconsolidado282932[[#This Row],[TOTAL (R$)]]=LARGE($AJ$151:$AJ$158,2)),DADOS!$I$10,""))</f>
        <v/>
      </c>
      <c r="E154" s="148" t="n">
        <f aca="false">SUMIFS(tabela_registros[VALOR],tabela_registros[MÊS],$AE$1,tabela_registros[DIA],investiroutrosconsolidado282932[[#Headers],[1]],tabela_registros[REGISTRO],DADOS!$N$5,tabela_registros[TIPO],DADOS!$AB$5,tabela_registros[CATEGORIA],investiroutrosconsolidado282932[[#This Row],[ATUAL]])</f>
        <v>0</v>
      </c>
      <c r="F154" s="119" t="n">
        <f aca="false">SUMIFS(tabela_registros[VALOR],tabela_registros[MÊS],$AE$1,tabela_registros[DIA],investiroutrosconsolidado282932[[#Headers],[2]],tabela_registros[REGISTRO],DADOS!$N$5,tabela_registros[TIPO],DADOS!$AB$5,tabela_registros[CATEGORIA],investiroutrosconsolidado282932[[#This Row],[ATUAL]])</f>
        <v>0</v>
      </c>
      <c r="G154" s="119" t="n">
        <f aca="false">SUMIFS(tabela_registros[VALOR],tabela_registros[MÊS],$AE$1,tabela_registros[DIA],investiroutrosconsolidado282932[[#Headers],[3]],tabela_registros[REGISTRO],DADOS!$N$5,tabela_registros[TIPO],DADOS!$AB$5,tabela_registros[CATEGORIA],investiroutrosconsolidado282932[[#This Row],[ATUAL]])</f>
        <v>0</v>
      </c>
      <c r="H154" s="119" t="n">
        <f aca="false">SUMIFS(tabela_registros[VALOR],tabela_registros[MÊS],$AE$1,tabela_registros[DIA],investiroutrosconsolidado282932[[#Headers],[4]],tabela_registros[REGISTRO],DADOS!$N$5,tabela_registros[TIPO],DADOS!$AB$5,tabela_registros[CATEGORIA],investiroutrosconsolidado282932[[#This Row],[ATUAL]])</f>
        <v>0</v>
      </c>
      <c r="I154" s="119" t="n">
        <f aca="false">SUMIFS(tabela_registros[VALOR],tabela_registros[MÊS],$AE$1,tabela_registros[DIA],investiroutrosconsolidado282932[[#Headers],[5]],tabela_registros[REGISTRO],DADOS!$N$5,tabela_registros[TIPO],DADOS!$AB$5,tabela_registros[CATEGORIA],investiroutrosconsolidado282932[[#This Row],[ATUAL]])</f>
        <v>0</v>
      </c>
      <c r="J154" s="119" t="n">
        <f aca="false">SUMIFS(tabela_registros[VALOR],tabela_registros[MÊS],$AE$1,tabela_registros[DIA],investiroutrosconsolidado282932[[#Headers],[6]],tabela_registros[REGISTRO],DADOS!$N$5,tabela_registros[TIPO],DADOS!$AB$5,tabela_registros[CATEGORIA],investiroutrosconsolidado282932[[#This Row],[ATUAL]])</f>
        <v>0</v>
      </c>
      <c r="K154" s="119" t="n">
        <f aca="false">SUMIFS(tabela_registros[VALOR],tabela_registros[MÊS],$AE$1,tabela_registros[DIA],investiroutrosconsolidado282932[[#Headers],[7]],tabela_registros[REGISTRO],DADOS!$N$5,tabela_registros[TIPO],DADOS!$AB$5,tabela_registros[CATEGORIA],investiroutrosconsolidado282932[[#This Row],[ATUAL]])</f>
        <v>0</v>
      </c>
      <c r="L154" s="119" t="n">
        <f aca="false">SUMIFS(tabela_registros[VALOR],tabela_registros[MÊS],$AE$1,tabela_registros[DIA],investiroutrosconsolidado282932[[#Headers],[8]],tabela_registros[REGISTRO],DADOS!$N$5,tabela_registros[TIPO],DADOS!$AB$5,tabela_registros[CATEGORIA],investiroutrosconsolidado282932[[#This Row],[ATUAL]])</f>
        <v>0</v>
      </c>
      <c r="M154" s="119" t="n">
        <f aca="false">SUMIFS(tabela_registros[VALOR],tabela_registros[MÊS],$AE$1,tabela_registros[DIA],investiroutrosconsolidado282932[[#Headers],[9]],tabela_registros[REGISTRO],DADOS!$N$5,tabela_registros[TIPO],DADOS!$AB$5,tabela_registros[CATEGORIA],investiroutrosconsolidado282932[[#This Row],[ATUAL]])</f>
        <v>0</v>
      </c>
      <c r="N154" s="119" t="n">
        <f aca="false">SUMIFS(tabela_registros[VALOR],tabela_registros[MÊS],$AE$1,tabela_registros[DIA],investiroutrosconsolidado282932[[#Headers],[10]],tabela_registros[REGISTRO],DADOS!$N$5,tabela_registros[TIPO],DADOS!$AB$5,tabela_registros[CATEGORIA],investiroutrosconsolidado282932[[#This Row],[ATUAL]])</f>
        <v>0</v>
      </c>
      <c r="O154" s="119" t="n">
        <f aca="false">SUMIFS(tabela_registros[VALOR],tabela_registros[MÊS],$AE$1,tabela_registros[DIA],investiroutrosconsolidado282932[[#Headers],[11]],tabela_registros[REGISTRO],DADOS!$N$5,tabela_registros[TIPO],DADOS!$AB$5,tabela_registros[CATEGORIA],investiroutrosconsolidado282932[[#This Row],[ATUAL]])</f>
        <v>0</v>
      </c>
      <c r="P154" s="119" t="n">
        <f aca="false">SUMIFS(tabela_registros[VALOR],tabela_registros[MÊS],$AE$1,tabela_registros[DIA],investiroutrosconsolidado282932[[#Headers],[12]],tabela_registros[REGISTRO],DADOS!$N$5,tabela_registros[TIPO],DADOS!$AB$5,tabela_registros[CATEGORIA],investiroutrosconsolidado282932[[#This Row],[ATUAL]])</f>
        <v>0</v>
      </c>
      <c r="Q154" s="119" t="n">
        <f aca="false">SUMIFS(tabela_registros[VALOR],tabela_registros[MÊS],$AE$1,tabela_registros[DIA],investiroutrosconsolidado282932[[#Headers],[13]],tabela_registros[REGISTRO],DADOS!$N$5,tabela_registros[TIPO],DADOS!$AB$5,tabela_registros[CATEGORIA],investiroutrosconsolidado282932[[#This Row],[ATUAL]])</f>
        <v>0</v>
      </c>
      <c r="R154" s="119" t="n">
        <f aca="false">SUMIFS(tabela_registros[VALOR],tabela_registros[MÊS],$AE$1,tabela_registros[DIA],investiroutrosconsolidado282932[[#Headers],[14]],tabela_registros[REGISTRO],DADOS!$N$5,tabela_registros[TIPO],DADOS!$AB$5,tabela_registros[CATEGORIA],investiroutrosconsolidado282932[[#This Row],[ATUAL]])</f>
        <v>0</v>
      </c>
      <c r="S154" s="119" t="n">
        <f aca="false">SUMIFS(tabela_registros[VALOR],tabela_registros[MÊS],$AE$1,tabela_registros[DIA],investiroutrosconsolidado282932[[#Headers],[15]],tabela_registros[REGISTRO],DADOS!$N$5,tabela_registros[TIPO],DADOS!$AB$5,tabela_registros[CATEGORIA],investiroutrosconsolidado282932[[#This Row],[ATUAL]])</f>
        <v>0</v>
      </c>
      <c r="T154" s="119" t="n">
        <f aca="false">SUMIFS(tabela_registros[VALOR],tabela_registros[MÊS],$AE$1,tabela_registros[DIA],investiroutrosconsolidado282932[[#Headers],[16]],tabela_registros[REGISTRO],DADOS!$N$5,tabela_registros[TIPO],DADOS!$AB$5,tabela_registros[CATEGORIA],investiroutrosconsolidado282932[[#This Row],[ATUAL]])</f>
        <v>0</v>
      </c>
      <c r="U154" s="119" t="n">
        <f aca="false">SUMIFS(tabela_registros[VALOR],tabela_registros[MÊS],$AE$1,tabela_registros[DIA],investiroutrosconsolidado282932[[#Headers],[17]],tabela_registros[REGISTRO],DADOS!$N$5,tabela_registros[TIPO],DADOS!$AB$5,tabela_registros[CATEGORIA],investiroutrosconsolidado282932[[#This Row],[ATUAL]])</f>
        <v>0</v>
      </c>
      <c r="V154" s="119" t="n">
        <f aca="false">SUMIFS(tabela_registros[VALOR],tabela_registros[MÊS],$AE$1,tabela_registros[DIA],investiroutrosconsolidado282932[[#Headers],[18]],tabela_registros[REGISTRO],DADOS!$N$5,tabela_registros[TIPO],DADOS!$AB$5,tabela_registros[CATEGORIA],investiroutrosconsolidado282932[[#This Row],[ATUAL]])</f>
        <v>0</v>
      </c>
      <c r="W154" s="119" t="n">
        <f aca="false">SUMIFS(tabela_registros[VALOR],tabela_registros[MÊS],$AE$1,tabela_registros[DIA],investiroutrosconsolidado282932[[#Headers],[19]],tabela_registros[REGISTRO],DADOS!$N$5,tabela_registros[TIPO],DADOS!$AB$5,tabela_registros[CATEGORIA],investiroutrosconsolidado282932[[#This Row],[ATUAL]])</f>
        <v>0</v>
      </c>
      <c r="X154" s="119" t="n">
        <f aca="false">SUMIFS(tabela_registros[VALOR],tabela_registros[MÊS],$AE$1,tabela_registros[DIA],investiroutrosconsolidado282932[[#Headers],[20]],tabela_registros[REGISTRO],DADOS!$N$5,tabela_registros[TIPO],DADOS!$AB$5,tabela_registros[CATEGORIA],investiroutrosconsolidado282932[[#This Row],[ATUAL]])</f>
        <v>0</v>
      </c>
      <c r="Y154" s="119" t="n">
        <f aca="false">SUMIFS(tabela_registros[VALOR],tabela_registros[MÊS],$AE$1,tabela_registros[DIA],investiroutrosconsolidado282932[[#Headers],[21]],tabela_registros[REGISTRO],DADOS!$N$5,tabela_registros[TIPO],DADOS!$AB$5,tabela_registros[CATEGORIA],investiroutrosconsolidado282932[[#This Row],[ATUAL]])</f>
        <v>0</v>
      </c>
      <c r="Z154" s="119" t="n">
        <f aca="false">SUMIFS(tabela_registros[VALOR],tabela_registros[MÊS],$AE$1,tabela_registros[DIA],investiroutrosconsolidado282932[[#Headers],[22]],tabela_registros[REGISTRO],DADOS!$N$5,tabela_registros[TIPO],DADOS!$AB$5,tabela_registros[CATEGORIA],investiroutrosconsolidado282932[[#This Row],[ATUAL]])</f>
        <v>0</v>
      </c>
      <c r="AA154" s="119" t="n">
        <f aca="false">SUMIFS(tabela_registros[VALOR],tabela_registros[MÊS],$AE$1,tabela_registros[DIA],investiroutrosconsolidado282932[[#Headers],[23]],tabela_registros[REGISTRO],DADOS!$N$5,tabela_registros[TIPO],DADOS!$AB$5,tabela_registros[CATEGORIA],investiroutrosconsolidado282932[[#This Row],[ATUAL]])</f>
        <v>0</v>
      </c>
      <c r="AB154" s="119" t="n">
        <f aca="false">SUMIFS(tabela_registros[VALOR],tabela_registros[MÊS],$AE$1,tabela_registros[DIA],investiroutrosconsolidado282932[[#Headers],[24]],tabela_registros[REGISTRO],DADOS!$N$5,tabela_registros[TIPO],DADOS!$AB$5,tabela_registros[CATEGORIA],investiroutrosconsolidado282932[[#This Row],[ATUAL]])</f>
        <v>0</v>
      </c>
      <c r="AC154" s="119" t="n">
        <f aca="false">SUMIFS(tabela_registros[VALOR],tabela_registros[MÊS],$AE$1,tabela_registros[DIA],investiroutrosconsolidado282932[[#Headers],[25]],tabela_registros[REGISTRO],DADOS!$N$5,tabela_registros[TIPO],DADOS!$AB$5,tabela_registros[CATEGORIA],investiroutrosconsolidado282932[[#This Row],[ATUAL]])</f>
        <v>0</v>
      </c>
      <c r="AD154" s="119" t="n">
        <f aca="false">SUMIFS(tabela_registros[VALOR],tabela_registros[MÊS],$AE$1,tabela_registros[DIA],investiroutrosconsolidado282932[[#Headers],[26]],tabela_registros[REGISTRO],DADOS!$N$5,tabela_registros[TIPO],DADOS!$AB$5,tabela_registros[CATEGORIA],investiroutrosconsolidado282932[[#This Row],[ATUAL]])</f>
        <v>0</v>
      </c>
      <c r="AE154" s="119" t="n">
        <f aca="false">SUMIFS(tabela_registros[VALOR],tabela_registros[MÊS],$AE$1,tabela_registros[DIA],investiroutrosconsolidado282932[[#Headers],[27]],tabela_registros[REGISTRO],DADOS!$N$5,tabela_registros[TIPO],DADOS!$AB$5,tabela_registros[CATEGORIA],investiroutrosconsolidado282932[[#This Row],[ATUAL]])</f>
        <v>0</v>
      </c>
      <c r="AF154" s="119" t="n">
        <f aca="false">SUMIFS(tabela_registros[VALOR],tabela_registros[MÊS],$AE$1,tabela_registros[DIA],investiroutrosconsolidado282932[[#Headers],[28]],tabela_registros[REGISTRO],DADOS!$N$5,tabela_registros[TIPO],DADOS!$AB$5,tabela_registros[CATEGORIA],investiroutrosconsolidado282932[[#This Row],[ATUAL]])</f>
        <v>0</v>
      </c>
      <c r="AG154" s="119" t="n">
        <f aca="false">SUMIFS(tabela_registros[VALOR],tabela_registros[MÊS],$AE$1,tabela_registros[DIA],investiroutrosconsolidado282932[[#Headers],[29]],tabela_registros[REGISTRO],DADOS!$N$5,tabela_registros[TIPO],DADOS!$AB$5,tabela_registros[CATEGORIA],investiroutrosconsolidado282932[[#This Row],[ATUAL]])</f>
        <v>0</v>
      </c>
      <c r="AH154" s="119" t="n">
        <f aca="false">SUMIFS(tabela_registros[VALOR],tabela_registros[MÊS],$AE$1,tabela_registros[DIA],investiroutrosconsolidado282932[[#Headers],[30]],tabela_registros[REGISTRO],DADOS!$N$5,tabela_registros[TIPO],DADOS!$AB$5,tabela_registros[CATEGORIA],investiroutrosconsolidado282932[[#This Row],[ATUAL]])</f>
        <v>0</v>
      </c>
      <c r="AI154" s="217" t="n">
        <f aca="false">SUMIFS(tabela_registros[VALOR],tabela_registros[MÊS],$AE$1,tabela_registros[DIA],investiroutrosconsolidado282932[[#Headers],[31]],tabela_registros[REGISTRO],DADOS!$N$5,tabela_registros[TIPO],DADOS!$AB$5,tabela_registros[CATEGORIA],investiroutrosconsolidado282932[[#This Row],[ATUAL]])</f>
        <v>0</v>
      </c>
      <c r="AJ154" s="149" t="n">
        <f aca="false">SUM(investiroutrosconsolidado282932[[#This Row],[1]:[31]])</f>
        <v>0</v>
      </c>
      <c r="AK154" s="234"/>
      <c r="AL154" s="189"/>
    </row>
    <row r="155" customFormat="false" ht="19.5" hidden="false" customHeight="true" outlineLevel="0" collapsed="false">
      <c r="A155" s="189"/>
      <c r="B155" s="213"/>
      <c r="C155" s="214" t="str">
        <f aca="false">DADOS!$AH$7</f>
        <v>📝 PEER TO COMPANY</v>
      </c>
      <c r="D155" s="215" t="str">
        <f aca="false">IF(investiroutrosconsolidado282932[[#This Row],[TOTAL (R$)]]=0,"",IF(OR(investiroutrosconsolidado282932[[#This Row],[TOTAL (R$)]]=LARGE($AJ$151:$AJ$158,1),investiroutrosconsolidado282932[[#This Row],[TOTAL (R$)]]=LARGE($AJ$151:$AJ$158,2)),DADOS!$I$10,""))</f>
        <v/>
      </c>
      <c r="E155" s="148" t="n">
        <f aca="false">SUMIFS(tabela_registros[VALOR],tabela_registros[MÊS],$AE$1,tabela_registros[DIA],investiroutrosconsolidado282932[[#Headers],[1]],tabela_registros[REGISTRO],DADOS!$N$5,tabela_registros[TIPO],DADOS!$AB$5,tabela_registros[CATEGORIA],investiroutrosconsolidado282932[[#This Row],[ATUAL]])</f>
        <v>0</v>
      </c>
      <c r="F155" s="119" t="n">
        <f aca="false">SUMIFS(tabela_registros[VALOR],tabela_registros[MÊS],$AE$1,tabela_registros[DIA],investiroutrosconsolidado282932[[#Headers],[2]],tabela_registros[REGISTRO],DADOS!$N$5,tabela_registros[TIPO],DADOS!$AB$5,tabela_registros[CATEGORIA],investiroutrosconsolidado282932[[#This Row],[ATUAL]])</f>
        <v>0</v>
      </c>
      <c r="G155" s="119" t="n">
        <f aca="false">SUMIFS(tabela_registros[VALOR],tabela_registros[MÊS],$AE$1,tabela_registros[DIA],investiroutrosconsolidado282932[[#Headers],[3]],tabela_registros[REGISTRO],DADOS!$N$5,tabela_registros[TIPO],DADOS!$AB$5,tabela_registros[CATEGORIA],investiroutrosconsolidado282932[[#This Row],[ATUAL]])</f>
        <v>0</v>
      </c>
      <c r="H155" s="119" t="n">
        <f aca="false">SUMIFS(tabela_registros[VALOR],tabela_registros[MÊS],$AE$1,tabela_registros[DIA],investiroutrosconsolidado282932[[#Headers],[4]],tabela_registros[REGISTRO],DADOS!$N$5,tabela_registros[TIPO],DADOS!$AB$5,tabela_registros[CATEGORIA],investiroutrosconsolidado282932[[#This Row],[ATUAL]])</f>
        <v>0</v>
      </c>
      <c r="I155" s="119" t="n">
        <f aca="false">SUMIFS(tabela_registros[VALOR],tabela_registros[MÊS],$AE$1,tabela_registros[DIA],investiroutrosconsolidado282932[[#Headers],[5]],tabela_registros[REGISTRO],DADOS!$N$5,tabela_registros[TIPO],DADOS!$AB$5,tabela_registros[CATEGORIA],investiroutrosconsolidado282932[[#This Row],[ATUAL]])</f>
        <v>0</v>
      </c>
      <c r="J155" s="119" t="n">
        <f aca="false">SUMIFS(tabela_registros[VALOR],tabela_registros[MÊS],$AE$1,tabela_registros[DIA],investiroutrosconsolidado282932[[#Headers],[6]],tabela_registros[REGISTRO],DADOS!$N$5,tabela_registros[TIPO],DADOS!$AB$5,tabela_registros[CATEGORIA],investiroutrosconsolidado282932[[#This Row],[ATUAL]])</f>
        <v>0</v>
      </c>
      <c r="K155" s="119" t="n">
        <f aca="false">SUMIFS(tabela_registros[VALOR],tabela_registros[MÊS],$AE$1,tabela_registros[DIA],investiroutrosconsolidado282932[[#Headers],[7]],tabela_registros[REGISTRO],DADOS!$N$5,tabela_registros[TIPO],DADOS!$AB$5,tabela_registros[CATEGORIA],investiroutrosconsolidado282932[[#This Row],[ATUAL]])</f>
        <v>0</v>
      </c>
      <c r="L155" s="119" t="n">
        <f aca="false">SUMIFS(tabela_registros[VALOR],tabela_registros[MÊS],$AE$1,tabela_registros[DIA],investiroutrosconsolidado282932[[#Headers],[8]],tabela_registros[REGISTRO],DADOS!$N$5,tabela_registros[TIPO],DADOS!$AB$5,tabela_registros[CATEGORIA],investiroutrosconsolidado282932[[#This Row],[ATUAL]])</f>
        <v>0</v>
      </c>
      <c r="M155" s="119" t="n">
        <f aca="false">SUMIFS(tabela_registros[VALOR],tabela_registros[MÊS],$AE$1,tabela_registros[DIA],investiroutrosconsolidado282932[[#Headers],[9]],tabela_registros[REGISTRO],DADOS!$N$5,tabela_registros[TIPO],DADOS!$AB$5,tabela_registros[CATEGORIA],investiroutrosconsolidado282932[[#This Row],[ATUAL]])</f>
        <v>0</v>
      </c>
      <c r="N155" s="119" t="n">
        <f aca="false">SUMIFS(tabela_registros[VALOR],tabela_registros[MÊS],$AE$1,tabela_registros[DIA],investiroutrosconsolidado282932[[#Headers],[10]],tabela_registros[REGISTRO],DADOS!$N$5,tabela_registros[TIPO],DADOS!$AB$5,tabela_registros[CATEGORIA],investiroutrosconsolidado282932[[#This Row],[ATUAL]])</f>
        <v>0</v>
      </c>
      <c r="O155" s="119" t="n">
        <f aca="false">SUMIFS(tabela_registros[VALOR],tabela_registros[MÊS],$AE$1,tabela_registros[DIA],investiroutrosconsolidado282932[[#Headers],[11]],tabela_registros[REGISTRO],DADOS!$N$5,tabela_registros[TIPO],DADOS!$AB$5,tabela_registros[CATEGORIA],investiroutrosconsolidado282932[[#This Row],[ATUAL]])</f>
        <v>0</v>
      </c>
      <c r="P155" s="119" t="n">
        <f aca="false">SUMIFS(tabela_registros[VALOR],tabela_registros[MÊS],$AE$1,tabela_registros[DIA],investiroutrosconsolidado282932[[#Headers],[12]],tabela_registros[REGISTRO],DADOS!$N$5,tabela_registros[TIPO],DADOS!$AB$5,tabela_registros[CATEGORIA],investiroutrosconsolidado282932[[#This Row],[ATUAL]])</f>
        <v>0</v>
      </c>
      <c r="Q155" s="119" t="n">
        <f aca="false">SUMIFS(tabela_registros[VALOR],tabela_registros[MÊS],$AE$1,tabela_registros[DIA],investiroutrosconsolidado282932[[#Headers],[13]],tabela_registros[REGISTRO],DADOS!$N$5,tabela_registros[TIPO],DADOS!$AB$5,tabela_registros[CATEGORIA],investiroutrosconsolidado282932[[#This Row],[ATUAL]])</f>
        <v>0</v>
      </c>
      <c r="R155" s="119" t="n">
        <f aca="false">SUMIFS(tabela_registros[VALOR],tabela_registros[MÊS],$AE$1,tabela_registros[DIA],investiroutrosconsolidado282932[[#Headers],[14]],tabela_registros[REGISTRO],DADOS!$N$5,tabela_registros[TIPO],DADOS!$AB$5,tabela_registros[CATEGORIA],investiroutrosconsolidado282932[[#This Row],[ATUAL]])</f>
        <v>0</v>
      </c>
      <c r="S155" s="119" t="n">
        <f aca="false">SUMIFS(tabela_registros[VALOR],tabela_registros[MÊS],$AE$1,tabela_registros[DIA],investiroutrosconsolidado282932[[#Headers],[15]],tabela_registros[REGISTRO],DADOS!$N$5,tabela_registros[TIPO],DADOS!$AB$5,tabela_registros[CATEGORIA],investiroutrosconsolidado282932[[#This Row],[ATUAL]])</f>
        <v>0</v>
      </c>
      <c r="T155" s="119" t="n">
        <f aca="false">SUMIFS(tabela_registros[VALOR],tabela_registros[MÊS],$AE$1,tabela_registros[DIA],investiroutrosconsolidado282932[[#Headers],[16]],tabela_registros[REGISTRO],DADOS!$N$5,tabela_registros[TIPO],DADOS!$AB$5,tabela_registros[CATEGORIA],investiroutrosconsolidado282932[[#This Row],[ATUAL]])</f>
        <v>0</v>
      </c>
      <c r="U155" s="119" t="n">
        <f aca="false">SUMIFS(tabela_registros[VALOR],tabela_registros[MÊS],$AE$1,tabela_registros[DIA],investiroutrosconsolidado282932[[#Headers],[17]],tabela_registros[REGISTRO],DADOS!$N$5,tabela_registros[TIPO],DADOS!$AB$5,tabela_registros[CATEGORIA],investiroutrosconsolidado282932[[#This Row],[ATUAL]])</f>
        <v>0</v>
      </c>
      <c r="V155" s="119" t="n">
        <f aca="false">SUMIFS(tabela_registros[VALOR],tabela_registros[MÊS],$AE$1,tabela_registros[DIA],investiroutrosconsolidado282932[[#Headers],[18]],tabela_registros[REGISTRO],DADOS!$N$5,tabela_registros[TIPO],DADOS!$AB$5,tabela_registros[CATEGORIA],investiroutrosconsolidado282932[[#This Row],[ATUAL]])</f>
        <v>0</v>
      </c>
      <c r="W155" s="119" t="n">
        <f aca="false">SUMIFS(tabela_registros[VALOR],tabela_registros[MÊS],$AE$1,tabela_registros[DIA],investiroutrosconsolidado282932[[#Headers],[19]],tabela_registros[REGISTRO],DADOS!$N$5,tabela_registros[TIPO],DADOS!$AB$5,tabela_registros[CATEGORIA],investiroutrosconsolidado282932[[#This Row],[ATUAL]])</f>
        <v>0</v>
      </c>
      <c r="X155" s="119" t="n">
        <f aca="false">SUMIFS(tabela_registros[VALOR],tabela_registros[MÊS],$AE$1,tabela_registros[DIA],investiroutrosconsolidado282932[[#Headers],[20]],tabela_registros[REGISTRO],DADOS!$N$5,tabela_registros[TIPO],DADOS!$AB$5,tabela_registros[CATEGORIA],investiroutrosconsolidado282932[[#This Row],[ATUAL]])</f>
        <v>0</v>
      </c>
      <c r="Y155" s="119" t="n">
        <f aca="false">SUMIFS(tabela_registros[VALOR],tabela_registros[MÊS],$AE$1,tabela_registros[DIA],investiroutrosconsolidado282932[[#Headers],[21]],tabela_registros[REGISTRO],DADOS!$N$5,tabela_registros[TIPO],DADOS!$AB$5,tabela_registros[CATEGORIA],investiroutrosconsolidado282932[[#This Row],[ATUAL]])</f>
        <v>0</v>
      </c>
      <c r="Z155" s="119" t="n">
        <f aca="false">SUMIFS(tabela_registros[VALOR],tabela_registros[MÊS],$AE$1,tabela_registros[DIA],investiroutrosconsolidado282932[[#Headers],[22]],tabela_registros[REGISTRO],DADOS!$N$5,tabela_registros[TIPO],DADOS!$AB$5,tabela_registros[CATEGORIA],investiroutrosconsolidado282932[[#This Row],[ATUAL]])</f>
        <v>0</v>
      </c>
      <c r="AA155" s="119" t="n">
        <f aca="false">SUMIFS(tabela_registros[VALOR],tabela_registros[MÊS],$AE$1,tabela_registros[DIA],investiroutrosconsolidado282932[[#Headers],[23]],tabela_registros[REGISTRO],DADOS!$N$5,tabela_registros[TIPO],DADOS!$AB$5,tabela_registros[CATEGORIA],investiroutrosconsolidado282932[[#This Row],[ATUAL]])</f>
        <v>0</v>
      </c>
      <c r="AB155" s="119" t="n">
        <f aca="false">SUMIFS(tabela_registros[VALOR],tabela_registros[MÊS],$AE$1,tabela_registros[DIA],investiroutrosconsolidado282932[[#Headers],[24]],tabela_registros[REGISTRO],DADOS!$N$5,tabela_registros[TIPO],DADOS!$AB$5,tabela_registros[CATEGORIA],investiroutrosconsolidado282932[[#This Row],[ATUAL]])</f>
        <v>0</v>
      </c>
      <c r="AC155" s="119" t="n">
        <f aca="false">SUMIFS(tabela_registros[VALOR],tabela_registros[MÊS],$AE$1,tabela_registros[DIA],investiroutrosconsolidado282932[[#Headers],[25]],tabela_registros[REGISTRO],DADOS!$N$5,tabela_registros[TIPO],DADOS!$AB$5,tabela_registros[CATEGORIA],investiroutrosconsolidado282932[[#This Row],[ATUAL]])</f>
        <v>0</v>
      </c>
      <c r="AD155" s="119" t="n">
        <f aca="false">SUMIFS(tabela_registros[VALOR],tabela_registros[MÊS],$AE$1,tabela_registros[DIA],investiroutrosconsolidado282932[[#Headers],[26]],tabela_registros[REGISTRO],DADOS!$N$5,tabela_registros[TIPO],DADOS!$AB$5,tabela_registros[CATEGORIA],investiroutrosconsolidado282932[[#This Row],[ATUAL]])</f>
        <v>0</v>
      </c>
      <c r="AE155" s="119" t="n">
        <f aca="false">SUMIFS(tabela_registros[VALOR],tabela_registros[MÊS],$AE$1,tabela_registros[DIA],investiroutrosconsolidado282932[[#Headers],[27]],tabela_registros[REGISTRO],DADOS!$N$5,tabela_registros[TIPO],DADOS!$AB$5,tabela_registros[CATEGORIA],investiroutrosconsolidado282932[[#This Row],[ATUAL]])</f>
        <v>0</v>
      </c>
      <c r="AF155" s="119" t="n">
        <f aca="false">SUMIFS(tabela_registros[VALOR],tabela_registros[MÊS],$AE$1,tabela_registros[DIA],investiroutrosconsolidado282932[[#Headers],[28]],tabela_registros[REGISTRO],DADOS!$N$5,tabela_registros[TIPO],DADOS!$AB$5,tabela_registros[CATEGORIA],investiroutrosconsolidado282932[[#This Row],[ATUAL]])</f>
        <v>0</v>
      </c>
      <c r="AG155" s="119" t="n">
        <f aca="false">SUMIFS(tabela_registros[VALOR],tabela_registros[MÊS],$AE$1,tabela_registros[DIA],investiroutrosconsolidado282932[[#Headers],[29]],tabela_registros[REGISTRO],DADOS!$N$5,tabela_registros[TIPO],DADOS!$AB$5,tabela_registros[CATEGORIA],investiroutrosconsolidado282932[[#This Row],[ATUAL]])</f>
        <v>0</v>
      </c>
      <c r="AH155" s="119" t="n">
        <f aca="false">SUMIFS(tabela_registros[VALOR],tabela_registros[MÊS],$AE$1,tabela_registros[DIA],investiroutrosconsolidado282932[[#Headers],[30]],tabela_registros[REGISTRO],DADOS!$N$5,tabela_registros[TIPO],DADOS!$AB$5,tabela_registros[CATEGORIA],investiroutrosconsolidado282932[[#This Row],[ATUAL]])</f>
        <v>0</v>
      </c>
      <c r="AI155" s="217" t="n">
        <f aca="false">SUMIFS(tabela_registros[VALOR],tabela_registros[MÊS],$AE$1,tabela_registros[DIA],investiroutrosconsolidado282932[[#Headers],[31]],tabela_registros[REGISTRO],DADOS!$N$5,tabela_registros[TIPO],DADOS!$AB$5,tabela_registros[CATEGORIA],investiroutrosconsolidado282932[[#This Row],[ATUAL]])</f>
        <v>0</v>
      </c>
      <c r="AJ155" s="149" t="n">
        <f aca="false">SUM(investiroutrosconsolidado282932[[#This Row],[1]:[31]])</f>
        <v>0</v>
      </c>
      <c r="AK155" s="234"/>
      <c r="AL155" s="189"/>
    </row>
    <row r="156" customFormat="false" ht="19.5" hidden="false" customHeight="true" outlineLevel="0" collapsed="false">
      <c r="A156" s="189"/>
      <c r="B156" s="213"/>
      <c r="C156" s="214" t="str">
        <f aca="false">DADOS!$AH$8</f>
        <v>📝 PEER TO PEER</v>
      </c>
      <c r="D156" s="215" t="str">
        <f aca="false">IF(investiroutrosconsolidado282932[[#This Row],[TOTAL (R$)]]=0,"",IF(OR(investiroutrosconsolidado282932[[#This Row],[TOTAL (R$)]]=LARGE($AJ$151:$AJ$158,1),investiroutrosconsolidado282932[[#This Row],[TOTAL (R$)]]=LARGE($AJ$151:$AJ$158,2)),DADOS!$I$10,""))</f>
        <v/>
      </c>
      <c r="E156" s="148" t="n">
        <f aca="false">SUMIFS(tabela_registros[VALOR],tabela_registros[MÊS],$AE$1,tabela_registros[DIA],investiroutrosconsolidado282932[[#Headers],[1]],tabela_registros[REGISTRO],DADOS!$N$5,tabela_registros[TIPO],DADOS!$AB$5,tabela_registros[CATEGORIA],investiroutrosconsolidado282932[[#This Row],[ATUAL]])</f>
        <v>0</v>
      </c>
      <c r="F156" s="119" t="n">
        <f aca="false">SUMIFS(tabela_registros[VALOR],tabela_registros[MÊS],$AE$1,tabela_registros[DIA],investiroutrosconsolidado282932[[#Headers],[2]],tabela_registros[REGISTRO],DADOS!$N$5,tabela_registros[TIPO],DADOS!$AB$5,tabela_registros[CATEGORIA],investiroutrosconsolidado282932[[#This Row],[ATUAL]])</f>
        <v>0</v>
      </c>
      <c r="G156" s="119" t="n">
        <f aca="false">SUMIFS(tabela_registros[VALOR],tabela_registros[MÊS],$AE$1,tabela_registros[DIA],investiroutrosconsolidado282932[[#Headers],[3]],tabela_registros[REGISTRO],DADOS!$N$5,tabela_registros[TIPO],DADOS!$AB$5,tabela_registros[CATEGORIA],investiroutrosconsolidado282932[[#This Row],[ATUAL]])</f>
        <v>0</v>
      </c>
      <c r="H156" s="119" t="n">
        <f aca="false">SUMIFS(tabela_registros[VALOR],tabela_registros[MÊS],$AE$1,tabela_registros[DIA],investiroutrosconsolidado282932[[#Headers],[4]],tabela_registros[REGISTRO],DADOS!$N$5,tabela_registros[TIPO],DADOS!$AB$5,tabela_registros[CATEGORIA],investiroutrosconsolidado282932[[#This Row],[ATUAL]])</f>
        <v>0</v>
      </c>
      <c r="I156" s="119" t="n">
        <f aca="false">SUMIFS(tabela_registros[VALOR],tabela_registros[MÊS],$AE$1,tabela_registros[DIA],investiroutrosconsolidado282932[[#Headers],[5]],tabela_registros[REGISTRO],DADOS!$N$5,tabela_registros[TIPO],DADOS!$AB$5,tabela_registros[CATEGORIA],investiroutrosconsolidado282932[[#This Row],[ATUAL]])</f>
        <v>0</v>
      </c>
      <c r="J156" s="119" t="n">
        <f aca="false">SUMIFS(tabela_registros[VALOR],tabela_registros[MÊS],$AE$1,tabela_registros[DIA],investiroutrosconsolidado282932[[#Headers],[6]],tabela_registros[REGISTRO],DADOS!$N$5,tabela_registros[TIPO],DADOS!$AB$5,tabela_registros[CATEGORIA],investiroutrosconsolidado282932[[#This Row],[ATUAL]])</f>
        <v>0</v>
      </c>
      <c r="K156" s="119" t="n">
        <f aca="false">SUMIFS(tabela_registros[VALOR],tabela_registros[MÊS],$AE$1,tabela_registros[DIA],investiroutrosconsolidado282932[[#Headers],[7]],tabela_registros[REGISTRO],DADOS!$N$5,tabela_registros[TIPO],DADOS!$AB$5,tabela_registros[CATEGORIA],investiroutrosconsolidado282932[[#This Row],[ATUAL]])</f>
        <v>0</v>
      </c>
      <c r="L156" s="119" t="n">
        <f aca="false">SUMIFS(tabela_registros[VALOR],tabela_registros[MÊS],$AE$1,tabela_registros[DIA],investiroutrosconsolidado282932[[#Headers],[8]],tabela_registros[REGISTRO],DADOS!$N$5,tabela_registros[TIPO],DADOS!$AB$5,tabela_registros[CATEGORIA],investiroutrosconsolidado282932[[#This Row],[ATUAL]])</f>
        <v>0</v>
      </c>
      <c r="M156" s="119" t="n">
        <f aca="false">SUMIFS(tabela_registros[VALOR],tabela_registros[MÊS],$AE$1,tabela_registros[DIA],investiroutrosconsolidado282932[[#Headers],[9]],tabela_registros[REGISTRO],DADOS!$N$5,tabela_registros[TIPO],DADOS!$AB$5,tabela_registros[CATEGORIA],investiroutrosconsolidado282932[[#This Row],[ATUAL]])</f>
        <v>0</v>
      </c>
      <c r="N156" s="119" t="n">
        <f aca="false">SUMIFS(tabela_registros[VALOR],tabela_registros[MÊS],$AE$1,tabela_registros[DIA],investiroutrosconsolidado282932[[#Headers],[10]],tabela_registros[REGISTRO],DADOS!$N$5,tabela_registros[TIPO],DADOS!$AB$5,tabela_registros[CATEGORIA],investiroutrosconsolidado282932[[#This Row],[ATUAL]])</f>
        <v>0</v>
      </c>
      <c r="O156" s="119" t="n">
        <f aca="false">SUMIFS(tabela_registros[VALOR],tabela_registros[MÊS],$AE$1,tabela_registros[DIA],investiroutrosconsolidado282932[[#Headers],[11]],tabela_registros[REGISTRO],DADOS!$N$5,tabela_registros[TIPO],DADOS!$AB$5,tabela_registros[CATEGORIA],investiroutrosconsolidado282932[[#This Row],[ATUAL]])</f>
        <v>0</v>
      </c>
      <c r="P156" s="119" t="n">
        <f aca="false">SUMIFS(tabela_registros[VALOR],tabela_registros[MÊS],$AE$1,tabela_registros[DIA],investiroutrosconsolidado282932[[#Headers],[12]],tabela_registros[REGISTRO],DADOS!$N$5,tabela_registros[TIPO],DADOS!$AB$5,tabela_registros[CATEGORIA],investiroutrosconsolidado282932[[#This Row],[ATUAL]])</f>
        <v>0</v>
      </c>
      <c r="Q156" s="119" t="n">
        <f aca="false">SUMIFS(tabela_registros[VALOR],tabela_registros[MÊS],$AE$1,tabela_registros[DIA],investiroutrosconsolidado282932[[#Headers],[13]],tabela_registros[REGISTRO],DADOS!$N$5,tabela_registros[TIPO],DADOS!$AB$5,tabela_registros[CATEGORIA],investiroutrosconsolidado282932[[#This Row],[ATUAL]])</f>
        <v>0</v>
      </c>
      <c r="R156" s="119" t="n">
        <f aca="false">SUMIFS(tabela_registros[VALOR],tabela_registros[MÊS],$AE$1,tabela_registros[DIA],investiroutrosconsolidado282932[[#Headers],[14]],tabela_registros[REGISTRO],DADOS!$N$5,tabela_registros[TIPO],DADOS!$AB$5,tabela_registros[CATEGORIA],investiroutrosconsolidado282932[[#This Row],[ATUAL]])</f>
        <v>0</v>
      </c>
      <c r="S156" s="119" t="n">
        <f aca="false">SUMIFS(tabela_registros[VALOR],tabela_registros[MÊS],$AE$1,tabela_registros[DIA],investiroutrosconsolidado282932[[#Headers],[15]],tabela_registros[REGISTRO],DADOS!$N$5,tabela_registros[TIPO],DADOS!$AB$5,tabela_registros[CATEGORIA],investiroutrosconsolidado282932[[#This Row],[ATUAL]])</f>
        <v>0</v>
      </c>
      <c r="T156" s="119" t="n">
        <f aca="false">SUMIFS(tabela_registros[VALOR],tabela_registros[MÊS],$AE$1,tabela_registros[DIA],investiroutrosconsolidado282932[[#Headers],[16]],tabela_registros[REGISTRO],DADOS!$N$5,tabela_registros[TIPO],DADOS!$AB$5,tabela_registros[CATEGORIA],investiroutrosconsolidado282932[[#This Row],[ATUAL]])</f>
        <v>0</v>
      </c>
      <c r="U156" s="119" t="n">
        <f aca="false">SUMIFS(tabela_registros[VALOR],tabela_registros[MÊS],$AE$1,tabela_registros[DIA],investiroutrosconsolidado282932[[#Headers],[17]],tabela_registros[REGISTRO],DADOS!$N$5,tabela_registros[TIPO],DADOS!$AB$5,tabela_registros[CATEGORIA],investiroutrosconsolidado282932[[#This Row],[ATUAL]])</f>
        <v>0</v>
      </c>
      <c r="V156" s="119" t="n">
        <f aca="false">SUMIFS(tabela_registros[VALOR],tabela_registros[MÊS],$AE$1,tabela_registros[DIA],investiroutrosconsolidado282932[[#Headers],[18]],tabela_registros[REGISTRO],DADOS!$N$5,tabela_registros[TIPO],DADOS!$AB$5,tabela_registros[CATEGORIA],investiroutrosconsolidado282932[[#This Row],[ATUAL]])</f>
        <v>0</v>
      </c>
      <c r="W156" s="119" t="n">
        <f aca="false">SUMIFS(tabela_registros[VALOR],tabela_registros[MÊS],$AE$1,tabela_registros[DIA],investiroutrosconsolidado282932[[#Headers],[19]],tabela_registros[REGISTRO],DADOS!$N$5,tabela_registros[TIPO],DADOS!$AB$5,tabela_registros[CATEGORIA],investiroutrosconsolidado282932[[#This Row],[ATUAL]])</f>
        <v>0</v>
      </c>
      <c r="X156" s="119" t="n">
        <f aca="false">SUMIFS(tabela_registros[VALOR],tabela_registros[MÊS],$AE$1,tabela_registros[DIA],investiroutrosconsolidado282932[[#Headers],[20]],tabela_registros[REGISTRO],DADOS!$N$5,tabela_registros[TIPO],DADOS!$AB$5,tabela_registros[CATEGORIA],investiroutrosconsolidado282932[[#This Row],[ATUAL]])</f>
        <v>0</v>
      </c>
      <c r="Y156" s="119" t="n">
        <f aca="false">SUMIFS(tabela_registros[VALOR],tabela_registros[MÊS],$AE$1,tabela_registros[DIA],investiroutrosconsolidado282932[[#Headers],[21]],tabela_registros[REGISTRO],DADOS!$N$5,tabela_registros[TIPO],DADOS!$AB$5,tabela_registros[CATEGORIA],investiroutrosconsolidado282932[[#This Row],[ATUAL]])</f>
        <v>0</v>
      </c>
      <c r="Z156" s="119" t="n">
        <f aca="false">SUMIFS(tabela_registros[VALOR],tabela_registros[MÊS],$AE$1,tabela_registros[DIA],investiroutrosconsolidado282932[[#Headers],[22]],tabela_registros[REGISTRO],DADOS!$N$5,tabela_registros[TIPO],DADOS!$AB$5,tabela_registros[CATEGORIA],investiroutrosconsolidado282932[[#This Row],[ATUAL]])</f>
        <v>0</v>
      </c>
      <c r="AA156" s="119" t="n">
        <f aca="false">SUMIFS(tabela_registros[VALOR],tabela_registros[MÊS],$AE$1,tabela_registros[DIA],investiroutrosconsolidado282932[[#Headers],[23]],tabela_registros[REGISTRO],DADOS!$N$5,tabela_registros[TIPO],DADOS!$AB$5,tabela_registros[CATEGORIA],investiroutrosconsolidado282932[[#This Row],[ATUAL]])</f>
        <v>0</v>
      </c>
      <c r="AB156" s="119" t="n">
        <f aca="false">SUMIFS(tabela_registros[VALOR],tabela_registros[MÊS],$AE$1,tabela_registros[DIA],investiroutrosconsolidado282932[[#Headers],[24]],tabela_registros[REGISTRO],DADOS!$N$5,tabela_registros[TIPO],DADOS!$AB$5,tabela_registros[CATEGORIA],investiroutrosconsolidado282932[[#This Row],[ATUAL]])</f>
        <v>0</v>
      </c>
      <c r="AC156" s="119" t="n">
        <f aca="false">SUMIFS(tabela_registros[VALOR],tabela_registros[MÊS],$AE$1,tabela_registros[DIA],investiroutrosconsolidado282932[[#Headers],[25]],tabela_registros[REGISTRO],DADOS!$N$5,tabela_registros[TIPO],DADOS!$AB$5,tabela_registros[CATEGORIA],investiroutrosconsolidado282932[[#This Row],[ATUAL]])</f>
        <v>0</v>
      </c>
      <c r="AD156" s="119" t="n">
        <f aca="false">SUMIFS(tabela_registros[VALOR],tabela_registros[MÊS],$AE$1,tabela_registros[DIA],investiroutrosconsolidado282932[[#Headers],[26]],tabela_registros[REGISTRO],DADOS!$N$5,tabela_registros[TIPO],DADOS!$AB$5,tabela_registros[CATEGORIA],investiroutrosconsolidado282932[[#This Row],[ATUAL]])</f>
        <v>0</v>
      </c>
      <c r="AE156" s="119" t="n">
        <f aca="false">SUMIFS(tabela_registros[VALOR],tabela_registros[MÊS],$AE$1,tabela_registros[DIA],investiroutrosconsolidado282932[[#Headers],[27]],tabela_registros[REGISTRO],DADOS!$N$5,tabela_registros[TIPO],DADOS!$AB$5,tabela_registros[CATEGORIA],investiroutrosconsolidado282932[[#This Row],[ATUAL]])</f>
        <v>0</v>
      </c>
      <c r="AF156" s="119" t="n">
        <f aca="false">SUMIFS(tabela_registros[VALOR],tabela_registros[MÊS],$AE$1,tabela_registros[DIA],investiroutrosconsolidado282932[[#Headers],[28]],tabela_registros[REGISTRO],DADOS!$N$5,tabela_registros[TIPO],DADOS!$AB$5,tabela_registros[CATEGORIA],investiroutrosconsolidado282932[[#This Row],[ATUAL]])</f>
        <v>0</v>
      </c>
      <c r="AG156" s="119" t="n">
        <f aca="false">SUMIFS(tabela_registros[VALOR],tabela_registros[MÊS],$AE$1,tabela_registros[DIA],investiroutrosconsolidado282932[[#Headers],[29]],tabela_registros[REGISTRO],DADOS!$N$5,tabela_registros[TIPO],DADOS!$AB$5,tabela_registros[CATEGORIA],investiroutrosconsolidado282932[[#This Row],[ATUAL]])</f>
        <v>0</v>
      </c>
      <c r="AH156" s="119" t="n">
        <f aca="false">SUMIFS(tabela_registros[VALOR],tabela_registros[MÊS],$AE$1,tabela_registros[DIA],investiroutrosconsolidado282932[[#Headers],[30]],tabela_registros[REGISTRO],DADOS!$N$5,tabela_registros[TIPO],DADOS!$AB$5,tabela_registros[CATEGORIA],investiroutrosconsolidado282932[[#This Row],[ATUAL]])</f>
        <v>0</v>
      </c>
      <c r="AI156" s="217" t="n">
        <f aca="false">SUMIFS(tabela_registros[VALOR],tabela_registros[MÊS],$AE$1,tabela_registros[DIA],investiroutrosconsolidado282932[[#Headers],[31]],tabela_registros[REGISTRO],DADOS!$N$5,tabela_registros[TIPO],DADOS!$AB$5,tabela_registros[CATEGORIA],investiroutrosconsolidado282932[[#This Row],[ATUAL]])</f>
        <v>0</v>
      </c>
      <c r="AJ156" s="149" t="n">
        <f aca="false">SUM(investiroutrosconsolidado282932[[#This Row],[1]:[31]])</f>
        <v>0</v>
      </c>
      <c r="AK156" s="234"/>
      <c r="AL156" s="189"/>
    </row>
    <row r="157" customFormat="false" ht="19.5" hidden="false" customHeight="true" outlineLevel="0" collapsed="false">
      <c r="A157" s="189"/>
      <c r="B157" s="213"/>
      <c r="C157" s="214" t="str">
        <f aca="false">DADOS!$AH$9</f>
        <v>📝 PREVIDÊNCIA PRIVADA</v>
      </c>
      <c r="D157" s="215" t="str">
        <f aca="false">IF(investiroutrosconsolidado282932[[#This Row],[TOTAL (R$)]]=0,"",IF(OR(investiroutrosconsolidado282932[[#This Row],[TOTAL (R$)]]=LARGE($AJ$151:$AJ$158,1),investiroutrosconsolidado282932[[#This Row],[TOTAL (R$)]]=LARGE($AJ$151:$AJ$158,2)),DADOS!$I$10,""))</f>
        <v/>
      </c>
      <c r="E157" s="148" t="n">
        <f aca="false">SUMIFS(tabela_registros[VALOR],tabela_registros[MÊS],$AE$1,tabela_registros[DIA],investiroutrosconsolidado282932[[#Headers],[1]],tabela_registros[REGISTRO],DADOS!$N$5,tabela_registros[TIPO],DADOS!$AB$5,tabela_registros[CATEGORIA],investiroutrosconsolidado282932[[#This Row],[ATUAL]])</f>
        <v>0</v>
      </c>
      <c r="F157" s="119" t="n">
        <f aca="false">SUMIFS(tabela_registros[VALOR],tabela_registros[MÊS],$AE$1,tabela_registros[DIA],investiroutrosconsolidado282932[[#Headers],[2]],tabela_registros[REGISTRO],DADOS!$N$5,tabela_registros[TIPO],DADOS!$AB$5,tabela_registros[CATEGORIA],investiroutrosconsolidado282932[[#This Row],[ATUAL]])</f>
        <v>0</v>
      </c>
      <c r="G157" s="119" t="n">
        <f aca="false">SUMIFS(tabela_registros[VALOR],tabela_registros[MÊS],$AE$1,tabela_registros[DIA],investiroutrosconsolidado282932[[#Headers],[3]],tabela_registros[REGISTRO],DADOS!$N$5,tabela_registros[TIPO],DADOS!$AB$5,tabela_registros[CATEGORIA],investiroutrosconsolidado282932[[#This Row],[ATUAL]])</f>
        <v>0</v>
      </c>
      <c r="H157" s="119" t="n">
        <f aca="false">SUMIFS(tabela_registros[VALOR],tabela_registros[MÊS],$AE$1,tabela_registros[DIA],investiroutrosconsolidado282932[[#Headers],[4]],tabela_registros[REGISTRO],DADOS!$N$5,tabela_registros[TIPO],DADOS!$AB$5,tabela_registros[CATEGORIA],investiroutrosconsolidado282932[[#This Row],[ATUAL]])</f>
        <v>0</v>
      </c>
      <c r="I157" s="119" t="n">
        <f aca="false">SUMIFS(tabela_registros[VALOR],tabela_registros[MÊS],$AE$1,tabela_registros[DIA],investiroutrosconsolidado282932[[#Headers],[5]],tabela_registros[REGISTRO],DADOS!$N$5,tabela_registros[TIPO],DADOS!$AB$5,tabela_registros[CATEGORIA],investiroutrosconsolidado282932[[#This Row],[ATUAL]])</f>
        <v>0</v>
      </c>
      <c r="J157" s="119" t="n">
        <f aca="false">SUMIFS(tabela_registros[VALOR],tabela_registros[MÊS],$AE$1,tabela_registros[DIA],investiroutrosconsolidado282932[[#Headers],[6]],tabela_registros[REGISTRO],DADOS!$N$5,tabela_registros[TIPO],DADOS!$AB$5,tabela_registros[CATEGORIA],investiroutrosconsolidado282932[[#This Row],[ATUAL]])</f>
        <v>0</v>
      </c>
      <c r="K157" s="119" t="n">
        <f aca="false">SUMIFS(tabela_registros[VALOR],tabela_registros[MÊS],$AE$1,tabela_registros[DIA],investiroutrosconsolidado282932[[#Headers],[7]],tabela_registros[REGISTRO],DADOS!$N$5,tabela_registros[TIPO],DADOS!$AB$5,tabela_registros[CATEGORIA],investiroutrosconsolidado282932[[#This Row],[ATUAL]])</f>
        <v>0</v>
      </c>
      <c r="L157" s="119" t="n">
        <f aca="false">SUMIFS(tabela_registros[VALOR],tabela_registros[MÊS],$AE$1,tabela_registros[DIA],investiroutrosconsolidado282932[[#Headers],[8]],tabela_registros[REGISTRO],DADOS!$N$5,tabela_registros[TIPO],DADOS!$AB$5,tabela_registros[CATEGORIA],investiroutrosconsolidado282932[[#This Row],[ATUAL]])</f>
        <v>0</v>
      </c>
      <c r="M157" s="119" t="n">
        <f aca="false">SUMIFS(tabela_registros[VALOR],tabela_registros[MÊS],$AE$1,tabela_registros[DIA],investiroutrosconsolidado282932[[#Headers],[9]],tabela_registros[REGISTRO],DADOS!$N$5,tabela_registros[TIPO],DADOS!$AB$5,tabela_registros[CATEGORIA],investiroutrosconsolidado282932[[#This Row],[ATUAL]])</f>
        <v>0</v>
      </c>
      <c r="N157" s="119" t="n">
        <f aca="false">SUMIFS(tabela_registros[VALOR],tabela_registros[MÊS],$AE$1,tabela_registros[DIA],investiroutrosconsolidado282932[[#Headers],[10]],tabela_registros[REGISTRO],DADOS!$N$5,tabela_registros[TIPO],DADOS!$AB$5,tabela_registros[CATEGORIA],investiroutrosconsolidado282932[[#This Row],[ATUAL]])</f>
        <v>0</v>
      </c>
      <c r="O157" s="119" t="n">
        <f aca="false">SUMIFS(tabela_registros[VALOR],tabela_registros[MÊS],$AE$1,tabela_registros[DIA],investiroutrosconsolidado282932[[#Headers],[11]],tabela_registros[REGISTRO],DADOS!$N$5,tabela_registros[TIPO],DADOS!$AB$5,tabela_registros[CATEGORIA],investiroutrosconsolidado282932[[#This Row],[ATUAL]])</f>
        <v>0</v>
      </c>
      <c r="P157" s="119" t="n">
        <f aca="false">SUMIFS(tabela_registros[VALOR],tabela_registros[MÊS],$AE$1,tabela_registros[DIA],investiroutrosconsolidado282932[[#Headers],[12]],tabela_registros[REGISTRO],DADOS!$N$5,tabela_registros[TIPO],DADOS!$AB$5,tabela_registros[CATEGORIA],investiroutrosconsolidado282932[[#This Row],[ATUAL]])</f>
        <v>0</v>
      </c>
      <c r="Q157" s="119" t="n">
        <f aca="false">SUMIFS(tabela_registros[VALOR],tabela_registros[MÊS],$AE$1,tabela_registros[DIA],investiroutrosconsolidado282932[[#Headers],[13]],tabela_registros[REGISTRO],DADOS!$N$5,tabela_registros[TIPO],DADOS!$AB$5,tabela_registros[CATEGORIA],investiroutrosconsolidado282932[[#This Row],[ATUAL]])</f>
        <v>0</v>
      </c>
      <c r="R157" s="119" t="n">
        <f aca="false">SUMIFS(tabela_registros[VALOR],tabela_registros[MÊS],$AE$1,tabela_registros[DIA],investiroutrosconsolidado282932[[#Headers],[14]],tabela_registros[REGISTRO],DADOS!$N$5,tabela_registros[TIPO],DADOS!$AB$5,tabela_registros[CATEGORIA],investiroutrosconsolidado282932[[#This Row],[ATUAL]])</f>
        <v>0</v>
      </c>
      <c r="S157" s="119" t="n">
        <f aca="false">SUMIFS(tabela_registros[VALOR],tabela_registros[MÊS],$AE$1,tabela_registros[DIA],investiroutrosconsolidado282932[[#Headers],[15]],tabela_registros[REGISTRO],DADOS!$N$5,tabela_registros[TIPO],DADOS!$AB$5,tabela_registros[CATEGORIA],investiroutrosconsolidado282932[[#This Row],[ATUAL]])</f>
        <v>0</v>
      </c>
      <c r="T157" s="119" t="n">
        <f aca="false">SUMIFS(tabela_registros[VALOR],tabela_registros[MÊS],$AE$1,tabela_registros[DIA],investiroutrosconsolidado282932[[#Headers],[16]],tabela_registros[REGISTRO],DADOS!$N$5,tabela_registros[TIPO],DADOS!$AB$5,tabela_registros[CATEGORIA],investiroutrosconsolidado282932[[#This Row],[ATUAL]])</f>
        <v>0</v>
      </c>
      <c r="U157" s="119" t="n">
        <f aca="false">SUMIFS(tabela_registros[VALOR],tabela_registros[MÊS],$AE$1,tabela_registros[DIA],investiroutrosconsolidado282932[[#Headers],[17]],tabela_registros[REGISTRO],DADOS!$N$5,tabela_registros[TIPO],DADOS!$AB$5,tabela_registros[CATEGORIA],investiroutrosconsolidado282932[[#This Row],[ATUAL]])</f>
        <v>0</v>
      </c>
      <c r="V157" s="119" t="n">
        <f aca="false">SUMIFS(tabela_registros[VALOR],tabela_registros[MÊS],$AE$1,tabela_registros[DIA],investiroutrosconsolidado282932[[#Headers],[18]],tabela_registros[REGISTRO],DADOS!$N$5,tabela_registros[TIPO],DADOS!$AB$5,tabela_registros[CATEGORIA],investiroutrosconsolidado282932[[#This Row],[ATUAL]])</f>
        <v>0</v>
      </c>
      <c r="W157" s="119" t="n">
        <f aca="false">SUMIFS(tabela_registros[VALOR],tabela_registros[MÊS],$AE$1,tabela_registros[DIA],investiroutrosconsolidado282932[[#Headers],[19]],tabela_registros[REGISTRO],DADOS!$N$5,tabela_registros[TIPO],DADOS!$AB$5,tabela_registros[CATEGORIA],investiroutrosconsolidado282932[[#This Row],[ATUAL]])</f>
        <v>0</v>
      </c>
      <c r="X157" s="119" t="n">
        <f aca="false">SUMIFS(tabela_registros[VALOR],tabela_registros[MÊS],$AE$1,tabela_registros[DIA],investiroutrosconsolidado282932[[#Headers],[20]],tabela_registros[REGISTRO],DADOS!$N$5,tabela_registros[TIPO],DADOS!$AB$5,tabela_registros[CATEGORIA],investiroutrosconsolidado282932[[#This Row],[ATUAL]])</f>
        <v>0</v>
      </c>
      <c r="Y157" s="119" t="n">
        <f aca="false">SUMIFS(tabela_registros[VALOR],tabela_registros[MÊS],$AE$1,tabela_registros[DIA],investiroutrosconsolidado282932[[#Headers],[21]],tabela_registros[REGISTRO],DADOS!$N$5,tabela_registros[TIPO],DADOS!$AB$5,tabela_registros[CATEGORIA],investiroutrosconsolidado282932[[#This Row],[ATUAL]])</f>
        <v>0</v>
      </c>
      <c r="Z157" s="119" t="n">
        <f aca="false">SUMIFS(tabela_registros[VALOR],tabela_registros[MÊS],$AE$1,tabela_registros[DIA],investiroutrosconsolidado282932[[#Headers],[22]],tabela_registros[REGISTRO],DADOS!$N$5,tabela_registros[TIPO],DADOS!$AB$5,tabela_registros[CATEGORIA],investiroutrosconsolidado282932[[#This Row],[ATUAL]])</f>
        <v>0</v>
      </c>
      <c r="AA157" s="119" t="n">
        <f aca="false">SUMIFS(tabela_registros[VALOR],tabela_registros[MÊS],$AE$1,tabela_registros[DIA],investiroutrosconsolidado282932[[#Headers],[23]],tabela_registros[REGISTRO],DADOS!$N$5,tabela_registros[TIPO],DADOS!$AB$5,tabela_registros[CATEGORIA],investiroutrosconsolidado282932[[#This Row],[ATUAL]])</f>
        <v>0</v>
      </c>
      <c r="AB157" s="119" t="n">
        <f aca="false">SUMIFS(tabela_registros[VALOR],tabela_registros[MÊS],$AE$1,tabela_registros[DIA],investiroutrosconsolidado282932[[#Headers],[24]],tabela_registros[REGISTRO],DADOS!$N$5,tabela_registros[TIPO],DADOS!$AB$5,tabela_registros[CATEGORIA],investiroutrosconsolidado282932[[#This Row],[ATUAL]])</f>
        <v>0</v>
      </c>
      <c r="AC157" s="119" t="n">
        <f aca="false">SUMIFS(tabela_registros[VALOR],tabela_registros[MÊS],$AE$1,tabela_registros[DIA],investiroutrosconsolidado282932[[#Headers],[25]],tabela_registros[REGISTRO],DADOS!$N$5,tabela_registros[TIPO],DADOS!$AB$5,tabela_registros[CATEGORIA],investiroutrosconsolidado282932[[#This Row],[ATUAL]])</f>
        <v>0</v>
      </c>
      <c r="AD157" s="119" t="n">
        <f aca="false">SUMIFS(tabela_registros[VALOR],tabela_registros[MÊS],$AE$1,tabela_registros[DIA],investiroutrosconsolidado282932[[#Headers],[26]],tabela_registros[REGISTRO],DADOS!$N$5,tabela_registros[TIPO],DADOS!$AB$5,tabela_registros[CATEGORIA],investiroutrosconsolidado282932[[#This Row],[ATUAL]])</f>
        <v>0</v>
      </c>
      <c r="AE157" s="119" t="n">
        <f aca="false">SUMIFS(tabela_registros[VALOR],tabela_registros[MÊS],$AE$1,tabela_registros[DIA],investiroutrosconsolidado282932[[#Headers],[27]],tabela_registros[REGISTRO],DADOS!$N$5,tabela_registros[TIPO],DADOS!$AB$5,tabela_registros[CATEGORIA],investiroutrosconsolidado282932[[#This Row],[ATUAL]])</f>
        <v>0</v>
      </c>
      <c r="AF157" s="119" t="n">
        <f aca="false">SUMIFS(tabela_registros[VALOR],tabela_registros[MÊS],$AE$1,tabela_registros[DIA],investiroutrosconsolidado282932[[#Headers],[28]],tabela_registros[REGISTRO],DADOS!$N$5,tabela_registros[TIPO],DADOS!$AB$5,tabela_registros[CATEGORIA],investiroutrosconsolidado282932[[#This Row],[ATUAL]])</f>
        <v>0</v>
      </c>
      <c r="AG157" s="119" t="n">
        <f aca="false">SUMIFS(tabela_registros[VALOR],tabela_registros[MÊS],$AE$1,tabela_registros[DIA],investiroutrosconsolidado282932[[#Headers],[29]],tabela_registros[REGISTRO],DADOS!$N$5,tabela_registros[TIPO],DADOS!$AB$5,tabela_registros[CATEGORIA],investiroutrosconsolidado282932[[#This Row],[ATUAL]])</f>
        <v>0</v>
      </c>
      <c r="AH157" s="119" t="n">
        <f aca="false">SUMIFS(tabela_registros[VALOR],tabela_registros[MÊS],$AE$1,tabela_registros[DIA],investiroutrosconsolidado282932[[#Headers],[30]],tabela_registros[REGISTRO],DADOS!$N$5,tabela_registros[TIPO],DADOS!$AB$5,tabela_registros[CATEGORIA],investiroutrosconsolidado282932[[#This Row],[ATUAL]])</f>
        <v>0</v>
      </c>
      <c r="AI157" s="217" t="n">
        <f aca="false">SUMIFS(tabela_registros[VALOR],tabela_registros[MÊS],$AE$1,tabela_registros[DIA],investiroutrosconsolidado282932[[#Headers],[31]],tabela_registros[REGISTRO],DADOS!$N$5,tabela_registros[TIPO],DADOS!$AB$5,tabela_registros[CATEGORIA],investiroutrosconsolidado282932[[#This Row],[ATUAL]])</f>
        <v>0</v>
      </c>
      <c r="AJ157" s="149" t="n">
        <f aca="false">SUM(investiroutrosconsolidado282932[[#This Row],[1]:[31]])</f>
        <v>0</v>
      </c>
      <c r="AK157" s="234"/>
      <c r="AL157" s="189"/>
    </row>
    <row r="158" customFormat="false" ht="19.5" hidden="false" customHeight="true" outlineLevel="0" collapsed="false">
      <c r="A158" s="189"/>
      <c r="B158" s="213"/>
      <c r="C158" s="214" t="str">
        <f aca="false">DADOS!$AH$10</f>
        <v>📎 OUTROS</v>
      </c>
      <c r="D158" s="215" t="str">
        <f aca="false">IF(investiroutrosconsolidado282932[[#This Row],[TOTAL (R$)]]=0,"",IF(OR(investiroutrosconsolidado282932[[#This Row],[TOTAL (R$)]]=LARGE($AJ$151:$AJ$158,1),investiroutrosconsolidado282932[[#This Row],[TOTAL (R$)]]=LARGE($AJ$151:$AJ$158,2)),DADOS!$I$10,""))</f>
        <v/>
      </c>
      <c r="E158" s="148" t="n">
        <f aca="false">SUMIFS(tabela_registros[VALOR],tabela_registros[MÊS],$AE$1,tabela_registros[DIA],investiroutrosconsolidado282932[[#Headers],[1]],tabela_registros[REGISTRO],DADOS!$N$5,tabela_registros[TIPO],DADOS!$AB$5,tabela_registros[CATEGORIA],investiroutrosconsolidado282932[[#This Row],[ATUAL]])</f>
        <v>0</v>
      </c>
      <c r="F158" s="119" t="n">
        <f aca="false">SUMIFS(tabela_registros[VALOR],tabela_registros[MÊS],$AE$1,tabela_registros[DIA],investiroutrosconsolidado282932[[#Headers],[2]],tabela_registros[REGISTRO],DADOS!$N$5,tabela_registros[TIPO],DADOS!$AB$5,tabela_registros[CATEGORIA],investiroutrosconsolidado282932[[#This Row],[ATUAL]])</f>
        <v>0</v>
      </c>
      <c r="G158" s="119" t="n">
        <f aca="false">SUMIFS(tabela_registros[VALOR],tabela_registros[MÊS],$AE$1,tabela_registros[DIA],investiroutrosconsolidado282932[[#Headers],[3]],tabela_registros[REGISTRO],DADOS!$N$5,tabela_registros[TIPO],DADOS!$AB$5,tabela_registros[CATEGORIA],investiroutrosconsolidado282932[[#This Row],[ATUAL]])</f>
        <v>0</v>
      </c>
      <c r="H158" s="119" t="n">
        <f aca="false">SUMIFS(tabela_registros[VALOR],tabela_registros[MÊS],$AE$1,tabela_registros[DIA],investiroutrosconsolidado282932[[#Headers],[4]],tabela_registros[REGISTRO],DADOS!$N$5,tabela_registros[TIPO],DADOS!$AB$5,tabela_registros[CATEGORIA],investiroutrosconsolidado282932[[#This Row],[ATUAL]])</f>
        <v>0</v>
      </c>
      <c r="I158" s="119" t="n">
        <f aca="false">SUMIFS(tabela_registros[VALOR],tabela_registros[MÊS],$AE$1,tabela_registros[DIA],investiroutrosconsolidado282932[[#Headers],[5]],tabela_registros[REGISTRO],DADOS!$N$5,tabela_registros[TIPO],DADOS!$AB$5,tabela_registros[CATEGORIA],investiroutrosconsolidado282932[[#This Row],[ATUAL]])</f>
        <v>0</v>
      </c>
      <c r="J158" s="119" t="n">
        <f aca="false">SUMIFS(tabela_registros[VALOR],tabela_registros[MÊS],$AE$1,tabela_registros[DIA],investiroutrosconsolidado282932[[#Headers],[6]],tabela_registros[REGISTRO],DADOS!$N$5,tabela_registros[TIPO],DADOS!$AB$5,tabela_registros[CATEGORIA],investiroutrosconsolidado282932[[#This Row],[ATUAL]])</f>
        <v>0</v>
      </c>
      <c r="K158" s="119" t="n">
        <f aca="false">SUMIFS(tabela_registros[VALOR],tabela_registros[MÊS],$AE$1,tabela_registros[DIA],investiroutrosconsolidado282932[[#Headers],[7]],tabela_registros[REGISTRO],DADOS!$N$5,tabela_registros[TIPO],DADOS!$AB$5,tabela_registros[CATEGORIA],investiroutrosconsolidado282932[[#This Row],[ATUAL]])</f>
        <v>0</v>
      </c>
      <c r="L158" s="119" t="n">
        <f aca="false">SUMIFS(tabela_registros[VALOR],tabela_registros[MÊS],$AE$1,tabela_registros[DIA],investiroutrosconsolidado282932[[#Headers],[8]],tabela_registros[REGISTRO],DADOS!$N$5,tabela_registros[TIPO],DADOS!$AB$5,tabela_registros[CATEGORIA],investiroutrosconsolidado282932[[#This Row],[ATUAL]])</f>
        <v>0</v>
      </c>
      <c r="M158" s="119" t="n">
        <f aca="false">SUMIFS(tabela_registros[VALOR],tabela_registros[MÊS],$AE$1,tabela_registros[DIA],investiroutrosconsolidado282932[[#Headers],[9]],tabela_registros[REGISTRO],DADOS!$N$5,tabela_registros[TIPO],DADOS!$AB$5,tabela_registros[CATEGORIA],investiroutrosconsolidado282932[[#This Row],[ATUAL]])</f>
        <v>0</v>
      </c>
      <c r="N158" s="119" t="n">
        <f aca="false">SUMIFS(tabela_registros[VALOR],tabela_registros[MÊS],$AE$1,tabela_registros[DIA],investiroutrosconsolidado282932[[#Headers],[10]],tabela_registros[REGISTRO],DADOS!$N$5,tabela_registros[TIPO],DADOS!$AB$5,tabela_registros[CATEGORIA],investiroutrosconsolidado282932[[#This Row],[ATUAL]])</f>
        <v>0</v>
      </c>
      <c r="O158" s="119" t="n">
        <f aca="false">SUMIFS(tabela_registros[VALOR],tabela_registros[MÊS],$AE$1,tabela_registros[DIA],investiroutrosconsolidado282932[[#Headers],[11]],tabela_registros[REGISTRO],DADOS!$N$5,tabela_registros[TIPO],DADOS!$AB$5,tabela_registros[CATEGORIA],investiroutrosconsolidado282932[[#This Row],[ATUAL]])</f>
        <v>0</v>
      </c>
      <c r="P158" s="119" t="n">
        <f aca="false">SUMIFS(tabela_registros[VALOR],tabela_registros[MÊS],$AE$1,tabela_registros[DIA],investiroutrosconsolidado282932[[#Headers],[12]],tabela_registros[REGISTRO],DADOS!$N$5,tabela_registros[TIPO],DADOS!$AB$5,tabela_registros[CATEGORIA],investiroutrosconsolidado282932[[#This Row],[ATUAL]])</f>
        <v>0</v>
      </c>
      <c r="Q158" s="119" t="n">
        <f aca="false">SUMIFS(tabela_registros[VALOR],tabela_registros[MÊS],$AE$1,tabela_registros[DIA],investiroutrosconsolidado282932[[#Headers],[13]],tabela_registros[REGISTRO],DADOS!$N$5,tabela_registros[TIPO],DADOS!$AB$5,tabela_registros[CATEGORIA],investiroutrosconsolidado282932[[#This Row],[ATUAL]])</f>
        <v>0</v>
      </c>
      <c r="R158" s="119" t="n">
        <f aca="false">SUMIFS(tabela_registros[VALOR],tabela_registros[MÊS],$AE$1,tabela_registros[DIA],investiroutrosconsolidado282932[[#Headers],[14]],tabela_registros[REGISTRO],DADOS!$N$5,tabela_registros[TIPO],DADOS!$AB$5,tabela_registros[CATEGORIA],investiroutrosconsolidado282932[[#This Row],[ATUAL]])</f>
        <v>0</v>
      </c>
      <c r="S158" s="119" t="n">
        <f aca="false">SUMIFS(tabela_registros[VALOR],tabela_registros[MÊS],$AE$1,tabela_registros[DIA],investiroutrosconsolidado282932[[#Headers],[15]],tabela_registros[REGISTRO],DADOS!$N$5,tabela_registros[TIPO],DADOS!$AB$5,tabela_registros[CATEGORIA],investiroutrosconsolidado282932[[#This Row],[ATUAL]])</f>
        <v>0</v>
      </c>
      <c r="T158" s="119" t="n">
        <f aca="false">SUMIFS(tabela_registros[VALOR],tabela_registros[MÊS],$AE$1,tabela_registros[DIA],investiroutrosconsolidado282932[[#Headers],[16]],tabela_registros[REGISTRO],DADOS!$N$5,tabela_registros[TIPO],DADOS!$AB$5,tabela_registros[CATEGORIA],investiroutrosconsolidado282932[[#This Row],[ATUAL]])</f>
        <v>0</v>
      </c>
      <c r="U158" s="119" t="n">
        <f aca="false">SUMIFS(tabela_registros[VALOR],tabela_registros[MÊS],$AE$1,tabela_registros[DIA],investiroutrosconsolidado282932[[#Headers],[17]],tabela_registros[REGISTRO],DADOS!$N$5,tabela_registros[TIPO],DADOS!$AB$5,tabela_registros[CATEGORIA],investiroutrosconsolidado282932[[#This Row],[ATUAL]])</f>
        <v>0</v>
      </c>
      <c r="V158" s="119" t="n">
        <f aca="false">SUMIFS(tabela_registros[VALOR],tabela_registros[MÊS],$AE$1,tabela_registros[DIA],investiroutrosconsolidado282932[[#Headers],[18]],tabela_registros[REGISTRO],DADOS!$N$5,tabela_registros[TIPO],DADOS!$AB$5,tabela_registros[CATEGORIA],investiroutrosconsolidado282932[[#This Row],[ATUAL]])</f>
        <v>0</v>
      </c>
      <c r="W158" s="119" t="n">
        <f aca="false">SUMIFS(tabela_registros[VALOR],tabela_registros[MÊS],$AE$1,tabela_registros[DIA],investiroutrosconsolidado282932[[#Headers],[19]],tabela_registros[REGISTRO],DADOS!$N$5,tabela_registros[TIPO],DADOS!$AB$5,tabela_registros[CATEGORIA],investiroutrosconsolidado282932[[#This Row],[ATUAL]])</f>
        <v>0</v>
      </c>
      <c r="X158" s="119" t="n">
        <f aca="false">SUMIFS(tabela_registros[VALOR],tabela_registros[MÊS],$AE$1,tabela_registros[DIA],investiroutrosconsolidado282932[[#Headers],[20]],tabela_registros[REGISTRO],DADOS!$N$5,tabela_registros[TIPO],DADOS!$AB$5,tabela_registros[CATEGORIA],investiroutrosconsolidado282932[[#This Row],[ATUAL]])</f>
        <v>0</v>
      </c>
      <c r="Y158" s="119" t="n">
        <f aca="false">SUMIFS(tabela_registros[VALOR],tabela_registros[MÊS],$AE$1,tabela_registros[DIA],investiroutrosconsolidado282932[[#Headers],[21]],tabela_registros[REGISTRO],DADOS!$N$5,tabela_registros[TIPO],DADOS!$AB$5,tabela_registros[CATEGORIA],investiroutrosconsolidado282932[[#This Row],[ATUAL]])</f>
        <v>0</v>
      </c>
      <c r="Z158" s="119" t="n">
        <f aca="false">SUMIFS(tabela_registros[VALOR],tabela_registros[MÊS],$AE$1,tabela_registros[DIA],investiroutrosconsolidado282932[[#Headers],[22]],tabela_registros[REGISTRO],DADOS!$N$5,tabela_registros[TIPO],DADOS!$AB$5,tabela_registros[CATEGORIA],investiroutrosconsolidado282932[[#This Row],[ATUAL]])</f>
        <v>0</v>
      </c>
      <c r="AA158" s="119" t="n">
        <f aca="false">SUMIFS(tabela_registros[VALOR],tabela_registros[MÊS],$AE$1,tabela_registros[DIA],investiroutrosconsolidado282932[[#Headers],[23]],tabela_registros[REGISTRO],DADOS!$N$5,tabela_registros[TIPO],DADOS!$AB$5,tabela_registros[CATEGORIA],investiroutrosconsolidado282932[[#This Row],[ATUAL]])</f>
        <v>0</v>
      </c>
      <c r="AB158" s="119" t="n">
        <f aca="false">SUMIFS(tabela_registros[VALOR],tabela_registros[MÊS],$AE$1,tabela_registros[DIA],investiroutrosconsolidado282932[[#Headers],[24]],tabela_registros[REGISTRO],DADOS!$N$5,tabela_registros[TIPO],DADOS!$AB$5,tabela_registros[CATEGORIA],investiroutrosconsolidado282932[[#This Row],[ATUAL]])</f>
        <v>0</v>
      </c>
      <c r="AC158" s="119" t="n">
        <f aca="false">SUMIFS(tabela_registros[VALOR],tabela_registros[MÊS],$AE$1,tabela_registros[DIA],investiroutrosconsolidado282932[[#Headers],[25]],tabela_registros[REGISTRO],DADOS!$N$5,tabela_registros[TIPO],DADOS!$AB$5,tabela_registros[CATEGORIA],investiroutrosconsolidado282932[[#This Row],[ATUAL]])</f>
        <v>0</v>
      </c>
      <c r="AD158" s="119" t="n">
        <f aca="false">SUMIFS(tabela_registros[VALOR],tabela_registros[MÊS],$AE$1,tabela_registros[DIA],investiroutrosconsolidado282932[[#Headers],[26]],tabela_registros[REGISTRO],DADOS!$N$5,tabela_registros[TIPO],DADOS!$AB$5,tabela_registros[CATEGORIA],investiroutrosconsolidado282932[[#This Row],[ATUAL]])</f>
        <v>0</v>
      </c>
      <c r="AE158" s="119" t="n">
        <f aca="false">SUMIFS(tabela_registros[VALOR],tabela_registros[MÊS],$AE$1,tabela_registros[DIA],investiroutrosconsolidado282932[[#Headers],[27]],tabela_registros[REGISTRO],DADOS!$N$5,tabela_registros[TIPO],DADOS!$AB$5,tabela_registros[CATEGORIA],investiroutrosconsolidado282932[[#This Row],[ATUAL]])</f>
        <v>0</v>
      </c>
      <c r="AF158" s="119" t="n">
        <f aca="false">SUMIFS(tabela_registros[VALOR],tabela_registros[MÊS],$AE$1,tabela_registros[DIA],investiroutrosconsolidado282932[[#Headers],[28]],tabela_registros[REGISTRO],DADOS!$N$5,tabela_registros[TIPO],DADOS!$AB$5,tabela_registros[CATEGORIA],investiroutrosconsolidado282932[[#This Row],[ATUAL]])</f>
        <v>0</v>
      </c>
      <c r="AG158" s="119" t="n">
        <f aca="false">SUMIFS(tabela_registros[VALOR],tabela_registros[MÊS],$AE$1,tabela_registros[DIA],investiroutrosconsolidado282932[[#Headers],[29]],tabela_registros[REGISTRO],DADOS!$N$5,tabela_registros[TIPO],DADOS!$AB$5,tabela_registros[CATEGORIA],investiroutrosconsolidado282932[[#This Row],[ATUAL]])</f>
        <v>0</v>
      </c>
      <c r="AH158" s="119" t="n">
        <f aca="false">SUMIFS(tabela_registros[VALOR],tabela_registros[MÊS],$AE$1,tabela_registros[DIA],investiroutrosconsolidado282932[[#Headers],[30]],tabela_registros[REGISTRO],DADOS!$N$5,tabela_registros[TIPO],DADOS!$AB$5,tabela_registros[CATEGORIA],investiroutrosconsolidado282932[[#This Row],[ATUAL]])</f>
        <v>0</v>
      </c>
      <c r="AI158" s="218" t="n">
        <f aca="false">SUMIFS(tabela_registros[VALOR],tabela_registros[MÊS],$AE$1,tabela_registros[DIA],investiroutrosconsolidado282932[[#Headers],[31]],tabela_registros[REGISTRO],DADOS!$N$5,tabela_registros[TIPO],DADOS!$AB$5,tabela_registros[CATEGORIA],investiroutrosconsolidado282932[[#This Row],[ATUAL]])</f>
        <v>0</v>
      </c>
      <c r="AJ158" s="149" t="n">
        <f aca="false">SUM(investiroutrosconsolidado282932[[#This Row],[1]:[31]])</f>
        <v>0</v>
      </c>
      <c r="AK158" s="234"/>
      <c r="AL158" s="189"/>
    </row>
    <row r="159" s="122" customFormat="true" ht="21" hidden="false" customHeight="true" outlineLevel="0" collapsed="false">
      <c r="A159" s="199"/>
      <c r="B159" s="220"/>
      <c r="C159" s="221" t="s">
        <v>2</v>
      </c>
      <c r="D159" s="235"/>
      <c r="E159" s="155" t="n">
        <f aca="false">SUM(E151:E158)</f>
        <v>0</v>
      </c>
      <c r="F159" s="156" t="n">
        <f aca="false">SUM(F151:F158)+investiroutrosconsolidado282932[[#This Row],[1]]</f>
        <v>0</v>
      </c>
      <c r="G159" s="156" t="n">
        <f aca="false">SUM(G151:G158)+investiroutrosconsolidado282932[[#This Row],[2]]</f>
        <v>0</v>
      </c>
      <c r="H159" s="156" t="n">
        <f aca="false">SUM(H151:H158)+investiroutrosconsolidado282932[[#This Row],[3]]</f>
        <v>0</v>
      </c>
      <c r="I159" s="156" t="n">
        <f aca="false">SUM(I151:I158)+investiroutrosconsolidado282932[[#This Row],[4]]</f>
        <v>0</v>
      </c>
      <c r="J159" s="156" t="n">
        <f aca="false">SUM(J151:J158)+investiroutrosconsolidado282932[[#This Row],[5]]</f>
        <v>0</v>
      </c>
      <c r="K159" s="156" t="n">
        <f aca="false">SUM(K151:K158)+investiroutrosconsolidado282932[[#This Row],[6]]</f>
        <v>0</v>
      </c>
      <c r="L159" s="156" t="n">
        <f aca="false">SUM(L151:L158)+investiroutrosconsolidado282932[[#This Row],[7]]</f>
        <v>0</v>
      </c>
      <c r="M159" s="156" t="n">
        <f aca="false">SUM(M151:M158)+investiroutrosconsolidado282932[[#This Row],[8]]</f>
        <v>0</v>
      </c>
      <c r="N159" s="156" t="n">
        <f aca="false">SUM(N151:N158)+investiroutrosconsolidado282932[[#This Row],[9]]</f>
        <v>0</v>
      </c>
      <c r="O159" s="156" t="n">
        <f aca="false">SUM(O151:O158)+investiroutrosconsolidado282932[[#This Row],[10]]</f>
        <v>0</v>
      </c>
      <c r="P159" s="156" t="n">
        <f aca="false">SUM(P151:P158)+investiroutrosconsolidado282932[[#This Row],[11]]</f>
        <v>0</v>
      </c>
      <c r="Q159" s="156" t="n">
        <f aca="false">SUM(Q151:Q158)+investiroutrosconsolidado282932[[#This Row],[12]]</f>
        <v>0</v>
      </c>
      <c r="R159" s="156" t="n">
        <f aca="false">SUM(R151:R158)+investiroutrosconsolidado282932[[#This Row],[13]]</f>
        <v>0</v>
      </c>
      <c r="S159" s="156" t="n">
        <f aca="false">SUM(S151:S158)+investiroutrosconsolidado282932[[#This Row],[14]]</f>
        <v>0</v>
      </c>
      <c r="T159" s="156" t="n">
        <f aca="false">SUM(T151:T158)+investiroutrosconsolidado282932[[#This Row],[15]]</f>
        <v>0</v>
      </c>
      <c r="U159" s="156" t="n">
        <f aca="false">SUM(U151:U158)+investiroutrosconsolidado282932[[#This Row],[16]]</f>
        <v>0</v>
      </c>
      <c r="V159" s="156" t="n">
        <f aca="false">SUM(V151:V158)+investiroutrosconsolidado282932[[#This Row],[17]]</f>
        <v>0</v>
      </c>
      <c r="W159" s="156" t="n">
        <f aca="false">SUM(W151:W158)+investiroutrosconsolidado282932[[#This Row],[18]]</f>
        <v>0</v>
      </c>
      <c r="X159" s="156" t="n">
        <f aca="false">SUM(X151:X158)+investiroutrosconsolidado282932[[#This Row],[19]]</f>
        <v>0</v>
      </c>
      <c r="Y159" s="156" t="n">
        <f aca="false">SUM(Y151:Y158)+investiroutrosconsolidado282932[[#This Row],[20]]</f>
        <v>0</v>
      </c>
      <c r="Z159" s="156" t="n">
        <f aca="false">SUM(Z151:Z158)+investiroutrosconsolidado282932[[#This Row],[21]]</f>
        <v>0</v>
      </c>
      <c r="AA159" s="156" t="n">
        <f aca="false">SUM(AA151:AA158)+investiroutrosconsolidado282932[[#This Row],[22]]</f>
        <v>0</v>
      </c>
      <c r="AB159" s="156" t="n">
        <f aca="false">SUM(AB151:AB158)+investiroutrosconsolidado282932[[#This Row],[23]]</f>
        <v>0</v>
      </c>
      <c r="AC159" s="156" t="n">
        <f aca="false">SUM(AC151:AC158)+investiroutrosconsolidado282932[[#This Row],[24]]</f>
        <v>0</v>
      </c>
      <c r="AD159" s="156" t="n">
        <f aca="false">SUM(AD151:AD158)+investiroutrosconsolidado282932[[#This Row],[25]]</f>
        <v>0</v>
      </c>
      <c r="AE159" s="156" t="n">
        <f aca="false">SUM(AE151:AE158)+investiroutrosconsolidado282932[[#This Row],[26]]</f>
        <v>0</v>
      </c>
      <c r="AF159" s="156" t="n">
        <f aca="false">SUM(AF151:AF158)+investiroutrosconsolidado282932[[#This Row],[27]]</f>
        <v>0</v>
      </c>
      <c r="AG159" s="156" t="n">
        <f aca="false">SUM(AG151:AG158)+investiroutrosconsolidado282932[[#This Row],[28]]</f>
        <v>0</v>
      </c>
      <c r="AH159" s="156" t="n">
        <f aca="false">SUM(AH151:AH158)+investiroutrosconsolidado282932[[#This Row],[29]]</f>
        <v>0</v>
      </c>
      <c r="AI159" s="223" t="n">
        <f aca="false">SUM(AI151:AI158)+investiroutrosconsolidado282932[[#This Row],[30]]</f>
        <v>0</v>
      </c>
      <c r="AJ159" s="157" t="n">
        <f aca="false">investiroutrosconsolidado282932[[#This Row],[31]]</f>
        <v>0</v>
      </c>
      <c r="AK159" s="224"/>
      <c r="AL159" s="199"/>
    </row>
    <row r="160" customFormat="false" ht="6.75" hidden="false" customHeight="true" outlineLevel="0" collapsed="false">
      <c r="A160" s="189"/>
      <c r="B160" s="185"/>
      <c r="C160" s="231"/>
      <c r="D160" s="232"/>
      <c r="E160" s="232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  <c r="Q160" s="232"/>
      <c r="R160" s="232"/>
      <c r="S160" s="232"/>
      <c r="T160" s="232"/>
      <c r="U160" s="232"/>
      <c r="V160" s="232"/>
      <c r="W160" s="232"/>
      <c r="X160" s="232"/>
      <c r="Y160" s="232"/>
      <c r="Z160" s="232"/>
      <c r="AA160" s="232"/>
      <c r="AB160" s="232"/>
      <c r="AC160" s="232"/>
      <c r="AD160" s="232"/>
      <c r="AE160" s="232"/>
      <c r="AF160" s="232"/>
      <c r="AG160" s="232"/>
      <c r="AH160" s="232"/>
      <c r="AI160" s="233"/>
      <c r="AJ160" s="236"/>
      <c r="AK160" s="228"/>
      <c r="AL160" s="189"/>
    </row>
    <row r="161" customFormat="false" ht="12.75" hidden="false" customHeight="false" outlineLevel="0" collapsed="false">
      <c r="A161" s="189"/>
      <c r="B161" s="189"/>
      <c r="C161" s="189"/>
      <c r="D161" s="189"/>
      <c r="E161" s="190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  <c r="AA161" s="189"/>
      <c r="AB161" s="189"/>
      <c r="AC161" s="189"/>
      <c r="AD161" s="189"/>
      <c r="AE161" s="189"/>
      <c r="AF161" s="189"/>
      <c r="AG161" s="189"/>
      <c r="AH161" s="189"/>
      <c r="AI161" s="189"/>
      <c r="AJ161" s="189"/>
      <c r="AK161" s="189"/>
      <c r="AL161" s="189"/>
    </row>
    <row r="162" customFormat="false" ht="12" hidden="false" customHeight="false" outlineLevel="0" collapsed="false">
      <c r="A162" s="189"/>
      <c r="B162" s="189"/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  <c r="AA162" s="189"/>
      <c r="AB162" s="189"/>
      <c r="AC162" s="189"/>
      <c r="AD162" s="189"/>
      <c r="AE162" s="189"/>
      <c r="AF162" s="189"/>
      <c r="AG162" s="189"/>
      <c r="AH162" s="189"/>
      <c r="AI162" s="189"/>
      <c r="AJ162" s="189"/>
      <c r="AK162" s="189"/>
      <c r="AL162" s="189"/>
    </row>
    <row r="163" customFormat="false" ht="12" hidden="false" customHeight="false" outlineLevel="0" collapsed="false">
      <c r="A163" s="189"/>
      <c r="B163" s="189"/>
      <c r="C163" s="189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  <c r="X163" s="189"/>
      <c r="Y163" s="189"/>
      <c r="Z163" s="189"/>
      <c r="AA163" s="189"/>
      <c r="AB163" s="189"/>
      <c r="AC163" s="189"/>
      <c r="AD163" s="189"/>
      <c r="AE163" s="189"/>
      <c r="AF163" s="189"/>
      <c r="AG163" s="189"/>
      <c r="AH163" s="189"/>
      <c r="AI163" s="189"/>
      <c r="AJ163" s="189"/>
      <c r="AK163" s="189"/>
      <c r="AL163" s="189"/>
    </row>
    <row r="164" customFormat="false" ht="39.75" hidden="false" customHeight="true" outlineLevel="0" collapsed="false">
      <c r="A164" s="189"/>
      <c r="B164" s="189"/>
      <c r="C164" s="191"/>
      <c r="D164" s="189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92"/>
      <c r="Z164" s="192"/>
      <c r="AA164" s="192"/>
      <c r="AB164" s="192"/>
      <c r="AC164" s="192"/>
      <c r="AD164" s="192"/>
      <c r="AE164" s="192"/>
      <c r="AF164" s="192"/>
      <c r="AG164" s="192"/>
      <c r="AH164" s="192"/>
      <c r="AI164" s="192"/>
      <c r="AJ164" s="103" t="s">
        <v>2</v>
      </c>
      <c r="AK164" s="189"/>
      <c r="AL164" s="189"/>
    </row>
    <row r="165" customFormat="false" ht="12.75" hidden="false" customHeight="false" outlineLevel="0" collapsed="false">
      <c r="A165" s="189"/>
      <c r="B165" s="230"/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89"/>
      <c r="O165" s="189"/>
      <c r="P165" s="189"/>
      <c r="Q165" s="189"/>
      <c r="R165" s="189"/>
      <c r="S165" s="189"/>
      <c r="T165" s="189"/>
      <c r="U165" s="189"/>
      <c r="V165" s="189"/>
      <c r="W165" s="189"/>
      <c r="X165" s="189"/>
      <c r="Y165" s="189"/>
      <c r="Z165" s="189"/>
      <c r="AA165" s="189"/>
      <c r="AB165" s="189"/>
      <c r="AC165" s="189"/>
      <c r="AD165" s="189"/>
      <c r="AE165" s="189"/>
      <c r="AF165" s="189"/>
      <c r="AG165" s="189"/>
      <c r="AH165" s="189"/>
      <c r="AI165" s="189"/>
      <c r="AJ165" s="106" t="s">
        <v>64</v>
      </c>
      <c r="AK165" s="189"/>
      <c r="AL165" s="189"/>
    </row>
    <row r="166" customFormat="false" ht="6.75" hidden="false" customHeight="true" outlineLevel="0" collapsed="false">
      <c r="A166" s="189"/>
      <c r="B166" s="172"/>
      <c r="C166" s="231"/>
      <c r="D166" s="232"/>
      <c r="E166" s="232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  <c r="Q166" s="232"/>
      <c r="R166" s="232"/>
      <c r="S166" s="232"/>
      <c r="T166" s="232"/>
      <c r="U166" s="232"/>
      <c r="V166" s="232"/>
      <c r="W166" s="232"/>
      <c r="X166" s="232"/>
      <c r="Y166" s="232"/>
      <c r="Z166" s="232"/>
      <c r="AA166" s="232"/>
      <c r="AB166" s="232"/>
      <c r="AC166" s="232"/>
      <c r="AD166" s="232"/>
      <c r="AE166" s="232"/>
      <c r="AF166" s="232"/>
      <c r="AG166" s="232"/>
      <c r="AH166" s="232"/>
      <c r="AI166" s="232"/>
      <c r="AJ166" s="233"/>
      <c r="AK166" s="209"/>
      <c r="AL166" s="189"/>
    </row>
    <row r="167" customFormat="false" ht="13.5" hidden="true" customHeight="false" outlineLevel="0" collapsed="false">
      <c r="A167" s="189"/>
      <c r="B167" s="172"/>
      <c r="C167" s="195" t="s">
        <v>68</v>
      </c>
      <c r="D167" s="196" t="s">
        <v>69</v>
      </c>
      <c r="E167" s="196" t="s">
        <v>30</v>
      </c>
      <c r="F167" s="196" t="s">
        <v>31</v>
      </c>
      <c r="G167" s="196" t="s">
        <v>32</v>
      </c>
      <c r="H167" s="196" t="s">
        <v>33</v>
      </c>
      <c r="I167" s="196" t="s">
        <v>34</v>
      </c>
      <c r="J167" s="196" t="s">
        <v>35</v>
      </c>
      <c r="K167" s="196" t="s">
        <v>36</v>
      </c>
      <c r="L167" s="196" t="s">
        <v>37</v>
      </c>
      <c r="M167" s="196" t="s">
        <v>38</v>
      </c>
      <c r="N167" s="196" t="s">
        <v>39</v>
      </c>
      <c r="O167" s="196" t="s">
        <v>40</v>
      </c>
      <c r="P167" s="196" t="s">
        <v>41</v>
      </c>
      <c r="Q167" s="196" t="s">
        <v>81</v>
      </c>
      <c r="R167" s="196" t="s">
        <v>82</v>
      </c>
      <c r="S167" s="196" t="s">
        <v>83</v>
      </c>
      <c r="T167" s="196" t="s">
        <v>84</v>
      </c>
      <c r="U167" s="196" t="s">
        <v>85</v>
      </c>
      <c r="V167" s="196" t="s">
        <v>86</v>
      </c>
      <c r="W167" s="196" t="s">
        <v>87</v>
      </c>
      <c r="X167" s="196" t="s">
        <v>88</v>
      </c>
      <c r="Y167" s="196" t="s">
        <v>89</v>
      </c>
      <c r="Z167" s="196" t="s">
        <v>90</v>
      </c>
      <c r="AA167" s="196" t="s">
        <v>91</v>
      </c>
      <c r="AB167" s="196" t="s">
        <v>92</v>
      </c>
      <c r="AC167" s="196" t="s">
        <v>93</v>
      </c>
      <c r="AD167" s="196" t="s">
        <v>94</v>
      </c>
      <c r="AE167" s="196" t="s">
        <v>95</v>
      </c>
      <c r="AF167" s="196" t="s">
        <v>96</v>
      </c>
      <c r="AG167" s="196" t="s">
        <v>97</v>
      </c>
      <c r="AH167" s="196" t="s">
        <v>98</v>
      </c>
      <c r="AI167" s="196" t="s">
        <v>99</v>
      </c>
      <c r="AJ167" s="111" t="s">
        <v>70</v>
      </c>
      <c r="AK167" s="172"/>
      <c r="AL167" s="189"/>
    </row>
    <row r="168" customFormat="false" ht="19.5" hidden="false" customHeight="true" outlineLevel="0" collapsed="false">
      <c r="A168" s="189"/>
      <c r="B168" s="213"/>
      <c r="C168" s="214" t="str">
        <f aca="false">DADOS!$AL$3</f>
        <v>📝 CDB</v>
      </c>
      <c r="D168" s="215" t="str">
        <f aca="false">IF(reservafixaconsolidado282933[[#This Row],[TOTAL (R$)]]=0,"",IF(OR(reservafixaconsolidado282933[[#This Row],[TOTAL (R$)]]=LARGE($AJ$168:$AJ$177,1),reservafixaconsolidado282933[[#This Row],[TOTAL (R$)]]=LARGE($AJ$168:$AJ$177,2)),DADOS!$I$11,""))</f>
        <v/>
      </c>
      <c r="E168" s="148" t="n">
        <f aca="false">SUMIFS(tabela_registros[VALOR],tabela_registros[MÊS],$AE$1,tabela_registros[DIA],reservafixaconsolidado282933[[#Headers],[1]],tabela_registros[REGISTRO],DADOS!$N$6,tabela_registros[TIPO],DADOS!$AJ$3,tabela_registros[CATEGORIA],reservafixaconsolidado282933[[#This Row],[ATUAL]])</f>
        <v>0</v>
      </c>
      <c r="F168" s="119" t="n">
        <f aca="false">SUMIFS(tabela_registros[VALOR],tabela_registros[MÊS],$AE$1,tabela_registros[DIA],reservafixaconsolidado282933[[#Headers],[2]],tabela_registros[REGISTRO],DADOS!$N$6,tabela_registros[TIPO],DADOS!$AJ$3,tabela_registros[CATEGORIA],reservafixaconsolidado282933[[#This Row],[ATUAL]])</f>
        <v>0</v>
      </c>
      <c r="G168" s="119" t="n">
        <f aca="false">SUMIFS(tabela_registros[VALOR],tabela_registros[MÊS],$AE$1,tabela_registros[DIA],reservafixaconsolidado282933[[#Headers],[3]],tabela_registros[REGISTRO],DADOS!$N$6,tabela_registros[TIPO],DADOS!$AJ$3,tabela_registros[CATEGORIA],reservafixaconsolidado282933[[#This Row],[ATUAL]])</f>
        <v>0</v>
      </c>
      <c r="H168" s="119" t="n">
        <f aca="false">SUMIFS(tabela_registros[VALOR],tabela_registros[MÊS],$AE$1,tabela_registros[DIA],reservafixaconsolidado282933[[#Headers],[4]],tabela_registros[REGISTRO],DADOS!$N$6,tabela_registros[TIPO],DADOS!$AJ$3,tabela_registros[CATEGORIA],reservafixaconsolidado282933[[#This Row],[ATUAL]])</f>
        <v>0</v>
      </c>
      <c r="I168" s="119" t="n">
        <f aca="false">SUMIFS(tabela_registros[VALOR],tabela_registros[MÊS],$AE$1,tabela_registros[DIA],reservafixaconsolidado282933[[#Headers],[5]],tabela_registros[REGISTRO],DADOS!$N$6,tabela_registros[TIPO],DADOS!$AJ$3,tabela_registros[CATEGORIA],reservafixaconsolidado282933[[#This Row],[ATUAL]])</f>
        <v>0</v>
      </c>
      <c r="J168" s="119" t="n">
        <f aca="false">SUMIFS(tabela_registros[VALOR],tabela_registros[MÊS],$AE$1,tabela_registros[DIA],reservafixaconsolidado282933[[#Headers],[6]],tabela_registros[REGISTRO],DADOS!$N$6,tabela_registros[TIPO],DADOS!$AJ$3,tabela_registros[CATEGORIA],reservafixaconsolidado282933[[#This Row],[ATUAL]])</f>
        <v>0</v>
      </c>
      <c r="K168" s="119" t="n">
        <f aca="false">SUMIFS(tabela_registros[VALOR],tabela_registros[MÊS],$AE$1,tabela_registros[DIA],reservafixaconsolidado282933[[#Headers],[7]],tabela_registros[REGISTRO],DADOS!$N$6,tabela_registros[TIPO],DADOS!$AJ$3,tabela_registros[CATEGORIA],reservafixaconsolidado282933[[#This Row],[ATUAL]])</f>
        <v>0</v>
      </c>
      <c r="L168" s="119" t="n">
        <f aca="false">SUMIFS(tabela_registros[VALOR],tabela_registros[MÊS],$AE$1,tabela_registros[DIA],reservafixaconsolidado282933[[#Headers],[8]],tabela_registros[REGISTRO],DADOS!$N$6,tabela_registros[TIPO],DADOS!$AJ$3,tabela_registros[CATEGORIA],reservafixaconsolidado282933[[#This Row],[ATUAL]])</f>
        <v>0</v>
      </c>
      <c r="M168" s="119" t="n">
        <f aca="false">SUMIFS(tabela_registros[VALOR],tabela_registros[MÊS],$AE$1,tabela_registros[DIA],reservafixaconsolidado282933[[#Headers],[9]],tabela_registros[REGISTRO],DADOS!$N$6,tabela_registros[TIPO],DADOS!$AJ$3,tabela_registros[CATEGORIA],reservafixaconsolidado282933[[#This Row],[ATUAL]])</f>
        <v>0</v>
      </c>
      <c r="N168" s="119" t="n">
        <f aca="false">SUMIFS(tabela_registros[VALOR],tabela_registros[MÊS],$AE$1,tabela_registros[DIA],reservafixaconsolidado282933[[#Headers],[10]],tabela_registros[REGISTRO],DADOS!$N$6,tabela_registros[TIPO],DADOS!$AJ$3,tabela_registros[CATEGORIA],reservafixaconsolidado282933[[#This Row],[ATUAL]])</f>
        <v>0</v>
      </c>
      <c r="O168" s="119" t="n">
        <f aca="false">SUMIFS(tabela_registros[VALOR],tabela_registros[MÊS],$AE$1,tabela_registros[DIA],reservafixaconsolidado282933[[#Headers],[11]],tabela_registros[REGISTRO],DADOS!$N$6,tabela_registros[TIPO],DADOS!$AJ$3,tabela_registros[CATEGORIA],reservafixaconsolidado282933[[#This Row],[ATUAL]])</f>
        <v>0</v>
      </c>
      <c r="P168" s="119" t="n">
        <f aca="false">SUMIFS(tabela_registros[VALOR],tabela_registros[MÊS],$AE$1,tabela_registros[DIA],reservafixaconsolidado282933[[#Headers],[12]],tabela_registros[REGISTRO],DADOS!$N$6,tabela_registros[TIPO],DADOS!$AJ$3,tabela_registros[CATEGORIA],reservafixaconsolidado282933[[#This Row],[ATUAL]])</f>
        <v>0</v>
      </c>
      <c r="Q168" s="119" t="n">
        <f aca="false">SUMIFS(tabela_registros[VALOR],tabela_registros[MÊS],$AE$1,tabela_registros[DIA],reservafixaconsolidado282933[[#Headers],[13]],tabela_registros[REGISTRO],DADOS!$N$6,tabela_registros[TIPO],DADOS!$AJ$3,tabela_registros[CATEGORIA],reservafixaconsolidado282933[[#This Row],[ATUAL]])</f>
        <v>0</v>
      </c>
      <c r="R168" s="119" t="n">
        <f aca="false">SUMIFS(tabela_registros[VALOR],tabela_registros[MÊS],$AE$1,tabela_registros[DIA],reservafixaconsolidado282933[[#Headers],[14]],tabela_registros[REGISTRO],DADOS!$N$6,tabela_registros[TIPO],DADOS!$AJ$3,tabela_registros[CATEGORIA],reservafixaconsolidado282933[[#This Row],[ATUAL]])</f>
        <v>0</v>
      </c>
      <c r="S168" s="119" t="n">
        <f aca="false">SUMIFS(tabela_registros[VALOR],tabela_registros[MÊS],$AE$1,tabela_registros[DIA],reservafixaconsolidado282933[[#Headers],[15]],tabela_registros[REGISTRO],DADOS!$N$6,tabela_registros[TIPO],DADOS!$AJ$3,tabela_registros[CATEGORIA],reservafixaconsolidado282933[[#This Row],[ATUAL]])</f>
        <v>0</v>
      </c>
      <c r="T168" s="119" t="n">
        <f aca="false">SUMIFS(tabela_registros[VALOR],tabela_registros[MÊS],$AE$1,tabela_registros[DIA],reservafixaconsolidado282933[[#Headers],[16]],tabela_registros[REGISTRO],DADOS!$N$6,tabela_registros[TIPO],DADOS!$AJ$3,tabela_registros[CATEGORIA],reservafixaconsolidado282933[[#This Row],[ATUAL]])</f>
        <v>0</v>
      </c>
      <c r="U168" s="119" t="n">
        <f aca="false">SUMIFS(tabela_registros[VALOR],tabela_registros[MÊS],$AE$1,tabela_registros[DIA],reservafixaconsolidado282933[[#Headers],[17]],tabela_registros[REGISTRO],DADOS!$N$6,tabela_registros[TIPO],DADOS!$AJ$3,tabela_registros[CATEGORIA],reservafixaconsolidado282933[[#This Row],[ATUAL]])</f>
        <v>0</v>
      </c>
      <c r="V168" s="119" t="n">
        <f aca="false">SUMIFS(tabela_registros[VALOR],tabela_registros[MÊS],$AE$1,tabela_registros[DIA],reservafixaconsolidado282933[[#Headers],[18]],tabela_registros[REGISTRO],DADOS!$N$6,tabela_registros[TIPO],DADOS!$AJ$3,tabela_registros[CATEGORIA],reservafixaconsolidado282933[[#This Row],[ATUAL]])</f>
        <v>0</v>
      </c>
      <c r="W168" s="119" t="n">
        <f aca="false">SUMIFS(tabela_registros[VALOR],tabela_registros[MÊS],$AE$1,tabela_registros[DIA],reservafixaconsolidado282933[[#Headers],[19]],tabela_registros[REGISTRO],DADOS!$N$6,tabela_registros[TIPO],DADOS!$AJ$3,tabela_registros[CATEGORIA],reservafixaconsolidado282933[[#This Row],[ATUAL]])</f>
        <v>0</v>
      </c>
      <c r="X168" s="119" t="n">
        <f aca="false">SUMIFS(tabela_registros[VALOR],tabela_registros[MÊS],$AE$1,tabela_registros[DIA],reservafixaconsolidado282933[[#Headers],[20]],tabela_registros[REGISTRO],DADOS!$N$6,tabela_registros[TIPO],DADOS!$AJ$3,tabela_registros[CATEGORIA],reservafixaconsolidado282933[[#This Row],[ATUAL]])</f>
        <v>0</v>
      </c>
      <c r="Y168" s="119" t="n">
        <f aca="false">SUMIFS(tabela_registros[VALOR],tabela_registros[MÊS],$AE$1,tabela_registros[DIA],reservafixaconsolidado282933[[#Headers],[21]],tabela_registros[REGISTRO],DADOS!$N$6,tabela_registros[TIPO],DADOS!$AJ$3,tabela_registros[CATEGORIA],reservafixaconsolidado282933[[#This Row],[ATUAL]])</f>
        <v>0</v>
      </c>
      <c r="Z168" s="119" t="n">
        <f aca="false">SUMIFS(tabela_registros[VALOR],tabela_registros[MÊS],$AE$1,tabela_registros[DIA],reservafixaconsolidado282933[[#Headers],[22]],tabela_registros[REGISTRO],DADOS!$N$6,tabela_registros[TIPO],DADOS!$AJ$3,tabela_registros[CATEGORIA],reservafixaconsolidado282933[[#This Row],[ATUAL]])</f>
        <v>0</v>
      </c>
      <c r="AA168" s="119" t="n">
        <f aca="false">SUMIFS(tabela_registros[VALOR],tabela_registros[MÊS],$AE$1,tabela_registros[DIA],reservafixaconsolidado282933[[#Headers],[23]],tabela_registros[REGISTRO],DADOS!$N$6,tabela_registros[TIPO],DADOS!$AJ$3,tabela_registros[CATEGORIA],reservafixaconsolidado282933[[#This Row],[ATUAL]])</f>
        <v>0</v>
      </c>
      <c r="AB168" s="119" t="n">
        <f aca="false">SUMIFS(tabela_registros[VALOR],tabela_registros[MÊS],$AE$1,tabela_registros[DIA],reservafixaconsolidado282933[[#Headers],[24]],tabela_registros[REGISTRO],DADOS!$N$6,tabela_registros[TIPO],DADOS!$AJ$3,tabela_registros[CATEGORIA],reservafixaconsolidado282933[[#This Row],[ATUAL]])</f>
        <v>0</v>
      </c>
      <c r="AC168" s="119" t="n">
        <f aca="false">SUMIFS(tabela_registros[VALOR],tabela_registros[MÊS],$AE$1,tabela_registros[DIA],reservafixaconsolidado282933[[#Headers],[25]],tabela_registros[REGISTRO],DADOS!$N$6,tabela_registros[TIPO],DADOS!$AJ$3,tabela_registros[CATEGORIA],reservafixaconsolidado282933[[#This Row],[ATUAL]])</f>
        <v>0</v>
      </c>
      <c r="AD168" s="119" t="n">
        <f aca="false">SUMIFS(tabela_registros[VALOR],tabela_registros[MÊS],$AE$1,tabela_registros[DIA],reservafixaconsolidado282933[[#Headers],[26]],tabela_registros[REGISTRO],DADOS!$N$6,tabela_registros[TIPO],DADOS!$AJ$3,tabela_registros[CATEGORIA],reservafixaconsolidado282933[[#This Row],[ATUAL]])</f>
        <v>0</v>
      </c>
      <c r="AE168" s="119" t="n">
        <f aca="false">SUMIFS(tabela_registros[VALOR],tabela_registros[MÊS],$AE$1,tabela_registros[DIA],reservafixaconsolidado282933[[#Headers],[27]],tabela_registros[REGISTRO],DADOS!$N$6,tabela_registros[TIPO],DADOS!$AJ$3,tabela_registros[CATEGORIA],reservafixaconsolidado282933[[#This Row],[ATUAL]])</f>
        <v>0</v>
      </c>
      <c r="AF168" s="119" t="n">
        <f aca="false">SUMIFS(tabela_registros[VALOR],tabela_registros[MÊS],$AE$1,tabela_registros[DIA],reservafixaconsolidado282933[[#Headers],[28]],tabela_registros[REGISTRO],DADOS!$N$6,tabela_registros[TIPO],DADOS!$AJ$3,tabela_registros[CATEGORIA],reservafixaconsolidado282933[[#This Row],[ATUAL]])</f>
        <v>0</v>
      </c>
      <c r="AG168" s="119" t="n">
        <f aca="false">SUMIFS(tabela_registros[VALOR],tabela_registros[MÊS],$AE$1,tabela_registros[DIA],reservafixaconsolidado282933[[#Headers],[29]],tabela_registros[REGISTRO],DADOS!$N$6,tabela_registros[TIPO],DADOS!$AJ$3,tabela_registros[CATEGORIA],reservafixaconsolidado282933[[#This Row],[ATUAL]])</f>
        <v>0</v>
      </c>
      <c r="AH168" s="119" t="n">
        <f aca="false">SUMIFS(tabela_registros[VALOR],tabela_registros[MÊS],$AE$1,tabela_registros[DIA],reservafixaconsolidado282933[[#Headers],[30]],tabela_registros[REGISTRO],DADOS!$N$6,tabela_registros[TIPO],DADOS!$AJ$3,tabela_registros[CATEGORIA],reservafixaconsolidado282933[[#This Row],[ATUAL]])</f>
        <v>0</v>
      </c>
      <c r="AI168" s="217" t="n">
        <f aca="false">SUMIFS(tabela_registros[VALOR],tabela_registros[MÊS],$AE$1,tabela_registros[DIA],reservafixaconsolidado282933[[#Headers],[31]],tabela_registros[REGISTRO],DADOS!$N$6,tabela_registros[TIPO],DADOS!$AJ$3,tabela_registros[CATEGORIA],reservafixaconsolidado282933[[#This Row],[ATUAL]])</f>
        <v>0</v>
      </c>
      <c r="AJ168" s="149" t="n">
        <f aca="false">SUM(reservafixaconsolidado282933[[#This Row],[1]:[31]])</f>
        <v>0</v>
      </c>
      <c r="AK168" s="234"/>
      <c r="AL168" s="189"/>
    </row>
    <row r="169" customFormat="false" ht="19.5" hidden="false" customHeight="true" outlineLevel="0" collapsed="false">
      <c r="A169" s="189"/>
      <c r="B169" s="213"/>
      <c r="C169" s="214" t="str">
        <f aca="false">DADOS!$AL$4</f>
        <v>📝 CRA</v>
      </c>
      <c r="D169" s="215" t="str">
        <f aca="false">IF(reservafixaconsolidado282933[[#This Row],[TOTAL (R$)]]=0,"",IF(OR(reservafixaconsolidado282933[[#This Row],[TOTAL (R$)]]=LARGE($AJ$168:$AJ$177,1),reservafixaconsolidado282933[[#This Row],[TOTAL (R$)]]=LARGE($AJ$168:$AJ$177,2)),DADOS!$I$11,""))</f>
        <v/>
      </c>
      <c r="E169" s="148" t="n">
        <f aca="false">SUMIFS(tabela_registros[VALOR],tabela_registros[MÊS],$AE$1,tabela_registros[DIA],reservafixaconsolidado282933[[#Headers],[1]],tabela_registros[REGISTRO],DADOS!$N$6,tabela_registros[TIPO],DADOS!$AJ$3,tabela_registros[CATEGORIA],reservafixaconsolidado282933[[#This Row],[ATUAL]])</f>
        <v>0</v>
      </c>
      <c r="F169" s="119" t="n">
        <f aca="false">SUMIFS(tabela_registros[VALOR],tabela_registros[MÊS],$AE$1,tabela_registros[DIA],reservafixaconsolidado282933[[#Headers],[2]],tabela_registros[REGISTRO],DADOS!$N$6,tabela_registros[TIPO],DADOS!$AJ$3,tabela_registros[CATEGORIA],reservafixaconsolidado282933[[#This Row],[ATUAL]])</f>
        <v>0</v>
      </c>
      <c r="G169" s="119" t="n">
        <f aca="false">SUMIFS(tabela_registros[VALOR],tabela_registros[MÊS],$AE$1,tabela_registros[DIA],reservafixaconsolidado282933[[#Headers],[3]],tabela_registros[REGISTRO],DADOS!$N$6,tabela_registros[TIPO],DADOS!$AJ$3,tabela_registros[CATEGORIA],reservafixaconsolidado282933[[#This Row],[ATUAL]])</f>
        <v>0</v>
      </c>
      <c r="H169" s="119" t="n">
        <f aca="false">SUMIFS(tabela_registros[VALOR],tabela_registros[MÊS],$AE$1,tabela_registros[DIA],reservafixaconsolidado282933[[#Headers],[4]],tabela_registros[REGISTRO],DADOS!$N$6,tabela_registros[TIPO],DADOS!$AJ$3,tabela_registros[CATEGORIA],reservafixaconsolidado282933[[#This Row],[ATUAL]])</f>
        <v>0</v>
      </c>
      <c r="I169" s="119" t="n">
        <f aca="false">SUMIFS(tabela_registros[VALOR],tabela_registros[MÊS],$AE$1,tabela_registros[DIA],reservafixaconsolidado282933[[#Headers],[5]],tabela_registros[REGISTRO],DADOS!$N$6,tabela_registros[TIPO],DADOS!$AJ$3,tabela_registros[CATEGORIA],reservafixaconsolidado282933[[#This Row],[ATUAL]])</f>
        <v>0</v>
      </c>
      <c r="J169" s="119" t="n">
        <f aca="false">SUMIFS(tabela_registros[VALOR],tabela_registros[MÊS],$AE$1,tabela_registros[DIA],reservafixaconsolidado282933[[#Headers],[6]],tabela_registros[REGISTRO],DADOS!$N$6,tabela_registros[TIPO],DADOS!$AJ$3,tabela_registros[CATEGORIA],reservafixaconsolidado282933[[#This Row],[ATUAL]])</f>
        <v>0</v>
      </c>
      <c r="K169" s="119" t="n">
        <f aca="false">SUMIFS(tabela_registros[VALOR],tabela_registros[MÊS],$AE$1,tabela_registros[DIA],reservafixaconsolidado282933[[#Headers],[7]],tabela_registros[REGISTRO],DADOS!$N$6,tabela_registros[TIPO],DADOS!$AJ$3,tabela_registros[CATEGORIA],reservafixaconsolidado282933[[#This Row],[ATUAL]])</f>
        <v>0</v>
      </c>
      <c r="L169" s="119" t="n">
        <f aca="false">SUMIFS(tabela_registros[VALOR],tabela_registros[MÊS],$AE$1,tabela_registros[DIA],reservafixaconsolidado282933[[#Headers],[8]],tabela_registros[REGISTRO],DADOS!$N$6,tabela_registros[TIPO],DADOS!$AJ$3,tabela_registros[CATEGORIA],reservafixaconsolidado282933[[#This Row],[ATUAL]])</f>
        <v>0</v>
      </c>
      <c r="M169" s="119" t="n">
        <f aca="false">SUMIFS(tabela_registros[VALOR],tabela_registros[MÊS],$AE$1,tabela_registros[DIA],reservafixaconsolidado282933[[#Headers],[9]],tabela_registros[REGISTRO],DADOS!$N$6,tabela_registros[TIPO],DADOS!$AJ$3,tabela_registros[CATEGORIA],reservafixaconsolidado282933[[#This Row],[ATUAL]])</f>
        <v>0</v>
      </c>
      <c r="N169" s="119" t="n">
        <f aca="false">SUMIFS(tabela_registros[VALOR],tabela_registros[MÊS],$AE$1,tabela_registros[DIA],reservafixaconsolidado282933[[#Headers],[10]],tabela_registros[REGISTRO],DADOS!$N$6,tabela_registros[TIPO],DADOS!$AJ$3,tabela_registros[CATEGORIA],reservafixaconsolidado282933[[#This Row],[ATUAL]])</f>
        <v>0</v>
      </c>
      <c r="O169" s="119" t="n">
        <f aca="false">SUMIFS(tabela_registros[VALOR],tabela_registros[MÊS],$AE$1,tabela_registros[DIA],reservafixaconsolidado282933[[#Headers],[11]],tabela_registros[REGISTRO],DADOS!$N$6,tabela_registros[TIPO],DADOS!$AJ$3,tabela_registros[CATEGORIA],reservafixaconsolidado282933[[#This Row],[ATUAL]])</f>
        <v>0</v>
      </c>
      <c r="P169" s="119" t="n">
        <f aca="false">SUMIFS(tabela_registros[VALOR],tabela_registros[MÊS],$AE$1,tabela_registros[DIA],reservafixaconsolidado282933[[#Headers],[12]],tabela_registros[REGISTRO],DADOS!$N$6,tabela_registros[TIPO],DADOS!$AJ$3,tabela_registros[CATEGORIA],reservafixaconsolidado282933[[#This Row],[ATUAL]])</f>
        <v>0</v>
      </c>
      <c r="Q169" s="119" t="n">
        <f aca="false">SUMIFS(tabela_registros[VALOR],tabela_registros[MÊS],$AE$1,tabela_registros[DIA],reservafixaconsolidado282933[[#Headers],[13]],tabela_registros[REGISTRO],DADOS!$N$6,tabela_registros[TIPO],DADOS!$AJ$3,tabela_registros[CATEGORIA],reservafixaconsolidado282933[[#This Row],[ATUAL]])</f>
        <v>0</v>
      </c>
      <c r="R169" s="119" t="n">
        <f aca="false">SUMIFS(tabela_registros[VALOR],tabela_registros[MÊS],$AE$1,tabela_registros[DIA],reservafixaconsolidado282933[[#Headers],[14]],tabela_registros[REGISTRO],DADOS!$N$6,tabela_registros[TIPO],DADOS!$AJ$3,tabela_registros[CATEGORIA],reservafixaconsolidado282933[[#This Row],[ATUAL]])</f>
        <v>0</v>
      </c>
      <c r="S169" s="119" t="n">
        <f aca="false">SUMIFS(tabela_registros[VALOR],tabela_registros[MÊS],$AE$1,tabela_registros[DIA],reservafixaconsolidado282933[[#Headers],[15]],tabela_registros[REGISTRO],DADOS!$N$6,tabela_registros[TIPO],DADOS!$AJ$3,tabela_registros[CATEGORIA],reservafixaconsolidado282933[[#This Row],[ATUAL]])</f>
        <v>0</v>
      </c>
      <c r="T169" s="119" t="n">
        <f aca="false">SUMIFS(tabela_registros[VALOR],tabela_registros[MÊS],$AE$1,tabela_registros[DIA],reservafixaconsolidado282933[[#Headers],[16]],tabela_registros[REGISTRO],DADOS!$N$6,tabela_registros[TIPO],DADOS!$AJ$3,tabela_registros[CATEGORIA],reservafixaconsolidado282933[[#This Row],[ATUAL]])</f>
        <v>0</v>
      </c>
      <c r="U169" s="119" t="n">
        <f aca="false">SUMIFS(tabela_registros[VALOR],tabela_registros[MÊS],$AE$1,tabela_registros[DIA],reservafixaconsolidado282933[[#Headers],[17]],tabela_registros[REGISTRO],DADOS!$N$6,tabela_registros[TIPO],DADOS!$AJ$3,tabela_registros[CATEGORIA],reservafixaconsolidado282933[[#This Row],[ATUAL]])</f>
        <v>0</v>
      </c>
      <c r="V169" s="119" t="n">
        <f aca="false">SUMIFS(tabela_registros[VALOR],tabela_registros[MÊS],$AE$1,tabela_registros[DIA],reservafixaconsolidado282933[[#Headers],[18]],tabela_registros[REGISTRO],DADOS!$N$6,tabela_registros[TIPO],DADOS!$AJ$3,tabela_registros[CATEGORIA],reservafixaconsolidado282933[[#This Row],[ATUAL]])</f>
        <v>0</v>
      </c>
      <c r="W169" s="119" t="n">
        <f aca="false">SUMIFS(tabela_registros[VALOR],tabela_registros[MÊS],$AE$1,tabela_registros[DIA],reservafixaconsolidado282933[[#Headers],[19]],tabela_registros[REGISTRO],DADOS!$N$6,tabela_registros[TIPO],DADOS!$AJ$3,tabela_registros[CATEGORIA],reservafixaconsolidado282933[[#This Row],[ATUAL]])</f>
        <v>0</v>
      </c>
      <c r="X169" s="119" t="n">
        <f aca="false">SUMIFS(tabela_registros[VALOR],tabela_registros[MÊS],$AE$1,tabela_registros[DIA],reservafixaconsolidado282933[[#Headers],[20]],tabela_registros[REGISTRO],DADOS!$N$6,tabela_registros[TIPO],DADOS!$AJ$3,tabela_registros[CATEGORIA],reservafixaconsolidado282933[[#This Row],[ATUAL]])</f>
        <v>0</v>
      </c>
      <c r="Y169" s="119" t="n">
        <f aca="false">SUMIFS(tabela_registros[VALOR],tabela_registros[MÊS],$AE$1,tabela_registros[DIA],reservafixaconsolidado282933[[#Headers],[21]],tabela_registros[REGISTRO],DADOS!$N$6,tabela_registros[TIPO],DADOS!$AJ$3,tabela_registros[CATEGORIA],reservafixaconsolidado282933[[#This Row],[ATUAL]])</f>
        <v>0</v>
      </c>
      <c r="Z169" s="119" t="n">
        <f aca="false">SUMIFS(tabela_registros[VALOR],tabela_registros[MÊS],$AE$1,tabela_registros[DIA],reservafixaconsolidado282933[[#Headers],[22]],tabela_registros[REGISTRO],DADOS!$N$6,tabela_registros[TIPO],DADOS!$AJ$3,tabela_registros[CATEGORIA],reservafixaconsolidado282933[[#This Row],[ATUAL]])</f>
        <v>0</v>
      </c>
      <c r="AA169" s="119" t="n">
        <f aca="false">SUMIFS(tabela_registros[VALOR],tabela_registros[MÊS],$AE$1,tabela_registros[DIA],reservafixaconsolidado282933[[#Headers],[23]],tabela_registros[REGISTRO],DADOS!$N$6,tabela_registros[TIPO],DADOS!$AJ$3,tabela_registros[CATEGORIA],reservafixaconsolidado282933[[#This Row],[ATUAL]])</f>
        <v>0</v>
      </c>
      <c r="AB169" s="119" t="n">
        <f aca="false">SUMIFS(tabela_registros[VALOR],tabela_registros[MÊS],$AE$1,tabela_registros[DIA],reservafixaconsolidado282933[[#Headers],[24]],tabela_registros[REGISTRO],DADOS!$N$6,tabela_registros[TIPO],DADOS!$AJ$3,tabela_registros[CATEGORIA],reservafixaconsolidado282933[[#This Row],[ATUAL]])</f>
        <v>0</v>
      </c>
      <c r="AC169" s="119" t="n">
        <f aca="false">SUMIFS(tabela_registros[VALOR],tabela_registros[MÊS],$AE$1,tabela_registros[DIA],reservafixaconsolidado282933[[#Headers],[25]],tabela_registros[REGISTRO],DADOS!$N$6,tabela_registros[TIPO],DADOS!$AJ$3,tabela_registros[CATEGORIA],reservafixaconsolidado282933[[#This Row],[ATUAL]])</f>
        <v>0</v>
      </c>
      <c r="AD169" s="119" t="n">
        <f aca="false">SUMIFS(tabela_registros[VALOR],tabela_registros[MÊS],$AE$1,tabela_registros[DIA],reservafixaconsolidado282933[[#Headers],[26]],tabela_registros[REGISTRO],DADOS!$N$6,tabela_registros[TIPO],DADOS!$AJ$3,tabela_registros[CATEGORIA],reservafixaconsolidado282933[[#This Row],[ATUAL]])</f>
        <v>0</v>
      </c>
      <c r="AE169" s="119" t="n">
        <f aca="false">SUMIFS(tabela_registros[VALOR],tabela_registros[MÊS],$AE$1,tabela_registros[DIA],reservafixaconsolidado282933[[#Headers],[27]],tabela_registros[REGISTRO],DADOS!$N$6,tabela_registros[TIPO],DADOS!$AJ$3,tabela_registros[CATEGORIA],reservafixaconsolidado282933[[#This Row],[ATUAL]])</f>
        <v>0</v>
      </c>
      <c r="AF169" s="119" t="n">
        <f aca="false">SUMIFS(tabela_registros[VALOR],tabela_registros[MÊS],$AE$1,tabela_registros[DIA],reservafixaconsolidado282933[[#Headers],[28]],tabela_registros[REGISTRO],DADOS!$N$6,tabela_registros[TIPO],DADOS!$AJ$3,tabela_registros[CATEGORIA],reservafixaconsolidado282933[[#This Row],[ATUAL]])</f>
        <v>0</v>
      </c>
      <c r="AG169" s="119" t="n">
        <f aca="false">SUMIFS(tabela_registros[VALOR],tabela_registros[MÊS],$AE$1,tabela_registros[DIA],reservafixaconsolidado282933[[#Headers],[29]],tabela_registros[REGISTRO],DADOS!$N$6,tabela_registros[TIPO],DADOS!$AJ$3,tabela_registros[CATEGORIA],reservafixaconsolidado282933[[#This Row],[ATUAL]])</f>
        <v>0</v>
      </c>
      <c r="AH169" s="119" t="n">
        <f aca="false">SUMIFS(tabela_registros[VALOR],tabela_registros[MÊS],$AE$1,tabela_registros[DIA],reservafixaconsolidado282933[[#Headers],[30]],tabela_registros[REGISTRO],DADOS!$N$6,tabela_registros[TIPO],DADOS!$AJ$3,tabela_registros[CATEGORIA],reservafixaconsolidado282933[[#This Row],[ATUAL]])</f>
        <v>0</v>
      </c>
      <c r="AI169" s="217" t="n">
        <f aca="false">SUMIFS(tabela_registros[VALOR],tabela_registros[MÊS],$AE$1,tabela_registros[DIA],reservafixaconsolidado282933[[#Headers],[31]],tabela_registros[REGISTRO],DADOS!$N$6,tabela_registros[TIPO],DADOS!$AJ$3,tabela_registros[CATEGORIA],reservafixaconsolidado282933[[#This Row],[ATUAL]])</f>
        <v>0</v>
      </c>
      <c r="AJ169" s="149" t="n">
        <f aca="false">SUM(reservafixaconsolidado282933[[#This Row],[1]:[31]])</f>
        <v>0</v>
      </c>
      <c r="AK169" s="234"/>
      <c r="AL169" s="189"/>
    </row>
    <row r="170" customFormat="false" ht="19.5" hidden="false" customHeight="true" outlineLevel="0" collapsed="false">
      <c r="A170" s="189"/>
      <c r="B170" s="213"/>
      <c r="C170" s="214" t="str">
        <f aca="false">DADOS!$AL$5</f>
        <v>📝 CRI</v>
      </c>
      <c r="D170" s="215" t="str">
        <f aca="false">IF(reservafixaconsolidado282933[[#This Row],[TOTAL (R$)]]=0,"",IF(OR(reservafixaconsolidado282933[[#This Row],[TOTAL (R$)]]=LARGE($AJ$168:$AJ$177,1),reservafixaconsolidado282933[[#This Row],[TOTAL (R$)]]=LARGE($AJ$168:$AJ$177,2)),DADOS!$I$11,""))</f>
        <v/>
      </c>
      <c r="E170" s="148" t="n">
        <f aca="false">SUMIFS(tabela_registros[VALOR],tabela_registros[MÊS],$AE$1,tabela_registros[DIA],reservafixaconsolidado282933[[#Headers],[1]],tabela_registros[REGISTRO],DADOS!$N$6,tabela_registros[TIPO],DADOS!$AJ$3,tabela_registros[CATEGORIA],reservafixaconsolidado282933[[#This Row],[ATUAL]])</f>
        <v>0</v>
      </c>
      <c r="F170" s="119" t="n">
        <f aca="false">SUMIFS(tabela_registros[VALOR],tabela_registros[MÊS],$AE$1,tabela_registros[DIA],reservafixaconsolidado282933[[#Headers],[2]],tabela_registros[REGISTRO],DADOS!$N$6,tabela_registros[TIPO],DADOS!$AJ$3,tabela_registros[CATEGORIA],reservafixaconsolidado282933[[#This Row],[ATUAL]])</f>
        <v>0</v>
      </c>
      <c r="G170" s="119" t="n">
        <f aca="false">SUMIFS(tabela_registros[VALOR],tabela_registros[MÊS],$AE$1,tabela_registros[DIA],reservafixaconsolidado282933[[#Headers],[3]],tabela_registros[REGISTRO],DADOS!$N$6,tabela_registros[TIPO],DADOS!$AJ$3,tabela_registros[CATEGORIA],reservafixaconsolidado282933[[#This Row],[ATUAL]])</f>
        <v>0</v>
      </c>
      <c r="H170" s="119" t="n">
        <f aca="false">SUMIFS(tabela_registros[VALOR],tabela_registros[MÊS],$AE$1,tabela_registros[DIA],reservafixaconsolidado282933[[#Headers],[4]],tabela_registros[REGISTRO],DADOS!$N$6,tabela_registros[TIPO],DADOS!$AJ$3,tabela_registros[CATEGORIA],reservafixaconsolidado282933[[#This Row],[ATUAL]])</f>
        <v>0</v>
      </c>
      <c r="I170" s="119" t="n">
        <f aca="false">SUMIFS(tabela_registros[VALOR],tabela_registros[MÊS],$AE$1,tabela_registros[DIA],reservafixaconsolidado282933[[#Headers],[5]],tabela_registros[REGISTRO],DADOS!$N$6,tabela_registros[TIPO],DADOS!$AJ$3,tabela_registros[CATEGORIA],reservafixaconsolidado282933[[#This Row],[ATUAL]])</f>
        <v>0</v>
      </c>
      <c r="J170" s="119" t="n">
        <f aca="false">SUMIFS(tabela_registros[VALOR],tabela_registros[MÊS],$AE$1,tabela_registros[DIA],reservafixaconsolidado282933[[#Headers],[6]],tabela_registros[REGISTRO],DADOS!$N$6,tabela_registros[TIPO],DADOS!$AJ$3,tabela_registros[CATEGORIA],reservafixaconsolidado282933[[#This Row],[ATUAL]])</f>
        <v>0</v>
      </c>
      <c r="K170" s="119" t="n">
        <f aca="false">SUMIFS(tabela_registros[VALOR],tabela_registros[MÊS],$AE$1,tabela_registros[DIA],reservafixaconsolidado282933[[#Headers],[7]],tabela_registros[REGISTRO],DADOS!$N$6,tabela_registros[TIPO],DADOS!$AJ$3,tabela_registros[CATEGORIA],reservafixaconsolidado282933[[#This Row],[ATUAL]])</f>
        <v>0</v>
      </c>
      <c r="L170" s="119" t="n">
        <f aca="false">SUMIFS(tabela_registros[VALOR],tabela_registros[MÊS],$AE$1,tabela_registros[DIA],reservafixaconsolidado282933[[#Headers],[8]],tabela_registros[REGISTRO],DADOS!$N$6,tabela_registros[TIPO],DADOS!$AJ$3,tabela_registros[CATEGORIA],reservafixaconsolidado282933[[#This Row],[ATUAL]])</f>
        <v>0</v>
      </c>
      <c r="M170" s="119" t="n">
        <f aca="false">SUMIFS(tabela_registros[VALOR],tabela_registros[MÊS],$AE$1,tabela_registros[DIA],reservafixaconsolidado282933[[#Headers],[9]],tabela_registros[REGISTRO],DADOS!$N$6,tabela_registros[TIPO],DADOS!$AJ$3,tabela_registros[CATEGORIA],reservafixaconsolidado282933[[#This Row],[ATUAL]])</f>
        <v>0</v>
      </c>
      <c r="N170" s="119" t="n">
        <f aca="false">SUMIFS(tabela_registros[VALOR],tabela_registros[MÊS],$AE$1,tabela_registros[DIA],reservafixaconsolidado282933[[#Headers],[10]],tabela_registros[REGISTRO],DADOS!$N$6,tabela_registros[TIPO],DADOS!$AJ$3,tabela_registros[CATEGORIA],reservafixaconsolidado282933[[#This Row],[ATUAL]])</f>
        <v>0</v>
      </c>
      <c r="O170" s="119" t="n">
        <f aca="false">SUMIFS(tabela_registros[VALOR],tabela_registros[MÊS],$AE$1,tabela_registros[DIA],reservafixaconsolidado282933[[#Headers],[11]],tabela_registros[REGISTRO],DADOS!$N$6,tabela_registros[TIPO],DADOS!$AJ$3,tabela_registros[CATEGORIA],reservafixaconsolidado282933[[#This Row],[ATUAL]])</f>
        <v>0</v>
      </c>
      <c r="P170" s="119" t="n">
        <f aca="false">SUMIFS(tabela_registros[VALOR],tabela_registros[MÊS],$AE$1,tabela_registros[DIA],reservafixaconsolidado282933[[#Headers],[12]],tabela_registros[REGISTRO],DADOS!$N$6,tabela_registros[TIPO],DADOS!$AJ$3,tabela_registros[CATEGORIA],reservafixaconsolidado282933[[#This Row],[ATUAL]])</f>
        <v>0</v>
      </c>
      <c r="Q170" s="119" t="n">
        <f aca="false">SUMIFS(tabela_registros[VALOR],tabela_registros[MÊS],$AE$1,tabela_registros[DIA],reservafixaconsolidado282933[[#Headers],[13]],tabela_registros[REGISTRO],DADOS!$N$6,tabela_registros[TIPO],DADOS!$AJ$3,tabela_registros[CATEGORIA],reservafixaconsolidado282933[[#This Row],[ATUAL]])</f>
        <v>0</v>
      </c>
      <c r="R170" s="119" t="n">
        <f aca="false">SUMIFS(tabela_registros[VALOR],tabela_registros[MÊS],$AE$1,tabela_registros[DIA],reservafixaconsolidado282933[[#Headers],[14]],tabela_registros[REGISTRO],DADOS!$N$6,tabela_registros[TIPO],DADOS!$AJ$3,tabela_registros[CATEGORIA],reservafixaconsolidado282933[[#This Row],[ATUAL]])</f>
        <v>0</v>
      </c>
      <c r="S170" s="119" t="n">
        <f aca="false">SUMIFS(tabela_registros[VALOR],tabela_registros[MÊS],$AE$1,tabela_registros[DIA],reservafixaconsolidado282933[[#Headers],[15]],tabela_registros[REGISTRO],DADOS!$N$6,tabela_registros[TIPO],DADOS!$AJ$3,tabela_registros[CATEGORIA],reservafixaconsolidado282933[[#This Row],[ATUAL]])</f>
        <v>0</v>
      </c>
      <c r="T170" s="119" t="n">
        <f aca="false">SUMIFS(tabela_registros[VALOR],tabela_registros[MÊS],$AE$1,tabela_registros[DIA],reservafixaconsolidado282933[[#Headers],[16]],tabela_registros[REGISTRO],DADOS!$N$6,tabela_registros[TIPO],DADOS!$AJ$3,tabela_registros[CATEGORIA],reservafixaconsolidado282933[[#This Row],[ATUAL]])</f>
        <v>0</v>
      </c>
      <c r="U170" s="119" t="n">
        <f aca="false">SUMIFS(tabela_registros[VALOR],tabela_registros[MÊS],$AE$1,tabela_registros[DIA],reservafixaconsolidado282933[[#Headers],[17]],tabela_registros[REGISTRO],DADOS!$N$6,tabela_registros[TIPO],DADOS!$AJ$3,tabela_registros[CATEGORIA],reservafixaconsolidado282933[[#This Row],[ATUAL]])</f>
        <v>0</v>
      </c>
      <c r="V170" s="119" t="n">
        <f aca="false">SUMIFS(tabela_registros[VALOR],tabela_registros[MÊS],$AE$1,tabela_registros[DIA],reservafixaconsolidado282933[[#Headers],[18]],tabela_registros[REGISTRO],DADOS!$N$6,tabela_registros[TIPO],DADOS!$AJ$3,tabela_registros[CATEGORIA],reservafixaconsolidado282933[[#This Row],[ATUAL]])</f>
        <v>0</v>
      </c>
      <c r="W170" s="119" t="n">
        <f aca="false">SUMIFS(tabela_registros[VALOR],tabela_registros[MÊS],$AE$1,tabela_registros[DIA],reservafixaconsolidado282933[[#Headers],[19]],tabela_registros[REGISTRO],DADOS!$N$6,tabela_registros[TIPO],DADOS!$AJ$3,tabela_registros[CATEGORIA],reservafixaconsolidado282933[[#This Row],[ATUAL]])</f>
        <v>0</v>
      </c>
      <c r="X170" s="119" t="n">
        <f aca="false">SUMIFS(tabela_registros[VALOR],tabela_registros[MÊS],$AE$1,tabela_registros[DIA],reservafixaconsolidado282933[[#Headers],[20]],tabela_registros[REGISTRO],DADOS!$N$6,tabela_registros[TIPO],DADOS!$AJ$3,tabela_registros[CATEGORIA],reservafixaconsolidado282933[[#This Row],[ATUAL]])</f>
        <v>0</v>
      </c>
      <c r="Y170" s="119" t="n">
        <f aca="false">SUMIFS(tabela_registros[VALOR],tabela_registros[MÊS],$AE$1,tabela_registros[DIA],reservafixaconsolidado282933[[#Headers],[21]],tabela_registros[REGISTRO],DADOS!$N$6,tabela_registros[TIPO],DADOS!$AJ$3,tabela_registros[CATEGORIA],reservafixaconsolidado282933[[#This Row],[ATUAL]])</f>
        <v>0</v>
      </c>
      <c r="Z170" s="119" t="n">
        <f aca="false">SUMIFS(tabela_registros[VALOR],tabela_registros[MÊS],$AE$1,tabela_registros[DIA],reservafixaconsolidado282933[[#Headers],[22]],tabela_registros[REGISTRO],DADOS!$N$6,tabela_registros[TIPO],DADOS!$AJ$3,tabela_registros[CATEGORIA],reservafixaconsolidado282933[[#This Row],[ATUAL]])</f>
        <v>0</v>
      </c>
      <c r="AA170" s="119" t="n">
        <f aca="false">SUMIFS(tabela_registros[VALOR],tabela_registros[MÊS],$AE$1,tabela_registros[DIA],reservafixaconsolidado282933[[#Headers],[23]],tabela_registros[REGISTRO],DADOS!$N$6,tabela_registros[TIPO],DADOS!$AJ$3,tabela_registros[CATEGORIA],reservafixaconsolidado282933[[#This Row],[ATUAL]])</f>
        <v>0</v>
      </c>
      <c r="AB170" s="119" t="n">
        <f aca="false">SUMIFS(tabela_registros[VALOR],tabela_registros[MÊS],$AE$1,tabela_registros[DIA],reservafixaconsolidado282933[[#Headers],[24]],tabela_registros[REGISTRO],DADOS!$N$6,tabela_registros[TIPO],DADOS!$AJ$3,tabela_registros[CATEGORIA],reservafixaconsolidado282933[[#This Row],[ATUAL]])</f>
        <v>0</v>
      </c>
      <c r="AC170" s="119" t="n">
        <f aca="false">SUMIFS(tabela_registros[VALOR],tabela_registros[MÊS],$AE$1,tabela_registros[DIA],reservafixaconsolidado282933[[#Headers],[25]],tabela_registros[REGISTRO],DADOS!$N$6,tabela_registros[TIPO],DADOS!$AJ$3,tabela_registros[CATEGORIA],reservafixaconsolidado282933[[#This Row],[ATUAL]])</f>
        <v>0</v>
      </c>
      <c r="AD170" s="119" t="n">
        <f aca="false">SUMIFS(tabela_registros[VALOR],tabela_registros[MÊS],$AE$1,tabela_registros[DIA],reservafixaconsolidado282933[[#Headers],[26]],tabela_registros[REGISTRO],DADOS!$N$6,tabela_registros[TIPO],DADOS!$AJ$3,tabela_registros[CATEGORIA],reservafixaconsolidado282933[[#This Row],[ATUAL]])</f>
        <v>0</v>
      </c>
      <c r="AE170" s="119" t="n">
        <f aca="false">SUMIFS(tabela_registros[VALOR],tabela_registros[MÊS],$AE$1,tabela_registros[DIA],reservafixaconsolidado282933[[#Headers],[27]],tabela_registros[REGISTRO],DADOS!$N$6,tabela_registros[TIPO],DADOS!$AJ$3,tabela_registros[CATEGORIA],reservafixaconsolidado282933[[#This Row],[ATUAL]])</f>
        <v>0</v>
      </c>
      <c r="AF170" s="119" t="n">
        <f aca="false">SUMIFS(tabela_registros[VALOR],tabela_registros[MÊS],$AE$1,tabela_registros[DIA],reservafixaconsolidado282933[[#Headers],[28]],tabela_registros[REGISTRO],DADOS!$N$6,tabela_registros[TIPO],DADOS!$AJ$3,tabela_registros[CATEGORIA],reservafixaconsolidado282933[[#This Row],[ATUAL]])</f>
        <v>0</v>
      </c>
      <c r="AG170" s="119" t="n">
        <f aca="false">SUMIFS(tabela_registros[VALOR],tabela_registros[MÊS],$AE$1,tabela_registros[DIA],reservafixaconsolidado282933[[#Headers],[29]],tabela_registros[REGISTRO],DADOS!$N$6,tabela_registros[TIPO],DADOS!$AJ$3,tabela_registros[CATEGORIA],reservafixaconsolidado282933[[#This Row],[ATUAL]])</f>
        <v>0</v>
      </c>
      <c r="AH170" s="119" t="n">
        <f aca="false">SUMIFS(tabela_registros[VALOR],tabela_registros[MÊS],$AE$1,tabela_registros[DIA],reservafixaconsolidado282933[[#Headers],[30]],tabela_registros[REGISTRO],DADOS!$N$6,tabela_registros[TIPO],DADOS!$AJ$3,tabela_registros[CATEGORIA],reservafixaconsolidado282933[[#This Row],[ATUAL]])</f>
        <v>0</v>
      </c>
      <c r="AI170" s="217" t="n">
        <f aca="false">SUMIFS(tabela_registros[VALOR],tabela_registros[MÊS],$AE$1,tabela_registros[DIA],reservafixaconsolidado282933[[#Headers],[31]],tabela_registros[REGISTRO],DADOS!$N$6,tabela_registros[TIPO],DADOS!$AJ$3,tabela_registros[CATEGORIA],reservafixaconsolidado282933[[#This Row],[ATUAL]])</f>
        <v>0</v>
      </c>
      <c r="AJ170" s="149" t="n">
        <f aca="false">SUM(reservafixaconsolidado282933[[#This Row],[1]:[31]])</f>
        <v>0</v>
      </c>
      <c r="AK170" s="234"/>
      <c r="AL170" s="189"/>
    </row>
    <row r="171" customFormat="false" ht="19.5" hidden="false" customHeight="true" outlineLevel="0" collapsed="false">
      <c r="A171" s="189"/>
      <c r="B171" s="213"/>
      <c r="C171" s="214" t="str">
        <f aca="false">DADOS!$AL$6</f>
        <v>📝 DEBÊNTURE</v>
      </c>
      <c r="D171" s="215" t="str">
        <f aca="false">IF(reservafixaconsolidado282933[[#This Row],[TOTAL (R$)]]=0,"",IF(OR(reservafixaconsolidado282933[[#This Row],[TOTAL (R$)]]=LARGE($AJ$168:$AJ$177,1),reservafixaconsolidado282933[[#This Row],[TOTAL (R$)]]=LARGE($AJ$168:$AJ$177,2)),DADOS!$I$11,""))</f>
        <v/>
      </c>
      <c r="E171" s="148" t="n">
        <f aca="false">SUMIFS(tabela_registros[VALOR],tabela_registros[MÊS],$AE$1,tabela_registros[DIA],reservafixaconsolidado282933[[#Headers],[1]],tabela_registros[REGISTRO],DADOS!$N$6,tabela_registros[TIPO],DADOS!$AJ$3,tabela_registros[CATEGORIA],reservafixaconsolidado282933[[#This Row],[ATUAL]])</f>
        <v>0</v>
      </c>
      <c r="F171" s="119" t="n">
        <f aca="false">SUMIFS(tabela_registros[VALOR],tabela_registros[MÊS],$AE$1,tabela_registros[DIA],reservafixaconsolidado282933[[#Headers],[2]],tabela_registros[REGISTRO],DADOS!$N$6,tabela_registros[TIPO],DADOS!$AJ$3,tabela_registros[CATEGORIA],reservafixaconsolidado282933[[#This Row],[ATUAL]])</f>
        <v>0</v>
      </c>
      <c r="G171" s="119" t="n">
        <f aca="false">SUMIFS(tabela_registros[VALOR],tabela_registros[MÊS],$AE$1,tabela_registros[DIA],reservafixaconsolidado282933[[#Headers],[3]],tabela_registros[REGISTRO],DADOS!$N$6,tabela_registros[TIPO],DADOS!$AJ$3,tabela_registros[CATEGORIA],reservafixaconsolidado282933[[#This Row],[ATUAL]])</f>
        <v>0</v>
      </c>
      <c r="H171" s="119" t="n">
        <f aca="false">SUMIFS(tabela_registros[VALOR],tabela_registros[MÊS],$AE$1,tabela_registros[DIA],reservafixaconsolidado282933[[#Headers],[4]],tabela_registros[REGISTRO],DADOS!$N$6,tabela_registros[TIPO],DADOS!$AJ$3,tabela_registros[CATEGORIA],reservafixaconsolidado282933[[#This Row],[ATUAL]])</f>
        <v>0</v>
      </c>
      <c r="I171" s="119" t="n">
        <f aca="false">SUMIFS(tabela_registros[VALOR],tabela_registros[MÊS],$AE$1,tabela_registros[DIA],reservafixaconsolidado282933[[#Headers],[5]],tabela_registros[REGISTRO],DADOS!$N$6,tabela_registros[TIPO],DADOS!$AJ$3,tabela_registros[CATEGORIA],reservafixaconsolidado282933[[#This Row],[ATUAL]])</f>
        <v>0</v>
      </c>
      <c r="J171" s="119" t="n">
        <f aca="false">SUMIFS(tabela_registros[VALOR],tabela_registros[MÊS],$AE$1,tabela_registros[DIA],reservafixaconsolidado282933[[#Headers],[6]],tabela_registros[REGISTRO],DADOS!$N$6,tabela_registros[TIPO],DADOS!$AJ$3,tabela_registros[CATEGORIA],reservafixaconsolidado282933[[#This Row],[ATUAL]])</f>
        <v>0</v>
      </c>
      <c r="K171" s="119" t="n">
        <f aca="false">SUMIFS(tabela_registros[VALOR],tabela_registros[MÊS],$AE$1,tabela_registros[DIA],reservafixaconsolidado282933[[#Headers],[7]],tabela_registros[REGISTRO],DADOS!$N$6,tabela_registros[TIPO],DADOS!$AJ$3,tabela_registros[CATEGORIA],reservafixaconsolidado282933[[#This Row],[ATUAL]])</f>
        <v>0</v>
      </c>
      <c r="L171" s="119" t="n">
        <f aca="false">SUMIFS(tabela_registros[VALOR],tabela_registros[MÊS],$AE$1,tabela_registros[DIA],reservafixaconsolidado282933[[#Headers],[8]],tabela_registros[REGISTRO],DADOS!$N$6,tabela_registros[TIPO],DADOS!$AJ$3,tabela_registros[CATEGORIA],reservafixaconsolidado282933[[#This Row],[ATUAL]])</f>
        <v>0</v>
      </c>
      <c r="M171" s="119" t="n">
        <f aca="false">SUMIFS(tabela_registros[VALOR],tabela_registros[MÊS],$AE$1,tabela_registros[DIA],reservafixaconsolidado282933[[#Headers],[9]],tabela_registros[REGISTRO],DADOS!$N$6,tabela_registros[TIPO],DADOS!$AJ$3,tabela_registros[CATEGORIA],reservafixaconsolidado282933[[#This Row],[ATUAL]])</f>
        <v>0</v>
      </c>
      <c r="N171" s="119" t="n">
        <f aca="false">SUMIFS(tabela_registros[VALOR],tabela_registros[MÊS],$AE$1,tabela_registros[DIA],reservafixaconsolidado282933[[#Headers],[10]],tabela_registros[REGISTRO],DADOS!$N$6,tabela_registros[TIPO],DADOS!$AJ$3,tabela_registros[CATEGORIA],reservafixaconsolidado282933[[#This Row],[ATUAL]])</f>
        <v>0</v>
      </c>
      <c r="O171" s="119" t="n">
        <f aca="false">SUMIFS(tabela_registros[VALOR],tabela_registros[MÊS],$AE$1,tabela_registros[DIA],reservafixaconsolidado282933[[#Headers],[11]],tabela_registros[REGISTRO],DADOS!$N$6,tabela_registros[TIPO],DADOS!$AJ$3,tabela_registros[CATEGORIA],reservafixaconsolidado282933[[#This Row],[ATUAL]])</f>
        <v>0</v>
      </c>
      <c r="P171" s="119" t="n">
        <f aca="false">SUMIFS(tabela_registros[VALOR],tabela_registros[MÊS],$AE$1,tabela_registros[DIA],reservafixaconsolidado282933[[#Headers],[12]],tabela_registros[REGISTRO],DADOS!$N$6,tabela_registros[TIPO],DADOS!$AJ$3,tabela_registros[CATEGORIA],reservafixaconsolidado282933[[#This Row],[ATUAL]])</f>
        <v>0</v>
      </c>
      <c r="Q171" s="119" t="n">
        <f aca="false">SUMIFS(tabela_registros[VALOR],tabela_registros[MÊS],$AE$1,tabela_registros[DIA],reservafixaconsolidado282933[[#Headers],[13]],tabela_registros[REGISTRO],DADOS!$N$6,tabela_registros[TIPO],DADOS!$AJ$3,tabela_registros[CATEGORIA],reservafixaconsolidado282933[[#This Row],[ATUAL]])</f>
        <v>0</v>
      </c>
      <c r="R171" s="119" t="n">
        <f aca="false">SUMIFS(tabela_registros[VALOR],tabela_registros[MÊS],$AE$1,tabela_registros[DIA],reservafixaconsolidado282933[[#Headers],[14]],tabela_registros[REGISTRO],DADOS!$N$6,tabela_registros[TIPO],DADOS!$AJ$3,tabela_registros[CATEGORIA],reservafixaconsolidado282933[[#This Row],[ATUAL]])</f>
        <v>0</v>
      </c>
      <c r="S171" s="119" t="n">
        <f aca="false">SUMIFS(tabela_registros[VALOR],tabela_registros[MÊS],$AE$1,tabela_registros[DIA],reservafixaconsolidado282933[[#Headers],[15]],tabela_registros[REGISTRO],DADOS!$N$6,tabela_registros[TIPO],DADOS!$AJ$3,tabela_registros[CATEGORIA],reservafixaconsolidado282933[[#This Row],[ATUAL]])</f>
        <v>0</v>
      </c>
      <c r="T171" s="119" t="n">
        <f aca="false">SUMIFS(tabela_registros[VALOR],tabela_registros[MÊS],$AE$1,tabela_registros[DIA],reservafixaconsolidado282933[[#Headers],[16]],tabela_registros[REGISTRO],DADOS!$N$6,tabela_registros[TIPO],DADOS!$AJ$3,tabela_registros[CATEGORIA],reservafixaconsolidado282933[[#This Row],[ATUAL]])</f>
        <v>0</v>
      </c>
      <c r="U171" s="119" t="n">
        <f aca="false">SUMIFS(tabela_registros[VALOR],tabela_registros[MÊS],$AE$1,tabela_registros[DIA],reservafixaconsolidado282933[[#Headers],[17]],tabela_registros[REGISTRO],DADOS!$N$6,tabela_registros[TIPO],DADOS!$AJ$3,tabela_registros[CATEGORIA],reservafixaconsolidado282933[[#This Row],[ATUAL]])</f>
        <v>0</v>
      </c>
      <c r="V171" s="119" t="n">
        <f aca="false">SUMIFS(tabela_registros[VALOR],tabela_registros[MÊS],$AE$1,tabela_registros[DIA],reservafixaconsolidado282933[[#Headers],[18]],tabela_registros[REGISTRO],DADOS!$N$6,tabela_registros[TIPO],DADOS!$AJ$3,tabela_registros[CATEGORIA],reservafixaconsolidado282933[[#This Row],[ATUAL]])</f>
        <v>0</v>
      </c>
      <c r="W171" s="119" t="n">
        <f aca="false">SUMIFS(tabela_registros[VALOR],tabela_registros[MÊS],$AE$1,tabela_registros[DIA],reservafixaconsolidado282933[[#Headers],[19]],tabela_registros[REGISTRO],DADOS!$N$6,tabela_registros[TIPO],DADOS!$AJ$3,tabela_registros[CATEGORIA],reservafixaconsolidado282933[[#This Row],[ATUAL]])</f>
        <v>0</v>
      </c>
      <c r="X171" s="119" t="n">
        <f aca="false">SUMIFS(tabela_registros[VALOR],tabela_registros[MÊS],$AE$1,tabela_registros[DIA],reservafixaconsolidado282933[[#Headers],[20]],tabela_registros[REGISTRO],DADOS!$N$6,tabela_registros[TIPO],DADOS!$AJ$3,tabela_registros[CATEGORIA],reservafixaconsolidado282933[[#This Row],[ATUAL]])</f>
        <v>0</v>
      </c>
      <c r="Y171" s="119" t="n">
        <f aca="false">SUMIFS(tabela_registros[VALOR],tabela_registros[MÊS],$AE$1,tabela_registros[DIA],reservafixaconsolidado282933[[#Headers],[21]],tabela_registros[REGISTRO],DADOS!$N$6,tabela_registros[TIPO],DADOS!$AJ$3,tabela_registros[CATEGORIA],reservafixaconsolidado282933[[#This Row],[ATUAL]])</f>
        <v>0</v>
      </c>
      <c r="Z171" s="119" t="n">
        <f aca="false">SUMIFS(tabela_registros[VALOR],tabela_registros[MÊS],$AE$1,tabela_registros[DIA],reservafixaconsolidado282933[[#Headers],[22]],tabela_registros[REGISTRO],DADOS!$N$6,tabela_registros[TIPO],DADOS!$AJ$3,tabela_registros[CATEGORIA],reservafixaconsolidado282933[[#This Row],[ATUAL]])</f>
        <v>0</v>
      </c>
      <c r="AA171" s="119" t="n">
        <f aca="false">SUMIFS(tabela_registros[VALOR],tabela_registros[MÊS],$AE$1,tabela_registros[DIA],reservafixaconsolidado282933[[#Headers],[23]],tabela_registros[REGISTRO],DADOS!$N$6,tabela_registros[TIPO],DADOS!$AJ$3,tabela_registros[CATEGORIA],reservafixaconsolidado282933[[#This Row],[ATUAL]])</f>
        <v>0</v>
      </c>
      <c r="AB171" s="119" t="n">
        <f aca="false">SUMIFS(tabela_registros[VALOR],tabela_registros[MÊS],$AE$1,tabela_registros[DIA],reservafixaconsolidado282933[[#Headers],[24]],tabela_registros[REGISTRO],DADOS!$N$6,tabela_registros[TIPO],DADOS!$AJ$3,tabela_registros[CATEGORIA],reservafixaconsolidado282933[[#This Row],[ATUAL]])</f>
        <v>0</v>
      </c>
      <c r="AC171" s="119" t="n">
        <f aca="false">SUMIFS(tabela_registros[VALOR],tabela_registros[MÊS],$AE$1,tabela_registros[DIA],reservafixaconsolidado282933[[#Headers],[25]],tabela_registros[REGISTRO],DADOS!$N$6,tabela_registros[TIPO],DADOS!$AJ$3,tabela_registros[CATEGORIA],reservafixaconsolidado282933[[#This Row],[ATUAL]])</f>
        <v>0</v>
      </c>
      <c r="AD171" s="119" t="n">
        <f aca="false">SUMIFS(tabela_registros[VALOR],tabela_registros[MÊS],$AE$1,tabela_registros[DIA],reservafixaconsolidado282933[[#Headers],[26]],tabela_registros[REGISTRO],DADOS!$N$6,tabela_registros[TIPO],DADOS!$AJ$3,tabela_registros[CATEGORIA],reservafixaconsolidado282933[[#This Row],[ATUAL]])</f>
        <v>0</v>
      </c>
      <c r="AE171" s="119" t="n">
        <f aca="false">SUMIFS(tabela_registros[VALOR],tabela_registros[MÊS],$AE$1,tabela_registros[DIA],reservafixaconsolidado282933[[#Headers],[27]],tabela_registros[REGISTRO],DADOS!$N$6,tabela_registros[TIPO],DADOS!$AJ$3,tabela_registros[CATEGORIA],reservafixaconsolidado282933[[#This Row],[ATUAL]])</f>
        <v>0</v>
      </c>
      <c r="AF171" s="119" t="n">
        <f aca="false">SUMIFS(tabela_registros[VALOR],tabela_registros[MÊS],$AE$1,tabela_registros[DIA],reservafixaconsolidado282933[[#Headers],[28]],tabela_registros[REGISTRO],DADOS!$N$6,tabela_registros[TIPO],DADOS!$AJ$3,tabela_registros[CATEGORIA],reservafixaconsolidado282933[[#This Row],[ATUAL]])</f>
        <v>0</v>
      </c>
      <c r="AG171" s="119" t="n">
        <f aca="false">SUMIFS(tabela_registros[VALOR],tabela_registros[MÊS],$AE$1,tabela_registros[DIA],reservafixaconsolidado282933[[#Headers],[29]],tabela_registros[REGISTRO],DADOS!$N$6,tabela_registros[TIPO],DADOS!$AJ$3,tabela_registros[CATEGORIA],reservafixaconsolidado282933[[#This Row],[ATUAL]])</f>
        <v>0</v>
      </c>
      <c r="AH171" s="119" t="n">
        <f aca="false">SUMIFS(tabela_registros[VALOR],tabela_registros[MÊS],$AE$1,tabela_registros[DIA],reservafixaconsolidado282933[[#Headers],[30]],tabela_registros[REGISTRO],DADOS!$N$6,tabela_registros[TIPO],DADOS!$AJ$3,tabela_registros[CATEGORIA],reservafixaconsolidado282933[[#This Row],[ATUAL]])</f>
        <v>0</v>
      </c>
      <c r="AI171" s="217" t="n">
        <f aca="false">SUMIFS(tabela_registros[VALOR],tabela_registros[MÊS],$AE$1,tabela_registros[DIA],reservafixaconsolidado282933[[#Headers],[31]],tabela_registros[REGISTRO],DADOS!$N$6,tabela_registros[TIPO],DADOS!$AJ$3,tabela_registros[CATEGORIA],reservafixaconsolidado282933[[#This Row],[ATUAL]])</f>
        <v>0</v>
      </c>
      <c r="AJ171" s="149" t="n">
        <f aca="false">SUM(reservafixaconsolidado282933[[#This Row],[1]:[31]])</f>
        <v>0</v>
      </c>
      <c r="AK171" s="234"/>
      <c r="AL171" s="189"/>
    </row>
    <row r="172" customFormat="false" ht="19.5" hidden="false" customHeight="true" outlineLevel="0" collapsed="false">
      <c r="A172" s="189"/>
      <c r="B172" s="213"/>
      <c r="C172" s="214" t="str">
        <f aca="false">DADOS!$AL$7</f>
        <v>📝 EXTERIOR</v>
      </c>
      <c r="D172" s="215" t="str">
        <f aca="false">IF(reservafixaconsolidado282933[[#This Row],[TOTAL (R$)]]=0,"",IF(OR(reservafixaconsolidado282933[[#This Row],[TOTAL (R$)]]=LARGE($AJ$168:$AJ$177,1),reservafixaconsolidado282933[[#This Row],[TOTAL (R$)]]=LARGE($AJ$168:$AJ$177,2)),DADOS!$I$11,""))</f>
        <v/>
      </c>
      <c r="E172" s="148" t="n">
        <f aca="false">SUMIFS(tabela_registros[VALOR],tabela_registros[MÊS],$AE$1,tabela_registros[DIA],reservafixaconsolidado282933[[#Headers],[1]],tabela_registros[REGISTRO],DADOS!$N$6,tabela_registros[TIPO],DADOS!$AJ$3,tabela_registros[CATEGORIA],reservafixaconsolidado282933[[#This Row],[ATUAL]])</f>
        <v>0</v>
      </c>
      <c r="F172" s="119" t="n">
        <f aca="false">SUMIFS(tabela_registros[VALOR],tabela_registros[MÊS],$AE$1,tabela_registros[DIA],reservafixaconsolidado282933[[#Headers],[2]],tabela_registros[REGISTRO],DADOS!$N$6,tabela_registros[TIPO],DADOS!$AJ$3,tabela_registros[CATEGORIA],reservafixaconsolidado282933[[#This Row],[ATUAL]])</f>
        <v>0</v>
      </c>
      <c r="G172" s="119" t="n">
        <f aca="false">SUMIFS(tabela_registros[VALOR],tabela_registros[MÊS],$AE$1,tabela_registros[DIA],reservafixaconsolidado282933[[#Headers],[3]],tabela_registros[REGISTRO],DADOS!$N$6,tabela_registros[TIPO],DADOS!$AJ$3,tabela_registros[CATEGORIA],reservafixaconsolidado282933[[#This Row],[ATUAL]])</f>
        <v>0</v>
      </c>
      <c r="H172" s="119" t="n">
        <f aca="false">SUMIFS(tabela_registros[VALOR],tabela_registros[MÊS],$AE$1,tabela_registros[DIA],reservafixaconsolidado282933[[#Headers],[4]],tabela_registros[REGISTRO],DADOS!$N$6,tabela_registros[TIPO],DADOS!$AJ$3,tabela_registros[CATEGORIA],reservafixaconsolidado282933[[#This Row],[ATUAL]])</f>
        <v>0</v>
      </c>
      <c r="I172" s="119" t="n">
        <f aca="false">SUMIFS(tabela_registros[VALOR],tabela_registros[MÊS],$AE$1,tabela_registros[DIA],reservafixaconsolidado282933[[#Headers],[5]],tabela_registros[REGISTRO],DADOS!$N$6,tabela_registros[TIPO],DADOS!$AJ$3,tabela_registros[CATEGORIA],reservafixaconsolidado282933[[#This Row],[ATUAL]])</f>
        <v>0</v>
      </c>
      <c r="J172" s="119" t="n">
        <f aca="false">SUMIFS(tabela_registros[VALOR],tabela_registros[MÊS],$AE$1,tabela_registros[DIA],reservafixaconsolidado282933[[#Headers],[6]],tabela_registros[REGISTRO],DADOS!$N$6,tabela_registros[TIPO],DADOS!$AJ$3,tabela_registros[CATEGORIA],reservafixaconsolidado282933[[#This Row],[ATUAL]])</f>
        <v>0</v>
      </c>
      <c r="K172" s="119" t="n">
        <f aca="false">SUMIFS(tabela_registros[VALOR],tabela_registros[MÊS],$AE$1,tabela_registros[DIA],reservafixaconsolidado282933[[#Headers],[7]],tabela_registros[REGISTRO],DADOS!$N$6,tabela_registros[TIPO],DADOS!$AJ$3,tabela_registros[CATEGORIA],reservafixaconsolidado282933[[#This Row],[ATUAL]])</f>
        <v>0</v>
      </c>
      <c r="L172" s="119" t="n">
        <f aca="false">SUMIFS(tabela_registros[VALOR],tabela_registros[MÊS],$AE$1,tabela_registros[DIA],reservafixaconsolidado282933[[#Headers],[8]],tabela_registros[REGISTRO],DADOS!$N$6,tabela_registros[TIPO],DADOS!$AJ$3,tabela_registros[CATEGORIA],reservafixaconsolidado282933[[#This Row],[ATUAL]])</f>
        <v>0</v>
      </c>
      <c r="M172" s="119" t="n">
        <f aca="false">SUMIFS(tabela_registros[VALOR],tabela_registros[MÊS],$AE$1,tabela_registros[DIA],reservafixaconsolidado282933[[#Headers],[9]],tabela_registros[REGISTRO],DADOS!$N$6,tabela_registros[TIPO],DADOS!$AJ$3,tabela_registros[CATEGORIA],reservafixaconsolidado282933[[#This Row],[ATUAL]])</f>
        <v>0</v>
      </c>
      <c r="N172" s="119" t="n">
        <f aca="false">SUMIFS(tabela_registros[VALOR],tabela_registros[MÊS],$AE$1,tabela_registros[DIA],reservafixaconsolidado282933[[#Headers],[10]],tabela_registros[REGISTRO],DADOS!$N$6,tabela_registros[TIPO],DADOS!$AJ$3,tabela_registros[CATEGORIA],reservafixaconsolidado282933[[#This Row],[ATUAL]])</f>
        <v>0</v>
      </c>
      <c r="O172" s="119" t="n">
        <f aca="false">SUMIFS(tabela_registros[VALOR],tabela_registros[MÊS],$AE$1,tabela_registros[DIA],reservafixaconsolidado282933[[#Headers],[11]],tabela_registros[REGISTRO],DADOS!$N$6,tabela_registros[TIPO],DADOS!$AJ$3,tabela_registros[CATEGORIA],reservafixaconsolidado282933[[#This Row],[ATUAL]])</f>
        <v>0</v>
      </c>
      <c r="P172" s="119" t="n">
        <f aca="false">SUMIFS(tabela_registros[VALOR],tabela_registros[MÊS],$AE$1,tabela_registros[DIA],reservafixaconsolidado282933[[#Headers],[12]],tabela_registros[REGISTRO],DADOS!$N$6,tabela_registros[TIPO],DADOS!$AJ$3,tabela_registros[CATEGORIA],reservafixaconsolidado282933[[#This Row],[ATUAL]])</f>
        <v>0</v>
      </c>
      <c r="Q172" s="119" t="n">
        <f aca="false">SUMIFS(tabela_registros[VALOR],tabela_registros[MÊS],$AE$1,tabela_registros[DIA],reservafixaconsolidado282933[[#Headers],[13]],tabela_registros[REGISTRO],DADOS!$N$6,tabela_registros[TIPO],DADOS!$AJ$3,tabela_registros[CATEGORIA],reservafixaconsolidado282933[[#This Row],[ATUAL]])</f>
        <v>0</v>
      </c>
      <c r="R172" s="119" t="n">
        <f aca="false">SUMIFS(tabela_registros[VALOR],tabela_registros[MÊS],$AE$1,tabela_registros[DIA],reservafixaconsolidado282933[[#Headers],[14]],tabela_registros[REGISTRO],DADOS!$N$6,tabela_registros[TIPO],DADOS!$AJ$3,tabela_registros[CATEGORIA],reservafixaconsolidado282933[[#This Row],[ATUAL]])</f>
        <v>0</v>
      </c>
      <c r="S172" s="119" t="n">
        <f aca="false">SUMIFS(tabela_registros[VALOR],tabela_registros[MÊS],$AE$1,tabela_registros[DIA],reservafixaconsolidado282933[[#Headers],[15]],tabela_registros[REGISTRO],DADOS!$N$6,tabela_registros[TIPO],DADOS!$AJ$3,tabela_registros[CATEGORIA],reservafixaconsolidado282933[[#This Row],[ATUAL]])</f>
        <v>0</v>
      </c>
      <c r="T172" s="119" t="n">
        <f aca="false">SUMIFS(tabela_registros[VALOR],tabela_registros[MÊS],$AE$1,tabela_registros[DIA],reservafixaconsolidado282933[[#Headers],[16]],tabela_registros[REGISTRO],DADOS!$N$6,tabela_registros[TIPO],DADOS!$AJ$3,tabela_registros[CATEGORIA],reservafixaconsolidado282933[[#This Row],[ATUAL]])</f>
        <v>0</v>
      </c>
      <c r="U172" s="119" t="n">
        <f aca="false">SUMIFS(tabela_registros[VALOR],tabela_registros[MÊS],$AE$1,tabela_registros[DIA],reservafixaconsolidado282933[[#Headers],[17]],tabela_registros[REGISTRO],DADOS!$N$6,tabela_registros[TIPO],DADOS!$AJ$3,tabela_registros[CATEGORIA],reservafixaconsolidado282933[[#This Row],[ATUAL]])</f>
        <v>0</v>
      </c>
      <c r="V172" s="119" t="n">
        <f aca="false">SUMIFS(tabela_registros[VALOR],tabela_registros[MÊS],$AE$1,tabela_registros[DIA],reservafixaconsolidado282933[[#Headers],[18]],tabela_registros[REGISTRO],DADOS!$N$6,tabela_registros[TIPO],DADOS!$AJ$3,tabela_registros[CATEGORIA],reservafixaconsolidado282933[[#This Row],[ATUAL]])</f>
        <v>0</v>
      </c>
      <c r="W172" s="119" t="n">
        <f aca="false">SUMIFS(tabela_registros[VALOR],tabela_registros[MÊS],$AE$1,tabela_registros[DIA],reservafixaconsolidado282933[[#Headers],[19]],tabela_registros[REGISTRO],DADOS!$N$6,tabela_registros[TIPO],DADOS!$AJ$3,tabela_registros[CATEGORIA],reservafixaconsolidado282933[[#This Row],[ATUAL]])</f>
        <v>0</v>
      </c>
      <c r="X172" s="119" t="n">
        <f aca="false">SUMIFS(tabela_registros[VALOR],tabela_registros[MÊS],$AE$1,tabela_registros[DIA],reservafixaconsolidado282933[[#Headers],[20]],tabela_registros[REGISTRO],DADOS!$N$6,tabela_registros[TIPO],DADOS!$AJ$3,tabela_registros[CATEGORIA],reservafixaconsolidado282933[[#This Row],[ATUAL]])</f>
        <v>0</v>
      </c>
      <c r="Y172" s="119" t="n">
        <f aca="false">SUMIFS(tabela_registros[VALOR],tabela_registros[MÊS],$AE$1,tabela_registros[DIA],reservafixaconsolidado282933[[#Headers],[21]],tabela_registros[REGISTRO],DADOS!$N$6,tabela_registros[TIPO],DADOS!$AJ$3,tabela_registros[CATEGORIA],reservafixaconsolidado282933[[#This Row],[ATUAL]])</f>
        <v>0</v>
      </c>
      <c r="Z172" s="119" t="n">
        <f aca="false">SUMIFS(tabela_registros[VALOR],tabela_registros[MÊS],$AE$1,tabela_registros[DIA],reservafixaconsolidado282933[[#Headers],[22]],tabela_registros[REGISTRO],DADOS!$N$6,tabela_registros[TIPO],DADOS!$AJ$3,tabela_registros[CATEGORIA],reservafixaconsolidado282933[[#This Row],[ATUAL]])</f>
        <v>0</v>
      </c>
      <c r="AA172" s="119" t="n">
        <f aca="false">SUMIFS(tabela_registros[VALOR],tabela_registros[MÊS],$AE$1,tabela_registros[DIA],reservafixaconsolidado282933[[#Headers],[23]],tabela_registros[REGISTRO],DADOS!$N$6,tabela_registros[TIPO],DADOS!$AJ$3,tabela_registros[CATEGORIA],reservafixaconsolidado282933[[#This Row],[ATUAL]])</f>
        <v>0</v>
      </c>
      <c r="AB172" s="119" t="n">
        <f aca="false">SUMIFS(tabela_registros[VALOR],tabela_registros[MÊS],$AE$1,tabela_registros[DIA],reservafixaconsolidado282933[[#Headers],[24]],tabela_registros[REGISTRO],DADOS!$N$6,tabela_registros[TIPO],DADOS!$AJ$3,tabela_registros[CATEGORIA],reservafixaconsolidado282933[[#This Row],[ATUAL]])</f>
        <v>0</v>
      </c>
      <c r="AC172" s="119" t="n">
        <f aca="false">SUMIFS(tabela_registros[VALOR],tabela_registros[MÊS],$AE$1,tabela_registros[DIA],reservafixaconsolidado282933[[#Headers],[25]],tabela_registros[REGISTRO],DADOS!$N$6,tabela_registros[TIPO],DADOS!$AJ$3,tabela_registros[CATEGORIA],reservafixaconsolidado282933[[#This Row],[ATUAL]])</f>
        <v>0</v>
      </c>
      <c r="AD172" s="119" t="n">
        <f aca="false">SUMIFS(tabela_registros[VALOR],tabela_registros[MÊS],$AE$1,tabela_registros[DIA],reservafixaconsolidado282933[[#Headers],[26]],tabela_registros[REGISTRO],DADOS!$N$6,tabela_registros[TIPO],DADOS!$AJ$3,tabela_registros[CATEGORIA],reservafixaconsolidado282933[[#This Row],[ATUAL]])</f>
        <v>0</v>
      </c>
      <c r="AE172" s="119" t="n">
        <f aca="false">SUMIFS(tabela_registros[VALOR],tabela_registros[MÊS],$AE$1,tabela_registros[DIA],reservafixaconsolidado282933[[#Headers],[27]],tabela_registros[REGISTRO],DADOS!$N$6,tabela_registros[TIPO],DADOS!$AJ$3,tabela_registros[CATEGORIA],reservafixaconsolidado282933[[#This Row],[ATUAL]])</f>
        <v>0</v>
      </c>
      <c r="AF172" s="119" t="n">
        <f aca="false">SUMIFS(tabela_registros[VALOR],tabela_registros[MÊS],$AE$1,tabela_registros[DIA],reservafixaconsolidado282933[[#Headers],[28]],tabela_registros[REGISTRO],DADOS!$N$6,tabela_registros[TIPO],DADOS!$AJ$3,tabela_registros[CATEGORIA],reservafixaconsolidado282933[[#This Row],[ATUAL]])</f>
        <v>0</v>
      </c>
      <c r="AG172" s="119" t="n">
        <f aca="false">SUMIFS(tabela_registros[VALOR],tabela_registros[MÊS],$AE$1,tabela_registros[DIA],reservafixaconsolidado282933[[#Headers],[29]],tabela_registros[REGISTRO],DADOS!$N$6,tabela_registros[TIPO],DADOS!$AJ$3,tabela_registros[CATEGORIA],reservafixaconsolidado282933[[#This Row],[ATUAL]])</f>
        <v>0</v>
      </c>
      <c r="AH172" s="119" t="n">
        <f aca="false">SUMIFS(tabela_registros[VALOR],tabela_registros[MÊS],$AE$1,tabela_registros[DIA],reservafixaconsolidado282933[[#Headers],[30]],tabela_registros[REGISTRO],DADOS!$N$6,tabela_registros[TIPO],DADOS!$AJ$3,tabela_registros[CATEGORIA],reservafixaconsolidado282933[[#This Row],[ATUAL]])</f>
        <v>0</v>
      </c>
      <c r="AI172" s="217" t="n">
        <f aca="false">SUMIFS(tabela_registros[VALOR],tabela_registros[MÊS],$AE$1,tabela_registros[DIA],reservafixaconsolidado282933[[#Headers],[31]],tabela_registros[REGISTRO],DADOS!$N$6,tabela_registros[TIPO],DADOS!$AJ$3,tabela_registros[CATEGORIA],reservafixaconsolidado282933[[#This Row],[ATUAL]])</f>
        <v>0</v>
      </c>
      <c r="AJ172" s="149" t="n">
        <f aca="false">SUM(reservafixaconsolidado282933[[#This Row],[1]:[31]])</f>
        <v>0</v>
      </c>
      <c r="AK172" s="234"/>
      <c r="AL172" s="189"/>
    </row>
    <row r="173" customFormat="false" ht="19.5" hidden="false" customHeight="true" outlineLevel="0" collapsed="false">
      <c r="A173" s="189"/>
      <c r="B173" s="213"/>
      <c r="C173" s="214" t="str">
        <f aca="false">DADOS!$AL$8</f>
        <v>📝 LC</v>
      </c>
      <c r="D173" s="215" t="str">
        <f aca="false">IF(reservafixaconsolidado282933[[#This Row],[TOTAL (R$)]]=0,"",IF(OR(reservafixaconsolidado282933[[#This Row],[TOTAL (R$)]]=LARGE($AJ$168:$AJ$177,1),reservafixaconsolidado282933[[#This Row],[TOTAL (R$)]]=LARGE($AJ$168:$AJ$177,2)),DADOS!$I$11,""))</f>
        <v/>
      </c>
      <c r="E173" s="148" t="n">
        <f aca="false">SUMIFS(tabela_registros[VALOR],tabela_registros[MÊS],$AE$1,tabela_registros[DIA],reservafixaconsolidado282933[[#Headers],[1]],tabela_registros[REGISTRO],DADOS!$N$6,tabela_registros[TIPO],DADOS!$AJ$3,tabela_registros[CATEGORIA],reservafixaconsolidado282933[[#This Row],[ATUAL]])</f>
        <v>0</v>
      </c>
      <c r="F173" s="119" t="n">
        <f aca="false">SUMIFS(tabela_registros[VALOR],tabela_registros[MÊS],$AE$1,tabela_registros[DIA],reservafixaconsolidado282933[[#Headers],[2]],tabela_registros[REGISTRO],DADOS!$N$6,tabela_registros[TIPO],DADOS!$AJ$3,tabela_registros[CATEGORIA],reservafixaconsolidado282933[[#This Row],[ATUAL]])</f>
        <v>0</v>
      </c>
      <c r="G173" s="119" t="n">
        <f aca="false">SUMIFS(tabela_registros[VALOR],tabela_registros[MÊS],$AE$1,tabela_registros[DIA],reservafixaconsolidado282933[[#Headers],[3]],tabela_registros[REGISTRO],DADOS!$N$6,tabela_registros[TIPO],DADOS!$AJ$3,tabela_registros[CATEGORIA],reservafixaconsolidado282933[[#This Row],[ATUAL]])</f>
        <v>0</v>
      </c>
      <c r="H173" s="119" t="n">
        <f aca="false">SUMIFS(tabela_registros[VALOR],tabela_registros[MÊS],$AE$1,tabela_registros[DIA],reservafixaconsolidado282933[[#Headers],[4]],tabela_registros[REGISTRO],DADOS!$N$6,tabela_registros[TIPO],DADOS!$AJ$3,tabela_registros[CATEGORIA],reservafixaconsolidado282933[[#This Row],[ATUAL]])</f>
        <v>0</v>
      </c>
      <c r="I173" s="119" t="n">
        <f aca="false">SUMIFS(tabela_registros[VALOR],tabela_registros[MÊS],$AE$1,tabela_registros[DIA],reservafixaconsolidado282933[[#Headers],[5]],tabela_registros[REGISTRO],DADOS!$N$6,tabela_registros[TIPO],DADOS!$AJ$3,tabela_registros[CATEGORIA],reservafixaconsolidado282933[[#This Row],[ATUAL]])</f>
        <v>0</v>
      </c>
      <c r="J173" s="119" t="n">
        <f aca="false">SUMIFS(tabela_registros[VALOR],tabela_registros[MÊS],$AE$1,tabela_registros[DIA],reservafixaconsolidado282933[[#Headers],[6]],tabela_registros[REGISTRO],DADOS!$N$6,tabela_registros[TIPO],DADOS!$AJ$3,tabela_registros[CATEGORIA],reservafixaconsolidado282933[[#This Row],[ATUAL]])</f>
        <v>0</v>
      </c>
      <c r="K173" s="119" t="n">
        <f aca="false">SUMIFS(tabela_registros[VALOR],tabela_registros[MÊS],$AE$1,tabela_registros[DIA],reservafixaconsolidado282933[[#Headers],[7]],tabela_registros[REGISTRO],DADOS!$N$6,tabela_registros[TIPO],DADOS!$AJ$3,tabela_registros[CATEGORIA],reservafixaconsolidado282933[[#This Row],[ATUAL]])</f>
        <v>0</v>
      </c>
      <c r="L173" s="119" t="n">
        <f aca="false">SUMIFS(tabela_registros[VALOR],tabela_registros[MÊS],$AE$1,tabela_registros[DIA],reservafixaconsolidado282933[[#Headers],[8]],tabela_registros[REGISTRO],DADOS!$N$6,tabela_registros[TIPO],DADOS!$AJ$3,tabela_registros[CATEGORIA],reservafixaconsolidado282933[[#This Row],[ATUAL]])</f>
        <v>0</v>
      </c>
      <c r="M173" s="119" t="n">
        <f aca="false">SUMIFS(tabela_registros[VALOR],tabela_registros[MÊS],$AE$1,tabela_registros[DIA],reservafixaconsolidado282933[[#Headers],[9]],tabela_registros[REGISTRO],DADOS!$N$6,tabela_registros[TIPO],DADOS!$AJ$3,tabela_registros[CATEGORIA],reservafixaconsolidado282933[[#This Row],[ATUAL]])</f>
        <v>0</v>
      </c>
      <c r="N173" s="119" t="n">
        <f aca="false">SUMIFS(tabela_registros[VALOR],tabela_registros[MÊS],$AE$1,tabela_registros[DIA],reservafixaconsolidado282933[[#Headers],[10]],tabela_registros[REGISTRO],DADOS!$N$6,tabela_registros[TIPO],DADOS!$AJ$3,tabela_registros[CATEGORIA],reservafixaconsolidado282933[[#This Row],[ATUAL]])</f>
        <v>0</v>
      </c>
      <c r="O173" s="119" t="n">
        <f aca="false">SUMIFS(tabela_registros[VALOR],tabela_registros[MÊS],$AE$1,tabela_registros[DIA],reservafixaconsolidado282933[[#Headers],[11]],tabela_registros[REGISTRO],DADOS!$N$6,tabela_registros[TIPO],DADOS!$AJ$3,tabela_registros[CATEGORIA],reservafixaconsolidado282933[[#This Row],[ATUAL]])</f>
        <v>0</v>
      </c>
      <c r="P173" s="119" t="n">
        <f aca="false">SUMIFS(tabela_registros[VALOR],tabela_registros[MÊS],$AE$1,tabela_registros[DIA],reservafixaconsolidado282933[[#Headers],[12]],tabela_registros[REGISTRO],DADOS!$N$6,tabela_registros[TIPO],DADOS!$AJ$3,tabela_registros[CATEGORIA],reservafixaconsolidado282933[[#This Row],[ATUAL]])</f>
        <v>0</v>
      </c>
      <c r="Q173" s="119" t="n">
        <f aca="false">SUMIFS(tabela_registros[VALOR],tabela_registros[MÊS],$AE$1,tabela_registros[DIA],reservafixaconsolidado282933[[#Headers],[13]],tabela_registros[REGISTRO],DADOS!$N$6,tabela_registros[TIPO],DADOS!$AJ$3,tabela_registros[CATEGORIA],reservafixaconsolidado282933[[#This Row],[ATUAL]])</f>
        <v>0</v>
      </c>
      <c r="R173" s="119" t="n">
        <f aca="false">SUMIFS(tabela_registros[VALOR],tabela_registros[MÊS],$AE$1,tabela_registros[DIA],reservafixaconsolidado282933[[#Headers],[14]],tabela_registros[REGISTRO],DADOS!$N$6,tabela_registros[TIPO],DADOS!$AJ$3,tabela_registros[CATEGORIA],reservafixaconsolidado282933[[#This Row],[ATUAL]])</f>
        <v>0</v>
      </c>
      <c r="S173" s="119" t="n">
        <f aca="false">SUMIFS(tabela_registros[VALOR],tabela_registros[MÊS],$AE$1,tabela_registros[DIA],reservafixaconsolidado282933[[#Headers],[15]],tabela_registros[REGISTRO],DADOS!$N$6,tabela_registros[TIPO],DADOS!$AJ$3,tabela_registros[CATEGORIA],reservafixaconsolidado282933[[#This Row],[ATUAL]])</f>
        <v>0</v>
      </c>
      <c r="T173" s="119" t="n">
        <f aca="false">SUMIFS(tabela_registros[VALOR],tabela_registros[MÊS],$AE$1,tabela_registros[DIA],reservafixaconsolidado282933[[#Headers],[16]],tabela_registros[REGISTRO],DADOS!$N$6,tabela_registros[TIPO],DADOS!$AJ$3,tabela_registros[CATEGORIA],reservafixaconsolidado282933[[#This Row],[ATUAL]])</f>
        <v>0</v>
      </c>
      <c r="U173" s="119" t="n">
        <f aca="false">SUMIFS(tabela_registros[VALOR],tabela_registros[MÊS],$AE$1,tabela_registros[DIA],reservafixaconsolidado282933[[#Headers],[17]],tabela_registros[REGISTRO],DADOS!$N$6,tabela_registros[TIPO],DADOS!$AJ$3,tabela_registros[CATEGORIA],reservafixaconsolidado282933[[#This Row],[ATUAL]])</f>
        <v>0</v>
      </c>
      <c r="V173" s="119" t="n">
        <f aca="false">SUMIFS(tabela_registros[VALOR],tabela_registros[MÊS],$AE$1,tabela_registros[DIA],reservafixaconsolidado282933[[#Headers],[18]],tabela_registros[REGISTRO],DADOS!$N$6,tabela_registros[TIPO],DADOS!$AJ$3,tabela_registros[CATEGORIA],reservafixaconsolidado282933[[#This Row],[ATUAL]])</f>
        <v>0</v>
      </c>
      <c r="W173" s="119" t="n">
        <f aca="false">SUMIFS(tabela_registros[VALOR],tabela_registros[MÊS],$AE$1,tabela_registros[DIA],reservafixaconsolidado282933[[#Headers],[19]],tabela_registros[REGISTRO],DADOS!$N$6,tabela_registros[TIPO],DADOS!$AJ$3,tabela_registros[CATEGORIA],reservafixaconsolidado282933[[#This Row],[ATUAL]])</f>
        <v>0</v>
      </c>
      <c r="X173" s="119" t="n">
        <f aca="false">SUMIFS(tabela_registros[VALOR],tabela_registros[MÊS],$AE$1,tabela_registros[DIA],reservafixaconsolidado282933[[#Headers],[20]],tabela_registros[REGISTRO],DADOS!$N$6,tabela_registros[TIPO],DADOS!$AJ$3,tabela_registros[CATEGORIA],reservafixaconsolidado282933[[#This Row],[ATUAL]])</f>
        <v>0</v>
      </c>
      <c r="Y173" s="119" t="n">
        <f aca="false">SUMIFS(tabela_registros[VALOR],tabela_registros[MÊS],$AE$1,tabela_registros[DIA],reservafixaconsolidado282933[[#Headers],[21]],tabela_registros[REGISTRO],DADOS!$N$6,tabela_registros[TIPO],DADOS!$AJ$3,tabela_registros[CATEGORIA],reservafixaconsolidado282933[[#This Row],[ATUAL]])</f>
        <v>0</v>
      </c>
      <c r="Z173" s="119" t="n">
        <f aca="false">SUMIFS(tabela_registros[VALOR],tabela_registros[MÊS],$AE$1,tabela_registros[DIA],reservafixaconsolidado282933[[#Headers],[22]],tabela_registros[REGISTRO],DADOS!$N$6,tabela_registros[TIPO],DADOS!$AJ$3,tabela_registros[CATEGORIA],reservafixaconsolidado282933[[#This Row],[ATUAL]])</f>
        <v>0</v>
      </c>
      <c r="AA173" s="119" t="n">
        <f aca="false">SUMIFS(tabela_registros[VALOR],tabela_registros[MÊS],$AE$1,tabela_registros[DIA],reservafixaconsolidado282933[[#Headers],[23]],tabela_registros[REGISTRO],DADOS!$N$6,tabela_registros[TIPO],DADOS!$AJ$3,tabela_registros[CATEGORIA],reservafixaconsolidado282933[[#This Row],[ATUAL]])</f>
        <v>0</v>
      </c>
      <c r="AB173" s="119" t="n">
        <f aca="false">SUMIFS(tabela_registros[VALOR],tabela_registros[MÊS],$AE$1,tabela_registros[DIA],reservafixaconsolidado282933[[#Headers],[24]],tabela_registros[REGISTRO],DADOS!$N$6,tabela_registros[TIPO],DADOS!$AJ$3,tabela_registros[CATEGORIA],reservafixaconsolidado282933[[#This Row],[ATUAL]])</f>
        <v>0</v>
      </c>
      <c r="AC173" s="119" t="n">
        <f aca="false">SUMIFS(tabela_registros[VALOR],tabela_registros[MÊS],$AE$1,tabela_registros[DIA],reservafixaconsolidado282933[[#Headers],[25]],tabela_registros[REGISTRO],DADOS!$N$6,tabela_registros[TIPO],DADOS!$AJ$3,tabela_registros[CATEGORIA],reservafixaconsolidado282933[[#This Row],[ATUAL]])</f>
        <v>0</v>
      </c>
      <c r="AD173" s="119" t="n">
        <f aca="false">SUMIFS(tabela_registros[VALOR],tabela_registros[MÊS],$AE$1,tabela_registros[DIA],reservafixaconsolidado282933[[#Headers],[26]],tabela_registros[REGISTRO],DADOS!$N$6,tabela_registros[TIPO],DADOS!$AJ$3,tabela_registros[CATEGORIA],reservafixaconsolidado282933[[#This Row],[ATUAL]])</f>
        <v>0</v>
      </c>
      <c r="AE173" s="119" t="n">
        <f aca="false">SUMIFS(tabela_registros[VALOR],tabela_registros[MÊS],$AE$1,tabela_registros[DIA],reservafixaconsolidado282933[[#Headers],[27]],tabela_registros[REGISTRO],DADOS!$N$6,tabela_registros[TIPO],DADOS!$AJ$3,tabela_registros[CATEGORIA],reservafixaconsolidado282933[[#This Row],[ATUAL]])</f>
        <v>0</v>
      </c>
      <c r="AF173" s="119" t="n">
        <f aca="false">SUMIFS(tabela_registros[VALOR],tabela_registros[MÊS],$AE$1,tabela_registros[DIA],reservafixaconsolidado282933[[#Headers],[28]],tabela_registros[REGISTRO],DADOS!$N$6,tabela_registros[TIPO],DADOS!$AJ$3,tabela_registros[CATEGORIA],reservafixaconsolidado282933[[#This Row],[ATUAL]])</f>
        <v>0</v>
      </c>
      <c r="AG173" s="119" t="n">
        <f aca="false">SUMIFS(tabela_registros[VALOR],tabela_registros[MÊS],$AE$1,tabela_registros[DIA],reservafixaconsolidado282933[[#Headers],[29]],tabela_registros[REGISTRO],DADOS!$N$6,tabela_registros[TIPO],DADOS!$AJ$3,tabela_registros[CATEGORIA],reservafixaconsolidado282933[[#This Row],[ATUAL]])</f>
        <v>0</v>
      </c>
      <c r="AH173" s="119" t="n">
        <f aca="false">SUMIFS(tabela_registros[VALOR],tabela_registros[MÊS],$AE$1,tabela_registros[DIA],reservafixaconsolidado282933[[#Headers],[30]],tabela_registros[REGISTRO],DADOS!$N$6,tabela_registros[TIPO],DADOS!$AJ$3,tabela_registros[CATEGORIA],reservafixaconsolidado282933[[#This Row],[ATUAL]])</f>
        <v>0</v>
      </c>
      <c r="AI173" s="217" t="n">
        <f aca="false">SUMIFS(tabela_registros[VALOR],tabela_registros[MÊS],$AE$1,tabela_registros[DIA],reservafixaconsolidado282933[[#Headers],[31]],tabela_registros[REGISTRO],DADOS!$N$6,tabela_registros[TIPO],DADOS!$AJ$3,tabela_registros[CATEGORIA],reservafixaconsolidado282933[[#This Row],[ATUAL]])</f>
        <v>0</v>
      </c>
      <c r="AJ173" s="149" t="n">
        <f aca="false">SUM(reservafixaconsolidado282933[[#This Row],[1]:[31]])</f>
        <v>0</v>
      </c>
      <c r="AK173" s="234"/>
      <c r="AL173" s="189"/>
    </row>
    <row r="174" customFormat="false" ht="19.5" hidden="false" customHeight="true" outlineLevel="0" collapsed="false">
      <c r="A174" s="189"/>
      <c r="B174" s="213"/>
      <c r="C174" s="214" t="str">
        <f aca="false">DADOS!$AL$9</f>
        <v>📝 LCA</v>
      </c>
      <c r="D174" s="215" t="str">
        <f aca="false">IF(reservafixaconsolidado282933[[#This Row],[TOTAL (R$)]]=0,"",IF(OR(reservafixaconsolidado282933[[#This Row],[TOTAL (R$)]]=LARGE($AJ$168:$AJ$177,1),reservafixaconsolidado282933[[#This Row],[TOTAL (R$)]]=LARGE($AJ$168:$AJ$177,2)),DADOS!$I$11,""))</f>
        <v/>
      </c>
      <c r="E174" s="148" t="n">
        <f aca="false">SUMIFS(tabela_registros[VALOR],tabela_registros[MÊS],$AE$1,tabela_registros[DIA],reservafixaconsolidado282933[[#Headers],[1]],tabela_registros[REGISTRO],DADOS!$N$6,tabela_registros[TIPO],DADOS!$AJ$3,tabela_registros[CATEGORIA],reservafixaconsolidado282933[[#This Row],[ATUAL]])</f>
        <v>0</v>
      </c>
      <c r="F174" s="119" t="n">
        <f aca="false">SUMIFS(tabela_registros[VALOR],tabela_registros[MÊS],$AE$1,tabela_registros[DIA],reservafixaconsolidado282933[[#Headers],[2]],tabela_registros[REGISTRO],DADOS!$N$6,tabela_registros[TIPO],DADOS!$AJ$3,tabela_registros[CATEGORIA],reservafixaconsolidado282933[[#This Row],[ATUAL]])</f>
        <v>0</v>
      </c>
      <c r="G174" s="119" t="n">
        <f aca="false">SUMIFS(tabela_registros[VALOR],tabela_registros[MÊS],$AE$1,tabela_registros[DIA],reservafixaconsolidado282933[[#Headers],[3]],tabela_registros[REGISTRO],DADOS!$N$6,tabela_registros[TIPO],DADOS!$AJ$3,tabela_registros[CATEGORIA],reservafixaconsolidado282933[[#This Row],[ATUAL]])</f>
        <v>0</v>
      </c>
      <c r="H174" s="119" t="n">
        <f aca="false">SUMIFS(tabela_registros[VALOR],tabela_registros[MÊS],$AE$1,tabela_registros[DIA],reservafixaconsolidado282933[[#Headers],[4]],tabela_registros[REGISTRO],DADOS!$N$6,tabela_registros[TIPO],DADOS!$AJ$3,tabela_registros[CATEGORIA],reservafixaconsolidado282933[[#This Row],[ATUAL]])</f>
        <v>0</v>
      </c>
      <c r="I174" s="119" t="n">
        <f aca="false">SUMIFS(tabela_registros[VALOR],tabela_registros[MÊS],$AE$1,tabela_registros[DIA],reservafixaconsolidado282933[[#Headers],[5]],tabela_registros[REGISTRO],DADOS!$N$6,tabela_registros[TIPO],DADOS!$AJ$3,tabela_registros[CATEGORIA],reservafixaconsolidado282933[[#This Row],[ATUAL]])</f>
        <v>0</v>
      </c>
      <c r="J174" s="119" t="n">
        <f aca="false">SUMIFS(tabela_registros[VALOR],tabela_registros[MÊS],$AE$1,tabela_registros[DIA],reservafixaconsolidado282933[[#Headers],[6]],tabela_registros[REGISTRO],DADOS!$N$6,tabela_registros[TIPO],DADOS!$AJ$3,tabela_registros[CATEGORIA],reservafixaconsolidado282933[[#This Row],[ATUAL]])</f>
        <v>0</v>
      </c>
      <c r="K174" s="119" t="n">
        <f aca="false">SUMIFS(tabela_registros[VALOR],tabela_registros[MÊS],$AE$1,tabela_registros[DIA],reservafixaconsolidado282933[[#Headers],[7]],tabela_registros[REGISTRO],DADOS!$N$6,tabela_registros[TIPO],DADOS!$AJ$3,tabela_registros[CATEGORIA],reservafixaconsolidado282933[[#This Row],[ATUAL]])</f>
        <v>0</v>
      </c>
      <c r="L174" s="119" t="n">
        <f aca="false">SUMIFS(tabela_registros[VALOR],tabela_registros[MÊS],$AE$1,tabela_registros[DIA],reservafixaconsolidado282933[[#Headers],[8]],tabela_registros[REGISTRO],DADOS!$N$6,tabela_registros[TIPO],DADOS!$AJ$3,tabela_registros[CATEGORIA],reservafixaconsolidado282933[[#This Row],[ATUAL]])</f>
        <v>0</v>
      </c>
      <c r="M174" s="119" t="n">
        <f aca="false">SUMIFS(tabela_registros[VALOR],tabela_registros[MÊS],$AE$1,tabela_registros[DIA],reservafixaconsolidado282933[[#Headers],[9]],tabela_registros[REGISTRO],DADOS!$N$6,tabela_registros[TIPO],DADOS!$AJ$3,tabela_registros[CATEGORIA],reservafixaconsolidado282933[[#This Row],[ATUAL]])</f>
        <v>0</v>
      </c>
      <c r="N174" s="119" t="n">
        <f aca="false">SUMIFS(tabela_registros[VALOR],tabela_registros[MÊS],$AE$1,tabela_registros[DIA],reservafixaconsolidado282933[[#Headers],[10]],tabela_registros[REGISTRO],DADOS!$N$6,tabela_registros[TIPO],DADOS!$AJ$3,tabela_registros[CATEGORIA],reservafixaconsolidado282933[[#This Row],[ATUAL]])</f>
        <v>0</v>
      </c>
      <c r="O174" s="119" t="n">
        <f aca="false">SUMIFS(tabela_registros[VALOR],tabela_registros[MÊS],$AE$1,tabela_registros[DIA],reservafixaconsolidado282933[[#Headers],[11]],tabela_registros[REGISTRO],DADOS!$N$6,tabela_registros[TIPO],DADOS!$AJ$3,tabela_registros[CATEGORIA],reservafixaconsolidado282933[[#This Row],[ATUAL]])</f>
        <v>0</v>
      </c>
      <c r="P174" s="119" t="n">
        <f aca="false">SUMIFS(tabela_registros[VALOR],tabela_registros[MÊS],$AE$1,tabela_registros[DIA],reservafixaconsolidado282933[[#Headers],[12]],tabela_registros[REGISTRO],DADOS!$N$6,tabela_registros[TIPO],DADOS!$AJ$3,tabela_registros[CATEGORIA],reservafixaconsolidado282933[[#This Row],[ATUAL]])</f>
        <v>0</v>
      </c>
      <c r="Q174" s="119" t="n">
        <f aca="false">SUMIFS(tabela_registros[VALOR],tabela_registros[MÊS],$AE$1,tabela_registros[DIA],reservafixaconsolidado282933[[#Headers],[13]],tabela_registros[REGISTRO],DADOS!$N$6,tabela_registros[TIPO],DADOS!$AJ$3,tabela_registros[CATEGORIA],reservafixaconsolidado282933[[#This Row],[ATUAL]])</f>
        <v>0</v>
      </c>
      <c r="R174" s="119" t="n">
        <f aca="false">SUMIFS(tabela_registros[VALOR],tabela_registros[MÊS],$AE$1,tabela_registros[DIA],reservafixaconsolidado282933[[#Headers],[14]],tabela_registros[REGISTRO],DADOS!$N$6,tabela_registros[TIPO],DADOS!$AJ$3,tabela_registros[CATEGORIA],reservafixaconsolidado282933[[#This Row],[ATUAL]])</f>
        <v>0</v>
      </c>
      <c r="S174" s="119" t="n">
        <f aca="false">SUMIFS(tabela_registros[VALOR],tabela_registros[MÊS],$AE$1,tabela_registros[DIA],reservafixaconsolidado282933[[#Headers],[15]],tabela_registros[REGISTRO],DADOS!$N$6,tabela_registros[TIPO],DADOS!$AJ$3,tabela_registros[CATEGORIA],reservafixaconsolidado282933[[#This Row],[ATUAL]])</f>
        <v>0</v>
      </c>
      <c r="T174" s="119" t="n">
        <f aca="false">SUMIFS(tabela_registros[VALOR],tabela_registros[MÊS],$AE$1,tabela_registros[DIA],reservafixaconsolidado282933[[#Headers],[16]],tabela_registros[REGISTRO],DADOS!$N$6,tabela_registros[TIPO],DADOS!$AJ$3,tabela_registros[CATEGORIA],reservafixaconsolidado282933[[#This Row],[ATUAL]])</f>
        <v>0</v>
      </c>
      <c r="U174" s="119" t="n">
        <f aca="false">SUMIFS(tabela_registros[VALOR],tabela_registros[MÊS],$AE$1,tabela_registros[DIA],reservafixaconsolidado282933[[#Headers],[17]],tabela_registros[REGISTRO],DADOS!$N$6,tabela_registros[TIPO],DADOS!$AJ$3,tabela_registros[CATEGORIA],reservafixaconsolidado282933[[#This Row],[ATUAL]])</f>
        <v>0</v>
      </c>
      <c r="V174" s="119" t="n">
        <f aca="false">SUMIFS(tabela_registros[VALOR],tabela_registros[MÊS],$AE$1,tabela_registros[DIA],reservafixaconsolidado282933[[#Headers],[18]],tabela_registros[REGISTRO],DADOS!$N$6,tabela_registros[TIPO],DADOS!$AJ$3,tabela_registros[CATEGORIA],reservafixaconsolidado282933[[#This Row],[ATUAL]])</f>
        <v>0</v>
      </c>
      <c r="W174" s="119" t="n">
        <f aca="false">SUMIFS(tabela_registros[VALOR],tabela_registros[MÊS],$AE$1,tabela_registros[DIA],reservafixaconsolidado282933[[#Headers],[19]],tabela_registros[REGISTRO],DADOS!$N$6,tabela_registros[TIPO],DADOS!$AJ$3,tabela_registros[CATEGORIA],reservafixaconsolidado282933[[#This Row],[ATUAL]])</f>
        <v>0</v>
      </c>
      <c r="X174" s="119" t="n">
        <f aca="false">SUMIFS(tabela_registros[VALOR],tabela_registros[MÊS],$AE$1,tabela_registros[DIA],reservafixaconsolidado282933[[#Headers],[20]],tabela_registros[REGISTRO],DADOS!$N$6,tabela_registros[TIPO],DADOS!$AJ$3,tabela_registros[CATEGORIA],reservafixaconsolidado282933[[#This Row],[ATUAL]])</f>
        <v>0</v>
      </c>
      <c r="Y174" s="119" t="n">
        <f aca="false">SUMIFS(tabela_registros[VALOR],tabela_registros[MÊS],$AE$1,tabela_registros[DIA],reservafixaconsolidado282933[[#Headers],[21]],tabela_registros[REGISTRO],DADOS!$N$6,tabela_registros[TIPO],DADOS!$AJ$3,tabela_registros[CATEGORIA],reservafixaconsolidado282933[[#This Row],[ATUAL]])</f>
        <v>0</v>
      </c>
      <c r="Z174" s="119" t="n">
        <f aca="false">SUMIFS(tabela_registros[VALOR],tabela_registros[MÊS],$AE$1,tabela_registros[DIA],reservafixaconsolidado282933[[#Headers],[22]],tabela_registros[REGISTRO],DADOS!$N$6,tabela_registros[TIPO],DADOS!$AJ$3,tabela_registros[CATEGORIA],reservafixaconsolidado282933[[#This Row],[ATUAL]])</f>
        <v>0</v>
      </c>
      <c r="AA174" s="119" t="n">
        <f aca="false">SUMIFS(tabela_registros[VALOR],tabela_registros[MÊS],$AE$1,tabela_registros[DIA],reservafixaconsolidado282933[[#Headers],[23]],tabela_registros[REGISTRO],DADOS!$N$6,tabela_registros[TIPO],DADOS!$AJ$3,tabela_registros[CATEGORIA],reservafixaconsolidado282933[[#This Row],[ATUAL]])</f>
        <v>0</v>
      </c>
      <c r="AB174" s="119" t="n">
        <f aca="false">SUMIFS(tabela_registros[VALOR],tabela_registros[MÊS],$AE$1,tabela_registros[DIA],reservafixaconsolidado282933[[#Headers],[24]],tabela_registros[REGISTRO],DADOS!$N$6,tabela_registros[TIPO],DADOS!$AJ$3,tabela_registros[CATEGORIA],reservafixaconsolidado282933[[#This Row],[ATUAL]])</f>
        <v>0</v>
      </c>
      <c r="AC174" s="119" t="n">
        <f aca="false">SUMIFS(tabela_registros[VALOR],tabela_registros[MÊS],$AE$1,tabela_registros[DIA],reservafixaconsolidado282933[[#Headers],[25]],tabela_registros[REGISTRO],DADOS!$N$6,tabela_registros[TIPO],DADOS!$AJ$3,tabela_registros[CATEGORIA],reservafixaconsolidado282933[[#This Row],[ATUAL]])</f>
        <v>0</v>
      </c>
      <c r="AD174" s="119" t="n">
        <f aca="false">SUMIFS(tabela_registros[VALOR],tabela_registros[MÊS],$AE$1,tabela_registros[DIA],reservafixaconsolidado282933[[#Headers],[26]],tabela_registros[REGISTRO],DADOS!$N$6,tabela_registros[TIPO],DADOS!$AJ$3,tabela_registros[CATEGORIA],reservafixaconsolidado282933[[#This Row],[ATUAL]])</f>
        <v>0</v>
      </c>
      <c r="AE174" s="119" t="n">
        <f aca="false">SUMIFS(tabela_registros[VALOR],tabela_registros[MÊS],$AE$1,tabela_registros[DIA],reservafixaconsolidado282933[[#Headers],[27]],tabela_registros[REGISTRO],DADOS!$N$6,tabela_registros[TIPO],DADOS!$AJ$3,tabela_registros[CATEGORIA],reservafixaconsolidado282933[[#This Row],[ATUAL]])</f>
        <v>0</v>
      </c>
      <c r="AF174" s="119" t="n">
        <f aca="false">SUMIFS(tabela_registros[VALOR],tabela_registros[MÊS],$AE$1,tabela_registros[DIA],reservafixaconsolidado282933[[#Headers],[28]],tabela_registros[REGISTRO],DADOS!$N$6,tabela_registros[TIPO],DADOS!$AJ$3,tabela_registros[CATEGORIA],reservafixaconsolidado282933[[#This Row],[ATUAL]])</f>
        <v>0</v>
      </c>
      <c r="AG174" s="119" t="n">
        <f aca="false">SUMIFS(tabela_registros[VALOR],tabela_registros[MÊS],$AE$1,tabela_registros[DIA],reservafixaconsolidado282933[[#Headers],[29]],tabela_registros[REGISTRO],DADOS!$N$6,tabela_registros[TIPO],DADOS!$AJ$3,tabela_registros[CATEGORIA],reservafixaconsolidado282933[[#This Row],[ATUAL]])</f>
        <v>0</v>
      </c>
      <c r="AH174" s="119" t="n">
        <f aca="false">SUMIFS(tabela_registros[VALOR],tabela_registros[MÊS],$AE$1,tabela_registros[DIA],reservafixaconsolidado282933[[#Headers],[30]],tabela_registros[REGISTRO],DADOS!$N$6,tabela_registros[TIPO],DADOS!$AJ$3,tabela_registros[CATEGORIA],reservafixaconsolidado282933[[#This Row],[ATUAL]])</f>
        <v>0</v>
      </c>
      <c r="AI174" s="217" t="n">
        <f aca="false">SUMIFS(tabela_registros[VALOR],tabela_registros[MÊS],$AE$1,tabela_registros[DIA],reservafixaconsolidado282933[[#Headers],[31]],tabela_registros[REGISTRO],DADOS!$N$6,tabela_registros[TIPO],DADOS!$AJ$3,tabela_registros[CATEGORIA],reservafixaconsolidado282933[[#This Row],[ATUAL]])</f>
        <v>0</v>
      </c>
      <c r="AJ174" s="149" t="n">
        <f aca="false">SUM(reservafixaconsolidado282933[[#This Row],[1]:[31]])</f>
        <v>0</v>
      </c>
      <c r="AK174" s="234"/>
      <c r="AL174" s="189"/>
    </row>
    <row r="175" customFormat="false" ht="19.5" hidden="false" customHeight="true" outlineLevel="0" collapsed="false">
      <c r="A175" s="189"/>
      <c r="B175" s="213"/>
      <c r="C175" s="214" t="str">
        <f aca="false">DADOS!$AL$10</f>
        <v>📝 LCI</v>
      </c>
      <c r="D175" s="215" t="str">
        <f aca="false">IF(reservafixaconsolidado282933[[#This Row],[TOTAL (R$)]]=0,"",IF(OR(reservafixaconsolidado282933[[#This Row],[TOTAL (R$)]]=LARGE($AJ$168:$AJ$177,1),reservafixaconsolidado282933[[#This Row],[TOTAL (R$)]]=LARGE($AJ$168:$AJ$177,2)),DADOS!$I$11,""))</f>
        <v/>
      </c>
      <c r="E175" s="148" t="n">
        <f aca="false">SUMIFS(tabela_registros[VALOR],tabela_registros[MÊS],$AE$1,tabela_registros[DIA],reservafixaconsolidado282933[[#Headers],[1]],tabela_registros[REGISTRO],DADOS!$N$6,tabela_registros[TIPO],DADOS!$AJ$3,tabela_registros[CATEGORIA],reservafixaconsolidado282933[[#This Row],[ATUAL]])</f>
        <v>0</v>
      </c>
      <c r="F175" s="119" t="n">
        <f aca="false">SUMIFS(tabela_registros[VALOR],tabela_registros[MÊS],$AE$1,tabela_registros[DIA],reservafixaconsolidado282933[[#Headers],[2]],tabela_registros[REGISTRO],DADOS!$N$6,tabela_registros[TIPO],DADOS!$AJ$3,tabela_registros[CATEGORIA],reservafixaconsolidado282933[[#This Row],[ATUAL]])</f>
        <v>0</v>
      </c>
      <c r="G175" s="119" t="n">
        <f aca="false">SUMIFS(tabela_registros[VALOR],tabela_registros[MÊS],$AE$1,tabela_registros[DIA],reservafixaconsolidado282933[[#Headers],[3]],tabela_registros[REGISTRO],DADOS!$N$6,tabela_registros[TIPO],DADOS!$AJ$3,tabela_registros[CATEGORIA],reservafixaconsolidado282933[[#This Row],[ATUAL]])</f>
        <v>0</v>
      </c>
      <c r="H175" s="119" t="n">
        <f aca="false">SUMIFS(tabela_registros[VALOR],tabela_registros[MÊS],$AE$1,tabela_registros[DIA],reservafixaconsolidado282933[[#Headers],[4]],tabela_registros[REGISTRO],DADOS!$N$6,tabela_registros[TIPO],DADOS!$AJ$3,tabela_registros[CATEGORIA],reservafixaconsolidado282933[[#This Row],[ATUAL]])</f>
        <v>0</v>
      </c>
      <c r="I175" s="119" t="n">
        <f aca="false">SUMIFS(tabela_registros[VALOR],tabela_registros[MÊS],$AE$1,tabela_registros[DIA],reservafixaconsolidado282933[[#Headers],[5]],tabela_registros[REGISTRO],DADOS!$N$6,tabela_registros[TIPO],DADOS!$AJ$3,tabela_registros[CATEGORIA],reservafixaconsolidado282933[[#This Row],[ATUAL]])</f>
        <v>0</v>
      </c>
      <c r="J175" s="119" t="n">
        <f aca="false">SUMIFS(tabela_registros[VALOR],tabela_registros[MÊS],$AE$1,tabela_registros[DIA],reservafixaconsolidado282933[[#Headers],[6]],tabela_registros[REGISTRO],DADOS!$N$6,tabela_registros[TIPO],DADOS!$AJ$3,tabela_registros[CATEGORIA],reservafixaconsolidado282933[[#This Row],[ATUAL]])</f>
        <v>0</v>
      </c>
      <c r="K175" s="119" t="n">
        <f aca="false">SUMIFS(tabela_registros[VALOR],tabela_registros[MÊS],$AE$1,tabela_registros[DIA],reservafixaconsolidado282933[[#Headers],[7]],tabela_registros[REGISTRO],DADOS!$N$6,tabela_registros[TIPO],DADOS!$AJ$3,tabela_registros[CATEGORIA],reservafixaconsolidado282933[[#This Row],[ATUAL]])</f>
        <v>0</v>
      </c>
      <c r="L175" s="119" t="n">
        <f aca="false">SUMIFS(tabela_registros[VALOR],tabela_registros[MÊS],$AE$1,tabela_registros[DIA],reservafixaconsolidado282933[[#Headers],[8]],tabela_registros[REGISTRO],DADOS!$N$6,tabela_registros[TIPO],DADOS!$AJ$3,tabela_registros[CATEGORIA],reservafixaconsolidado282933[[#This Row],[ATUAL]])</f>
        <v>0</v>
      </c>
      <c r="M175" s="119" t="n">
        <f aca="false">SUMIFS(tabela_registros[VALOR],tabela_registros[MÊS],$AE$1,tabela_registros[DIA],reservafixaconsolidado282933[[#Headers],[9]],tabela_registros[REGISTRO],DADOS!$N$6,tabela_registros[TIPO],DADOS!$AJ$3,tabela_registros[CATEGORIA],reservafixaconsolidado282933[[#This Row],[ATUAL]])</f>
        <v>0</v>
      </c>
      <c r="N175" s="119" t="n">
        <f aca="false">SUMIFS(tabela_registros[VALOR],tabela_registros[MÊS],$AE$1,tabela_registros[DIA],reservafixaconsolidado282933[[#Headers],[10]],tabela_registros[REGISTRO],DADOS!$N$6,tabela_registros[TIPO],DADOS!$AJ$3,tabela_registros[CATEGORIA],reservafixaconsolidado282933[[#This Row],[ATUAL]])</f>
        <v>0</v>
      </c>
      <c r="O175" s="119" t="n">
        <f aca="false">SUMIFS(tabela_registros[VALOR],tabela_registros[MÊS],$AE$1,tabela_registros[DIA],reservafixaconsolidado282933[[#Headers],[11]],tabela_registros[REGISTRO],DADOS!$N$6,tabela_registros[TIPO],DADOS!$AJ$3,tabela_registros[CATEGORIA],reservafixaconsolidado282933[[#This Row],[ATUAL]])</f>
        <v>0</v>
      </c>
      <c r="P175" s="119" t="n">
        <f aca="false">SUMIFS(tabela_registros[VALOR],tabela_registros[MÊS],$AE$1,tabela_registros[DIA],reservafixaconsolidado282933[[#Headers],[12]],tabela_registros[REGISTRO],DADOS!$N$6,tabela_registros[TIPO],DADOS!$AJ$3,tabela_registros[CATEGORIA],reservafixaconsolidado282933[[#This Row],[ATUAL]])</f>
        <v>0</v>
      </c>
      <c r="Q175" s="119" t="n">
        <f aca="false">SUMIFS(tabela_registros[VALOR],tabela_registros[MÊS],$AE$1,tabela_registros[DIA],reservafixaconsolidado282933[[#Headers],[13]],tabela_registros[REGISTRO],DADOS!$N$6,tabela_registros[TIPO],DADOS!$AJ$3,tabela_registros[CATEGORIA],reservafixaconsolidado282933[[#This Row],[ATUAL]])</f>
        <v>0</v>
      </c>
      <c r="R175" s="119" t="n">
        <f aca="false">SUMIFS(tabela_registros[VALOR],tabela_registros[MÊS],$AE$1,tabela_registros[DIA],reservafixaconsolidado282933[[#Headers],[14]],tabela_registros[REGISTRO],DADOS!$N$6,tabela_registros[TIPO],DADOS!$AJ$3,tabela_registros[CATEGORIA],reservafixaconsolidado282933[[#This Row],[ATUAL]])</f>
        <v>0</v>
      </c>
      <c r="S175" s="119" t="n">
        <f aca="false">SUMIFS(tabela_registros[VALOR],tabela_registros[MÊS],$AE$1,tabela_registros[DIA],reservafixaconsolidado282933[[#Headers],[15]],tabela_registros[REGISTRO],DADOS!$N$6,tabela_registros[TIPO],DADOS!$AJ$3,tabela_registros[CATEGORIA],reservafixaconsolidado282933[[#This Row],[ATUAL]])</f>
        <v>0</v>
      </c>
      <c r="T175" s="119" t="n">
        <f aca="false">SUMIFS(tabela_registros[VALOR],tabela_registros[MÊS],$AE$1,tabela_registros[DIA],reservafixaconsolidado282933[[#Headers],[16]],tabela_registros[REGISTRO],DADOS!$N$6,tabela_registros[TIPO],DADOS!$AJ$3,tabela_registros[CATEGORIA],reservafixaconsolidado282933[[#This Row],[ATUAL]])</f>
        <v>0</v>
      </c>
      <c r="U175" s="119" t="n">
        <f aca="false">SUMIFS(tabela_registros[VALOR],tabela_registros[MÊS],$AE$1,tabela_registros[DIA],reservafixaconsolidado282933[[#Headers],[17]],tabela_registros[REGISTRO],DADOS!$N$6,tabela_registros[TIPO],DADOS!$AJ$3,tabela_registros[CATEGORIA],reservafixaconsolidado282933[[#This Row],[ATUAL]])</f>
        <v>0</v>
      </c>
      <c r="V175" s="119" t="n">
        <f aca="false">SUMIFS(tabela_registros[VALOR],tabela_registros[MÊS],$AE$1,tabela_registros[DIA],reservafixaconsolidado282933[[#Headers],[18]],tabela_registros[REGISTRO],DADOS!$N$6,tabela_registros[TIPO],DADOS!$AJ$3,tabela_registros[CATEGORIA],reservafixaconsolidado282933[[#This Row],[ATUAL]])</f>
        <v>0</v>
      </c>
      <c r="W175" s="119" t="n">
        <f aca="false">SUMIFS(tabela_registros[VALOR],tabela_registros[MÊS],$AE$1,tabela_registros[DIA],reservafixaconsolidado282933[[#Headers],[19]],tabela_registros[REGISTRO],DADOS!$N$6,tabela_registros[TIPO],DADOS!$AJ$3,tabela_registros[CATEGORIA],reservafixaconsolidado282933[[#This Row],[ATUAL]])</f>
        <v>0</v>
      </c>
      <c r="X175" s="119" t="n">
        <f aca="false">SUMIFS(tabela_registros[VALOR],tabela_registros[MÊS],$AE$1,tabela_registros[DIA],reservafixaconsolidado282933[[#Headers],[20]],tabela_registros[REGISTRO],DADOS!$N$6,tabela_registros[TIPO],DADOS!$AJ$3,tabela_registros[CATEGORIA],reservafixaconsolidado282933[[#This Row],[ATUAL]])</f>
        <v>0</v>
      </c>
      <c r="Y175" s="119" t="n">
        <f aca="false">SUMIFS(tabela_registros[VALOR],tabela_registros[MÊS],$AE$1,tabela_registros[DIA],reservafixaconsolidado282933[[#Headers],[21]],tabela_registros[REGISTRO],DADOS!$N$6,tabela_registros[TIPO],DADOS!$AJ$3,tabela_registros[CATEGORIA],reservafixaconsolidado282933[[#This Row],[ATUAL]])</f>
        <v>0</v>
      </c>
      <c r="Z175" s="119" t="n">
        <f aca="false">SUMIFS(tabela_registros[VALOR],tabela_registros[MÊS],$AE$1,tabela_registros[DIA],reservafixaconsolidado282933[[#Headers],[22]],tabela_registros[REGISTRO],DADOS!$N$6,tabela_registros[TIPO],DADOS!$AJ$3,tabela_registros[CATEGORIA],reservafixaconsolidado282933[[#This Row],[ATUAL]])</f>
        <v>0</v>
      </c>
      <c r="AA175" s="119" t="n">
        <f aca="false">SUMIFS(tabela_registros[VALOR],tabela_registros[MÊS],$AE$1,tabela_registros[DIA],reservafixaconsolidado282933[[#Headers],[23]],tabela_registros[REGISTRO],DADOS!$N$6,tabela_registros[TIPO],DADOS!$AJ$3,tabela_registros[CATEGORIA],reservafixaconsolidado282933[[#This Row],[ATUAL]])</f>
        <v>0</v>
      </c>
      <c r="AB175" s="119" t="n">
        <f aca="false">SUMIFS(tabela_registros[VALOR],tabela_registros[MÊS],$AE$1,tabela_registros[DIA],reservafixaconsolidado282933[[#Headers],[24]],tabela_registros[REGISTRO],DADOS!$N$6,tabela_registros[TIPO],DADOS!$AJ$3,tabela_registros[CATEGORIA],reservafixaconsolidado282933[[#This Row],[ATUAL]])</f>
        <v>0</v>
      </c>
      <c r="AC175" s="119" t="n">
        <f aca="false">SUMIFS(tabela_registros[VALOR],tabela_registros[MÊS],$AE$1,tabela_registros[DIA],reservafixaconsolidado282933[[#Headers],[25]],tabela_registros[REGISTRO],DADOS!$N$6,tabela_registros[TIPO],DADOS!$AJ$3,tabela_registros[CATEGORIA],reservafixaconsolidado282933[[#This Row],[ATUAL]])</f>
        <v>0</v>
      </c>
      <c r="AD175" s="119" t="n">
        <f aca="false">SUMIFS(tabela_registros[VALOR],tabela_registros[MÊS],$AE$1,tabela_registros[DIA],reservafixaconsolidado282933[[#Headers],[26]],tabela_registros[REGISTRO],DADOS!$N$6,tabela_registros[TIPO],DADOS!$AJ$3,tabela_registros[CATEGORIA],reservafixaconsolidado282933[[#This Row],[ATUAL]])</f>
        <v>0</v>
      </c>
      <c r="AE175" s="119" t="n">
        <f aca="false">SUMIFS(tabela_registros[VALOR],tabela_registros[MÊS],$AE$1,tabela_registros[DIA],reservafixaconsolidado282933[[#Headers],[27]],tabela_registros[REGISTRO],DADOS!$N$6,tabela_registros[TIPO],DADOS!$AJ$3,tabela_registros[CATEGORIA],reservafixaconsolidado282933[[#This Row],[ATUAL]])</f>
        <v>0</v>
      </c>
      <c r="AF175" s="119" t="n">
        <f aca="false">SUMIFS(tabela_registros[VALOR],tabela_registros[MÊS],$AE$1,tabela_registros[DIA],reservafixaconsolidado282933[[#Headers],[28]],tabela_registros[REGISTRO],DADOS!$N$6,tabela_registros[TIPO],DADOS!$AJ$3,tabela_registros[CATEGORIA],reservafixaconsolidado282933[[#This Row],[ATUAL]])</f>
        <v>0</v>
      </c>
      <c r="AG175" s="119" t="n">
        <f aca="false">SUMIFS(tabela_registros[VALOR],tabela_registros[MÊS],$AE$1,tabela_registros[DIA],reservafixaconsolidado282933[[#Headers],[29]],tabela_registros[REGISTRO],DADOS!$N$6,tabela_registros[TIPO],DADOS!$AJ$3,tabela_registros[CATEGORIA],reservafixaconsolidado282933[[#This Row],[ATUAL]])</f>
        <v>0</v>
      </c>
      <c r="AH175" s="119" t="n">
        <f aca="false">SUMIFS(tabela_registros[VALOR],tabela_registros[MÊS],$AE$1,tabela_registros[DIA],reservafixaconsolidado282933[[#Headers],[30]],tabela_registros[REGISTRO],DADOS!$N$6,tabela_registros[TIPO],DADOS!$AJ$3,tabela_registros[CATEGORIA],reservafixaconsolidado282933[[#This Row],[ATUAL]])</f>
        <v>0</v>
      </c>
      <c r="AI175" s="217" t="n">
        <f aca="false">SUMIFS(tabela_registros[VALOR],tabela_registros[MÊS],$AE$1,tabela_registros[DIA],reservafixaconsolidado282933[[#Headers],[31]],tabela_registros[REGISTRO],DADOS!$N$6,tabela_registros[TIPO],DADOS!$AJ$3,tabela_registros[CATEGORIA],reservafixaconsolidado282933[[#This Row],[ATUAL]])</f>
        <v>0</v>
      </c>
      <c r="AJ175" s="149" t="n">
        <f aca="false">SUM(reservafixaconsolidado282933[[#This Row],[1]:[31]])</f>
        <v>0</v>
      </c>
      <c r="AK175" s="234"/>
      <c r="AL175" s="189"/>
    </row>
    <row r="176" customFormat="false" ht="19.5" hidden="false" customHeight="true" outlineLevel="0" collapsed="false">
      <c r="A176" s="189"/>
      <c r="B176" s="213"/>
      <c r="C176" s="214" t="str">
        <f aca="false">DADOS!$AL$11</f>
        <v>📝 TESOURO DIRETO</v>
      </c>
      <c r="D176" s="215" t="str">
        <f aca="false">IF(reservafixaconsolidado282933[[#This Row],[TOTAL (R$)]]=0,"",IF(OR(reservafixaconsolidado282933[[#This Row],[TOTAL (R$)]]=LARGE($AJ$168:$AJ$177,1),reservafixaconsolidado282933[[#This Row],[TOTAL (R$)]]=LARGE($AJ$168:$AJ$177,2)),DADOS!$I$11,""))</f>
        <v/>
      </c>
      <c r="E176" s="148" t="n">
        <f aca="false">SUMIFS(tabela_registros[VALOR],tabela_registros[MÊS],$AE$1,tabela_registros[DIA],reservafixaconsolidado282933[[#Headers],[1]],tabela_registros[REGISTRO],DADOS!$N$6,tabela_registros[TIPO],DADOS!$AJ$3,tabela_registros[CATEGORIA],reservafixaconsolidado282933[[#This Row],[ATUAL]])</f>
        <v>0</v>
      </c>
      <c r="F176" s="119" t="n">
        <f aca="false">SUMIFS(tabela_registros[VALOR],tabela_registros[MÊS],$AE$1,tabela_registros[DIA],reservafixaconsolidado282933[[#Headers],[2]],tabela_registros[REGISTRO],DADOS!$N$6,tabela_registros[TIPO],DADOS!$AJ$3,tabela_registros[CATEGORIA],reservafixaconsolidado282933[[#This Row],[ATUAL]])</f>
        <v>0</v>
      </c>
      <c r="G176" s="119" t="n">
        <f aca="false">SUMIFS(tabela_registros[VALOR],tabela_registros[MÊS],$AE$1,tabela_registros[DIA],reservafixaconsolidado282933[[#Headers],[3]],tabela_registros[REGISTRO],DADOS!$N$6,tabela_registros[TIPO],DADOS!$AJ$3,tabela_registros[CATEGORIA],reservafixaconsolidado282933[[#This Row],[ATUAL]])</f>
        <v>0</v>
      </c>
      <c r="H176" s="119" t="n">
        <f aca="false">SUMIFS(tabela_registros[VALOR],tabela_registros[MÊS],$AE$1,tabela_registros[DIA],reservafixaconsolidado282933[[#Headers],[4]],tabela_registros[REGISTRO],DADOS!$N$6,tabela_registros[TIPO],DADOS!$AJ$3,tabela_registros[CATEGORIA],reservafixaconsolidado282933[[#This Row],[ATUAL]])</f>
        <v>0</v>
      </c>
      <c r="I176" s="119" t="n">
        <f aca="false">SUMIFS(tabela_registros[VALOR],tabela_registros[MÊS],$AE$1,tabela_registros[DIA],reservafixaconsolidado282933[[#Headers],[5]],tabela_registros[REGISTRO],DADOS!$N$6,tabela_registros[TIPO],DADOS!$AJ$3,tabela_registros[CATEGORIA],reservafixaconsolidado282933[[#This Row],[ATUAL]])</f>
        <v>0</v>
      </c>
      <c r="J176" s="119" t="n">
        <f aca="false">SUMIFS(tabela_registros[VALOR],tabela_registros[MÊS],$AE$1,tabela_registros[DIA],reservafixaconsolidado282933[[#Headers],[6]],tabela_registros[REGISTRO],DADOS!$N$6,tabela_registros[TIPO],DADOS!$AJ$3,tabela_registros[CATEGORIA],reservafixaconsolidado282933[[#This Row],[ATUAL]])</f>
        <v>0</v>
      </c>
      <c r="K176" s="119" t="n">
        <f aca="false">SUMIFS(tabela_registros[VALOR],tabela_registros[MÊS],$AE$1,tabela_registros[DIA],reservafixaconsolidado282933[[#Headers],[7]],tabela_registros[REGISTRO],DADOS!$N$6,tabela_registros[TIPO],DADOS!$AJ$3,tabela_registros[CATEGORIA],reservafixaconsolidado282933[[#This Row],[ATUAL]])</f>
        <v>0</v>
      </c>
      <c r="L176" s="119" t="n">
        <f aca="false">SUMIFS(tabela_registros[VALOR],tabela_registros[MÊS],$AE$1,tabela_registros[DIA],reservafixaconsolidado282933[[#Headers],[8]],tabela_registros[REGISTRO],DADOS!$N$6,tabela_registros[TIPO],DADOS!$AJ$3,tabela_registros[CATEGORIA],reservafixaconsolidado282933[[#This Row],[ATUAL]])</f>
        <v>0</v>
      </c>
      <c r="M176" s="119" t="n">
        <f aca="false">SUMIFS(tabela_registros[VALOR],tabela_registros[MÊS],$AE$1,tabela_registros[DIA],reservafixaconsolidado282933[[#Headers],[9]],tabela_registros[REGISTRO],DADOS!$N$6,tabela_registros[TIPO],DADOS!$AJ$3,tabela_registros[CATEGORIA],reservafixaconsolidado282933[[#This Row],[ATUAL]])</f>
        <v>0</v>
      </c>
      <c r="N176" s="119" t="n">
        <f aca="false">SUMIFS(tabela_registros[VALOR],tabela_registros[MÊS],$AE$1,tabela_registros[DIA],reservafixaconsolidado282933[[#Headers],[10]],tabela_registros[REGISTRO],DADOS!$N$6,tabela_registros[TIPO],DADOS!$AJ$3,tabela_registros[CATEGORIA],reservafixaconsolidado282933[[#This Row],[ATUAL]])</f>
        <v>0</v>
      </c>
      <c r="O176" s="119" t="n">
        <f aca="false">SUMIFS(tabela_registros[VALOR],tabela_registros[MÊS],$AE$1,tabela_registros[DIA],reservafixaconsolidado282933[[#Headers],[11]],tabela_registros[REGISTRO],DADOS!$N$6,tabela_registros[TIPO],DADOS!$AJ$3,tabela_registros[CATEGORIA],reservafixaconsolidado282933[[#This Row],[ATUAL]])</f>
        <v>0</v>
      </c>
      <c r="P176" s="119" t="n">
        <f aca="false">SUMIFS(tabela_registros[VALOR],tabela_registros[MÊS],$AE$1,tabela_registros[DIA],reservafixaconsolidado282933[[#Headers],[12]],tabela_registros[REGISTRO],DADOS!$N$6,tabela_registros[TIPO],DADOS!$AJ$3,tabela_registros[CATEGORIA],reservafixaconsolidado282933[[#This Row],[ATUAL]])</f>
        <v>0</v>
      </c>
      <c r="Q176" s="119" t="n">
        <f aca="false">SUMIFS(tabela_registros[VALOR],tabela_registros[MÊS],$AE$1,tabela_registros[DIA],reservafixaconsolidado282933[[#Headers],[13]],tabela_registros[REGISTRO],DADOS!$N$6,tabela_registros[TIPO],DADOS!$AJ$3,tabela_registros[CATEGORIA],reservafixaconsolidado282933[[#This Row],[ATUAL]])</f>
        <v>0</v>
      </c>
      <c r="R176" s="119" t="n">
        <f aca="false">SUMIFS(tabela_registros[VALOR],tabela_registros[MÊS],$AE$1,tabela_registros[DIA],reservafixaconsolidado282933[[#Headers],[14]],tabela_registros[REGISTRO],DADOS!$N$6,tabela_registros[TIPO],DADOS!$AJ$3,tabela_registros[CATEGORIA],reservafixaconsolidado282933[[#This Row],[ATUAL]])</f>
        <v>0</v>
      </c>
      <c r="S176" s="119" t="n">
        <f aca="false">SUMIFS(tabela_registros[VALOR],tabela_registros[MÊS],$AE$1,tabela_registros[DIA],reservafixaconsolidado282933[[#Headers],[15]],tabela_registros[REGISTRO],DADOS!$N$6,tabela_registros[TIPO],DADOS!$AJ$3,tabela_registros[CATEGORIA],reservafixaconsolidado282933[[#This Row],[ATUAL]])</f>
        <v>0</v>
      </c>
      <c r="T176" s="119" t="n">
        <f aca="false">SUMIFS(tabela_registros[VALOR],tabela_registros[MÊS],$AE$1,tabela_registros[DIA],reservafixaconsolidado282933[[#Headers],[16]],tabela_registros[REGISTRO],DADOS!$N$6,tabela_registros[TIPO],DADOS!$AJ$3,tabela_registros[CATEGORIA],reservafixaconsolidado282933[[#This Row],[ATUAL]])</f>
        <v>0</v>
      </c>
      <c r="U176" s="119" t="n">
        <f aca="false">SUMIFS(tabela_registros[VALOR],tabela_registros[MÊS],$AE$1,tabela_registros[DIA],reservafixaconsolidado282933[[#Headers],[17]],tabela_registros[REGISTRO],DADOS!$N$6,tabela_registros[TIPO],DADOS!$AJ$3,tabela_registros[CATEGORIA],reservafixaconsolidado282933[[#This Row],[ATUAL]])</f>
        <v>0</v>
      </c>
      <c r="V176" s="119" t="n">
        <f aca="false">SUMIFS(tabela_registros[VALOR],tabela_registros[MÊS],$AE$1,tabela_registros[DIA],reservafixaconsolidado282933[[#Headers],[18]],tabela_registros[REGISTRO],DADOS!$N$6,tabela_registros[TIPO],DADOS!$AJ$3,tabela_registros[CATEGORIA],reservafixaconsolidado282933[[#This Row],[ATUAL]])</f>
        <v>0</v>
      </c>
      <c r="W176" s="119" t="n">
        <f aca="false">SUMIFS(tabela_registros[VALOR],tabela_registros[MÊS],$AE$1,tabela_registros[DIA],reservafixaconsolidado282933[[#Headers],[19]],tabela_registros[REGISTRO],DADOS!$N$6,tabela_registros[TIPO],DADOS!$AJ$3,tabela_registros[CATEGORIA],reservafixaconsolidado282933[[#This Row],[ATUAL]])</f>
        <v>0</v>
      </c>
      <c r="X176" s="119" t="n">
        <f aca="false">SUMIFS(tabela_registros[VALOR],tabela_registros[MÊS],$AE$1,tabela_registros[DIA],reservafixaconsolidado282933[[#Headers],[20]],tabela_registros[REGISTRO],DADOS!$N$6,tabela_registros[TIPO],DADOS!$AJ$3,tabela_registros[CATEGORIA],reservafixaconsolidado282933[[#This Row],[ATUAL]])</f>
        <v>0</v>
      </c>
      <c r="Y176" s="119" t="n">
        <f aca="false">SUMIFS(tabela_registros[VALOR],tabela_registros[MÊS],$AE$1,tabela_registros[DIA],reservafixaconsolidado282933[[#Headers],[21]],tabela_registros[REGISTRO],DADOS!$N$6,tabela_registros[TIPO],DADOS!$AJ$3,tabela_registros[CATEGORIA],reservafixaconsolidado282933[[#This Row],[ATUAL]])</f>
        <v>0</v>
      </c>
      <c r="Z176" s="119" t="n">
        <f aca="false">SUMIFS(tabela_registros[VALOR],tabela_registros[MÊS],$AE$1,tabela_registros[DIA],reservafixaconsolidado282933[[#Headers],[22]],tabela_registros[REGISTRO],DADOS!$N$6,tabela_registros[TIPO],DADOS!$AJ$3,tabela_registros[CATEGORIA],reservafixaconsolidado282933[[#This Row],[ATUAL]])</f>
        <v>0</v>
      </c>
      <c r="AA176" s="119" t="n">
        <f aca="false">SUMIFS(tabela_registros[VALOR],tabela_registros[MÊS],$AE$1,tabela_registros[DIA],reservafixaconsolidado282933[[#Headers],[23]],tabela_registros[REGISTRO],DADOS!$N$6,tabela_registros[TIPO],DADOS!$AJ$3,tabela_registros[CATEGORIA],reservafixaconsolidado282933[[#This Row],[ATUAL]])</f>
        <v>0</v>
      </c>
      <c r="AB176" s="119" t="n">
        <f aca="false">SUMIFS(tabela_registros[VALOR],tabela_registros[MÊS],$AE$1,tabela_registros[DIA],reservafixaconsolidado282933[[#Headers],[24]],tabela_registros[REGISTRO],DADOS!$N$6,tabela_registros[TIPO],DADOS!$AJ$3,tabela_registros[CATEGORIA],reservafixaconsolidado282933[[#This Row],[ATUAL]])</f>
        <v>0</v>
      </c>
      <c r="AC176" s="119" t="n">
        <f aca="false">SUMIFS(tabela_registros[VALOR],tabela_registros[MÊS],$AE$1,tabela_registros[DIA],reservafixaconsolidado282933[[#Headers],[25]],tabela_registros[REGISTRO],DADOS!$N$6,tabela_registros[TIPO],DADOS!$AJ$3,tabela_registros[CATEGORIA],reservafixaconsolidado282933[[#This Row],[ATUAL]])</f>
        <v>0</v>
      </c>
      <c r="AD176" s="119" t="n">
        <f aca="false">SUMIFS(tabela_registros[VALOR],tabela_registros[MÊS],$AE$1,tabela_registros[DIA],reservafixaconsolidado282933[[#Headers],[26]],tabela_registros[REGISTRO],DADOS!$N$6,tabela_registros[TIPO],DADOS!$AJ$3,tabela_registros[CATEGORIA],reservafixaconsolidado282933[[#This Row],[ATUAL]])</f>
        <v>0</v>
      </c>
      <c r="AE176" s="119" t="n">
        <f aca="false">SUMIFS(tabela_registros[VALOR],tabela_registros[MÊS],$AE$1,tabela_registros[DIA],reservafixaconsolidado282933[[#Headers],[27]],tabela_registros[REGISTRO],DADOS!$N$6,tabela_registros[TIPO],DADOS!$AJ$3,tabela_registros[CATEGORIA],reservafixaconsolidado282933[[#This Row],[ATUAL]])</f>
        <v>0</v>
      </c>
      <c r="AF176" s="119" t="n">
        <f aca="false">SUMIFS(tabela_registros[VALOR],tabela_registros[MÊS],$AE$1,tabela_registros[DIA],reservafixaconsolidado282933[[#Headers],[28]],tabela_registros[REGISTRO],DADOS!$N$6,tabela_registros[TIPO],DADOS!$AJ$3,tabela_registros[CATEGORIA],reservafixaconsolidado282933[[#This Row],[ATUAL]])</f>
        <v>0</v>
      </c>
      <c r="AG176" s="119" t="n">
        <f aca="false">SUMIFS(tabela_registros[VALOR],tabela_registros[MÊS],$AE$1,tabela_registros[DIA],reservafixaconsolidado282933[[#Headers],[29]],tabela_registros[REGISTRO],DADOS!$N$6,tabela_registros[TIPO],DADOS!$AJ$3,tabela_registros[CATEGORIA],reservafixaconsolidado282933[[#This Row],[ATUAL]])</f>
        <v>0</v>
      </c>
      <c r="AH176" s="119" t="n">
        <f aca="false">SUMIFS(tabela_registros[VALOR],tabela_registros[MÊS],$AE$1,tabela_registros[DIA],reservafixaconsolidado282933[[#Headers],[30]],tabela_registros[REGISTRO],DADOS!$N$6,tabela_registros[TIPO],DADOS!$AJ$3,tabela_registros[CATEGORIA],reservafixaconsolidado282933[[#This Row],[ATUAL]])</f>
        <v>0</v>
      </c>
      <c r="AI176" s="217" t="n">
        <f aca="false">SUMIFS(tabela_registros[VALOR],tabela_registros[MÊS],$AE$1,tabela_registros[DIA],reservafixaconsolidado282933[[#Headers],[31]],tabela_registros[REGISTRO],DADOS!$N$6,tabela_registros[TIPO],DADOS!$AJ$3,tabela_registros[CATEGORIA],reservafixaconsolidado282933[[#This Row],[ATUAL]])</f>
        <v>0</v>
      </c>
      <c r="AJ176" s="149" t="n">
        <f aca="false">SUM(reservafixaconsolidado282933[[#This Row],[1]:[31]])</f>
        <v>0</v>
      </c>
      <c r="AK176" s="234"/>
      <c r="AL176" s="189"/>
    </row>
    <row r="177" customFormat="false" ht="19.5" hidden="false" customHeight="true" outlineLevel="0" collapsed="false">
      <c r="A177" s="189"/>
      <c r="B177" s="213"/>
      <c r="C177" s="214" t="str">
        <f aca="false">DADOS!$AL$12</f>
        <v>📎 OUTROS</v>
      </c>
      <c r="D177" s="215" t="str">
        <f aca="false">IF(reservafixaconsolidado282933[[#This Row],[TOTAL (R$)]]=0,"",IF(OR(reservafixaconsolidado282933[[#This Row],[TOTAL (R$)]]=LARGE($AJ$168:$AJ$177,1),reservafixaconsolidado282933[[#This Row],[TOTAL (R$)]]=LARGE($AJ$168:$AJ$177,2)),DADOS!$I$11,""))</f>
        <v/>
      </c>
      <c r="E177" s="148" t="n">
        <f aca="false">SUMIFS(tabela_registros[VALOR],tabela_registros[MÊS],$AE$1,tabela_registros[DIA],reservafixaconsolidado282933[[#Headers],[1]],tabela_registros[REGISTRO],DADOS!$N$6,tabela_registros[TIPO],DADOS!$AJ$3,tabela_registros[CATEGORIA],reservafixaconsolidado282933[[#This Row],[ATUAL]])</f>
        <v>0</v>
      </c>
      <c r="F177" s="119" t="n">
        <f aca="false">SUMIFS(tabela_registros[VALOR],tabela_registros[MÊS],$AE$1,tabela_registros[DIA],reservafixaconsolidado282933[[#Headers],[2]],tabela_registros[REGISTRO],DADOS!$N$6,tabela_registros[TIPO],DADOS!$AJ$3,tabela_registros[CATEGORIA],reservafixaconsolidado282933[[#This Row],[ATUAL]])</f>
        <v>0</v>
      </c>
      <c r="G177" s="119" t="n">
        <f aca="false">SUMIFS(tabela_registros[VALOR],tabela_registros[MÊS],$AE$1,tabela_registros[DIA],reservafixaconsolidado282933[[#Headers],[3]],tabela_registros[REGISTRO],DADOS!$N$6,tabela_registros[TIPO],DADOS!$AJ$3,tabela_registros[CATEGORIA],reservafixaconsolidado282933[[#This Row],[ATUAL]])</f>
        <v>0</v>
      </c>
      <c r="H177" s="119" t="n">
        <f aca="false">SUMIFS(tabela_registros[VALOR],tabela_registros[MÊS],$AE$1,tabela_registros[DIA],reservafixaconsolidado282933[[#Headers],[4]],tabela_registros[REGISTRO],DADOS!$N$6,tabela_registros[TIPO],DADOS!$AJ$3,tabela_registros[CATEGORIA],reservafixaconsolidado282933[[#This Row],[ATUAL]])</f>
        <v>0</v>
      </c>
      <c r="I177" s="119" t="n">
        <f aca="false">SUMIFS(tabela_registros[VALOR],tabela_registros[MÊS],$AE$1,tabela_registros[DIA],reservafixaconsolidado282933[[#Headers],[5]],tabela_registros[REGISTRO],DADOS!$N$6,tabela_registros[TIPO],DADOS!$AJ$3,tabela_registros[CATEGORIA],reservafixaconsolidado282933[[#This Row],[ATUAL]])</f>
        <v>0</v>
      </c>
      <c r="J177" s="119" t="n">
        <f aca="false">SUMIFS(tabela_registros[VALOR],tabela_registros[MÊS],$AE$1,tabela_registros[DIA],reservafixaconsolidado282933[[#Headers],[6]],tabela_registros[REGISTRO],DADOS!$N$6,tabela_registros[TIPO],DADOS!$AJ$3,tabela_registros[CATEGORIA],reservafixaconsolidado282933[[#This Row],[ATUAL]])</f>
        <v>0</v>
      </c>
      <c r="K177" s="119" t="n">
        <f aca="false">SUMIFS(tabela_registros[VALOR],tabela_registros[MÊS],$AE$1,tabela_registros[DIA],reservafixaconsolidado282933[[#Headers],[7]],tabela_registros[REGISTRO],DADOS!$N$6,tabela_registros[TIPO],DADOS!$AJ$3,tabela_registros[CATEGORIA],reservafixaconsolidado282933[[#This Row],[ATUAL]])</f>
        <v>0</v>
      </c>
      <c r="L177" s="119" t="n">
        <f aca="false">SUMIFS(tabela_registros[VALOR],tabela_registros[MÊS],$AE$1,tabela_registros[DIA],reservafixaconsolidado282933[[#Headers],[8]],tabela_registros[REGISTRO],DADOS!$N$6,tabela_registros[TIPO],DADOS!$AJ$3,tabela_registros[CATEGORIA],reservafixaconsolidado282933[[#This Row],[ATUAL]])</f>
        <v>0</v>
      </c>
      <c r="M177" s="119" t="n">
        <f aca="false">SUMIFS(tabela_registros[VALOR],tabela_registros[MÊS],$AE$1,tabela_registros[DIA],reservafixaconsolidado282933[[#Headers],[9]],tabela_registros[REGISTRO],DADOS!$N$6,tabela_registros[TIPO],DADOS!$AJ$3,tabela_registros[CATEGORIA],reservafixaconsolidado282933[[#This Row],[ATUAL]])</f>
        <v>0</v>
      </c>
      <c r="N177" s="119" t="n">
        <f aca="false">SUMIFS(tabela_registros[VALOR],tabela_registros[MÊS],$AE$1,tabela_registros[DIA],reservafixaconsolidado282933[[#Headers],[10]],tabela_registros[REGISTRO],DADOS!$N$6,tabela_registros[TIPO],DADOS!$AJ$3,tabela_registros[CATEGORIA],reservafixaconsolidado282933[[#This Row],[ATUAL]])</f>
        <v>0</v>
      </c>
      <c r="O177" s="119" t="n">
        <f aca="false">SUMIFS(tabela_registros[VALOR],tabela_registros[MÊS],$AE$1,tabela_registros[DIA],reservafixaconsolidado282933[[#Headers],[11]],tabela_registros[REGISTRO],DADOS!$N$6,tabela_registros[TIPO],DADOS!$AJ$3,tabela_registros[CATEGORIA],reservafixaconsolidado282933[[#This Row],[ATUAL]])</f>
        <v>0</v>
      </c>
      <c r="P177" s="119" t="n">
        <f aca="false">SUMIFS(tabela_registros[VALOR],tabela_registros[MÊS],$AE$1,tabela_registros[DIA],reservafixaconsolidado282933[[#Headers],[12]],tabela_registros[REGISTRO],DADOS!$N$6,tabela_registros[TIPO],DADOS!$AJ$3,tabela_registros[CATEGORIA],reservafixaconsolidado282933[[#This Row],[ATUAL]])</f>
        <v>0</v>
      </c>
      <c r="Q177" s="119" t="n">
        <f aca="false">SUMIFS(tabela_registros[VALOR],tabela_registros[MÊS],$AE$1,tabela_registros[DIA],reservafixaconsolidado282933[[#Headers],[13]],tabela_registros[REGISTRO],DADOS!$N$6,tabela_registros[TIPO],DADOS!$AJ$3,tabela_registros[CATEGORIA],reservafixaconsolidado282933[[#This Row],[ATUAL]])</f>
        <v>0</v>
      </c>
      <c r="R177" s="119" t="n">
        <f aca="false">SUMIFS(tabela_registros[VALOR],tabela_registros[MÊS],$AE$1,tabela_registros[DIA],reservafixaconsolidado282933[[#Headers],[14]],tabela_registros[REGISTRO],DADOS!$N$6,tabela_registros[TIPO],DADOS!$AJ$3,tabela_registros[CATEGORIA],reservafixaconsolidado282933[[#This Row],[ATUAL]])</f>
        <v>0</v>
      </c>
      <c r="S177" s="119" t="n">
        <f aca="false">SUMIFS(tabela_registros[VALOR],tabela_registros[MÊS],$AE$1,tabela_registros[DIA],reservafixaconsolidado282933[[#Headers],[15]],tabela_registros[REGISTRO],DADOS!$N$6,tabela_registros[TIPO],DADOS!$AJ$3,tabela_registros[CATEGORIA],reservafixaconsolidado282933[[#This Row],[ATUAL]])</f>
        <v>0</v>
      </c>
      <c r="T177" s="119" t="n">
        <f aca="false">SUMIFS(tabela_registros[VALOR],tabela_registros[MÊS],$AE$1,tabela_registros[DIA],reservafixaconsolidado282933[[#Headers],[16]],tabela_registros[REGISTRO],DADOS!$N$6,tabela_registros[TIPO],DADOS!$AJ$3,tabela_registros[CATEGORIA],reservafixaconsolidado282933[[#This Row],[ATUAL]])</f>
        <v>0</v>
      </c>
      <c r="U177" s="119" t="n">
        <f aca="false">SUMIFS(tabela_registros[VALOR],tabela_registros[MÊS],$AE$1,tabela_registros[DIA],reservafixaconsolidado282933[[#Headers],[17]],tabela_registros[REGISTRO],DADOS!$N$6,tabela_registros[TIPO],DADOS!$AJ$3,tabela_registros[CATEGORIA],reservafixaconsolidado282933[[#This Row],[ATUAL]])</f>
        <v>0</v>
      </c>
      <c r="V177" s="119" t="n">
        <f aca="false">SUMIFS(tabela_registros[VALOR],tabela_registros[MÊS],$AE$1,tabela_registros[DIA],reservafixaconsolidado282933[[#Headers],[18]],tabela_registros[REGISTRO],DADOS!$N$6,tabela_registros[TIPO],DADOS!$AJ$3,tabela_registros[CATEGORIA],reservafixaconsolidado282933[[#This Row],[ATUAL]])</f>
        <v>0</v>
      </c>
      <c r="W177" s="119" t="n">
        <f aca="false">SUMIFS(tabela_registros[VALOR],tabela_registros[MÊS],$AE$1,tabela_registros[DIA],reservafixaconsolidado282933[[#Headers],[19]],tabela_registros[REGISTRO],DADOS!$N$6,tabela_registros[TIPO],DADOS!$AJ$3,tabela_registros[CATEGORIA],reservafixaconsolidado282933[[#This Row],[ATUAL]])</f>
        <v>0</v>
      </c>
      <c r="X177" s="119" t="n">
        <f aca="false">SUMIFS(tabela_registros[VALOR],tabela_registros[MÊS],$AE$1,tabela_registros[DIA],reservafixaconsolidado282933[[#Headers],[20]],tabela_registros[REGISTRO],DADOS!$N$6,tabela_registros[TIPO],DADOS!$AJ$3,tabela_registros[CATEGORIA],reservafixaconsolidado282933[[#This Row],[ATUAL]])</f>
        <v>0</v>
      </c>
      <c r="Y177" s="119" t="n">
        <f aca="false">SUMIFS(tabela_registros[VALOR],tabela_registros[MÊS],$AE$1,tabela_registros[DIA],reservafixaconsolidado282933[[#Headers],[21]],tabela_registros[REGISTRO],DADOS!$N$6,tabela_registros[TIPO],DADOS!$AJ$3,tabela_registros[CATEGORIA],reservafixaconsolidado282933[[#This Row],[ATUAL]])</f>
        <v>0</v>
      </c>
      <c r="Z177" s="119" t="n">
        <f aca="false">SUMIFS(tabela_registros[VALOR],tabela_registros[MÊS],$AE$1,tabela_registros[DIA],reservafixaconsolidado282933[[#Headers],[22]],tabela_registros[REGISTRO],DADOS!$N$6,tabela_registros[TIPO],DADOS!$AJ$3,tabela_registros[CATEGORIA],reservafixaconsolidado282933[[#This Row],[ATUAL]])</f>
        <v>0</v>
      </c>
      <c r="AA177" s="119" t="n">
        <f aca="false">SUMIFS(tabela_registros[VALOR],tabela_registros[MÊS],$AE$1,tabela_registros[DIA],reservafixaconsolidado282933[[#Headers],[23]],tabela_registros[REGISTRO],DADOS!$N$6,tabela_registros[TIPO],DADOS!$AJ$3,tabela_registros[CATEGORIA],reservafixaconsolidado282933[[#This Row],[ATUAL]])</f>
        <v>0</v>
      </c>
      <c r="AB177" s="119" t="n">
        <f aca="false">SUMIFS(tabela_registros[VALOR],tabela_registros[MÊS],$AE$1,tabela_registros[DIA],reservafixaconsolidado282933[[#Headers],[24]],tabela_registros[REGISTRO],DADOS!$N$6,tabela_registros[TIPO],DADOS!$AJ$3,tabela_registros[CATEGORIA],reservafixaconsolidado282933[[#This Row],[ATUAL]])</f>
        <v>0</v>
      </c>
      <c r="AC177" s="119" t="n">
        <f aca="false">SUMIFS(tabela_registros[VALOR],tabela_registros[MÊS],$AE$1,tabela_registros[DIA],reservafixaconsolidado282933[[#Headers],[25]],tabela_registros[REGISTRO],DADOS!$N$6,tabela_registros[TIPO],DADOS!$AJ$3,tabela_registros[CATEGORIA],reservafixaconsolidado282933[[#This Row],[ATUAL]])</f>
        <v>0</v>
      </c>
      <c r="AD177" s="119" t="n">
        <f aca="false">SUMIFS(tabela_registros[VALOR],tabela_registros[MÊS],$AE$1,tabela_registros[DIA],reservafixaconsolidado282933[[#Headers],[26]],tabela_registros[REGISTRO],DADOS!$N$6,tabela_registros[TIPO],DADOS!$AJ$3,tabela_registros[CATEGORIA],reservafixaconsolidado282933[[#This Row],[ATUAL]])</f>
        <v>0</v>
      </c>
      <c r="AE177" s="119" t="n">
        <f aca="false">SUMIFS(tabela_registros[VALOR],tabela_registros[MÊS],$AE$1,tabela_registros[DIA],reservafixaconsolidado282933[[#Headers],[27]],tabela_registros[REGISTRO],DADOS!$N$6,tabela_registros[TIPO],DADOS!$AJ$3,tabela_registros[CATEGORIA],reservafixaconsolidado282933[[#This Row],[ATUAL]])</f>
        <v>0</v>
      </c>
      <c r="AF177" s="119" t="n">
        <f aca="false">SUMIFS(tabela_registros[VALOR],tabela_registros[MÊS],$AE$1,tabela_registros[DIA],reservafixaconsolidado282933[[#Headers],[28]],tabela_registros[REGISTRO],DADOS!$N$6,tabela_registros[TIPO],DADOS!$AJ$3,tabela_registros[CATEGORIA],reservafixaconsolidado282933[[#This Row],[ATUAL]])</f>
        <v>0</v>
      </c>
      <c r="AG177" s="119" t="n">
        <f aca="false">SUMIFS(tabela_registros[VALOR],tabela_registros[MÊS],$AE$1,tabela_registros[DIA],reservafixaconsolidado282933[[#Headers],[29]],tabela_registros[REGISTRO],DADOS!$N$6,tabela_registros[TIPO],DADOS!$AJ$3,tabela_registros[CATEGORIA],reservafixaconsolidado282933[[#This Row],[ATUAL]])</f>
        <v>0</v>
      </c>
      <c r="AH177" s="119" t="n">
        <f aca="false">SUMIFS(tabela_registros[VALOR],tabela_registros[MÊS],$AE$1,tabela_registros[DIA],reservafixaconsolidado282933[[#Headers],[30]],tabela_registros[REGISTRO],DADOS!$N$6,tabela_registros[TIPO],DADOS!$AJ$3,tabela_registros[CATEGORIA],reservafixaconsolidado282933[[#This Row],[ATUAL]])</f>
        <v>0</v>
      </c>
      <c r="AI177" s="218" t="n">
        <f aca="false">SUMIFS(tabela_registros[VALOR],tabela_registros[MÊS],$AE$1,tabela_registros[DIA],reservafixaconsolidado282933[[#Headers],[31]],tabela_registros[REGISTRO],DADOS!$N$6,tabela_registros[TIPO],DADOS!$AJ$3,tabela_registros[CATEGORIA],reservafixaconsolidado282933[[#This Row],[ATUAL]])</f>
        <v>0</v>
      </c>
      <c r="AJ177" s="149" t="n">
        <f aca="false">SUM(reservafixaconsolidado282933[[#This Row],[1]:[31]])</f>
        <v>0</v>
      </c>
      <c r="AK177" s="234"/>
      <c r="AL177" s="189"/>
    </row>
    <row r="178" s="122" customFormat="true" ht="21" hidden="false" customHeight="true" outlineLevel="0" collapsed="false">
      <c r="A178" s="199"/>
      <c r="B178" s="220"/>
      <c r="C178" s="221" t="s">
        <v>2</v>
      </c>
      <c r="D178" s="235"/>
      <c r="E178" s="155" t="n">
        <f aca="false">SUM(E168:E177)</f>
        <v>0</v>
      </c>
      <c r="F178" s="156" t="n">
        <f aca="false">SUM(F168:F177)+reservafixaconsolidado282933[[#This Row],[1]]</f>
        <v>0</v>
      </c>
      <c r="G178" s="156" t="n">
        <f aca="false">SUM(G168:G177)+reservafixaconsolidado282933[[#This Row],[2]]</f>
        <v>0</v>
      </c>
      <c r="H178" s="156" t="n">
        <f aca="false">SUM(H168:H177)+reservafixaconsolidado282933[[#This Row],[3]]</f>
        <v>0</v>
      </c>
      <c r="I178" s="156" t="n">
        <f aca="false">SUM(I168:I177)+reservafixaconsolidado282933[[#This Row],[4]]</f>
        <v>0</v>
      </c>
      <c r="J178" s="156" t="n">
        <f aca="false">SUM(J168:J177)+reservafixaconsolidado282933[[#This Row],[5]]</f>
        <v>0</v>
      </c>
      <c r="K178" s="156" t="n">
        <f aca="false">SUM(K168:K177)+reservafixaconsolidado282933[[#This Row],[6]]</f>
        <v>0</v>
      </c>
      <c r="L178" s="156" t="n">
        <f aca="false">SUM(L168:L177)+reservafixaconsolidado282933[[#This Row],[7]]</f>
        <v>0</v>
      </c>
      <c r="M178" s="156" t="n">
        <f aca="false">SUM(M168:M177)+reservafixaconsolidado282933[[#This Row],[8]]</f>
        <v>0</v>
      </c>
      <c r="N178" s="156" t="n">
        <f aca="false">SUM(N168:N177)+reservafixaconsolidado282933[[#This Row],[9]]</f>
        <v>0</v>
      </c>
      <c r="O178" s="156" t="n">
        <f aca="false">SUM(O168:O177)+reservafixaconsolidado282933[[#This Row],[10]]</f>
        <v>0</v>
      </c>
      <c r="P178" s="156" t="n">
        <f aca="false">SUM(P168:P177)+reservafixaconsolidado282933[[#This Row],[11]]</f>
        <v>0</v>
      </c>
      <c r="Q178" s="156" t="n">
        <f aca="false">SUM(Q168:Q177)+reservafixaconsolidado282933[[#This Row],[12]]</f>
        <v>0</v>
      </c>
      <c r="R178" s="156" t="n">
        <f aca="false">SUM(R168:R177)+reservafixaconsolidado282933[[#This Row],[13]]</f>
        <v>0</v>
      </c>
      <c r="S178" s="156" t="n">
        <f aca="false">SUM(S168:S177)+reservafixaconsolidado282933[[#This Row],[14]]</f>
        <v>0</v>
      </c>
      <c r="T178" s="156" t="n">
        <f aca="false">SUM(T168:T177)+reservafixaconsolidado282933[[#This Row],[15]]</f>
        <v>0</v>
      </c>
      <c r="U178" s="156" t="n">
        <f aca="false">SUM(U168:U177)+reservafixaconsolidado282933[[#This Row],[16]]</f>
        <v>0</v>
      </c>
      <c r="V178" s="156" t="n">
        <f aca="false">SUM(V168:V177)+reservafixaconsolidado282933[[#This Row],[17]]</f>
        <v>0</v>
      </c>
      <c r="W178" s="156" t="n">
        <f aca="false">SUM(W168:W177)+reservafixaconsolidado282933[[#This Row],[18]]</f>
        <v>0</v>
      </c>
      <c r="X178" s="156" t="n">
        <f aca="false">SUM(X168:X177)+reservafixaconsolidado282933[[#This Row],[19]]</f>
        <v>0</v>
      </c>
      <c r="Y178" s="156" t="n">
        <f aca="false">SUM(Y168:Y177)+reservafixaconsolidado282933[[#This Row],[20]]</f>
        <v>0</v>
      </c>
      <c r="Z178" s="156" t="n">
        <f aca="false">SUM(Z168:Z177)+reservafixaconsolidado282933[[#This Row],[21]]</f>
        <v>0</v>
      </c>
      <c r="AA178" s="156" t="n">
        <f aca="false">SUM(AA168:AA177)+reservafixaconsolidado282933[[#This Row],[22]]</f>
        <v>0</v>
      </c>
      <c r="AB178" s="156" t="n">
        <f aca="false">SUM(AB168:AB177)+reservafixaconsolidado282933[[#This Row],[23]]</f>
        <v>0</v>
      </c>
      <c r="AC178" s="156" t="n">
        <f aca="false">SUM(AC168:AC177)+reservafixaconsolidado282933[[#This Row],[24]]</f>
        <v>0</v>
      </c>
      <c r="AD178" s="156" t="n">
        <f aca="false">SUM(AD168:AD177)+reservafixaconsolidado282933[[#This Row],[25]]</f>
        <v>0</v>
      </c>
      <c r="AE178" s="156" t="n">
        <f aca="false">SUM(AE168:AE177)+reservafixaconsolidado282933[[#This Row],[26]]</f>
        <v>0</v>
      </c>
      <c r="AF178" s="156" t="n">
        <f aca="false">SUM(AF168:AF177)+reservafixaconsolidado282933[[#This Row],[27]]</f>
        <v>0</v>
      </c>
      <c r="AG178" s="156" t="n">
        <f aca="false">SUM(AG168:AG177)+reservafixaconsolidado282933[[#This Row],[28]]</f>
        <v>0</v>
      </c>
      <c r="AH178" s="156" t="n">
        <f aca="false">SUM(AH168:AH177)+reservafixaconsolidado282933[[#This Row],[29]]</f>
        <v>0</v>
      </c>
      <c r="AI178" s="223" t="n">
        <f aca="false">SUM(AI168:AI177)+reservafixaconsolidado282933[[#This Row],[30]]</f>
        <v>0</v>
      </c>
      <c r="AJ178" s="157" t="n">
        <f aca="false">reservafixaconsolidado282933[[#This Row],[31]]</f>
        <v>0</v>
      </c>
      <c r="AK178" s="224"/>
      <c r="AL178" s="199"/>
    </row>
    <row r="179" customFormat="false" ht="6.75" hidden="false" customHeight="true" outlineLevel="0" collapsed="false">
      <c r="A179" s="189"/>
      <c r="B179" s="185"/>
      <c r="C179" s="231"/>
      <c r="D179" s="232"/>
      <c r="E179" s="232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  <c r="Q179" s="232"/>
      <c r="R179" s="232"/>
      <c r="S179" s="232"/>
      <c r="T179" s="232"/>
      <c r="U179" s="232"/>
      <c r="V179" s="232"/>
      <c r="W179" s="232"/>
      <c r="X179" s="232"/>
      <c r="Y179" s="232"/>
      <c r="Z179" s="232"/>
      <c r="AA179" s="232"/>
      <c r="AB179" s="232"/>
      <c r="AC179" s="232"/>
      <c r="AD179" s="232"/>
      <c r="AE179" s="232"/>
      <c r="AF179" s="232"/>
      <c r="AG179" s="232"/>
      <c r="AH179" s="232"/>
      <c r="AI179" s="233"/>
      <c r="AJ179" s="236"/>
      <c r="AK179" s="228"/>
      <c r="AL179" s="189"/>
    </row>
    <row r="180" customFormat="false" ht="12.75" hidden="false" customHeight="false" outlineLevel="0" collapsed="false">
      <c r="A180" s="189"/>
      <c r="B180" s="189"/>
      <c r="C180" s="189"/>
      <c r="D180" s="189"/>
      <c r="E180" s="190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  <c r="Y180" s="189"/>
      <c r="Z180" s="189"/>
      <c r="AA180" s="189"/>
      <c r="AB180" s="189"/>
      <c r="AC180" s="189"/>
      <c r="AD180" s="189"/>
      <c r="AE180" s="189"/>
      <c r="AF180" s="189"/>
      <c r="AG180" s="189"/>
      <c r="AH180" s="189"/>
      <c r="AI180" s="189"/>
      <c r="AJ180" s="189"/>
      <c r="AK180" s="189"/>
      <c r="AL180" s="189"/>
    </row>
    <row r="181" customFormat="false" ht="12" hidden="false" customHeight="false" outlineLevel="0" collapsed="false">
      <c r="A181" s="189"/>
      <c r="B181" s="189"/>
      <c r="C181" s="189"/>
      <c r="D181" s="189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  <c r="P181" s="189"/>
      <c r="Q181" s="189"/>
      <c r="R181" s="189"/>
      <c r="S181" s="189"/>
      <c r="T181" s="189"/>
      <c r="U181" s="189"/>
      <c r="V181" s="189"/>
      <c r="W181" s="189"/>
      <c r="X181" s="189"/>
      <c r="Y181" s="189"/>
      <c r="Z181" s="189"/>
      <c r="AA181" s="189"/>
      <c r="AB181" s="189"/>
      <c r="AC181" s="189"/>
      <c r="AD181" s="189"/>
      <c r="AE181" s="189"/>
      <c r="AF181" s="189"/>
      <c r="AG181" s="189"/>
      <c r="AH181" s="189"/>
      <c r="AI181" s="189"/>
      <c r="AJ181" s="189"/>
      <c r="AK181" s="189"/>
      <c r="AL181" s="189"/>
    </row>
    <row r="182" customFormat="false" ht="12" hidden="false" customHeight="false" outlineLevel="0" collapsed="false">
      <c r="A182" s="189"/>
      <c r="B182" s="189"/>
      <c r="C182" s="189"/>
      <c r="D182" s="189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89"/>
      <c r="S182" s="189"/>
      <c r="T182" s="189"/>
      <c r="U182" s="189"/>
      <c r="V182" s="189"/>
      <c r="W182" s="189"/>
      <c r="X182" s="189"/>
      <c r="Y182" s="189"/>
      <c r="Z182" s="189"/>
      <c r="AA182" s="189"/>
      <c r="AB182" s="189"/>
      <c r="AC182" s="189"/>
      <c r="AD182" s="189"/>
      <c r="AE182" s="189"/>
      <c r="AF182" s="189"/>
      <c r="AG182" s="189"/>
      <c r="AH182" s="189"/>
      <c r="AI182" s="189"/>
      <c r="AJ182" s="189"/>
      <c r="AK182" s="189"/>
      <c r="AL182" s="189"/>
    </row>
    <row r="183" customFormat="false" ht="39.75" hidden="false" customHeight="true" outlineLevel="0" collapsed="false">
      <c r="A183" s="189"/>
      <c r="B183" s="189"/>
      <c r="C183" s="191"/>
      <c r="D183" s="189"/>
      <c r="E183" s="192"/>
      <c r="F183" s="192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/>
      <c r="Q183" s="192"/>
      <c r="R183" s="192"/>
      <c r="S183" s="192"/>
      <c r="T183" s="192"/>
      <c r="U183" s="192"/>
      <c r="V183" s="192"/>
      <c r="W183" s="192"/>
      <c r="X183" s="192"/>
      <c r="Y183" s="192"/>
      <c r="Z183" s="192"/>
      <c r="AA183" s="192"/>
      <c r="AB183" s="192"/>
      <c r="AC183" s="192"/>
      <c r="AD183" s="192"/>
      <c r="AE183" s="192"/>
      <c r="AF183" s="192"/>
      <c r="AG183" s="192"/>
      <c r="AH183" s="192"/>
      <c r="AI183" s="192"/>
      <c r="AJ183" s="103" t="s">
        <v>2</v>
      </c>
      <c r="AK183" s="189"/>
      <c r="AL183" s="189"/>
    </row>
    <row r="184" customFormat="false" ht="12.75" hidden="false" customHeight="false" outlineLevel="0" collapsed="false">
      <c r="A184" s="189"/>
      <c r="B184" s="230"/>
      <c r="C184" s="189"/>
      <c r="D184" s="189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89"/>
      <c r="S184" s="189"/>
      <c r="T184" s="189"/>
      <c r="U184" s="189"/>
      <c r="V184" s="189"/>
      <c r="W184" s="189"/>
      <c r="X184" s="189"/>
      <c r="Y184" s="189"/>
      <c r="Z184" s="189"/>
      <c r="AA184" s="189"/>
      <c r="AB184" s="189"/>
      <c r="AC184" s="189"/>
      <c r="AD184" s="189"/>
      <c r="AE184" s="189"/>
      <c r="AF184" s="189"/>
      <c r="AG184" s="189"/>
      <c r="AH184" s="189"/>
      <c r="AI184" s="189"/>
      <c r="AJ184" s="106" t="s">
        <v>64</v>
      </c>
      <c r="AK184" s="189"/>
      <c r="AL184" s="189"/>
    </row>
    <row r="185" customFormat="false" ht="6.75" hidden="false" customHeight="true" outlineLevel="0" collapsed="false">
      <c r="A185" s="189"/>
      <c r="B185" s="172"/>
      <c r="C185" s="231"/>
      <c r="D185" s="232"/>
      <c r="E185" s="232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  <c r="Q185" s="232"/>
      <c r="R185" s="232"/>
      <c r="S185" s="232"/>
      <c r="T185" s="232"/>
      <c r="U185" s="232"/>
      <c r="V185" s="232"/>
      <c r="W185" s="232"/>
      <c r="X185" s="232"/>
      <c r="Y185" s="232"/>
      <c r="Z185" s="232"/>
      <c r="AA185" s="232"/>
      <c r="AB185" s="232"/>
      <c r="AC185" s="232"/>
      <c r="AD185" s="232"/>
      <c r="AE185" s="232"/>
      <c r="AF185" s="232"/>
      <c r="AG185" s="232"/>
      <c r="AH185" s="232"/>
      <c r="AI185" s="232"/>
      <c r="AJ185" s="233"/>
      <c r="AK185" s="209"/>
      <c r="AL185" s="189"/>
    </row>
    <row r="186" customFormat="false" ht="13.5" hidden="true" customHeight="false" outlineLevel="0" collapsed="false">
      <c r="A186" s="189"/>
      <c r="B186" s="172"/>
      <c r="C186" s="195" t="s">
        <v>68</v>
      </c>
      <c r="D186" s="196" t="s">
        <v>69</v>
      </c>
      <c r="E186" s="196" t="s">
        <v>30</v>
      </c>
      <c r="F186" s="196" t="s">
        <v>31</v>
      </c>
      <c r="G186" s="196" t="s">
        <v>32</v>
      </c>
      <c r="H186" s="196" t="s">
        <v>33</v>
      </c>
      <c r="I186" s="196" t="s">
        <v>34</v>
      </c>
      <c r="J186" s="196" t="s">
        <v>35</v>
      </c>
      <c r="K186" s="196" t="s">
        <v>36</v>
      </c>
      <c r="L186" s="196" t="s">
        <v>37</v>
      </c>
      <c r="M186" s="196" t="s">
        <v>38</v>
      </c>
      <c r="N186" s="196" t="s">
        <v>39</v>
      </c>
      <c r="O186" s="196" t="s">
        <v>40</v>
      </c>
      <c r="P186" s="196" t="s">
        <v>41</v>
      </c>
      <c r="Q186" s="196" t="s">
        <v>81</v>
      </c>
      <c r="R186" s="196" t="s">
        <v>82</v>
      </c>
      <c r="S186" s="196" t="s">
        <v>83</v>
      </c>
      <c r="T186" s="196" t="s">
        <v>84</v>
      </c>
      <c r="U186" s="196" t="s">
        <v>85</v>
      </c>
      <c r="V186" s="196" t="s">
        <v>86</v>
      </c>
      <c r="W186" s="196" t="s">
        <v>87</v>
      </c>
      <c r="X186" s="196" t="s">
        <v>88</v>
      </c>
      <c r="Y186" s="196" t="s">
        <v>89</v>
      </c>
      <c r="Z186" s="196" t="s">
        <v>90</v>
      </c>
      <c r="AA186" s="196" t="s">
        <v>91</v>
      </c>
      <c r="AB186" s="196" t="s">
        <v>92</v>
      </c>
      <c r="AC186" s="196" t="s">
        <v>93</v>
      </c>
      <c r="AD186" s="196" t="s">
        <v>94</v>
      </c>
      <c r="AE186" s="196" t="s">
        <v>95</v>
      </c>
      <c r="AF186" s="196" t="s">
        <v>96</v>
      </c>
      <c r="AG186" s="196" t="s">
        <v>97</v>
      </c>
      <c r="AH186" s="196" t="s">
        <v>98</v>
      </c>
      <c r="AI186" s="196" t="s">
        <v>99</v>
      </c>
      <c r="AJ186" s="111" t="s">
        <v>70</v>
      </c>
      <c r="AK186" s="172"/>
      <c r="AL186" s="189"/>
    </row>
    <row r="187" customFormat="false" ht="19.5" hidden="false" customHeight="true" outlineLevel="0" collapsed="false">
      <c r="A187" s="189"/>
      <c r="B187" s="213"/>
      <c r="C187" s="214" t="str">
        <f aca="false">DADOS!$AN$3</f>
        <v>📝 AÇÃO</v>
      </c>
      <c r="D187" s="215" t="str">
        <f aca="false">IF(reservavariáveisconsolidado282934[[#This Row],[TOTAL (R$)]]=0,"",IF(OR(reservavariáveisconsolidado282934[[#This Row],[TOTAL (R$)]]=LARGE($AJ$187:$AJ$196,1),reservavariáveisconsolidado282934[[#This Row],[TOTAL (R$)]]=LARGE($AJ$187:$AJ$196,2)),DADOS!$I$11,""))</f>
        <v/>
      </c>
      <c r="E187" s="148" t="n">
        <f aca="false">SUMIFS(tabela_registros[VALOR],tabela_registros[MÊS],$AE$1,tabela_registros[DIA],reservavariáveisconsolidado282934[[#Headers],[1]],tabela_registros[REGISTRO],DADOS!$N$6,tabela_registros[TIPO],DADOS!$AJ$4,tabela_registros[CATEGORIA],reservavariáveisconsolidado282934[[#This Row],[ATUAL]])</f>
        <v>0</v>
      </c>
      <c r="F187" s="119" t="n">
        <f aca="false">SUMIFS(tabela_registros[VALOR],tabela_registros[MÊS],$AE$1,tabela_registros[DIA],reservavariáveisconsolidado282934[[#Headers],[2]],tabela_registros[REGISTRO],DADOS!$N$6,tabela_registros[TIPO],DADOS!$AJ$4,tabela_registros[CATEGORIA],reservavariáveisconsolidado282934[[#This Row],[ATUAL]])</f>
        <v>0</v>
      </c>
      <c r="G187" s="119" t="n">
        <f aca="false">SUMIFS(tabela_registros[VALOR],tabela_registros[MÊS],$AE$1,tabela_registros[DIA],reservavariáveisconsolidado282934[[#Headers],[3]],tabela_registros[REGISTRO],DADOS!$N$6,tabela_registros[TIPO],DADOS!$AJ$4,tabela_registros[CATEGORIA],reservavariáveisconsolidado282934[[#This Row],[ATUAL]])</f>
        <v>0</v>
      </c>
      <c r="H187" s="119" t="n">
        <f aca="false">SUMIFS(tabela_registros[VALOR],tabela_registros[MÊS],$AE$1,tabela_registros[DIA],reservavariáveisconsolidado282934[[#Headers],[4]],tabela_registros[REGISTRO],DADOS!$N$6,tabela_registros[TIPO],DADOS!$AJ$4,tabela_registros[CATEGORIA],reservavariáveisconsolidado282934[[#This Row],[ATUAL]])</f>
        <v>0</v>
      </c>
      <c r="I187" s="119" t="n">
        <f aca="false">SUMIFS(tabela_registros[VALOR],tabela_registros[MÊS],$AE$1,tabela_registros[DIA],reservavariáveisconsolidado282934[[#Headers],[5]],tabela_registros[REGISTRO],DADOS!$N$6,tabela_registros[TIPO],DADOS!$AJ$4,tabela_registros[CATEGORIA],reservavariáveisconsolidado282934[[#This Row],[ATUAL]])</f>
        <v>0</v>
      </c>
      <c r="J187" s="119" t="n">
        <f aca="false">SUMIFS(tabela_registros[VALOR],tabela_registros[MÊS],$AE$1,tabela_registros[DIA],reservavariáveisconsolidado282934[[#Headers],[6]],tabela_registros[REGISTRO],DADOS!$N$6,tabela_registros[TIPO],DADOS!$AJ$4,tabela_registros[CATEGORIA],reservavariáveisconsolidado282934[[#This Row],[ATUAL]])</f>
        <v>0</v>
      </c>
      <c r="K187" s="119" t="n">
        <f aca="false">SUMIFS(tabela_registros[VALOR],tabela_registros[MÊS],$AE$1,tabela_registros[DIA],reservavariáveisconsolidado282934[[#Headers],[7]],tabela_registros[REGISTRO],DADOS!$N$6,tabela_registros[TIPO],DADOS!$AJ$4,tabela_registros[CATEGORIA],reservavariáveisconsolidado282934[[#This Row],[ATUAL]])</f>
        <v>0</v>
      </c>
      <c r="L187" s="119" t="n">
        <f aca="false">SUMIFS(tabela_registros[VALOR],tabela_registros[MÊS],$AE$1,tabela_registros[DIA],reservavariáveisconsolidado282934[[#Headers],[8]],tabela_registros[REGISTRO],DADOS!$N$6,tabela_registros[TIPO],DADOS!$AJ$4,tabela_registros[CATEGORIA],reservavariáveisconsolidado282934[[#This Row],[ATUAL]])</f>
        <v>0</v>
      </c>
      <c r="M187" s="119" t="n">
        <f aca="false">SUMIFS(tabela_registros[VALOR],tabela_registros[MÊS],$AE$1,tabela_registros[DIA],reservavariáveisconsolidado282934[[#Headers],[9]],tabela_registros[REGISTRO],DADOS!$N$6,tabela_registros[TIPO],DADOS!$AJ$4,tabela_registros[CATEGORIA],reservavariáveisconsolidado282934[[#This Row],[ATUAL]])</f>
        <v>0</v>
      </c>
      <c r="N187" s="119" t="n">
        <f aca="false">SUMIFS(tabela_registros[VALOR],tabela_registros[MÊS],$AE$1,tabela_registros[DIA],reservavariáveisconsolidado282934[[#Headers],[10]],tabela_registros[REGISTRO],DADOS!$N$6,tabela_registros[TIPO],DADOS!$AJ$4,tabela_registros[CATEGORIA],reservavariáveisconsolidado282934[[#This Row],[ATUAL]])</f>
        <v>0</v>
      </c>
      <c r="O187" s="119" t="n">
        <f aca="false">SUMIFS(tabela_registros[VALOR],tabela_registros[MÊS],$AE$1,tabela_registros[DIA],reservavariáveisconsolidado282934[[#Headers],[11]],tabela_registros[REGISTRO],DADOS!$N$6,tabela_registros[TIPO],DADOS!$AJ$4,tabela_registros[CATEGORIA],reservavariáveisconsolidado282934[[#This Row],[ATUAL]])</f>
        <v>0</v>
      </c>
      <c r="P187" s="119" t="n">
        <f aca="false">SUMIFS(tabela_registros[VALOR],tabela_registros[MÊS],$AE$1,tabela_registros[DIA],reservavariáveisconsolidado282934[[#Headers],[12]],tabela_registros[REGISTRO],DADOS!$N$6,tabela_registros[TIPO],DADOS!$AJ$4,tabela_registros[CATEGORIA],reservavariáveisconsolidado282934[[#This Row],[ATUAL]])</f>
        <v>0</v>
      </c>
      <c r="Q187" s="119" t="n">
        <f aca="false">SUMIFS(tabela_registros[VALOR],tabela_registros[MÊS],$AE$1,tabela_registros[DIA],reservavariáveisconsolidado282934[[#Headers],[13]],tabela_registros[REGISTRO],DADOS!$N$6,tabela_registros[TIPO],DADOS!$AJ$4,tabela_registros[CATEGORIA],reservavariáveisconsolidado282934[[#This Row],[ATUAL]])</f>
        <v>0</v>
      </c>
      <c r="R187" s="119" t="n">
        <f aca="false">SUMIFS(tabela_registros[VALOR],tabela_registros[MÊS],$AE$1,tabela_registros[DIA],reservavariáveisconsolidado282934[[#Headers],[14]],tabela_registros[REGISTRO],DADOS!$N$6,tabela_registros[TIPO],DADOS!$AJ$4,tabela_registros[CATEGORIA],reservavariáveisconsolidado282934[[#This Row],[ATUAL]])</f>
        <v>0</v>
      </c>
      <c r="S187" s="119" t="n">
        <f aca="false">SUMIFS(tabela_registros[VALOR],tabela_registros[MÊS],$AE$1,tabela_registros[DIA],reservavariáveisconsolidado282934[[#Headers],[15]],tabela_registros[REGISTRO],DADOS!$N$6,tabela_registros[TIPO],DADOS!$AJ$4,tabela_registros[CATEGORIA],reservavariáveisconsolidado282934[[#This Row],[ATUAL]])</f>
        <v>0</v>
      </c>
      <c r="T187" s="119" t="n">
        <f aca="false">SUMIFS(tabela_registros[VALOR],tabela_registros[MÊS],$AE$1,tabela_registros[DIA],reservavariáveisconsolidado282934[[#Headers],[16]],tabela_registros[REGISTRO],DADOS!$N$6,tabela_registros[TIPO],DADOS!$AJ$4,tabela_registros[CATEGORIA],reservavariáveisconsolidado282934[[#This Row],[ATUAL]])</f>
        <v>0</v>
      </c>
      <c r="U187" s="119" t="n">
        <f aca="false">SUMIFS(tabela_registros[VALOR],tabela_registros[MÊS],$AE$1,tabela_registros[DIA],reservavariáveisconsolidado282934[[#Headers],[17]],tabela_registros[REGISTRO],DADOS!$N$6,tabela_registros[TIPO],DADOS!$AJ$4,tabela_registros[CATEGORIA],reservavariáveisconsolidado282934[[#This Row],[ATUAL]])</f>
        <v>0</v>
      </c>
      <c r="V187" s="119" t="n">
        <f aca="false">SUMIFS(tabela_registros[VALOR],tabela_registros[MÊS],$AE$1,tabela_registros[DIA],reservavariáveisconsolidado282934[[#Headers],[18]],tabela_registros[REGISTRO],DADOS!$N$6,tabela_registros[TIPO],DADOS!$AJ$4,tabela_registros[CATEGORIA],reservavariáveisconsolidado282934[[#This Row],[ATUAL]])</f>
        <v>0</v>
      </c>
      <c r="W187" s="119" t="n">
        <f aca="false">SUMIFS(tabela_registros[VALOR],tabela_registros[MÊS],$AE$1,tabela_registros[DIA],reservavariáveisconsolidado282934[[#Headers],[19]],tabela_registros[REGISTRO],DADOS!$N$6,tabela_registros[TIPO],DADOS!$AJ$4,tabela_registros[CATEGORIA],reservavariáveisconsolidado282934[[#This Row],[ATUAL]])</f>
        <v>0</v>
      </c>
      <c r="X187" s="119" t="n">
        <f aca="false">SUMIFS(tabela_registros[VALOR],tabela_registros[MÊS],$AE$1,tabela_registros[DIA],reservavariáveisconsolidado282934[[#Headers],[20]],tabela_registros[REGISTRO],DADOS!$N$6,tabela_registros[TIPO],DADOS!$AJ$4,tabela_registros[CATEGORIA],reservavariáveisconsolidado282934[[#This Row],[ATUAL]])</f>
        <v>0</v>
      </c>
      <c r="Y187" s="119" t="n">
        <f aca="false">SUMIFS(tabela_registros[VALOR],tabela_registros[MÊS],$AE$1,tabela_registros[DIA],reservavariáveisconsolidado282934[[#Headers],[21]],tabela_registros[REGISTRO],DADOS!$N$6,tabela_registros[TIPO],DADOS!$AJ$4,tabela_registros[CATEGORIA],reservavariáveisconsolidado282934[[#This Row],[ATUAL]])</f>
        <v>0</v>
      </c>
      <c r="Z187" s="119" t="n">
        <f aca="false">SUMIFS(tabela_registros[VALOR],tabela_registros[MÊS],$AE$1,tabela_registros[DIA],reservavariáveisconsolidado282934[[#Headers],[22]],tabela_registros[REGISTRO],DADOS!$N$6,tabela_registros[TIPO],DADOS!$AJ$4,tabela_registros[CATEGORIA],reservavariáveisconsolidado282934[[#This Row],[ATUAL]])</f>
        <v>0</v>
      </c>
      <c r="AA187" s="119" t="n">
        <f aca="false">SUMIFS(tabela_registros[VALOR],tabela_registros[MÊS],$AE$1,tabela_registros[DIA],reservavariáveisconsolidado282934[[#Headers],[23]],tabela_registros[REGISTRO],DADOS!$N$6,tabela_registros[TIPO],DADOS!$AJ$4,tabela_registros[CATEGORIA],reservavariáveisconsolidado282934[[#This Row],[ATUAL]])</f>
        <v>0</v>
      </c>
      <c r="AB187" s="119" t="n">
        <f aca="false">SUMIFS(tabela_registros[VALOR],tabela_registros[MÊS],$AE$1,tabela_registros[DIA],reservavariáveisconsolidado282934[[#Headers],[24]],tabela_registros[REGISTRO],DADOS!$N$6,tabela_registros[TIPO],DADOS!$AJ$4,tabela_registros[CATEGORIA],reservavariáveisconsolidado282934[[#This Row],[ATUAL]])</f>
        <v>0</v>
      </c>
      <c r="AC187" s="119" t="n">
        <f aca="false">SUMIFS(tabela_registros[VALOR],tabela_registros[MÊS],$AE$1,tabela_registros[DIA],reservavariáveisconsolidado282934[[#Headers],[25]],tabela_registros[REGISTRO],DADOS!$N$6,tabela_registros[TIPO],DADOS!$AJ$4,tabela_registros[CATEGORIA],reservavariáveisconsolidado282934[[#This Row],[ATUAL]])</f>
        <v>0</v>
      </c>
      <c r="AD187" s="119" t="n">
        <f aca="false">SUMIFS(tabela_registros[VALOR],tabela_registros[MÊS],$AE$1,tabela_registros[DIA],reservavariáveisconsolidado282934[[#Headers],[26]],tabela_registros[REGISTRO],DADOS!$N$6,tabela_registros[TIPO],DADOS!$AJ$4,tabela_registros[CATEGORIA],reservavariáveisconsolidado282934[[#This Row],[ATUAL]])</f>
        <v>0</v>
      </c>
      <c r="AE187" s="119" t="n">
        <f aca="false">SUMIFS(tabela_registros[VALOR],tabela_registros[MÊS],$AE$1,tabela_registros[DIA],reservavariáveisconsolidado282934[[#Headers],[27]],tabela_registros[REGISTRO],DADOS!$N$6,tabela_registros[TIPO],DADOS!$AJ$4,tabela_registros[CATEGORIA],reservavariáveisconsolidado282934[[#This Row],[ATUAL]])</f>
        <v>0</v>
      </c>
      <c r="AF187" s="119" t="n">
        <f aca="false">SUMIFS(tabela_registros[VALOR],tabela_registros[MÊS],$AE$1,tabela_registros[DIA],reservavariáveisconsolidado282934[[#Headers],[28]],tabela_registros[REGISTRO],DADOS!$N$6,tabela_registros[TIPO],DADOS!$AJ$4,tabela_registros[CATEGORIA],reservavariáveisconsolidado282934[[#This Row],[ATUAL]])</f>
        <v>0</v>
      </c>
      <c r="AG187" s="119" t="n">
        <f aca="false">SUMIFS(tabela_registros[VALOR],tabela_registros[MÊS],$AE$1,tabela_registros[DIA],reservavariáveisconsolidado282934[[#Headers],[29]],tabela_registros[REGISTRO],DADOS!$N$6,tabela_registros[TIPO],DADOS!$AJ$4,tabela_registros[CATEGORIA],reservavariáveisconsolidado282934[[#This Row],[ATUAL]])</f>
        <v>0</v>
      </c>
      <c r="AH187" s="119" t="n">
        <f aca="false">SUMIFS(tabela_registros[VALOR],tabela_registros[MÊS],$AE$1,tabela_registros[DIA],reservavariáveisconsolidado282934[[#Headers],[30]],tabela_registros[REGISTRO],DADOS!$N$6,tabela_registros[TIPO],DADOS!$AJ$4,tabela_registros[CATEGORIA],reservavariáveisconsolidado282934[[#This Row],[ATUAL]])</f>
        <v>0</v>
      </c>
      <c r="AI187" s="217" t="n">
        <f aca="false">SUMIFS(tabela_registros[VALOR],tabela_registros[MÊS],$AE$1,tabela_registros[DIA],reservavariáveisconsolidado282934[[#Headers],[31]],tabela_registros[REGISTRO],DADOS!$N$6,tabela_registros[TIPO],DADOS!$AJ$4,tabela_registros[CATEGORIA],reservavariáveisconsolidado282934[[#This Row],[ATUAL]])</f>
        <v>0</v>
      </c>
      <c r="AJ187" s="149" t="n">
        <f aca="false">SUM(reservavariáveisconsolidado282934[[#This Row],[1]:[31]])</f>
        <v>0</v>
      </c>
      <c r="AK187" s="234"/>
      <c r="AL187" s="189"/>
    </row>
    <row r="188" customFormat="false" ht="19.5" hidden="false" customHeight="true" outlineLevel="0" collapsed="false">
      <c r="A188" s="189"/>
      <c r="B188" s="213"/>
      <c r="C188" s="214" t="str">
        <f aca="false">DADOS!$AN$4</f>
        <v>📝 COMÓDITE</v>
      </c>
      <c r="D188" s="215" t="str">
        <f aca="false">IF(reservavariáveisconsolidado282934[[#This Row],[TOTAL (R$)]]=0,"",IF(OR(reservavariáveisconsolidado282934[[#This Row],[TOTAL (R$)]]=LARGE($AJ$187:$AJ$196,1),reservavariáveisconsolidado282934[[#This Row],[TOTAL (R$)]]=LARGE($AJ$187:$AJ$196,2)),DADOS!$I$11,""))</f>
        <v/>
      </c>
      <c r="E188" s="148" t="n">
        <f aca="false">SUMIFS(tabela_registros[VALOR],tabela_registros[MÊS],$AE$1,tabela_registros[DIA],reservavariáveisconsolidado282934[[#Headers],[1]],tabela_registros[REGISTRO],DADOS!$N$6,tabela_registros[TIPO],DADOS!$AJ$4,tabela_registros[CATEGORIA],reservavariáveisconsolidado282934[[#This Row],[ATUAL]])</f>
        <v>0</v>
      </c>
      <c r="F188" s="119" t="n">
        <f aca="false">SUMIFS(tabela_registros[VALOR],tabela_registros[MÊS],$AE$1,tabela_registros[DIA],reservavariáveisconsolidado282934[[#Headers],[2]],tabela_registros[REGISTRO],DADOS!$N$6,tabela_registros[TIPO],DADOS!$AJ$4,tabela_registros[CATEGORIA],reservavariáveisconsolidado282934[[#This Row],[ATUAL]])</f>
        <v>0</v>
      </c>
      <c r="G188" s="119" t="n">
        <f aca="false">SUMIFS(tabela_registros[VALOR],tabela_registros[MÊS],$AE$1,tabela_registros[DIA],reservavariáveisconsolidado282934[[#Headers],[3]],tabela_registros[REGISTRO],DADOS!$N$6,tabela_registros[TIPO],DADOS!$AJ$4,tabela_registros[CATEGORIA],reservavariáveisconsolidado282934[[#This Row],[ATUAL]])</f>
        <v>0</v>
      </c>
      <c r="H188" s="119" t="n">
        <f aca="false">SUMIFS(tabela_registros[VALOR],tabela_registros[MÊS],$AE$1,tabela_registros[DIA],reservavariáveisconsolidado282934[[#Headers],[4]],tabela_registros[REGISTRO],DADOS!$N$6,tabela_registros[TIPO],DADOS!$AJ$4,tabela_registros[CATEGORIA],reservavariáveisconsolidado282934[[#This Row],[ATUAL]])</f>
        <v>0</v>
      </c>
      <c r="I188" s="119" t="n">
        <f aca="false">SUMIFS(tabela_registros[VALOR],tabela_registros[MÊS],$AE$1,tabela_registros[DIA],reservavariáveisconsolidado282934[[#Headers],[5]],tabela_registros[REGISTRO],DADOS!$N$6,tabela_registros[TIPO],DADOS!$AJ$4,tabela_registros[CATEGORIA],reservavariáveisconsolidado282934[[#This Row],[ATUAL]])</f>
        <v>0</v>
      </c>
      <c r="J188" s="119" t="n">
        <f aca="false">SUMIFS(tabela_registros[VALOR],tabela_registros[MÊS],$AE$1,tabela_registros[DIA],reservavariáveisconsolidado282934[[#Headers],[6]],tabela_registros[REGISTRO],DADOS!$N$6,tabela_registros[TIPO],DADOS!$AJ$4,tabela_registros[CATEGORIA],reservavariáveisconsolidado282934[[#This Row],[ATUAL]])</f>
        <v>0</v>
      </c>
      <c r="K188" s="119" t="n">
        <f aca="false">SUMIFS(tabela_registros[VALOR],tabela_registros[MÊS],$AE$1,tabela_registros[DIA],reservavariáveisconsolidado282934[[#Headers],[7]],tabela_registros[REGISTRO],DADOS!$N$6,tabela_registros[TIPO],DADOS!$AJ$4,tabela_registros[CATEGORIA],reservavariáveisconsolidado282934[[#This Row],[ATUAL]])</f>
        <v>0</v>
      </c>
      <c r="L188" s="119" t="n">
        <f aca="false">SUMIFS(tabela_registros[VALOR],tabela_registros[MÊS],$AE$1,tabela_registros[DIA],reservavariáveisconsolidado282934[[#Headers],[8]],tabela_registros[REGISTRO],DADOS!$N$6,tabela_registros[TIPO],DADOS!$AJ$4,tabela_registros[CATEGORIA],reservavariáveisconsolidado282934[[#This Row],[ATUAL]])</f>
        <v>0</v>
      </c>
      <c r="M188" s="119" t="n">
        <f aca="false">SUMIFS(tabela_registros[VALOR],tabela_registros[MÊS],$AE$1,tabela_registros[DIA],reservavariáveisconsolidado282934[[#Headers],[9]],tabela_registros[REGISTRO],DADOS!$N$6,tabela_registros[TIPO],DADOS!$AJ$4,tabela_registros[CATEGORIA],reservavariáveisconsolidado282934[[#This Row],[ATUAL]])</f>
        <v>0</v>
      </c>
      <c r="N188" s="119" t="n">
        <f aca="false">SUMIFS(tabela_registros[VALOR],tabela_registros[MÊS],$AE$1,tabela_registros[DIA],reservavariáveisconsolidado282934[[#Headers],[10]],tabela_registros[REGISTRO],DADOS!$N$6,tabela_registros[TIPO],DADOS!$AJ$4,tabela_registros[CATEGORIA],reservavariáveisconsolidado282934[[#This Row],[ATUAL]])</f>
        <v>0</v>
      </c>
      <c r="O188" s="119" t="n">
        <f aca="false">SUMIFS(tabela_registros[VALOR],tabela_registros[MÊS],$AE$1,tabela_registros[DIA],reservavariáveisconsolidado282934[[#Headers],[11]],tabela_registros[REGISTRO],DADOS!$N$6,tabela_registros[TIPO],DADOS!$AJ$4,tabela_registros[CATEGORIA],reservavariáveisconsolidado282934[[#This Row],[ATUAL]])</f>
        <v>0</v>
      </c>
      <c r="P188" s="119" t="n">
        <f aca="false">SUMIFS(tabela_registros[VALOR],tabela_registros[MÊS],$AE$1,tabela_registros[DIA],reservavariáveisconsolidado282934[[#Headers],[12]],tabela_registros[REGISTRO],DADOS!$N$6,tabela_registros[TIPO],DADOS!$AJ$4,tabela_registros[CATEGORIA],reservavariáveisconsolidado282934[[#This Row],[ATUAL]])</f>
        <v>0</v>
      </c>
      <c r="Q188" s="119" t="n">
        <f aca="false">SUMIFS(tabela_registros[VALOR],tabela_registros[MÊS],$AE$1,tabela_registros[DIA],reservavariáveisconsolidado282934[[#Headers],[13]],tabela_registros[REGISTRO],DADOS!$N$6,tabela_registros[TIPO],DADOS!$AJ$4,tabela_registros[CATEGORIA],reservavariáveisconsolidado282934[[#This Row],[ATUAL]])</f>
        <v>0</v>
      </c>
      <c r="R188" s="119" t="n">
        <f aca="false">SUMIFS(tabela_registros[VALOR],tabela_registros[MÊS],$AE$1,tabela_registros[DIA],reservavariáveisconsolidado282934[[#Headers],[14]],tabela_registros[REGISTRO],DADOS!$N$6,tabela_registros[TIPO],DADOS!$AJ$4,tabela_registros[CATEGORIA],reservavariáveisconsolidado282934[[#This Row],[ATUAL]])</f>
        <v>0</v>
      </c>
      <c r="S188" s="119" t="n">
        <f aca="false">SUMIFS(tabela_registros[VALOR],tabela_registros[MÊS],$AE$1,tabela_registros[DIA],reservavariáveisconsolidado282934[[#Headers],[15]],tabela_registros[REGISTRO],DADOS!$N$6,tabela_registros[TIPO],DADOS!$AJ$4,tabela_registros[CATEGORIA],reservavariáveisconsolidado282934[[#This Row],[ATUAL]])</f>
        <v>0</v>
      </c>
      <c r="T188" s="119" t="n">
        <f aca="false">SUMIFS(tabela_registros[VALOR],tabela_registros[MÊS],$AE$1,tabela_registros[DIA],reservavariáveisconsolidado282934[[#Headers],[16]],tabela_registros[REGISTRO],DADOS!$N$6,tabela_registros[TIPO],DADOS!$AJ$4,tabela_registros[CATEGORIA],reservavariáveisconsolidado282934[[#This Row],[ATUAL]])</f>
        <v>0</v>
      </c>
      <c r="U188" s="119" t="n">
        <f aca="false">SUMIFS(tabela_registros[VALOR],tabela_registros[MÊS],$AE$1,tabela_registros[DIA],reservavariáveisconsolidado282934[[#Headers],[17]],tabela_registros[REGISTRO],DADOS!$N$6,tabela_registros[TIPO],DADOS!$AJ$4,tabela_registros[CATEGORIA],reservavariáveisconsolidado282934[[#This Row],[ATUAL]])</f>
        <v>0</v>
      </c>
      <c r="V188" s="119" t="n">
        <f aca="false">SUMIFS(tabela_registros[VALOR],tabela_registros[MÊS],$AE$1,tabela_registros[DIA],reservavariáveisconsolidado282934[[#Headers],[18]],tabela_registros[REGISTRO],DADOS!$N$6,tabela_registros[TIPO],DADOS!$AJ$4,tabela_registros[CATEGORIA],reservavariáveisconsolidado282934[[#This Row],[ATUAL]])</f>
        <v>0</v>
      </c>
      <c r="W188" s="119" t="n">
        <f aca="false">SUMIFS(tabela_registros[VALOR],tabela_registros[MÊS],$AE$1,tabela_registros[DIA],reservavariáveisconsolidado282934[[#Headers],[19]],tabela_registros[REGISTRO],DADOS!$N$6,tabela_registros[TIPO],DADOS!$AJ$4,tabela_registros[CATEGORIA],reservavariáveisconsolidado282934[[#This Row],[ATUAL]])</f>
        <v>0</v>
      </c>
      <c r="X188" s="119" t="n">
        <f aca="false">SUMIFS(tabela_registros[VALOR],tabela_registros[MÊS],$AE$1,tabela_registros[DIA],reservavariáveisconsolidado282934[[#Headers],[20]],tabela_registros[REGISTRO],DADOS!$N$6,tabela_registros[TIPO],DADOS!$AJ$4,tabela_registros[CATEGORIA],reservavariáveisconsolidado282934[[#This Row],[ATUAL]])</f>
        <v>0</v>
      </c>
      <c r="Y188" s="119" t="n">
        <f aca="false">SUMIFS(tabela_registros[VALOR],tabela_registros[MÊS],$AE$1,tabela_registros[DIA],reservavariáveisconsolidado282934[[#Headers],[21]],tabela_registros[REGISTRO],DADOS!$N$6,tabela_registros[TIPO],DADOS!$AJ$4,tabela_registros[CATEGORIA],reservavariáveisconsolidado282934[[#This Row],[ATUAL]])</f>
        <v>0</v>
      </c>
      <c r="Z188" s="119" t="n">
        <f aca="false">SUMIFS(tabela_registros[VALOR],tabela_registros[MÊS],$AE$1,tabela_registros[DIA],reservavariáveisconsolidado282934[[#Headers],[22]],tabela_registros[REGISTRO],DADOS!$N$6,tabela_registros[TIPO],DADOS!$AJ$4,tabela_registros[CATEGORIA],reservavariáveisconsolidado282934[[#This Row],[ATUAL]])</f>
        <v>0</v>
      </c>
      <c r="AA188" s="119" t="n">
        <f aca="false">SUMIFS(tabela_registros[VALOR],tabela_registros[MÊS],$AE$1,tabela_registros[DIA],reservavariáveisconsolidado282934[[#Headers],[23]],tabela_registros[REGISTRO],DADOS!$N$6,tabela_registros[TIPO],DADOS!$AJ$4,tabela_registros[CATEGORIA],reservavariáveisconsolidado282934[[#This Row],[ATUAL]])</f>
        <v>0</v>
      </c>
      <c r="AB188" s="119" t="n">
        <f aca="false">SUMIFS(tabela_registros[VALOR],tabela_registros[MÊS],$AE$1,tabela_registros[DIA],reservavariáveisconsolidado282934[[#Headers],[24]],tabela_registros[REGISTRO],DADOS!$N$6,tabela_registros[TIPO],DADOS!$AJ$4,tabela_registros[CATEGORIA],reservavariáveisconsolidado282934[[#This Row],[ATUAL]])</f>
        <v>0</v>
      </c>
      <c r="AC188" s="119" t="n">
        <f aca="false">SUMIFS(tabela_registros[VALOR],tabela_registros[MÊS],$AE$1,tabela_registros[DIA],reservavariáveisconsolidado282934[[#Headers],[25]],tabela_registros[REGISTRO],DADOS!$N$6,tabela_registros[TIPO],DADOS!$AJ$4,tabela_registros[CATEGORIA],reservavariáveisconsolidado282934[[#This Row],[ATUAL]])</f>
        <v>0</v>
      </c>
      <c r="AD188" s="119" t="n">
        <f aca="false">SUMIFS(tabela_registros[VALOR],tabela_registros[MÊS],$AE$1,tabela_registros[DIA],reservavariáveisconsolidado282934[[#Headers],[26]],tabela_registros[REGISTRO],DADOS!$N$6,tabela_registros[TIPO],DADOS!$AJ$4,tabela_registros[CATEGORIA],reservavariáveisconsolidado282934[[#This Row],[ATUAL]])</f>
        <v>0</v>
      </c>
      <c r="AE188" s="119" t="n">
        <f aca="false">SUMIFS(tabela_registros[VALOR],tabela_registros[MÊS],$AE$1,tabela_registros[DIA],reservavariáveisconsolidado282934[[#Headers],[27]],tabela_registros[REGISTRO],DADOS!$N$6,tabela_registros[TIPO],DADOS!$AJ$4,tabela_registros[CATEGORIA],reservavariáveisconsolidado282934[[#This Row],[ATUAL]])</f>
        <v>0</v>
      </c>
      <c r="AF188" s="119" t="n">
        <f aca="false">SUMIFS(tabela_registros[VALOR],tabela_registros[MÊS],$AE$1,tabela_registros[DIA],reservavariáveisconsolidado282934[[#Headers],[28]],tabela_registros[REGISTRO],DADOS!$N$6,tabela_registros[TIPO],DADOS!$AJ$4,tabela_registros[CATEGORIA],reservavariáveisconsolidado282934[[#This Row],[ATUAL]])</f>
        <v>0</v>
      </c>
      <c r="AG188" s="119" t="n">
        <f aca="false">SUMIFS(tabela_registros[VALOR],tabela_registros[MÊS],$AE$1,tabela_registros[DIA],reservavariáveisconsolidado282934[[#Headers],[29]],tabela_registros[REGISTRO],DADOS!$N$6,tabela_registros[TIPO],DADOS!$AJ$4,tabela_registros[CATEGORIA],reservavariáveisconsolidado282934[[#This Row],[ATUAL]])</f>
        <v>0</v>
      </c>
      <c r="AH188" s="119" t="n">
        <f aca="false">SUMIFS(tabela_registros[VALOR],tabela_registros[MÊS],$AE$1,tabela_registros[DIA],reservavariáveisconsolidado282934[[#Headers],[30]],tabela_registros[REGISTRO],DADOS!$N$6,tabela_registros[TIPO],DADOS!$AJ$4,tabela_registros[CATEGORIA],reservavariáveisconsolidado282934[[#This Row],[ATUAL]])</f>
        <v>0</v>
      </c>
      <c r="AI188" s="217" t="n">
        <f aca="false">SUMIFS(tabela_registros[VALOR],tabela_registros[MÊS],$AE$1,tabela_registros[DIA],reservavariáveisconsolidado282934[[#Headers],[31]],tabela_registros[REGISTRO],DADOS!$N$6,tabela_registros[TIPO],DADOS!$AJ$4,tabela_registros[CATEGORIA],reservavariáveisconsolidado282934[[#This Row],[ATUAL]])</f>
        <v>0</v>
      </c>
      <c r="AJ188" s="149" t="n">
        <f aca="false">SUM(reservavariáveisconsolidado282934[[#This Row],[1]:[31]])</f>
        <v>0</v>
      </c>
      <c r="AK188" s="234"/>
      <c r="AL188" s="189"/>
    </row>
    <row r="189" customFormat="false" ht="19.5" hidden="false" customHeight="true" outlineLevel="0" collapsed="false">
      <c r="A189" s="189"/>
      <c r="B189" s="213"/>
      <c r="C189" s="214" t="str">
        <f aca="false">DADOS!$AN$5</f>
        <v>📝 CONTRATO DE FUTUROS</v>
      </c>
      <c r="D189" s="215" t="str">
        <f aca="false">IF(reservavariáveisconsolidado282934[[#This Row],[TOTAL (R$)]]=0,"",IF(OR(reservavariáveisconsolidado282934[[#This Row],[TOTAL (R$)]]=LARGE($AJ$187:$AJ$196,1),reservavariáveisconsolidado282934[[#This Row],[TOTAL (R$)]]=LARGE($AJ$187:$AJ$196,2)),DADOS!$I$11,""))</f>
        <v/>
      </c>
      <c r="E189" s="148" t="n">
        <f aca="false">SUMIFS(tabela_registros[VALOR],tabela_registros[MÊS],$AE$1,tabela_registros[DIA],reservavariáveisconsolidado282934[[#Headers],[1]],tabela_registros[REGISTRO],DADOS!$N$6,tabela_registros[TIPO],DADOS!$AJ$4,tabela_registros[CATEGORIA],reservavariáveisconsolidado282934[[#This Row],[ATUAL]])</f>
        <v>0</v>
      </c>
      <c r="F189" s="119" t="n">
        <f aca="false">SUMIFS(tabela_registros[VALOR],tabela_registros[MÊS],$AE$1,tabela_registros[DIA],reservavariáveisconsolidado282934[[#Headers],[2]],tabela_registros[REGISTRO],DADOS!$N$6,tabela_registros[TIPO],DADOS!$AJ$4,tabela_registros[CATEGORIA],reservavariáveisconsolidado282934[[#This Row],[ATUAL]])</f>
        <v>0</v>
      </c>
      <c r="G189" s="119" t="n">
        <f aca="false">SUMIFS(tabela_registros[VALOR],tabela_registros[MÊS],$AE$1,tabela_registros[DIA],reservavariáveisconsolidado282934[[#Headers],[3]],tabela_registros[REGISTRO],DADOS!$N$6,tabela_registros[TIPO],DADOS!$AJ$4,tabela_registros[CATEGORIA],reservavariáveisconsolidado282934[[#This Row],[ATUAL]])</f>
        <v>0</v>
      </c>
      <c r="H189" s="119" t="n">
        <f aca="false">SUMIFS(tabela_registros[VALOR],tabela_registros[MÊS],$AE$1,tabela_registros[DIA],reservavariáveisconsolidado282934[[#Headers],[4]],tabela_registros[REGISTRO],DADOS!$N$6,tabela_registros[TIPO],DADOS!$AJ$4,tabela_registros[CATEGORIA],reservavariáveisconsolidado282934[[#This Row],[ATUAL]])</f>
        <v>0</v>
      </c>
      <c r="I189" s="119" t="n">
        <f aca="false">SUMIFS(tabela_registros[VALOR],tabela_registros[MÊS],$AE$1,tabela_registros[DIA],reservavariáveisconsolidado282934[[#Headers],[5]],tabela_registros[REGISTRO],DADOS!$N$6,tabela_registros[TIPO],DADOS!$AJ$4,tabela_registros[CATEGORIA],reservavariáveisconsolidado282934[[#This Row],[ATUAL]])</f>
        <v>0</v>
      </c>
      <c r="J189" s="119" t="n">
        <f aca="false">SUMIFS(tabela_registros[VALOR],tabela_registros[MÊS],$AE$1,tabela_registros[DIA],reservavariáveisconsolidado282934[[#Headers],[6]],tabela_registros[REGISTRO],DADOS!$N$6,tabela_registros[TIPO],DADOS!$AJ$4,tabela_registros[CATEGORIA],reservavariáveisconsolidado282934[[#This Row],[ATUAL]])</f>
        <v>0</v>
      </c>
      <c r="K189" s="119" t="n">
        <f aca="false">SUMIFS(tabela_registros[VALOR],tabela_registros[MÊS],$AE$1,tabela_registros[DIA],reservavariáveisconsolidado282934[[#Headers],[7]],tabela_registros[REGISTRO],DADOS!$N$6,tabela_registros[TIPO],DADOS!$AJ$4,tabela_registros[CATEGORIA],reservavariáveisconsolidado282934[[#This Row],[ATUAL]])</f>
        <v>0</v>
      </c>
      <c r="L189" s="119" t="n">
        <f aca="false">SUMIFS(tabela_registros[VALOR],tabela_registros[MÊS],$AE$1,tabela_registros[DIA],reservavariáveisconsolidado282934[[#Headers],[8]],tabela_registros[REGISTRO],DADOS!$N$6,tabela_registros[TIPO],DADOS!$AJ$4,tabela_registros[CATEGORIA],reservavariáveisconsolidado282934[[#This Row],[ATUAL]])</f>
        <v>0</v>
      </c>
      <c r="M189" s="119" t="n">
        <f aca="false">SUMIFS(tabela_registros[VALOR],tabela_registros[MÊS],$AE$1,tabela_registros[DIA],reservavariáveisconsolidado282934[[#Headers],[9]],tabela_registros[REGISTRO],DADOS!$N$6,tabela_registros[TIPO],DADOS!$AJ$4,tabela_registros[CATEGORIA],reservavariáveisconsolidado282934[[#This Row],[ATUAL]])</f>
        <v>0</v>
      </c>
      <c r="N189" s="119" t="n">
        <f aca="false">SUMIFS(tabela_registros[VALOR],tabela_registros[MÊS],$AE$1,tabela_registros[DIA],reservavariáveisconsolidado282934[[#Headers],[10]],tabela_registros[REGISTRO],DADOS!$N$6,tabela_registros[TIPO],DADOS!$AJ$4,tabela_registros[CATEGORIA],reservavariáveisconsolidado282934[[#This Row],[ATUAL]])</f>
        <v>0</v>
      </c>
      <c r="O189" s="119" t="n">
        <f aca="false">SUMIFS(tabela_registros[VALOR],tabela_registros[MÊS],$AE$1,tabela_registros[DIA],reservavariáveisconsolidado282934[[#Headers],[11]],tabela_registros[REGISTRO],DADOS!$N$6,tabela_registros[TIPO],DADOS!$AJ$4,tabela_registros[CATEGORIA],reservavariáveisconsolidado282934[[#This Row],[ATUAL]])</f>
        <v>0</v>
      </c>
      <c r="P189" s="119" t="n">
        <f aca="false">SUMIFS(tabela_registros[VALOR],tabela_registros[MÊS],$AE$1,tabela_registros[DIA],reservavariáveisconsolidado282934[[#Headers],[12]],tabela_registros[REGISTRO],DADOS!$N$6,tabela_registros[TIPO],DADOS!$AJ$4,tabela_registros[CATEGORIA],reservavariáveisconsolidado282934[[#This Row],[ATUAL]])</f>
        <v>0</v>
      </c>
      <c r="Q189" s="119" t="n">
        <f aca="false">SUMIFS(tabela_registros[VALOR],tabela_registros[MÊS],$AE$1,tabela_registros[DIA],reservavariáveisconsolidado282934[[#Headers],[13]],tabela_registros[REGISTRO],DADOS!$N$6,tabela_registros[TIPO],DADOS!$AJ$4,tabela_registros[CATEGORIA],reservavariáveisconsolidado282934[[#This Row],[ATUAL]])</f>
        <v>0</v>
      </c>
      <c r="R189" s="119" t="n">
        <f aca="false">SUMIFS(tabela_registros[VALOR],tabela_registros[MÊS],$AE$1,tabela_registros[DIA],reservavariáveisconsolidado282934[[#Headers],[14]],tabela_registros[REGISTRO],DADOS!$N$6,tabela_registros[TIPO],DADOS!$AJ$4,tabela_registros[CATEGORIA],reservavariáveisconsolidado282934[[#This Row],[ATUAL]])</f>
        <v>0</v>
      </c>
      <c r="S189" s="119" t="n">
        <f aca="false">SUMIFS(tabela_registros[VALOR],tabela_registros[MÊS],$AE$1,tabela_registros[DIA],reservavariáveisconsolidado282934[[#Headers],[15]],tabela_registros[REGISTRO],DADOS!$N$6,tabela_registros[TIPO],DADOS!$AJ$4,tabela_registros[CATEGORIA],reservavariáveisconsolidado282934[[#This Row],[ATUAL]])</f>
        <v>0</v>
      </c>
      <c r="T189" s="119" t="n">
        <f aca="false">SUMIFS(tabela_registros[VALOR],tabela_registros[MÊS],$AE$1,tabela_registros[DIA],reservavariáveisconsolidado282934[[#Headers],[16]],tabela_registros[REGISTRO],DADOS!$N$6,tabela_registros[TIPO],DADOS!$AJ$4,tabela_registros[CATEGORIA],reservavariáveisconsolidado282934[[#This Row],[ATUAL]])</f>
        <v>0</v>
      </c>
      <c r="U189" s="119" t="n">
        <f aca="false">SUMIFS(tabela_registros[VALOR],tabela_registros[MÊS],$AE$1,tabela_registros[DIA],reservavariáveisconsolidado282934[[#Headers],[17]],tabela_registros[REGISTRO],DADOS!$N$6,tabela_registros[TIPO],DADOS!$AJ$4,tabela_registros[CATEGORIA],reservavariáveisconsolidado282934[[#This Row],[ATUAL]])</f>
        <v>0</v>
      </c>
      <c r="V189" s="119" t="n">
        <f aca="false">SUMIFS(tabela_registros[VALOR],tabela_registros[MÊS],$AE$1,tabela_registros[DIA],reservavariáveisconsolidado282934[[#Headers],[18]],tabela_registros[REGISTRO],DADOS!$N$6,tabela_registros[TIPO],DADOS!$AJ$4,tabela_registros[CATEGORIA],reservavariáveisconsolidado282934[[#This Row],[ATUAL]])</f>
        <v>0</v>
      </c>
      <c r="W189" s="119" t="n">
        <f aca="false">SUMIFS(tabela_registros[VALOR],tabela_registros[MÊS],$AE$1,tabela_registros[DIA],reservavariáveisconsolidado282934[[#Headers],[19]],tabela_registros[REGISTRO],DADOS!$N$6,tabela_registros[TIPO],DADOS!$AJ$4,tabela_registros[CATEGORIA],reservavariáveisconsolidado282934[[#This Row],[ATUAL]])</f>
        <v>0</v>
      </c>
      <c r="X189" s="119" t="n">
        <f aca="false">SUMIFS(tabela_registros[VALOR],tabela_registros[MÊS],$AE$1,tabela_registros[DIA],reservavariáveisconsolidado282934[[#Headers],[20]],tabela_registros[REGISTRO],DADOS!$N$6,tabela_registros[TIPO],DADOS!$AJ$4,tabela_registros[CATEGORIA],reservavariáveisconsolidado282934[[#This Row],[ATUAL]])</f>
        <v>0</v>
      </c>
      <c r="Y189" s="119" t="n">
        <f aca="false">SUMIFS(tabela_registros[VALOR],tabela_registros[MÊS],$AE$1,tabela_registros[DIA],reservavariáveisconsolidado282934[[#Headers],[21]],tabela_registros[REGISTRO],DADOS!$N$6,tabela_registros[TIPO],DADOS!$AJ$4,tabela_registros[CATEGORIA],reservavariáveisconsolidado282934[[#This Row],[ATUAL]])</f>
        <v>0</v>
      </c>
      <c r="Z189" s="119" t="n">
        <f aca="false">SUMIFS(tabela_registros[VALOR],tabela_registros[MÊS],$AE$1,tabela_registros[DIA],reservavariáveisconsolidado282934[[#Headers],[22]],tabela_registros[REGISTRO],DADOS!$N$6,tabela_registros[TIPO],DADOS!$AJ$4,tabela_registros[CATEGORIA],reservavariáveisconsolidado282934[[#This Row],[ATUAL]])</f>
        <v>0</v>
      </c>
      <c r="AA189" s="119" t="n">
        <f aca="false">SUMIFS(tabela_registros[VALOR],tabela_registros[MÊS],$AE$1,tabela_registros[DIA],reservavariáveisconsolidado282934[[#Headers],[23]],tabela_registros[REGISTRO],DADOS!$N$6,tabela_registros[TIPO],DADOS!$AJ$4,tabela_registros[CATEGORIA],reservavariáveisconsolidado282934[[#This Row],[ATUAL]])</f>
        <v>0</v>
      </c>
      <c r="AB189" s="119" t="n">
        <f aca="false">SUMIFS(tabela_registros[VALOR],tabela_registros[MÊS],$AE$1,tabela_registros[DIA],reservavariáveisconsolidado282934[[#Headers],[24]],tabela_registros[REGISTRO],DADOS!$N$6,tabela_registros[TIPO],DADOS!$AJ$4,tabela_registros[CATEGORIA],reservavariáveisconsolidado282934[[#This Row],[ATUAL]])</f>
        <v>0</v>
      </c>
      <c r="AC189" s="119" t="n">
        <f aca="false">SUMIFS(tabela_registros[VALOR],tabela_registros[MÊS],$AE$1,tabela_registros[DIA],reservavariáveisconsolidado282934[[#Headers],[25]],tabela_registros[REGISTRO],DADOS!$N$6,tabela_registros[TIPO],DADOS!$AJ$4,tabela_registros[CATEGORIA],reservavariáveisconsolidado282934[[#This Row],[ATUAL]])</f>
        <v>0</v>
      </c>
      <c r="AD189" s="119" t="n">
        <f aca="false">SUMIFS(tabela_registros[VALOR],tabela_registros[MÊS],$AE$1,tabela_registros[DIA],reservavariáveisconsolidado282934[[#Headers],[26]],tabela_registros[REGISTRO],DADOS!$N$6,tabela_registros[TIPO],DADOS!$AJ$4,tabela_registros[CATEGORIA],reservavariáveisconsolidado282934[[#This Row],[ATUAL]])</f>
        <v>0</v>
      </c>
      <c r="AE189" s="119" t="n">
        <f aca="false">SUMIFS(tabela_registros[VALOR],tabela_registros[MÊS],$AE$1,tabela_registros[DIA],reservavariáveisconsolidado282934[[#Headers],[27]],tabela_registros[REGISTRO],DADOS!$N$6,tabela_registros[TIPO],DADOS!$AJ$4,tabela_registros[CATEGORIA],reservavariáveisconsolidado282934[[#This Row],[ATUAL]])</f>
        <v>0</v>
      </c>
      <c r="AF189" s="119" t="n">
        <f aca="false">SUMIFS(tabela_registros[VALOR],tabela_registros[MÊS],$AE$1,tabela_registros[DIA],reservavariáveisconsolidado282934[[#Headers],[28]],tabela_registros[REGISTRO],DADOS!$N$6,tabela_registros[TIPO],DADOS!$AJ$4,tabela_registros[CATEGORIA],reservavariáveisconsolidado282934[[#This Row],[ATUAL]])</f>
        <v>0</v>
      </c>
      <c r="AG189" s="119" t="n">
        <f aca="false">SUMIFS(tabela_registros[VALOR],tabela_registros[MÊS],$AE$1,tabela_registros[DIA],reservavariáveisconsolidado282934[[#Headers],[29]],tabela_registros[REGISTRO],DADOS!$N$6,tabela_registros[TIPO],DADOS!$AJ$4,tabela_registros[CATEGORIA],reservavariáveisconsolidado282934[[#This Row],[ATUAL]])</f>
        <v>0</v>
      </c>
      <c r="AH189" s="119" t="n">
        <f aca="false">SUMIFS(tabela_registros[VALOR],tabela_registros[MÊS],$AE$1,tabela_registros[DIA],reservavariáveisconsolidado282934[[#Headers],[30]],tabela_registros[REGISTRO],DADOS!$N$6,tabela_registros[TIPO],DADOS!$AJ$4,tabela_registros[CATEGORIA],reservavariáveisconsolidado282934[[#This Row],[ATUAL]])</f>
        <v>0</v>
      </c>
      <c r="AI189" s="217" t="n">
        <f aca="false">SUMIFS(tabela_registros[VALOR],tabela_registros[MÊS],$AE$1,tabela_registros[DIA],reservavariáveisconsolidado282934[[#Headers],[31]],tabela_registros[REGISTRO],DADOS!$N$6,tabela_registros[TIPO],DADOS!$AJ$4,tabela_registros[CATEGORIA],reservavariáveisconsolidado282934[[#This Row],[ATUAL]])</f>
        <v>0</v>
      </c>
      <c r="AJ189" s="149" t="n">
        <f aca="false">SUM(reservavariáveisconsolidado282934[[#This Row],[1]:[31]])</f>
        <v>0</v>
      </c>
      <c r="AK189" s="234"/>
      <c r="AL189" s="189"/>
    </row>
    <row r="190" customFormat="false" ht="19.5" hidden="false" customHeight="true" outlineLevel="0" collapsed="false">
      <c r="A190" s="189"/>
      <c r="B190" s="213"/>
      <c r="C190" s="214" t="str">
        <f aca="false">DADOS!$AN$6</f>
        <v>📝 CONTRATO DE OPÇÕES</v>
      </c>
      <c r="D190" s="215" t="str">
        <f aca="false">IF(reservavariáveisconsolidado282934[[#This Row],[TOTAL (R$)]]=0,"",IF(OR(reservavariáveisconsolidado282934[[#This Row],[TOTAL (R$)]]=LARGE($AJ$187:$AJ$196,1),reservavariáveisconsolidado282934[[#This Row],[TOTAL (R$)]]=LARGE($AJ$187:$AJ$196,2)),DADOS!$I$11,""))</f>
        <v/>
      </c>
      <c r="E190" s="148" t="n">
        <f aca="false">SUMIFS(tabela_registros[VALOR],tabela_registros[MÊS],$AE$1,tabela_registros[DIA],reservavariáveisconsolidado282934[[#Headers],[1]],tabela_registros[REGISTRO],DADOS!$N$6,tabela_registros[TIPO],DADOS!$AJ$4,tabela_registros[CATEGORIA],reservavariáveisconsolidado282934[[#This Row],[ATUAL]])</f>
        <v>0</v>
      </c>
      <c r="F190" s="119" t="n">
        <f aca="false">SUMIFS(tabela_registros[VALOR],tabela_registros[MÊS],$AE$1,tabela_registros[DIA],reservavariáveisconsolidado282934[[#Headers],[2]],tabela_registros[REGISTRO],DADOS!$N$6,tabela_registros[TIPO],DADOS!$AJ$4,tabela_registros[CATEGORIA],reservavariáveisconsolidado282934[[#This Row],[ATUAL]])</f>
        <v>0</v>
      </c>
      <c r="G190" s="119" t="n">
        <f aca="false">SUMIFS(tabela_registros[VALOR],tabela_registros[MÊS],$AE$1,tabela_registros[DIA],reservavariáveisconsolidado282934[[#Headers],[3]],tabela_registros[REGISTRO],DADOS!$N$6,tabela_registros[TIPO],DADOS!$AJ$4,tabela_registros[CATEGORIA],reservavariáveisconsolidado282934[[#This Row],[ATUAL]])</f>
        <v>0</v>
      </c>
      <c r="H190" s="119" t="n">
        <f aca="false">SUMIFS(tabela_registros[VALOR],tabela_registros[MÊS],$AE$1,tabela_registros[DIA],reservavariáveisconsolidado282934[[#Headers],[4]],tabela_registros[REGISTRO],DADOS!$N$6,tabela_registros[TIPO],DADOS!$AJ$4,tabela_registros[CATEGORIA],reservavariáveisconsolidado282934[[#This Row],[ATUAL]])</f>
        <v>0</v>
      </c>
      <c r="I190" s="119" t="n">
        <f aca="false">SUMIFS(tabela_registros[VALOR],tabela_registros[MÊS],$AE$1,tabela_registros[DIA],reservavariáveisconsolidado282934[[#Headers],[5]],tabela_registros[REGISTRO],DADOS!$N$6,tabela_registros[TIPO],DADOS!$AJ$4,tabela_registros[CATEGORIA],reservavariáveisconsolidado282934[[#This Row],[ATUAL]])</f>
        <v>0</v>
      </c>
      <c r="J190" s="119" t="n">
        <f aca="false">SUMIFS(tabela_registros[VALOR],tabela_registros[MÊS],$AE$1,tabela_registros[DIA],reservavariáveisconsolidado282934[[#Headers],[6]],tabela_registros[REGISTRO],DADOS!$N$6,tabela_registros[TIPO],DADOS!$AJ$4,tabela_registros[CATEGORIA],reservavariáveisconsolidado282934[[#This Row],[ATUAL]])</f>
        <v>0</v>
      </c>
      <c r="K190" s="119" t="n">
        <f aca="false">SUMIFS(tabela_registros[VALOR],tabela_registros[MÊS],$AE$1,tabela_registros[DIA],reservavariáveisconsolidado282934[[#Headers],[7]],tabela_registros[REGISTRO],DADOS!$N$6,tabela_registros[TIPO],DADOS!$AJ$4,tabela_registros[CATEGORIA],reservavariáveisconsolidado282934[[#This Row],[ATUAL]])</f>
        <v>0</v>
      </c>
      <c r="L190" s="119" t="n">
        <f aca="false">SUMIFS(tabela_registros[VALOR],tabela_registros[MÊS],$AE$1,tabela_registros[DIA],reservavariáveisconsolidado282934[[#Headers],[8]],tabela_registros[REGISTRO],DADOS!$N$6,tabela_registros[TIPO],DADOS!$AJ$4,tabela_registros[CATEGORIA],reservavariáveisconsolidado282934[[#This Row],[ATUAL]])</f>
        <v>0</v>
      </c>
      <c r="M190" s="119" t="n">
        <f aca="false">SUMIFS(tabela_registros[VALOR],tabela_registros[MÊS],$AE$1,tabela_registros[DIA],reservavariáveisconsolidado282934[[#Headers],[9]],tabela_registros[REGISTRO],DADOS!$N$6,tabela_registros[TIPO],DADOS!$AJ$4,tabela_registros[CATEGORIA],reservavariáveisconsolidado282934[[#This Row],[ATUAL]])</f>
        <v>0</v>
      </c>
      <c r="N190" s="119" t="n">
        <f aca="false">SUMIFS(tabela_registros[VALOR],tabela_registros[MÊS],$AE$1,tabela_registros[DIA],reservavariáveisconsolidado282934[[#Headers],[10]],tabela_registros[REGISTRO],DADOS!$N$6,tabela_registros[TIPO],DADOS!$AJ$4,tabela_registros[CATEGORIA],reservavariáveisconsolidado282934[[#This Row],[ATUAL]])</f>
        <v>0</v>
      </c>
      <c r="O190" s="119" t="n">
        <f aca="false">SUMIFS(tabela_registros[VALOR],tabela_registros[MÊS],$AE$1,tabela_registros[DIA],reservavariáveisconsolidado282934[[#Headers],[11]],tabela_registros[REGISTRO],DADOS!$N$6,tabela_registros[TIPO],DADOS!$AJ$4,tabela_registros[CATEGORIA],reservavariáveisconsolidado282934[[#This Row],[ATUAL]])</f>
        <v>0</v>
      </c>
      <c r="P190" s="119" t="n">
        <f aca="false">SUMIFS(tabela_registros[VALOR],tabela_registros[MÊS],$AE$1,tabela_registros[DIA],reservavariáveisconsolidado282934[[#Headers],[12]],tabela_registros[REGISTRO],DADOS!$N$6,tabela_registros[TIPO],DADOS!$AJ$4,tabela_registros[CATEGORIA],reservavariáveisconsolidado282934[[#This Row],[ATUAL]])</f>
        <v>0</v>
      </c>
      <c r="Q190" s="119" t="n">
        <f aca="false">SUMIFS(tabela_registros[VALOR],tabela_registros[MÊS],$AE$1,tabela_registros[DIA],reservavariáveisconsolidado282934[[#Headers],[13]],tabela_registros[REGISTRO],DADOS!$N$6,tabela_registros[TIPO],DADOS!$AJ$4,tabela_registros[CATEGORIA],reservavariáveisconsolidado282934[[#This Row],[ATUAL]])</f>
        <v>0</v>
      </c>
      <c r="R190" s="119" t="n">
        <f aca="false">SUMIFS(tabela_registros[VALOR],tabela_registros[MÊS],$AE$1,tabela_registros[DIA],reservavariáveisconsolidado282934[[#Headers],[14]],tabela_registros[REGISTRO],DADOS!$N$6,tabela_registros[TIPO],DADOS!$AJ$4,tabela_registros[CATEGORIA],reservavariáveisconsolidado282934[[#This Row],[ATUAL]])</f>
        <v>0</v>
      </c>
      <c r="S190" s="119" t="n">
        <f aca="false">SUMIFS(tabela_registros[VALOR],tabela_registros[MÊS],$AE$1,tabela_registros[DIA],reservavariáveisconsolidado282934[[#Headers],[15]],tabela_registros[REGISTRO],DADOS!$N$6,tabela_registros[TIPO],DADOS!$AJ$4,tabela_registros[CATEGORIA],reservavariáveisconsolidado282934[[#This Row],[ATUAL]])</f>
        <v>0</v>
      </c>
      <c r="T190" s="119" t="n">
        <f aca="false">SUMIFS(tabela_registros[VALOR],tabela_registros[MÊS],$AE$1,tabela_registros[DIA],reservavariáveisconsolidado282934[[#Headers],[16]],tabela_registros[REGISTRO],DADOS!$N$6,tabela_registros[TIPO],DADOS!$AJ$4,tabela_registros[CATEGORIA],reservavariáveisconsolidado282934[[#This Row],[ATUAL]])</f>
        <v>0</v>
      </c>
      <c r="U190" s="119" t="n">
        <f aca="false">SUMIFS(tabela_registros[VALOR],tabela_registros[MÊS],$AE$1,tabela_registros[DIA],reservavariáveisconsolidado282934[[#Headers],[17]],tabela_registros[REGISTRO],DADOS!$N$6,tabela_registros[TIPO],DADOS!$AJ$4,tabela_registros[CATEGORIA],reservavariáveisconsolidado282934[[#This Row],[ATUAL]])</f>
        <v>0</v>
      </c>
      <c r="V190" s="119" t="n">
        <f aca="false">SUMIFS(tabela_registros[VALOR],tabela_registros[MÊS],$AE$1,tabela_registros[DIA],reservavariáveisconsolidado282934[[#Headers],[18]],tabela_registros[REGISTRO],DADOS!$N$6,tabela_registros[TIPO],DADOS!$AJ$4,tabela_registros[CATEGORIA],reservavariáveisconsolidado282934[[#This Row],[ATUAL]])</f>
        <v>0</v>
      </c>
      <c r="W190" s="119" t="n">
        <f aca="false">SUMIFS(tabela_registros[VALOR],tabela_registros[MÊS],$AE$1,tabela_registros[DIA],reservavariáveisconsolidado282934[[#Headers],[19]],tabela_registros[REGISTRO],DADOS!$N$6,tabela_registros[TIPO],DADOS!$AJ$4,tabela_registros[CATEGORIA],reservavariáveisconsolidado282934[[#This Row],[ATUAL]])</f>
        <v>0</v>
      </c>
      <c r="X190" s="119" t="n">
        <f aca="false">SUMIFS(tabela_registros[VALOR],tabela_registros[MÊS],$AE$1,tabela_registros[DIA],reservavariáveisconsolidado282934[[#Headers],[20]],tabela_registros[REGISTRO],DADOS!$N$6,tabela_registros[TIPO],DADOS!$AJ$4,tabela_registros[CATEGORIA],reservavariáveisconsolidado282934[[#This Row],[ATUAL]])</f>
        <v>0</v>
      </c>
      <c r="Y190" s="119" t="n">
        <f aca="false">SUMIFS(tabela_registros[VALOR],tabela_registros[MÊS],$AE$1,tabela_registros[DIA],reservavariáveisconsolidado282934[[#Headers],[21]],tabela_registros[REGISTRO],DADOS!$N$6,tabela_registros[TIPO],DADOS!$AJ$4,tabela_registros[CATEGORIA],reservavariáveisconsolidado282934[[#This Row],[ATUAL]])</f>
        <v>0</v>
      </c>
      <c r="Z190" s="119" t="n">
        <f aca="false">SUMIFS(tabela_registros[VALOR],tabela_registros[MÊS],$AE$1,tabela_registros[DIA],reservavariáveisconsolidado282934[[#Headers],[22]],tabela_registros[REGISTRO],DADOS!$N$6,tabela_registros[TIPO],DADOS!$AJ$4,tabela_registros[CATEGORIA],reservavariáveisconsolidado282934[[#This Row],[ATUAL]])</f>
        <v>0</v>
      </c>
      <c r="AA190" s="119" t="n">
        <f aca="false">SUMIFS(tabela_registros[VALOR],tabela_registros[MÊS],$AE$1,tabela_registros[DIA],reservavariáveisconsolidado282934[[#Headers],[23]],tabela_registros[REGISTRO],DADOS!$N$6,tabela_registros[TIPO],DADOS!$AJ$4,tabela_registros[CATEGORIA],reservavariáveisconsolidado282934[[#This Row],[ATUAL]])</f>
        <v>0</v>
      </c>
      <c r="AB190" s="119" t="n">
        <f aca="false">SUMIFS(tabela_registros[VALOR],tabela_registros[MÊS],$AE$1,tabela_registros[DIA],reservavariáveisconsolidado282934[[#Headers],[24]],tabela_registros[REGISTRO],DADOS!$N$6,tabela_registros[TIPO],DADOS!$AJ$4,tabela_registros[CATEGORIA],reservavariáveisconsolidado282934[[#This Row],[ATUAL]])</f>
        <v>0</v>
      </c>
      <c r="AC190" s="119" t="n">
        <f aca="false">SUMIFS(tabela_registros[VALOR],tabela_registros[MÊS],$AE$1,tabela_registros[DIA],reservavariáveisconsolidado282934[[#Headers],[25]],tabela_registros[REGISTRO],DADOS!$N$6,tabela_registros[TIPO],DADOS!$AJ$4,tabela_registros[CATEGORIA],reservavariáveisconsolidado282934[[#This Row],[ATUAL]])</f>
        <v>0</v>
      </c>
      <c r="AD190" s="119" t="n">
        <f aca="false">SUMIFS(tabela_registros[VALOR],tabela_registros[MÊS],$AE$1,tabela_registros[DIA],reservavariáveisconsolidado282934[[#Headers],[26]],tabela_registros[REGISTRO],DADOS!$N$6,tabela_registros[TIPO],DADOS!$AJ$4,tabela_registros[CATEGORIA],reservavariáveisconsolidado282934[[#This Row],[ATUAL]])</f>
        <v>0</v>
      </c>
      <c r="AE190" s="119" t="n">
        <f aca="false">SUMIFS(tabela_registros[VALOR],tabela_registros[MÊS],$AE$1,tabela_registros[DIA],reservavariáveisconsolidado282934[[#Headers],[27]],tabela_registros[REGISTRO],DADOS!$N$6,tabela_registros[TIPO],DADOS!$AJ$4,tabela_registros[CATEGORIA],reservavariáveisconsolidado282934[[#This Row],[ATUAL]])</f>
        <v>0</v>
      </c>
      <c r="AF190" s="119" t="n">
        <f aca="false">SUMIFS(tabela_registros[VALOR],tabela_registros[MÊS],$AE$1,tabela_registros[DIA],reservavariáveisconsolidado282934[[#Headers],[28]],tabela_registros[REGISTRO],DADOS!$N$6,tabela_registros[TIPO],DADOS!$AJ$4,tabela_registros[CATEGORIA],reservavariáveisconsolidado282934[[#This Row],[ATUAL]])</f>
        <v>0</v>
      </c>
      <c r="AG190" s="119" t="n">
        <f aca="false">SUMIFS(tabela_registros[VALOR],tabela_registros[MÊS],$AE$1,tabela_registros[DIA],reservavariáveisconsolidado282934[[#Headers],[29]],tabela_registros[REGISTRO],DADOS!$N$6,tabela_registros[TIPO],DADOS!$AJ$4,tabela_registros[CATEGORIA],reservavariáveisconsolidado282934[[#This Row],[ATUAL]])</f>
        <v>0</v>
      </c>
      <c r="AH190" s="119" t="n">
        <f aca="false">SUMIFS(tabela_registros[VALOR],tabela_registros[MÊS],$AE$1,tabela_registros[DIA],reservavariáveisconsolidado282934[[#Headers],[30]],tabela_registros[REGISTRO],DADOS!$N$6,tabela_registros[TIPO],DADOS!$AJ$4,tabela_registros[CATEGORIA],reservavariáveisconsolidado282934[[#This Row],[ATUAL]])</f>
        <v>0</v>
      </c>
      <c r="AI190" s="217" t="n">
        <f aca="false">SUMIFS(tabela_registros[VALOR],tabela_registros[MÊS],$AE$1,tabela_registros[DIA],reservavariáveisconsolidado282934[[#Headers],[31]],tabela_registros[REGISTRO],DADOS!$N$6,tabela_registros[TIPO],DADOS!$AJ$4,tabela_registros[CATEGORIA],reservavariáveisconsolidado282934[[#This Row],[ATUAL]])</f>
        <v>0</v>
      </c>
      <c r="AJ190" s="149" t="n">
        <f aca="false">SUM(reservavariáveisconsolidado282934[[#This Row],[1]:[31]])</f>
        <v>0</v>
      </c>
      <c r="AK190" s="234"/>
      <c r="AL190" s="189"/>
    </row>
    <row r="191" customFormat="false" ht="19.5" hidden="false" customHeight="true" outlineLevel="0" collapsed="false">
      <c r="A191" s="189"/>
      <c r="B191" s="213"/>
      <c r="C191" s="214" t="str">
        <f aca="false">DADOS!$AN$7</f>
        <v>📝 CRIPTOMOEDA</v>
      </c>
      <c r="D191" s="215" t="str">
        <f aca="false">IF(reservavariáveisconsolidado282934[[#This Row],[TOTAL (R$)]]=0,"",IF(OR(reservavariáveisconsolidado282934[[#This Row],[TOTAL (R$)]]=LARGE($AJ$187:$AJ$196,1),reservavariáveisconsolidado282934[[#This Row],[TOTAL (R$)]]=LARGE($AJ$187:$AJ$196,2)),DADOS!$I$11,""))</f>
        <v/>
      </c>
      <c r="E191" s="148" t="n">
        <f aca="false">SUMIFS(tabela_registros[VALOR],tabela_registros[MÊS],$AE$1,tabela_registros[DIA],reservavariáveisconsolidado282934[[#Headers],[1]],tabela_registros[REGISTRO],DADOS!$N$6,tabela_registros[TIPO],DADOS!$AJ$4,tabela_registros[CATEGORIA],reservavariáveisconsolidado282934[[#This Row],[ATUAL]])</f>
        <v>0</v>
      </c>
      <c r="F191" s="119" t="n">
        <f aca="false">SUMIFS(tabela_registros[VALOR],tabela_registros[MÊS],$AE$1,tabela_registros[DIA],reservavariáveisconsolidado282934[[#Headers],[2]],tabela_registros[REGISTRO],DADOS!$N$6,tabela_registros[TIPO],DADOS!$AJ$4,tabela_registros[CATEGORIA],reservavariáveisconsolidado282934[[#This Row],[ATUAL]])</f>
        <v>0</v>
      </c>
      <c r="G191" s="119" t="n">
        <f aca="false">SUMIFS(tabela_registros[VALOR],tabela_registros[MÊS],$AE$1,tabela_registros[DIA],reservavariáveisconsolidado282934[[#Headers],[3]],tabela_registros[REGISTRO],DADOS!$N$6,tabela_registros[TIPO],DADOS!$AJ$4,tabela_registros[CATEGORIA],reservavariáveisconsolidado282934[[#This Row],[ATUAL]])</f>
        <v>0</v>
      </c>
      <c r="H191" s="119" t="n">
        <f aca="false">SUMIFS(tabela_registros[VALOR],tabela_registros[MÊS],$AE$1,tabela_registros[DIA],reservavariáveisconsolidado282934[[#Headers],[4]],tabela_registros[REGISTRO],DADOS!$N$6,tabela_registros[TIPO],DADOS!$AJ$4,tabela_registros[CATEGORIA],reservavariáveisconsolidado282934[[#This Row],[ATUAL]])</f>
        <v>0</v>
      </c>
      <c r="I191" s="119" t="n">
        <f aca="false">SUMIFS(tabela_registros[VALOR],tabela_registros[MÊS],$AE$1,tabela_registros[DIA],reservavariáveisconsolidado282934[[#Headers],[5]],tabela_registros[REGISTRO],DADOS!$N$6,tabela_registros[TIPO],DADOS!$AJ$4,tabela_registros[CATEGORIA],reservavariáveisconsolidado282934[[#This Row],[ATUAL]])</f>
        <v>0</v>
      </c>
      <c r="J191" s="119" t="n">
        <f aca="false">SUMIFS(tabela_registros[VALOR],tabela_registros[MÊS],$AE$1,tabela_registros[DIA],reservavariáveisconsolidado282934[[#Headers],[6]],tabela_registros[REGISTRO],DADOS!$N$6,tabela_registros[TIPO],DADOS!$AJ$4,tabela_registros[CATEGORIA],reservavariáveisconsolidado282934[[#This Row],[ATUAL]])</f>
        <v>0</v>
      </c>
      <c r="K191" s="119" t="n">
        <f aca="false">SUMIFS(tabela_registros[VALOR],tabela_registros[MÊS],$AE$1,tabela_registros[DIA],reservavariáveisconsolidado282934[[#Headers],[7]],tabela_registros[REGISTRO],DADOS!$N$6,tabela_registros[TIPO],DADOS!$AJ$4,tabela_registros[CATEGORIA],reservavariáveisconsolidado282934[[#This Row],[ATUAL]])</f>
        <v>0</v>
      </c>
      <c r="L191" s="119" t="n">
        <f aca="false">SUMIFS(tabela_registros[VALOR],tabela_registros[MÊS],$AE$1,tabela_registros[DIA],reservavariáveisconsolidado282934[[#Headers],[8]],tabela_registros[REGISTRO],DADOS!$N$6,tabela_registros[TIPO],DADOS!$AJ$4,tabela_registros[CATEGORIA],reservavariáveisconsolidado282934[[#This Row],[ATUAL]])</f>
        <v>0</v>
      </c>
      <c r="M191" s="119" t="n">
        <f aca="false">SUMIFS(tabela_registros[VALOR],tabela_registros[MÊS],$AE$1,tabela_registros[DIA],reservavariáveisconsolidado282934[[#Headers],[9]],tabela_registros[REGISTRO],DADOS!$N$6,tabela_registros[TIPO],DADOS!$AJ$4,tabela_registros[CATEGORIA],reservavariáveisconsolidado282934[[#This Row],[ATUAL]])</f>
        <v>0</v>
      </c>
      <c r="N191" s="119" t="n">
        <f aca="false">SUMIFS(tabela_registros[VALOR],tabela_registros[MÊS],$AE$1,tabela_registros[DIA],reservavariáveisconsolidado282934[[#Headers],[10]],tabela_registros[REGISTRO],DADOS!$N$6,tabela_registros[TIPO],DADOS!$AJ$4,tabela_registros[CATEGORIA],reservavariáveisconsolidado282934[[#This Row],[ATUAL]])</f>
        <v>0</v>
      </c>
      <c r="O191" s="119" t="n">
        <f aca="false">SUMIFS(tabela_registros[VALOR],tabela_registros[MÊS],$AE$1,tabela_registros[DIA],reservavariáveisconsolidado282934[[#Headers],[11]],tabela_registros[REGISTRO],DADOS!$N$6,tabela_registros[TIPO],DADOS!$AJ$4,tabela_registros[CATEGORIA],reservavariáveisconsolidado282934[[#This Row],[ATUAL]])</f>
        <v>0</v>
      </c>
      <c r="P191" s="119" t="n">
        <f aca="false">SUMIFS(tabela_registros[VALOR],tabela_registros[MÊS],$AE$1,tabela_registros[DIA],reservavariáveisconsolidado282934[[#Headers],[12]],tabela_registros[REGISTRO],DADOS!$N$6,tabela_registros[TIPO],DADOS!$AJ$4,tabela_registros[CATEGORIA],reservavariáveisconsolidado282934[[#This Row],[ATUAL]])</f>
        <v>0</v>
      </c>
      <c r="Q191" s="119" t="n">
        <f aca="false">SUMIFS(tabela_registros[VALOR],tabela_registros[MÊS],$AE$1,tabela_registros[DIA],reservavariáveisconsolidado282934[[#Headers],[13]],tabela_registros[REGISTRO],DADOS!$N$6,tabela_registros[TIPO],DADOS!$AJ$4,tabela_registros[CATEGORIA],reservavariáveisconsolidado282934[[#This Row],[ATUAL]])</f>
        <v>0</v>
      </c>
      <c r="R191" s="119" t="n">
        <f aca="false">SUMIFS(tabela_registros[VALOR],tabela_registros[MÊS],$AE$1,tabela_registros[DIA],reservavariáveisconsolidado282934[[#Headers],[14]],tabela_registros[REGISTRO],DADOS!$N$6,tabela_registros[TIPO],DADOS!$AJ$4,tabela_registros[CATEGORIA],reservavariáveisconsolidado282934[[#This Row],[ATUAL]])</f>
        <v>0</v>
      </c>
      <c r="S191" s="119" t="n">
        <f aca="false">SUMIFS(tabela_registros[VALOR],tabela_registros[MÊS],$AE$1,tabela_registros[DIA],reservavariáveisconsolidado282934[[#Headers],[15]],tabela_registros[REGISTRO],DADOS!$N$6,tabela_registros[TIPO],DADOS!$AJ$4,tabela_registros[CATEGORIA],reservavariáveisconsolidado282934[[#This Row],[ATUAL]])</f>
        <v>0</v>
      </c>
      <c r="T191" s="119" t="n">
        <f aca="false">SUMIFS(tabela_registros[VALOR],tabela_registros[MÊS],$AE$1,tabela_registros[DIA],reservavariáveisconsolidado282934[[#Headers],[16]],tabela_registros[REGISTRO],DADOS!$N$6,tabela_registros[TIPO],DADOS!$AJ$4,tabela_registros[CATEGORIA],reservavariáveisconsolidado282934[[#This Row],[ATUAL]])</f>
        <v>0</v>
      </c>
      <c r="U191" s="119" t="n">
        <f aca="false">SUMIFS(tabela_registros[VALOR],tabela_registros[MÊS],$AE$1,tabela_registros[DIA],reservavariáveisconsolidado282934[[#Headers],[17]],tabela_registros[REGISTRO],DADOS!$N$6,tabela_registros[TIPO],DADOS!$AJ$4,tabela_registros[CATEGORIA],reservavariáveisconsolidado282934[[#This Row],[ATUAL]])</f>
        <v>0</v>
      </c>
      <c r="V191" s="119" t="n">
        <f aca="false">SUMIFS(tabela_registros[VALOR],tabela_registros[MÊS],$AE$1,tabela_registros[DIA],reservavariáveisconsolidado282934[[#Headers],[18]],tabela_registros[REGISTRO],DADOS!$N$6,tabela_registros[TIPO],DADOS!$AJ$4,tabela_registros[CATEGORIA],reservavariáveisconsolidado282934[[#This Row],[ATUAL]])</f>
        <v>0</v>
      </c>
      <c r="W191" s="119" t="n">
        <f aca="false">SUMIFS(tabela_registros[VALOR],tabela_registros[MÊS],$AE$1,tabela_registros[DIA],reservavariáveisconsolidado282934[[#Headers],[19]],tabela_registros[REGISTRO],DADOS!$N$6,tabela_registros[TIPO],DADOS!$AJ$4,tabela_registros[CATEGORIA],reservavariáveisconsolidado282934[[#This Row],[ATUAL]])</f>
        <v>0</v>
      </c>
      <c r="X191" s="119" t="n">
        <f aca="false">SUMIFS(tabela_registros[VALOR],tabela_registros[MÊS],$AE$1,tabela_registros[DIA],reservavariáveisconsolidado282934[[#Headers],[20]],tabela_registros[REGISTRO],DADOS!$N$6,tabela_registros[TIPO],DADOS!$AJ$4,tabela_registros[CATEGORIA],reservavariáveisconsolidado282934[[#This Row],[ATUAL]])</f>
        <v>0</v>
      </c>
      <c r="Y191" s="119" t="n">
        <f aca="false">SUMIFS(tabela_registros[VALOR],tabela_registros[MÊS],$AE$1,tabela_registros[DIA],reservavariáveisconsolidado282934[[#Headers],[21]],tabela_registros[REGISTRO],DADOS!$N$6,tabela_registros[TIPO],DADOS!$AJ$4,tabela_registros[CATEGORIA],reservavariáveisconsolidado282934[[#This Row],[ATUAL]])</f>
        <v>0</v>
      </c>
      <c r="Z191" s="119" t="n">
        <f aca="false">SUMIFS(tabela_registros[VALOR],tabela_registros[MÊS],$AE$1,tabela_registros[DIA],reservavariáveisconsolidado282934[[#Headers],[22]],tabela_registros[REGISTRO],DADOS!$N$6,tabela_registros[TIPO],DADOS!$AJ$4,tabela_registros[CATEGORIA],reservavariáveisconsolidado282934[[#This Row],[ATUAL]])</f>
        <v>0</v>
      </c>
      <c r="AA191" s="119" t="n">
        <f aca="false">SUMIFS(tabela_registros[VALOR],tabela_registros[MÊS],$AE$1,tabela_registros[DIA],reservavariáveisconsolidado282934[[#Headers],[23]],tabela_registros[REGISTRO],DADOS!$N$6,tabela_registros[TIPO],DADOS!$AJ$4,tabela_registros[CATEGORIA],reservavariáveisconsolidado282934[[#This Row],[ATUAL]])</f>
        <v>0</v>
      </c>
      <c r="AB191" s="119" t="n">
        <f aca="false">SUMIFS(tabela_registros[VALOR],tabela_registros[MÊS],$AE$1,tabela_registros[DIA],reservavariáveisconsolidado282934[[#Headers],[24]],tabela_registros[REGISTRO],DADOS!$N$6,tabela_registros[TIPO],DADOS!$AJ$4,tabela_registros[CATEGORIA],reservavariáveisconsolidado282934[[#This Row],[ATUAL]])</f>
        <v>0</v>
      </c>
      <c r="AC191" s="119" t="n">
        <f aca="false">SUMIFS(tabela_registros[VALOR],tabela_registros[MÊS],$AE$1,tabela_registros[DIA],reservavariáveisconsolidado282934[[#Headers],[25]],tabela_registros[REGISTRO],DADOS!$N$6,tabela_registros[TIPO],DADOS!$AJ$4,tabela_registros[CATEGORIA],reservavariáveisconsolidado282934[[#This Row],[ATUAL]])</f>
        <v>0</v>
      </c>
      <c r="AD191" s="119" t="n">
        <f aca="false">SUMIFS(tabela_registros[VALOR],tabela_registros[MÊS],$AE$1,tabela_registros[DIA],reservavariáveisconsolidado282934[[#Headers],[26]],tabela_registros[REGISTRO],DADOS!$N$6,tabela_registros[TIPO],DADOS!$AJ$4,tabela_registros[CATEGORIA],reservavariáveisconsolidado282934[[#This Row],[ATUAL]])</f>
        <v>0</v>
      </c>
      <c r="AE191" s="119" t="n">
        <f aca="false">SUMIFS(tabela_registros[VALOR],tabela_registros[MÊS],$AE$1,tabela_registros[DIA],reservavariáveisconsolidado282934[[#Headers],[27]],tabela_registros[REGISTRO],DADOS!$N$6,tabela_registros[TIPO],DADOS!$AJ$4,tabela_registros[CATEGORIA],reservavariáveisconsolidado282934[[#This Row],[ATUAL]])</f>
        <v>0</v>
      </c>
      <c r="AF191" s="119" t="n">
        <f aca="false">SUMIFS(tabela_registros[VALOR],tabela_registros[MÊS],$AE$1,tabela_registros[DIA],reservavariáveisconsolidado282934[[#Headers],[28]],tabela_registros[REGISTRO],DADOS!$N$6,tabela_registros[TIPO],DADOS!$AJ$4,tabela_registros[CATEGORIA],reservavariáveisconsolidado282934[[#This Row],[ATUAL]])</f>
        <v>0</v>
      </c>
      <c r="AG191" s="119" t="n">
        <f aca="false">SUMIFS(tabela_registros[VALOR],tabela_registros[MÊS],$AE$1,tabela_registros[DIA],reservavariáveisconsolidado282934[[#Headers],[29]],tabela_registros[REGISTRO],DADOS!$N$6,tabela_registros[TIPO],DADOS!$AJ$4,tabela_registros[CATEGORIA],reservavariáveisconsolidado282934[[#This Row],[ATUAL]])</f>
        <v>0</v>
      </c>
      <c r="AH191" s="119" t="n">
        <f aca="false">SUMIFS(tabela_registros[VALOR],tabela_registros[MÊS],$AE$1,tabela_registros[DIA],reservavariáveisconsolidado282934[[#Headers],[30]],tabela_registros[REGISTRO],DADOS!$N$6,tabela_registros[TIPO],DADOS!$AJ$4,tabela_registros[CATEGORIA],reservavariáveisconsolidado282934[[#This Row],[ATUAL]])</f>
        <v>0</v>
      </c>
      <c r="AI191" s="217" t="n">
        <f aca="false">SUMIFS(tabela_registros[VALOR],tabela_registros[MÊS],$AE$1,tabela_registros[DIA],reservavariáveisconsolidado282934[[#Headers],[31]],tabela_registros[REGISTRO],DADOS!$N$6,tabela_registros[TIPO],DADOS!$AJ$4,tabela_registros[CATEGORIA],reservavariáveisconsolidado282934[[#This Row],[ATUAL]])</f>
        <v>0</v>
      </c>
      <c r="AJ191" s="149" t="n">
        <f aca="false">SUM(reservavariáveisconsolidado282934[[#This Row],[1]:[31]])</f>
        <v>0</v>
      </c>
      <c r="AK191" s="234"/>
      <c r="AL191" s="189"/>
    </row>
    <row r="192" customFormat="false" ht="19.5" hidden="false" customHeight="true" outlineLevel="0" collapsed="false">
      <c r="A192" s="189"/>
      <c r="B192" s="213"/>
      <c r="C192" s="214" t="str">
        <f aca="false">DADOS!$AN$8</f>
        <v>📝 ETF</v>
      </c>
      <c r="D192" s="215" t="str">
        <f aca="false">IF(reservavariáveisconsolidado282934[[#This Row],[TOTAL (R$)]]=0,"",IF(OR(reservavariáveisconsolidado282934[[#This Row],[TOTAL (R$)]]=LARGE($AJ$187:$AJ$196,1),reservavariáveisconsolidado282934[[#This Row],[TOTAL (R$)]]=LARGE($AJ$187:$AJ$196,2)),DADOS!$I$11,""))</f>
        <v/>
      </c>
      <c r="E192" s="148" t="n">
        <f aca="false">SUMIFS(tabela_registros[VALOR],tabela_registros[MÊS],$AE$1,tabela_registros[DIA],reservavariáveisconsolidado282934[[#Headers],[1]],tabela_registros[REGISTRO],DADOS!$N$6,tabela_registros[TIPO],DADOS!$AJ$4,tabela_registros[CATEGORIA],reservavariáveisconsolidado282934[[#This Row],[ATUAL]])</f>
        <v>0</v>
      </c>
      <c r="F192" s="119" t="n">
        <f aca="false">SUMIFS(tabela_registros[VALOR],tabela_registros[MÊS],$AE$1,tabela_registros[DIA],reservavariáveisconsolidado282934[[#Headers],[2]],tabela_registros[REGISTRO],DADOS!$N$6,tabela_registros[TIPO],DADOS!$AJ$4,tabela_registros[CATEGORIA],reservavariáveisconsolidado282934[[#This Row],[ATUAL]])</f>
        <v>0</v>
      </c>
      <c r="G192" s="119" t="n">
        <f aca="false">SUMIFS(tabela_registros[VALOR],tabela_registros[MÊS],$AE$1,tabela_registros[DIA],reservavariáveisconsolidado282934[[#Headers],[3]],tabela_registros[REGISTRO],DADOS!$N$6,tabela_registros[TIPO],DADOS!$AJ$4,tabela_registros[CATEGORIA],reservavariáveisconsolidado282934[[#This Row],[ATUAL]])</f>
        <v>0</v>
      </c>
      <c r="H192" s="119" t="n">
        <f aca="false">SUMIFS(tabela_registros[VALOR],tabela_registros[MÊS],$AE$1,tabela_registros[DIA],reservavariáveisconsolidado282934[[#Headers],[4]],tabela_registros[REGISTRO],DADOS!$N$6,tabela_registros[TIPO],DADOS!$AJ$4,tabela_registros[CATEGORIA],reservavariáveisconsolidado282934[[#This Row],[ATUAL]])</f>
        <v>0</v>
      </c>
      <c r="I192" s="119" t="n">
        <f aca="false">SUMIFS(tabela_registros[VALOR],tabela_registros[MÊS],$AE$1,tabela_registros[DIA],reservavariáveisconsolidado282934[[#Headers],[5]],tabela_registros[REGISTRO],DADOS!$N$6,tabela_registros[TIPO],DADOS!$AJ$4,tabela_registros[CATEGORIA],reservavariáveisconsolidado282934[[#This Row],[ATUAL]])</f>
        <v>0</v>
      </c>
      <c r="J192" s="119" t="n">
        <f aca="false">SUMIFS(tabela_registros[VALOR],tabela_registros[MÊS],$AE$1,tabela_registros[DIA],reservavariáveisconsolidado282934[[#Headers],[6]],tabela_registros[REGISTRO],DADOS!$N$6,tabela_registros[TIPO],DADOS!$AJ$4,tabela_registros[CATEGORIA],reservavariáveisconsolidado282934[[#This Row],[ATUAL]])</f>
        <v>0</v>
      </c>
      <c r="K192" s="119" t="n">
        <f aca="false">SUMIFS(tabela_registros[VALOR],tabela_registros[MÊS],$AE$1,tabela_registros[DIA],reservavariáveisconsolidado282934[[#Headers],[7]],tabela_registros[REGISTRO],DADOS!$N$6,tabela_registros[TIPO],DADOS!$AJ$4,tabela_registros[CATEGORIA],reservavariáveisconsolidado282934[[#This Row],[ATUAL]])</f>
        <v>0</v>
      </c>
      <c r="L192" s="119" t="n">
        <f aca="false">SUMIFS(tabela_registros[VALOR],tabela_registros[MÊS],$AE$1,tabela_registros[DIA],reservavariáveisconsolidado282934[[#Headers],[8]],tabela_registros[REGISTRO],DADOS!$N$6,tabela_registros[TIPO],DADOS!$AJ$4,tabela_registros[CATEGORIA],reservavariáveisconsolidado282934[[#This Row],[ATUAL]])</f>
        <v>0</v>
      </c>
      <c r="M192" s="119" t="n">
        <f aca="false">SUMIFS(tabela_registros[VALOR],tabela_registros[MÊS],$AE$1,tabela_registros[DIA],reservavariáveisconsolidado282934[[#Headers],[9]],tabela_registros[REGISTRO],DADOS!$N$6,tabela_registros[TIPO],DADOS!$AJ$4,tabela_registros[CATEGORIA],reservavariáveisconsolidado282934[[#This Row],[ATUAL]])</f>
        <v>0</v>
      </c>
      <c r="N192" s="119" t="n">
        <f aca="false">SUMIFS(tabela_registros[VALOR],tabela_registros[MÊS],$AE$1,tabela_registros[DIA],reservavariáveisconsolidado282934[[#Headers],[10]],tabela_registros[REGISTRO],DADOS!$N$6,tabela_registros[TIPO],DADOS!$AJ$4,tabela_registros[CATEGORIA],reservavariáveisconsolidado282934[[#This Row],[ATUAL]])</f>
        <v>0</v>
      </c>
      <c r="O192" s="119" t="n">
        <f aca="false">SUMIFS(tabela_registros[VALOR],tabela_registros[MÊS],$AE$1,tabela_registros[DIA],reservavariáveisconsolidado282934[[#Headers],[11]],tabela_registros[REGISTRO],DADOS!$N$6,tabela_registros[TIPO],DADOS!$AJ$4,tabela_registros[CATEGORIA],reservavariáveisconsolidado282934[[#This Row],[ATUAL]])</f>
        <v>0</v>
      </c>
      <c r="P192" s="119" t="n">
        <f aca="false">SUMIFS(tabela_registros[VALOR],tabela_registros[MÊS],$AE$1,tabela_registros[DIA],reservavariáveisconsolidado282934[[#Headers],[12]],tabela_registros[REGISTRO],DADOS!$N$6,tabela_registros[TIPO],DADOS!$AJ$4,tabela_registros[CATEGORIA],reservavariáveisconsolidado282934[[#This Row],[ATUAL]])</f>
        <v>0</v>
      </c>
      <c r="Q192" s="119" t="n">
        <f aca="false">SUMIFS(tabela_registros[VALOR],tabela_registros[MÊS],$AE$1,tabela_registros[DIA],reservavariáveisconsolidado282934[[#Headers],[13]],tabela_registros[REGISTRO],DADOS!$N$6,tabela_registros[TIPO],DADOS!$AJ$4,tabela_registros[CATEGORIA],reservavariáveisconsolidado282934[[#This Row],[ATUAL]])</f>
        <v>0</v>
      </c>
      <c r="R192" s="119" t="n">
        <f aca="false">SUMIFS(tabela_registros[VALOR],tabela_registros[MÊS],$AE$1,tabela_registros[DIA],reservavariáveisconsolidado282934[[#Headers],[14]],tabela_registros[REGISTRO],DADOS!$N$6,tabela_registros[TIPO],DADOS!$AJ$4,tabela_registros[CATEGORIA],reservavariáveisconsolidado282934[[#This Row],[ATUAL]])</f>
        <v>0</v>
      </c>
      <c r="S192" s="119" t="n">
        <f aca="false">SUMIFS(tabela_registros[VALOR],tabela_registros[MÊS],$AE$1,tabela_registros[DIA],reservavariáveisconsolidado282934[[#Headers],[15]],tabela_registros[REGISTRO],DADOS!$N$6,tabela_registros[TIPO],DADOS!$AJ$4,tabela_registros[CATEGORIA],reservavariáveisconsolidado282934[[#This Row],[ATUAL]])</f>
        <v>0</v>
      </c>
      <c r="T192" s="119" t="n">
        <f aca="false">SUMIFS(tabela_registros[VALOR],tabela_registros[MÊS],$AE$1,tabela_registros[DIA],reservavariáveisconsolidado282934[[#Headers],[16]],tabela_registros[REGISTRO],DADOS!$N$6,tabela_registros[TIPO],DADOS!$AJ$4,tabela_registros[CATEGORIA],reservavariáveisconsolidado282934[[#This Row],[ATUAL]])</f>
        <v>0</v>
      </c>
      <c r="U192" s="119" t="n">
        <f aca="false">SUMIFS(tabela_registros[VALOR],tabela_registros[MÊS],$AE$1,tabela_registros[DIA],reservavariáveisconsolidado282934[[#Headers],[17]],tabela_registros[REGISTRO],DADOS!$N$6,tabela_registros[TIPO],DADOS!$AJ$4,tabela_registros[CATEGORIA],reservavariáveisconsolidado282934[[#This Row],[ATUAL]])</f>
        <v>0</v>
      </c>
      <c r="V192" s="119" t="n">
        <f aca="false">SUMIFS(tabela_registros[VALOR],tabela_registros[MÊS],$AE$1,tabela_registros[DIA],reservavariáveisconsolidado282934[[#Headers],[18]],tabela_registros[REGISTRO],DADOS!$N$6,tabela_registros[TIPO],DADOS!$AJ$4,tabela_registros[CATEGORIA],reservavariáveisconsolidado282934[[#This Row],[ATUAL]])</f>
        <v>0</v>
      </c>
      <c r="W192" s="119" t="n">
        <f aca="false">SUMIFS(tabela_registros[VALOR],tabela_registros[MÊS],$AE$1,tabela_registros[DIA],reservavariáveisconsolidado282934[[#Headers],[19]],tabela_registros[REGISTRO],DADOS!$N$6,tabela_registros[TIPO],DADOS!$AJ$4,tabela_registros[CATEGORIA],reservavariáveisconsolidado282934[[#This Row],[ATUAL]])</f>
        <v>0</v>
      </c>
      <c r="X192" s="119" t="n">
        <f aca="false">SUMIFS(tabela_registros[VALOR],tabela_registros[MÊS],$AE$1,tabela_registros[DIA],reservavariáveisconsolidado282934[[#Headers],[20]],tabela_registros[REGISTRO],DADOS!$N$6,tabela_registros[TIPO],DADOS!$AJ$4,tabela_registros[CATEGORIA],reservavariáveisconsolidado282934[[#This Row],[ATUAL]])</f>
        <v>0</v>
      </c>
      <c r="Y192" s="119" t="n">
        <f aca="false">SUMIFS(tabela_registros[VALOR],tabela_registros[MÊS],$AE$1,tabela_registros[DIA],reservavariáveisconsolidado282934[[#Headers],[21]],tabela_registros[REGISTRO],DADOS!$N$6,tabela_registros[TIPO],DADOS!$AJ$4,tabela_registros[CATEGORIA],reservavariáveisconsolidado282934[[#This Row],[ATUAL]])</f>
        <v>0</v>
      </c>
      <c r="Z192" s="119" t="n">
        <f aca="false">SUMIFS(tabela_registros[VALOR],tabela_registros[MÊS],$AE$1,tabela_registros[DIA],reservavariáveisconsolidado282934[[#Headers],[22]],tabela_registros[REGISTRO],DADOS!$N$6,tabela_registros[TIPO],DADOS!$AJ$4,tabela_registros[CATEGORIA],reservavariáveisconsolidado282934[[#This Row],[ATUAL]])</f>
        <v>0</v>
      </c>
      <c r="AA192" s="119" t="n">
        <f aca="false">SUMIFS(tabela_registros[VALOR],tabela_registros[MÊS],$AE$1,tabela_registros[DIA],reservavariáveisconsolidado282934[[#Headers],[23]],tabela_registros[REGISTRO],DADOS!$N$6,tabela_registros[TIPO],DADOS!$AJ$4,tabela_registros[CATEGORIA],reservavariáveisconsolidado282934[[#This Row],[ATUAL]])</f>
        <v>0</v>
      </c>
      <c r="AB192" s="119" t="n">
        <f aca="false">SUMIFS(tabela_registros[VALOR],tabela_registros[MÊS],$AE$1,tabela_registros[DIA],reservavariáveisconsolidado282934[[#Headers],[24]],tabela_registros[REGISTRO],DADOS!$N$6,tabela_registros[TIPO],DADOS!$AJ$4,tabela_registros[CATEGORIA],reservavariáveisconsolidado282934[[#This Row],[ATUAL]])</f>
        <v>0</v>
      </c>
      <c r="AC192" s="119" t="n">
        <f aca="false">SUMIFS(tabela_registros[VALOR],tabela_registros[MÊS],$AE$1,tabela_registros[DIA],reservavariáveisconsolidado282934[[#Headers],[25]],tabela_registros[REGISTRO],DADOS!$N$6,tabela_registros[TIPO],DADOS!$AJ$4,tabela_registros[CATEGORIA],reservavariáveisconsolidado282934[[#This Row],[ATUAL]])</f>
        <v>0</v>
      </c>
      <c r="AD192" s="119" t="n">
        <f aca="false">SUMIFS(tabela_registros[VALOR],tabela_registros[MÊS],$AE$1,tabela_registros[DIA],reservavariáveisconsolidado282934[[#Headers],[26]],tabela_registros[REGISTRO],DADOS!$N$6,tabela_registros[TIPO],DADOS!$AJ$4,tabela_registros[CATEGORIA],reservavariáveisconsolidado282934[[#This Row],[ATUAL]])</f>
        <v>0</v>
      </c>
      <c r="AE192" s="119" t="n">
        <f aca="false">SUMIFS(tabela_registros[VALOR],tabela_registros[MÊS],$AE$1,tabela_registros[DIA],reservavariáveisconsolidado282934[[#Headers],[27]],tabela_registros[REGISTRO],DADOS!$N$6,tabela_registros[TIPO],DADOS!$AJ$4,tabela_registros[CATEGORIA],reservavariáveisconsolidado282934[[#This Row],[ATUAL]])</f>
        <v>0</v>
      </c>
      <c r="AF192" s="119" t="n">
        <f aca="false">SUMIFS(tabela_registros[VALOR],tabela_registros[MÊS],$AE$1,tabela_registros[DIA],reservavariáveisconsolidado282934[[#Headers],[28]],tabela_registros[REGISTRO],DADOS!$N$6,tabela_registros[TIPO],DADOS!$AJ$4,tabela_registros[CATEGORIA],reservavariáveisconsolidado282934[[#This Row],[ATUAL]])</f>
        <v>0</v>
      </c>
      <c r="AG192" s="119" t="n">
        <f aca="false">SUMIFS(tabela_registros[VALOR],tabela_registros[MÊS],$AE$1,tabela_registros[DIA],reservavariáveisconsolidado282934[[#Headers],[29]],tabela_registros[REGISTRO],DADOS!$N$6,tabela_registros[TIPO],DADOS!$AJ$4,tabela_registros[CATEGORIA],reservavariáveisconsolidado282934[[#This Row],[ATUAL]])</f>
        <v>0</v>
      </c>
      <c r="AH192" s="119" t="n">
        <f aca="false">SUMIFS(tabela_registros[VALOR],tabela_registros[MÊS],$AE$1,tabela_registros[DIA],reservavariáveisconsolidado282934[[#Headers],[30]],tabela_registros[REGISTRO],DADOS!$N$6,tabela_registros[TIPO],DADOS!$AJ$4,tabela_registros[CATEGORIA],reservavariáveisconsolidado282934[[#This Row],[ATUAL]])</f>
        <v>0</v>
      </c>
      <c r="AI192" s="217" t="n">
        <f aca="false">SUMIFS(tabela_registros[VALOR],tabela_registros[MÊS],$AE$1,tabela_registros[DIA],reservavariáveisconsolidado282934[[#Headers],[31]],tabela_registros[REGISTRO],DADOS!$N$6,tabela_registros[TIPO],DADOS!$AJ$4,tabela_registros[CATEGORIA],reservavariáveisconsolidado282934[[#This Row],[ATUAL]])</f>
        <v>0</v>
      </c>
      <c r="AJ192" s="149" t="n">
        <f aca="false">SUM(reservavariáveisconsolidado282934[[#This Row],[1]:[31]])</f>
        <v>0</v>
      </c>
      <c r="AK192" s="234"/>
      <c r="AL192" s="189"/>
    </row>
    <row r="193" customFormat="false" ht="19.5" hidden="false" customHeight="true" outlineLevel="0" collapsed="false">
      <c r="A193" s="189"/>
      <c r="B193" s="213"/>
      <c r="C193" s="214" t="str">
        <f aca="false">DADOS!$AN$9</f>
        <v>📝 EXTERIOR</v>
      </c>
      <c r="D193" s="215" t="str">
        <f aca="false">IF(reservavariáveisconsolidado282934[[#This Row],[TOTAL (R$)]]=0,"",IF(OR(reservavariáveisconsolidado282934[[#This Row],[TOTAL (R$)]]=LARGE($AJ$187:$AJ$196,1),reservavariáveisconsolidado282934[[#This Row],[TOTAL (R$)]]=LARGE($AJ$187:$AJ$196,2)),DADOS!$I$11,""))</f>
        <v/>
      </c>
      <c r="E193" s="148" t="n">
        <f aca="false">SUMIFS(tabela_registros[VALOR],tabela_registros[MÊS],$AE$1,tabela_registros[DIA],reservavariáveisconsolidado282934[[#Headers],[1]],tabela_registros[REGISTRO],DADOS!$N$6,tabela_registros[TIPO],DADOS!$AJ$4,tabela_registros[CATEGORIA],reservavariáveisconsolidado282934[[#This Row],[ATUAL]])</f>
        <v>0</v>
      </c>
      <c r="F193" s="119" t="n">
        <f aca="false">SUMIFS(tabela_registros[VALOR],tabela_registros[MÊS],$AE$1,tabela_registros[DIA],reservavariáveisconsolidado282934[[#Headers],[2]],tabela_registros[REGISTRO],DADOS!$N$6,tabela_registros[TIPO],DADOS!$AJ$4,tabela_registros[CATEGORIA],reservavariáveisconsolidado282934[[#This Row],[ATUAL]])</f>
        <v>0</v>
      </c>
      <c r="G193" s="119" t="n">
        <f aca="false">SUMIFS(tabela_registros[VALOR],tabela_registros[MÊS],$AE$1,tabela_registros[DIA],reservavariáveisconsolidado282934[[#Headers],[3]],tabela_registros[REGISTRO],DADOS!$N$6,tabela_registros[TIPO],DADOS!$AJ$4,tabela_registros[CATEGORIA],reservavariáveisconsolidado282934[[#This Row],[ATUAL]])</f>
        <v>0</v>
      </c>
      <c r="H193" s="119" t="n">
        <f aca="false">SUMIFS(tabela_registros[VALOR],tabela_registros[MÊS],$AE$1,tabela_registros[DIA],reservavariáveisconsolidado282934[[#Headers],[4]],tabela_registros[REGISTRO],DADOS!$N$6,tabela_registros[TIPO],DADOS!$AJ$4,tabela_registros[CATEGORIA],reservavariáveisconsolidado282934[[#This Row],[ATUAL]])</f>
        <v>0</v>
      </c>
      <c r="I193" s="119" t="n">
        <f aca="false">SUMIFS(tabela_registros[VALOR],tabela_registros[MÊS],$AE$1,tabela_registros[DIA],reservavariáveisconsolidado282934[[#Headers],[5]],tabela_registros[REGISTRO],DADOS!$N$6,tabela_registros[TIPO],DADOS!$AJ$4,tabela_registros[CATEGORIA],reservavariáveisconsolidado282934[[#This Row],[ATUAL]])</f>
        <v>0</v>
      </c>
      <c r="J193" s="119" t="n">
        <f aca="false">SUMIFS(tabela_registros[VALOR],tabela_registros[MÊS],$AE$1,tabela_registros[DIA],reservavariáveisconsolidado282934[[#Headers],[6]],tabela_registros[REGISTRO],DADOS!$N$6,tabela_registros[TIPO],DADOS!$AJ$4,tabela_registros[CATEGORIA],reservavariáveisconsolidado282934[[#This Row],[ATUAL]])</f>
        <v>0</v>
      </c>
      <c r="K193" s="119" t="n">
        <f aca="false">SUMIFS(tabela_registros[VALOR],tabela_registros[MÊS],$AE$1,tabela_registros[DIA],reservavariáveisconsolidado282934[[#Headers],[7]],tabela_registros[REGISTRO],DADOS!$N$6,tabela_registros[TIPO],DADOS!$AJ$4,tabela_registros[CATEGORIA],reservavariáveisconsolidado282934[[#This Row],[ATUAL]])</f>
        <v>0</v>
      </c>
      <c r="L193" s="119" t="n">
        <f aca="false">SUMIFS(tabela_registros[VALOR],tabela_registros[MÊS],$AE$1,tabela_registros[DIA],reservavariáveisconsolidado282934[[#Headers],[8]],tabela_registros[REGISTRO],DADOS!$N$6,tabela_registros[TIPO],DADOS!$AJ$4,tabela_registros[CATEGORIA],reservavariáveisconsolidado282934[[#This Row],[ATUAL]])</f>
        <v>0</v>
      </c>
      <c r="M193" s="119" t="n">
        <f aca="false">SUMIFS(tabela_registros[VALOR],tabela_registros[MÊS],$AE$1,tabela_registros[DIA],reservavariáveisconsolidado282934[[#Headers],[9]],tabela_registros[REGISTRO],DADOS!$N$6,tabela_registros[TIPO],DADOS!$AJ$4,tabela_registros[CATEGORIA],reservavariáveisconsolidado282934[[#This Row],[ATUAL]])</f>
        <v>0</v>
      </c>
      <c r="N193" s="119" t="n">
        <f aca="false">SUMIFS(tabela_registros[VALOR],tabela_registros[MÊS],$AE$1,tabela_registros[DIA],reservavariáveisconsolidado282934[[#Headers],[10]],tabela_registros[REGISTRO],DADOS!$N$6,tabela_registros[TIPO],DADOS!$AJ$4,tabela_registros[CATEGORIA],reservavariáveisconsolidado282934[[#This Row],[ATUAL]])</f>
        <v>0</v>
      </c>
      <c r="O193" s="119" t="n">
        <f aca="false">SUMIFS(tabela_registros[VALOR],tabela_registros[MÊS],$AE$1,tabela_registros[DIA],reservavariáveisconsolidado282934[[#Headers],[11]],tabela_registros[REGISTRO],DADOS!$N$6,tabela_registros[TIPO],DADOS!$AJ$4,tabela_registros[CATEGORIA],reservavariáveisconsolidado282934[[#This Row],[ATUAL]])</f>
        <v>0</v>
      </c>
      <c r="P193" s="119" t="n">
        <f aca="false">SUMIFS(tabela_registros[VALOR],tabela_registros[MÊS],$AE$1,tabela_registros[DIA],reservavariáveisconsolidado282934[[#Headers],[12]],tabela_registros[REGISTRO],DADOS!$N$6,tabela_registros[TIPO],DADOS!$AJ$4,tabela_registros[CATEGORIA],reservavariáveisconsolidado282934[[#This Row],[ATUAL]])</f>
        <v>0</v>
      </c>
      <c r="Q193" s="119" t="n">
        <f aca="false">SUMIFS(tabela_registros[VALOR],tabela_registros[MÊS],$AE$1,tabela_registros[DIA],reservavariáveisconsolidado282934[[#Headers],[13]],tabela_registros[REGISTRO],DADOS!$N$6,tabela_registros[TIPO],DADOS!$AJ$4,tabela_registros[CATEGORIA],reservavariáveisconsolidado282934[[#This Row],[ATUAL]])</f>
        <v>0</v>
      </c>
      <c r="R193" s="119" t="n">
        <f aca="false">SUMIFS(tabela_registros[VALOR],tabela_registros[MÊS],$AE$1,tabela_registros[DIA],reservavariáveisconsolidado282934[[#Headers],[14]],tabela_registros[REGISTRO],DADOS!$N$6,tabela_registros[TIPO],DADOS!$AJ$4,tabela_registros[CATEGORIA],reservavariáveisconsolidado282934[[#This Row],[ATUAL]])</f>
        <v>0</v>
      </c>
      <c r="S193" s="119" t="n">
        <f aca="false">SUMIFS(tabela_registros[VALOR],tabela_registros[MÊS],$AE$1,tabela_registros[DIA],reservavariáveisconsolidado282934[[#Headers],[15]],tabela_registros[REGISTRO],DADOS!$N$6,tabela_registros[TIPO],DADOS!$AJ$4,tabela_registros[CATEGORIA],reservavariáveisconsolidado282934[[#This Row],[ATUAL]])</f>
        <v>0</v>
      </c>
      <c r="T193" s="119" t="n">
        <f aca="false">SUMIFS(tabela_registros[VALOR],tabela_registros[MÊS],$AE$1,tabela_registros[DIA],reservavariáveisconsolidado282934[[#Headers],[16]],tabela_registros[REGISTRO],DADOS!$N$6,tabela_registros[TIPO],DADOS!$AJ$4,tabela_registros[CATEGORIA],reservavariáveisconsolidado282934[[#This Row],[ATUAL]])</f>
        <v>0</v>
      </c>
      <c r="U193" s="119" t="n">
        <f aca="false">SUMIFS(tabela_registros[VALOR],tabela_registros[MÊS],$AE$1,tabela_registros[DIA],reservavariáveisconsolidado282934[[#Headers],[17]],tabela_registros[REGISTRO],DADOS!$N$6,tabela_registros[TIPO],DADOS!$AJ$4,tabela_registros[CATEGORIA],reservavariáveisconsolidado282934[[#This Row],[ATUAL]])</f>
        <v>0</v>
      </c>
      <c r="V193" s="119" t="n">
        <f aca="false">SUMIFS(tabela_registros[VALOR],tabela_registros[MÊS],$AE$1,tabela_registros[DIA],reservavariáveisconsolidado282934[[#Headers],[18]],tabela_registros[REGISTRO],DADOS!$N$6,tabela_registros[TIPO],DADOS!$AJ$4,tabela_registros[CATEGORIA],reservavariáveisconsolidado282934[[#This Row],[ATUAL]])</f>
        <v>0</v>
      </c>
      <c r="W193" s="119" t="n">
        <f aca="false">SUMIFS(tabela_registros[VALOR],tabela_registros[MÊS],$AE$1,tabela_registros[DIA],reservavariáveisconsolidado282934[[#Headers],[19]],tabela_registros[REGISTRO],DADOS!$N$6,tabela_registros[TIPO],DADOS!$AJ$4,tabela_registros[CATEGORIA],reservavariáveisconsolidado282934[[#This Row],[ATUAL]])</f>
        <v>0</v>
      </c>
      <c r="X193" s="119" t="n">
        <f aca="false">SUMIFS(tabela_registros[VALOR],tabela_registros[MÊS],$AE$1,tabela_registros[DIA],reservavariáveisconsolidado282934[[#Headers],[20]],tabela_registros[REGISTRO],DADOS!$N$6,tabela_registros[TIPO],DADOS!$AJ$4,tabela_registros[CATEGORIA],reservavariáveisconsolidado282934[[#This Row],[ATUAL]])</f>
        <v>0</v>
      </c>
      <c r="Y193" s="119" t="n">
        <f aca="false">SUMIFS(tabela_registros[VALOR],tabela_registros[MÊS],$AE$1,tabela_registros[DIA],reservavariáveisconsolidado282934[[#Headers],[21]],tabela_registros[REGISTRO],DADOS!$N$6,tabela_registros[TIPO],DADOS!$AJ$4,tabela_registros[CATEGORIA],reservavariáveisconsolidado282934[[#This Row],[ATUAL]])</f>
        <v>0</v>
      </c>
      <c r="Z193" s="119" t="n">
        <f aca="false">SUMIFS(tabela_registros[VALOR],tabela_registros[MÊS],$AE$1,tabela_registros[DIA],reservavariáveisconsolidado282934[[#Headers],[22]],tabela_registros[REGISTRO],DADOS!$N$6,tabela_registros[TIPO],DADOS!$AJ$4,tabela_registros[CATEGORIA],reservavariáveisconsolidado282934[[#This Row],[ATUAL]])</f>
        <v>0</v>
      </c>
      <c r="AA193" s="119" t="n">
        <f aca="false">SUMIFS(tabela_registros[VALOR],tabela_registros[MÊS],$AE$1,tabela_registros[DIA],reservavariáveisconsolidado282934[[#Headers],[23]],tabela_registros[REGISTRO],DADOS!$N$6,tabela_registros[TIPO],DADOS!$AJ$4,tabela_registros[CATEGORIA],reservavariáveisconsolidado282934[[#This Row],[ATUAL]])</f>
        <v>0</v>
      </c>
      <c r="AB193" s="119" t="n">
        <f aca="false">SUMIFS(tabela_registros[VALOR],tabela_registros[MÊS],$AE$1,tabela_registros[DIA],reservavariáveisconsolidado282934[[#Headers],[24]],tabela_registros[REGISTRO],DADOS!$N$6,tabela_registros[TIPO],DADOS!$AJ$4,tabela_registros[CATEGORIA],reservavariáveisconsolidado282934[[#This Row],[ATUAL]])</f>
        <v>0</v>
      </c>
      <c r="AC193" s="119" t="n">
        <f aca="false">SUMIFS(tabela_registros[VALOR],tabela_registros[MÊS],$AE$1,tabela_registros[DIA],reservavariáveisconsolidado282934[[#Headers],[25]],tabela_registros[REGISTRO],DADOS!$N$6,tabela_registros[TIPO],DADOS!$AJ$4,tabela_registros[CATEGORIA],reservavariáveisconsolidado282934[[#This Row],[ATUAL]])</f>
        <v>0</v>
      </c>
      <c r="AD193" s="119" t="n">
        <f aca="false">SUMIFS(tabela_registros[VALOR],tabela_registros[MÊS],$AE$1,tabela_registros[DIA],reservavariáveisconsolidado282934[[#Headers],[26]],tabela_registros[REGISTRO],DADOS!$N$6,tabela_registros[TIPO],DADOS!$AJ$4,tabela_registros[CATEGORIA],reservavariáveisconsolidado282934[[#This Row],[ATUAL]])</f>
        <v>0</v>
      </c>
      <c r="AE193" s="119" t="n">
        <f aca="false">SUMIFS(tabela_registros[VALOR],tabela_registros[MÊS],$AE$1,tabela_registros[DIA],reservavariáveisconsolidado282934[[#Headers],[27]],tabela_registros[REGISTRO],DADOS!$N$6,tabela_registros[TIPO],DADOS!$AJ$4,tabela_registros[CATEGORIA],reservavariáveisconsolidado282934[[#This Row],[ATUAL]])</f>
        <v>0</v>
      </c>
      <c r="AF193" s="119" t="n">
        <f aca="false">SUMIFS(tabela_registros[VALOR],tabela_registros[MÊS],$AE$1,tabela_registros[DIA],reservavariáveisconsolidado282934[[#Headers],[28]],tabela_registros[REGISTRO],DADOS!$N$6,tabela_registros[TIPO],DADOS!$AJ$4,tabela_registros[CATEGORIA],reservavariáveisconsolidado282934[[#This Row],[ATUAL]])</f>
        <v>0</v>
      </c>
      <c r="AG193" s="119" t="n">
        <f aca="false">SUMIFS(tabela_registros[VALOR],tabela_registros[MÊS],$AE$1,tabela_registros[DIA],reservavariáveisconsolidado282934[[#Headers],[29]],tabela_registros[REGISTRO],DADOS!$N$6,tabela_registros[TIPO],DADOS!$AJ$4,tabela_registros[CATEGORIA],reservavariáveisconsolidado282934[[#This Row],[ATUAL]])</f>
        <v>0</v>
      </c>
      <c r="AH193" s="119" t="n">
        <f aca="false">SUMIFS(tabela_registros[VALOR],tabela_registros[MÊS],$AE$1,tabela_registros[DIA],reservavariáveisconsolidado282934[[#Headers],[30]],tabela_registros[REGISTRO],DADOS!$N$6,tabela_registros[TIPO],DADOS!$AJ$4,tabela_registros[CATEGORIA],reservavariáveisconsolidado282934[[#This Row],[ATUAL]])</f>
        <v>0</v>
      </c>
      <c r="AI193" s="217" t="n">
        <f aca="false">SUMIFS(tabela_registros[VALOR],tabela_registros[MÊS],$AE$1,tabela_registros[DIA],reservavariáveisconsolidado282934[[#Headers],[31]],tabela_registros[REGISTRO],DADOS!$N$6,tabela_registros[TIPO],DADOS!$AJ$4,tabela_registros[CATEGORIA],reservavariáveisconsolidado282934[[#This Row],[ATUAL]])</f>
        <v>0</v>
      </c>
      <c r="AJ193" s="149" t="n">
        <f aca="false">SUM(reservavariáveisconsolidado282934[[#This Row],[1]:[31]])</f>
        <v>0</v>
      </c>
      <c r="AK193" s="234"/>
      <c r="AL193" s="189"/>
    </row>
    <row r="194" customFormat="false" ht="19.5" hidden="false" customHeight="true" outlineLevel="0" collapsed="false">
      <c r="A194" s="189"/>
      <c r="B194" s="213"/>
      <c r="C194" s="214" t="str">
        <f aca="false">DADOS!$AN$10</f>
        <v>📝 FII</v>
      </c>
      <c r="D194" s="215" t="str">
        <f aca="false">IF(reservavariáveisconsolidado282934[[#This Row],[TOTAL (R$)]]=0,"",IF(OR(reservavariáveisconsolidado282934[[#This Row],[TOTAL (R$)]]=LARGE($AJ$187:$AJ$196,1),reservavariáveisconsolidado282934[[#This Row],[TOTAL (R$)]]=LARGE($AJ$187:$AJ$196,2)),DADOS!$I$11,""))</f>
        <v/>
      </c>
      <c r="E194" s="148" t="n">
        <f aca="false">SUMIFS(tabela_registros[VALOR],tabela_registros[MÊS],$AE$1,tabela_registros[DIA],reservavariáveisconsolidado282934[[#Headers],[1]],tabela_registros[REGISTRO],DADOS!$N$6,tabela_registros[TIPO],DADOS!$AJ$4,tabela_registros[CATEGORIA],reservavariáveisconsolidado282934[[#This Row],[ATUAL]])</f>
        <v>0</v>
      </c>
      <c r="F194" s="119" t="n">
        <f aca="false">SUMIFS(tabela_registros[VALOR],tabela_registros[MÊS],$AE$1,tabela_registros[DIA],reservavariáveisconsolidado282934[[#Headers],[2]],tabela_registros[REGISTRO],DADOS!$N$6,tabela_registros[TIPO],DADOS!$AJ$4,tabela_registros[CATEGORIA],reservavariáveisconsolidado282934[[#This Row],[ATUAL]])</f>
        <v>0</v>
      </c>
      <c r="G194" s="119" t="n">
        <f aca="false">SUMIFS(tabela_registros[VALOR],tabela_registros[MÊS],$AE$1,tabela_registros[DIA],reservavariáveisconsolidado282934[[#Headers],[3]],tabela_registros[REGISTRO],DADOS!$N$6,tabela_registros[TIPO],DADOS!$AJ$4,tabela_registros[CATEGORIA],reservavariáveisconsolidado282934[[#This Row],[ATUAL]])</f>
        <v>0</v>
      </c>
      <c r="H194" s="119" t="n">
        <f aca="false">SUMIFS(tabela_registros[VALOR],tabela_registros[MÊS],$AE$1,tabela_registros[DIA],reservavariáveisconsolidado282934[[#Headers],[4]],tabela_registros[REGISTRO],DADOS!$N$6,tabela_registros[TIPO],DADOS!$AJ$4,tabela_registros[CATEGORIA],reservavariáveisconsolidado282934[[#This Row],[ATUAL]])</f>
        <v>0</v>
      </c>
      <c r="I194" s="119" t="n">
        <f aca="false">SUMIFS(tabela_registros[VALOR],tabela_registros[MÊS],$AE$1,tabela_registros[DIA],reservavariáveisconsolidado282934[[#Headers],[5]],tabela_registros[REGISTRO],DADOS!$N$6,tabela_registros[TIPO],DADOS!$AJ$4,tabela_registros[CATEGORIA],reservavariáveisconsolidado282934[[#This Row],[ATUAL]])</f>
        <v>0</v>
      </c>
      <c r="J194" s="119" t="n">
        <f aca="false">SUMIFS(tabela_registros[VALOR],tabela_registros[MÊS],$AE$1,tabela_registros[DIA],reservavariáveisconsolidado282934[[#Headers],[6]],tabela_registros[REGISTRO],DADOS!$N$6,tabela_registros[TIPO],DADOS!$AJ$4,tabela_registros[CATEGORIA],reservavariáveisconsolidado282934[[#This Row],[ATUAL]])</f>
        <v>0</v>
      </c>
      <c r="K194" s="119" t="n">
        <f aca="false">SUMIFS(tabela_registros[VALOR],tabela_registros[MÊS],$AE$1,tabela_registros[DIA],reservavariáveisconsolidado282934[[#Headers],[7]],tabela_registros[REGISTRO],DADOS!$N$6,tabela_registros[TIPO],DADOS!$AJ$4,tabela_registros[CATEGORIA],reservavariáveisconsolidado282934[[#This Row],[ATUAL]])</f>
        <v>0</v>
      </c>
      <c r="L194" s="119" t="n">
        <f aca="false">SUMIFS(tabela_registros[VALOR],tabela_registros[MÊS],$AE$1,tabela_registros[DIA],reservavariáveisconsolidado282934[[#Headers],[8]],tabela_registros[REGISTRO],DADOS!$N$6,tabela_registros[TIPO],DADOS!$AJ$4,tabela_registros[CATEGORIA],reservavariáveisconsolidado282934[[#This Row],[ATUAL]])</f>
        <v>0</v>
      </c>
      <c r="M194" s="119" t="n">
        <f aca="false">SUMIFS(tabela_registros[VALOR],tabela_registros[MÊS],$AE$1,tabela_registros[DIA],reservavariáveisconsolidado282934[[#Headers],[9]],tabela_registros[REGISTRO],DADOS!$N$6,tabela_registros[TIPO],DADOS!$AJ$4,tabela_registros[CATEGORIA],reservavariáveisconsolidado282934[[#This Row],[ATUAL]])</f>
        <v>0</v>
      </c>
      <c r="N194" s="119" t="n">
        <f aca="false">SUMIFS(tabela_registros[VALOR],tabela_registros[MÊS],$AE$1,tabela_registros[DIA],reservavariáveisconsolidado282934[[#Headers],[10]],tabela_registros[REGISTRO],DADOS!$N$6,tabela_registros[TIPO],DADOS!$AJ$4,tabela_registros[CATEGORIA],reservavariáveisconsolidado282934[[#This Row],[ATUAL]])</f>
        <v>0</v>
      </c>
      <c r="O194" s="119" t="n">
        <f aca="false">SUMIFS(tabela_registros[VALOR],tabela_registros[MÊS],$AE$1,tabela_registros[DIA],reservavariáveisconsolidado282934[[#Headers],[11]],tabela_registros[REGISTRO],DADOS!$N$6,tabela_registros[TIPO],DADOS!$AJ$4,tabela_registros[CATEGORIA],reservavariáveisconsolidado282934[[#This Row],[ATUAL]])</f>
        <v>0</v>
      </c>
      <c r="P194" s="119" t="n">
        <f aca="false">SUMIFS(tabela_registros[VALOR],tabela_registros[MÊS],$AE$1,tabela_registros[DIA],reservavariáveisconsolidado282934[[#Headers],[12]],tabela_registros[REGISTRO],DADOS!$N$6,tabela_registros[TIPO],DADOS!$AJ$4,tabela_registros[CATEGORIA],reservavariáveisconsolidado282934[[#This Row],[ATUAL]])</f>
        <v>0</v>
      </c>
      <c r="Q194" s="119" t="n">
        <f aca="false">SUMIFS(tabela_registros[VALOR],tabela_registros[MÊS],$AE$1,tabela_registros[DIA],reservavariáveisconsolidado282934[[#Headers],[13]],tabela_registros[REGISTRO],DADOS!$N$6,tabela_registros[TIPO],DADOS!$AJ$4,tabela_registros[CATEGORIA],reservavariáveisconsolidado282934[[#This Row],[ATUAL]])</f>
        <v>0</v>
      </c>
      <c r="R194" s="119" t="n">
        <f aca="false">SUMIFS(tabela_registros[VALOR],tabela_registros[MÊS],$AE$1,tabela_registros[DIA],reservavariáveisconsolidado282934[[#Headers],[14]],tabela_registros[REGISTRO],DADOS!$N$6,tabela_registros[TIPO],DADOS!$AJ$4,tabela_registros[CATEGORIA],reservavariáveisconsolidado282934[[#This Row],[ATUAL]])</f>
        <v>0</v>
      </c>
      <c r="S194" s="119" t="n">
        <f aca="false">SUMIFS(tabela_registros[VALOR],tabela_registros[MÊS],$AE$1,tabela_registros[DIA],reservavariáveisconsolidado282934[[#Headers],[15]],tabela_registros[REGISTRO],DADOS!$N$6,tabela_registros[TIPO],DADOS!$AJ$4,tabela_registros[CATEGORIA],reservavariáveisconsolidado282934[[#This Row],[ATUAL]])</f>
        <v>0</v>
      </c>
      <c r="T194" s="119" t="n">
        <f aca="false">SUMIFS(tabela_registros[VALOR],tabela_registros[MÊS],$AE$1,tabela_registros[DIA],reservavariáveisconsolidado282934[[#Headers],[16]],tabela_registros[REGISTRO],DADOS!$N$6,tabela_registros[TIPO],DADOS!$AJ$4,tabela_registros[CATEGORIA],reservavariáveisconsolidado282934[[#This Row],[ATUAL]])</f>
        <v>0</v>
      </c>
      <c r="U194" s="119" t="n">
        <f aca="false">SUMIFS(tabela_registros[VALOR],tabela_registros[MÊS],$AE$1,tabela_registros[DIA],reservavariáveisconsolidado282934[[#Headers],[17]],tabela_registros[REGISTRO],DADOS!$N$6,tabela_registros[TIPO],DADOS!$AJ$4,tabela_registros[CATEGORIA],reservavariáveisconsolidado282934[[#This Row],[ATUAL]])</f>
        <v>0</v>
      </c>
      <c r="V194" s="119" t="n">
        <f aca="false">SUMIFS(tabela_registros[VALOR],tabela_registros[MÊS],$AE$1,tabela_registros[DIA],reservavariáveisconsolidado282934[[#Headers],[18]],tabela_registros[REGISTRO],DADOS!$N$6,tabela_registros[TIPO],DADOS!$AJ$4,tabela_registros[CATEGORIA],reservavariáveisconsolidado282934[[#This Row],[ATUAL]])</f>
        <v>0</v>
      </c>
      <c r="W194" s="119" t="n">
        <f aca="false">SUMIFS(tabela_registros[VALOR],tabela_registros[MÊS],$AE$1,tabela_registros[DIA],reservavariáveisconsolidado282934[[#Headers],[19]],tabela_registros[REGISTRO],DADOS!$N$6,tabela_registros[TIPO],DADOS!$AJ$4,tabela_registros[CATEGORIA],reservavariáveisconsolidado282934[[#This Row],[ATUAL]])</f>
        <v>0</v>
      </c>
      <c r="X194" s="119" t="n">
        <f aca="false">SUMIFS(tabela_registros[VALOR],tabela_registros[MÊS],$AE$1,tabela_registros[DIA],reservavariáveisconsolidado282934[[#Headers],[20]],tabela_registros[REGISTRO],DADOS!$N$6,tabela_registros[TIPO],DADOS!$AJ$4,tabela_registros[CATEGORIA],reservavariáveisconsolidado282934[[#This Row],[ATUAL]])</f>
        <v>0</v>
      </c>
      <c r="Y194" s="119" t="n">
        <f aca="false">SUMIFS(tabela_registros[VALOR],tabela_registros[MÊS],$AE$1,tabela_registros[DIA],reservavariáveisconsolidado282934[[#Headers],[21]],tabela_registros[REGISTRO],DADOS!$N$6,tabela_registros[TIPO],DADOS!$AJ$4,tabela_registros[CATEGORIA],reservavariáveisconsolidado282934[[#This Row],[ATUAL]])</f>
        <v>0</v>
      </c>
      <c r="Z194" s="119" t="n">
        <f aca="false">SUMIFS(tabela_registros[VALOR],tabela_registros[MÊS],$AE$1,tabela_registros[DIA],reservavariáveisconsolidado282934[[#Headers],[22]],tabela_registros[REGISTRO],DADOS!$N$6,tabela_registros[TIPO],DADOS!$AJ$4,tabela_registros[CATEGORIA],reservavariáveisconsolidado282934[[#This Row],[ATUAL]])</f>
        <v>0</v>
      </c>
      <c r="AA194" s="119" t="n">
        <f aca="false">SUMIFS(tabela_registros[VALOR],tabela_registros[MÊS],$AE$1,tabela_registros[DIA],reservavariáveisconsolidado282934[[#Headers],[23]],tabela_registros[REGISTRO],DADOS!$N$6,tabela_registros[TIPO],DADOS!$AJ$4,tabela_registros[CATEGORIA],reservavariáveisconsolidado282934[[#This Row],[ATUAL]])</f>
        <v>0</v>
      </c>
      <c r="AB194" s="119" t="n">
        <f aca="false">SUMIFS(tabela_registros[VALOR],tabela_registros[MÊS],$AE$1,tabela_registros[DIA],reservavariáveisconsolidado282934[[#Headers],[24]],tabela_registros[REGISTRO],DADOS!$N$6,tabela_registros[TIPO],DADOS!$AJ$4,tabela_registros[CATEGORIA],reservavariáveisconsolidado282934[[#This Row],[ATUAL]])</f>
        <v>0</v>
      </c>
      <c r="AC194" s="119" t="n">
        <f aca="false">SUMIFS(tabela_registros[VALOR],tabela_registros[MÊS],$AE$1,tabela_registros[DIA],reservavariáveisconsolidado282934[[#Headers],[25]],tabela_registros[REGISTRO],DADOS!$N$6,tabela_registros[TIPO],DADOS!$AJ$4,tabela_registros[CATEGORIA],reservavariáveisconsolidado282934[[#This Row],[ATUAL]])</f>
        <v>0</v>
      </c>
      <c r="AD194" s="119" t="n">
        <f aca="false">SUMIFS(tabela_registros[VALOR],tabela_registros[MÊS],$AE$1,tabela_registros[DIA],reservavariáveisconsolidado282934[[#Headers],[26]],tabela_registros[REGISTRO],DADOS!$N$6,tabela_registros[TIPO],DADOS!$AJ$4,tabela_registros[CATEGORIA],reservavariáveisconsolidado282934[[#This Row],[ATUAL]])</f>
        <v>0</v>
      </c>
      <c r="AE194" s="119" t="n">
        <f aca="false">SUMIFS(tabela_registros[VALOR],tabela_registros[MÊS],$AE$1,tabela_registros[DIA],reservavariáveisconsolidado282934[[#Headers],[27]],tabela_registros[REGISTRO],DADOS!$N$6,tabela_registros[TIPO],DADOS!$AJ$4,tabela_registros[CATEGORIA],reservavariáveisconsolidado282934[[#This Row],[ATUAL]])</f>
        <v>0</v>
      </c>
      <c r="AF194" s="119" t="n">
        <f aca="false">SUMIFS(tabela_registros[VALOR],tabela_registros[MÊS],$AE$1,tabela_registros[DIA],reservavariáveisconsolidado282934[[#Headers],[28]],tabela_registros[REGISTRO],DADOS!$N$6,tabela_registros[TIPO],DADOS!$AJ$4,tabela_registros[CATEGORIA],reservavariáveisconsolidado282934[[#This Row],[ATUAL]])</f>
        <v>0</v>
      </c>
      <c r="AG194" s="119" t="n">
        <f aca="false">SUMIFS(tabela_registros[VALOR],tabela_registros[MÊS],$AE$1,tabela_registros[DIA],reservavariáveisconsolidado282934[[#Headers],[29]],tabela_registros[REGISTRO],DADOS!$N$6,tabela_registros[TIPO],DADOS!$AJ$4,tabela_registros[CATEGORIA],reservavariáveisconsolidado282934[[#This Row],[ATUAL]])</f>
        <v>0</v>
      </c>
      <c r="AH194" s="119" t="n">
        <f aca="false">SUMIFS(tabela_registros[VALOR],tabela_registros[MÊS],$AE$1,tabela_registros[DIA],reservavariáveisconsolidado282934[[#Headers],[30]],tabela_registros[REGISTRO],DADOS!$N$6,tabela_registros[TIPO],DADOS!$AJ$4,tabela_registros[CATEGORIA],reservavariáveisconsolidado282934[[#This Row],[ATUAL]])</f>
        <v>0</v>
      </c>
      <c r="AI194" s="217" t="n">
        <f aca="false">SUMIFS(tabela_registros[VALOR],tabela_registros[MÊS],$AE$1,tabela_registros[DIA],reservavariáveisconsolidado282934[[#Headers],[31]],tabela_registros[REGISTRO],DADOS!$N$6,tabela_registros[TIPO],DADOS!$AJ$4,tabela_registros[CATEGORIA],reservavariáveisconsolidado282934[[#This Row],[ATUAL]])</f>
        <v>0</v>
      </c>
      <c r="AJ194" s="149" t="n">
        <f aca="false">SUM(reservavariáveisconsolidado282934[[#This Row],[1]:[31]])</f>
        <v>0</v>
      </c>
      <c r="AK194" s="234"/>
      <c r="AL194" s="189"/>
    </row>
    <row r="195" customFormat="false" ht="19.5" hidden="false" customHeight="true" outlineLevel="0" collapsed="false">
      <c r="A195" s="189"/>
      <c r="B195" s="213"/>
      <c r="C195" s="214" t="str">
        <f aca="false">DADOS!$AN$11</f>
        <v>📝 MOEDA</v>
      </c>
      <c r="D195" s="215" t="str">
        <f aca="false">IF(reservavariáveisconsolidado282934[[#This Row],[TOTAL (R$)]]=0,"",IF(OR(reservavariáveisconsolidado282934[[#This Row],[TOTAL (R$)]]=LARGE($AJ$187:$AJ$196,1),reservavariáveisconsolidado282934[[#This Row],[TOTAL (R$)]]=LARGE($AJ$187:$AJ$196,2)),DADOS!$I$11,""))</f>
        <v/>
      </c>
      <c r="E195" s="148" t="n">
        <f aca="false">SUMIFS(tabela_registros[VALOR],tabela_registros[MÊS],$AE$1,tabela_registros[DIA],reservavariáveisconsolidado282934[[#Headers],[1]],tabela_registros[REGISTRO],DADOS!$N$6,tabela_registros[TIPO],DADOS!$AJ$4,tabela_registros[CATEGORIA],reservavariáveisconsolidado282934[[#This Row],[ATUAL]])</f>
        <v>0</v>
      </c>
      <c r="F195" s="119" t="n">
        <f aca="false">SUMIFS(tabela_registros[VALOR],tabela_registros[MÊS],$AE$1,tabela_registros[DIA],reservavariáveisconsolidado282934[[#Headers],[2]],tabela_registros[REGISTRO],DADOS!$N$6,tabela_registros[TIPO],DADOS!$AJ$4,tabela_registros[CATEGORIA],reservavariáveisconsolidado282934[[#This Row],[ATUAL]])</f>
        <v>0</v>
      </c>
      <c r="G195" s="119" t="n">
        <f aca="false">SUMIFS(tabela_registros[VALOR],tabela_registros[MÊS],$AE$1,tabela_registros[DIA],reservavariáveisconsolidado282934[[#Headers],[3]],tabela_registros[REGISTRO],DADOS!$N$6,tabela_registros[TIPO],DADOS!$AJ$4,tabela_registros[CATEGORIA],reservavariáveisconsolidado282934[[#This Row],[ATUAL]])</f>
        <v>0</v>
      </c>
      <c r="H195" s="119" t="n">
        <f aca="false">SUMIFS(tabela_registros[VALOR],tabela_registros[MÊS],$AE$1,tabela_registros[DIA],reservavariáveisconsolidado282934[[#Headers],[4]],tabela_registros[REGISTRO],DADOS!$N$6,tabela_registros[TIPO],DADOS!$AJ$4,tabela_registros[CATEGORIA],reservavariáveisconsolidado282934[[#This Row],[ATUAL]])</f>
        <v>0</v>
      </c>
      <c r="I195" s="119" t="n">
        <f aca="false">SUMIFS(tabela_registros[VALOR],tabela_registros[MÊS],$AE$1,tabela_registros[DIA],reservavariáveisconsolidado282934[[#Headers],[5]],tabela_registros[REGISTRO],DADOS!$N$6,tabela_registros[TIPO],DADOS!$AJ$4,tabela_registros[CATEGORIA],reservavariáveisconsolidado282934[[#This Row],[ATUAL]])</f>
        <v>0</v>
      </c>
      <c r="J195" s="119" t="n">
        <f aca="false">SUMIFS(tabela_registros[VALOR],tabela_registros[MÊS],$AE$1,tabela_registros[DIA],reservavariáveisconsolidado282934[[#Headers],[6]],tabela_registros[REGISTRO],DADOS!$N$6,tabela_registros[TIPO],DADOS!$AJ$4,tabela_registros[CATEGORIA],reservavariáveisconsolidado282934[[#This Row],[ATUAL]])</f>
        <v>0</v>
      </c>
      <c r="K195" s="119" t="n">
        <f aca="false">SUMIFS(tabela_registros[VALOR],tabela_registros[MÊS],$AE$1,tabela_registros[DIA],reservavariáveisconsolidado282934[[#Headers],[7]],tabela_registros[REGISTRO],DADOS!$N$6,tabela_registros[TIPO],DADOS!$AJ$4,tabela_registros[CATEGORIA],reservavariáveisconsolidado282934[[#This Row],[ATUAL]])</f>
        <v>0</v>
      </c>
      <c r="L195" s="119" t="n">
        <f aca="false">SUMIFS(tabela_registros[VALOR],tabela_registros[MÊS],$AE$1,tabela_registros[DIA],reservavariáveisconsolidado282934[[#Headers],[8]],tabela_registros[REGISTRO],DADOS!$N$6,tabela_registros[TIPO],DADOS!$AJ$4,tabela_registros[CATEGORIA],reservavariáveisconsolidado282934[[#This Row],[ATUAL]])</f>
        <v>0</v>
      </c>
      <c r="M195" s="119" t="n">
        <f aca="false">SUMIFS(tabela_registros[VALOR],tabela_registros[MÊS],$AE$1,tabela_registros[DIA],reservavariáveisconsolidado282934[[#Headers],[9]],tabela_registros[REGISTRO],DADOS!$N$6,tabela_registros[TIPO],DADOS!$AJ$4,tabela_registros[CATEGORIA],reservavariáveisconsolidado282934[[#This Row],[ATUAL]])</f>
        <v>0</v>
      </c>
      <c r="N195" s="119" t="n">
        <f aca="false">SUMIFS(tabela_registros[VALOR],tabela_registros[MÊS],$AE$1,tabela_registros[DIA],reservavariáveisconsolidado282934[[#Headers],[10]],tabela_registros[REGISTRO],DADOS!$N$6,tabela_registros[TIPO],DADOS!$AJ$4,tabela_registros[CATEGORIA],reservavariáveisconsolidado282934[[#This Row],[ATUAL]])</f>
        <v>0</v>
      </c>
      <c r="O195" s="119" t="n">
        <f aca="false">SUMIFS(tabela_registros[VALOR],tabela_registros[MÊS],$AE$1,tabela_registros[DIA],reservavariáveisconsolidado282934[[#Headers],[11]],tabela_registros[REGISTRO],DADOS!$N$6,tabela_registros[TIPO],DADOS!$AJ$4,tabela_registros[CATEGORIA],reservavariáveisconsolidado282934[[#This Row],[ATUAL]])</f>
        <v>0</v>
      </c>
      <c r="P195" s="119" t="n">
        <f aca="false">SUMIFS(tabela_registros[VALOR],tabela_registros[MÊS],$AE$1,tabela_registros[DIA],reservavariáveisconsolidado282934[[#Headers],[12]],tabela_registros[REGISTRO],DADOS!$N$6,tabela_registros[TIPO],DADOS!$AJ$4,tabela_registros[CATEGORIA],reservavariáveisconsolidado282934[[#This Row],[ATUAL]])</f>
        <v>0</v>
      </c>
      <c r="Q195" s="119" t="n">
        <f aca="false">SUMIFS(tabela_registros[VALOR],tabela_registros[MÊS],$AE$1,tabela_registros[DIA],reservavariáveisconsolidado282934[[#Headers],[13]],tabela_registros[REGISTRO],DADOS!$N$6,tabela_registros[TIPO],DADOS!$AJ$4,tabela_registros[CATEGORIA],reservavariáveisconsolidado282934[[#This Row],[ATUAL]])</f>
        <v>0</v>
      </c>
      <c r="R195" s="119" t="n">
        <f aca="false">SUMIFS(tabela_registros[VALOR],tabela_registros[MÊS],$AE$1,tabela_registros[DIA],reservavariáveisconsolidado282934[[#Headers],[14]],tabela_registros[REGISTRO],DADOS!$N$6,tabela_registros[TIPO],DADOS!$AJ$4,tabela_registros[CATEGORIA],reservavariáveisconsolidado282934[[#This Row],[ATUAL]])</f>
        <v>0</v>
      </c>
      <c r="S195" s="119" t="n">
        <f aca="false">SUMIFS(tabela_registros[VALOR],tabela_registros[MÊS],$AE$1,tabela_registros[DIA],reservavariáveisconsolidado282934[[#Headers],[15]],tabela_registros[REGISTRO],DADOS!$N$6,tabela_registros[TIPO],DADOS!$AJ$4,tabela_registros[CATEGORIA],reservavariáveisconsolidado282934[[#This Row],[ATUAL]])</f>
        <v>0</v>
      </c>
      <c r="T195" s="119" t="n">
        <f aca="false">SUMIFS(tabela_registros[VALOR],tabela_registros[MÊS],$AE$1,tabela_registros[DIA],reservavariáveisconsolidado282934[[#Headers],[16]],tabela_registros[REGISTRO],DADOS!$N$6,tabela_registros[TIPO],DADOS!$AJ$4,tabela_registros[CATEGORIA],reservavariáveisconsolidado282934[[#This Row],[ATUAL]])</f>
        <v>0</v>
      </c>
      <c r="U195" s="119" t="n">
        <f aca="false">SUMIFS(tabela_registros[VALOR],tabela_registros[MÊS],$AE$1,tabela_registros[DIA],reservavariáveisconsolidado282934[[#Headers],[17]],tabela_registros[REGISTRO],DADOS!$N$6,tabela_registros[TIPO],DADOS!$AJ$4,tabela_registros[CATEGORIA],reservavariáveisconsolidado282934[[#This Row],[ATUAL]])</f>
        <v>0</v>
      </c>
      <c r="V195" s="119" t="n">
        <f aca="false">SUMIFS(tabela_registros[VALOR],tabela_registros[MÊS],$AE$1,tabela_registros[DIA],reservavariáveisconsolidado282934[[#Headers],[18]],tabela_registros[REGISTRO],DADOS!$N$6,tabela_registros[TIPO],DADOS!$AJ$4,tabela_registros[CATEGORIA],reservavariáveisconsolidado282934[[#This Row],[ATUAL]])</f>
        <v>0</v>
      </c>
      <c r="W195" s="119" t="n">
        <f aca="false">SUMIFS(tabela_registros[VALOR],tabela_registros[MÊS],$AE$1,tabela_registros[DIA],reservavariáveisconsolidado282934[[#Headers],[19]],tabela_registros[REGISTRO],DADOS!$N$6,tabela_registros[TIPO],DADOS!$AJ$4,tabela_registros[CATEGORIA],reservavariáveisconsolidado282934[[#This Row],[ATUAL]])</f>
        <v>0</v>
      </c>
      <c r="X195" s="119" t="n">
        <f aca="false">SUMIFS(tabela_registros[VALOR],tabela_registros[MÊS],$AE$1,tabela_registros[DIA],reservavariáveisconsolidado282934[[#Headers],[20]],tabela_registros[REGISTRO],DADOS!$N$6,tabela_registros[TIPO],DADOS!$AJ$4,tabela_registros[CATEGORIA],reservavariáveisconsolidado282934[[#This Row],[ATUAL]])</f>
        <v>0</v>
      </c>
      <c r="Y195" s="119" t="n">
        <f aca="false">SUMIFS(tabela_registros[VALOR],tabela_registros[MÊS],$AE$1,tabela_registros[DIA],reservavariáveisconsolidado282934[[#Headers],[21]],tabela_registros[REGISTRO],DADOS!$N$6,tabela_registros[TIPO],DADOS!$AJ$4,tabela_registros[CATEGORIA],reservavariáveisconsolidado282934[[#This Row],[ATUAL]])</f>
        <v>0</v>
      </c>
      <c r="Z195" s="119" t="n">
        <f aca="false">SUMIFS(tabela_registros[VALOR],tabela_registros[MÊS],$AE$1,tabela_registros[DIA],reservavariáveisconsolidado282934[[#Headers],[22]],tabela_registros[REGISTRO],DADOS!$N$6,tabela_registros[TIPO],DADOS!$AJ$4,tabela_registros[CATEGORIA],reservavariáveisconsolidado282934[[#This Row],[ATUAL]])</f>
        <v>0</v>
      </c>
      <c r="AA195" s="119" t="n">
        <f aca="false">SUMIFS(tabela_registros[VALOR],tabela_registros[MÊS],$AE$1,tabela_registros[DIA],reservavariáveisconsolidado282934[[#Headers],[23]],tabela_registros[REGISTRO],DADOS!$N$6,tabela_registros[TIPO],DADOS!$AJ$4,tabela_registros[CATEGORIA],reservavariáveisconsolidado282934[[#This Row],[ATUAL]])</f>
        <v>0</v>
      </c>
      <c r="AB195" s="119" t="n">
        <f aca="false">SUMIFS(tabela_registros[VALOR],tabela_registros[MÊS],$AE$1,tabela_registros[DIA],reservavariáveisconsolidado282934[[#Headers],[24]],tabela_registros[REGISTRO],DADOS!$N$6,tabela_registros[TIPO],DADOS!$AJ$4,tabela_registros[CATEGORIA],reservavariáveisconsolidado282934[[#This Row],[ATUAL]])</f>
        <v>0</v>
      </c>
      <c r="AC195" s="119" t="n">
        <f aca="false">SUMIFS(tabela_registros[VALOR],tabela_registros[MÊS],$AE$1,tabela_registros[DIA],reservavariáveisconsolidado282934[[#Headers],[25]],tabela_registros[REGISTRO],DADOS!$N$6,tabela_registros[TIPO],DADOS!$AJ$4,tabela_registros[CATEGORIA],reservavariáveisconsolidado282934[[#This Row],[ATUAL]])</f>
        <v>0</v>
      </c>
      <c r="AD195" s="119" t="n">
        <f aca="false">SUMIFS(tabela_registros[VALOR],tabela_registros[MÊS],$AE$1,tabela_registros[DIA],reservavariáveisconsolidado282934[[#Headers],[26]],tabela_registros[REGISTRO],DADOS!$N$6,tabela_registros[TIPO],DADOS!$AJ$4,tabela_registros[CATEGORIA],reservavariáveisconsolidado282934[[#This Row],[ATUAL]])</f>
        <v>0</v>
      </c>
      <c r="AE195" s="119" t="n">
        <f aca="false">SUMIFS(tabela_registros[VALOR],tabela_registros[MÊS],$AE$1,tabela_registros[DIA],reservavariáveisconsolidado282934[[#Headers],[27]],tabela_registros[REGISTRO],DADOS!$N$6,tabela_registros[TIPO],DADOS!$AJ$4,tabela_registros[CATEGORIA],reservavariáveisconsolidado282934[[#This Row],[ATUAL]])</f>
        <v>0</v>
      </c>
      <c r="AF195" s="119" t="n">
        <f aca="false">SUMIFS(tabela_registros[VALOR],tabela_registros[MÊS],$AE$1,tabela_registros[DIA],reservavariáveisconsolidado282934[[#Headers],[28]],tabela_registros[REGISTRO],DADOS!$N$6,tabela_registros[TIPO],DADOS!$AJ$4,tabela_registros[CATEGORIA],reservavariáveisconsolidado282934[[#This Row],[ATUAL]])</f>
        <v>0</v>
      </c>
      <c r="AG195" s="119" t="n">
        <f aca="false">SUMIFS(tabela_registros[VALOR],tabela_registros[MÊS],$AE$1,tabela_registros[DIA],reservavariáveisconsolidado282934[[#Headers],[29]],tabela_registros[REGISTRO],DADOS!$N$6,tabela_registros[TIPO],DADOS!$AJ$4,tabela_registros[CATEGORIA],reservavariáveisconsolidado282934[[#This Row],[ATUAL]])</f>
        <v>0</v>
      </c>
      <c r="AH195" s="119" t="n">
        <f aca="false">SUMIFS(tabela_registros[VALOR],tabela_registros[MÊS],$AE$1,tabela_registros[DIA],reservavariáveisconsolidado282934[[#Headers],[30]],tabela_registros[REGISTRO],DADOS!$N$6,tabela_registros[TIPO],DADOS!$AJ$4,tabela_registros[CATEGORIA],reservavariáveisconsolidado282934[[#This Row],[ATUAL]])</f>
        <v>0</v>
      </c>
      <c r="AI195" s="217" t="n">
        <f aca="false">SUMIFS(tabela_registros[VALOR],tabela_registros[MÊS],$AE$1,tabela_registros[DIA],reservavariáveisconsolidado282934[[#Headers],[31]],tabela_registros[REGISTRO],DADOS!$N$6,tabela_registros[TIPO],DADOS!$AJ$4,tabela_registros[CATEGORIA],reservavariáveisconsolidado282934[[#This Row],[ATUAL]])</f>
        <v>0</v>
      </c>
      <c r="AJ195" s="149" t="n">
        <f aca="false">SUM(reservavariáveisconsolidado282934[[#This Row],[1]:[31]])</f>
        <v>0</v>
      </c>
      <c r="AK195" s="234"/>
      <c r="AL195" s="189"/>
    </row>
    <row r="196" customFormat="false" ht="19.5" hidden="false" customHeight="true" outlineLevel="0" collapsed="false">
      <c r="A196" s="189"/>
      <c r="B196" s="213"/>
      <c r="C196" s="214" t="str">
        <f aca="false">DADOS!$AN$12</f>
        <v>📎 OUTROS</v>
      </c>
      <c r="D196" s="215" t="str">
        <f aca="false">IF(reservavariáveisconsolidado282934[[#This Row],[TOTAL (R$)]]=0,"",IF(OR(reservavariáveisconsolidado282934[[#This Row],[TOTAL (R$)]]=LARGE($AJ$187:$AJ$196,1),reservavariáveisconsolidado282934[[#This Row],[TOTAL (R$)]]=LARGE($AJ$187:$AJ$196,2)),DADOS!$I$11,""))</f>
        <v/>
      </c>
      <c r="E196" s="148" t="n">
        <f aca="false">SUMIFS(tabela_registros[VALOR],tabela_registros[MÊS],$AE$1,tabela_registros[DIA],reservavariáveisconsolidado282934[[#Headers],[1]],tabela_registros[REGISTRO],DADOS!$N$6,tabela_registros[TIPO],DADOS!$AJ$4,tabela_registros[CATEGORIA],reservavariáveisconsolidado282934[[#This Row],[ATUAL]])</f>
        <v>0</v>
      </c>
      <c r="F196" s="119" t="n">
        <f aca="false">SUMIFS(tabela_registros[VALOR],tabela_registros[MÊS],$AE$1,tabela_registros[DIA],reservavariáveisconsolidado282934[[#Headers],[2]],tabela_registros[REGISTRO],DADOS!$N$6,tabela_registros[TIPO],DADOS!$AJ$4,tabela_registros[CATEGORIA],reservavariáveisconsolidado282934[[#This Row],[ATUAL]])</f>
        <v>0</v>
      </c>
      <c r="G196" s="119" t="n">
        <f aca="false">SUMIFS(tabela_registros[VALOR],tabela_registros[MÊS],$AE$1,tabela_registros[DIA],reservavariáveisconsolidado282934[[#Headers],[3]],tabela_registros[REGISTRO],DADOS!$N$6,tabela_registros[TIPO],DADOS!$AJ$4,tabela_registros[CATEGORIA],reservavariáveisconsolidado282934[[#This Row],[ATUAL]])</f>
        <v>0</v>
      </c>
      <c r="H196" s="119" t="n">
        <f aca="false">SUMIFS(tabela_registros[VALOR],tabela_registros[MÊS],$AE$1,tabela_registros[DIA],reservavariáveisconsolidado282934[[#Headers],[4]],tabela_registros[REGISTRO],DADOS!$N$6,tabela_registros[TIPO],DADOS!$AJ$4,tabela_registros[CATEGORIA],reservavariáveisconsolidado282934[[#This Row],[ATUAL]])</f>
        <v>0</v>
      </c>
      <c r="I196" s="119" t="n">
        <f aca="false">SUMIFS(tabela_registros[VALOR],tabela_registros[MÊS],$AE$1,tabela_registros[DIA],reservavariáveisconsolidado282934[[#Headers],[5]],tabela_registros[REGISTRO],DADOS!$N$6,tabela_registros[TIPO],DADOS!$AJ$4,tabela_registros[CATEGORIA],reservavariáveisconsolidado282934[[#This Row],[ATUAL]])</f>
        <v>0</v>
      </c>
      <c r="J196" s="119" t="n">
        <f aca="false">SUMIFS(tabela_registros[VALOR],tabela_registros[MÊS],$AE$1,tabela_registros[DIA],reservavariáveisconsolidado282934[[#Headers],[6]],tabela_registros[REGISTRO],DADOS!$N$6,tabela_registros[TIPO],DADOS!$AJ$4,tabela_registros[CATEGORIA],reservavariáveisconsolidado282934[[#This Row],[ATUAL]])</f>
        <v>0</v>
      </c>
      <c r="K196" s="119" t="n">
        <f aca="false">SUMIFS(tabela_registros[VALOR],tabela_registros[MÊS],$AE$1,tabela_registros[DIA],reservavariáveisconsolidado282934[[#Headers],[7]],tabela_registros[REGISTRO],DADOS!$N$6,tabela_registros[TIPO],DADOS!$AJ$4,tabela_registros[CATEGORIA],reservavariáveisconsolidado282934[[#This Row],[ATUAL]])</f>
        <v>0</v>
      </c>
      <c r="L196" s="119" t="n">
        <f aca="false">SUMIFS(tabela_registros[VALOR],tabela_registros[MÊS],$AE$1,tabela_registros[DIA],reservavariáveisconsolidado282934[[#Headers],[8]],tabela_registros[REGISTRO],DADOS!$N$6,tabela_registros[TIPO],DADOS!$AJ$4,tabela_registros[CATEGORIA],reservavariáveisconsolidado282934[[#This Row],[ATUAL]])</f>
        <v>0</v>
      </c>
      <c r="M196" s="119" t="n">
        <f aca="false">SUMIFS(tabela_registros[VALOR],tabela_registros[MÊS],$AE$1,tabela_registros[DIA],reservavariáveisconsolidado282934[[#Headers],[9]],tabela_registros[REGISTRO],DADOS!$N$6,tabela_registros[TIPO],DADOS!$AJ$4,tabela_registros[CATEGORIA],reservavariáveisconsolidado282934[[#This Row],[ATUAL]])</f>
        <v>0</v>
      </c>
      <c r="N196" s="119" t="n">
        <f aca="false">SUMIFS(tabela_registros[VALOR],tabela_registros[MÊS],$AE$1,tabela_registros[DIA],reservavariáveisconsolidado282934[[#Headers],[10]],tabela_registros[REGISTRO],DADOS!$N$6,tabela_registros[TIPO],DADOS!$AJ$4,tabela_registros[CATEGORIA],reservavariáveisconsolidado282934[[#This Row],[ATUAL]])</f>
        <v>0</v>
      </c>
      <c r="O196" s="119" t="n">
        <f aca="false">SUMIFS(tabela_registros[VALOR],tabela_registros[MÊS],$AE$1,tabela_registros[DIA],reservavariáveisconsolidado282934[[#Headers],[11]],tabela_registros[REGISTRO],DADOS!$N$6,tabela_registros[TIPO],DADOS!$AJ$4,tabela_registros[CATEGORIA],reservavariáveisconsolidado282934[[#This Row],[ATUAL]])</f>
        <v>0</v>
      </c>
      <c r="P196" s="119" t="n">
        <f aca="false">SUMIFS(tabela_registros[VALOR],tabela_registros[MÊS],$AE$1,tabela_registros[DIA],reservavariáveisconsolidado282934[[#Headers],[12]],tabela_registros[REGISTRO],DADOS!$N$6,tabela_registros[TIPO],DADOS!$AJ$4,tabela_registros[CATEGORIA],reservavariáveisconsolidado282934[[#This Row],[ATUAL]])</f>
        <v>0</v>
      </c>
      <c r="Q196" s="119" t="n">
        <f aca="false">SUMIFS(tabela_registros[VALOR],tabela_registros[MÊS],$AE$1,tabela_registros[DIA],reservavariáveisconsolidado282934[[#Headers],[13]],tabela_registros[REGISTRO],DADOS!$N$6,tabela_registros[TIPO],DADOS!$AJ$4,tabela_registros[CATEGORIA],reservavariáveisconsolidado282934[[#This Row],[ATUAL]])</f>
        <v>0</v>
      </c>
      <c r="R196" s="119" t="n">
        <f aca="false">SUMIFS(tabela_registros[VALOR],tabela_registros[MÊS],$AE$1,tabela_registros[DIA],reservavariáveisconsolidado282934[[#Headers],[14]],tabela_registros[REGISTRO],DADOS!$N$6,tabela_registros[TIPO],DADOS!$AJ$4,tabela_registros[CATEGORIA],reservavariáveisconsolidado282934[[#This Row],[ATUAL]])</f>
        <v>0</v>
      </c>
      <c r="S196" s="119" t="n">
        <f aca="false">SUMIFS(tabela_registros[VALOR],tabela_registros[MÊS],$AE$1,tabela_registros[DIA],reservavariáveisconsolidado282934[[#Headers],[15]],tabela_registros[REGISTRO],DADOS!$N$6,tabela_registros[TIPO],DADOS!$AJ$4,tabela_registros[CATEGORIA],reservavariáveisconsolidado282934[[#This Row],[ATUAL]])</f>
        <v>0</v>
      </c>
      <c r="T196" s="119" t="n">
        <f aca="false">SUMIFS(tabela_registros[VALOR],tabela_registros[MÊS],$AE$1,tabela_registros[DIA],reservavariáveisconsolidado282934[[#Headers],[16]],tabela_registros[REGISTRO],DADOS!$N$6,tabela_registros[TIPO],DADOS!$AJ$4,tabela_registros[CATEGORIA],reservavariáveisconsolidado282934[[#This Row],[ATUAL]])</f>
        <v>0</v>
      </c>
      <c r="U196" s="119" t="n">
        <f aca="false">SUMIFS(tabela_registros[VALOR],tabela_registros[MÊS],$AE$1,tabela_registros[DIA],reservavariáveisconsolidado282934[[#Headers],[17]],tabela_registros[REGISTRO],DADOS!$N$6,tabela_registros[TIPO],DADOS!$AJ$4,tabela_registros[CATEGORIA],reservavariáveisconsolidado282934[[#This Row],[ATUAL]])</f>
        <v>0</v>
      </c>
      <c r="V196" s="119" t="n">
        <f aca="false">SUMIFS(tabela_registros[VALOR],tabela_registros[MÊS],$AE$1,tabela_registros[DIA],reservavariáveisconsolidado282934[[#Headers],[18]],tabela_registros[REGISTRO],DADOS!$N$6,tabela_registros[TIPO],DADOS!$AJ$4,tabela_registros[CATEGORIA],reservavariáveisconsolidado282934[[#This Row],[ATUAL]])</f>
        <v>0</v>
      </c>
      <c r="W196" s="119" t="n">
        <f aca="false">SUMIFS(tabela_registros[VALOR],tabela_registros[MÊS],$AE$1,tabela_registros[DIA],reservavariáveisconsolidado282934[[#Headers],[19]],tabela_registros[REGISTRO],DADOS!$N$6,tabela_registros[TIPO],DADOS!$AJ$4,tabela_registros[CATEGORIA],reservavariáveisconsolidado282934[[#This Row],[ATUAL]])</f>
        <v>0</v>
      </c>
      <c r="X196" s="119" t="n">
        <f aca="false">SUMIFS(tabela_registros[VALOR],tabela_registros[MÊS],$AE$1,tabela_registros[DIA],reservavariáveisconsolidado282934[[#Headers],[20]],tabela_registros[REGISTRO],DADOS!$N$6,tabela_registros[TIPO],DADOS!$AJ$4,tabela_registros[CATEGORIA],reservavariáveisconsolidado282934[[#This Row],[ATUAL]])</f>
        <v>0</v>
      </c>
      <c r="Y196" s="119" t="n">
        <f aca="false">SUMIFS(tabela_registros[VALOR],tabela_registros[MÊS],$AE$1,tabela_registros[DIA],reservavariáveisconsolidado282934[[#Headers],[21]],tabela_registros[REGISTRO],DADOS!$N$6,tabela_registros[TIPO],DADOS!$AJ$4,tabela_registros[CATEGORIA],reservavariáveisconsolidado282934[[#This Row],[ATUAL]])</f>
        <v>0</v>
      </c>
      <c r="Z196" s="119" t="n">
        <f aca="false">SUMIFS(tabela_registros[VALOR],tabela_registros[MÊS],$AE$1,tabela_registros[DIA],reservavariáveisconsolidado282934[[#Headers],[22]],tabela_registros[REGISTRO],DADOS!$N$6,tabela_registros[TIPO],DADOS!$AJ$4,tabela_registros[CATEGORIA],reservavariáveisconsolidado282934[[#This Row],[ATUAL]])</f>
        <v>0</v>
      </c>
      <c r="AA196" s="119" t="n">
        <f aca="false">SUMIFS(tabela_registros[VALOR],tabela_registros[MÊS],$AE$1,tabela_registros[DIA],reservavariáveisconsolidado282934[[#Headers],[23]],tabela_registros[REGISTRO],DADOS!$N$6,tabela_registros[TIPO],DADOS!$AJ$4,tabela_registros[CATEGORIA],reservavariáveisconsolidado282934[[#This Row],[ATUAL]])</f>
        <v>0</v>
      </c>
      <c r="AB196" s="119" t="n">
        <f aca="false">SUMIFS(tabela_registros[VALOR],tabela_registros[MÊS],$AE$1,tabela_registros[DIA],reservavariáveisconsolidado282934[[#Headers],[24]],tabela_registros[REGISTRO],DADOS!$N$6,tabela_registros[TIPO],DADOS!$AJ$4,tabela_registros[CATEGORIA],reservavariáveisconsolidado282934[[#This Row],[ATUAL]])</f>
        <v>0</v>
      </c>
      <c r="AC196" s="119" t="n">
        <f aca="false">SUMIFS(tabela_registros[VALOR],tabela_registros[MÊS],$AE$1,tabela_registros[DIA],reservavariáveisconsolidado282934[[#Headers],[25]],tabela_registros[REGISTRO],DADOS!$N$6,tabela_registros[TIPO],DADOS!$AJ$4,tabela_registros[CATEGORIA],reservavariáveisconsolidado282934[[#This Row],[ATUAL]])</f>
        <v>0</v>
      </c>
      <c r="AD196" s="119" t="n">
        <f aca="false">SUMIFS(tabela_registros[VALOR],tabela_registros[MÊS],$AE$1,tabela_registros[DIA],reservavariáveisconsolidado282934[[#Headers],[26]],tabela_registros[REGISTRO],DADOS!$N$6,tabela_registros[TIPO],DADOS!$AJ$4,tabela_registros[CATEGORIA],reservavariáveisconsolidado282934[[#This Row],[ATUAL]])</f>
        <v>0</v>
      </c>
      <c r="AE196" s="119" t="n">
        <f aca="false">SUMIFS(tabela_registros[VALOR],tabela_registros[MÊS],$AE$1,tabela_registros[DIA],reservavariáveisconsolidado282934[[#Headers],[27]],tabela_registros[REGISTRO],DADOS!$N$6,tabela_registros[TIPO],DADOS!$AJ$4,tabela_registros[CATEGORIA],reservavariáveisconsolidado282934[[#This Row],[ATUAL]])</f>
        <v>0</v>
      </c>
      <c r="AF196" s="119" t="n">
        <f aca="false">SUMIFS(tabela_registros[VALOR],tabela_registros[MÊS],$AE$1,tabela_registros[DIA],reservavariáveisconsolidado282934[[#Headers],[28]],tabela_registros[REGISTRO],DADOS!$N$6,tabela_registros[TIPO],DADOS!$AJ$4,tabela_registros[CATEGORIA],reservavariáveisconsolidado282934[[#This Row],[ATUAL]])</f>
        <v>0</v>
      </c>
      <c r="AG196" s="119" t="n">
        <f aca="false">SUMIFS(tabela_registros[VALOR],tabela_registros[MÊS],$AE$1,tabela_registros[DIA],reservavariáveisconsolidado282934[[#Headers],[29]],tabela_registros[REGISTRO],DADOS!$N$6,tabela_registros[TIPO],DADOS!$AJ$4,tabela_registros[CATEGORIA],reservavariáveisconsolidado282934[[#This Row],[ATUAL]])</f>
        <v>0</v>
      </c>
      <c r="AH196" s="119" t="n">
        <f aca="false">SUMIFS(tabela_registros[VALOR],tabela_registros[MÊS],$AE$1,tabela_registros[DIA],reservavariáveisconsolidado282934[[#Headers],[30]],tabela_registros[REGISTRO],DADOS!$N$6,tabela_registros[TIPO],DADOS!$AJ$4,tabela_registros[CATEGORIA],reservavariáveisconsolidado282934[[#This Row],[ATUAL]])</f>
        <v>0</v>
      </c>
      <c r="AI196" s="218" t="n">
        <f aca="false">SUMIFS(tabela_registros[VALOR],tabela_registros[MÊS],$AE$1,tabela_registros[DIA],reservavariáveisconsolidado282934[[#Headers],[31]],tabela_registros[REGISTRO],DADOS!$N$6,tabela_registros[TIPO],DADOS!$AJ$4,tabela_registros[CATEGORIA],reservavariáveisconsolidado282934[[#This Row],[ATUAL]])</f>
        <v>0</v>
      </c>
      <c r="AJ196" s="149" t="n">
        <f aca="false">SUM(reservavariáveisconsolidado282934[[#This Row],[1]:[31]])</f>
        <v>0</v>
      </c>
      <c r="AK196" s="234"/>
      <c r="AL196" s="189"/>
    </row>
    <row r="197" s="122" customFormat="true" ht="21" hidden="false" customHeight="true" outlineLevel="0" collapsed="false">
      <c r="A197" s="199"/>
      <c r="B197" s="220"/>
      <c r="C197" s="221" t="s">
        <v>2</v>
      </c>
      <c r="D197" s="235"/>
      <c r="E197" s="155" t="n">
        <f aca="false">SUM(E187:E196)</f>
        <v>0</v>
      </c>
      <c r="F197" s="156" t="n">
        <f aca="false">SUM(F187:F196)+reservavariáveisconsolidado282934[[#This Row],[1]]</f>
        <v>0</v>
      </c>
      <c r="G197" s="156" t="n">
        <f aca="false">SUM(G187:G196)+reservavariáveisconsolidado282934[[#This Row],[2]]</f>
        <v>0</v>
      </c>
      <c r="H197" s="156" t="n">
        <f aca="false">SUM(H187:H196)+reservavariáveisconsolidado282934[[#This Row],[3]]</f>
        <v>0</v>
      </c>
      <c r="I197" s="156" t="n">
        <f aca="false">SUM(I187:I196)+reservavariáveisconsolidado282934[[#This Row],[4]]</f>
        <v>0</v>
      </c>
      <c r="J197" s="156" t="n">
        <f aca="false">SUM(J187:J196)+reservavariáveisconsolidado282934[[#This Row],[5]]</f>
        <v>0</v>
      </c>
      <c r="K197" s="156" t="n">
        <f aca="false">SUM(K187:K196)+reservavariáveisconsolidado282934[[#This Row],[6]]</f>
        <v>0</v>
      </c>
      <c r="L197" s="156" t="n">
        <f aca="false">SUM(L187:L196)+reservavariáveisconsolidado282934[[#This Row],[7]]</f>
        <v>0</v>
      </c>
      <c r="M197" s="156" t="n">
        <f aca="false">SUM(M187:M196)+reservavariáveisconsolidado282934[[#This Row],[8]]</f>
        <v>0</v>
      </c>
      <c r="N197" s="156" t="n">
        <f aca="false">SUM(N187:N196)+reservavariáveisconsolidado282934[[#This Row],[9]]</f>
        <v>0</v>
      </c>
      <c r="O197" s="156" t="n">
        <f aca="false">SUM(O187:O196)+reservavariáveisconsolidado282934[[#This Row],[10]]</f>
        <v>0</v>
      </c>
      <c r="P197" s="156" t="n">
        <f aca="false">SUM(P187:P196)+reservavariáveisconsolidado282934[[#This Row],[11]]</f>
        <v>0</v>
      </c>
      <c r="Q197" s="156" t="n">
        <f aca="false">SUM(Q187:Q196)+reservavariáveisconsolidado282934[[#This Row],[12]]</f>
        <v>0</v>
      </c>
      <c r="R197" s="156" t="n">
        <f aca="false">SUM(R187:R196)+reservavariáveisconsolidado282934[[#This Row],[13]]</f>
        <v>0</v>
      </c>
      <c r="S197" s="156" t="n">
        <f aca="false">SUM(S187:S196)+reservavariáveisconsolidado282934[[#This Row],[14]]</f>
        <v>0</v>
      </c>
      <c r="T197" s="156" t="n">
        <f aca="false">SUM(T187:T196)+reservavariáveisconsolidado282934[[#This Row],[15]]</f>
        <v>0</v>
      </c>
      <c r="U197" s="156" t="n">
        <f aca="false">SUM(U187:U196)+reservavariáveisconsolidado282934[[#This Row],[16]]</f>
        <v>0</v>
      </c>
      <c r="V197" s="156" t="n">
        <f aca="false">SUM(V187:V196)+reservavariáveisconsolidado282934[[#This Row],[17]]</f>
        <v>0</v>
      </c>
      <c r="W197" s="156" t="n">
        <f aca="false">SUM(W187:W196)+reservavariáveisconsolidado282934[[#This Row],[18]]</f>
        <v>0</v>
      </c>
      <c r="X197" s="156" t="n">
        <f aca="false">SUM(X187:X196)+reservavariáveisconsolidado282934[[#This Row],[19]]</f>
        <v>0</v>
      </c>
      <c r="Y197" s="156" t="n">
        <f aca="false">SUM(Y187:Y196)+reservavariáveisconsolidado282934[[#This Row],[20]]</f>
        <v>0</v>
      </c>
      <c r="Z197" s="156" t="n">
        <f aca="false">SUM(Z187:Z196)+reservavariáveisconsolidado282934[[#This Row],[21]]</f>
        <v>0</v>
      </c>
      <c r="AA197" s="156" t="n">
        <f aca="false">SUM(AA187:AA196)+reservavariáveisconsolidado282934[[#This Row],[22]]</f>
        <v>0</v>
      </c>
      <c r="AB197" s="156" t="n">
        <f aca="false">SUM(AB187:AB196)+reservavariáveisconsolidado282934[[#This Row],[23]]</f>
        <v>0</v>
      </c>
      <c r="AC197" s="156" t="n">
        <f aca="false">SUM(AC187:AC196)+reservavariáveisconsolidado282934[[#This Row],[24]]</f>
        <v>0</v>
      </c>
      <c r="AD197" s="156" t="n">
        <f aca="false">SUM(AD187:AD196)+reservavariáveisconsolidado282934[[#This Row],[25]]</f>
        <v>0</v>
      </c>
      <c r="AE197" s="156" t="n">
        <f aca="false">SUM(AE187:AE196)+reservavariáveisconsolidado282934[[#This Row],[26]]</f>
        <v>0</v>
      </c>
      <c r="AF197" s="156" t="n">
        <f aca="false">SUM(AF187:AF196)+reservavariáveisconsolidado282934[[#This Row],[27]]</f>
        <v>0</v>
      </c>
      <c r="AG197" s="156" t="n">
        <f aca="false">SUM(AG187:AG196)+reservavariáveisconsolidado282934[[#This Row],[28]]</f>
        <v>0</v>
      </c>
      <c r="AH197" s="156" t="n">
        <f aca="false">SUM(AH187:AH196)+reservavariáveisconsolidado282934[[#This Row],[29]]</f>
        <v>0</v>
      </c>
      <c r="AI197" s="223" t="n">
        <f aca="false">SUM(AI187:AI196)+reservavariáveisconsolidado282934[[#This Row],[30]]</f>
        <v>0</v>
      </c>
      <c r="AJ197" s="157" t="n">
        <f aca="false">reservavariáveisconsolidado282934[[#This Row],[31]]</f>
        <v>0</v>
      </c>
      <c r="AK197" s="224"/>
      <c r="AL197" s="199"/>
    </row>
    <row r="198" customFormat="false" ht="6.75" hidden="false" customHeight="true" outlineLevel="0" collapsed="false">
      <c r="A198" s="189"/>
      <c r="B198" s="185"/>
      <c r="C198" s="231"/>
      <c r="D198" s="232"/>
      <c r="E198" s="232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  <c r="Q198" s="232"/>
      <c r="R198" s="232"/>
      <c r="S198" s="232"/>
      <c r="T198" s="232"/>
      <c r="U198" s="232"/>
      <c r="V198" s="232"/>
      <c r="W198" s="232"/>
      <c r="X198" s="232"/>
      <c r="Y198" s="232"/>
      <c r="Z198" s="232"/>
      <c r="AA198" s="232"/>
      <c r="AB198" s="232"/>
      <c r="AC198" s="232"/>
      <c r="AD198" s="232"/>
      <c r="AE198" s="232"/>
      <c r="AF198" s="232"/>
      <c r="AG198" s="232"/>
      <c r="AH198" s="232"/>
      <c r="AI198" s="233"/>
      <c r="AJ198" s="236"/>
      <c r="AK198" s="228"/>
      <c r="AL198" s="189"/>
    </row>
    <row r="199" customFormat="false" ht="12.75" hidden="false" customHeight="false" outlineLevel="0" collapsed="false">
      <c r="A199" s="189"/>
      <c r="B199" s="189"/>
      <c r="C199" s="189"/>
      <c r="D199" s="189"/>
      <c r="E199" s="190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189"/>
      <c r="W199" s="189"/>
      <c r="X199" s="189"/>
      <c r="Y199" s="189"/>
      <c r="Z199" s="189"/>
      <c r="AA199" s="189"/>
      <c r="AB199" s="189"/>
      <c r="AC199" s="189"/>
      <c r="AD199" s="189"/>
      <c r="AE199" s="189"/>
      <c r="AF199" s="189"/>
      <c r="AG199" s="189"/>
      <c r="AH199" s="189"/>
      <c r="AI199" s="189"/>
      <c r="AJ199" s="189"/>
      <c r="AK199" s="189"/>
      <c r="AL199" s="189"/>
    </row>
    <row r="200" customFormat="false" ht="12" hidden="false" customHeight="false" outlineLevel="0" collapsed="false">
      <c r="A200" s="189"/>
      <c r="B200" s="189"/>
      <c r="C200" s="189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89"/>
      <c r="S200" s="189"/>
      <c r="T200" s="189"/>
      <c r="U200" s="189"/>
      <c r="V200" s="189"/>
      <c r="W200" s="189"/>
      <c r="X200" s="189"/>
      <c r="Y200" s="189"/>
      <c r="Z200" s="189"/>
      <c r="AA200" s="189"/>
      <c r="AB200" s="189"/>
      <c r="AC200" s="189"/>
      <c r="AD200" s="189"/>
      <c r="AE200" s="189"/>
      <c r="AF200" s="189"/>
      <c r="AG200" s="189"/>
      <c r="AH200" s="189"/>
      <c r="AI200" s="189"/>
      <c r="AJ200" s="189"/>
      <c r="AK200" s="189"/>
      <c r="AL200" s="189"/>
    </row>
    <row r="201" customFormat="false" ht="12" hidden="false" customHeight="false" outlineLevel="0" collapsed="false">
      <c r="A201" s="189"/>
      <c r="B201" s="189"/>
      <c r="C201" s="189"/>
      <c r="D201" s="189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89"/>
      <c r="S201" s="189"/>
      <c r="T201" s="189"/>
      <c r="U201" s="189"/>
      <c r="V201" s="189"/>
      <c r="W201" s="189"/>
      <c r="X201" s="189"/>
      <c r="Y201" s="189"/>
      <c r="Z201" s="189"/>
      <c r="AA201" s="189"/>
      <c r="AB201" s="189"/>
      <c r="AC201" s="189"/>
      <c r="AD201" s="189"/>
      <c r="AE201" s="189"/>
      <c r="AF201" s="189"/>
      <c r="AG201" s="189"/>
      <c r="AH201" s="189"/>
      <c r="AI201" s="189"/>
      <c r="AJ201" s="189"/>
      <c r="AK201" s="189"/>
      <c r="AL201" s="189"/>
    </row>
    <row r="202" customFormat="false" ht="39.75" hidden="false" customHeight="true" outlineLevel="0" collapsed="false">
      <c r="A202" s="189"/>
      <c r="B202" s="189"/>
      <c r="C202" s="191"/>
      <c r="D202" s="189"/>
      <c r="E202" s="192"/>
      <c r="F202" s="192"/>
      <c r="G202" s="192"/>
      <c r="H202" s="192"/>
      <c r="I202" s="192"/>
      <c r="J202" s="192"/>
      <c r="K202" s="192"/>
      <c r="L202" s="192"/>
      <c r="M202" s="192"/>
      <c r="N202" s="192"/>
      <c r="O202" s="192"/>
      <c r="P202" s="192"/>
      <c r="Q202" s="192"/>
      <c r="R202" s="192"/>
      <c r="S202" s="192"/>
      <c r="T202" s="192"/>
      <c r="U202" s="192"/>
      <c r="V202" s="192"/>
      <c r="W202" s="192"/>
      <c r="X202" s="192"/>
      <c r="Y202" s="192"/>
      <c r="Z202" s="192"/>
      <c r="AA202" s="192"/>
      <c r="AB202" s="192"/>
      <c r="AC202" s="192"/>
      <c r="AD202" s="192"/>
      <c r="AE202" s="192"/>
      <c r="AF202" s="192"/>
      <c r="AG202" s="192"/>
      <c r="AH202" s="192"/>
      <c r="AI202" s="192"/>
      <c r="AJ202" s="103" t="s">
        <v>2</v>
      </c>
      <c r="AK202" s="189"/>
      <c r="AL202" s="189"/>
    </row>
    <row r="203" customFormat="false" ht="12.75" hidden="false" customHeight="false" outlineLevel="0" collapsed="false">
      <c r="A203" s="189"/>
      <c r="B203" s="230"/>
      <c r="C203" s="189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89"/>
      <c r="S203" s="189"/>
      <c r="T203" s="189"/>
      <c r="U203" s="189"/>
      <c r="V203" s="189"/>
      <c r="W203" s="189"/>
      <c r="X203" s="189"/>
      <c r="Y203" s="189"/>
      <c r="Z203" s="189"/>
      <c r="AA203" s="189"/>
      <c r="AB203" s="189"/>
      <c r="AC203" s="189"/>
      <c r="AD203" s="189"/>
      <c r="AE203" s="189"/>
      <c r="AF203" s="189"/>
      <c r="AG203" s="189"/>
      <c r="AH203" s="189"/>
      <c r="AI203" s="189"/>
      <c r="AJ203" s="106" t="s">
        <v>64</v>
      </c>
      <c r="AK203" s="189"/>
      <c r="AL203" s="189"/>
    </row>
    <row r="204" customFormat="false" ht="6.75" hidden="false" customHeight="true" outlineLevel="0" collapsed="false">
      <c r="A204" s="189"/>
      <c r="B204" s="172"/>
      <c r="C204" s="231"/>
      <c r="D204" s="232"/>
      <c r="E204" s="232"/>
      <c r="F204" s="232"/>
      <c r="G204" s="232"/>
      <c r="H204" s="232"/>
      <c r="I204" s="232"/>
      <c r="J204" s="232"/>
      <c r="K204" s="232"/>
      <c r="L204" s="232"/>
      <c r="M204" s="232"/>
      <c r="N204" s="232"/>
      <c r="O204" s="232"/>
      <c r="P204" s="232"/>
      <c r="Q204" s="232"/>
      <c r="R204" s="232"/>
      <c r="S204" s="232"/>
      <c r="T204" s="232"/>
      <c r="U204" s="232"/>
      <c r="V204" s="232"/>
      <c r="W204" s="232"/>
      <c r="X204" s="232"/>
      <c r="Y204" s="232"/>
      <c r="Z204" s="232"/>
      <c r="AA204" s="232"/>
      <c r="AB204" s="232"/>
      <c r="AC204" s="232"/>
      <c r="AD204" s="232"/>
      <c r="AE204" s="232"/>
      <c r="AF204" s="232"/>
      <c r="AG204" s="232"/>
      <c r="AH204" s="232"/>
      <c r="AI204" s="232"/>
      <c r="AJ204" s="233"/>
      <c r="AK204" s="209"/>
      <c r="AL204" s="189"/>
    </row>
    <row r="205" customFormat="false" ht="13.5" hidden="true" customHeight="false" outlineLevel="0" collapsed="false">
      <c r="A205" s="189"/>
      <c r="B205" s="172"/>
      <c r="C205" s="195" t="s">
        <v>68</v>
      </c>
      <c r="D205" s="196" t="s">
        <v>69</v>
      </c>
      <c r="E205" s="196" t="s">
        <v>30</v>
      </c>
      <c r="F205" s="196" t="s">
        <v>31</v>
      </c>
      <c r="G205" s="196" t="s">
        <v>32</v>
      </c>
      <c r="H205" s="196" t="s">
        <v>33</v>
      </c>
      <c r="I205" s="196" t="s">
        <v>34</v>
      </c>
      <c r="J205" s="196" t="s">
        <v>35</v>
      </c>
      <c r="K205" s="196" t="s">
        <v>36</v>
      </c>
      <c r="L205" s="196" t="s">
        <v>37</v>
      </c>
      <c r="M205" s="196" t="s">
        <v>38</v>
      </c>
      <c r="N205" s="196" t="s">
        <v>39</v>
      </c>
      <c r="O205" s="196" t="s">
        <v>40</v>
      </c>
      <c r="P205" s="196" t="s">
        <v>41</v>
      </c>
      <c r="Q205" s="196" t="s">
        <v>81</v>
      </c>
      <c r="R205" s="196" t="s">
        <v>82</v>
      </c>
      <c r="S205" s="196" t="s">
        <v>83</v>
      </c>
      <c r="T205" s="196" t="s">
        <v>84</v>
      </c>
      <c r="U205" s="196" t="s">
        <v>85</v>
      </c>
      <c r="V205" s="196" t="s">
        <v>86</v>
      </c>
      <c r="W205" s="196" t="s">
        <v>87</v>
      </c>
      <c r="X205" s="196" t="s">
        <v>88</v>
      </c>
      <c r="Y205" s="196" t="s">
        <v>89</v>
      </c>
      <c r="Z205" s="196" t="s">
        <v>90</v>
      </c>
      <c r="AA205" s="196" t="s">
        <v>91</v>
      </c>
      <c r="AB205" s="196" t="s">
        <v>92</v>
      </c>
      <c r="AC205" s="196" t="s">
        <v>93</v>
      </c>
      <c r="AD205" s="196" t="s">
        <v>94</v>
      </c>
      <c r="AE205" s="196" t="s">
        <v>95</v>
      </c>
      <c r="AF205" s="196" t="s">
        <v>96</v>
      </c>
      <c r="AG205" s="196" t="s">
        <v>97</v>
      </c>
      <c r="AH205" s="196" t="s">
        <v>98</v>
      </c>
      <c r="AI205" s="196" t="s">
        <v>99</v>
      </c>
      <c r="AJ205" s="111" t="s">
        <v>70</v>
      </c>
      <c r="AK205" s="172"/>
      <c r="AL205" s="189"/>
    </row>
    <row r="206" customFormat="false" ht="19.5" hidden="false" customHeight="true" outlineLevel="0" collapsed="false">
      <c r="A206" s="189"/>
      <c r="B206" s="213"/>
      <c r="C206" s="214" t="str">
        <f aca="false">DADOS!$AP$3</f>
        <v>📝 COE</v>
      </c>
      <c r="D206" s="215" t="str">
        <f aca="false">IF(reservaoutrosconsolidado282935[[#This Row],[TOTAL (R$)]]=0,"",IF(OR(reservaoutrosconsolidado282935[[#This Row],[TOTAL (R$)]]=LARGE($AJ$206:$AJ$213,1),reservaoutrosconsolidado282935[[#This Row],[TOTAL (R$)]]=LARGE($AJ$206:$AJ$213,2)),DADOS!$I$11,""))</f>
        <v/>
      </c>
      <c r="E206" s="148" t="n">
        <f aca="false">SUMIFS(tabela_registros[VALOR],tabela_registros[MÊS],$AE$1,tabela_registros[DIA],reservaoutrosconsolidado282935[[#Headers],[1]],tabela_registros[REGISTRO],DADOS!$N$6,tabela_registros[TIPO],DADOS!$AJ$5,tabela_registros[CATEGORIA],reservaoutrosconsolidado282935[[#This Row],[ATUAL]])</f>
        <v>0</v>
      </c>
      <c r="F206" s="119" t="n">
        <f aca="false">SUMIFS(tabela_registros[VALOR],tabela_registros[MÊS],$AE$1,tabela_registros[DIA],reservaoutrosconsolidado282935[[#Headers],[2]],tabela_registros[REGISTRO],DADOS!$N$6,tabela_registros[TIPO],DADOS!$AJ$5,tabela_registros[CATEGORIA],reservaoutrosconsolidado282935[[#This Row],[ATUAL]])</f>
        <v>0</v>
      </c>
      <c r="G206" s="119" t="n">
        <f aca="false">SUMIFS(tabela_registros[VALOR],tabela_registros[MÊS],$AE$1,tabela_registros[DIA],reservaoutrosconsolidado282935[[#Headers],[3]],tabela_registros[REGISTRO],DADOS!$N$6,tabela_registros[TIPO],DADOS!$AJ$5,tabela_registros[CATEGORIA],reservaoutrosconsolidado282935[[#This Row],[ATUAL]])</f>
        <v>0</v>
      </c>
      <c r="H206" s="119" t="n">
        <f aca="false">SUMIFS(tabela_registros[VALOR],tabela_registros[MÊS],$AE$1,tabela_registros[DIA],reservaoutrosconsolidado282935[[#Headers],[4]],tabela_registros[REGISTRO],DADOS!$N$6,tabela_registros[TIPO],DADOS!$AJ$5,tabela_registros[CATEGORIA],reservaoutrosconsolidado282935[[#This Row],[ATUAL]])</f>
        <v>0</v>
      </c>
      <c r="I206" s="119" t="n">
        <f aca="false">SUMIFS(tabela_registros[VALOR],tabela_registros[MÊS],$AE$1,tabela_registros[DIA],reservaoutrosconsolidado282935[[#Headers],[5]],tabela_registros[REGISTRO],DADOS!$N$6,tabela_registros[TIPO],DADOS!$AJ$5,tabela_registros[CATEGORIA],reservaoutrosconsolidado282935[[#This Row],[ATUAL]])</f>
        <v>0</v>
      </c>
      <c r="J206" s="119" t="n">
        <f aca="false">SUMIFS(tabela_registros[VALOR],tabela_registros[MÊS],$AE$1,tabela_registros[DIA],reservaoutrosconsolidado282935[[#Headers],[6]],tabela_registros[REGISTRO],DADOS!$N$6,tabela_registros[TIPO],DADOS!$AJ$5,tabela_registros[CATEGORIA],reservaoutrosconsolidado282935[[#This Row],[ATUAL]])</f>
        <v>0</v>
      </c>
      <c r="K206" s="119" t="n">
        <f aca="false">SUMIFS(tabela_registros[VALOR],tabela_registros[MÊS],$AE$1,tabela_registros[DIA],reservaoutrosconsolidado282935[[#Headers],[7]],tabela_registros[REGISTRO],DADOS!$N$6,tabela_registros[TIPO],DADOS!$AJ$5,tabela_registros[CATEGORIA],reservaoutrosconsolidado282935[[#This Row],[ATUAL]])</f>
        <v>0</v>
      </c>
      <c r="L206" s="119" t="n">
        <f aca="false">SUMIFS(tabela_registros[VALOR],tabela_registros[MÊS],$AE$1,tabela_registros[DIA],reservaoutrosconsolidado282935[[#Headers],[8]],tabela_registros[REGISTRO],DADOS!$N$6,tabela_registros[TIPO],DADOS!$AJ$5,tabela_registros[CATEGORIA],reservaoutrosconsolidado282935[[#This Row],[ATUAL]])</f>
        <v>0</v>
      </c>
      <c r="M206" s="119" t="n">
        <f aca="false">SUMIFS(tabela_registros[VALOR],tabela_registros[MÊS],$AE$1,tabela_registros[DIA],reservaoutrosconsolidado282935[[#Headers],[9]],tabela_registros[REGISTRO],DADOS!$N$6,tabela_registros[TIPO],DADOS!$AJ$5,tabela_registros[CATEGORIA],reservaoutrosconsolidado282935[[#This Row],[ATUAL]])</f>
        <v>0</v>
      </c>
      <c r="N206" s="119" t="n">
        <f aca="false">SUMIFS(tabela_registros[VALOR],tabela_registros[MÊS],$AE$1,tabela_registros[DIA],reservaoutrosconsolidado282935[[#Headers],[10]],tabela_registros[REGISTRO],DADOS!$N$6,tabela_registros[TIPO],DADOS!$AJ$5,tabela_registros[CATEGORIA],reservaoutrosconsolidado282935[[#This Row],[ATUAL]])</f>
        <v>0</v>
      </c>
      <c r="O206" s="119" t="n">
        <f aca="false">SUMIFS(tabela_registros[VALOR],tabela_registros[MÊS],$AE$1,tabela_registros[DIA],reservaoutrosconsolidado282935[[#Headers],[11]],tabela_registros[REGISTRO],DADOS!$N$6,tabela_registros[TIPO],DADOS!$AJ$5,tabela_registros[CATEGORIA],reservaoutrosconsolidado282935[[#This Row],[ATUAL]])</f>
        <v>0</v>
      </c>
      <c r="P206" s="119" t="n">
        <f aca="false">SUMIFS(tabela_registros[VALOR],tabela_registros[MÊS],$AE$1,tabela_registros[DIA],reservaoutrosconsolidado282935[[#Headers],[12]],tabela_registros[REGISTRO],DADOS!$N$6,tabela_registros[TIPO],DADOS!$AJ$5,tabela_registros[CATEGORIA],reservaoutrosconsolidado282935[[#This Row],[ATUAL]])</f>
        <v>0</v>
      </c>
      <c r="Q206" s="119" t="n">
        <f aca="false">SUMIFS(tabela_registros[VALOR],tabela_registros[MÊS],$AE$1,tabela_registros[DIA],reservaoutrosconsolidado282935[[#Headers],[13]],tabela_registros[REGISTRO],DADOS!$N$6,tabela_registros[TIPO],DADOS!$AJ$5,tabela_registros[CATEGORIA],reservaoutrosconsolidado282935[[#This Row],[ATUAL]])</f>
        <v>0</v>
      </c>
      <c r="R206" s="119" t="n">
        <f aca="false">SUMIFS(tabela_registros[VALOR],tabela_registros[MÊS],$AE$1,tabela_registros[DIA],reservaoutrosconsolidado282935[[#Headers],[14]],tabela_registros[REGISTRO],DADOS!$N$6,tabela_registros[TIPO],DADOS!$AJ$5,tabela_registros[CATEGORIA],reservaoutrosconsolidado282935[[#This Row],[ATUAL]])</f>
        <v>0</v>
      </c>
      <c r="S206" s="119" t="n">
        <f aca="false">SUMIFS(tabela_registros[VALOR],tabela_registros[MÊS],$AE$1,tabela_registros[DIA],reservaoutrosconsolidado282935[[#Headers],[15]],tabela_registros[REGISTRO],DADOS!$N$6,tabela_registros[TIPO],DADOS!$AJ$5,tabela_registros[CATEGORIA],reservaoutrosconsolidado282935[[#This Row],[ATUAL]])</f>
        <v>0</v>
      </c>
      <c r="T206" s="119" t="n">
        <f aca="false">SUMIFS(tabela_registros[VALOR],tabela_registros[MÊS],$AE$1,tabela_registros[DIA],reservaoutrosconsolidado282935[[#Headers],[16]],tabela_registros[REGISTRO],DADOS!$N$6,tabela_registros[TIPO],DADOS!$AJ$5,tabela_registros[CATEGORIA],reservaoutrosconsolidado282935[[#This Row],[ATUAL]])</f>
        <v>0</v>
      </c>
      <c r="U206" s="119" t="n">
        <f aca="false">SUMIFS(tabela_registros[VALOR],tabela_registros[MÊS],$AE$1,tabela_registros[DIA],reservaoutrosconsolidado282935[[#Headers],[17]],tabela_registros[REGISTRO],DADOS!$N$6,tabela_registros[TIPO],DADOS!$AJ$5,tabela_registros[CATEGORIA],reservaoutrosconsolidado282935[[#This Row],[ATUAL]])</f>
        <v>0</v>
      </c>
      <c r="V206" s="119" t="n">
        <f aca="false">SUMIFS(tabela_registros[VALOR],tabela_registros[MÊS],$AE$1,tabela_registros[DIA],reservaoutrosconsolidado282935[[#Headers],[18]],tabela_registros[REGISTRO],DADOS!$N$6,tabela_registros[TIPO],DADOS!$AJ$5,tabela_registros[CATEGORIA],reservaoutrosconsolidado282935[[#This Row],[ATUAL]])</f>
        <v>0</v>
      </c>
      <c r="W206" s="119" t="n">
        <f aca="false">SUMIFS(tabela_registros[VALOR],tabela_registros[MÊS],$AE$1,tabela_registros[DIA],reservaoutrosconsolidado282935[[#Headers],[19]],tabela_registros[REGISTRO],DADOS!$N$6,tabela_registros[TIPO],DADOS!$AJ$5,tabela_registros[CATEGORIA],reservaoutrosconsolidado282935[[#This Row],[ATUAL]])</f>
        <v>0</v>
      </c>
      <c r="X206" s="119" t="n">
        <f aca="false">SUMIFS(tabela_registros[VALOR],tabela_registros[MÊS],$AE$1,tabela_registros[DIA],reservaoutrosconsolidado282935[[#Headers],[20]],tabela_registros[REGISTRO],DADOS!$N$6,tabela_registros[TIPO],DADOS!$AJ$5,tabela_registros[CATEGORIA],reservaoutrosconsolidado282935[[#This Row],[ATUAL]])</f>
        <v>0</v>
      </c>
      <c r="Y206" s="119" t="n">
        <f aca="false">SUMIFS(tabela_registros[VALOR],tabela_registros[MÊS],$AE$1,tabela_registros[DIA],reservaoutrosconsolidado282935[[#Headers],[21]],tabela_registros[REGISTRO],DADOS!$N$6,tabela_registros[TIPO],DADOS!$AJ$5,tabela_registros[CATEGORIA],reservaoutrosconsolidado282935[[#This Row],[ATUAL]])</f>
        <v>0</v>
      </c>
      <c r="Z206" s="119" t="n">
        <f aca="false">SUMIFS(tabela_registros[VALOR],tabela_registros[MÊS],$AE$1,tabela_registros[DIA],reservaoutrosconsolidado282935[[#Headers],[22]],tabela_registros[REGISTRO],DADOS!$N$6,tabela_registros[TIPO],DADOS!$AJ$5,tabela_registros[CATEGORIA],reservaoutrosconsolidado282935[[#This Row],[ATUAL]])</f>
        <v>0</v>
      </c>
      <c r="AA206" s="119" t="n">
        <f aca="false">SUMIFS(tabela_registros[VALOR],tabela_registros[MÊS],$AE$1,tabela_registros[DIA],reservaoutrosconsolidado282935[[#Headers],[23]],tabela_registros[REGISTRO],DADOS!$N$6,tabela_registros[TIPO],DADOS!$AJ$5,tabela_registros[CATEGORIA],reservaoutrosconsolidado282935[[#This Row],[ATUAL]])</f>
        <v>0</v>
      </c>
      <c r="AB206" s="119" t="n">
        <f aca="false">SUMIFS(tabela_registros[VALOR],tabela_registros[MÊS],$AE$1,tabela_registros[DIA],reservaoutrosconsolidado282935[[#Headers],[24]],tabela_registros[REGISTRO],DADOS!$N$6,tabela_registros[TIPO],DADOS!$AJ$5,tabela_registros[CATEGORIA],reservaoutrosconsolidado282935[[#This Row],[ATUAL]])</f>
        <v>0</v>
      </c>
      <c r="AC206" s="119" t="n">
        <f aca="false">SUMIFS(tabela_registros[VALOR],tabela_registros[MÊS],$AE$1,tabela_registros[DIA],reservaoutrosconsolidado282935[[#Headers],[25]],tabela_registros[REGISTRO],DADOS!$N$6,tabela_registros[TIPO],DADOS!$AJ$5,tabela_registros[CATEGORIA],reservaoutrosconsolidado282935[[#This Row],[ATUAL]])</f>
        <v>0</v>
      </c>
      <c r="AD206" s="119" t="n">
        <f aca="false">SUMIFS(tabela_registros[VALOR],tabela_registros[MÊS],$AE$1,tabela_registros[DIA],reservaoutrosconsolidado282935[[#Headers],[26]],tabela_registros[REGISTRO],DADOS!$N$6,tabela_registros[TIPO],DADOS!$AJ$5,tabela_registros[CATEGORIA],reservaoutrosconsolidado282935[[#This Row],[ATUAL]])</f>
        <v>0</v>
      </c>
      <c r="AE206" s="119" t="n">
        <f aca="false">SUMIFS(tabela_registros[VALOR],tabela_registros[MÊS],$AE$1,tabela_registros[DIA],reservaoutrosconsolidado282935[[#Headers],[27]],tabela_registros[REGISTRO],DADOS!$N$6,tabela_registros[TIPO],DADOS!$AJ$5,tabela_registros[CATEGORIA],reservaoutrosconsolidado282935[[#This Row],[ATUAL]])</f>
        <v>0</v>
      </c>
      <c r="AF206" s="119" t="n">
        <f aca="false">SUMIFS(tabela_registros[VALOR],tabela_registros[MÊS],$AE$1,tabela_registros[DIA],reservaoutrosconsolidado282935[[#Headers],[28]],tabela_registros[REGISTRO],DADOS!$N$6,tabela_registros[TIPO],DADOS!$AJ$5,tabela_registros[CATEGORIA],reservaoutrosconsolidado282935[[#This Row],[ATUAL]])</f>
        <v>0</v>
      </c>
      <c r="AG206" s="119" t="n">
        <f aca="false">SUMIFS(tabela_registros[VALOR],tabela_registros[MÊS],$AE$1,tabela_registros[DIA],reservaoutrosconsolidado282935[[#Headers],[29]],tabela_registros[REGISTRO],DADOS!$N$6,tabela_registros[TIPO],DADOS!$AJ$5,tabela_registros[CATEGORIA],reservaoutrosconsolidado282935[[#This Row],[ATUAL]])</f>
        <v>0</v>
      </c>
      <c r="AH206" s="119" t="n">
        <f aca="false">SUMIFS(tabela_registros[VALOR],tabela_registros[MÊS],$AE$1,tabela_registros[DIA],reservaoutrosconsolidado282935[[#Headers],[30]],tabela_registros[REGISTRO],DADOS!$N$6,tabela_registros[TIPO],DADOS!$AJ$5,tabela_registros[CATEGORIA],reservaoutrosconsolidado282935[[#This Row],[ATUAL]])</f>
        <v>0</v>
      </c>
      <c r="AI206" s="217" t="n">
        <f aca="false">SUMIFS(tabela_registros[VALOR],tabela_registros[MÊS],$AE$1,tabela_registros[DIA],reservaoutrosconsolidado282935[[#Headers],[31]],tabela_registros[REGISTRO],DADOS!$N$6,tabela_registros[TIPO],DADOS!$AJ$5,tabela_registros[CATEGORIA],reservaoutrosconsolidado282935[[#This Row],[ATUAL]])</f>
        <v>0</v>
      </c>
      <c r="AJ206" s="149" t="n">
        <f aca="false">SUM(reservaoutrosconsolidado282935[[#This Row],[1]:[31]])</f>
        <v>0</v>
      </c>
      <c r="AK206" s="234"/>
      <c r="AL206" s="189"/>
    </row>
    <row r="207" customFormat="false" ht="19.5" hidden="false" customHeight="true" outlineLevel="0" collapsed="false">
      <c r="A207" s="189"/>
      <c r="B207" s="213"/>
      <c r="C207" s="214" t="str">
        <f aca="false">DADOS!$AP$4</f>
        <v>📝 FOREX</v>
      </c>
      <c r="D207" s="215" t="str">
        <f aca="false">IF(reservaoutrosconsolidado282935[[#This Row],[TOTAL (R$)]]=0,"",IF(OR(reservaoutrosconsolidado282935[[#This Row],[TOTAL (R$)]]=LARGE($AJ$206:$AJ$213,1),reservaoutrosconsolidado282935[[#This Row],[TOTAL (R$)]]=LARGE($AJ$206:$AJ$213,2)),DADOS!$I$11,""))</f>
        <v/>
      </c>
      <c r="E207" s="148" t="n">
        <f aca="false">SUMIFS(tabela_registros[VALOR],tabela_registros[MÊS],$AE$1,tabela_registros[DIA],reservaoutrosconsolidado282935[[#Headers],[1]],tabela_registros[REGISTRO],DADOS!$N$6,tabela_registros[TIPO],DADOS!$AJ$5,tabela_registros[CATEGORIA],reservaoutrosconsolidado282935[[#This Row],[ATUAL]])</f>
        <v>0</v>
      </c>
      <c r="F207" s="119" t="n">
        <f aca="false">SUMIFS(tabela_registros[VALOR],tabela_registros[MÊS],$AE$1,tabela_registros[DIA],reservaoutrosconsolidado282935[[#Headers],[2]],tabela_registros[REGISTRO],DADOS!$N$6,tabela_registros[TIPO],DADOS!$AJ$5,tabela_registros[CATEGORIA],reservaoutrosconsolidado282935[[#This Row],[ATUAL]])</f>
        <v>0</v>
      </c>
      <c r="G207" s="119" t="n">
        <f aca="false">SUMIFS(tabela_registros[VALOR],tabela_registros[MÊS],$AE$1,tabela_registros[DIA],reservaoutrosconsolidado282935[[#Headers],[3]],tabela_registros[REGISTRO],DADOS!$N$6,tabela_registros[TIPO],DADOS!$AJ$5,tabela_registros[CATEGORIA],reservaoutrosconsolidado282935[[#This Row],[ATUAL]])</f>
        <v>0</v>
      </c>
      <c r="H207" s="119" t="n">
        <f aca="false">SUMIFS(tabela_registros[VALOR],tabela_registros[MÊS],$AE$1,tabela_registros[DIA],reservaoutrosconsolidado282935[[#Headers],[4]],tabela_registros[REGISTRO],DADOS!$N$6,tabela_registros[TIPO],DADOS!$AJ$5,tabela_registros[CATEGORIA],reservaoutrosconsolidado282935[[#This Row],[ATUAL]])</f>
        <v>0</v>
      </c>
      <c r="I207" s="119" t="n">
        <f aca="false">SUMIFS(tabela_registros[VALOR],tabela_registros[MÊS],$AE$1,tabela_registros[DIA],reservaoutrosconsolidado282935[[#Headers],[5]],tabela_registros[REGISTRO],DADOS!$N$6,tabela_registros[TIPO],DADOS!$AJ$5,tabela_registros[CATEGORIA],reservaoutrosconsolidado282935[[#This Row],[ATUAL]])</f>
        <v>0</v>
      </c>
      <c r="J207" s="119" t="n">
        <f aca="false">SUMIFS(tabela_registros[VALOR],tabela_registros[MÊS],$AE$1,tabela_registros[DIA],reservaoutrosconsolidado282935[[#Headers],[6]],tabela_registros[REGISTRO],DADOS!$N$6,tabela_registros[TIPO],DADOS!$AJ$5,tabela_registros[CATEGORIA],reservaoutrosconsolidado282935[[#This Row],[ATUAL]])</f>
        <v>0</v>
      </c>
      <c r="K207" s="119" t="n">
        <f aca="false">SUMIFS(tabela_registros[VALOR],tabela_registros[MÊS],$AE$1,tabela_registros[DIA],reservaoutrosconsolidado282935[[#Headers],[7]],tabela_registros[REGISTRO],DADOS!$N$6,tabela_registros[TIPO],DADOS!$AJ$5,tabela_registros[CATEGORIA],reservaoutrosconsolidado282935[[#This Row],[ATUAL]])</f>
        <v>0</v>
      </c>
      <c r="L207" s="119" t="n">
        <f aca="false">SUMIFS(tabela_registros[VALOR],tabela_registros[MÊS],$AE$1,tabela_registros[DIA],reservaoutrosconsolidado282935[[#Headers],[8]],tabela_registros[REGISTRO],DADOS!$N$6,tabela_registros[TIPO],DADOS!$AJ$5,tabela_registros[CATEGORIA],reservaoutrosconsolidado282935[[#This Row],[ATUAL]])</f>
        <v>0</v>
      </c>
      <c r="M207" s="119" t="n">
        <f aca="false">SUMIFS(tabela_registros[VALOR],tabela_registros[MÊS],$AE$1,tabela_registros[DIA],reservaoutrosconsolidado282935[[#Headers],[9]],tabela_registros[REGISTRO],DADOS!$N$6,tabela_registros[TIPO],DADOS!$AJ$5,tabela_registros[CATEGORIA],reservaoutrosconsolidado282935[[#This Row],[ATUAL]])</f>
        <v>0</v>
      </c>
      <c r="N207" s="119" t="n">
        <f aca="false">SUMIFS(tabela_registros[VALOR],tabela_registros[MÊS],$AE$1,tabela_registros[DIA],reservaoutrosconsolidado282935[[#Headers],[10]],tabela_registros[REGISTRO],DADOS!$N$6,tabela_registros[TIPO],DADOS!$AJ$5,tabela_registros[CATEGORIA],reservaoutrosconsolidado282935[[#This Row],[ATUAL]])</f>
        <v>0</v>
      </c>
      <c r="O207" s="119" t="n">
        <f aca="false">SUMIFS(tabela_registros[VALOR],tabela_registros[MÊS],$AE$1,tabela_registros[DIA],reservaoutrosconsolidado282935[[#Headers],[11]],tabela_registros[REGISTRO],DADOS!$N$6,tabela_registros[TIPO],DADOS!$AJ$5,tabela_registros[CATEGORIA],reservaoutrosconsolidado282935[[#This Row],[ATUAL]])</f>
        <v>0</v>
      </c>
      <c r="P207" s="119" t="n">
        <f aca="false">SUMIFS(tabela_registros[VALOR],tabela_registros[MÊS],$AE$1,tabela_registros[DIA],reservaoutrosconsolidado282935[[#Headers],[12]],tabela_registros[REGISTRO],DADOS!$N$6,tabela_registros[TIPO],DADOS!$AJ$5,tabela_registros[CATEGORIA],reservaoutrosconsolidado282935[[#This Row],[ATUAL]])</f>
        <v>0</v>
      </c>
      <c r="Q207" s="119" t="n">
        <f aca="false">SUMIFS(tabela_registros[VALOR],tabela_registros[MÊS],$AE$1,tabela_registros[DIA],reservaoutrosconsolidado282935[[#Headers],[13]],tabela_registros[REGISTRO],DADOS!$N$6,tabela_registros[TIPO],DADOS!$AJ$5,tabela_registros[CATEGORIA],reservaoutrosconsolidado282935[[#This Row],[ATUAL]])</f>
        <v>0</v>
      </c>
      <c r="R207" s="119" t="n">
        <f aca="false">SUMIFS(tabela_registros[VALOR],tabela_registros[MÊS],$AE$1,tabela_registros[DIA],reservaoutrosconsolidado282935[[#Headers],[14]],tabela_registros[REGISTRO],DADOS!$N$6,tabela_registros[TIPO],DADOS!$AJ$5,tabela_registros[CATEGORIA],reservaoutrosconsolidado282935[[#This Row],[ATUAL]])</f>
        <v>0</v>
      </c>
      <c r="S207" s="119" t="n">
        <f aca="false">SUMIFS(tabela_registros[VALOR],tabela_registros[MÊS],$AE$1,tabela_registros[DIA],reservaoutrosconsolidado282935[[#Headers],[15]],tabela_registros[REGISTRO],DADOS!$N$6,tabela_registros[TIPO],DADOS!$AJ$5,tabela_registros[CATEGORIA],reservaoutrosconsolidado282935[[#This Row],[ATUAL]])</f>
        <v>0</v>
      </c>
      <c r="T207" s="119" t="n">
        <f aca="false">SUMIFS(tabela_registros[VALOR],tabela_registros[MÊS],$AE$1,tabela_registros[DIA],reservaoutrosconsolidado282935[[#Headers],[16]],tabela_registros[REGISTRO],DADOS!$N$6,tabela_registros[TIPO],DADOS!$AJ$5,tabela_registros[CATEGORIA],reservaoutrosconsolidado282935[[#This Row],[ATUAL]])</f>
        <v>0</v>
      </c>
      <c r="U207" s="119" t="n">
        <f aca="false">SUMIFS(tabela_registros[VALOR],tabela_registros[MÊS],$AE$1,tabela_registros[DIA],reservaoutrosconsolidado282935[[#Headers],[17]],tabela_registros[REGISTRO],DADOS!$N$6,tabela_registros[TIPO],DADOS!$AJ$5,tabela_registros[CATEGORIA],reservaoutrosconsolidado282935[[#This Row],[ATUAL]])</f>
        <v>0</v>
      </c>
      <c r="V207" s="119" t="n">
        <f aca="false">SUMIFS(tabela_registros[VALOR],tabela_registros[MÊS],$AE$1,tabela_registros[DIA],reservaoutrosconsolidado282935[[#Headers],[18]],tabela_registros[REGISTRO],DADOS!$N$6,tabela_registros[TIPO],DADOS!$AJ$5,tabela_registros[CATEGORIA],reservaoutrosconsolidado282935[[#This Row],[ATUAL]])</f>
        <v>0</v>
      </c>
      <c r="W207" s="119" t="n">
        <f aca="false">SUMIFS(tabela_registros[VALOR],tabela_registros[MÊS],$AE$1,tabela_registros[DIA],reservaoutrosconsolidado282935[[#Headers],[19]],tabela_registros[REGISTRO],DADOS!$N$6,tabela_registros[TIPO],DADOS!$AJ$5,tabela_registros[CATEGORIA],reservaoutrosconsolidado282935[[#This Row],[ATUAL]])</f>
        <v>0</v>
      </c>
      <c r="X207" s="119" t="n">
        <f aca="false">SUMIFS(tabela_registros[VALOR],tabela_registros[MÊS],$AE$1,tabela_registros[DIA],reservaoutrosconsolidado282935[[#Headers],[20]],tabela_registros[REGISTRO],DADOS!$N$6,tabela_registros[TIPO],DADOS!$AJ$5,tabela_registros[CATEGORIA],reservaoutrosconsolidado282935[[#This Row],[ATUAL]])</f>
        <v>0</v>
      </c>
      <c r="Y207" s="119" t="n">
        <f aca="false">SUMIFS(tabela_registros[VALOR],tabela_registros[MÊS],$AE$1,tabela_registros[DIA],reservaoutrosconsolidado282935[[#Headers],[21]],tabela_registros[REGISTRO],DADOS!$N$6,tabela_registros[TIPO],DADOS!$AJ$5,tabela_registros[CATEGORIA],reservaoutrosconsolidado282935[[#This Row],[ATUAL]])</f>
        <v>0</v>
      </c>
      <c r="Z207" s="119" t="n">
        <f aca="false">SUMIFS(tabela_registros[VALOR],tabela_registros[MÊS],$AE$1,tabela_registros[DIA],reservaoutrosconsolidado282935[[#Headers],[22]],tabela_registros[REGISTRO],DADOS!$N$6,tabela_registros[TIPO],DADOS!$AJ$5,tabela_registros[CATEGORIA],reservaoutrosconsolidado282935[[#This Row],[ATUAL]])</f>
        <v>0</v>
      </c>
      <c r="AA207" s="119" t="n">
        <f aca="false">SUMIFS(tabela_registros[VALOR],tabela_registros[MÊS],$AE$1,tabela_registros[DIA],reservaoutrosconsolidado282935[[#Headers],[23]],tabela_registros[REGISTRO],DADOS!$N$6,tabela_registros[TIPO],DADOS!$AJ$5,tabela_registros[CATEGORIA],reservaoutrosconsolidado282935[[#This Row],[ATUAL]])</f>
        <v>0</v>
      </c>
      <c r="AB207" s="119" t="n">
        <f aca="false">SUMIFS(tabela_registros[VALOR],tabela_registros[MÊS],$AE$1,tabela_registros[DIA],reservaoutrosconsolidado282935[[#Headers],[24]],tabela_registros[REGISTRO],DADOS!$N$6,tabela_registros[TIPO],DADOS!$AJ$5,tabela_registros[CATEGORIA],reservaoutrosconsolidado282935[[#This Row],[ATUAL]])</f>
        <v>0</v>
      </c>
      <c r="AC207" s="119" t="n">
        <f aca="false">SUMIFS(tabela_registros[VALOR],tabela_registros[MÊS],$AE$1,tabela_registros[DIA],reservaoutrosconsolidado282935[[#Headers],[25]],tabela_registros[REGISTRO],DADOS!$N$6,tabela_registros[TIPO],DADOS!$AJ$5,tabela_registros[CATEGORIA],reservaoutrosconsolidado282935[[#This Row],[ATUAL]])</f>
        <v>0</v>
      </c>
      <c r="AD207" s="119" t="n">
        <f aca="false">SUMIFS(tabela_registros[VALOR],tabela_registros[MÊS],$AE$1,tabela_registros[DIA],reservaoutrosconsolidado282935[[#Headers],[26]],tabela_registros[REGISTRO],DADOS!$N$6,tabela_registros[TIPO],DADOS!$AJ$5,tabela_registros[CATEGORIA],reservaoutrosconsolidado282935[[#This Row],[ATUAL]])</f>
        <v>0</v>
      </c>
      <c r="AE207" s="119" t="n">
        <f aca="false">SUMIFS(tabela_registros[VALOR],tabela_registros[MÊS],$AE$1,tabela_registros[DIA],reservaoutrosconsolidado282935[[#Headers],[27]],tabela_registros[REGISTRO],DADOS!$N$6,tabela_registros[TIPO],DADOS!$AJ$5,tabela_registros[CATEGORIA],reservaoutrosconsolidado282935[[#This Row],[ATUAL]])</f>
        <v>0</v>
      </c>
      <c r="AF207" s="119" t="n">
        <f aca="false">SUMIFS(tabela_registros[VALOR],tabela_registros[MÊS],$AE$1,tabela_registros[DIA],reservaoutrosconsolidado282935[[#Headers],[28]],tabela_registros[REGISTRO],DADOS!$N$6,tabela_registros[TIPO],DADOS!$AJ$5,tabela_registros[CATEGORIA],reservaoutrosconsolidado282935[[#This Row],[ATUAL]])</f>
        <v>0</v>
      </c>
      <c r="AG207" s="119" t="n">
        <f aca="false">SUMIFS(tabela_registros[VALOR],tabela_registros[MÊS],$AE$1,tabela_registros[DIA],reservaoutrosconsolidado282935[[#Headers],[29]],tabela_registros[REGISTRO],DADOS!$N$6,tabela_registros[TIPO],DADOS!$AJ$5,tabela_registros[CATEGORIA],reservaoutrosconsolidado282935[[#This Row],[ATUAL]])</f>
        <v>0</v>
      </c>
      <c r="AH207" s="119" t="n">
        <f aca="false">SUMIFS(tabela_registros[VALOR],tabela_registros[MÊS],$AE$1,tabela_registros[DIA],reservaoutrosconsolidado282935[[#Headers],[30]],tabela_registros[REGISTRO],DADOS!$N$6,tabela_registros[TIPO],DADOS!$AJ$5,tabela_registros[CATEGORIA],reservaoutrosconsolidado282935[[#This Row],[ATUAL]])</f>
        <v>0</v>
      </c>
      <c r="AI207" s="217" t="n">
        <f aca="false">SUMIFS(tabela_registros[VALOR],tabela_registros[MÊS],$AE$1,tabela_registros[DIA],reservaoutrosconsolidado282935[[#Headers],[31]],tabela_registros[REGISTRO],DADOS!$N$6,tabela_registros[TIPO],DADOS!$AJ$5,tabela_registros[CATEGORIA],reservaoutrosconsolidado282935[[#This Row],[ATUAL]])</f>
        <v>0</v>
      </c>
      <c r="AJ207" s="149" t="n">
        <f aca="false">SUM(reservaoutrosconsolidado282935[[#This Row],[1]:[31]])</f>
        <v>0</v>
      </c>
      <c r="AK207" s="234"/>
      <c r="AL207" s="189"/>
    </row>
    <row r="208" customFormat="false" ht="19.5" hidden="false" customHeight="true" outlineLevel="0" collapsed="false">
      <c r="A208" s="189"/>
      <c r="B208" s="213"/>
      <c r="C208" s="214" t="str">
        <f aca="false">DADOS!$AP$5</f>
        <v>📝 FUNDO DE INVESTIMENTO</v>
      </c>
      <c r="D208" s="215" t="str">
        <f aca="false">IF(reservaoutrosconsolidado282935[[#This Row],[TOTAL (R$)]]=0,"",IF(OR(reservaoutrosconsolidado282935[[#This Row],[TOTAL (R$)]]=LARGE($AJ$206:$AJ$213,1),reservaoutrosconsolidado282935[[#This Row],[TOTAL (R$)]]=LARGE($AJ$206:$AJ$213,2)),DADOS!$I$11,""))</f>
        <v/>
      </c>
      <c r="E208" s="148" t="n">
        <f aca="false">SUMIFS(tabela_registros[VALOR],tabela_registros[MÊS],$AE$1,tabela_registros[DIA],reservaoutrosconsolidado282935[[#Headers],[1]],tabela_registros[REGISTRO],DADOS!$N$6,tabela_registros[TIPO],DADOS!$AJ$5,tabela_registros[CATEGORIA],reservaoutrosconsolidado282935[[#This Row],[ATUAL]])</f>
        <v>0</v>
      </c>
      <c r="F208" s="119" t="n">
        <f aca="false">SUMIFS(tabela_registros[VALOR],tabela_registros[MÊS],$AE$1,tabela_registros[DIA],reservaoutrosconsolidado282935[[#Headers],[2]],tabela_registros[REGISTRO],DADOS!$N$6,tabela_registros[TIPO],DADOS!$AJ$5,tabela_registros[CATEGORIA],reservaoutrosconsolidado282935[[#This Row],[ATUAL]])</f>
        <v>0</v>
      </c>
      <c r="G208" s="119" t="n">
        <f aca="false">SUMIFS(tabela_registros[VALOR],tabela_registros[MÊS],$AE$1,tabela_registros[DIA],reservaoutrosconsolidado282935[[#Headers],[3]],tabela_registros[REGISTRO],DADOS!$N$6,tabela_registros[TIPO],DADOS!$AJ$5,tabela_registros[CATEGORIA],reservaoutrosconsolidado282935[[#This Row],[ATUAL]])</f>
        <v>0</v>
      </c>
      <c r="H208" s="119" t="n">
        <f aca="false">SUMIFS(tabela_registros[VALOR],tabela_registros[MÊS],$AE$1,tabela_registros[DIA],reservaoutrosconsolidado282935[[#Headers],[4]],tabela_registros[REGISTRO],DADOS!$N$6,tabela_registros[TIPO],DADOS!$AJ$5,tabela_registros[CATEGORIA],reservaoutrosconsolidado282935[[#This Row],[ATUAL]])</f>
        <v>0</v>
      </c>
      <c r="I208" s="119" t="n">
        <f aca="false">SUMIFS(tabela_registros[VALOR],tabela_registros[MÊS],$AE$1,tabela_registros[DIA],reservaoutrosconsolidado282935[[#Headers],[5]],tabela_registros[REGISTRO],DADOS!$N$6,tabela_registros[TIPO],DADOS!$AJ$5,tabela_registros[CATEGORIA],reservaoutrosconsolidado282935[[#This Row],[ATUAL]])</f>
        <v>0</v>
      </c>
      <c r="J208" s="119" t="n">
        <f aca="false">SUMIFS(tabela_registros[VALOR],tabela_registros[MÊS],$AE$1,tabela_registros[DIA],reservaoutrosconsolidado282935[[#Headers],[6]],tabela_registros[REGISTRO],DADOS!$N$6,tabela_registros[TIPO],DADOS!$AJ$5,tabela_registros[CATEGORIA],reservaoutrosconsolidado282935[[#This Row],[ATUAL]])</f>
        <v>0</v>
      </c>
      <c r="K208" s="119" t="n">
        <f aca="false">SUMIFS(tabela_registros[VALOR],tabela_registros[MÊS],$AE$1,tabela_registros[DIA],reservaoutrosconsolidado282935[[#Headers],[7]],tabela_registros[REGISTRO],DADOS!$N$6,tabela_registros[TIPO],DADOS!$AJ$5,tabela_registros[CATEGORIA],reservaoutrosconsolidado282935[[#This Row],[ATUAL]])</f>
        <v>0</v>
      </c>
      <c r="L208" s="119" t="n">
        <f aca="false">SUMIFS(tabela_registros[VALOR],tabela_registros[MÊS],$AE$1,tabela_registros[DIA],reservaoutrosconsolidado282935[[#Headers],[8]],tabela_registros[REGISTRO],DADOS!$N$6,tabela_registros[TIPO],DADOS!$AJ$5,tabela_registros[CATEGORIA],reservaoutrosconsolidado282935[[#This Row],[ATUAL]])</f>
        <v>0</v>
      </c>
      <c r="M208" s="119" t="n">
        <f aca="false">SUMIFS(tabela_registros[VALOR],tabela_registros[MÊS],$AE$1,tabela_registros[DIA],reservaoutrosconsolidado282935[[#Headers],[9]],tabela_registros[REGISTRO],DADOS!$N$6,tabela_registros[TIPO],DADOS!$AJ$5,tabela_registros[CATEGORIA],reservaoutrosconsolidado282935[[#This Row],[ATUAL]])</f>
        <v>0</v>
      </c>
      <c r="N208" s="119" t="n">
        <f aca="false">SUMIFS(tabela_registros[VALOR],tabela_registros[MÊS],$AE$1,tabela_registros[DIA],reservaoutrosconsolidado282935[[#Headers],[10]],tabela_registros[REGISTRO],DADOS!$N$6,tabela_registros[TIPO],DADOS!$AJ$5,tabela_registros[CATEGORIA],reservaoutrosconsolidado282935[[#This Row],[ATUAL]])</f>
        <v>0</v>
      </c>
      <c r="O208" s="119" t="n">
        <f aca="false">SUMIFS(tabela_registros[VALOR],tabela_registros[MÊS],$AE$1,tabela_registros[DIA],reservaoutrosconsolidado282935[[#Headers],[11]],tabela_registros[REGISTRO],DADOS!$N$6,tabela_registros[TIPO],DADOS!$AJ$5,tabela_registros[CATEGORIA],reservaoutrosconsolidado282935[[#This Row],[ATUAL]])</f>
        <v>0</v>
      </c>
      <c r="P208" s="119" t="n">
        <f aca="false">SUMIFS(tabela_registros[VALOR],tabela_registros[MÊS],$AE$1,tabela_registros[DIA],reservaoutrosconsolidado282935[[#Headers],[12]],tabela_registros[REGISTRO],DADOS!$N$6,tabela_registros[TIPO],DADOS!$AJ$5,tabela_registros[CATEGORIA],reservaoutrosconsolidado282935[[#This Row],[ATUAL]])</f>
        <v>0</v>
      </c>
      <c r="Q208" s="119" t="n">
        <f aca="false">SUMIFS(tabela_registros[VALOR],tabela_registros[MÊS],$AE$1,tabela_registros[DIA],reservaoutrosconsolidado282935[[#Headers],[13]],tabela_registros[REGISTRO],DADOS!$N$6,tabela_registros[TIPO],DADOS!$AJ$5,tabela_registros[CATEGORIA],reservaoutrosconsolidado282935[[#This Row],[ATUAL]])</f>
        <v>0</v>
      </c>
      <c r="R208" s="119" t="n">
        <f aca="false">SUMIFS(tabela_registros[VALOR],tabela_registros[MÊS],$AE$1,tabela_registros[DIA],reservaoutrosconsolidado282935[[#Headers],[14]],tabela_registros[REGISTRO],DADOS!$N$6,tabela_registros[TIPO],DADOS!$AJ$5,tabela_registros[CATEGORIA],reservaoutrosconsolidado282935[[#This Row],[ATUAL]])</f>
        <v>0</v>
      </c>
      <c r="S208" s="119" t="n">
        <f aca="false">SUMIFS(tabela_registros[VALOR],tabela_registros[MÊS],$AE$1,tabela_registros[DIA],reservaoutrosconsolidado282935[[#Headers],[15]],tabela_registros[REGISTRO],DADOS!$N$6,tabela_registros[TIPO],DADOS!$AJ$5,tabela_registros[CATEGORIA],reservaoutrosconsolidado282935[[#This Row],[ATUAL]])</f>
        <v>0</v>
      </c>
      <c r="T208" s="119" t="n">
        <f aca="false">SUMIFS(tabela_registros[VALOR],tabela_registros[MÊS],$AE$1,tabela_registros[DIA],reservaoutrosconsolidado282935[[#Headers],[16]],tabela_registros[REGISTRO],DADOS!$N$6,tabela_registros[TIPO],DADOS!$AJ$5,tabela_registros[CATEGORIA],reservaoutrosconsolidado282935[[#This Row],[ATUAL]])</f>
        <v>0</v>
      </c>
      <c r="U208" s="119" t="n">
        <f aca="false">SUMIFS(tabela_registros[VALOR],tabela_registros[MÊS],$AE$1,tabela_registros[DIA],reservaoutrosconsolidado282935[[#Headers],[17]],tabela_registros[REGISTRO],DADOS!$N$6,tabela_registros[TIPO],DADOS!$AJ$5,tabela_registros[CATEGORIA],reservaoutrosconsolidado282935[[#This Row],[ATUAL]])</f>
        <v>0</v>
      </c>
      <c r="V208" s="119" t="n">
        <f aca="false">SUMIFS(tabela_registros[VALOR],tabela_registros[MÊS],$AE$1,tabela_registros[DIA],reservaoutrosconsolidado282935[[#Headers],[18]],tabela_registros[REGISTRO],DADOS!$N$6,tabela_registros[TIPO],DADOS!$AJ$5,tabela_registros[CATEGORIA],reservaoutrosconsolidado282935[[#This Row],[ATUAL]])</f>
        <v>0</v>
      </c>
      <c r="W208" s="119" t="n">
        <f aca="false">SUMIFS(tabela_registros[VALOR],tabela_registros[MÊS],$AE$1,tabela_registros[DIA],reservaoutrosconsolidado282935[[#Headers],[19]],tabela_registros[REGISTRO],DADOS!$N$6,tabela_registros[TIPO],DADOS!$AJ$5,tabela_registros[CATEGORIA],reservaoutrosconsolidado282935[[#This Row],[ATUAL]])</f>
        <v>0</v>
      </c>
      <c r="X208" s="119" t="n">
        <f aca="false">SUMIFS(tabela_registros[VALOR],tabela_registros[MÊS],$AE$1,tabela_registros[DIA],reservaoutrosconsolidado282935[[#Headers],[20]],tabela_registros[REGISTRO],DADOS!$N$6,tabela_registros[TIPO],DADOS!$AJ$5,tabela_registros[CATEGORIA],reservaoutrosconsolidado282935[[#This Row],[ATUAL]])</f>
        <v>0</v>
      </c>
      <c r="Y208" s="119" t="n">
        <f aca="false">SUMIFS(tabela_registros[VALOR],tabela_registros[MÊS],$AE$1,tabela_registros[DIA],reservaoutrosconsolidado282935[[#Headers],[21]],tabela_registros[REGISTRO],DADOS!$N$6,tabela_registros[TIPO],DADOS!$AJ$5,tabela_registros[CATEGORIA],reservaoutrosconsolidado282935[[#This Row],[ATUAL]])</f>
        <v>0</v>
      </c>
      <c r="Z208" s="119" t="n">
        <f aca="false">SUMIFS(tabela_registros[VALOR],tabela_registros[MÊS],$AE$1,tabela_registros[DIA],reservaoutrosconsolidado282935[[#Headers],[22]],tabela_registros[REGISTRO],DADOS!$N$6,tabela_registros[TIPO],DADOS!$AJ$5,tabela_registros[CATEGORIA],reservaoutrosconsolidado282935[[#This Row],[ATUAL]])</f>
        <v>0</v>
      </c>
      <c r="AA208" s="119" t="n">
        <f aca="false">SUMIFS(tabela_registros[VALOR],tabela_registros[MÊS],$AE$1,tabela_registros[DIA],reservaoutrosconsolidado282935[[#Headers],[23]],tabela_registros[REGISTRO],DADOS!$N$6,tabela_registros[TIPO],DADOS!$AJ$5,tabela_registros[CATEGORIA],reservaoutrosconsolidado282935[[#This Row],[ATUAL]])</f>
        <v>0</v>
      </c>
      <c r="AB208" s="119" t="n">
        <f aca="false">SUMIFS(tabela_registros[VALOR],tabela_registros[MÊS],$AE$1,tabela_registros[DIA],reservaoutrosconsolidado282935[[#Headers],[24]],tabela_registros[REGISTRO],DADOS!$N$6,tabela_registros[TIPO],DADOS!$AJ$5,tabela_registros[CATEGORIA],reservaoutrosconsolidado282935[[#This Row],[ATUAL]])</f>
        <v>0</v>
      </c>
      <c r="AC208" s="119" t="n">
        <f aca="false">SUMIFS(tabela_registros[VALOR],tabela_registros[MÊS],$AE$1,tabela_registros[DIA],reservaoutrosconsolidado282935[[#Headers],[25]],tabela_registros[REGISTRO],DADOS!$N$6,tabela_registros[TIPO],DADOS!$AJ$5,tabela_registros[CATEGORIA],reservaoutrosconsolidado282935[[#This Row],[ATUAL]])</f>
        <v>0</v>
      </c>
      <c r="AD208" s="119" t="n">
        <f aca="false">SUMIFS(tabela_registros[VALOR],tabela_registros[MÊS],$AE$1,tabela_registros[DIA],reservaoutrosconsolidado282935[[#Headers],[26]],tabela_registros[REGISTRO],DADOS!$N$6,tabela_registros[TIPO],DADOS!$AJ$5,tabela_registros[CATEGORIA],reservaoutrosconsolidado282935[[#This Row],[ATUAL]])</f>
        <v>0</v>
      </c>
      <c r="AE208" s="119" t="n">
        <f aca="false">SUMIFS(tabela_registros[VALOR],tabela_registros[MÊS],$AE$1,tabela_registros[DIA],reservaoutrosconsolidado282935[[#Headers],[27]],tabela_registros[REGISTRO],DADOS!$N$6,tabela_registros[TIPO],DADOS!$AJ$5,tabela_registros[CATEGORIA],reservaoutrosconsolidado282935[[#This Row],[ATUAL]])</f>
        <v>0</v>
      </c>
      <c r="AF208" s="119" t="n">
        <f aca="false">SUMIFS(tabela_registros[VALOR],tabela_registros[MÊS],$AE$1,tabela_registros[DIA],reservaoutrosconsolidado282935[[#Headers],[28]],tabela_registros[REGISTRO],DADOS!$N$6,tabela_registros[TIPO],DADOS!$AJ$5,tabela_registros[CATEGORIA],reservaoutrosconsolidado282935[[#This Row],[ATUAL]])</f>
        <v>0</v>
      </c>
      <c r="AG208" s="119" t="n">
        <f aca="false">SUMIFS(tabela_registros[VALOR],tabela_registros[MÊS],$AE$1,tabela_registros[DIA],reservaoutrosconsolidado282935[[#Headers],[29]],tabela_registros[REGISTRO],DADOS!$N$6,tabela_registros[TIPO],DADOS!$AJ$5,tabela_registros[CATEGORIA],reservaoutrosconsolidado282935[[#This Row],[ATUAL]])</f>
        <v>0</v>
      </c>
      <c r="AH208" s="119" t="n">
        <f aca="false">SUMIFS(tabela_registros[VALOR],tabela_registros[MÊS],$AE$1,tabela_registros[DIA],reservaoutrosconsolidado282935[[#Headers],[30]],tabela_registros[REGISTRO],DADOS!$N$6,tabela_registros[TIPO],DADOS!$AJ$5,tabela_registros[CATEGORIA],reservaoutrosconsolidado282935[[#This Row],[ATUAL]])</f>
        <v>0</v>
      </c>
      <c r="AI208" s="217" t="n">
        <f aca="false">SUMIFS(tabela_registros[VALOR],tabela_registros[MÊS],$AE$1,tabela_registros[DIA],reservaoutrosconsolidado282935[[#Headers],[31]],tabela_registros[REGISTRO],DADOS!$N$6,tabela_registros[TIPO],DADOS!$AJ$5,tabela_registros[CATEGORIA],reservaoutrosconsolidado282935[[#This Row],[ATUAL]])</f>
        <v>0</v>
      </c>
      <c r="AJ208" s="149" t="n">
        <f aca="false">SUM(reservaoutrosconsolidado282935[[#This Row],[1]:[31]])</f>
        <v>0</v>
      </c>
      <c r="AK208" s="234"/>
      <c r="AL208" s="189"/>
    </row>
    <row r="209" customFormat="false" ht="19.5" hidden="false" customHeight="true" outlineLevel="0" collapsed="false">
      <c r="A209" s="189"/>
      <c r="B209" s="213"/>
      <c r="C209" s="214" t="str">
        <f aca="false">DADOS!$AP$6</f>
        <v>📝 NOVA EMPRESA</v>
      </c>
      <c r="D209" s="215" t="str">
        <f aca="false">IF(reservaoutrosconsolidado282935[[#This Row],[TOTAL (R$)]]=0,"",IF(OR(reservaoutrosconsolidado282935[[#This Row],[TOTAL (R$)]]=LARGE($AJ$206:$AJ$213,1),reservaoutrosconsolidado282935[[#This Row],[TOTAL (R$)]]=LARGE($AJ$206:$AJ$213,2)),DADOS!$I$11,""))</f>
        <v/>
      </c>
      <c r="E209" s="148" t="n">
        <f aca="false">SUMIFS(tabela_registros[VALOR],tabela_registros[MÊS],$AE$1,tabela_registros[DIA],reservaoutrosconsolidado282935[[#Headers],[1]],tabela_registros[REGISTRO],DADOS!$N$6,tabela_registros[TIPO],DADOS!$AJ$5,tabela_registros[CATEGORIA],reservaoutrosconsolidado282935[[#This Row],[ATUAL]])</f>
        <v>0</v>
      </c>
      <c r="F209" s="119" t="n">
        <f aca="false">SUMIFS(tabela_registros[VALOR],tabela_registros[MÊS],$AE$1,tabela_registros[DIA],reservaoutrosconsolidado282935[[#Headers],[2]],tabela_registros[REGISTRO],DADOS!$N$6,tabela_registros[TIPO],DADOS!$AJ$5,tabela_registros[CATEGORIA],reservaoutrosconsolidado282935[[#This Row],[ATUAL]])</f>
        <v>0</v>
      </c>
      <c r="G209" s="119" t="n">
        <f aca="false">SUMIFS(tabela_registros[VALOR],tabela_registros[MÊS],$AE$1,tabela_registros[DIA],reservaoutrosconsolidado282935[[#Headers],[3]],tabela_registros[REGISTRO],DADOS!$N$6,tabela_registros[TIPO],DADOS!$AJ$5,tabela_registros[CATEGORIA],reservaoutrosconsolidado282935[[#This Row],[ATUAL]])</f>
        <v>0</v>
      </c>
      <c r="H209" s="119" t="n">
        <f aca="false">SUMIFS(tabela_registros[VALOR],tabela_registros[MÊS],$AE$1,tabela_registros[DIA],reservaoutrosconsolidado282935[[#Headers],[4]],tabela_registros[REGISTRO],DADOS!$N$6,tabela_registros[TIPO],DADOS!$AJ$5,tabela_registros[CATEGORIA],reservaoutrosconsolidado282935[[#This Row],[ATUAL]])</f>
        <v>0</v>
      </c>
      <c r="I209" s="119" t="n">
        <f aca="false">SUMIFS(tabela_registros[VALOR],tabela_registros[MÊS],$AE$1,tabela_registros[DIA],reservaoutrosconsolidado282935[[#Headers],[5]],tabela_registros[REGISTRO],DADOS!$N$6,tabela_registros[TIPO],DADOS!$AJ$5,tabela_registros[CATEGORIA],reservaoutrosconsolidado282935[[#This Row],[ATUAL]])</f>
        <v>0</v>
      </c>
      <c r="J209" s="119" t="n">
        <f aca="false">SUMIFS(tabela_registros[VALOR],tabela_registros[MÊS],$AE$1,tabela_registros[DIA],reservaoutrosconsolidado282935[[#Headers],[6]],tabela_registros[REGISTRO],DADOS!$N$6,tabela_registros[TIPO],DADOS!$AJ$5,tabela_registros[CATEGORIA],reservaoutrosconsolidado282935[[#This Row],[ATUAL]])</f>
        <v>0</v>
      </c>
      <c r="K209" s="119" t="n">
        <f aca="false">SUMIFS(tabela_registros[VALOR],tabela_registros[MÊS],$AE$1,tabela_registros[DIA],reservaoutrosconsolidado282935[[#Headers],[7]],tabela_registros[REGISTRO],DADOS!$N$6,tabela_registros[TIPO],DADOS!$AJ$5,tabela_registros[CATEGORIA],reservaoutrosconsolidado282935[[#This Row],[ATUAL]])</f>
        <v>0</v>
      </c>
      <c r="L209" s="119" t="n">
        <f aca="false">SUMIFS(tabela_registros[VALOR],tabela_registros[MÊS],$AE$1,tabela_registros[DIA],reservaoutrosconsolidado282935[[#Headers],[8]],tabela_registros[REGISTRO],DADOS!$N$6,tabela_registros[TIPO],DADOS!$AJ$5,tabela_registros[CATEGORIA],reservaoutrosconsolidado282935[[#This Row],[ATUAL]])</f>
        <v>0</v>
      </c>
      <c r="M209" s="119" t="n">
        <f aca="false">SUMIFS(tabela_registros[VALOR],tabela_registros[MÊS],$AE$1,tabela_registros[DIA],reservaoutrosconsolidado282935[[#Headers],[9]],tabela_registros[REGISTRO],DADOS!$N$6,tabela_registros[TIPO],DADOS!$AJ$5,tabela_registros[CATEGORIA],reservaoutrosconsolidado282935[[#This Row],[ATUAL]])</f>
        <v>0</v>
      </c>
      <c r="N209" s="119" t="n">
        <f aca="false">SUMIFS(tabela_registros[VALOR],tabela_registros[MÊS],$AE$1,tabela_registros[DIA],reservaoutrosconsolidado282935[[#Headers],[10]],tabela_registros[REGISTRO],DADOS!$N$6,tabela_registros[TIPO],DADOS!$AJ$5,tabela_registros[CATEGORIA],reservaoutrosconsolidado282935[[#This Row],[ATUAL]])</f>
        <v>0</v>
      </c>
      <c r="O209" s="119" t="n">
        <f aca="false">SUMIFS(tabela_registros[VALOR],tabela_registros[MÊS],$AE$1,tabela_registros[DIA],reservaoutrosconsolidado282935[[#Headers],[11]],tabela_registros[REGISTRO],DADOS!$N$6,tabela_registros[TIPO],DADOS!$AJ$5,tabela_registros[CATEGORIA],reservaoutrosconsolidado282935[[#This Row],[ATUAL]])</f>
        <v>0</v>
      </c>
      <c r="P209" s="119" t="n">
        <f aca="false">SUMIFS(tabela_registros[VALOR],tabela_registros[MÊS],$AE$1,tabela_registros[DIA],reservaoutrosconsolidado282935[[#Headers],[12]],tabela_registros[REGISTRO],DADOS!$N$6,tabela_registros[TIPO],DADOS!$AJ$5,tabela_registros[CATEGORIA],reservaoutrosconsolidado282935[[#This Row],[ATUAL]])</f>
        <v>0</v>
      </c>
      <c r="Q209" s="119" t="n">
        <f aca="false">SUMIFS(tabela_registros[VALOR],tabela_registros[MÊS],$AE$1,tabela_registros[DIA],reservaoutrosconsolidado282935[[#Headers],[13]],tabela_registros[REGISTRO],DADOS!$N$6,tabela_registros[TIPO],DADOS!$AJ$5,tabela_registros[CATEGORIA],reservaoutrosconsolidado282935[[#This Row],[ATUAL]])</f>
        <v>0</v>
      </c>
      <c r="R209" s="119" t="n">
        <f aca="false">SUMIFS(tabela_registros[VALOR],tabela_registros[MÊS],$AE$1,tabela_registros[DIA],reservaoutrosconsolidado282935[[#Headers],[14]],tabela_registros[REGISTRO],DADOS!$N$6,tabela_registros[TIPO],DADOS!$AJ$5,tabela_registros[CATEGORIA],reservaoutrosconsolidado282935[[#This Row],[ATUAL]])</f>
        <v>0</v>
      </c>
      <c r="S209" s="119" t="n">
        <f aca="false">SUMIFS(tabela_registros[VALOR],tabela_registros[MÊS],$AE$1,tabela_registros[DIA],reservaoutrosconsolidado282935[[#Headers],[15]],tabela_registros[REGISTRO],DADOS!$N$6,tabela_registros[TIPO],DADOS!$AJ$5,tabela_registros[CATEGORIA],reservaoutrosconsolidado282935[[#This Row],[ATUAL]])</f>
        <v>0</v>
      </c>
      <c r="T209" s="119" t="n">
        <f aca="false">SUMIFS(tabela_registros[VALOR],tabela_registros[MÊS],$AE$1,tabela_registros[DIA],reservaoutrosconsolidado282935[[#Headers],[16]],tabela_registros[REGISTRO],DADOS!$N$6,tabela_registros[TIPO],DADOS!$AJ$5,tabela_registros[CATEGORIA],reservaoutrosconsolidado282935[[#This Row],[ATUAL]])</f>
        <v>0</v>
      </c>
      <c r="U209" s="119" t="n">
        <f aca="false">SUMIFS(tabela_registros[VALOR],tabela_registros[MÊS],$AE$1,tabela_registros[DIA],reservaoutrosconsolidado282935[[#Headers],[17]],tabela_registros[REGISTRO],DADOS!$N$6,tabela_registros[TIPO],DADOS!$AJ$5,tabela_registros[CATEGORIA],reservaoutrosconsolidado282935[[#This Row],[ATUAL]])</f>
        <v>0</v>
      </c>
      <c r="V209" s="119" t="n">
        <f aca="false">SUMIFS(tabela_registros[VALOR],tabela_registros[MÊS],$AE$1,tabela_registros[DIA],reservaoutrosconsolidado282935[[#Headers],[18]],tabela_registros[REGISTRO],DADOS!$N$6,tabela_registros[TIPO],DADOS!$AJ$5,tabela_registros[CATEGORIA],reservaoutrosconsolidado282935[[#This Row],[ATUAL]])</f>
        <v>0</v>
      </c>
      <c r="W209" s="119" t="n">
        <f aca="false">SUMIFS(tabela_registros[VALOR],tabela_registros[MÊS],$AE$1,tabela_registros[DIA],reservaoutrosconsolidado282935[[#Headers],[19]],tabela_registros[REGISTRO],DADOS!$N$6,tabela_registros[TIPO],DADOS!$AJ$5,tabela_registros[CATEGORIA],reservaoutrosconsolidado282935[[#This Row],[ATUAL]])</f>
        <v>0</v>
      </c>
      <c r="X209" s="119" t="n">
        <f aca="false">SUMIFS(tabela_registros[VALOR],tabela_registros[MÊS],$AE$1,tabela_registros[DIA],reservaoutrosconsolidado282935[[#Headers],[20]],tabela_registros[REGISTRO],DADOS!$N$6,tabela_registros[TIPO],DADOS!$AJ$5,tabela_registros[CATEGORIA],reservaoutrosconsolidado282935[[#This Row],[ATUAL]])</f>
        <v>0</v>
      </c>
      <c r="Y209" s="119" t="n">
        <f aca="false">SUMIFS(tabela_registros[VALOR],tabela_registros[MÊS],$AE$1,tabela_registros[DIA],reservaoutrosconsolidado282935[[#Headers],[21]],tabela_registros[REGISTRO],DADOS!$N$6,tabela_registros[TIPO],DADOS!$AJ$5,tabela_registros[CATEGORIA],reservaoutrosconsolidado282935[[#This Row],[ATUAL]])</f>
        <v>0</v>
      </c>
      <c r="Z209" s="119" t="n">
        <f aca="false">SUMIFS(tabela_registros[VALOR],tabela_registros[MÊS],$AE$1,tabela_registros[DIA],reservaoutrosconsolidado282935[[#Headers],[22]],tabela_registros[REGISTRO],DADOS!$N$6,tabela_registros[TIPO],DADOS!$AJ$5,tabela_registros[CATEGORIA],reservaoutrosconsolidado282935[[#This Row],[ATUAL]])</f>
        <v>0</v>
      </c>
      <c r="AA209" s="119" t="n">
        <f aca="false">SUMIFS(tabela_registros[VALOR],tabela_registros[MÊS],$AE$1,tabela_registros[DIA],reservaoutrosconsolidado282935[[#Headers],[23]],tabela_registros[REGISTRO],DADOS!$N$6,tabela_registros[TIPO],DADOS!$AJ$5,tabela_registros[CATEGORIA],reservaoutrosconsolidado282935[[#This Row],[ATUAL]])</f>
        <v>0</v>
      </c>
      <c r="AB209" s="119" t="n">
        <f aca="false">SUMIFS(tabela_registros[VALOR],tabela_registros[MÊS],$AE$1,tabela_registros[DIA],reservaoutrosconsolidado282935[[#Headers],[24]],tabela_registros[REGISTRO],DADOS!$N$6,tabela_registros[TIPO],DADOS!$AJ$5,tabela_registros[CATEGORIA],reservaoutrosconsolidado282935[[#This Row],[ATUAL]])</f>
        <v>0</v>
      </c>
      <c r="AC209" s="119" t="n">
        <f aca="false">SUMIFS(tabela_registros[VALOR],tabela_registros[MÊS],$AE$1,tabela_registros[DIA],reservaoutrosconsolidado282935[[#Headers],[25]],tabela_registros[REGISTRO],DADOS!$N$6,tabela_registros[TIPO],DADOS!$AJ$5,tabela_registros[CATEGORIA],reservaoutrosconsolidado282935[[#This Row],[ATUAL]])</f>
        <v>0</v>
      </c>
      <c r="AD209" s="119" t="n">
        <f aca="false">SUMIFS(tabela_registros[VALOR],tabela_registros[MÊS],$AE$1,tabela_registros[DIA],reservaoutrosconsolidado282935[[#Headers],[26]],tabela_registros[REGISTRO],DADOS!$N$6,tabela_registros[TIPO],DADOS!$AJ$5,tabela_registros[CATEGORIA],reservaoutrosconsolidado282935[[#This Row],[ATUAL]])</f>
        <v>0</v>
      </c>
      <c r="AE209" s="119" t="n">
        <f aca="false">SUMIFS(tabela_registros[VALOR],tabela_registros[MÊS],$AE$1,tabela_registros[DIA],reservaoutrosconsolidado282935[[#Headers],[27]],tabela_registros[REGISTRO],DADOS!$N$6,tabela_registros[TIPO],DADOS!$AJ$5,tabela_registros[CATEGORIA],reservaoutrosconsolidado282935[[#This Row],[ATUAL]])</f>
        <v>0</v>
      </c>
      <c r="AF209" s="119" t="n">
        <f aca="false">SUMIFS(tabela_registros[VALOR],tabela_registros[MÊS],$AE$1,tabela_registros[DIA],reservaoutrosconsolidado282935[[#Headers],[28]],tabela_registros[REGISTRO],DADOS!$N$6,tabela_registros[TIPO],DADOS!$AJ$5,tabela_registros[CATEGORIA],reservaoutrosconsolidado282935[[#This Row],[ATUAL]])</f>
        <v>0</v>
      </c>
      <c r="AG209" s="119" t="n">
        <f aca="false">SUMIFS(tabela_registros[VALOR],tabela_registros[MÊS],$AE$1,tabela_registros[DIA],reservaoutrosconsolidado282935[[#Headers],[29]],tabela_registros[REGISTRO],DADOS!$N$6,tabela_registros[TIPO],DADOS!$AJ$5,tabela_registros[CATEGORIA],reservaoutrosconsolidado282935[[#This Row],[ATUAL]])</f>
        <v>0</v>
      </c>
      <c r="AH209" s="119" t="n">
        <f aca="false">SUMIFS(tabela_registros[VALOR],tabela_registros[MÊS],$AE$1,tabela_registros[DIA],reservaoutrosconsolidado282935[[#Headers],[30]],tabela_registros[REGISTRO],DADOS!$N$6,tabela_registros[TIPO],DADOS!$AJ$5,tabela_registros[CATEGORIA],reservaoutrosconsolidado282935[[#This Row],[ATUAL]])</f>
        <v>0</v>
      </c>
      <c r="AI209" s="217" t="n">
        <f aca="false">SUMIFS(tabela_registros[VALOR],tabela_registros[MÊS],$AE$1,tabela_registros[DIA],reservaoutrosconsolidado282935[[#Headers],[31]],tabela_registros[REGISTRO],DADOS!$N$6,tabela_registros[TIPO],DADOS!$AJ$5,tabela_registros[CATEGORIA],reservaoutrosconsolidado282935[[#This Row],[ATUAL]])</f>
        <v>0</v>
      </c>
      <c r="AJ209" s="149" t="n">
        <f aca="false">SUM(reservaoutrosconsolidado282935[[#This Row],[1]:[31]])</f>
        <v>0</v>
      </c>
      <c r="AK209" s="234"/>
      <c r="AL209" s="189"/>
    </row>
    <row r="210" customFormat="false" ht="19.5" hidden="false" customHeight="true" outlineLevel="0" collapsed="false">
      <c r="A210" s="189"/>
      <c r="B210" s="213"/>
      <c r="C210" s="214" t="str">
        <f aca="false">DADOS!$AP$7</f>
        <v>📝 PEER TO COMPANY</v>
      </c>
      <c r="D210" s="215" t="str">
        <f aca="false">IF(reservaoutrosconsolidado282935[[#This Row],[TOTAL (R$)]]=0,"",IF(OR(reservaoutrosconsolidado282935[[#This Row],[TOTAL (R$)]]=LARGE($AJ$206:$AJ$213,1),reservaoutrosconsolidado282935[[#This Row],[TOTAL (R$)]]=LARGE($AJ$206:$AJ$213,2)),DADOS!$I$11,""))</f>
        <v/>
      </c>
      <c r="E210" s="148" t="n">
        <f aca="false">SUMIFS(tabela_registros[VALOR],tabela_registros[MÊS],$AE$1,tabela_registros[DIA],reservaoutrosconsolidado282935[[#Headers],[1]],tabela_registros[REGISTRO],DADOS!$N$6,tabela_registros[TIPO],DADOS!$AJ$5,tabela_registros[CATEGORIA],reservaoutrosconsolidado282935[[#This Row],[ATUAL]])</f>
        <v>0</v>
      </c>
      <c r="F210" s="119" t="n">
        <f aca="false">SUMIFS(tabela_registros[VALOR],tabela_registros[MÊS],$AE$1,tabela_registros[DIA],reservaoutrosconsolidado282935[[#Headers],[2]],tabela_registros[REGISTRO],DADOS!$N$6,tabela_registros[TIPO],DADOS!$AJ$5,tabela_registros[CATEGORIA],reservaoutrosconsolidado282935[[#This Row],[ATUAL]])</f>
        <v>0</v>
      </c>
      <c r="G210" s="119" t="n">
        <f aca="false">SUMIFS(tabela_registros[VALOR],tabela_registros[MÊS],$AE$1,tabela_registros[DIA],reservaoutrosconsolidado282935[[#Headers],[3]],tabela_registros[REGISTRO],DADOS!$N$6,tabela_registros[TIPO],DADOS!$AJ$5,tabela_registros[CATEGORIA],reservaoutrosconsolidado282935[[#This Row],[ATUAL]])</f>
        <v>0</v>
      </c>
      <c r="H210" s="119" t="n">
        <f aca="false">SUMIFS(tabela_registros[VALOR],tabela_registros[MÊS],$AE$1,tabela_registros[DIA],reservaoutrosconsolidado282935[[#Headers],[4]],tabela_registros[REGISTRO],DADOS!$N$6,tabela_registros[TIPO],DADOS!$AJ$5,tabela_registros[CATEGORIA],reservaoutrosconsolidado282935[[#This Row],[ATUAL]])</f>
        <v>0</v>
      </c>
      <c r="I210" s="119" t="n">
        <f aca="false">SUMIFS(tabela_registros[VALOR],tabela_registros[MÊS],$AE$1,tabela_registros[DIA],reservaoutrosconsolidado282935[[#Headers],[5]],tabela_registros[REGISTRO],DADOS!$N$6,tabela_registros[TIPO],DADOS!$AJ$5,tabela_registros[CATEGORIA],reservaoutrosconsolidado282935[[#This Row],[ATUAL]])</f>
        <v>0</v>
      </c>
      <c r="J210" s="119" t="n">
        <f aca="false">SUMIFS(tabela_registros[VALOR],tabela_registros[MÊS],$AE$1,tabela_registros[DIA],reservaoutrosconsolidado282935[[#Headers],[6]],tabela_registros[REGISTRO],DADOS!$N$6,tabela_registros[TIPO],DADOS!$AJ$5,tabela_registros[CATEGORIA],reservaoutrosconsolidado282935[[#This Row],[ATUAL]])</f>
        <v>0</v>
      </c>
      <c r="K210" s="119" t="n">
        <f aca="false">SUMIFS(tabela_registros[VALOR],tabela_registros[MÊS],$AE$1,tabela_registros[DIA],reservaoutrosconsolidado282935[[#Headers],[7]],tabela_registros[REGISTRO],DADOS!$N$6,tabela_registros[TIPO],DADOS!$AJ$5,tabela_registros[CATEGORIA],reservaoutrosconsolidado282935[[#This Row],[ATUAL]])</f>
        <v>0</v>
      </c>
      <c r="L210" s="119" t="n">
        <f aca="false">SUMIFS(tabela_registros[VALOR],tabela_registros[MÊS],$AE$1,tabela_registros[DIA],reservaoutrosconsolidado282935[[#Headers],[8]],tabela_registros[REGISTRO],DADOS!$N$6,tabela_registros[TIPO],DADOS!$AJ$5,tabela_registros[CATEGORIA],reservaoutrosconsolidado282935[[#This Row],[ATUAL]])</f>
        <v>0</v>
      </c>
      <c r="M210" s="119" t="n">
        <f aca="false">SUMIFS(tabela_registros[VALOR],tabela_registros[MÊS],$AE$1,tabela_registros[DIA],reservaoutrosconsolidado282935[[#Headers],[9]],tabela_registros[REGISTRO],DADOS!$N$6,tabela_registros[TIPO],DADOS!$AJ$5,tabela_registros[CATEGORIA],reservaoutrosconsolidado282935[[#This Row],[ATUAL]])</f>
        <v>0</v>
      </c>
      <c r="N210" s="119" t="n">
        <f aca="false">SUMIFS(tabela_registros[VALOR],tabela_registros[MÊS],$AE$1,tabela_registros[DIA],reservaoutrosconsolidado282935[[#Headers],[10]],tabela_registros[REGISTRO],DADOS!$N$6,tabela_registros[TIPO],DADOS!$AJ$5,tabela_registros[CATEGORIA],reservaoutrosconsolidado282935[[#This Row],[ATUAL]])</f>
        <v>0</v>
      </c>
      <c r="O210" s="119" t="n">
        <f aca="false">SUMIFS(tabela_registros[VALOR],tabela_registros[MÊS],$AE$1,tabela_registros[DIA],reservaoutrosconsolidado282935[[#Headers],[11]],tabela_registros[REGISTRO],DADOS!$N$6,tabela_registros[TIPO],DADOS!$AJ$5,tabela_registros[CATEGORIA],reservaoutrosconsolidado282935[[#This Row],[ATUAL]])</f>
        <v>0</v>
      </c>
      <c r="P210" s="119" t="n">
        <f aca="false">SUMIFS(tabela_registros[VALOR],tabela_registros[MÊS],$AE$1,tabela_registros[DIA],reservaoutrosconsolidado282935[[#Headers],[12]],tabela_registros[REGISTRO],DADOS!$N$6,tabela_registros[TIPO],DADOS!$AJ$5,tabela_registros[CATEGORIA],reservaoutrosconsolidado282935[[#This Row],[ATUAL]])</f>
        <v>0</v>
      </c>
      <c r="Q210" s="119" t="n">
        <f aca="false">SUMIFS(tabela_registros[VALOR],tabela_registros[MÊS],$AE$1,tabela_registros[DIA],reservaoutrosconsolidado282935[[#Headers],[13]],tabela_registros[REGISTRO],DADOS!$N$6,tabela_registros[TIPO],DADOS!$AJ$5,tabela_registros[CATEGORIA],reservaoutrosconsolidado282935[[#This Row],[ATUAL]])</f>
        <v>0</v>
      </c>
      <c r="R210" s="119" t="n">
        <f aca="false">SUMIFS(tabela_registros[VALOR],tabela_registros[MÊS],$AE$1,tabela_registros[DIA],reservaoutrosconsolidado282935[[#Headers],[14]],tabela_registros[REGISTRO],DADOS!$N$6,tabela_registros[TIPO],DADOS!$AJ$5,tabela_registros[CATEGORIA],reservaoutrosconsolidado282935[[#This Row],[ATUAL]])</f>
        <v>0</v>
      </c>
      <c r="S210" s="119" t="n">
        <f aca="false">SUMIFS(tabela_registros[VALOR],tabela_registros[MÊS],$AE$1,tabela_registros[DIA],reservaoutrosconsolidado282935[[#Headers],[15]],tabela_registros[REGISTRO],DADOS!$N$6,tabela_registros[TIPO],DADOS!$AJ$5,tabela_registros[CATEGORIA],reservaoutrosconsolidado282935[[#This Row],[ATUAL]])</f>
        <v>0</v>
      </c>
      <c r="T210" s="119" t="n">
        <f aca="false">SUMIFS(tabela_registros[VALOR],tabela_registros[MÊS],$AE$1,tabela_registros[DIA],reservaoutrosconsolidado282935[[#Headers],[16]],tabela_registros[REGISTRO],DADOS!$N$6,tabela_registros[TIPO],DADOS!$AJ$5,tabela_registros[CATEGORIA],reservaoutrosconsolidado282935[[#This Row],[ATUAL]])</f>
        <v>0</v>
      </c>
      <c r="U210" s="119" t="n">
        <f aca="false">SUMIFS(tabela_registros[VALOR],tabela_registros[MÊS],$AE$1,tabela_registros[DIA],reservaoutrosconsolidado282935[[#Headers],[17]],tabela_registros[REGISTRO],DADOS!$N$6,tabela_registros[TIPO],DADOS!$AJ$5,tabela_registros[CATEGORIA],reservaoutrosconsolidado282935[[#This Row],[ATUAL]])</f>
        <v>0</v>
      </c>
      <c r="V210" s="119" t="n">
        <f aca="false">SUMIFS(tabela_registros[VALOR],tabela_registros[MÊS],$AE$1,tabela_registros[DIA],reservaoutrosconsolidado282935[[#Headers],[18]],tabela_registros[REGISTRO],DADOS!$N$6,tabela_registros[TIPO],DADOS!$AJ$5,tabela_registros[CATEGORIA],reservaoutrosconsolidado282935[[#This Row],[ATUAL]])</f>
        <v>0</v>
      </c>
      <c r="W210" s="119" t="n">
        <f aca="false">SUMIFS(tabela_registros[VALOR],tabela_registros[MÊS],$AE$1,tabela_registros[DIA],reservaoutrosconsolidado282935[[#Headers],[19]],tabela_registros[REGISTRO],DADOS!$N$6,tabela_registros[TIPO],DADOS!$AJ$5,tabela_registros[CATEGORIA],reservaoutrosconsolidado282935[[#This Row],[ATUAL]])</f>
        <v>0</v>
      </c>
      <c r="X210" s="119" t="n">
        <f aca="false">SUMIFS(tabela_registros[VALOR],tabela_registros[MÊS],$AE$1,tabela_registros[DIA],reservaoutrosconsolidado282935[[#Headers],[20]],tabela_registros[REGISTRO],DADOS!$N$6,tabela_registros[TIPO],DADOS!$AJ$5,tabela_registros[CATEGORIA],reservaoutrosconsolidado282935[[#This Row],[ATUAL]])</f>
        <v>0</v>
      </c>
      <c r="Y210" s="119" t="n">
        <f aca="false">SUMIFS(tabela_registros[VALOR],tabela_registros[MÊS],$AE$1,tabela_registros[DIA],reservaoutrosconsolidado282935[[#Headers],[21]],tabela_registros[REGISTRO],DADOS!$N$6,tabela_registros[TIPO],DADOS!$AJ$5,tabela_registros[CATEGORIA],reservaoutrosconsolidado282935[[#This Row],[ATUAL]])</f>
        <v>0</v>
      </c>
      <c r="Z210" s="119" t="n">
        <f aca="false">SUMIFS(tabela_registros[VALOR],tabela_registros[MÊS],$AE$1,tabela_registros[DIA],reservaoutrosconsolidado282935[[#Headers],[22]],tabela_registros[REGISTRO],DADOS!$N$6,tabela_registros[TIPO],DADOS!$AJ$5,tabela_registros[CATEGORIA],reservaoutrosconsolidado282935[[#This Row],[ATUAL]])</f>
        <v>0</v>
      </c>
      <c r="AA210" s="119" t="n">
        <f aca="false">SUMIFS(tabela_registros[VALOR],tabela_registros[MÊS],$AE$1,tabela_registros[DIA],reservaoutrosconsolidado282935[[#Headers],[23]],tabela_registros[REGISTRO],DADOS!$N$6,tabela_registros[TIPO],DADOS!$AJ$5,tabela_registros[CATEGORIA],reservaoutrosconsolidado282935[[#This Row],[ATUAL]])</f>
        <v>0</v>
      </c>
      <c r="AB210" s="119" t="n">
        <f aca="false">SUMIFS(tabela_registros[VALOR],tabela_registros[MÊS],$AE$1,tabela_registros[DIA],reservaoutrosconsolidado282935[[#Headers],[24]],tabela_registros[REGISTRO],DADOS!$N$6,tabela_registros[TIPO],DADOS!$AJ$5,tabela_registros[CATEGORIA],reservaoutrosconsolidado282935[[#This Row],[ATUAL]])</f>
        <v>0</v>
      </c>
      <c r="AC210" s="119" t="n">
        <f aca="false">SUMIFS(tabela_registros[VALOR],tabela_registros[MÊS],$AE$1,tabela_registros[DIA],reservaoutrosconsolidado282935[[#Headers],[25]],tabela_registros[REGISTRO],DADOS!$N$6,tabela_registros[TIPO],DADOS!$AJ$5,tabela_registros[CATEGORIA],reservaoutrosconsolidado282935[[#This Row],[ATUAL]])</f>
        <v>0</v>
      </c>
      <c r="AD210" s="119" t="n">
        <f aca="false">SUMIFS(tabela_registros[VALOR],tabela_registros[MÊS],$AE$1,tabela_registros[DIA],reservaoutrosconsolidado282935[[#Headers],[26]],tabela_registros[REGISTRO],DADOS!$N$6,tabela_registros[TIPO],DADOS!$AJ$5,tabela_registros[CATEGORIA],reservaoutrosconsolidado282935[[#This Row],[ATUAL]])</f>
        <v>0</v>
      </c>
      <c r="AE210" s="119" t="n">
        <f aca="false">SUMIFS(tabela_registros[VALOR],tabela_registros[MÊS],$AE$1,tabela_registros[DIA],reservaoutrosconsolidado282935[[#Headers],[27]],tabela_registros[REGISTRO],DADOS!$N$6,tabela_registros[TIPO],DADOS!$AJ$5,tabela_registros[CATEGORIA],reservaoutrosconsolidado282935[[#This Row],[ATUAL]])</f>
        <v>0</v>
      </c>
      <c r="AF210" s="119" t="n">
        <f aca="false">SUMIFS(tabela_registros[VALOR],tabela_registros[MÊS],$AE$1,tabela_registros[DIA],reservaoutrosconsolidado282935[[#Headers],[28]],tabela_registros[REGISTRO],DADOS!$N$6,tabela_registros[TIPO],DADOS!$AJ$5,tabela_registros[CATEGORIA],reservaoutrosconsolidado282935[[#This Row],[ATUAL]])</f>
        <v>0</v>
      </c>
      <c r="AG210" s="119" t="n">
        <f aca="false">SUMIFS(tabela_registros[VALOR],tabela_registros[MÊS],$AE$1,tabela_registros[DIA],reservaoutrosconsolidado282935[[#Headers],[29]],tabela_registros[REGISTRO],DADOS!$N$6,tabela_registros[TIPO],DADOS!$AJ$5,tabela_registros[CATEGORIA],reservaoutrosconsolidado282935[[#This Row],[ATUAL]])</f>
        <v>0</v>
      </c>
      <c r="AH210" s="119" t="n">
        <f aca="false">SUMIFS(tabela_registros[VALOR],tabela_registros[MÊS],$AE$1,tabela_registros[DIA],reservaoutrosconsolidado282935[[#Headers],[30]],tabela_registros[REGISTRO],DADOS!$N$6,tabela_registros[TIPO],DADOS!$AJ$5,tabela_registros[CATEGORIA],reservaoutrosconsolidado282935[[#This Row],[ATUAL]])</f>
        <v>0</v>
      </c>
      <c r="AI210" s="217" t="n">
        <f aca="false">SUMIFS(tabela_registros[VALOR],tabela_registros[MÊS],$AE$1,tabela_registros[DIA],reservaoutrosconsolidado282935[[#Headers],[31]],tabela_registros[REGISTRO],DADOS!$N$6,tabela_registros[TIPO],DADOS!$AJ$5,tabela_registros[CATEGORIA],reservaoutrosconsolidado282935[[#This Row],[ATUAL]])</f>
        <v>0</v>
      </c>
      <c r="AJ210" s="149" t="n">
        <f aca="false">SUM(reservaoutrosconsolidado282935[[#This Row],[1]:[31]])</f>
        <v>0</v>
      </c>
      <c r="AK210" s="234"/>
      <c r="AL210" s="189"/>
    </row>
    <row r="211" customFormat="false" ht="19.5" hidden="false" customHeight="true" outlineLevel="0" collapsed="false">
      <c r="A211" s="189"/>
      <c r="B211" s="213"/>
      <c r="C211" s="214" t="str">
        <f aca="false">DADOS!$AP$8</f>
        <v>📝 PEER TO PEER</v>
      </c>
      <c r="D211" s="215" t="str">
        <f aca="false">IF(reservaoutrosconsolidado282935[[#This Row],[TOTAL (R$)]]=0,"",IF(OR(reservaoutrosconsolidado282935[[#This Row],[TOTAL (R$)]]=LARGE($AJ$206:$AJ$213,1),reservaoutrosconsolidado282935[[#This Row],[TOTAL (R$)]]=LARGE($AJ$206:$AJ$213,2)),DADOS!$I$11,""))</f>
        <v/>
      </c>
      <c r="E211" s="148" t="n">
        <f aca="false">SUMIFS(tabela_registros[VALOR],tabela_registros[MÊS],$AE$1,tabela_registros[DIA],reservaoutrosconsolidado282935[[#Headers],[1]],tabela_registros[REGISTRO],DADOS!$N$6,tabela_registros[TIPO],DADOS!$AJ$5,tabela_registros[CATEGORIA],reservaoutrosconsolidado282935[[#This Row],[ATUAL]])</f>
        <v>0</v>
      </c>
      <c r="F211" s="119" t="n">
        <f aca="false">SUMIFS(tabela_registros[VALOR],tabela_registros[MÊS],$AE$1,tabela_registros[DIA],reservaoutrosconsolidado282935[[#Headers],[2]],tabela_registros[REGISTRO],DADOS!$N$6,tabela_registros[TIPO],DADOS!$AJ$5,tabela_registros[CATEGORIA],reservaoutrosconsolidado282935[[#This Row],[ATUAL]])</f>
        <v>0</v>
      </c>
      <c r="G211" s="119" t="n">
        <f aca="false">SUMIFS(tabela_registros[VALOR],tabela_registros[MÊS],$AE$1,tabela_registros[DIA],reservaoutrosconsolidado282935[[#Headers],[3]],tabela_registros[REGISTRO],DADOS!$N$6,tabela_registros[TIPO],DADOS!$AJ$5,tabela_registros[CATEGORIA],reservaoutrosconsolidado282935[[#This Row],[ATUAL]])</f>
        <v>0</v>
      </c>
      <c r="H211" s="119" t="n">
        <f aca="false">SUMIFS(tabela_registros[VALOR],tabela_registros[MÊS],$AE$1,tabela_registros[DIA],reservaoutrosconsolidado282935[[#Headers],[4]],tabela_registros[REGISTRO],DADOS!$N$6,tabela_registros[TIPO],DADOS!$AJ$5,tabela_registros[CATEGORIA],reservaoutrosconsolidado282935[[#This Row],[ATUAL]])</f>
        <v>0</v>
      </c>
      <c r="I211" s="119" t="n">
        <f aca="false">SUMIFS(tabela_registros[VALOR],tabela_registros[MÊS],$AE$1,tabela_registros[DIA],reservaoutrosconsolidado282935[[#Headers],[5]],tabela_registros[REGISTRO],DADOS!$N$6,tabela_registros[TIPO],DADOS!$AJ$5,tabela_registros[CATEGORIA],reservaoutrosconsolidado282935[[#This Row],[ATUAL]])</f>
        <v>0</v>
      </c>
      <c r="J211" s="119" t="n">
        <f aca="false">SUMIFS(tabela_registros[VALOR],tabela_registros[MÊS],$AE$1,tabela_registros[DIA],reservaoutrosconsolidado282935[[#Headers],[6]],tabela_registros[REGISTRO],DADOS!$N$6,tabela_registros[TIPO],DADOS!$AJ$5,tabela_registros[CATEGORIA],reservaoutrosconsolidado282935[[#This Row],[ATUAL]])</f>
        <v>0</v>
      </c>
      <c r="K211" s="119" t="n">
        <f aca="false">SUMIFS(tabela_registros[VALOR],tabela_registros[MÊS],$AE$1,tabela_registros[DIA],reservaoutrosconsolidado282935[[#Headers],[7]],tabela_registros[REGISTRO],DADOS!$N$6,tabela_registros[TIPO],DADOS!$AJ$5,tabela_registros[CATEGORIA],reservaoutrosconsolidado282935[[#This Row],[ATUAL]])</f>
        <v>0</v>
      </c>
      <c r="L211" s="119" t="n">
        <f aca="false">SUMIFS(tabela_registros[VALOR],tabela_registros[MÊS],$AE$1,tabela_registros[DIA],reservaoutrosconsolidado282935[[#Headers],[8]],tabela_registros[REGISTRO],DADOS!$N$6,tabela_registros[TIPO],DADOS!$AJ$5,tabela_registros[CATEGORIA],reservaoutrosconsolidado282935[[#This Row],[ATUAL]])</f>
        <v>0</v>
      </c>
      <c r="M211" s="119" t="n">
        <f aca="false">SUMIFS(tabela_registros[VALOR],tabela_registros[MÊS],$AE$1,tabela_registros[DIA],reservaoutrosconsolidado282935[[#Headers],[9]],tabela_registros[REGISTRO],DADOS!$N$6,tabela_registros[TIPO],DADOS!$AJ$5,tabela_registros[CATEGORIA],reservaoutrosconsolidado282935[[#This Row],[ATUAL]])</f>
        <v>0</v>
      </c>
      <c r="N211" s="119" t="n">
        <f aca="false">SUMIFS(tabela_registros[VALOR],tabela_registros[MÊS],$AE$1,tabela_registros[DIA],reservaoutrosconsolidado282935[[#Headers],[10]],tabela_registros[REGISTRO],DADOS!$N$6,tabela_registros[TIPO],DADOS!$AJ$5,tabela_registros[CATEGORIA],reservaoutrosconsolidado282935[[#This Row],[ATUAL]])</f>
        <v>0</v>
      </c>
      <c r="O211" s="119" t="n">
        <f aca="false">SUMIFS(tabela_registros[VALOR],tabela_registros[MÊS],$AE$1,tabela_registros[DIA],reservaoutrosconsolidado282935[[#Headers],[11]],tabela_registros[REGISTRO],DADOS!$N$6,tabela_registros[TIPO],DADOS!$AJ$5,tabela_registros[CATEGORIA],reservaoutrosconsolidado282935[[#This Row],[ATUAL]])</f>
        <v>0</v>
      </c>
      <c r="P211" s="119" t="n">
        <f aca="false">SUMIFS(tabela_registros[VALOR],tabela_registros[MÊS],$AE$1,tabela_registros[DIA],reservaoutrosconsolidado282935[[#Headers],[12]],tabela_registros[REGISTRO],DADOS!$N$6,tabela_registros[TIPO],DADOS!$AJ$5,tabela_registros[CATEGORIA],reservaoutrosconsolidado282935[[#This Row],[ATUAL]])</f>
        <v>0</v>
      </c>
      <c r="Q211" s="119" t="n">
        <f aca="false">SUMIFS(tabela_registros[VALOR],tabela_registros[MÊS],$AE$1,tabela_registros[DIA],reservaoutrosconsolidado282935[[#Headers],[13]],tabela_registros[REGISTRO],DADOS!$N$6,tabela_registros[TIPO],DADOS!$AJ$5,tabela_registros[CATEGORIA],reservaoutrosconsolidado282935[[#This Row],[ATUAL]])</f>
        <v>0</v>
      </c>
      <c r="R211" s="119" t="n">
        <f aca="false">SUMIFS(tabela_registros[VALOR],tabela_registros[MÊS],$AE$1,tabela_registros[DIA],reservaoutrosconsolidado282935[[#Headers],[14]],tabela_registros[REGISTRO],DADOS!$N$6,tabela_registros[TIPO],DADOS!$AJ$5,tabela_registros[CATEGORIA],reservaoutrosconsolidado282935[[#This Row],[ATUAL]])</f>
        <v>0</v>
      </c>
      <c r="S211" s="119" t="n">
        <f aca="false">SUMIFS(tabela_registros[VALOR],tabela_registros[MÊS],$AE$1,tabela_registros[DIA],reservaoutrosconsolidado282935[[#Headers],[15]],tabela_registros[REGISTRO],DADOS!$N$6,tabela_registros[TIPO],DADOS!$AJ$5,tabela_registros[CATEGORIA],reservaoutrosconsolidado282935[[#This Row],[ATUAL]])</f>
        <v>0</v>
      </c>
      <c r="T211" s="119" t="n">
        <f aca="false">SUMIFS(tabela_registros[VALOR],tabela_registros[MÊS],$AE$1,tabela_registros[DIA],reservaoutrosconsolidado282935[[#Headers],[16]],tabela_registros[REGISTRO],DADOS!$N$6,tabela_registros[TIPO],DADOS!$AJ$5,tabela_registros[CATEGORIA],reservaoutrosconsolidado282935[[#This Row],[ATUAL]])</f>
        <v>0</v>
      </c>
      <c r="U211" s="119" t="n">
        <f aca="false">SUMIFS(tabela_registros[VALOR],tabela_registros[MÊS],$AE$1,tabela_registros[DIA],reservaoutrosconsolidado282935[[#Headers],[17]],tabela_registros[REGISTRO],DADOS!$N$6,tabela_registros[TIPO],DADOS!$AJ$5,tabela_registros[CATEGORIA],reservaoutrosconsolidado282935[[#This Row],[ATUAL]])</f>
        <v>0</v>
      </c>
      <c r="V211" s="119" t="n">
        <f aca="false">SUMIFS(tabela_registros[VALOR],tabela_registros[MÊS],$AE$1,tabela_registros[DIA],reservaoutrosconsolidado282935[[#Headers],[18]],tabela_registros[REGISTRO],DADOS!$N$6,tabela_registros[TIPO],DADOS!$AJ$5,tabela_registros[CATEGORIA],reservaoutrosconsolidado282935[[#This Row],[ATUAL]])</f>
        <v>0</v>
      </c>
      <c r="W211" s="119" t="n">
        <f aca="false">SUMIFS(tabela_registros[VALOR],tabela_registros[MÊS],$AE$1,tabela_registros[DIA],reservaoutrosconsolidado282935[[#Headers],[19]],tabela_registros[REGISTRO],DADOS!$N$6,tabela_registros[TIPO],DADOS!$AJ$5,tabela_registros[CATEGORIA],reservaoutrosconsolidado282935[[#This Row],[ATUAL]])</f>
        <v>0</v>
      </c>
      <c r="X211" s="119" t="n">
        <f aca="false">SUMIFS(tabela_registros[VALOR],tabela_registros[MÊS],$AE$1,tabela_registros[DIA],reservaoutrosconsolidado282935[[#Headers],[20]],tabela_registros[REGISTRO],DADOS!$N$6,tabela_registros[TIPO],DADOS!$AJ$5,tabela_registros[CATEGORIA],reservaoutrosconsolidado282935[[#This Row],[ATUAL]])</f>
        <v>0</v>
      </c>
      <c r="Y211" s="119" t="n">
        <f aca="false">SUMIFS(tabela_registros[VALOR],tabela_registros[MÊS],$AE$1,tabela_registros[DIA],reservaoutrosconsolidado282935[[#Headers],[21]],tabela_registros[REGISTRO],DADOS!$N$6,tabela_registros[TIPO],DADOS!$AJ$5,tabela_registros[CATEGORIA],reservaoutrosconsolidado282935[[#This Row],[ATUAL]])</f>
        <v>0</v>
      </c>
      <c r="Z211" s="119" t="n">
        <f aca="false">SUMIFS(tabela_registros[VALOR],tabela_registros[MÊS],$AE$1,tabela_registros[DIA],reservaoutrosconsolidado282935[[#Headers],[22]],tabela_registros[REGISTRO],DADOS!$N$6,tabela_registros[TIPO],DADOS!$AJ$5,tabela_registros[CATEGORIA],reservaoutrosconsolidado282935[[#This Row],[ATUAL]])</f>
        <v>0</v>
      </c>
      <c r="AA211" s="119" t="n">
        <f aca="false">SUMIFS(tabela_registros[VALOR],tabela_registros[MÊS],$AE$1,tabela_registros[DIA],reservaoutrosconsolidado282935[[#Headers],[23]],tabela_registros[REGISTRO],DADOS!$N$6,tabela_registros[TIPO],DADOS!$AJ$5,tabela_registros[CATEGORIA],reservaoutrosconsolidado282935[[#This Row],[ATUAL]])</f>
        <v>0</v>
      </c>
      <c r="AB211" s="119" t="n">
        <f aca="false">SUMIFS(tabela_registros[VALOR],tabela_registros[MÊS],$AE$1,tabela_registros[DIA],reservaoutrosconsolidado282935[[#Headers],[24]],tabela_registros[REGISTRO],DADOS!$N$6,tabela_registros[TIPO],DADOS!$AJ$5,tabela_registros[CATEGORIA],reservaoutrosconsolidado282935[[#This Row],[ATUAL]])</f>
        <v>0</v>
      </c>
      <c r="AC211" s="119" t="n">
        <f aca="false">SUMIFS(tabela_registros[VALOR],tabela_registros[MÊS],$AE$1,tabela_registros[DIA],reservaoutrosconsolidado282935[[#Headers],[25]],tabela_registros[REGISTRO],DADOS!$N$6,tabela_registros[TIPO],DADOS!$AJ$5,tabela_registros[CATEGORIA],reservaoutrosconsolidado282935[[#This Row],[ATUAL]])</f>
        <v>0</v>
      </c>
      <c r="AD211" s="119" t="n">
        <f aca="false">SUMIFS(tabela_registros[VALOR],tabela_registros[MÊS],$AE$1,tabela_registros[DIA],reservaoutrosconsolidado282935[[#Headers],[26]],tabela_registros[REGISTRO],DADOS!$N$6,tabela_registros[TIPO],DADOS!$AJ$5,tabela_registros[CATEGORIA],reservaoutrosconsolidado282935[[#This Row],[ATUAL]])</f>
        <v>0</v>
      </c>
      <c r="AE211" s="119" t="n">
        <f aca="false">SUMIFS(tabela_registros[VALOR],tabela_registros[MÊS],$AE$1,tabela_registros[DIA],reservaoutrosconsolidado282935[[#Headers],[27]],tabela_registros[REGISTRO],DADOS!$N$6,tabela_registros[TIPO],DADOS!$AJ$5,tabela_registros[CATEGORIA],reservaoutrosconsolidado282935[[#This Row],[ATUAL]])</f>
        <v>0</v>
      </c>
      <c r="AF211" s="119" t="n">
        <f aca="false">SUMIFS(tabela_registros[VALOR],tabela_registros[MÊS],$AE$1,tabela_registros[DIA],reservaoutrosconsolidado282935[[#Headers],[28]],tabela_registros[REGISTRO],DADOS!$N$6,tabela_registros[TIPO],DADOS!$AJ$5,tabela_registros[CATEGORIA],reservaoutrosconsolidado282935[[#This Row],[ATUAL]])</f>
        <v>0</v>
      </c>
      <c r="AG211" s="119" t="n">
        <f aca="false">SUMIFS(tabela_registros[VALOR],tabela_registros[MÊS],$AE$1,tabela_registros[DIA],reservaoutrosconsolidado282935[[#Headers],[29]],tabela_registros[REGISTRO],DADOS!$N$6,tabela_registros[TIPO],DADOS!$AJ$5,tabela_registros[CATEGORIA],reservaoutrosconsolidado282935[[#This Row],[ATUAL]])</f>
        <v>0</v>
      </c>
      <c r="AH211" s="119" t="n">
        <f aca="false">SUMIFS(tabela_registros[VALOR],tabela_registros[MÊS],$AE$1,tabela_registros[DIA],reservaoutrosconsolidado282935[[#Headers],[30]],tabela_registros[REGISTRO],DADOS!$N$6,tabela_registros[TIPO],DADOS!$AJ$5,tabela_registros[CATEGORIA],reservaoutrosconsolidado282935[[#This Row],[ATUAL]])</f>
        <v>0</v>
      </c>
      <c r="AI211" s="217" t="n">
        <f aca="false">SUMIFS(tabela_registros[VALOR],tabela_registros[MÊS],$AE$1,tabela_registros[DIA],reservaoutrosconsolidado282935[[#Headers],[31]],tabela_registros[REGISTRO],DADOS!$N$6,tabela_registros[TIPO],DADOS!$AJ$5,tabela_registros[CATEGORIA],reservaoutrosconsolidado282935[[#This Row],[ATUAL]])</f>
        <v>0</v>
      </c>
      <c r="AJ211" s="149" t="n">
        <f aca="false">SUM(reservaoutrosconsolidado282935[[#This Row],[1]:[31]])</f>
        <v>0</v>
      </c>
      <c r="AK211" s="234"/>
      <c r="AL211" s="189"/>
    </row>
    <row r="212" customFormat="false" ht="19.5" hidden="false" customHeight="true" outlineLevel="0" collapsed="false">
      <c r="A212" s="189"/>
      <c r="B212" s="213"/>
      <c r="C212" s="214" t="str">
        <f aca="false">DADOS!$AP$9</f>
        <v>📝 PREVIDÊNCIA PRIVADA</v>
      </c>
      <c r="D212" s="215" t="str">
        <f aca="false">IF(reservaoutrosconsolidado282935[[#This Row],[TOTAL (R$)]]=0,"",IF(OR(reservaoutrosconsolidado282935[[#This Row],[TOTAL (R$)]]=LARGE($AJ$206:$AJ$213,1),reservaoutrosconsolidado282935[[#This Row],[TOTAL (R$)]]=LARGE($AJ$206:$AJ$213,2)),DADOS!$I$11,""))</f>
        <v/>
      </c>
      <c r="E212" s="148" t="n">
        <f aca="false">SUMIFS(tabela_registros[VALOR],tabela_registros[MÊS],$AE$1,tabela_registros[DIA],reservaoutrosconsolidado282935[[#Headers],[1]],tabela_registros[REGISTRO],DADOS!$N$6,tabela_registros[TIPO],DADOS!$AJ$5,tabela_registros[CATEGORIA],reservaoutrosconsolidado282935[[#This Row],[ATUAL]])</f>
        <v>0</v>
      </c>
      <c r="F212" s="119" t="n">
        <f aca="false">SUMIFS(tabela_registros[VALOR],tabela_registros[MÊS],$AE$1,tabela_registros[DIA],reservaoutrosconsolidado282935[[#Headers],[2]],tabela_registros[REGISTRO],DADOS!$N$6,tabela_registros[TIPO],DADOS!$AJ$5,tabela_registros[CATEGORIA],reservaoutrosconsolidado282935[[#This Row],[ATUAL]])</f>
        <v>0</v>
      </c>
      <c r="G212" s="119" t="n">
        <f aca="false">SUMIFS(tabela_registros[VALOR],tabela_registros[MÊS],$AE$1,tabela_registros[DIA],reservaoutrosconsolidado282935[[#Headers],[3]],tabela_registros[REGISTRO],DADOS!$N$6,tabela_registros[TIPO],DADOS!$AJ$5,tabela_registros[CATEGORIA],reservaoutrosconsolidado282935[[#This Row],[ATUAL]])</f>
        <v>0</v>
      </c>
      <c r="H212" s="119" t="n">
        <f aca="false">SUMIFS(tabela_registros[VALOR],tabela_registros[MÊS],$AE$1,tabela_registros[DIA],reservaoutrosconsolidado282935[[#Headers],[4]],tabela_registros[REGISTRO],DADOS!$N$6,tabela_registros[TIPO],DADOS!$AJ$5,tabela_registros[CATEGORIA],reservaoutrosconsolidado282935[[#This Row],[ATUAL]])</f>
        <v>0</v>
      </c>
      <c r="I212" s="119" t="n">
        <f aca="false">SUMIFS(tabela_registros[VALOR],tabela_registros[MÊS],$AE$1,tabela_registros[DIA],reservaoutrosconsolidado282935[[#Headers],[5]],tabela_registros[REGISTRO],DADOS!$N$6,tabela_registros[TIPO],DADOS!$AJ$5,tabela_registros[CATEGORIA],reservaoutrosconsolidado282935[[#This Row],[ATUAL]])</f>
        <v>0</v>
      </c>
      <c r="J212" s="119" t="n">
        <f aca="false">SUMIFS(tabela_registros[VALOR],tabela_registros[MÊS],$AE$1,tabela_registros[DIA],reservaoutrosconsolidado282935[[#Headers],[6]],tabela_registros[REGISTRO],DADOS!$N$6,tabela_registros[TIPO],DADOS!$AJ$5,tabela_registros[CATEGORIA],reservaoutrosconsolidado282935[[#This Row],[ATUAL]])</f>
        <v>0</v>
      </c>
      <c r="K212" s="119" t="n">
        <f aca="false">SUMIFS(tabela_registros[VALOR],tabela_registros[MÊS],$AE$1,tabela_registros[DIA],reservaoutrosconsolidado282935[[#Headers],[7]],tabela_registros[REGISTRO],DADOS!$N$6,tabela_registros[TIPO],DADOS!$AJ$5,tabela_registros[CATEGORIA],reservaoutrosconsolidado282935[[#This Row],[ATUAL]])</f>
        <v>0</v>
      </c>
      <c r="L212" s="119" t="n">
        <f aca="false">SUMIFS(tabela_registros[VALOR],tabela_registros[MÊS],$AE$1,tabela_registros[DIA],reservaoutrosconsolidado282935[[#Headers],[8]],tabela_registros[REGISTRO],DADOS!$N$6,tabela_registros[TIPO],DADOS!$AJ$5,tabela_registros[CATEGORIA],reservaoutrosconsolidado282935[[#This Row],[ATUAL]])</f>
        <v>0</v>
      </c>
      <c r="M212" s="119" t="n">
        <f aca="false">SUMIFS(tabela_registros[VALOR],tabela_registros[MÊS],$AE$1,tabela_registros[DIA],reservaoutrosconsolidado282935[[#Headers],[9]],tabela_registros[REGISTRO],DADOS!$N$6,tabela_registros[TIPO],DADOS!$AJ$5,tabela_registros[CATEGORIA],reservaoutrosconsolidado282935[[#This Row],[ATUAL]])</f>
        <v>0</v>
      </c>
      <c r="N212" s="119" t="n">
        <f aca="false">SUMIFS(tabela_registros[VALOR],tabela_registros[MÊS],$AE$1,tabela_registros[DIA],reservaoutrosconsolidado282935[[#Headers],[10]],tabela_registros[REGISTRO],DADOS!$N$6,tabela_registros[TIPO],DADOS!$AJ$5,tabela_registros[CATEGORIA],reservaoutrosconsolidado282935[[#This Row],[ATUAL]])</f>
        <v>0</v>
      </c>
      <c r="O212" s="119" t="n">
        <f aca="false">SUMIFS(tabela_registros[VALOR],tabela_registros[MÊS],$AE$1,tabela_registros[DIA],reservaoutrosconsolidado282935[[#Headers],[11]],tabela_registros[REGISTRO],DADOS!$N$6,tabela_registros[TIPO],DADOS!$AJ$5,tabela_registros[CATEGORIA],reservaoutrosconsolidado282935[[#This Row],[ATUAL]])</f>
        <v>0</v>
      </c>
      <c r="P212" s="119" t="n">
        <f aca="false">SUMIFS(tabela_registros[VALOR],tabela_registros[MÊS],$AE$1,tabela_registros[DIA],reservaoutrosconsolidado282935[[#Headers],[12]],tabela_registros[REGISTRO],DADOS!$N$6,tabela_registros[TIPO],DADOS!$AJ$5,tabela_registros[CATEGORIA],reservaoutrosconsolidado282935[[#This Row],[ATUAL]])</f>
        <v>0</v>
      </c>
      <c r="Q212" s="119" t="n">
        <f aca="false">SUMIFS(tabela_registros[VALOR],tabela_registros[MÊS],$AE$1,tabela_registros[DIA],reservaoutrosconsolidado282935[[#Headers],[13]],tabela_registros[REGISTRO],DADOS!$N$6,tabela_registros[TIPO],DADOS!$AJ$5,tabela_registros[CATEGORIA],reservaoutrosconsolidado282935[[#This Row],[ATUAL]])</f>
        <v>0</v>
      </c>
      <c r="R212" s="119" t="n">
        <f aca="false">SUMIFS(tabela_registros[VALOR],tabela_registros[MÊS],$AE$1,tabela_registros[DIA],reservaoutrosconsolidado282935[[#Headers],[14]],tabela_registros[REGISTRO],DADOS!$N$6,tabela_registros[TIPO],DADOS!$AJ$5,tabela_registros[CATEGORIA],reservaoutrosconsolidado282935[[#This Row],[ATUAL]])</f>
        <v>0</v>
      </c>
      <c r="S212" s="119" t="n">
        <f aca="false">SUMIFS(tabela_registros[VALOR],tabela_registros[MÊS],$AE$1,tabela_registros[DIA],reservaoutrosconsolidado282935[[#Headers],[15]],tabela_registros[REGISTRO],DADOS!$N$6,tabela_registros[TIPO],DADOS!$AJ$5,tabela_registros[CATEGORIA],reservaoutrosconsolidado282935[[#This Row],[ATUAL]])</f>
        <v>0</v>
      </c>
      <c r="T212" s="119" t="n">
        <f aca="false">SUMIFS(tabela_registros[VALOR],tabela_registros[MÊS],$AE$1,tabela_registros[DIA],reservaoutrosconsolidado282935[[#Headers],[16]],tabela_registros[REGISTRO],DADOS!$N$6,tabela_registros[TIPO],DADOS!$AJ$5,tabela_registros[CATEGORIA],reservaoutrosconsolidado282935[[#This Row],[ATUAL]])</f>
        <v>0</v>
      </c>
      <c r="U212" s="119" t="n">
        <f aca="false">SUMIFS(tabela_registros[VALOR],tabela_registros[MÊS],$AE$1,tabela_registros[DIA],reservaoutrosconsolidado282935[[#Headers],[17]],tabela_registros[REGISTRO],DADOS!$N$6,tabela_registros[TIPO],DADOS!$AJ$5,tabela_registros[CATEGORIA],reservaoutrosconsolidado282935[[#This Row],[ATUAL]])</f>
        <v>0</v>
      </c>
      <c r="V212" s="119" t="n">
        <f aca="false">SUMIFS(tabela_registros[VALOR],tabela_registros[MÊS],$AE$1,tabela_registros[DIA],reservaoutrosconsolidado282935[[#Headers],[18]],tabela_registros[REGISTRO],DADOS!$N$6,tabela_registros[TIPO],DADOS!$AJ$5,tabela_registros[CATEGORIA],reservaoutrosconsolidado282935[[#This Row],[ATUAL]])</f>
        <v>0</v>
      </c>
      <c r="W212" s="119" t="n">
        <f aca="false">SUMIFS(tabela_registros[VALOR],tabela_registros[MÊS],$AE$1,tabela_registros[DIA],reservaoutrosconsolidado282935[[#Headers],[19]],tabela_registros[REGISTRO],DADOS!$N$6,tabela_registros[TIPO],DADOS!$AJ$5,tabela_registros[CATEGORIA],reservaoutrosconsolidado282935[[#This Row],[ATUAL]])</f>
        <v>0</v>
      </c>
      <c r="X212" s="119" t="n">
        <f aca="false">SUMIFS(tabela_registros[VALOR],tabela_registros[MÊS],$AE$1,tabela_registros[DIA],reservaoutrosconsolidado282935[[#Headers],[20]],tabela_registros[REGISTRO],DADOS!$N$6,tabela_registros[TIPO],DADOS!$AJ$5,tabela_registros[CATEGORIA],reservaoutrosconsolidado282935[[#This Row],[ATUAL]])</f>
        <v>0</v>
      </c>
      <c r="Y212" s="119" t="n">
        <f aca="false">SUMIFS(tabela_registros[VALOR],tabela_registros[MÊS],$AE$1,tabela_registros[DIA],reservaoutrosconsolidado282935[[#Headers],[21]],tabela_registros[REGISTRO],DADOS!$N$6,tabela_registros[TIPO],DADOS!$AJ$5,tabela_registros[CATEGORIA],reservaoutrosconsolidado282935[[#This Row],[ATUAL]])</f>
        <v>0</v>
      </c>
      <c r="Z212" s="119" t="n">
        <f aca="false">SUMIFS(tabela_registros[VALOR],tabela_registros[MÊS],$AE$1,tabela_registros[DIA],reservaoutrosconsolidado282935[[#Headers],[22]],tabela_registros[REGISTRO],DADOS!$N$6,tabela_registros[TIPO],DADOS!$AJ$5,tabela_registros[CATEGORIA],reservaoutrosconsolidado282935[[#This Row],[ATUAL]])</f>
        <v>0</v>
      </c>
      <c r="AA212" s="119" t="n">
        <f aca="false">SUMIFS(tabela_registros[VALOR],tabela_registros[MÊS],$AE$1,tabela_registros[DIA],reservaoutrosconsolidado282935[[#Headers],[23]],tabela_registros[REGISTRO],DADOS!$N$6,tabela_registros[TIPO],DADOS!$AJ$5,tabela_registros[CATEGORIA],reservaoutrosconsolidado282935[[#This Row],[ATUAL]])</f>
        <v>0</v>
      </c>
      <c r="AB212" s="119" t="n">
        <f aca="false">SUMIFS(tabela_registros[VALOR],tabela_registros[MÊS],$AE$1,tabela_registros[DIA],reservaoutrosconsolidado282935[[#Headers],[24]],tabela_registros[REGISTRO],DADOS!$N$6,tabela_registros[TIPO],DADOS!$AJ$5,tabela_registros[CATEGORIA],reservaoutrosconsolidado282935[[#This Row],[ATUAL]])</f>
        <v>0</v>
      </c>
      <c r="AC212" s="119" t="n">
        <f aca="false">SUMIFS(tabela_registros[VALOR],tabela_registros[MÊS],$AE$1,tabela_registros[DIA],reservaoutrosconsolidado282935[[#Headers],[25]],tabela_registros[REGISTRO],DADOS!$N$6,tabela_registros[TIPO],DADOS!$AJ$5,tabela_registros[CATEGORIA],reservaoutrosconsolidado282935[[#This Row],[ATUAL]])</f>
        <v>0</v>
      </c>
      <c r="AD212" s="119" t="n">
        <f aca="false">SUMIFS(tabela_registros[VALOR],tabela_registros[MÊS],$AE$1,tabela_registros[DIA],reservaoutrosconsolidado282935[[#Headers],[26]],tabela_registros[REGISTRO],DADOS!$N$6,tabela_registros[TIPO],DADOS!$AJ$5,tabela_registros[CATEGORIA],reservaoutrosconsolidado282935[[#This Row],[ATUAL]])</f>
        <v>0</v>
      </c>
      <c r="AE212" s="119" t="n">
        <f aca="false">SUMIFS(tabela_registros[VALOR],tabela_registros[MÊS],$AE$1,tabela_registros[DIA],reservaoutrosconsolidado282935[[#Headers],[27]],tabela_registros[REGISTRO],DADOS!$N$6,tabela_registros[TIPO],DADOS!$AJ$5,tabela_registros[CATEGORIA],reservaoutrosconsolidado282935[[#This Row],[ATUAL]])</f>
        <v>0</v>
      </c>
      <c r="AF212" s="119" t="n">
        <f aca="false">SUMIFS(tabela_registros[VALOR],tabela_registros[MÊS],$AE$1,tabela_registros[DIA],reservaoutrosconsolidado282935[[#Headers],[28]],tabela_registros[REGISTRO],DADOS!$N$6,tabela_registros[TIPO],DADOS!$AJ$5,tabela_registros[CATEGORIA],reservaoutrosconsolidado282935[[#This Row],[ATUAL]])</f>
        <v>0</v>
      </c>
      <c r="AG212" s="119" t="n">
        <f aca="false">SUMIFS(tabela_registros[VALOR],tabela_registros[MÊS],$AE$1,tabela_registros[DIA],reservaoutrosconsolidado282935[[#Headers],[29]],tabela_registros[REGISTRO],DADOS!$N$6,tabela_registros[TIPO],DADOS!$AJ$5,tabela_registros[CATEGORIA],reservaoutrosconsolidado282935[[#This Row],[ATUAL]])</f>
        <v>0</v>
      </c>
      <c r="AH212" s="119" t="n">
        <f aca="false">SUMIFS(tabela_registros[VALOR],tabela_registros[MÊS],$AE$1,tabela_registros[DIA],reservaoutrosconsolidado282935[[#Headers],[30]],tabela_registros[REGISTRO],DADOS!$N$6,tabela_registros[TIPO],DADOS!$AJ$5,tabela_registros[CATEGORIA],reservaoutrosconsolidado282935[[#This Row],[ATUAL]])</f>
        <v>0</v>
      </c>
      <c r="AI212" s="217" t="n">
        <f aca="false">SUMIFS(tabela_registros[VALOR],tabela_registros[MÊS],$AE$1,tabela_registros[DIA],reservaoutrosconsolidado282935[[#Headers],[31]],tabela_registros[REGISTRO],DADOS!$N$6,tabela_registros[TIPO],DADOS!$AJ$5,tabela_registros[CATEGORIA],reservaoutrosconsolidado282935[[#This Row],[ATUAL]])</f>
        <v>0</v>
      </c>
      <c r="AJ212" s="149" t="n">
        <f aca="false">SUM(reservaoutrosconsolidado282935[[#This Row],[1]:[31]])</f>
        <v>0</v>
      </c>
      <c r="AK212" s="234"/>
      <c r="AL212" s="189"/>
    </row>
    <row r="213" customFormat="false" ht="19.5" hidden="false" customHeight="true" outlineLevel="0" collapsed="false">
      <c r="A213" s="189"/>
      <c r="B213" s="213"/>
      <c r="C213" s="214" t="str">
        <f aca="false">DADOS!$AP$10</f>
        <v>📎 OUTROS</v>
      </c>
      <c r="D213" s="215" t="str">
        <f aca="false">IF(reservaoutrosconsolidado282935[[#This Row],[TOTAL (R$)]]=0,"",IF(OR(reservaoutrosconsolidado282935[[#This Row],[TOTAL (R$)]]=LARGE($AJ$206:$AJ$213,1),reservaoutrosconsolidado282935[[#This Row],[TOTAL (R$)]]=LARGE($AJ$206:$AJ$213,2)),DADOS!$I$11,""))</f>
        <v/>
      </c>
      <c r="E213" s="148" t="n">
        <f aca="false">SUMIFS(tabela_registros[VALOR],tabela_registros[MÊS],$AE$1,tabela_registros[DIA],reservaoutrosconsolidado282935[[#Headers],[1]],tabela_registros[REGISTRO],DADOS!$N$6,tabela_registros[TIPO],DADOS!$AJ$5,tabela_registros[CATEGORIA],reservaoutrosconsolidado282935[[#This Row],[ATUAL]])</f>
        <v>0</v>
      </c>
      <c r="F213" s="119" t="n">
        <f aca="false">SUMIFS(tabela_registros[VALOR],tabela_registros[MÊS],$AE$1,tabela_registros[DIA],reservaoutrosconsolidado282935[[#Headers],[2]],tabela_registros[REGISTRO],DADOS!$N$6,tabela_registros[TIPO],DADOS!$AJ$5,tabela_registros[CATEGORIA],reservaoutrosconsolidado282935[[#This Row],[ATUAL]])</f>
        <v>0</v>
      </c>
      <c r="G213" s="119" t="n">
        <f aca="false">SUMIFS(tabela_registros[VALOR],tabela_registros[MÊS],$AE$1,tabela_registros[DIA],reservaoutrosconsolidado282935[[#Headers],[3]],tabela_registros[REGISTRO],DADOS!$N$6,tabela_registros[TIPO],DADOS!$AJ$5,tabela_registros[CATEGORIA],reservaoutrosconsolidado282935[[#This Row],[ATUAL]])</f>
        <v>0</v>
      </c>
      <c r="H213" s="119" t="n">
        <f aca="false">SUMIFS(tabela_registros[VALOR],tabela_registros[MÊS],$AE$1,tabela_registros[DIA],reservaoutrosconsolidado282935[[#Headers],[4]],tabela_registros[REGISTRO],DADOS!$N$6,tabela_registros[TIPO],DADOS!$AJ$5,tabela_registros[CATEGORIA],reservaoutrosconsolidado282935[[#This Row],[ATUAL]])</f>
        <v>0</v>
      </c>
      <c r="I213" s="119" t="n">
        <f aca="false">SUMIFS(tabela_registros[VALOR],tabela_registros[MÊS],$AE$1,tabela_registros[DIA],reservaoutrosconsolidado282935[[#Headers],[5]],tabela_registros[REGISTRO],DADOS!$N$6,tabela_registros[TIPO],DADOS!$AJ$5,tabela_registros[CATEGORIA],reservaoutrosconsolidado282935[[#This Row],[ATUAL]])</f>
        <v>0</v>
      </c>
      <c r="J213" s="119" t="n">
        <f aca="false">SUMIFS(tabela_registros[VALOR],tabela_registros[MÊS],$AE$1,tabela_registros[DIA],reservaoutrosconsolidado282935[[#Headers],[6]],tabela_registros[REGISTRO],DADOS!$N$6,tabela_registros[TIPO],DADOS!$AJ$5,tabela_registros[CATEGORIA],reservaoutrosconsolidado282935[[#This Row],[ATUAL]])</f>
        <v>0</v>
      </c>
      <c r="K213" s="119" t="n">
        <f aca="false">SUMIFS(tabela_registros[VALOR],tabela_registros[MÊS],$AE$1,tabela_registros[DIA],reservaoutrosconsolidado282935[[#Headers],[7]],tabela_registros[REGISTRO],DADOS!$N$6,tabela_registros[TIPO],DADOS!$AJ$5,tabela_registros[CATEGORIA],reservaoutrosconsolidado282935[[#This Row],[ATUAL]])</f>
        <v>0</v>
      </c>
      <c r="L213" s="119" t="n">
        <f aca="false">SUMIFS(tabela_registros[VALOR],tabela_registros[MÊS],$AE$1,tabela_registros[DIA],reservaoutrosconsolidado282935[[#Headers],[8]],tabela_registros[REGISTRO],DADOS!$N$6,tabela_registros[TIPO],DADOS!$AJ$5,tabela_registros[CATEGORIA],reservaoutrosconsolidado282935[[#This Row],[ATUAL]])</f>
        <v>0</v>
      </c>
      <c r="M213" s="119" t="n">
        <f aca="false">SUMIFS(tabela_registros[VALOR],tabela_registros[MÊS],$AE$1,tabela_registros[DIA],reservaoutrosconsolidado282935[[#Headers],[9]],tabela_registros[REGISTRO],DADOS!$N$6,tabela_registros[TIPO],DADOS!$AJ$5,tabela_registros[CATEGORIA],reservaoutrosconsolidado282935[[#This Row],[ATUAL]])</f>
        <v>0</v>
      </c>
      <c r="N213" s="119" t="n">
        <f aca="false">SUMIFS(tabela_registros[VALOR],tabela_registros[MÊS],$AE$1,tabela_registros[DIA],reservaoutrosconsolidado282935[[#Headers],[10]],tabela_registros[REGISTRO],DADOS!$N$6,tabela_registros[TIPO],DADOS!$AJ$5,tabela_registros[CATEGORIA],reservaoutrosconsolidado282935[[#This Row],[ATUAL]])</f>
        <v>0</v>
      </c>
      <c r="O213" s="119" t="n">
        <f aca="false">SUMIFS(tabela_registros[VALOR],tabela_registros[MÊS],$AE$1,tabela_registros[DIA],reservaoutrosconsolidado282935[[#Headers],[11]],tabela_registros[REGISTRO],DADOS!$N$6,tabela_registros[TIPO],DADOS!$AJ$5,tabela_registros[CATEGORIA],reservaoutrosconsolidado282935[[#This Row],[ATUAL]])</f>
        <v>0</v>
      </c>
      <c r="P213" s="119" t="n">
        <f aca="false">SUMIFS(tabela_registros[VALOR],tabela_registros[MÊS],$AE$1,tabela_registros[DIA],reservaoutrosconsolidado282935[[#Headers],[12]],tabela_registros[REGISTRO],DADOS!$N$6,tabela_registros[TIPO],DADOS!$AJ$5,tabela_registros[CATEGORIA],reservaoutrosconsolidado282935[[#This Row],[ATUAL]])</f>
        <v>0</v>
      </c>
      <c r="Q213" s="119" t="n">
        <f aca="false">SUMIFS(tabela_registros[VALOR],tabela_registros[MÊS],$AE$1,tabela_registros[DIA],reservaoutrosconsolidado282935[[#Headers],[13]],tabela_registros[REGISTRO],DADOS!$N$6,tabela_registros[TIPO],DADOS!$AJ$5,tabela_registros[CATEGORIA],reservaoutrosconsolidado282935[[#This Row],[ATUAL]])</f>
        <v>0</v>
      </c>
      <c r="R213" s="119" t="n">
        <f aca="false">SUMIFS(tabela_registros[VALOR],tabela_registros[MÊS],$AE$1,tabela_registros[DIA],reservaoutrosconsolidado282935[[#Headers],[14]],tabela_registros[REGISTRO],DADOS!$N$6,tabela_registros[TIPO],DADOS!$AJ$5,tabela_registros[CATEGORIA],reservaoutrosconsolidado282935[[#This Row],[ATUAL]])</f>
        <v>0</v>
      </c>
      <c r="S213" s="119" t="n">
        <f aca="false">SUMIFS(tabela_registros[VALOR],tabela_registros[MÊS],$AE$1,tabela_registros[DIA],reservaoutrosconsolidado282935[[#Headers],[15]],tabela_registros[REGISTRO],DADOS!$N$6,tabela_registros[TIPO],DADOS!$AJ$5,tabela_registros[CATEGORIA],reservaoutrosconsolidado282935[[#This Row],[ATUAL]])</f>
        <v>0</v>
      </c>
      <c r="T213" s="119" t="n">
        <f aca="false">SUMIFS(tabela_registros[VALOR],tabela_registros[MÊS],$AE$1,tabela_registros[DIA],reservaoutrosconsolidado282935[[#Headers],[16]],tabela_registros[REGISTRO],DADOS!$N$6,tabela_registros[TIPO],DADOS!$AJ$5,tabela_registros[CATEGORIA],reservaoutrosconsolidado282935[[#This Row],[ATUAL]])</f>
        <v>0</v>
      </c>
      <c r="U213" s="119" t="n">
        <f aca="false">SUMIFS(tabela_registros[VALOR],tabela_registros[MÊS],$AE$1,tabela_registros[DIA],reservaoutrosconsolidado282935[[#Headers],[17]],tabela_registros[REGISTRO],DADOS!$N$6,tabela_registros[TIPO],DADOS!$AJ$5,tabela_registros[CATEGORIA],reservaoutrosconsolidado282935[[#This Row],[ATUAL]])</f>
        <v>0</v>
      </c>
      <c r="V213" s="119" t="n">
        <f aca="false">SUMIFS(tabela_registros[VALOR],tabela_registros[MÊS],$AE$1,tabela_registros[DIA],reservaoutrosconsolidado282935[[#Headers],[18]],tabela_registros[REGISTRO],DADOS!$N$6,tabela_registros[TIPO],DADOS!$AJ$5,tabela_registros[CATEGORIA],reservaoutrosconsolidado282935[[#This Row],[ATUAL]])</f>
        <v>0</v>
      </c>
      <c r="W213" s="119" t="n">
        <f aca="false">SUMIFS(tabela_registros[VALOR],tabela_registros[MÊS],$AE$1,tabela_registros[DIA],reservaoutrosconsolidado282935[[#Headers],[19]],tabela_registros[REGISTRO],DADOS!$N$6,tabela_registros[TIPO],DADOS!$AJ$5,tabela_registros[CATEGORIA],reservaoutrosconsolidado282935[[#This Row],[ATUAL]])</f>
        <v>0</v>
      </c>
      <c r="X213" s="119" t="n">
        <f aca="false">SUMIFS(tabela_registros[VALOR],tabela_registros[MÊS],$AE$1,tabela_registros[DIA],reservaoutrosconsolidado282935[[#Headers],[20]],tabela_registros[REGISTRO],DADOS!$N$6,tabela_registros[TIPO],DADOS!$AJ$5,tabela_registros[CATEGORIA],reservaoutrosconsolidado282935[[#This Row],[ATUAL]])</f>
        <v>0</v>
      </c>
      <c r="Y213" s="119" t="n">
        <f aca="false">SUMIFS(tabela_registros[VALOR],tabela_registros[MÊS],$AE$1,tabela_registros[DIA],reservaoutrosconsolidado282935[[#Headers],[21]],tabela_registros[REGISTRO],DADOS!$N$6,tabela_registros[TIPO],DADOS!$AJ$5,tabela_registros[CATEGORIA],reservaoutrosconsolidado282935[[#This Row],[ATUAL]])</f>
        <v>0</v>
      </c>
      <c r="Z213" s="119" t="n">
        <f aca="false">SUMIFS(tabela_registros[VALOR],tabela_registros[MÊS],$AE$1,tabela_registros[DIA],reservaoutrosconsolidado282935[[#Headers],[22]],tabela_registros[REGISTRO],DADOS!$N$6,tabela_registros[TIPO],DADOS!$AJ$5,tabela_registros[CATEGORIA],reservaoutrosconsolidado282935[[#This Row],[ATUAL]])</f>
        <v>0</v>
      </c>
      <c r="AA213" s="119" t="n">
        <f aca="false">SUMIFS(tabela_registros[VALOR],tabela_registros[MÊS],$AE$1,tabela_registros[DIA],reservaoutrosconsolidado282935[[#Headers],[23]],tabela_registros[REGISTRO],DADOS!$N$6,tabela_registros[TIPO],DADOS!$AJ$5,tabela_registros[CATEGORIA],reservaoutrosconsolidado282935[[#This Row],[ATUAL]])</f>
        <v>0</v>
      </c>
      <c r="AB213" s="119" t="n">
        <f aca="false">SUMIFS(tabela_registros[VALOR],tabela_registros[MÊS],$AE$1,tabela_registros[DIA],reservaoutrosconsolidado282935[[#Headers],[24]],tabela_registros[REGISTRO],DADOS!$N$6,tabela_registros[TIPO],DADOS!$AJ$5,tabela_registros[CATEGORIA],reservaoutrosconsolidado282935[[#This Row],[ATUAL]])</f>
        <v>0</v>
      </c>
      <c r="AC213" s="119" t="n">
        <f aca="false">SUMIFS(tabela_registros[VALOR],tabela_registros[MÊS],$AE$1,tabela_registros[DIA],reservaoutrosconsolidado282935[[#Headers],[25]],tabela_registros[REGISTRO],DADOS!$N$6,tabela_registros[TIPO],DADOS!$AJ$5,tabela_registros[CATEGORIA],reservaoutrosconsolidado282935[[#This Row],[ATUAL]])</f>
        <v>0</v>
      </c>
      <c r="AD213" s="119" t="n">
        <f aca="false">SUMIFS(tabela_registros[VALOR],tabela_registros[MÊS],$AE$1,tabela_registros[DIA],reservaoutrosconsolidado282935[[#Headers],[26]],tabela_registros[REGISTRO],DADOS!$N$6,tabela_registros[TIPO],DADOS!$AJ$5,tabela_registros[CATEGORIA],reservaoutrosconsolidado282935[[#This Row],[ATUAL]])</f>
        <v>0</v>
      </c>
      <c r="AE213" s="119" t="n">
        <f aca="false">SUMIFS(tabela_registros[VALOR],tabela_registros[MÊS],$AE$1,tabela_registros[DIA],reservaoutrosconsolidado282935[[#Headers],[27]],tabela_registros[REGISTRO],DADOS!$N$6,tabela_registros[TIPO],DADOS!$AJ$5,tabela_registros[CATEGORIA],reservaoutrosconsolidado282935[[#This Row],[ATUAL]])</f>
        <v>0</v>
      </c>
      <c r="AF213" s="119" t="n">
        <f aca="false">SUMIFS(tabela_registros[VALOR],tabela_registros[MÊS],$AE$1,tabela_registros[DIA],reservaoutrosconsolidado282935[[#Headers],[28]],tabela_registros[REGISTRO],DADOS!$N$6,tabela_registros[TIPO],DADOS!$AJ$5,tabela_registros[CATEGORIA],reservaoutrosconsolidado282935[[#This Row],[ATUAL]])</f>
        <v>0</v>
      </c>
      <c r="AG213" s="119" t="n">
        <f aca="false">SUMIFS(tabela_registros[VALOR],tabela_registros[MÊS],$AE$1,tabela_registros[DIA],reservaoutrosconsolidado282935[[#Headers],[29]],tabela_registros[REGISTRO],DADOS!$N$6,tabela_registros[TIPO],DADOS!$AJ$5,tabela_registros[CATEGORIA],reservaoutrosconsolidado282935[[#This Row],[ATUAL]])</f>
        <v>0</v>
      </c>
      <c r="AH213" s="119" t="n">
        <f aca="false">SUMIFS(tabela_registros[VALOR],tabela_registros[MÊS],$AE$1,tabela_registros[DIA],reservaoutrosconsolidado282935[[#Headers],[30]],tabela_registros[REGISTRO],DADOS!$N$6,tabela_registros[TIPO],DADOS!$AJ$5,tabela_registros[CATEGORIA],reservaoutrosconsolidado282935[[#This Row],[ATUAL]])</f>
        <v>0</v>
      </c>
      <c r="AI213" s="218" t="n">
        <f aca="false">SUMIFS(tabela_registros[VALOR],tabela_registros[MÊS],$AE$1,tabela_registros[DIA],reservaoutrosconsolidado282935[[#Headers],[31]],tabela_registros[REGISTRO],DADOS!$N$6,tabela_registros[TIPO],DADOS!$AJ$5,tabela_registros[CATEGORIA],reservaoutrosconsolidado282935[[#This Row],[ATUAL]])</f>
        <v>0</v>
      </c>
      <c r="AJ213" s="149" t="n">
        <f aca="false">SUM(reservaoutrosconsolidado282935[[#This Row],[1]:[31]])</f>
        <v>0</v>
      </c>
      <c r="AK213" s="234"/>
      <c r="AL213" s="189"/>
    </row>
    <row r="214" s="122" customFormat="true" ht="21" hidden="false" customHeight="true" outlineLevel="0" collapsed="false">
      <c r="A214" s="199"/>
      <c r="B214" s="220"/>
      <c r="C214" s="221" t="s">
        <v>2</v>
      </c>
      <c r="D214" s="235"/>
      <c r="E214" s="155" t="n">
        <f aca="false">SUM(E206:E213)</f>
        <v>0</v>
      </c>
      <c r="F214" s="156" t="n">
        <f aca="false">SUM(F206:F213)+reservaoutrosconsolidado282935[[#This Row],[1]]</f>
        <v>0</v>
      </c>
      <c r="G214" s="156" t="n">
        <f aca="false">SUM(G206:G213)+reservaoutrosconsolidado282935[[#This Row],[2]]</f>
        <v>0</v>
      </c>
      <c r="H214" s="156" t="n">
        <f aca="false">SUM(H206:H213)+reservaoutrosconsolidado282935[[#This Row],[3]]</f>
        <v>0</v>
      </c>
      <c r="I214" s="156" t="n">
        <f aca="false">SUM(I206:I213)+reservaoutrosconsolidado282935[[#This Row],[4]]</f>
        <v>0</v>
      </c>
      <c r="J214" s="156" t="n">
        <f aca="false">SUM(J206:J213)+reservaoutrosconsolidado282935[[#This Row],[5]]</f>
        <v>0</v>
      </c>
      <c r="K214" s="156" t="n">
        <f aca="false">SUM(K206:K213)+reservaoutrosconsolidado282935[[#This Row],[6]]</f>
        <v>0</v>
      </c>
      <c r="L214" s="156" t="n">
        <f aca="false">SUM(L206:L213)+reservaoutrosconsolidado282935[[#This Row],[7]]</f>
        <v>0</v>
      </c>
      <c r="M214" s="156" t="n">
        <f aca="false">SUM(M206:M213)+reservaoutrosconsolidado282935[[#This Row],[8]]</f>
        <v>0</v>
      </c>
      <c r="N214" s="156" t="n">
        <f aca="false">SUM(N206:N213)+reservaoutrosconsolidado282935[[#This Row],[9]]</f>
        <v>0</v>
      </c>
      <c r="O214" s="156" t="n">
        <f aca="false">SUM(O206:O213)+reservaoutrosconsolidado282935[[#This Row],[10]]</f>
        <v>0</v>
      </c>
      <c r="P214" s="156" t="n">
        <f aca="false">SUM(P206:P213)+reservaoutrosconsolidado282935[[#This Row],[11]]</f>
        <v>0</v>
      </c>
      <c r="Q214" s="156" t="n">
        <f aca="false">SUM(Q206:Q213)+reservaoutrosconsolidado282935[[#This Row],[12]]</f>
        <v>0</v>
      </c>
      <c r="R214" s="156" t="n">
        <f aca="false">SUM(R206:R213)+reservaoutrosconsolidado282935[[#This Row],[13]]</f>
        <v>0</v>
      </c>
      <c r="S214" s="156" t="n">
        <f aca="false">SUM(S206:S213)+reservaoutrosconsolidado282935[[#This Row],[14]]</f>
        <v>0</v>
      </c>
      <c r="T214" s="156" t="n">
        <f aca="false">SUM(T206:T213)+reservaoutrosconsolidado282935[[#This Row],[15]]</f>
        <v>0</v>
      </c>
      <c r="U214" s="156" t="n">
        <f aca="false">SUM(U206:U213)+reservaoutrosconsolidado282935[[#This Row],[16]]</f>
        <v>0</v>
      </c>
      <c r="V214" s="156" t="n">
        <f aca="false">SUM(V206:V213)+reservaoutrosconsolidado282935[[#This Row],[17]]</f>
        <v>0</v>
      </c>
      <c r="W214" s="156" t="n">
        <f aca="false">SUM(W206:W213)+reservaoutrosconsolidado282935[[#This Row],[18]]</f>
        <v>0</v>
      </c>
      <c r="X214" s="156" t="n">
        <f aca="false">SUM(X206:X213)+reservaoutrosconsolidado282935[[#This Row],[19]]</f>
        <v>0</v>
      </c>
      <c r="Y214" s="156" t="n">
        <f aca="false">SUM(Y206:Y213)+reservaoutrosconsolidado282935[[#This Row],[20]]</f>
        <v>0</v>
      </c>
      <c r="Z214" s="156" t="n">
        <f aca="false">SUM(Z206:Z213)+reservaoutrosconsolidado282935[[#This Row],[21]]</f>
        <v>0</v>
      </c>
      <c r="AA214" s="156" t="n">
        <f aca="false">SUM(AA206:AA213)+reservaoutrosconsolidado282935[[#This Row],[22]]</f>
        <v>0</v>
      </c>
      <c r="AB214" s="156" t="n">
        <f aca="false">SUM(AB206:AB213)+reservaoutrosconsolidado282935[[#This Row],[23]]</f>
        <v>0</v>
      </c>
      <c r="AC214" s="156" t="n">
        <f aca="false">SUM(AC206:AC213)+reservaoutrosconsolidado282935[[#This Row],[24]]</f>
        <v>0</v>
      </c>
      <c r="AD214" s="156" t="n">
        <f aca="false">SUM(AD206:AD213)+reservaoutrosconsolidado282935[[#This Row],[25]]</f>
        <v>0</v>
      </c>
      <c r="AE214" s="156" t="n">
        <f aca="false">SUM(AE206:AE213)+reservaoutrosconsolidado282935[[#This Row],[26]]</f>
        <v>0</v>
      </c>
      <c r="AF214" s="156" t="n">
        <f aca="false">SUM(AF206:AF213)+reservaoutrosconsolidado282935[[#This Row],[27]]</f>
        <v>0</v>
      </c>
      <c r="AG214" s="156" t="n">
        <f aca="false">SUM(AG206:AG213)+reservaoutrosconsolidado282935[[#This Row],[28]]</f>
        <v>0</v>
      </c>
      <c r="AH214" s="156" t="n">
        <f aca="false">SUM(AH206:AH213)+reservaoutrosconsolidado282935[[#This Row],[29]]</f>
        <v>0</v>
      </c>
      <c r="AI214" s="223" t="n">
        <f aca="false">SUM(AI206:AI213)+reservaoutrosconsolidado282935[[#This Row],[30]]</f>
        <v>0</v>
      </c>
      <c r="AJ214" s="157" t="n">
        <f aca="false">reservaoutrosconsolidado282935[[#This Row],[31]]</f>
        <v>0</v>
      </c>
      <c r="AK214" s="224"/>
      <c r="AL214" s="199"/>
    </row>
    <row r="215" customFormat="false" ht="6.75" hidden="false" customHeight="true" outlineLevel="0" collapsed="false">
      <c r="A215" s="189"/>
      <c r="B215" s="185"/>
      <c r="C215" s="231"/>
      <c r="D215" s="232"/>
      <c r="E215" s="232"/>
      <c r="F215" s="232"/>
      <c r="G215" s="232"/>
      <c r="H215" s="232"/>
      <c r="I215" s="232"/>
      <c r="J215" s="232"/>
      <c r="K215" s="232"/>
      <c r="L215" s="232"/>
      <c r="M215" s="232"/>
      <c r="N215" s="232"/>
      <c r="O215" s="232"/>
      <c r="P215" s="232"/>
      <c r="Q215" s="232"/>
      <c r="R215" s="232"/>
      <c r="S215" s="232"/>
      <c r="T215" s="232"/>
      <c r="U215" s="232"/>
      <c r="V215" s="232"/>
      <c r="W215" s="232"/>
      <c r="X215" s="232"/>
      <c r="Y215" s="232"/>
      <c r="Z215" s="232"/>
      <c r="AA215" s="232"/>
      <c r="AB215" s="232"/>
      <c r="AC215" s="232"/>
      <c r="AD215" s="232"/>
      <c r="AE215" s="232"/>
      <c r="AF215" s="232"/>
      <c r="AG215" s="232"/>
      <c r="AH215" s="232"/>
      <c r="AI215" s="233"/>
      <c r="AJ215" s="236"/>
      <c r="AK215" s="228"/>
      <c r="AL215" s="189"/>
    </row>
    <row r="216" customFormat="false" ht="12.75" hidden="false" customHeight="false" outlineLevel="0" collapsed="false">
      <c r="A216" s="189"/>
      <c r="B216" s="189"/>
      <c r="C216" s="189"/>
      <c r="D216" s="189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  <c r="X216" s="189"/>
      <c r="Y216" s="189"/>
      <c r="Z216" s="189"/>
      <c r="AA216" s="189"/>
      <c r="AB216" s="189"/>
      <c r="AC216" s="189"/>
      <c r="AD216" s="189"/>
      <c r="AE216" s="189"/>
      <c r="AF216" s="189"/>
      <c r="AG216" s="189"/>
      <c r="AH216" s="189"/>
      <c r="AJ216" s="189"/>
      <c r="AK216" s="189"/>
      <c r="AL216" s="189"/>
    </row>
    <row r="217" customFormat="false" ht="12" hidden="false" customHeight="false" outlineLevel="0" collapsed="false">
      <c r="A217" s="189"/>
      <c r="B217" s="189"/>
      <c r="C217" s="189"/>
      <c r="D217" s="189"/>
      <c r="E217" s="189"/>
      <c r="F217" s="189"/>
      <c r="G217" s="189"/>
      <c r="H217" s="189"/>
      <c r="I217" s="189"/>
      <c r="J217" s="189"/>
      <c r="K217" s="189"/>
      <c r="L217" s="189"/>
      <c r="M217" s="189"/>
      <c r="N217" s="189"/>
      <c r="O217" s="189"/>
      <c r="P217" s="189"/>
      <c r="Q217" s="189"/>
      <c r="R217" s="189"/>
      <c r="S217" s="189"/>
      <c r="T217" s="189"/>
      <c r="U217" s="189"/>
      <c r="V217" s="189"/>
      <c r="W217" s="189"/>
      <c r="X217" s="189"/>
      <c r="Y217" s="189"/>
      <c r="Z217" s="189"/>
      <c r="AA217" s="189"/>
      <c r="AB217" s="189"/>
      <c r="AC217" s="189"/>
      <c r="AD217" s="189"/>
      <c r="AE217" s="189"/>
      <c r="AF217" s="189"/>
      <c r="AG217" s="189"/>
      <c r="AH217" s="189"/>
      <c r="AJ217" s="189"/>
      <c r="AK217" s="189"/>
      <c r="AL217" s="189"/>
    </row>
  </sheetData>
  <sheetProtection algorithmName="SHA-512" hashValue="rWT1vJ3MFPBS/jydVcVsZZut09yyPRaB+hs2TgkK0FZVoJCuchARC1GIssn93/yLoKSGOz3hLHR7cHS8j83Z4w==" saltValue="W+v9ErJH8msp0FhC8/6zSQ==" spinCount="100000" sheet="true" objects="true" scenarios="true" selectLockedCells="true" selectUnlockedCells="true"/>
  <mergeCells count="26">
    <mergeCell ref="C2:C6"/>
    <mergeCell ref="E3:G3"/>
    <mergeCell ref="I3:K3"/>
    <mergeCell ref="M3:O3"/>
    <mergeCell ref="Q3:S3"/>
    <mergeCell ref="U3:W3"/>
    <mergeCell ref="Z3:AA4"/>
    <mergeCell ref="AC3:AD4"/>
    <mergeCell ref="AF3:AG4"/>
    <mergeCell ref="E4:G4"/>
    <mergeCell ref="I4:K4"/>
    <mergeCell ref="M4:O4"/>
    <mergeCell ref="Q4:S4"/>
    <mergeCell ref="U4:W4"/>
    <mergeCell ref="E10:AI10"/>
    <mergeCell ref="E21:AI21"/>
    <mergeCell ref="E33:AI33"/>
    <mergeCell ref="E56:AI56"/>
    <mergeCell ref="E78:AI78"/>
    <mergeCell ref="E92:AI92"/>
    <mergeCell ref="E109:AI109"/>
    <mergeCell ref="E128:AI128"/>
    <mergeCell ref="E147:AI147"/>
    <mergeCell ref="E164:AI164"/>
    <mergeCell ref="E183:AI183"/>
    <mergeCell ref="E202:AI202"/>
  </mergeCells>
  <hyperlinks>
    <hyperlink ref="Z3" location="'🔒'!A1" display="REGISTROS"/>
    <hyperlink ref="AC3" location="'📈'!A1" display="RADAR"/>
    <hyperlink ref="AF3" location="ANUAL!A1" display="ANUA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17"/>
  <sheetViews>
    <sheetView showFormulas="false" showGridLines="false" showRowColHeaders="false" showZeros="true" rightToLeft="false" tabSelected="true" showOutlineSymbols="true" defaultGridColor="true" view="normal" topLeftCell="A1" colorId="64" zoomScale="85" zoomScaleNormal="85" zoomScalePageLayoutView="100" workbookViewId="0">
      <pane xSplit="3" ySplit="6" topLeftCell="D68" activePane="bottomRight" state="frozen"/>
      <selection pane="topLeft" activeCell="A1" activeCellId="0" sqref="A1"/>
      <selection pane="topRight" activeCell="D1" activeCellId="0" sqref="D1"/>
      <selection pane="bottomLeft" activeCell="A68" activeCellId="0" sqref="A68"/>
      <selection pane="bottomRight" activeCell="D24" activeCellId="0" sqref="D24"/>
    </sheetView>
  </sheetViews>
  <sheetFormatPr defaultColWidth="2.1484375" defaultRowHeight="12" zeroHeight="true" outlineLevelRow="0" outlineLevelCol="0"/>
  <cols>
    <col collapsed="false" customWidth="false" hidden="false" outlineLevel="0" max="1" min="1" style="78" width="2.14"/>
    <col collapsed="false" customWidth="true" hidden="false" outlineLevel="0" max="2" min="2" style="78" width="1.58"/>
    <col collapsed="false" customWidth="true" hidden="false" outlineLevel="0" max="3" min="3" style="78" width="29.29"/>
    <col collapsed="false" customWidth="true" hidden="false" outlineLevel="0" max="4" min="4" style="78" width="4.71"/>
    <col collapsed="false" customWidth="true" hidden="false" outlineLevel="0" max="33" min="5" style="78" width="5.57"/>
    <col collapsed="false" customWidth="true" hidden="true" outlineLevel="0" max="34" min="34" style="78" width="5.57"/>
    <col collapsed="false" customWidth="true" hidden="true" outlineLevel="0" max="35" min="35" style="167" width="5.57"/>
    <col collapsed="false" customWidth="true" hidden="false" outlineLevel="0" max="36" min="36" style="78" width="9.58"/>
    <col collapsed="false" customWidth="true" hidden="false" outlineLevel="0" max="37" min="37" style="78" width="1.58"/>
    <col collapsed="false" customWidth="true" hidden="false" outlineLevel="0" max="38" min="38" style="78" width="2"/>
    <col collapsed="false" customWidth="false" hidden="true" outlineLevel="0" max="1024" min="39" style="78" width="2.14"/>
  </cols>
  <sheetData>
    <row r="1" customFormat="false" ht="29.25" hidden="true" customHeight="true" outlineLevel="0" collapsed="false">
      <c r="A1" s="81"/>
      <c r="B1" s="81"/>
      <c r="C1" s="81"/>
      <c r="D1" s="82"/>
      <c r="AD1" s="78" t="s">
        <v>19</v>
      </c>
      <c r="AE1" s="168" t="n">
        <v>2</v>
      </c>
      <c r="AH1" s="78" t="s">
        <v>42</v>
      </c>
      <c r="AI1" s="169" t="n">
        <f aca="false">IF('⚙️'!$Q$3=$AE$1,'⚙️'!$F$13,0)</f>
        <v>0</v>
      </c>
      <c r="AK1" s="169"/>
    </row>
    <row r="2" customFormat="false" ht="15.75" hidden="false" customHeight="true" outlineLevel="0" collapsed="false">
      <c r="A2" s="84"/>
      <c r="B2" s="84"/>
      <c r="C2" s="85" t="s">
        <v>100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7"/>
      <c r="U2" s="87"/>
      <c r="V2" s="87"/>
      <c r="W2" s="87"/>
      <c r="X2" s="87"/>
      <c r="Y2" s="87"/>
      <c r="Z2" s="87"/>
      <c r="AA2" s="87"/>
      <c r="AB2" s="87"/>
      <c r="AC2" s="238"/>
      <c r="AD2" s="239"/>
      <c r="AE2" s="239"/>
      <c r="AF2" s="239"/>
      <c r="AG2" s="239"/>
      <c r="AH2" s="239"/>
      <c r="AI2" s="239"/>
      <c r="AJ2" s="239"/>
      <c r="AK2" s="239"/>
      <c r="AL2" s="239"/>
    </row>
    <row r="3" s="180" customFormat="true" ht="18" hidden="false" customHeight="true" outlineLevel="0" collapsed="false">
      <c r="A3" s="89"/>
      <c r="B3" s="89"/>
      <c r="C3" s="85"/>
      <c r="D3" s="86"/>
      <c r="E3" s="90" t="s">
        <v>45</v>
      </c>
      <c r="F3" s="90"/>
      <c r="G3" s="90"/>
      <c r="H3" s="87"/>
      <c r="I3" s="90" t="s">
        <v>46</v>
      </c>
      <c r="J3" s="90"/>
      <c r="K3" s="90"/>
      <c r="L3" s="87"/>
      <c r="M3" s="90" t="s">
        <v>47</v>
      </c>
      <c r="N3" s="90"/>
      <c r="O3" s="90"/>
      <c r="P3" s="87"/>
      <c r="Q3" s="90" t="s">
        <v>48</v>
      </c>
      <c r="R3" s="90"/>
      <c r="S3" s="90"/>
      <c r="T3" s="87"/>
      <c r="U3" s="90" t="s">
        <v>49</v>
      </c>
      <c r="V3" s="90"/>
      <c r="W3" s="90"/>
      <c r="X3" s="87"/>
      <c r="Y3" s="87"/>
      <c r="Z3" s="178" t="s">
        <v>50</v>
      </c>
      <c r="AA3" s="178"/>
      <c r="AB3" s="239"/>
      <c r="AC3" s="178" t="s">
        <v>51</v>
      </c>
      <c r="AD3" s="178"/>
      <c r="AE3" s="239"/>
      <c r="AF3" s="178" t="s">
        <v>17</v>
      </c>
      <c r="AG3" s="178"/>
      <c r="AH3" s="240"/>
      <c r="AI3" s="240"/>
      <c r="AJ3" s="240"/>
      <c r="AK3" s="239"/>
      <c r="AL3" s="239"/>
    </row>
    <row r="4" s="180" customFormat="true" ht="18" hidden="false" customHeight="true" outlineLevel="0" collapsed="false">
      <c r="A4" s="89"/>
      <c r="B4" s="89"/>
      <c r="C4" s="85"/>
      <c r="D4" s="86"/>
      <c r="E4" s="94" t="n">
        <f aca="false">$AJ$16</f>
        <v>0</v>
      </c>
      <c r="F4" s="94"/>
      <c r="G4" s="94"/>
      <c r="H4" s="87"/>
      <c r="I4" s="94" t="n">
        <f aca="false">$AJ$14</f>
        <v>0</v>
      </c>
      <c r="J4" s="94"/>
      <c r="K4" s="94"/>
      <c r="L4" s="87"/>
      <c r="M4" s="94" t="n">
        <f aca="false">$AJ$15</f>
        <v>0</v>
      </c>
      <c r="N4" s="94"/>
      <c r="O4" s="94"/>
      <c r="P4" s="87"/>
      <c r="Q4" s="94" t="n">
        <f aca="false">$AJ$25</f>
        <v>0</v>
      </c>
      <c r="R4" s="94"/>
      <c r="S4" s="94"/>
      <c r="T4" s="87"/>
      <c r="U4" s="94" t="n">
        <f aca="false">$AJ$26</f>
        <v>0</v>
      </c>
      <c r="V4" s="94"/>
      <c r="W4" s="94"/>
      <c r="X4" s="87"/>
      <c r="Y4" s="87"/>
      <c r="Z4" s="178"/>
      <c r="AA4" s="178"/>
      <c r="AB4" s="239"/>
      <c r="AC4" s="178"/>
      <c r="AD4" s="178"/>
      <c r="AE4" s="239"/>
      <c r="AF4" s="178"/>
      <c r="AG4" s="178"/>
      <c r="AH4" s="240"/>
      <c r="AI4" s="240"/>
      <c r="AJ4" s="240"/>
      <c r="AK4" s="239"/>
      <c r="AL4" s="239"/>
    </row>
    <row r="5" customFormat="false" ht="11.25" hidden="false" customHeight="true" outlineLevel="0" collapsed="false">
      <c r="A5" s="89"/>
      <c r="B5" s="89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7"/>
      <c r="Y5" s="86"/>
      <c r="Z5" s="86"/>
      <c r="AA5" s="87"/>
      <c r="AB5" s="87"/>
      <c r="AC5" s="241"/>
      <c r="AD5" s="242"/>
      <c r="AE5" s="242"/>
      <c r="AF5" s="242"/>
      <c r="AG5" s="242"/>
      <c r="AH5" s="242"/>
      <c r="AI5" s="242"/>
      <c r="AJ5" s="239"/>
      <c r="AK5" s="239"/>
      <c r="AL5" s="239"/>
    </row>
    <row r="6" customFormat="false" ht="13.5" hidden="false" customHeight="true" outlineLevel="0" collapsed="false">
      <c r="A6" s="96"/>
      <c r="B6" s="96"/>
      <c r="C6" s="85"/>
      <c r="D6" s="97"/>
      <c r="E6" s="98" t="s">
        <v>30</v>
      </c>
      <c r="F6" s="98" t="s">
        <v>31</v>
      </c>
      <c r="G6" s="99" t="s">
        <v>32</v>
      </c>
      <c r="H6" s="99" t="s">
        <v>33</v>
      </c>
      <c r="I6" s="99" t="s">
        <v>34</v>
      </c>
      <c r="J6" s="99" t="s">
        <v>35</v>
      </c>
      <c r="K6" s="99" t="s">
        <v>36</v>
      </c>
      <c r="L6" s="99" t="s">
        <v>37</v>
      </c>
      <c r="M6" s="99" t="s">
        <v>38</v>
      </c>
      <c r="N6" s="99" t="s">
        <v>39</v>
      </c>
      <c r="O6" s="99" t="s">
        <v>40</v>
      </c>
      <c r="P6" s="99" t="s">
        <v>41</v>
      </c>
      <c r="Q6" s="99" t="s">
        <v>81</v>
      </c>
      <c r="R6" s="99" t="s">
        <v>82</v>
      </c>
      <c r="S6" s="99" t="s">
        <v>83</v>
      </c>
      <c r="T6" s="99" t="s">
        <v>84</v>
      </c>
      <c r="U6" s="99" t="s">
        <v>85</v>
      </c>
      <c r="V6" s="99" t="s">
        <v>86</v>
      </c>
      <c r="W6" s="99" t="s">
        <v>87</v>
      </c>
      <c r="X6" s="99" t="s">
        <v>88</v>
      </c>
      <c r="Y6" s="99" t="s">
        <v>89</v>
      </c>
      <c r="Z6" s="99" t="s">
        <v>90</v>
      </c>
      <c r="AA6" s="99" t="s">
        <v>91</v>
      </c>
      <c r="AB6" s="99" t="s">
        <v>92</v>
      </c>
      <c r="AC6" s="99" t="s">
        <v>93</v>
      </c>
      <c r="AD6" s="99" t="s">
        <v>94</v>
      </c>
      <c r="AE6" s="99" t="s">
        <v>95</v>
      </c>
      <c r="AF6" s="99" t="s">
        <v>96</v>
      </c>
      <c r="AG6" s="99" t="s">
        <v>97</v>
      </c>
      <c r="AH6" s="99" t="s">
        <v>98</v>
      </c>
      <c r="AI6" s="243" t="s">
        <v>99</v>
      </c>
      <c r="AJ6" s="239"/>
      <c r="AK6" s="239"/>
      <c r="AL6" s="239"/>
    </row>
    <row r="7" s="78" customFormat="true" ht="12.75" hidden="false" customHeight="false" outlineLevel="0" collapsed="false">
      <c r="E7" s="100"/>
    </row>
    <row r="8" s="78" customFormat="true" ht="12" hidden="false" customHeight="false" outlineLevel="0" collapsed="false"/>
    <row r="9" s="78" customFormat="true" ht="12" hidden="false" customHeight="false" outlineLevel="0" collapsed="false"/>
    <row r="10" customFormat="false" ht="39.75" hidden="false" customHeight="true" outlineLevel="0" collapsed="false">
      <c r="C10" s="101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3" t="s">
        <v>2</v>
      </c>
    </row>
    <row r="11" s="78" customFormat="true" ht="12.75" hidden="false" customHeight="false" outlineLevel="0" collapsed="false">
      <c r="AJ11" s="106" t="s">
        <v>64</v>
      </c>
    </row>
    <row r="12" customFormat="false" ht="6.75" hidden="false" customHeight="tru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94"/>
      <c r="AK12" s="107"/>
    </row>
    <row r="13" customFormat="false" ht="13.5" hidden="true" customHeight="false" outlineLevel="0" collapsed="false">
      <c r="B13" s="86"/>
      <c r="C13" s="109" t="s">
        <v>68</v>
      </c>
      <c r="D13" s="110" t="s">
        <v>69</v>
      </c>
      <c r="E13" s="110" t="s">
        <v>30</v>
      </c>
      <c r="F13" s="110" t="s">
        <v>31</v>
      </c>
      <c r="G13" s="110" t="s">
        <v>32</v>
      </c>
      <c r="H13" s="110" t="s">
        <v>33</v>
      </c>
      <c r="I13" s="110" t="s">
        <v>34</v>
      </c>
      <c r="J13" s="110" t="s">
        <v>35</v>
      </c>
      <c r="K13" s="110" t="s">
        <v>36</v>
      </c>
      <c r="L13" s="110" t="s">
        <v>37</v>
      </c>
      <c r="M13" s="110" t="s">
        <v>38</v>
      </c>
      <c r="N13" s="110" t="s">
        <v>39</v>
      </c>
      <c r="O13" s="110" t="s">
        <v>40</v>
      </c>
      <c r="P13" s="110" t="s">
        <v>41</v>
      </c>
      <c r="Q13" s="110" t="s">
        <v>81</v>
      </c>
      <c r="R13" s="110" t="s">
        <v>82</v>
      </c>
      <c r="S13" s="110" t="s">
        <v>83</v>
      </c>
      <c r="T13" s="110" t="s">
        <v>84</v>
      </c>
      <c r="U13" s="110" t="s">
        <v>85</v>
      </c>
      <c r="V13" s="110" t="s">
        <v>86</v>
      </c>
      <c r="W13" s="110" t="s">
        <v>87</v>
      </c>
      <c r="X13" s="110" t="s">
        <v>88</v>
      </c>
      <c r="Y13" s="110" t="s">
        <v>89</v>
      </c>
      <c r="Z13" s="110" t="s">
        <v>90</v>
      </c>
      <c r="AA13" s="110" t="s">
        <v>91</v>
      </c>
      <c r="AB13" s="110" t="s">
        <v>92</v>
      </c>
      <c r="AC13" s="110" t="s">
        <v>93</v>
      </c>
      <c r="AD13" s="110" t="s">
        <v>94</v>
      </c>
      <c r="AE13" s="110" t="s">
        <v>95</v>
      </c>
      <c r="AF13" s="110" t="s">
        <v>96</v>
      </c>
      <c r="AG13" s="110" t="s">
        <v>97</v>
      </c>
      <c r="AH13" s="110" t="s">
        <v>98</v>
      </c>
      <c r="AI13" s="110" t="s">
        <v>99</v>
      </c>
      <c r="AJ13" s="111" t="s">
        <v>70</v>
      </c>
      <c r="AK13" s="107"/>
    </row>
    <row r="14" customFormat="false" ht="19.5" hidden="false" customHeight="true" outlineLevel="0" collapsed="false">
      <c r="B14" s="107"/>
      <c r="C14" s="112" t="s">
        <v>71</v>
      </c>
      <c r="D14" s="113"/>
      <c r="E14" s="114" t="n">
        <f aca="false">SUMIFS(tabela_registros[VALOR],tabela_registros[MÊS],$AE$1,tabela_registros[DIA],fevtotal30[[#Headers],[1]],tabela_registros[REGISTRO],DADOS!$N$3)</f>
        <v>0</v>
      </c>
      <c r="F14" s="114" t="n">
        <f aca="false">SUMIFS(tabela_registros[VALOR],tabela_registros[MÊS],$AE$1,tabela_registros[DIA],fevtotal30[[#Headers],[2]],tabela_registros[REGISTRO],DADOS!$N$3)</f>
        <v>0</v>
      </c>
      <c r="G14" s="114" t="n">
        <f aca="false">SUMIFS(tabela_registros[VALOR],tabela_registros[MÊS],$AE$1,tabela_registros[DIA],fevtotal30[[#Headers],[3]],tabela_registros[REGISTRO],DADOS!$N$3)</f>
        <v>0</v>
      </c>
      <c r="H14" s="114" t="n">
        <f aca="false">SUMIFS(tabela_registros[VALOR],tabela_registros[MÊS],$AE$1,tabela_registros[DIA],fevtotal30[[#Headers],[4]],tabela_registros[REGISTRO],DADOS!$N$3)</f>
        <v>0</v>
      </c>
      <c r="I14" s="114" t="n">
        <f aca="false">SUMIFS(tabela_registros[VALOR],tabela_registros[MÊS],$AE$1,tabela_registros[DIA],fevtotal30[[#Headers],[5]],tabela_registros[REGISTRO],DADOS!$N$3)</f>
        <v>0</v>
      </c>
      <c r="J14" s="114" t="n">
        <f aca="false">SUMIFS(tabela_registros[VALOR],tabela_registros[MÊS],$AE$1,tabela_registros[DIA],fevtotal30[[#Headers],[6]],tabela_registros[REGISTRO],DADOS!$N$3)</f>
        <v>0</v>
      </c>
      <c r="K14" s="114" t="n">
        <f aca="false">SUMIFS(tabela_registros[VALOR],tabela_registros[MÊS],$AE$1,tabela_registros[DIA],fevtotal30[[#Headers],[7]],tabela_registros[REGISTRO],DADOS!$N$3)</f>
        <v>0</v>
      </c>
      <c r="L14" s="114" t="n">
        <f aca="false">SUMIFS(tabela_registros[VALOR],tabela_registros[MÊS],$AE$1,tabela_registros[DIA],fevtotal30[[#Headers],[8]],tabela_registros[REGISTRO],DADOS!$N$3)</f>
        <v>0</v>
      </c>
      <c r="M14" s="114" t="n">
        <f aca="false">SUMIFS(tabela_registros[VALOR],tabela_registros[MÊS],$AE$1,tabela_registros[DIA],fevtotal30[[#Headers],[9]],tabela_registros[REGISTRO],DADOS!$N$3)</f>
        <v>0</v>
      </c>
      <c r="N14" s="114" t="n">
        <f aca="false">SUMIFS(tabela_registros[VALOR],tabela_registros[MÊS],$AE$1,tabela_registros[DIA],fevtotal30[[#Headers],[10]],tabela_registros[REGISTRO],DADOS!$N$3)</f>
        <v>0</v>
      </c>
      <c r="O14" s="114" t="n">
        <f aca="false">SUMIFS(tabela_registros[VALOR],tabela_registros[MÊS],$AE$1,tabela_registros[DIA],fevtotal30[[#Headers],[11]],tabela_registros[REGISTRO],DADOS!$N$3)</f>
        <v>0</v>
      </c>
      <c r="P14" s="114" t="n">
        <f aca="false">SUMIFS(tabela_registros[VALOR],tabela_registros[MÊS],$AE$1,tabela_registros[DIA],fevtotal30[[#Headers],[12]],tabela_registros[REGISTRO],DADOS!$N$3)</f>
        <v>0</v>
      </c>
      <c r="Q14" s="114" t="n">
        <f aca="false">SUMIFS(tabela_registros[VALOR],tabela_registros[MÊS],$AE$1,tabela_registros[DIA],fevtotal30[[#Headers],[13]],tabela_registros[REGISTRO],DADOS!$N$3)</f>
        <v>0</v>
      </c>
      <c r="R14" s="114" t="n">
        <f aca="false">SUMIFS(tabela_registros[VALOR],tabela_registros[MÊS],$AE$1,tabela_registros[DIA],fevtotal30[[#Headers],[14]],tabela_registros[REGISTRO],DADOS!$N$3)</f>
        <v>0</v>
      </c>
      <c r="S14" s="114" t="n">
        <f aca="false">SUMIFS(tabela_registros[VALOR],tabela_registros[MÊS],$AE$1,tabela_registros[DIA],fevtotal30[[#Headers],[15]],tabela_registros[REGISTRO],DADOS!$N$3)</f>
        <v>0</v>
      </c>
      <c r="T14" s="114" t="n">
        <f aca="false">SUMIFS(tabela_registros[VALOR],tabela_registros[MÊS],$AE$1,tabela_registros[DIA],fevtotal30[[#Headers],[16]],tabela_registros[REGISTRO],DADOS!$N$3)</f>
        <v>0</v>
      </c>
      <c r="U14" s="114" t="n">
        <f aca="false">SUMIFS(tabela_registros[VALOR],tabela_registros[MÊS],$AE$1,tabela_registros[DIA],fevtotal30[[#Headers],[17]],tabela_registros[REGISTRO],DADOS!$N$3)</f>
        <v>0</v>
      </c>
      <c r="V14" s="114" t="n">
        <f aca="false">SUMIFS(tabela_registros[VALOR],tabela_registros[MÊS],$AE$1,tabela_registros[DIA],fevtotal30[[#Headers],[18]],tabela_registros[REGISTRO],DADOS!$N$3)</f>
        <v>0</v>
      </c>
      <c r="W14" s="114" t="n">
        <f aca="false">SUMIFS(tabela_registros[VALOR],tabela_registros[MÊS],$AE$1,tabela_registros[DIA],fevtotal30[[#Headers],[19]],tabela_registros[REGISTRO],DADOS!$N$3)</f>
        <v>0</v>
      </c>
      <c r="X14" s="114" t="n">
        <f aca="false">SUMIFS(tabela_registros[VALOR],tabela_registros[MÊS],$AE$1,tabela_registros[DIA],fevtotal30[[#Headers],[20]],tabela_registros[REGISTRO],DADOS!$N$3)</f>
        <v>0</v>
      </c>
      <c r="Y14" s="114" t="n">
        <f aca="false">SUMIFS(tabela_registros[VALOR],tabela_registros[MÊS],$AE$1,tabela_registros[DIA],fevtotal30[[#Headers],[21]],tabela_registros[REGISTRO],DADOS!$N$3)</f>
        <v>0</v>
      </c>
      <c r="Z14" s="114" t="n">
        <f aca="false">SUMIFS(tabela_registros[VALOR],tabela_registros[MÊS],$AE$1,tabela_registros[DIA],fevtotal30[[#Headers],[22]],tabela_registros[REGISTRO],DADOS!$N$3)</f>
        <v>0</v>
      </c>
      <c r="AA14" s="114" t="n">
        <f aca="false">SUMIFS(tabela_registros[VALOR],tabela_registros[MÊS],$AE$1,tabela_registros[DIA],fevtotal30[[#Headers],[23]],tabela_registros[REGISTRO],DADOS!$N$3)</f>
        <v>0</v>
      </c>
      <c r="AB14" s="114" t="n">
        <f aca="false">SUMIFS(tabela_registros[VALOR],tabela_registros[MÊS],$AE$1,tabela_registros[DIA],fevtotal30[[#Headers],[24]],tabela_registros[REGISTRO],DADOS!$N$3)</f>
        <v>0</v>
      </c>
      <c r="AC14" s="114" t="n">
        <f aca="false">SUMIFS(tabela_registros[VALOR],tabela_registros[MÊS],$AE$1,tabela_registros[DIA],fevtotal30[[#Headers],[25]],tabela_registros[REGISTRO],DADOS!$N$3)</f>
        <v>0</v>
      </c>
      <c r="AD14" s="114" t="n">
        <f aca="false">SUMIFS(tabela_registros[VALOR],tabela_registros[MÊS],$AE$1,tabela_registros[DIA],fevtotal30[[#Headers],[26]],tabela_registros[REGISTRO],DADOS!$N$3)</f>
        <v>0</v>
      </c>
      <c r="AE14" s="114" t="n">
        <f aca="false">SUMIFS(tabela_registros[VALOR],tabela_registros[MÊS],$AE$1,tabela_registros[DIA],fevtotal30[[#Headers],[27]],tabela_registros[REGISTRO],DADOS!$N$3)</f>
        <v>0</v>
      </c>
      <c r="AF14" s="114" t="n">
        <f aca="false">SUMIFS(tabela_registros[VALOR],tabela_registros[MÊS],$AE$1,tabela_registros[DIA],fevtotal30[[#Headers],[28]],tabela_registros[REGISTRO],DADOS!$N$3)</f>
        <v>0</v>
      </c>
      <c r="AG14" s="115" t="n">
        <f aca="false">SUMIFS(tabela_registros[VALOR],tabela_registros[MÊS],$AE$1,tabela_registros[DIA],fevtotal30[[#Headers],[29]],tabela_registros[REGISTRO],DADOS!$N$3)</f>
        <v>0</v>
      </c>
      <c r="AH14" s="116" t="n">
        <f aca="false">SUMIFS(tabela_registros[VALOR],tabela_registros[MÊS],$AE$1,tabela_registros[DIA],fevtotal30[[#Headers],[30]],tabela_registros[REGISTRO],DADOS!$N$3)</f>
        <v>0</v>
      </c>
      <c r="AI14" s="115" t="n">
        <f aca="false">SUMIFS(tabela_registros[VALOR],tabela_registros[MÊS],$AE$1,tabela_registros[DIA],fevtotal30[[#Headers],[31]],tabela_registros[REGISTRO],DADOS!$N$3)</f>
        <v>0</v>
      </c>
      <c r="AJ14" s="116" t="n">
        <f aca="false">SUM(fevtotal30[[#This Row],[1]:[31]])</f>
        <v>0</v>
      </c>
      <c r="AK14" s="107"/>
    </row>
    <row r="15" customFormat="false" ht="18" hidden="false" customHeight="true" outlineLevel="0" collapsed="false">
      <c r="B15" s="107"/>
      <c r="C15" s="112" t="s">
        <v>72</v>
      </c>
      <c r="D15" s="113"/>
      <c r="E15" s="119" t="n">
        <f aca="false">SUMIFS(tabela_registros[VALOR],tabela_registros[MÊS],$AE$1,tabela_registros[DIA],fevtotal30[[#Headers],[1]],tabela_registros[REGISTRO],DADOS!$N$4)</f>
        <v>0</v>
      </c>
      <c r="F15" s="119" t="n">
        <f aca="false">SUMIFS(tabela_registros[VALOR],tabela_registros[MÊS],$AE$1,tabela_registros[DIA],fevtotal30[[#Headers],[2]],tabela_registros[REGISTRO],DADOS!$N$4)</f>
        <v>0</v>
      </c>
      <c r="G15" s="119" t="n">
        <f aca="false">SUMIFS(tabela_registros[VALOR],tabela_registros[MÊS],$AE$1,tabela_registros[DIA],fevtotal30[[#Headers],[3]],tabela_registros[REGISTRO],DADOS!$N$4)</f>
        <v>0</v>
      </c>
      <c r="H15" s="119" t="n">
        <f aca="false">SUMIFS(tabela_registros[VALOR],tabela_registros[MÊS],$AE$1,tabela_registros[DIA],fevtotal30[[#Headers],[4]],tabela_registros[REGISTRO],DADOS!$N$4)</f>
        <v>0</v>
      </c>
      <c r="I15" s="119" t="n">
        <f aca="false">SUMIFS(tabela_registros[VALOR],tabela_registros[MÊS],$AE$1,tabela_registros[DIA],fevtotal30[[#Headers],[5]],tabela_registros[REGISTRO],DADOS!$N$4)</f>
        <v>0</v>
      </c>
      <c r="J15" s="119" t="n">
        <f aca="false">SUMIFS(tabela_registros[VALOR],tabela_registros[MÊS],$AE$1,tabela_registros[DIA],fevtotal30[[#Headers],[6]],tabela_registros[REGISTRO],DADOS!$N$4)</f>
        <v>0</v>
      </c>
      <c r="K15" s="119" t="n">
        <f aca="false">SUMIFS(tabela_registros[VALOR],tabela_registros[MÊS],$AE$1,tabela_registros[DIA],fevtotal30[[#Headers],[7]],tabela_registros[REGISTRO],DADOS!$N$4)</f>
        <v>0</v>
      </c>
      <c r="L15" s="119" t="n">
        <f aca="false">SUMIFS(tabela_registros[VALOR],tabela_registros[MÊS],$AE$1,tabela_registros[DIA],fevtotal30[[#Headers],[8]],tabela_registros[REGISTRO],DADOS!$N$4)</f>
        <v>0</v>
      </c>
      <c r="M15" s="119" t="n">
        <f aca="false">SUMIFS(tabela_registros[VALOR],tabela_registros[MÊS],$AE$1,tabela_registros[DIA],fevtotal30[[#Headers],[9]],tabela_registros[REGISTRO],DADOS!$N$4)</f>
        <v>0</v>
      </c>
      <c r="N15" s="119" t="n">
        <f aca="false">SUMIFS(tabela_registros[VALOR],tabela_registros[MÊS],$AE$1,tabela_registros[DIA],fevtotal30[[#Headers],[10]],tabela_registros[REGISTRO],DADOS!$N$4)</f>
        <v>0</v>
      </c>
      <c r="O15" s="119" t="n">
        <f aca="false">SUMIFS(tabela_registros[VALOR],tabela_registros[MÊS],$AE$1,tabela_registros[DIA],fevtotal30[[#Headers],[11]],tabela_registros[REGISTRO],DADOS!$N$4)</f>
        <v>0</v>
      </c>
      <c r="P15" s="119" t="n">
        <f aca="false">SUMIFS(tabela_registros[VALOR],tabela_registros[MÊS],$AE$1,tabela_registros[DIA],fevtotal30[[#Headers],[12]],tabela_registros[REGISTRO],DADOS!$N$4)</f>
        <v>0</v>
      </c>
      <c r="Q15" s="119" t="n">
        <f aca="false">SUMIFS(tabela_registros[VALOR],tabela_registros[MÊS],$AE$1,tabela_registros[DIA],fevtotal30[[#Headers],[13]],tabela_registros[REGISTRO],DADOS!$N$4)</f>
        <v>0</v>
      </c>
      <c r="R15" s="119" t="n">
        <f aca="false">SUMIFS(tabela_registros[VALOR],tabela_registros[MÊS],$AE$1,tabela_registros[DIA],fevtotal30[[#Headers],[14]],tabela_registros[REGISTRO],DADOS!$N$4)</f>
        <v>0</v>
      </c>
      <c r="S15" s="119" t="n">
        <f aca="false">SUMIFS(tabela_registros[VALOR],tabela_registros[MÊS],$AE$1,tabela_registros[DIA],fevtotal30[[#Headers],[15]],tabela_registros[REGISTRO],DADOS!$N$4)</f>
        <v>0</v>
      </c>
      <c r="T15" s="119" t="n">
        <f aca="false">SUMIFS(tabela_registros[VALOR],tabela_registros[MÊS],$AE$1,tabela_registros[DIA],fevtotal30[[#Headers],[16]],tabela_registros[REGISTRO],DADOS!$N$4)</f>
        <v>0</v>
      </c>
      <c r="U15" s="119" t="n">
        <f aca="false">SUMIFS(tabela_registros[VALOR],tabela_registros[MÊS],$AE$1,tabela_registros[DIA],fevtotal30[[#Headers],[17]],tabela_registros[REGISTRO],DADOS!$N$4)</f>
        <v>0</v>
      </c>
      <c r="V15" s="119" t="n">
        <f aca="false">SUMIFS(tabela_registros[VALOR],tabela_registros[MÊS],$AE$1,tabela_registros[DIA],fevtotal30[[#Headers],[18]],tabela_registros[REGISTRO],DADOS!$N$4)</f>
        <v>0</v>
      </c>
      <c r="W15" s="119" t="n">
        <f aca="false">SUMIFS(tabela_registros[VALOR],tabela_registros[MÊS],$AE$1,tabela_registros[DIA],fevtotal30[[#Headers],[19]],tabela_registros[REGISTRO],DADOS!$N$4)</f>
        <v>0</v>
      </c>
      <c r="X15" s="119" t="n">
        <f aca="false">SUMIFS(tabela_registros[VALOR],tabela_registros[MÊS],$AE$1,tabela_registros[DIA],fevtotal30[[#Headers],[20]],tabela_registros[REGISTRO],DADOS!$N$4)</f>
        <v>0</v>
      </c>
      <c r="Y15" s="119" t="n">
        <f aca="false">SUMIFS(tabela_registros[VALOR],tabela_registros[MÊS],$AE$1,tabela_registros[DIA],fevtotal30[[#Headers],[21]],tabela_registros[REGISTRO],DADOS!$N$4)</f>
        <v>0</v>
      </c>
      <c r="Z15" s="119" t="n">
        <f aca="false">SUMIFS(tabela_registros[VALOR],tabela_registros[MÊS],$AE$1,tabela_registros[DIA],fevtotal30[[#Headers],[22]],tabela_registros[REGISTRO],DADOS!$N$4)</f>
        <v>0</v>
      </c>
      <c r="AA15" s="119" t="n">
        <f aca="false">SUMIFS(tabela_registros[VALOR],tabela_registros[MÊS],$AE$1,tabela_registros[DIA],fevtotal30[[#Headers],[23]],tabela_registros[REGISTRO],DADOS!$N$4)</f>
        <v>0</v>
      </c>
      <c r="AB15" s="119" t="n">
        <f aca="false">SUMIFS(tabela_registros[VALOR],tabela_registros[MÊS],$AE$1,tabela_registros[DIA],fevtotal30[[#Headers],[24]],tabela_registros[REGISTRO],DADOS!$N$4)</f>
        <v>0</v>
      </c>
      <c r="AC15" s="119" t="n">
        <f aca="false">SUMIFS(tabela_registros[VALOR],tabela_registros[MÊS],$AE$1,tabela_registros[DIA],fevtotal30[[#Headers],[25]],tabela_registros[REGISTRO],DADOS!$N$4)</f>
        <v>0</v>
      </c>
      <c r="AD15" s="119" t="n">
        <f aca="false">SUMIFS(tabela_registros[VALOR],tabela_registros[MÊS],$AE$1,tabela_registros[DIA],fevtotal30[[#Headers],[26]],tabela_registros[REGISTRO],DADOS!$N$4)</f>
        <v>0</v>
      </c>
      <c r="AE15" s="119" t="n">
        <f aca="false">SUMIFS(tabela_registros[VALOR],tabela_registros[MÊS],$AE$1,tabela_registros[DIA],fevtotal30[[#Headers],[27]],tabela_registros[REGISTRO],DADOS!$N$4)</f>
        <v>0</v>
      </c>
      <c r="AF15" s="119" t="n">
        <f aca="false">SUMIFS(tabela_registros[VALOR],tabela_registros[MÊS],$AE$1,tabela_registros[DIA],fevtotal30[[#Headers],[28]],tabela_registros[REGISTRO],DADOS!$N$4)</f>
        <v>0</v>
      </c>
      <c r="AG15" s="120" t="n">
        <f aca="false">SUMIFS(tabela_registros[VALOR],tabela_registros[MÊS],$AE$1,tabela_registros[DIA],fevtotal30[[#Headers],[29]],tabela_registros[REGISTRO],DADOS!$N$4)</f>
        <v>0</v>
      </c>
      <c r="AH15" s="121" t="n">
        <f aca="false">SUMIFS(tabela_registros[VALOR],tabela_registros[MÊS],$AE$1,tabela_registros[DIA],fevtotal30[[#Headers],[30]],tabela_registros[REGISTRO],DADOS!$N$4)</f>
        <v>0</v>
      </c>
      <c r="AI15" s="120" t="n">
        <f aca="false">SUMIFS(tabela_registros[VALOR],tabela_registros[MÊS],$AE$1,tabela_registros[DIA],fevtotal30[[#Headers],[31]],tabela_registros[REGISTRO],DADOS!$N$4)</f>
        <v>0</v>
      </c>
      <c r="AJ15" s="121" t="n">
        <f aca="false">SUM(fevtotal30[[#This Row],[1]:[31]])</f>
        <v>0</v>
      </c>
      <c r="AK15" s="107"/>
    </row>
    <row r="16" s="122" customFormat="true" ht="21" hidden="false" customHeight="true" outlineLevel="0" collapsed="false">
      <c r="B16" s="123"/>
      <c r="C16" s="124" t="s">
        <v>73</v>
      </c>
      <c r="D16" s="125"/>
      <c r="E16" s="126" t="n">
        <f aca="false">(E14-E15)+AI1</f>
        <v>0</v>
      </c>
      <c r="F16" s="127" t="n">
        <f aca="false">fevtotal30[[#This Row],[1]]+(F14-F15)</f>
        <v>0</v>
      </c>
      <c r="G16" s="127" t="n">
        <f aca="false">fevtotal30[[#This Row],[2]]+(G14-G15)</f>
        <v>0</v>
      </c>
      <c r="H16" s="127" t="n">
        <f aca="false">fevtotal30[[#This Row],[3]]+(H14-H15)</f>
        <v>0</v>
      </c>
      <c r="I16" s="127" t="n">
        <f aca="false">fevtotal30[[#This Row],[4]]+(I14-I15)</f>
        <v>0</v>
      </c>
      <c r="J16" s="127" t="n">
        <f aca="false">fevtotal30[[#This Row],[5]]+(J14-J15)</f>
        <v>0</v>
      </c>
      <c r="K16" s="127" t="n">
        <f aca="false">fevtotal30[[#This Row],[6]]+(K14-K15)</f>
        <v>0</v>
      </c>
      <c r="L16" s="127" t="n">
        <f aca="false">fevtotal30[[#This Row],[7]]+(L14-L15)</f>
        <v>0</v>
      </c>
      <c r="M16" s="127" t="n">
        <f aca="false">fevtotal30[[#This Row],[8]]+(M14-M15)</f>
        <v>0</v>
      </c>
      <c r="N16" s="127" t="n">
        <f aca="false">fevtotal30[[#This Row],[9]]+(N14-N15)</f>
        <v>0</v>
      </c>
      <c r="O16" s="127" t="n">
        <f aca="false">fevtotal30[[#This Row],[10]]+(O14-O15)</f>
        <v>0</v>
      </c>
      <c r="P16" s="127" t="n">
        <f aca="false">fevtotal30[[#This Row],[11]]+(P14-P15)</f>
        <v>0</v>
      </c>
      <c r="Q16" s="127" t="n">
        <f aca="false">fevtotal30[[#This Row],[12]]+(Q14-Q15)</f>
        <v>0</v>
      </c>
      <c r="R16" s="127" t="n">
        <f aca="false">fevtotal30[[#This Row],[13]]+(R14-R15)</f>
        <v>0</v>
      </c>
      <c r="S16" s="127" t="n">
        <f aca="false">fevtotal30[[#This Row],[14]]+(S14-S15)</f>
        <v>0</v>
      </c>
      <c r="T16" s="127" t="n">
        <f aca="false">fevtotal30[[#This Row],[15]]+(T14-T15)</f>
        <v>0</v>
      </c>
      <c r="U16" s="127" t="n">
        <f aca="false">fevtotal30[[#This Row],[16]]+(U14-U15)</f>
        <v>0</v>
      </c>
      <c r="V16" s="127" t="n">
        <f aca="false">fevtotal30[[#This Row],[17]]+(V14-V15)</f>
        <v>0</v>
      </c>
      <c r="W16" s="127" t="n">
        <f aca="false">fevtotal30[[#This Row],[18]]+(W14-W15)</f>
        <v>0</v>
      </c>
      <c r="X16" s="127" t="n">
        <f aca="false">fevtotal30[[#This Row],[19]]+(X14-X15)</f>
        <v>0</v>
      </c>
      <c r="Y16" s="127" t="n">
        <f aca="false">fevtotal30[[#This Row],[20]]+(Y14-Y15)</f>
        <v>0</v>
      </c>
      <c r="Z16" s="127" t="n">
        <f aca="false">fevtotal30[[#This Row],[21]]+(Z14-Z15)</f>
        <v>0</v>
      </c>
      <c r="AA16" s="127" t="n">
        <f aca="false">fevtotal30[[#This Row],[22]]+(AA14-AA15)</f>
        <v>0</v>
      </c>
      <c r="AB16" s="127" t="n">
        <f aca="false">fevtotal30[[#This Row],[23]]+(AB14-AB15)</f>
        <v>0</v>
      </c>
      <c r="AC16" s="127" t="n">
        <f aca="false">fevtotal30[[#This Row],[24]]+(AC14-AC15)</f>
        <v>0</v>
      </c>
      <c r="AD16" s="127" t="n">
        <f aca="false">fevtotal30[[#This Row],[25]]+(AD14-AD15)</f>
        <v>0</v>
      </c>
      <c r="AE16" s="127" t="n">
        <f aca="false">fevtotal30[[#This Row],[26]]+(AE14-AE15)</f>
        <v>0</v>
      </c>
      <c r="AF16" s="127" t="n">
        <f aca="false">fevtotal30[[#This Row],[27]]+(AF14-AF15)</f>
        <v>0</v>
      </c>
      <c r="AG16" s="128" t="n">
        <f aca="false">fevtotal30[[#This Row],[28]]+(AG14-AG15)</f>
        <v>0</v>
      </c>
      <c r="AH16" s="129" t="n">
        <f aca="false">fevtotal30[[#This Row],[29]]+(AH14-AH15)</f>
        <v>0</v>
      </c>
      <c r="AI16" s="128" t="n">
        <f aca="false">fevtotal30[[#This Row],[30]]+(AI14-AI15)</f>
        <v>0</v>
      </c>
      <c r="AJ16" s="129" t="n">
        <f aca="false">fevtotal30[[#This Row],[31]]</f>
        <v>0</v>
      </c>
      <c r="AK16" s="123"/>
    </row>
    <row r="17" customFormat="false" ht="6.75" hidden="false" customHeight="true" outlineLevel="0" collapsed="false"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94"/>
      <c r="AJ17" s="107"/>
      <c r="AK17" s="107"/>
    </row>
    <row r="18" customFormat="false" ht="12.75" hidden="false" customHeight="false" outlineLevel="0" collapsed="false">
      <c r="C18" s="133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</row>
    <row r="19" customFormat="false" ht="12" hidden="false" customHeight="false" outlineLevel="0" collapsed="false">
      <c r="C19" s="133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</row>
    <row r="20" customFormat="false" ht="12" hidden="false" customHeight="false" outlineLevel="0" collapsed="false">
      <c r="A20" s="133"/>
      <c r="B20" s="133"/>
      <c r="C20" s="133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</row>
    <row r="21" customFormat="false" ht="39.75" hidden="false" customHeight="true" outlineLevel="0" collapsed="false">
      <c r="A21" s="133"/>
      <c r="B21" s="133"/>
      <c r="C21" s="133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3" t="s">
        <v>2</v>
      </c>
    </row>
    <row r="22" s="78" customFormat="true" ht="11.25" hidden="false" customHeight="true" outlineLevel="0" collapsed="false">
      <c r="C22" s="101"/>
      <c r="AJ22" s="106" t="s">
        <v>64</v>
      </c>
    </row>
    <row r="23" customFormat="false" ht="6.75" hidden="false" customHeight="true" outlineLevel="0" collapsed="false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94"/>
      <c r="AK23" s="107"/>
    </row>
    <row r="24" customFormat="false" ht="13.5" hidden="true" customHeight="false" outlineLevel="0" collapsed="false">
      <c r="B24" s="86"/>
      <c r="C24" s="110" t="s">
        <v>68</v>
      </c>
      <c r="D24" s="107" t="s">
        <v>69</v>
      </c>
      <c r="E24" s="110" t="s">
        <v>30</v>
      </c>
      <c r="F24" s="110" t="s">
        <v>31</v>
      </c>
      <c r="G24" s="110" t="s">
        <v>32</v>
      </c>
      <c r="H24" s="110" t="s">
        <v>33</v>
      </c>
      <c r="I24" s="110" t="s">
        <v>34</v>
      </c>
      <c r="J24" s="110" t="s">
        <v>35</v>
      </c>
      <c r="K24" s="110" t="s">
        <v>36</v>
      </c>
      <c r="L24" s="110" t="s">
        <v>37</v>
      </c>
      <c r="M24" s="110" t="s">
        <v>38</v>
      </c>
      <c r="N24" s="110" t="s">
        <v>39</v>
      </c>
      <c r="O24" s="110" t="s">
        <v>40</v>
      </c>
      <c r="P24" s="110" t="s">
        <v>41</v>
      </c>
      <c r="Q24" s="110" t="s">
        <v>81</v>
      </c>
      <c r="R24" s="110" t="s">
        <v>82</v>
      </c>
      <c r="S24" s="110" t="s">
        <v>83</v>
      </c>
      <c r="T24" s="110" t="s">
        <v>84</v>
      </c>
      <c r="U24" s="110" t="s">
        <v>85</v>
      </c>
      <c r="V24" s="110" t="s">
        <v>86</v>
      </c>
      <c r="W24" s="110" t="s">
        <v>87</v>
      </c>
      <c r="X24" s="110" t="s">
        <v>88</v>
      </c>
      <c r="Y24" s="110" t="s">
        <v>89</v>
      </c>
      <c r="Z24" s="110" t="s">
        <v>90</v>
      </c>
      <c r="AA24" s="110" t="s">
        <v>91</v>
      </c>
      <c r="AB24" s="110" t="s">
        <v>92</v>
      </c>
      <c r="AC24" s="110" t="s">
        <v>93</v>
      </c>
      <c r="AD24" s="110" t="s">
        <v>94</v>
      </c>
      <c r="AE24" s="110" t="s">
        <v>95</v>
      </c>
      <c r="AF24" s="110" t="s">
        <v>96</v>
      </c>
      <c r="AG24" s="110" t="s">
        <v>97</v>
      </c>
      <c r="AH24" s="110" t="s">
        <v>98</v>
      </c>
      <c r="AI24" s="110" t="s">
        <v>99</v>
      </c>
      <c r="AJ24" s="111" t="s">
        <v>70</v>
      </c>
      <c r="AK24" s="107"/>
    </row>
    <row r="25" customFormat="false" ht="19.5" hidden="false" customHeight="true" outlineLevel="0" collapsed="false">
      <c r="B25" s="107"/>
      <c r="C25" s="112" t="s">
        <v>15</v>
      </c>
      <c r="D25" s="113"/>
      <c r="E25" s="114" t="n">
        <f aca="false">SUMIFS(tabela_registros[VALOR],tabela_registros[MÊS],$AE$1,tabela_registros[DIA],fevtotal30[[#Headers],[1]],tabela_registros[REGISTRO],DADOS!$N$5)</f>
        <v>0</v>
      </c>
      <c r="F25" s="114" t="n">
        <f aca="false">SUMIFS(tabela_registros[VALOR],tabela_registros[MÊS],$AE$1,tabela_registros[DIA],fevtotal30[[#Headers],[2]],tabela_registros[REGISTRO],DADOS!$N$5)</f>
        <v>0</v>
      </c>
      <c r="G25" s="114" t="n">
        <f aca="false">SUMIFS(tabela_registros[VALOR],tabela_registros[MÊS],$AE$1,tabela_registros[DIA],fevtotal30[[#Headers],[3]],tabela_registros[REGISTRO],DADOS!$N$5)</f>
        <v>0</v>
      </c>
      <c r="H25" s="114" t="n">
        <f aca="false">SUMIFS(tabela_registros[VALOR],tabela_registros[MÊS],$AE$1,tabela_registros[DIA],fevtotal30[[#Headers],[4]],tabela_registros[REGISTRO],DADOS!$N$5)</f>
        <v>0</v>
      </c>
      <c r="I25" s="114" t="n">
        <f aca="false">SUMIFS(tabela_registros[VALOR],tabela_registros[MÊS],$AE$1,tabela_registros[DIA],fevtotal30[[#Headers],[5]],tabela_registros[REGISTRO],DADOS!$N$5)</f>
        <v>0</v>
      </c>
      <c r="J25" s="114" t="n">
        <f aca="false">SUMIFS(tabela_registros[VALOR],tabela_registros[MÊS],$AE$1,tabela_registros[DIA],fevtotal30[[#Headers],[6]],tabela_registros[REGISTRO],DADOS!$N$5)</f>
        <v>0</v>
      </c>
      <c r="K25" s="114" t="n">
        <f aca="false">SUMIFS(tabela_registros[VALOR],tabela_registros[MÊS],$AE$1,tabela_registros[DIA],fevtotal30[[#Headers],[7]],tabela_registros[REGISTRO],DADOS!$N$5)</f>
        <v>0</v>
      </c>
      <c r="L25" s="114" t="n">
        <f aca="false">SUMIFS(tabela_registros[VALOR],tabela_registros[MÊS],$AE$1,tabela_registros[DIA],fevtotal30[[#Headers],[8]],tabela_registros[REGISTRO],DADOS!$N$5)</f>
        <v>0</v>
      </c>
      <c r="M25" s="114" t="n">
        <f aca="false">SUMIFS(tabela_registros[VALOR],tabela_registros[MÊS],$AE$1,tabela_registros[DIA],fevtotal30[[#Headers],[9]],tabela_registros[REGISTRO],DADOS!$N$5)</f>
        <v>0</v>
      </c>
      <c r="N25" s="114" t="n">
        <f aca="false">SUMIFS(tabela_registros[VALOR],tabela_registros[MÊS],$AE$1,tabela_registros[DIA],fevtotal30[[#Headers],[10]],tabela_registros[REGISTRO],DADOS!$N$5)</f>
        <v>0</v>
      </c>
      <c r="O25" s="114" t="n">
        <f aca="false">SUMIFS(tabela_registros[VALOR],tabela_registros[MÊS],$AE$1,tabela_registros[DIA],fevtotal30[[#Headers],[11]],tabela_registros[REGISTRO],DADOS!$N$5)</f>
        <v>0</v>
      </c>
      <c r="P25" s="114" t="n">
        <f aca="false">SUMIFS(tabela_registros[VALOR],tabela_registros[MÊS],$AE$1,tabela_registros[DIA],fevtotal30[[#Headers],[12]],tabela_registros[REGISTRO],DADOS!$N$5)</f>
        <v>0</v>
      </c>
      <c r="Q25" s="114" t="n">
        <f aca="false">SUMIFS(tabela_registros[VALOR],tabela_registros[MÊS],$AE$1,tabela_registros[DIA],fevtotal30[[#Headers],[13]],tabela_registros[REGISTRO],DADOS!$N$5)</f>
        <v>0</v>
      </c>
      <c r="R25" s="114" t="n">
        <f aca="false">SUMIFS(tabela_registros[VALOR],tabela_registros[MÊS],$AE$1,tabela_registros[DIA],fevtotal30[[#Headers],[14]],tabela_registros[REGISTRO],DADOS!$N$5)</f>
        <v>0</v>
      </c>
      <c r="S25" s="114" t="n">
        <f aca="false">SUMIFS(tabela_registros[VALOR],tabela_registros[MÊS],$AE$1,tabela_registros[DIA],fevtotal30[[#Headers],[15]],tabela_registros[REGISTRO],DADOS!$N$5)</f>
        <v>0</v>
      </c>
      <c r="T25" s="114" t="n">
        <f aca="false">SUMIFS(tabela_registros[VALOR],tabela_registros[MÊS],$AE$1,tabela_registros[DIA],fevtotal30[[#Headers],[16]],tabela_registros[REGISTRO],DADOS!$N$5)</f>
        <v>0</v>
      </c>
      <c r="U25" s="114" t="n">
        <f aca="false">SUMIFS(tabela_registros[VALOR],tabela_registros[MÊS],$AE$1,tabela_registros[DIA],fevtotal30[[#Headers],[17]],tabela_registros[REGISTRO],DADOS!$N$5)</f>
        <v>0</v>
      </c>
      <c r="V25" s="114" t="n">
        <f aca="false">SUMIFS(tabela_registros[VALOR],tabela_registros[MÊS],$AE$1,tabela_registros[DIA],fevtotal30[[#Headers],[18]],tabela_registros[REGISTRO],DADOS!$N$5)</f>
        <v>0</v>
      </c>
      <c r="W25" s="114" t="n">
        <f aca="false">SUMIFS(tabela_registros[VALOR],tabela_registros[MÊS],$AE$1,tabela_registros[DIA],fevtotal30[[#Headers],[19]],tabela_registros[REGISTRO],DADOS!$N$5)</f>
        <v>0</v>
      </c>
      <c r="X25" s="114" t="n">
        <f aca="false">SUMIFS(tabela_registros[VALOR],tabela_registros[MÊS],$AE$1,tabela_registros[DIA],fevtotal30[[#Headers],[20]],tabela_registros[REGISTRO],DADOS!$N$5)</f>
        <v>0</v>
      </c>
      <c r="Y25" s="114" t="n">
        <f aca="false">SUMIFS(tabela_registros[VALOR],tabela_registros[MÊS],$AE$1,tabela_registros[DIA],fevtotal30[[#Headers],[21]],tabela_registros[REGISTRO],DADOS!$N$5)</f>
        <v>0</v>
      </c>
      <c r="Z25" s="114" t="n">
        <f aca="false">SUMIFS(tabela_registros[VALOR],tabela_registros[MÊS],$AE$1,tabela_registros[DIA],fevtotal30[[#Headers],[22]],tabela_registros[REGISTRO],DADOS!$N$5)</f>
        <v>0</v>
      </c>
      <c r="AA25" s="114" t="n">
        <f aca="false">SUMIFS(tabela_registros[VALOR],tabela_registros[MÊS],$AE$1,tabela_registros[DIA],fevtotal30[[#Headers],[23]],tabela_registros[REGISTRO],DADOS!$N$5)</f>
        <v>0</v>
      </c>
      <c r="AB25" s="114" t="n">
        <f aca="false">SUMIFS(tabela_registros[VALOR],tabela_registros[MÊS],$AE$1,tabela_registros[DIA],fevtotal30[[#Headers],[24]],tabela_registros[REGISTRO],DADOS!$N$5)</f>
        <v>0</v>
      </c>
      <c r="AC25" s="114" t="n">
        <f aca="false">SUMIFS(tabela_registros[VALOR],tabela_registros[MÊS],$AE$1,tabela_registros[DIA],fevtotal30[[#Headers],[25]],tabela_registros[REGISTRO],DADOS!$N$5)</f>
        <v>0</v>
      </c>
      <c r="AD25" s="114" t="n">
        <f aca="false">SUMIFS(tabela_registros[VALOR],tabela_registros[MÊS],$AE$1,tabela_registros[DIA],fevtotal30[[#Headers],[26]],tabela_registros[REGISTRO],DADOS!$N$5)</f>
        <v>0</v>
      </c>
      <c r="AE25" s="114" t="n">
        <f aca="false">SUMIFS(tabela_registros[VALOR],tabela_registros[MÊS],$AE$1,tabela_registros[DIA],fevtotal30[[#Headers],[27]],tabela_registros[REGISTRO],DADOS!$N$5)</f>
        <v>0</v>
      </c>
      <c r="AF25" s="114" t="n">
        <f aca="false">SUMIFS(tabela_registros[VALOR],tabela_registros[MÊS],$AE$1,tabela_registros[DIA],fevtotal30[[#Headers],[28]],tabela_registros[REGISTRO],DADOS!$N$5)</f>
        <v>0</v>
      </c>
      <c r="AG25" s="115" t="n">
        <f aca="false">SUMIFS(tabela_registros[VALOR],tabela_registros[MÊS],$AE$1,tabela_registros[DIA],fevtotal30[[#Headers],[29]],tabela_registros[REGISTRO],DADOS!$N$5)</f>
        <v>0</v>
      </c>
      <c r="AH25" s="116" t="n">
        <f aca="false">SUMIFS(tabela_registros[VALOR],tabela_registros[MÊS],$AE$1,tabela_registros[DIA],fevtotal30[[#Headers],[30]],tabela_registros[REGISTRO],DADOS!$N$5)</f>
        <v>0</v>
      </c>
      <c r="AI25" s="115" t="n">
        <f aca="false">SUMIFS(tabela_registros[VALOR],tabela_registros[MÊS],$AE$1,tabela_registros[DIA],fevtotal30[[#Headers],[31]],tabela_registros[REGISTRO],DADOS!$N$5)</f>
        <v>0</v>
      </c>
      <c r="AJ25" s="116" t="n">
        <f aca="false">SUM(E25:AI25)</f>
        <v>0</v>
      </c>
      <c r="AK25" s="107"/>
    </row>
    <row r="26" customFormat="false" ht="18" hidden="false" customHeight="true" outlineLevel="0" collapsed="false">
      <c r="B26" s="107"/>
      <c r="C26" s="135" t="s">
        <v>14</v>
      </c>
      <c r="D26" s="136"/>
      <c r="E26" s="119" t="n">
        <f aca="false">SUMIFS(tabela_registros[VALOR],tabela_registros[MÊS],$AE$1,tabela_registros[DIA],fevtotal30[[#Headers],[1]],tabela_registros[REGISTRO],DADOS!$N$6)</f>
        <v>0</v>
      </c>
      <c r="F26" s="119" t="n">
        <f aca="false">SUMIFS(tabela_registros[VALOR],tabela_registros[MÊS],$AE$1,tabela_registros[DIA],fevtotal30[[#Headers],[2]],tabela_registros[REGISTRO],DADOS!$N$6)</f>
        <v>0</v>
      </c>
      <c r="G26" s="119" t="n">
        <f aca="false">SUMIFS(tabela_registros[VALOR],tabela_registros[MÊS],$AE$1,tabela_registros[DIA],fevtotal30[[#Headers],[3]],tabela_registros[REGISTRO],DADOS!$N$6)</f>
        <v>0</v>
      </c>
      <c r="H26" s="119" t="n">
        <f aca="false">SUMIFS(tabela_registros[VALOR],tabela_registros[MÊS],$AE$1,tabela_registros[DIA],fevtotal30[[#Headers],[4]],tabela_registros[REGISTRO],DADOS!$N$6)</f>
        <v>0</v>
      </c>
      <c r="I26" s="119" t="n">
        <f aca="false">SUMIFS(tabela_registros[VALOR],tabela_registros[MÊS],$AE$1,tabela_registros[DIA],fevtotal30[[#Headers],[5]],tabela_registros[REGISTRO],DADOS!$N$6)</f>
        <v>0</v>
      </c>
      <c r="J26" s="119" t="n">
        <f aca="false">SUMIFS(tabela_registros[VALOR],tabela_registros[MÊS],$AE$1,tabela_registros[DIA],fevtotal30[[#Headers],[6]],tabela_registros[REGISTRO],DADOS!$N$6)</f>
        <v>0</v>
      </c>
      <c r="K26" s="119" t="n">
        <f aca="false">SUMIFS(tabela_registros[VALOR],tabela_registros[MÊS],$AE$1,tabela_registros[DIA],fevtotal30[[#Headers],[7]],tabela_registros[REGISTRO],DADOS!$N$6)</f>
        <v>0</v>
      </c>
      <c r="L26" s="119" t="n">
        <f aca="false">SUMIFS(tabela_registros[VALOR],tabela_registros[MÊS],$AE$1,tabela_registros[DIA],fevtotal30[[#Headers],[8]],tabela_registros[REGISTRO],DADOS!$N$6)</f>
        <v>0</v>
      </c>
      <c r="M26" s="119" t="n">
        <f aca="false">SUMIFS(tabela_registros[VALOR],tabela_registros[MÊS],$AE$1,tabela_registros[DIA],fevtotal30[[#Headers],[9]],tabela_registros[REGISTRO],DADOS!$N$6)</f>
        <v>0</v>
      </c>
      <c r="N26" s="119" t="n">
        <f aca="false">SUMIFS(tabela_registros[VALOR],tabela_registros[MÊS],$AE$1,tabela_registros[DIA],fevtotal30[[#Headers],[10]],tabela_registros[REGISTRO],DADOS!$N$6)</f>
        <v>0</v>
      </c>
      <c r="O26" s="119" t="n">
        <f aca="false">SUMIFS(tabela_registros[VALOR],tabela_registros[MÊS],$AE$1,tabela_registros[DIA],fevtotal30[[#Headers],[11]],tabela_registros[REGISTRO],DADOS!$N$6)</f>
        <v>0</v>
      </c>
      <c r="P26" s="119" t="n">
        <f aca="false">SUMIFS(tabela_registros[VALOR],tabela_registros[MÊS],$AE$1,tabela_registros[DIA],fevtotal30[[#Headers],[12]],tabela_registros[REGISTRO],DADOS!$N$6)</f>
        <v>0</v>
      </c>
      <c r="Q26" s="119" t="n">
        <f aca="false">SUMIFS(tabela_registros[VALOR],tabela_registros[MÊS],$AE$1,tabela_registros[DIA],fevtotal30[[#Headers],[13]],tabela_registros[REGISTRO],DADOS!$N$6)</f>
        <v>0</v>
      </c>
      <c r="R26" s="119" t="n">
        <f aca="false">SUMIFS(tabela_registros[VALOR],tabela_registros[MÊS],$AE$1,tabela_registros[DIA],fevtotal30[[#Headers],[14]],tabela_registros[REGISTRO],DADOS!$N$6)</f>
        <v>0</v>
      </c>
      <c r="S26" s="119" t="n">
        <f aca="false">SUMIFS(tabela_registros[VALOR],tabela_registros[MÊS],$AE$1,tabela_registros[DIA],fevtotal30[[#Headers],[15]],tabela_registros[REGISTRO],DADOS!$N$6)</f>
        <v>0</v>
      </c>
      <c r="T26" s="119" t="n">
        <f aca="false">SUMIFS(tabela_registros[VALOR],tabela_registros[MÊS],$AE$1,tabela_registros[DIA],fevtotal30[[#Headers],[16]],tabela_registros[REGISTRO],DADOS!$N$6)</f>
        <v>0</v>
      </c>
      <c r="U26" s="119" t="n">
        <f aca="false">SUMIFS(tabela_registros[VALOR],tabela_registros[MÊS],$AE$1,tabela_registros[DIA],fevtotal30[[#Headers],[17]],tabela_registros[REGISTRO],DADOS!$N$6)</f>
        <v>0</v>
      </c>
      <c r="V26" s="119" t="n">
        <f aca="false">SUMIFS(tabela_registros[VALOR],tabela_registros[MÊS],$AE$1,tabela_registros[DIA],fevtotal30[[#Headers],[18]],tabela_registros[REGISTRO],DADOS!$N$6)</f>
        <v>0</v>
      </c>
      <c r="W26" s="119" t="n">
        <f aca="false">SUMIFS(tabela_registros[VALOR],tabela_registros[MÊS],$AE$1,tabela_registros[DIA],fevtotal30[[#Headers],[19]],tabela_registros[REGISTRO],DADOS!$N$6)</f>
        <v>0</v>
      </c>
      <c r="X26" s="119" t="n">
        <f aca="false">SUMIFS(tabela_registros[VALOR],tabela_registros[MÊS],$AE$1,tabela_registros[DIA],fevtotal30[[#Headers],[20]],tabela_registros[REGISTRO],DADOS!$N$6)</f>
        <v>0</v>
      </c>
      <c r="Y26" s="119" t="n">
        <f aca="false">SUMIFS(tabela_registros[VALOR],tabela_registros[MÊS],$AE$1,tabela_registros[DIA],fevtotal30[[#Headers],[21]],tabela_registros[REGISTRO],DADOS!$N$6)</f>
        <v>0</v>
      </c>
      <c r="Z26" s="119" t="n">
        <f aca="false">SUMIFS(tabela_registros[VALOR],tabela_registros[MÊS],$AE$1,tabela_registros[DIA],fevtotal30[[#Headers],[22]],tabela_registros[REGISTRO],DADOS!$N$6)</f>
        <v>0</v>
      </c>
      <c r="AA26" s="119" t="n">
        <f aca="false">SUMIFS(tabela_registros[VALOR],tabela_registros[MÊS],$AE$1,tabela_registros[DIA],fevtotal30[[#Headers],[23]],tabela_registros[REGISTRO],DADOS!$N$6)</f>
        <v>0</v>
      </c>
      <c r="AB26" s="119" t="n">
        <f aca="false">SUMIFS(tabela_registros[VALOR],tabela_registros[MÊS],$AE$1,tabela_registros[DIA],fevtotal30[[#Headers],[24]],tabela_registros[REGISTRO],DADOS!$N$6)</f>
        <v>0</v>
      </c>
      <c r="AC26" s="119" t="n">
        <f aca="false">SUMIFS(tabela_registros[VALOR],tabela_registros[MÊS],$AE$1,tabela_registros[DIA],fevtotal30[[#Headers],[25]],tabela_registros[REGISTRO],DADOS!$N$6)</f>
        <v>0</v>
      </c>
      <c r="AD26" s="119" t="n">
        <f aca="false">SUMIFS(tabela_registros[VALOR],tabela_registros[MÊS],$AE$1,tabela_registros[DIA],fevtotal30[[#Headers],[26]],tabela_registros[REGISTRO],DADOS!$N$6)</f>
        <v>0</v>
      </c>
      <c r="AE26" s="119" t="n">
        <f aca="false">SUMIFS(tabela_registros[VALOR],tabela_registros[MÊS],$AE$1,tabela_registros[DIA],fevtotal30[[#Headers],[27]],tabela_registros[REGISTRO],DADOS!$N$6)</f>
        <v>0</v>
      </c>
      <c r="AF26" s="119" t="n">
        <f aca="false">SUMIFS(tabela_registros[VALOR],tabela_registros[MÊS],$AE$1,tabela_registros[DIA],fevtotal30[[#Headers],[28]],tabela_registros[REGISTRO],DADOS!$N$6)</f>
        <v>0</v>
      </c>
      <c r="AG26" s="120" t="n">
        <f aca="false">SUMIFS(tabela_registros[VALOR],tabela_registros[MÊS],$AE$1,tabela_registros[DIA],fevtotal30[[#Headers],[29]],tabela_registros[REGISTRO],DADOS!$N$6)</f>
        <v>0</v>
      </c>
      <c r="AH26" s="121" t="n">
        <f aca="false">SUMIFS(tabela_registros[VALOR],tabela_registros[MÊS],$AE$1,tabela_registros[DIA],fevtotal30[[#Headers],[30]],tabela_registros[REGISTRO],DADOS!$N$6)</f>
        <v>0</v>
      </c>
      <c r="AI26" s="120" t="n">
        <f aca="false">SUMIFS(tabela_registros[VALOR],tabela_registros[MÊS],$AE$1,tabela_registros[DIA],fevtotal30[[#Headers],[31]],tabela_registros[REGISTRO],DADOS!$N$6)</f>
        <v>0</v>
      </c>
      <c r="AJ26" s="121" t="n">
        <f aca="false">SUM(E26:AI26)</f>
        <v>0</v>
      </c>
      <c r="AK26" s="107"/>
    </row>
    <row r="27" s="122" customFormat="true" ht="21" hidden="false" customHeight="true" outlineLevel="0" collapsed="false">
      <c r="B27" s="123"/>
      <c r="C27" s="124" t="s">
        <v>2</v>
      </c>
      <c r="D27" s="137"/>
      <c r="E27" s="126" t="n">
        <f aca="false">SUM(E25:E26)</f>
        <v>0</v>
      </c>
      <c r="F27" s="127" t="n">
        <f aca="false">SUM(F25:F26)+fevinvestir21[[#This Row],[1]]</f>
        <v>0</v>
      </c>
      <c r="G27" s="127" t="n">
        <f aca="false">SUM(G25:G26)+fevinvestir21[[#This Row],[2]]</f>
        <v>0</v>
      </c>
      <c r="H27" s="127" t="n">
        <f aca="false">SUM(H25:H26)+fevinvestir21[[#This Row],[3]]</f>
        <v>0</v>
      </c>
      <c r="I27" s="127" t="n">
        <f aca="false">SUM(I25:I26)+fevinvestir21[[#This Row],[4]]</f>
        <v>0</v>
      </c>
      <c r="J27" s="127" t="n">
        <f aca="false">SUM(J25:J26)+fevinvestir21[[#This Row],[5]]</f>
        <v>0</v>
      </c>
      <c r="K27" s="127" t="n">
        <f aca="false">SUM(K25:K26)+fevinvestir21[[#This Row],[6]]</f>
        <v>0</v>
      </c>
      <c r="L27" s="127" t="n">
        <f aca="false">SUM(L25:L26)+fevinvestir21[[#This Row],[7]]</f>
        <v>0</v>
      </c>
      <c r="M27" s="127" t="n">
        <f aca="false">SUM(M25:M26)+fevinvestir21[[#This Row],[8]]</f>
        <v>0</v>
      </c>
      <c r="N27" s="127" t="n">
        <f aca="false">SUM(N25:N26)+fevinvestir21[[#This Row],[9]]</f>
        <v>0</v>
      </c>
      <c r="O27" s="127" t="n">
        <f aca="false">SUM(O25:O26)+fevinvestir21[[#This Row],[10]]</f>
        <v>0</v>
      </c>
      <c r="P27" s="127" t="n">
        <f aca="false">SUM(P25:P26)+fevinvestir21[[#This Row],[11]]</f>
        <v>0</v>
      </c>
      <c r="Q27" s="127" t="n">
        <f aca="false">SUM(Q25:Q26)+fevinvestir21[[#This Row],[12]]</f>
        <v>0</v>
      </c>
      <c r="R27" s="127" t="n">
        <f aca="false">SUM(R25:R26)+fevinvestir21[[#This Row],[13]]</f>
        <v>0</v>
      </c>
      <c r="S27" s="127" t="n">
        <f aca="false">SUM(S25:S26)+fevinvestir21[[#This Row],[14]]</f>
        <v>0</v>
      </c>
      <c r="T27" s="127" t="n">
        <f aca="false">SUM(T25:T26)+fevinvestir21[[#This Row],[15]]</f>
        <v>0</v>
      </c>
      <c r="U27" s="127" t="n">
        <f aca="false">SUM(U25:U26)+fevinvestir21[[#This Row],[16]]</f>
        <v>0</v>
      </c>
      <c r="V27" s="127" t="n">
        <f aca="false">SUM(V25:V26)+fevinvestir21[[#This Row],[17]]</f>
        <v>0</v>
      </c>
      <c r="W27" s="127" t="n">
        <f aca="false">SUM(W25:W26)+fevinvestir21[[#This Row],[18]]</f>
        <v>0</v>
      </c>
      <c r="X27" s="127" t="n">
        <f aca="false">SUM(X25:X26)+fevinvestir21[[#This Row],[19]]</f>
        <v>0</v>
      </c>
      <c r="Y27" s="127" t="n">
        <f aca="false">SUM(Y25:Y26)+fevinvestir21[[#This Row],[20]]</f>
        <v>0</v>
      </c>
      <c r="Z27" s="127" t="n">
        <f aca="false">SUM(Z25:Z26)+fevinvestir21[[#This Row],[21]]</f>
        <v>0</v>
      </c>
      <c r="AA27" s="127" t="n">
        <f aca="false">SUM(AA25:AA26)+fevinvestir21[[#This Row],[22]]</f>
        <v>0</v>
      </c>
      <c r="AB27" s="127" t="n">
        <f aca="false">SUM(AB25:AB26)+fevinvestir21[[#This Row],[23]]</f>
        <v>0</v>
      </c>
      <c r="AC27" s="127" t="n">
        <f aca="false">SUM(AC25:AC26)+fevinvestir21[[#This Row],[24]]</f>
        <v>0</v>
      </c>
      <c r="AD27" s="127" t="n">
        <f aca="false">SUM(AD25:AD26)+fevinvestir21[[#This Row],[25]]</f>
        <v>0</v>
      </c>
      <c r="AE27" s="127" t="n">
        <f aca="false">SUM(AE25:AE26)+fevinvestir21[[#This Row],[26]]</f>
        <v>0</v>
      </c>
      <c r="AF27" s="127" t="n">
        <f aca="false">SUM(AF25:AF26)+fevinvestir21[[#This Row],[27]]</f>
        <v>0</v>
      </c>
      <c r="AG27" s="128" t="n">
        <f aca="false">SUM(AG25:AG26)+fevinvestir21[[#This Row],[28]]</f>
        <v>0</v>
      </c>
      <c r="AH27" s="129" t="n">
        <f aca="false">SUM(AH25:AH26)+fevinvestir21[[#This Row],[29]]</f>
        <v>0</v>
      </c>
      <c r="AI27" s="128" t="n">
        <f aca="false">SUM(AI25:AI26)+fevinvestir21[[#This Row],[30]]</f>
        <v>0</v>
      </c>
      <c r="AJ27" s="129" t="n">
        <f aca="false">fevinvestir21[[#This Row],[31]]</f>
        <v>0</v>
      </c>
      <c r="AK27" s="123"/>
    </row>
    <row r="28" customFormat="false" ht="6.75" hidden="true" customHeight="true" outlineLevel="0" collapsed="false">
      <c r="B28" s="107"/>
      <c r="C28" s="78" t="s">
        <v>73</v>
      </c>
      <c r="E28" s="138" t="n">
        <f aca="false">SUBTOTAL(109,fevinvestir21[1])</f>
        <v>0</v>
      </c>
      <c r="F28" s="138" t="n">
        <f aca="false">SUBTOTAL(109,fevinvestir21[2])</f>
        <v>0</v>
      </c>
      <c r="G28" s="138" t="n">
        <f aca="false">SUBTOTAL(109,fevinvestir21[3])</f>
        <v>0</v>
      </c>
      <c r="H28" s="138" t="n">
        <f aca="false">SUBTOTAL(109,fevinvestir21[4])</f>
        <v>0</v>
      </c>
      <c r="I28" s="138" t="n">
        <f aca="false">SUBTOTAL(109,fevinvestir21[5])</f>
        <v>0</v>
      </c>
      <c r="J28" s="138" t="n">
        <f aca="false">SUBTOTAL(109,fevinvestir21[6])</f>
        <v>0</v>
      </c>
      <c r="K28" s="138" t="n">
        <f aca="false">SUBTOTAL(109,fevinvestir21[7])</f>
        <v>0</v>
      </c>
      <c r="L28" s="138" t="n">
        <f aca="false">SUBTOTAL(109,fevinvestir21[8])</f>
        <v>0</v>
      </c>
      <c r="M28" s="138" t="n">
        <f aca="false">SUBTOTAL(109,fevinvestir21[9])</f>
        <v>0</v>
      </c>
      <c r="N28" s="138" t="n">
        <f aca="false">SUBTOTAL(109,fevinvestir21[10])</f>
        <v>0</v>
      </c>
      <c r="O28" s="138" t="n">
        <f aca="false">SUBTOTAL(109,fevinvestir21[11])</f>
        <v>0</v>
      </c>
      <c r="P28" s="138" t="n">
        <f aca="false">SUBTOTAL(109,fevinvestir21[12])</f>
        <v>0</v>
      </c>
      <c r="Q28" s="138" t="n">
        <f aca="false">SUBTOTAL(109,fevinvestir21[13])</f>
        <v>0</v>
      </c>
      <c r="R28" s="138" t="n">
        <f aca="false">SUBTOTAL(109,fevinvestir21[14])</f>
        <v>0</v>
      </c>
      <c r="S28" s="138" t="n">
        <f aca="false">SUBTOTAL(109,fevinvestir21[15])</f>
        <v>0</v>
      </c>
      <c r="T28" s="138" t="n">
        <f aca="false">SUBTOTAL(109,fevinvestir21[16])</f>
        <v>0</v>
      </c>
      <c r="U28" s="138" t="n">
        <f aca="false">SUBTOTAL(109,fevinvestir21[17])</f>
        <v>0</v>
      </c>
      <c r="V28" s="138" t="n">
        <f aca="false">SUBTOTAL(109,fevinvestir21[18])</f>
        <v>0</v>
      </c>
      <c r="W28" s="138" t="n">
        <f aca="false">SUBTOTAL(109,fevinvestir21[19])</f>
        <v>0</v>
      </c>
      <c r="X28" s="138" t="n">
        <f aca="false">SUBTOTAL(109,fevinvestir21[20])</f>
        <v>0</v>
      </c>
      <c r="Y28" s="138" t="n">
        <f aca="false">SUBTOTAL(109,fevinvestir21[21])</f>
        <v>0</v>
      </c>
      <c r="Z28" s="138" t="n">
        <f aca="false">SUBTOTAL(109,fevinvestir21[22])</f>
        <v>0</v>
      </c>
      <c r="AA28" s="138" t="n">
        <f aca="false">SUBTOTAL(109,fevinvestir21[23])</f>
        <v>0</v>
      </c>
      <c r="AB28" s="138" t="n">
        <f aca="false">SUBTOTAL(109,fevinvestir21[24])</f>
        <v>0</v>
      </c>
      <c r="AC28" s="138" t="n">
        <f aca="false">SUBTOTAL(109,fevinvestir21[25])</f>
        <v>0</v>
      </c>
      <c r="AD28" s="138" t="n">
        <f aca="false">SUBTOTAL(109,fevinvestir21[26])</f>
        <v>0</v>
      </c>
      <c r="AE28" s="138" t="n">
        <f aca="false">SUBTOTAL(109,fevinvestir21[27])</f>
        <v>0</v>
      </c>
      <c r="AF28" s="138" t="n">
        <f aca="false">SUBTOTAL(109,fevinvestir21[28])</f>
        <v>0</v>
      </c>
      <c r="AG28" s="138" t="n">
        <f aca="false">SUBTOTAL(109,fevinvestir21[29])</f>
        <v>0</v>
      </c>
      <c r="AH28" s="138" t="n">
        <f aca="false">SUBTOTAL(109,fevinvestir21[30])</f>
        <v>0</v>
      </c>
      <c r="AI28" s="138" t="n">
        <f aca="false">SUBTOTAL(109,fevinvestir21[31])</f>
        <v>0</v>
      </c>
      <c r="AJ28" s="138" t="n">
        <f aca="false">SUBTOTAL(109,fevinvestir21[TOTAL (R$)])</f>
        <v>0</v>
      </c>
      <c r="AK28" s="107"/>
    </row>
    <row r="29" customFormat="false" ht="6.75" hidden="false" customHeight="true" outlineLevel="0" collapsed="false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94"/>
      <c r="AJ29" s="107"/>
      <c r="AK29" s="107"/>
    </row>
    <row r="30" customFormat="false" ht="12.75" hidden="false" customHeight="false" outlineLevel="0" collapsed="false">
      <c r="C30" s="133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</row>
    <row r="31" customFormat="false" ht="12" hidden="false" customHeight="false" outlineLevel="0" collapsed="false">
      <c r="C31" s="133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</row>
    <row r="32" customFormat="false" ht="12" hidden="false" customHeight="false" outlineLevel="0" collapsed="false">
      <c r="C32" s="133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</row>
    <row r="33" customFormat="false" ht="39.75" hidden="false" customHeight="true" outlineLevel="0" collapsed="false">
      <c r="C33" s="133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3" t="s">
        <v>2</v>
      </c>
    </row>
    <row r="34" s="78" customFormat="true" ht="11.25" hidden="false" customHeight="true" outlineLevel="0" collapsed="false">
      <c r="C34" s="101"/>
      <c r="AJ34" s="106" t="s">
        <v>64</v>
      </c>
    </row>
    <row r="35" customFormat="false" ht="6.75" hidden="false" customHeight="true" outlineLevel="0" collapsed="false">
      <c r="B35" s="139"/>
      <c r="C35" s="140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212"/>
      <c r="AK35" s="139"/>
    </row>
    <row r="36" customFormat="false" ht="12.75" hidden="true" customHeight="false" outlineLevel="0" collapsed="false">
      <c r="B36" s="86"/>
      <c r="C36" s="109" t="s">
        <v>74</v>
      </c>
      <c r="D36" s="110" t="s">
        <v>69</v>
      </c>
      <c r="E36" s="110" t="s">
        <v>30</v>
      </c>
      <c r="F36" s="110" t="s">
        <v>31</v>
      </c>
      <c r="G36" s="110" t="s">
        <v>32</v>
      </c>
      <c r="H36" s="110" t="s">
        <v>33</v>
      </c>
      <c r="I36" s="110" t="s">
        <v>34</v>
      </c>
      <c r="J36" s="110" t="s">
        <v>35</v>
      </c>
      <c r="K36" s="110" t="s">
        <v>36</v>
      </c>
      <c r="L36" s="110" t="s">
        <v>37</v>
      </c>
      <c r="M36" s="110" t="s">
        <v>38</v>
      </c>
      <c r="N36" s="110" t="s">
        <v>39</v>
      </c>
      <c r="O36" s="110" t="s">
        <v>40</v>
      </c>
      <c r="P36" s="110" t="s">
        <v>41</v>
      </c>
      <c r="Q36" s="110" t="s">
        <v>81</v>
      </c>
      <c r="R36" s="110" t="s">
        <v>82</v>
      </c>
      <c r="S36" s="110" t="s">
        <v>83</v>
      </c>
      <c r="T36" s="110" t="s">
        <v>84</v>
      </c>
      <c r="U36" s="110" t="s">
        <v>85</v>
      </c>
      <c r="V36" s="110" t="s">
        <v>86</v>
      </c>
      <c r="W36" s="110" t="s">
        <v>87</v>
      </c>
      <c r="X36" s="110" t="s">
        <v>88</v>
      </c>
      <c r="Y36" s="110" t="s">
        <v>89</v>
      </c>
      <c r="Z36" s="110" t="s">
        <v>90</v>
      </c>
      <c r="AA36" s="110" t="s">
        <v>91</v>
      </c>
      <c r="AB36" s="110" t="s">
        <v>92</v>
      </c>
      <c r="AC36" s="110" t="s">
        <v>93</v>
      </c>
      <c r="AD36" s="110" t="s">
        <v>94</v>
      </c>
      <c r="AE36" s="110" t="s">
        <v>95</v>
      </c>
      <c r="AF36" s="110" t="s">
        <v>96</v>
      </c>
      <c r="AG36" s="110" t="s">
        <v>97</v>
      </c>
      <c r="AH36" s="110" t="s">
        <v>98</v>
      </c>
      <c r="AI36" s="110" t="s">
        <v>99</v>
      </c>
      <c r="AJ36" s="142" t="s">
        <v>2</v>
      </c>
      <c r="AK36" s="86" t="s">
        <v>75</v>
      </c>
    </row>
    <row r="37" customFormat="false" ht="19.5" hidden="false" customHeight="true" outlineLevel="0" collapsed="false">
      <c r="B37" s="143"/>
      <c r="C37" s="144" t="str">
        <f aca="false">DADOS!$R$3</f>
        <v>💧 ÁGUA</v>
      </c>
      <c r="D37" s="145" t="str">
        <f aca="false">IF(despesafixaconsolidadofev[[#This Row],[TOTAL]]=0,"",IF(OR(despesafixaconsolidadofev[[#This Row],[TOTAL]]=LARGE($AJ$37:$AJ$50,1),despesafixaconsolidadofev[[#This Row],[TOTAL]]=LARGE($AJ$37:$AJ$50,2),despesafixaconsolidadofev[[#This Row],[TOTAL]]=LARGE($AJ$37:$AJ$50,3),despesafixaconsolidadofev[[#This Row],[TOTAL]]=LARGE($AJ$37:$AJ$50,4),despesafixaconsolidadofev[[#This Row],[TOTAL]]=LARGE($AJ$37:$AJ$50,5)),DADOS!$I$8,""))</f>
        <v/>
      </c>
      <c r="E37" s="146" t="n">
        <f aca="false">SUMIFS(tabela_registros[VALOR],tabela_registros[MÊS],$AE$1,tabela_registros[DIA],fevtotal30[[#Headers],[1]],tabela_registros[REGISTRO],DADOS!$N$4,tabela_registros[TIPO],DADOS!$P$3,tabela_registros[CATEGORIA],despesafixaconsolidadofev[[#This Row],[DESPESA FIXA]])</f>
        <v>0</v>
      </c>
      <c r="F37" s="114" t="n">
        <f aca="false">SUMIFS(tabela_registros[VALOR],tabela_registros[MÊS],$AE$1,tabela_registros[DIA],fevtotal30[[#Headers],[2]],tabela_registros[REGISTRO],DADOS!$N$4,tabela_registros[TIPO],DADOS!$P$3,tabela_registros[CATEGORIA],despesafixaconsolidadofev[[#This Row],[DESPESA FIXA]])</f>
        <v>0</v>
      </c>
      <c r="G37" s="114" t="n">
        <f aca="false">SUMIFS(tabela_registros[VALOR],tabela_registros[MÊS],$AE$1,tabela_registros[DIA],fevtotal30[[#Headers],[3]],tabela_registros[REGISTRO],DADOS!$N$4,tabela_registros[TIPO],DADOS!$P$3,tabela_registros[CATEGORIA],despesafixaconsolidadofev[[#This Row],[DESPESA FIXA]])</f>
        <v>0</v>
      </c>
      <c r="H37" s="114" t="n">
        <f aca="false">SUMIFS(tabela_registros[VALOR],tabela_registros[MÊS],$AE$1,tabela_registros[DIA],fevtotal30[[#Headers],[4]],tabela_registros[REGISTRO],DADOS!$N$4,tabela_registros[TIPO],DADOS!$P$3,tabela_registros[CATEGORIA],despesafixaconsolidadofev[[#This Row],[DESPESA FIXA]])</f>
        <v>0</v>
      </c>
      <c r="I37" s="114" t="n">
        <f aca="false">SUMIFS(tabela_registros[VALOR],tabela_registros[MÊS],$AE$1,tabela_registros[DIA],fevtotal30[[#Headers],[5]],tabela_registros[REGISTRO],DADOS!$N$4,tabela_registros[TIPO],DADOS!$P$3,tabela_registros[CATEGORIA],despesafixaconsolidadofev[[#This Row],[DESPESA FIXA]])</f>
        <v>0</v>
      </c>
      <c r="J37" s="114" t="n">
        <f aca="false">SUMIFS(tabela_registros[VALOR],tabela_registros[MÊS],$AE$1,tabela_registros[DIA],fevtotal30[[#Headers],[6]],tabela_registros[REGISTRO],DADOS!$N$4,tabela_registros[TIPO],DADOS!$P$3,tabela_registros[CATEGORIA],despesafixaconsolidadofev[[#This Row],[DESPESA FIXA]])</f>
        <v>0</v>
      </c>
      <c r="K37" s="114" t="n">
        <f aca="false">SUMIFS(tabela_registros[VALOR],tabela_registros[MÊS],$AE$1,tabela_registros[DIA],fevtotal30[[#Headers],[7]],tabela_registros[REGISTRO],DADOS!$N$4,tabela_registros[TIPO],DADOS!$P$3,tabela_registros[CATEGORIA],despesafixaconsolidadofev[[#This Row],[DESPESA FIXA]])</f>
        <v>0</v>
      </c>
      <c r="L37" s="114" t="n">
        <f aca="false">SUMIFS(tabela_registros[VALOR],tabela_registros[MÊS],$AE$1,tabela_registros[DIA],fevtotal30[[#Headers],[8]],tabela_registros[REGISTRO],DADOS!$N$4,tabela_registros[TIPO],DADOS!$P$3,tabela_registros[CATEGORIA],despesafixaconsolidadofev[[#This Row],[DESPESA FIXA]])</f>
        <v>0</v>
      </c>
      <c r="M37" s="114" t="n">
        <f aca="false">SUMIFS(tabela_registros[VALOR],tabela_registros[MÊS],$AE$1,tabela_registros[DIA],fevtotal30[[#Headers],[9]],tabela_registros[REGISTRO],DADOS!$N$4,tabela_registros[TIPO],DADOS!$P$3,tabela_registros[CATEGORIA],despesafixaconsolidadofev[[#This Row],[DESPESA FIXA]])</f>
        <v>0</v>
      </c>
      <c r="N37" s="114" t="n">
        <f aca="false">SUMIFS(tabela_registros[VALOR],tabela_registros[MÊS],$AE$1,tabela_registros[DIA],fevtotal30[[#Headers],[10]],tabela_registros[REGISTRO],DADOS!$N$4,tabela_registros[TIPO],DADOS!$P$3,tabela_registros[CATEGORIA],despesafixaconsolidadofev[[#This Row],[DESPESA FIXA]])</f>
        <v>0</v>
      </c>
      <c r="O37" s="114" t="n">
        <f aca="false">SUMIFS(tabela_registros[VALOR],tabela_registros[MÊS],$AE$1,tabela_registros[DIA],fevtotal30[[#Headers],[11]],tabela_registros[REGISTRO],DADOS!$N$4,tabela_registros[TIPO],DADOS!$P$3,tabela_registros[CATEGORIA],despesafixaconsolidadofev[[#This Row],[DESPESA FIXA]])</f>
        <v>0</v>
      </c>
      <c r="P37" s="114" t="n">
        <f aca="false">SUMIFS(tabela_registros[VALOR],tabela_registros[MÊS],$AE$1,tabela_registros[DIA],fevtotal30[[#Headers],[12]],tabela_registros[REGISTRO],DADOS!$N$4,tabela_registros[TIPO],DADOS!$P$3,tabela_registros[CATEGORIA],despesafixaconsolidadofev[[#This Row],[DESPESA FIXA]])</f>
        <v>0</v>
      </c>
      <c r="Q37" s="114" t="n">
        <f aca="false">SUMIFS(tabela_registros[VALOR],tabela_registros[MÊS],$AE$1,tabela_registros[DIA],fevtotal30[[#Headers],[13]],tabela_registros[REGISTRO],DADOS!$N$4,tabela_registros[TIPO],DADOS!$P$3,tabela_registros[CATEGORIA],despesafixaconsolidadofev[[#This Row],[DESPESA FIXA]])</f>
        <v>0</v>
      </c>
      <c r="R37" s="114" t="n">
        <f aca="false">SUMIFS(tabela_registros[VALOR],tabela_registros[MÊS],$AE$1,tabela_registros[DIA],fevtotal30[[#Headers],[14]],tabela_registros[REGISTRO],DADOS!$N$4,tabela_registros[TIPO],DADOS!$P$3,tabela_registros[CATEGORIA],despesafixaconsolidadofev[[#This Row],[DESPESA FIXA]])</f>
        <v>0</v>
      </c>
      <c r="S37" s="114" t="n">
        <f aca="false">SUMIFS(tabela_registros[VALOR],tabela_registros[MÊS],$AE$1,tabela_registros[DIA],fevtotal30[[#Headers],[15]],tabela_registros[REGISTRO],DADOS!$N$4,tabela_registros[TIPO],DADOS!$P$3,tabela_registros[CATEGORIA],despesafixaconsolidadofev[[#This Row],[DESPESA FIXA]])</f>
        <v>0</v>
      </c>
      <c r="T37" s="114" t="n">
        <f aca="false">SUMIFS(tabela_registros[VALOR],tabela_registros[MÊS],$AE$1,tabela_registros[DIA],fevtotal30[[#Headers],[16]],tabela_registros[REGISTRO],DADOS!$N$4,tabela_registros[TIPO],DADOS!$P$3,tabela_registros[CATEGORIA],despesafixaconsolidadofev[[#This Row],[DESPESA FIXA]])</f>
        <v>0</v>
      </c>
      <c r="U37" s="114" t="n">
        <f aca="false">SUMIFS(tabela_registros[VALOR],tabela_registros[MÊS],$AE$1,tabela_registros[DIA],fevtotal30[[#Headers],[17]],tabela_registros[REGISTRO],DADOS!$N$4,tabela_registros[TIPO],DADOS!$P$3,tabela_registros[CATEGORIA],despesafixaconsolidadofev[[#This Row],[DESPESA FIXA]])</f>
        <v>0</v>
      </c>
      <c r="V37" s="114" t="n">
        <f aca="false">SUMIFS(tabela_registros[VALOR],tabela_registros[MÊS],$AE$1,tabela_registros[DIA],fevtotal30[[#Headers],[18]],tabela_registros[REGISTRO],DADOS!$N$4,tabela_registros[TIPO],DADOS!$P$3,tabela_registros[CATEGORIA],despesafixaconsolidadofev[[#This Row],[DESPESA FIXA]])</f>
        <v>0</v>
      </c>
      <c r="W37" s="114" t="n">
        <f aca="false">SUMIFS(tabela_registros[VALOR],tabela_registros[MÊS],$AE$1,tabela_registros[DIA],fevtotal30[[#Headers],[19]],tabela_registros[REGISTRO],DADOS!$N$4,tabela_registros[TIPO],DADOS!$P$3,tabela_registros[CATEGORIA],despesafixaconsolidadofev[[#This Row],[DESPESA FIXA]])</f>
        <v>0</v>
      </c>
      <c r="X37" s="114" t="n">
        <f aca="false">SUMIFS(tabela_registros[VALOR],tabela_registros[MÊS],$AE$1,tabela_registros[DIA],fevtotal30[[#Headers],[20]],tabela_registros[REGISTRO],DADOS!$N$4,tabela_registros[TIPO],DADOS!$P$3,tabela_registros[CATEGORIA],despesafixaconsolidadofev[[#This Row],[DESPESA FIXA]])</f>
        <v>0</v>
      </c>
      <c r="Y37" s="114" t="n">
        <f aca="false">SUMIFS(tabela_registros[VALOR],tabela_registros[MÊS],$AE$1,tabela_registros[DIA],fevtotal30[[#Headers],[21]],tabela_registros[REGISTRO],DADOS!$N$4,tabela_registros[TIPO],DADOS!$P$3,tabela_registros[CATEGORIA],despesafixaconsolidadofev[[#This Row],[DESPESA FIXA]])</f>
        <v>0</v>
      </c>
      <c r="Z37" s="114" t="n">
        <f aca="false">SUMIFS(tabela_registros[VALOR],tabela_registros[MÊS],$AE$1,tabela_registros[DIA],fevtotal30[[#Headers],[22]],tabela_registros[REGISTRO],DADOS!$N$4,tabela_registros[TIPO],DADOS!$P$3,tabela_registros[CATEGORIA],despesafixaconsolidadofev[[#This Row],[DESPESA FIXA]])</f>
        <v>0</v>
      </c>
      <c r="AA37" s="114" t="n">
        <f aca="false">SUMIFS(tabela_registros[VALOR],tabela_registros[MÊS],$AE$1,tabela_registros[DIA],fevtotal30[[#Headers],[23]],tabela_registros[REGISTRO],DADOS!$N$4,tabela_registros[TIPO],DADOS!$P$3,tabela_registros[CATEGORIA],despesafixaconsolidadofev[[#This Row],[DESPESA FIXA]])</f>
        <v>0</v>
      </c>
      <c r="AB37" s="114" t="n">
        <f aca="false">SUMIFS(tabela_registros[VALOR],tabela_registros[MÊS],$AE$1,tabela_registros[DIA],fevtotal30[[#Headers],[24]],tabela_registros[REGISTRO],DADOS!$N$4,tabela_registros[TIPO],DADOS!$P$3,tabela_registros[CATEGORIA],despesafixaconsolidadofev[[#This Row],[DESPESA FIXA]])</f>
        <v>0</v>
      </c>
      <c r="AC37" s="114" t="n">
        <f aca="false">SUMIFS(tabela_registros[VALOR],tabela_registros[MÊS],$AE$1,tabela_registros[DIA],fevtotal30[[#Headers],[25]],tabela_registros[REGISTRO],DADOS!$N$4,tabela_registros[TIPO],DADOS!$P$3,tabela_registros[CATEGORIA],despesafixaconsolidadofev[[#This Row],[DESPESA FIXA]])</f>
        <v>0</v>
      </c>
      <c r="AD37" s="114" t="n">
        <f aca="false">SUMIFS(tabela_registros[VALOR],tabela_registros[MÊS],$AE$1,tabela_registros[DIA],fevtotal30[[#Headers],[26]],tabela_registros[REGISTRO],DADOS!$N$4,tabela_registros[TIPO],DADOS!$P$3,tabela_registros[CATEGORIA],despesafixaconsolidadofev[[#This Row],[DESPESA FIXA]])</f>
        <v>0</v>
      </c>
      <c r="AE37" s="114" t="n">
        <f aca="false">SUMIFS(tabela_registros[VALOR],tabela_registros[MÊS],$AE$1,tabela_registros[DIA],fevtotal30[[#Headers],[27]],tabela_registros[REGISTRO],DADOS!$N$4,tabela_registros[TIPO],DADOS!$P$3,tabela_registros[CATEGORIA],despesafixaconsolidadofev[[#This Row],[DESPESA FIXA]])</f>
        <v>0</v>
      </c>
      <c r="AF37" s="114" t="n">
        <f aca="false">SUMIFS(tabela_registros[VALOR],tabela_registros[MÊS],$AE$1,tabela_registros[DIA],fevtotal30[[#Headers],[28]],tabela_registros[REGISTRO],DADOS!$N$4,tabela_registros[TIPO],DADOS!$P$3,tabela_registros[CATEGORIA],despesafixaconsolidadofev[[#This Row],[DESPESA FIXA]])</f>
        <v>0</v>
      </c>
      <c r="AG37" s="114" t="n">
        <f aca="false">SUMIFS(tabela_registros[VALOR],tabela_registros[MÊS],$AE$1,tabela_registros[DIA],fevtotal30[[#Headers],[29]],tabela_registros[REGISTRO],DADOS!$N$4,tabela_registros[TIPO],DADOS!$P$3,tabela_registros[CATEGORIA],despesafixaconsolidadofev[[#This Row],[DESPESA FIXA]])</f>
        <v>0</v>
      </c>
      <c r="AH37" s="114" t="n">
        <f aca="false">SUMIFS(tabela_registros[VALOR],tabela_registros[MÊS],$AE$1,tabela_registros[DIA],fevtotal30[[#Headers],[30]],tabela_registros[REGISTRO],DADOS!$N$4,tabela_registros[TIPO],DADOS!$P$3,tabela_registros[CATEGORIA],despesafixaconsolidadofev[[#This Row],[DESPESA FIXA]])</f>
        <v>0</v>
      </c>
      <c r="AI37" s="216" t="n">
        <f aca="false">SUMIFS(tabela_registros[VALOR],tabela_registros[MÊS],$AE$1,tabela_registros[DIA],fevtotal30[[#Headers],[31]],tabela_registros[REGISTRO],DADOS!$N$4,tabela_registros[TIPO],DADOS!$P$3,tabela_registros[CATEGORIA],despesafixaconsolidadofev[[#This Row],[DESPESA FIXA]])</f>
        <v>0</v>
      </c>
      <c r="AJ37" s="147" t="n">
        <f aca="false">SUM(despesafixaconsolidadofev[[#This Row],[1]:[31]])</f>
        <v>0</v>
      </c>
      <c r="AK37" s="143"/>
    </row>
    <row r="38" customFormat="false" ht="18" hidden="false" customHeight="true" outlineLevel="0" collapsed="false">
      <c r="B38" s="143"/>
      <c r="C38" s="144" t="str">
        <f aca="false">DADOS!$R$4</f>
        <v>🐶 ANIMAIS DE ESTIMAÇÃO</v>
      </c>
      <c r="D38" s="145" t="str">
        <f aca="false">IF(despesafixaconsolidadofev[[#This Row],[TOTAL]]=0,"",IF(OR(despesafixaconsolidadofev[[#This Row],[TOTAL]]=LARGE($AJ$37:$AJ$50,1),despesafixaconsolidadofev[[#This Row],[TOTAL]]=LARGE($AJ$37:$AJ$50,2),despesafixaconsolidadofev[[#This Row],[TOTAL]]=LARGE($AJ$37:$AJ$50,3),despesafixaconsolidadofev[[#This Row],[TOTAL]]=LARGE($AJ$37:$AJ$50,4),despesafixaconsolidadofev[[#This Row],[TOTAL]]=LARGE($AJ$37:$AJ$50,5)),DADOS!$I$8,""))</f>
        <v/>
      </c>
      <c r="E38" s="148" t="n">
        <f aca="false">SUMIFS(tabela_registros[VALOR],tabela_registros[MÊS],$AE$1,tabela_registros[DIA],fevtotal30[[#Headers],[1]],tabela_registros[REGISTRO],DADOS!$N$4,tabela_registros[TIPO],DADOS!$P$3,tabela_registros[CATEGORIA],despesafixaconsolidadofev[[#This Row],[DESPESA FIXA]])</f>
        <v>0</v>
      </c>
      <c r="F38" s="119" t="n">
        <f aca="false">SUMIFS(tabela_registros[VALOR],tabela_registros[MÊS],$AE$1,tabela_registros[DIA],fevtotal30[[#Headers],[2]],tabela_registros[REGISTRO],DADOS!$N$4,tabela_registros[TIPO],DADOS!$P$3,tabela_registros[CATEGORIA],despesafixaconsolidadofev[[#This Row],[DESPESA FIXA]])</f>
        <v>0</v>
      </c>
      <c r="G38" s="119" t="n">
        <f aca="false">SUMIFS(tabela_registros[VALOR],tabela_registros[MÊS],$AE$1,tabela_registros[DIA],fevtotal30[[#Headers],[3]],tabela_registros[REGISTRO],DADOS!$N$4,tabela_registros[TIPO],DADOS!$P$3,tabela_registros[CATEGORIA],despesafixaconsolidadofev[[#This Row],[DESPESA FIXA]])</f>
        <v>0</v>
      </c>
      <c r="H38" s="119" t="n">
        <f aca="false">SUMIFS(tabela_registros[VALOR],tabela_registros[MÊS],$AE$1,tabela_registros[DIA],fevtotal30[[#Headers],[4]],tabela_registros[REGISTRO],DADOS!$N$4,tabela_registros[TIPO],DADOS!$P$3,tabela_registros[CATEGORIA],despesafixaconsolidadofev[[#This Row],[DESPESA FIXA]])</f>
        <v>0</v>
      </c>
      <c r="I38" s="119" t="n">
        <f aca="false">SUMIFS(tabela_registros[VALOR],tabela_registros[MÊS],$AE$1,tabela_registros[DIA],fevtotal30[[#Headers],[5]],tabela_registros[REGISTRO],DADOS!$N$4,tabela_registros[TIPO],DADOS!$P$3,tabela_registros[CATEGORIA],despesafixaconsolidadofev[[#This Row],[DESPESA FIXA]])</f>
        <v>0</v>
      </c>
      <c r="J38" s="119" t="n">
        <f aca="false">SUMIFS(tabela_registros[VALOR],tabela_registros[MÊS],$AE$1,tabela_registros[DIA],fevtotal30[[#Headers],[6]],tabela_registros[REGISTRO],DADOS!$N$4,tabela_registros[TIPO],DADOS!$P$3,tabela_registros[CATEGORIA],despesafixaconsolidadofev[[#This Row],[DESPESA FIXA]])</f>
        <v>0</v>
      </c>
      <c r="K38" s="119" t="n">
        <f aca="false">SUMIFS(tabela_registros[VALOR],tabela_registros[MÊS],$AE$1,tabela_registros[DIA],fevtotal30[[#Headers],[7]],tabela_registros[REGISTRO],DADOS!$N$4,tabela_registros[TIPO],DADOS!$P$3,tabela_registros[CATEGORIA],despesafixaconsolidadofev[[#This Row],[DESPESA FIXA]])</f>
        <v>0</v>
      </c>
      <c r="L38" s="119" t="n">
        <f aca="false">SUMIFS(tabela_registros[VALOR],tabela_registros[MÊS],$AE$1,tabela_registros[DIA],fevtotal30[[#Headers],[8]],tabela_registros[REGISTRO],DADOS!$N$4,tabela_registros[TIPO],DADOS!$P$3,tabela_registros[CATEGORIA],despesafixaconsolidadofev[[#This Row],[DESPESA FIXA]])</f>
        <v>0</v>
      </c>
      <c r="M38" s="119" t="n">
        <f aca="false">SUMIFS(tabela_registros[VALOR],tabela_registros[MÊS],$AE$1,tabela_registros[DIA],fevtotal30[[#Headers],[9]],tabela_registros[REGISTRO],DADOS!$N$4,tabela_registros[TIPO],DADOS!$P$3,tabela_registros[CATEGORIA],despesafixaconsolidadofev[[#This Row],[DESPESA FIXA]])</f>
        <v>0</v>
      </c>
      <c r="N38" s="119" t="n">
        <f aca="false">SUMIFS(tabela_registros[VALOR],tabela_registros[MÊS],$AE$1,tabela_registros[DIA],fevtotal30[[#Headers],[10]],tabela_registros[REGISTRO],DADOS!$N$4,tabela_registros[TIPO],DADOS!$P$3,tabela_registros[CATEGORIA],despesafixaconsolidadofev[[#This Row],[DESPESA FIXA]])</f>
        <v>0</v>
      </c>
      <c r="O38" s="119" t="n">
        <f aca="false">SUMIFS(tabela_registros[VALOR],tabela_registros[MÊS],$AE$1,tabela_registros[DIA],fevtotal30[[#Headers],[11]],tabela_registros[REGISTRO],DADOS!$N$4,tabela_registros[TIPO],DADOS!$P$3,tabela_registros[CATEGORIA],despesafixaconsolidadofev[[#This Row],[DESPESA FIXA]])</f>
        <v>0</v>
      </c>
      <c r="P38" s="119" t="n">
        <f aca="false">SUMIFS(tabela_registros[VALOR],tabela_registros[MÊS],$AE$1,tabela_registros[DIA],fevtotal30[[#Headers],[12]],tabela_registros[REGISTRO],DADOS!$N$4,tabela_registros[TIPO],DADOS!$P$3,tabela_registros[CATEGORIA],despesafixaconsolidadofev[[#This Row],[DESPESA FIXA]])</f>
        <v>0</v>
      </c>
      <c r="Q38" s="119" t="n">
        <f aca="false">SUMIFS(tabela_registros[VALOR],tabela_registros[MÊS],$AE$1,tabela_registros[DIA],fevtotal30[[#Headers],[13]],tabela_registros[REGISTRO],DADOS!$N$4,tabela_registros[TIPO],DADOS!$P$3,tabela_registros[CATEGORIA],despesafixaconsolidadofev[[#This Row],[DESPESA FIXA]])</f>
        <v>0</v>
      </c>
      <c r="R38" s="119" t="n">
        <f aca="false">SUMIFS(tabela_registros[VALOR],tabela_registros[MÊS],$AE$1,tabela_registros[DIA],fevtotal30[[#Headers],[14]],tabela_registros[REGISTRO],DADOS!$N$4,tabela_registros[TIPO],DADOS!$P$3,tabela_registros[CATEGORIA],despesafixaconsolidadofev[[#This Row],[DESPESA FIXA]])</f>
        <v>0</v>
      </c>
      <c r="S38" s="119" t="n">
        <f aca="false">SUMIFS(tabela_registros[VALOR],tabela_registros[MÊS],$AE$1,tabela_registros[DIA],fevtotal30[[#Headers],[15]],tabela_registros[REGISTRO],DADOS!$N$4,tabela_registros[TIPO],DADOS!$P$3,tabela_registros[CATEGORIA],despesafixaconsolidadofev[[#This Row],[DESPESA FIXA]])</f>
        <v>0</v>
      </c>
      <c r="T38" s="119" t="n">
        <f aca="false">SUMIFS(tabela_registros[VALOR],tabela_registros[MÊS],$AE$1,tabela_registros[DIA],fevtotal30[[#Headers],[16]],tabela_registros[REGISTRO],DADOS!$N$4,tabela_registros[TIPO],DADOS!$P$3,tabela_registros[CATEGORIA],despesafixaconsolidadofev[[#This Row],[DESPESA FIXA]])</f>
        <v>0</v>
      </c>
      <c r="U38" s="119" t="n">
        <f aca="false">SUMIFS(tabela_registros[VALOR],tabela_registros[MÊS],$AE$1,tabela_registros[DIA],fevtotal30[[#Headers],[17]],tabela_registros[REGISTRO],DADOS!$N$4,tabela_registros[TIPO],DADOS!$P$3,tabela_registros[CATEGORIA],despesafixaconsolidadofev[[#This Row],[DESPESA FIXA]])</f>
        <v>0</v>
      </c>
      <c r="V38" s="119" t="n">
        <f aca="false">SUMIFS(tabela_registros[VALOR],tabela_registros[MÊS],$AE$1,tabela_registros[DIA],fevtotal30[[#Headers],[18]],tabela_registros[REGISTRO],DADOS!$N$4,tabela_registros[TIPO],DADOS!$P$3,tabela_registros[CATEGORIA],despesafixaconsolidadofev[[#This Row],[DESPESA FIXA]])</f>
        <v>0</v>
      </c>
      <c r="W38" s="119" t="n">
        <f aca="false">SUMIFS(tabela_registros[VALOR],tabela_registros[MÊS],$AE$1,tabela_registros[DIA],fevtotal30[[#Headers],[19]],tabela_registros[REGISTRO],DADOS!$N$4,tabela_registros[TIPO],DADOS!$P$3,tabela_registros[CATEGORIA],despesafixaconsolidadofev[[#This Row],[DESPESA FIXA]])</f>
        <v>0</v>
      </c>
      <c r="X38" s="119" t="n">
        <f aca="false">SUMIFS(tabela_registros[VALOR],tabela_registros[MÊS],$AE$1,tabela_registros[DIA],fevtotal30[[#Headers],[20]],tabela_registros[REGISTRO],DADOS!$N$4,tabela_registros[TIPO],DADOS!$P$3,tabela_registros[CATEGORIA],despesafixaconsolidadofev[[#This Row],[DESPESA FIXA]])</f>
        <v>0</v>
      </c>
      <c r="Y38" s="119" t="n">
        <f aca="false">SUMIFS(tabela_registros[VALOR],tabela_registros[MÊS],$AE$1,tabela_registros[DIA],fevtotal30[[#Headers],[21]],tabela_registros[REGISTRO],DADOS!$N$4,tabela_registros[TIPO],DADOS!$P$3,tabela_registros[CATEGORIA],despesafixaconsolidadofev[[#This Row],[DESPESA FIXA]])</f>
        <v>0</v>
      </c>
      <c r="Z38" s="119" t="n">
        <f aca="false">SUMIFS(tabela_registros[VALOR],tabela_registros[MÊS],$AE$1,tabela_registros[DIA],fevtotal30[[#Headers],[22]],tabela_registros[REGISTRO],DADOS!$N$4,tabela_registros[TIPO],DADOS!$P$3,tabela_registros[CATEGORIA],despesafixaconsolidadofev[[#This Row],[DESPESA FIXA]])</f>
        <v>0</v>
      </c>
      <c r="AA38" s="119" t="n">
        <f aca="false">SUMIFS(tabela_registros[VALOR],tabela_registros[MÊS],$AE$1,tabela_registros[DIA],fevtotal30[[#Headers],[23]],tabela_registros[REGISTRO],DADOS!$N$4,tabela_registros[TIPO],DADOS!$P$3,tabela_registros[CATEGORIA],despesafixaconsolidadofev[[#This Row],[DESPESA FIXA]])</f>
        <v>0</v>
      </c>
      <c r="AB38" s="119" t="n">
        <f aca="false">SUMIFS(tabela_registros[VALOR],tabela_registros[MÊS],$AE$1,tabela_registros[DIA],fevtotal30[[#Headers],[24]],tabela_registros[REGISTRO],DADOS!$N$4,tabela_registros[TIPO],DADOS!$P$3,tabela_registros[CATEGORIA],despesafixaconsolidadofev[[#This Row],[DESPESA FIXA]])</f>
        <v>0</v>
      </c>
      <c r="AC38" s="119" t="n">
        <f aca="false">SUMIFS(tabela_registros[VALOR],tabela_registros[MÊS],$AE$1,tabela_registros[DIA],fevtotal30[[#Headers],[25]],tabela_registros[REGISTRO],DADOS!$N$4,tabela_registros[TIPO],DADOS!$P$3,tabela_registros[CATEGORIA],despesafixaconsolidadofev[[#This Row],[DESPESA FIXA]])</f>
        <v>0</v>
      </c>
      <c r="AD38" s="119" t="n">
        <f aca="false">SUMIFS(tabela_registros[VALOR],tabela_registros[MÊS],$AE$1,tabela_registros[DIA],fevtotal30[[#Headers],[26]],tabela_registros[REGISTRO],DADOS!$N$4,tabela_registros[TIPO],DADOS!$P$3,tabela_registros[CATEGORIA],despesafixaconsolidadofev[[#This Row],[DESPESA FIXA]])</f>
        <v>0</v>
      </c>
      <c r="AE38" s="119" t="n">
        <f aca="false">SUMIFS(tabela_registros[VALOR],tabela_registros[MÊS],$AE$1,tabela_registros[DIA],fevtotal30[[#Headers],[27]],tabela_registros[REGISTRO],DADOS!$N$4,tabela_registros[TIPO],DADOS!$P$3,tabela_registros[CATEGORIA],despesafixaconsolidadofev[[#This Row],[DESPESA FIXA]])</f>
        <v>0</v>
      </c>
      <c r="AF38" s="119" t="n">
        <f aca="false">SUMIFS(tabela_registros[VALOR],tabela_registros[MÊS],$AE$1,tabela_registros[DIA],fevtotal30[[#Headers],[28]],tabela_registros[REGISTRO],DADOS!$N$4,tabela_registros[TIPO],DADOS!$P$3,tabela_registros[CATEGORIA],despesafixaconsolidadofev[[#This Row],[DESPESA FIXA]])</f>
        <v>0</v>
      </c>
      <c r="AG38" s="119" t="n">
        <f aca="false">SUMIFS(tabela_registros[VALOR],tabela_registros[MÊS],$AE$1,tabela_registros[DIA],fevtotal30[[#Headers],[29]],tabela_registros[REGISTRO],DADOS!$N$4,tabela_registros[TIPO],DADOS!$P$3,tabela_registros[CATEGORIA],despesafixaconsolidadofev[[#This Row],[DESPESA FIXA]])</f>
        <v>0</v>
      </c>
      <c r="AH38" s="119" t="n">
        <f aca="false">SUMIFS(tabela_registros[VALOR],tabela_registros[MÊS],$AE$1,tabela_registros[DIA],fevtotal30[[#Headers],[30]],tabela_registros[REGISTRO],DADOS!$N$4,tabela_registros[TIPO],DADOS!$P$3,tabela_registros[CATEGORIA],despesafixaconsolidadofev[[#This Row],[DESPESA FIXA]])</f>
        <v>0</v>
      </c>
      <c r="AI38" s="217" t="n">
        <f aca="false">SUMIFS(tabela_registros[VALOR],tabela_registros[MÊS],$AE$1,tabela_registros[DIA],fevtotal30[[#Headers],[31]],tabela_registros[REGISTRO],DADOS!$N$4,tabela_registros[TIPO],DADOS!$P$3,tabela_registros[CATEGORIA],despesafixaconsolidadofev[[#This Row],[DESPESA FIXA]])</f>
        <v>0</v>
      </c>
      <c r="AJ38" s="149" t="n">
        <f aca="false">SUM(despesafixaconsolidadofev[[#This Row],[1]:[31]])</f>
        <v>0</v>
      </c>
      <c r="AK38" s="143"/>
    </row>
    <row r="39" customFormat="false" ht="18" hidden="false" customHeight="true" outlineLevel="0" collapsed="false">
      <c r="B39" s="143"/>
      <c r="C39" s="144" t="str">
        <f aca="false">DADOS!$R$5</f>
        <v>🔖 ASSINATURAS E SERVIÇOS</v>
      </c>
      <c r="D39" s="145" t="str">
        <f aca="false">IF(despesafixaconsolidadofev[[#This Row],[TOTAL]]=0,"",IF(OR(despesafixaconsolidadofev[[#This Row],[TOTAL]]=LARGE($AJ$37:$AJ$50,1),despesafixaconsolidadofev[[#This Row],[TOTAL]]=LARGE($AJ$37:$AJ$50,2),despesafixaconsolidadofev[[#This Row],[TOTAL]]=LARGE($AJ$37:$AJ$50,3),despesafixaconsolidadofev[[#This Row],[TOTAL]]=LARGE($AJ$37:$AJ$50,4),despesafixaconsolidadofev[[#This Row],[TOTAL]]=LARGE($AJ$37:$AJ$50,5)),DADOS!$I$8,""))</f>
        <v/>
      </c>
      <c r="E39" s="148" t="n">
        <f aca="false">SUMIFS(tabela_registros[VALOR],tabela_registros[MÊS],$AE$1,tabela_registros[DIA],fevtotal30[[#Headers],[1]],tabela_registros[REGISTRO],DADOS!$N$4,tabela_registros[TIPO],DADOS!$P$3,tabela_registros[CATEGORIA],despesafixaconsolidadofev[[#This Row],[DESPESA FIXA]])</f>
        <v>0</v>
      </c>
      <c r="F39" s="119" t="n">
        <f aca="false">SUMIFS(tabela_registros[VALOR],tabela_registros[MÊS],$AE$1,tabela_registros[DIA],fevtotal30[[#Headers],[2]],tabela_registros[REGISTRO],DADOS!$N$4,tabela_registros[TIPO],DADOS!$P$3,tabela_registros[CATEGORIA],despesafixaconsolidadofev[[#This Row],[DESPESA FIXA]])</f>
        <v>0</v>
      </c>
      <c r="G39" s="119" t="n">
        <f aca="false">SUMIFS(tabela_registros[VALOR],tabela_registros[MÊS],$AE$1,tabela_registros[DIA],fevtotal30[[#Headers],[3]],tabela_registros[REGISTRO],DADOS!$N$4,tabela_registros[TIPO],DADOS!$P$3,tabela_registros[CATEGORIA],despesafixaconsolidadofev[[#This Row],[DESPESA FIXA]])</f>
        <v>0</v>
      </c>
      <c r="H39" s="119" t="n">
        <f aca="false">SUMIFS(tabela_registros[VALOR],tabela_registros[MÊS],$AE$1,tabela_registros[DIA],fevtotal30[[#Headers],[4]],tabela_registros[REGISTRO],DADOS!$N$4,tabela_registros[TIPO],DADOS!$P$3,tabela_registros[CATEGORIA],despesafixaconsolidadofev[[#This Row],[DESPESA FIXA]])</f>
        <v>0</v>
      </c>
      <c r="I39" s="119" t="n">
        <f aca="false">SUMIFS(tabela_registros[VALOR],tabela_registros[MÊS],$AE$1,tabela_registros[DIA],fevtotal30[[#Headers],[5]],tabela_registros[REGISTRO],DADOS!$N$4,tabela_registros[TIPO],DADOS!$P$3,tabela_registros[CATEGORIA],despesafixaconsolidadofev[[#This Row],[DESPESA FIXA]])</f>
        <v>0</v>
      </c>
      <c r="J39" s="119" t="n">
        <f aca="false">SUMIFS(tabela_registros[VALOR],tabela_registros[MÊS],$AE$1,tabela_registros[DIA],fevtotal30[[#Headers],[6]],tabela_registros[REGISTRO],DADOS!$N$4,tabela_registros[TIPO],DADOS!$P$3,tabela_registros[CATEGORIA],despesafixaconsolidadofev[[#This Row],[DESPESA FIXA]])</f>
        <v>0</v>
      </c>
      <c r="K39" s="119" t="n">
        <f aca="false">SUMIFS(tabela_registros[VALOR],tabela_registros[MÊS],$AE$1,tabela_registros[DIA],fevtotal30[[#Headers],[7]],tabela_registros[REGISTRO],DADOS!$N$4,tabela_registros[TIPO],DADOS!$P$3,tabela_registros[CATEGORIA],despesafixaconsolidadofev[[#This Row],[DESPESA FIXA]])</f>
        <v>0</v>
      </c>
      <c r="L39" s="119" t="n">
        <f aca="false">SUMIFS(tabela_registros[VALOR],tabela_registros[MÊS],$AE$1,tabela_registros[DIA],fevtotal30[[#Headers],[8]],tabela_registros[REGISTRO],DADOS!$N$4,tabela_registros[TIPO],DADOS!$P$3,tabela_registros[CATEGORIA],despesafixaconsolidadofev[[#This Row],[DESPESA FIXA]])</f>
        <v>0</v>
      </c>
      <c r="M39" s="119" t="n">
        <f aca="false">SUMIFS(tabela_registros[VALOR],tabela_registros[MÊS],$AE$1,tabela_registros[DIA],fevtotal30[[#Headers],[9]],tabela_registros[REGISTRO],DADOS!$N$4,tabela_registros[TIPO],DADOS!$P$3,tabela_registros[CATEGORIA],despesafixaconsolidadofev[[#This Row],[DESPESA FIXA]])</f>
        <v>0</v>
      </c>
      <c r="N39" s="119" t="n">
        <f aca="false">SUMIFS(tabela_registros[VALOR],tabela_registros[MÊS],$AE$1,tabela_registros[DIA],fevtotal30[[#Headers],[10]],tabela_registros[REGISTRO],DADOS!$N$4,tabela_registros[TIPO],DADOS!$P$3,tabela_registros[CATEGORIA],despesafixaconsolidadofev[[#This Row],[DESPESA FIXA]])</f>
        <v>0</v>
      </c>
      <c r="O39" s="119" t="n">
        <f aca="false">SUMIFS(tabela_registros[VALOR],tabela_registros[MÊS],$AE$1,tabela_registros[DIA],fevtotal30[[#Headers],[11]],tabela_registros[REGISTRO],DADOS!$N$4,tabela_registros[TIPO],DADOS!$P$3,tabela_registros[CATEGORIA],despesafixaconsolidadofev[[#This Row],[DESPESA FIXA]])</f>
        <v>0</v>
      </c>
      <c r="P39" s="119" t="n">
        <f aca="false">SUMIFS(tabela_registros[VALOR],tabela_registros[MÊS],$AE$1,tabela_registros[DIA],fevtotal30[[#Headers],[12]],tabela_registros[REGISTRO],DADOS!$N$4,tabela_registros[TIPO],DADOS!$P$3,tabela_registros[CATEGORIA],despesafixaconsolidadofev[[#This Row],[DESPESA FIXA]])</f>
        <v>0</v>
      </c>
      <c r="Q39" s="119" t="n">
        <f aca="false">SUMIFS(tabela_registros[VALOR],tabela_registros[MÊS],$AE$1,tabela_registros[DIA],fevtotal30[[#Headers],[13]],tabela_registros[REGISTRO],DADOS!$N$4,tabela_registros[TIPO],DADOS!$P$3,tabela_registros[CATEGORIA],despesafixaconsolidadofev[[#This Row],[DESPESA FIXA]])</f>
        <v>0</v>
      </c>
      <c r="R39" s="119" t="n">
        <f aca="false">SUMIFS(tabela_registros[VALOR],tabela_registros[MÊS],$AE$1,tabela_registros[DIA],fevtotal30[[#Headers],[14]],tabela_registros[REGISTRO],DADOS!$N$4,tabela_registros[TIPO],DADOS!$P$3,tabela_registros[CATEGORIA],despesafixaconsolidadofev[[#This Row],[DESPESA FIXA]])</f>
        <v>0</v>
      </c>
      <c r="S39" s="119" t="n">
        <f aca="false">SUMIFS(tabela_registros[VALOR],tabela_registros[MÊS],$AE$1,tabela_registros[DIA],fevtotal30[[#Headers],[15]],tabela_registros[REGISTRO],DADOS!$N$4,tabela_registros[TIPO],DADOS!$P$3,tabela_registros[CATEGORIA],despesafixaconsolidadofev[[#This Row],[DESPESA FIXA]])</f>
        <v>0</v>
      </c>
      <c r="T39" s="119" t="n">
        <f aca="false">SUMIFS(tabela_registros[VALOR],tabela_registros[MÊS],$AE$1,tabela_registros[DIA],fevtotal30[[#Headers],[16]],tabela_registros[REGISTRO],DADOS!$N$4,tabela_registros[TIPO],DADOS!$P$3,tabela_registros[CATEGORIA],despesafixaconsolidadofev[[#This Row],[DESPESA FIXA]])</f>
        <v>0</v>
      </c>
      <c r="U39" s="119" t="n">
        <f aca="false">SUMIFS(tabela_registros[VALOR],tabela_registros[MÊS],$AE$1,tabela_registros[DIA],fevtotal30[[#Headers],[17]],tabela_registros[REGISTRO],DADOS!$N$4,tabela_registros[TIPO],DADOS!$P$3,tabela_registros[CATEGORIA],despesafixaconsolidadofev[[#This Row],[DESPESA FIXA]])</f>
        <v>0</v>
      </c>
      <c r="V39" s="119" t="n">
        <f aca="false">SUMIFS(tabela_registros[VALOR],tabela_registros[MÊS],$AE$1,tabela_registros[DIA],fevtotal30[[#Headers],[18]],tabela_registros[REGISTRO],DADOS!$N$4,tabela_registros[TIPO],DADOS!$P$3,tabela_registros[CATEGORIA],despesafixaconsolidadofev[[#This Row],[DESPESA FIXA]])</f>
        <v>0</v>
      </c>
      <c r="W39" s="119" t="n">
        <f aca="false">SUMIFS(tabela_registros[VALOR],tabela_registros[MÊS],$AE$1,tabela_registros[DIA],fevtotal30[[#Headers],[19]],tabela_registros[REGISTRO],DADOS!$N$4,tabela_registros[TIPO],DADOS!$P$3,tabela_registros[CATEGORIA],despesafixaconsolidadofev[[#This Row],[DESPESA FIXA]])</f>
        <v>0</v>
      </c>
      <c r="X39" s="119" t="n">
        <f aca="false">SUMIFS(tabela_registros[VALOR],tabela_registros[MÊS],$AE$1,tabela_registros[DIA],fevtotal30[[#Headers],[20]],tabela_registros[REGISTRO],DADOS!$N$4,tabela_registros[TIPO],DADOS!$P$3,tabela_registros[CATEGORIA],despesafixaconsolidadofev[[#This Row],[DESPESA FIXA]])</f>
        <v>0</v>
      </c>
      <c r="Y39" s="119" t="n">
        <f aca="false">SUMIFS(tabela_registros[VALOR],tabela_registros[MÊS],$AE$1,tabela_registros[DIA],fevtotal30[[#Headers],[21]],tabela_registros[REGISTRO],DADOS!$N$4,tabela_registros[TIPO],DADOS!$P$3,tabela_registros[CATEGORIA],despesafixaconsolidadofev[[#This Row],[DESPESA FIXA]])</f>
        <v>0</v>
      </c>
      <c r="Z39" s="119" t="n">
        <f aca="false">SUMIFS(tabela_registros[VALOR],tabela_registros[MÊS],$AE$1,tabela_registros[DIA],fevtotal30[[#Headers],[22]],tabela_registros[REGISTRO],DADOS!$N$4,tabela_registros[TIPO],DADOS!$P$3,tabela_registros[CATEGORIA],despesafixaconsolidadofev[[#This Row],[DESPESA FIXA]])</f>
        <v>0</v>
      </c>
      <c r="AA39" s="119" t="n">
        <f aca="false">SUMIFS(tabela_registros[VALOR],tabela_registros[MÊS],$AE$1,tabela_registros[DIA],fevtotal30[[#Headers],[23]],tabela_registros[REGISTRO],DADOS!$N$4,tabela_registros[TIPO],DADOS!$P$3,tabela_registros[CATEGORIA],despesafixaconsolidadofev[[#This Row],[DESPESA FIXA]])</f>
        <v>0</v>
      </c>
      <c r="AB39" s="119" t="n">
        <f aca="false">SUMIFS(tabela_registros[VALOR],tabela_registros[MÊS],$AE$1,tabela_registros[DIA],fevtotal30[[#Headers],[24]],tabela_registros[REGISTRO],DADOS!$N$4,tabela_registros[TIPO],DADOS!$P$3,tabela_registros[CATEGORIA],despesafixaconsolidadofev[[#This Row],[DESPESA FIXA]])</f>
        <v>0</v>
      </c>
      <c r="AC39" s="119" t="n">
        <f aca="false">SUMIFS(tabela_registros[VALOR],tabela_registros[MÊS],$AE$1,tabela_registros[DIA],fevtotal30[[#Headers],[25]],tabela_registros[REGISTRO],DADOS!$N$4,tabela_registros[TIPO],DADOS!$P$3,tabela_registros[CATEGORIA],despesafixaconsolidadofev[[#This Row],[DESPESA FIXA]])</f>
        <v>0</v>
      </c>
      <c r="AD39" s="119" t="n">
        <f aca="false">SUMIFS(tabela_registros[VALOR],tabela_registros[MÊS],$AE$1,tabela_registros[DIA],fevtotal30[[#Headers],[26]],tabela_registros[REGISTRO],DADOS!$N$4,tabela_registros[TIPO],DADOS!$P$3,tabela_registros[CATEGORIA],despesafixaconsolidadofev[[#This Row],[DESPESA FIXA]])</f>
        <v>0</v>
      </c>
      <c r="AE39" s="119" t="n">
        <f aca="false">SUMIFS(tabela_registros[VALOR],tabela_registros[MÊS],$AE$1,tabela_registros[DIA],fevtotal30[[#Headers],[27]],tabela_registros[REGISTRO],DADOS!$N$4,tabela_registros[TIPO],DADOS!$P$3,tabela_registros[CATEGORIA],despesafixaconsolidadofev[[#This Row],[DESPESA FIXA]])</f>
        <v>0</v>
      </c>
      <c r="AF39" s="119" t="n">
        <f aca="false">SUMIFS(tabela_registros[VALOR],tabela_registros[MÊS],$AE$1,tabela_registros[DIA],fevtotal30[[#Headers],[28]],tabela_registros[REGISTRO],DADOS!$N$4,tabela_registros[TIPO],DADOS!$P$3,tabela_registros[CATEGORIA],despesafixaconsolidadofev[[#This Row],[DESPESA FIXA]])</f>
        <v>0</v>
      </c>
      <c r="AG39" s="119" t="n">
        <f aca="false">SUMIFS(tabela_registros[VALOR],tabela_registros[MÊS],$AE$1,tabela_registros[DIA],fevtotal30[[#Headers],[29]],tabela_registros[REGISTRO],DADOS!$N$4,tabela_registros[TIPO],DADOS!$P$3,tabela_registros[CATEGORIA],despesafixaconsolidadofev[[#This Row],[DESPESA FIXA]])</f>
        <v>0</v>
      </c>
      <c r="AH39" s="119" t="n">
        <f aca="false">SUMIFS(tabela_registros[VALOR],tabela_registros[MÊS],$AE$1,tabela_registros[DIA],fevtotal30[[#Headers],[30]],tabela_registros[REGISTRO],DADOS!$N$4,tabela_registros[TIPO],DADOS!$P$3,tabela_registros[CATEGORIA],despesafixaconsolidadofev[[#This Row],[DESPESA FIXA]])</f>
        <v>0</v>
      </c>
      <c r="AI39" s="217" t="n">
        <f aca="false">SUMIFS(tabela_registros[VALOR],tabela_registros[MÊS],$AE$1,tabela_registros[DIA],fevtotal30[[#Headers],[31]],tabela_registros[REGISTRO],DADOS!$N$4,tabela_registros[TIPO],DADOS!$P$3,tabela_registros[CATEGORIA],despesafixaconsolidadofev[[#This Row],[DESPESA FIXA]])</f>
        <v>0</v>
      </c>
      <c r="AJ39" s="149" t="n">
        <f aca="false">SUM(despesafixaconsolidadofev[[#This Row],[1]:[31]])</f>
        <v>0</v>
      </c>
      <c r="AK39" s="143"/>
    </row>
    <row r="40" customFormat="false" ht="18" hidden="false" customHeight="true" outlineLevel="0" collapsed="false">
      <c r="B40" s="143"/>
      <c r="C40" s="144" t="str">
        <f aca="false">DADOS!$R$6</f>
        <v>📱 CELULAR</v>
      </c>
      <c r="D40" s="145" t="str">
        <f aca="false">IF(despesafixaconsolidadofev[[#This Row],[TOTAL]]=0,"",IF(OR(despesafixaconsolidadofev[[#This Row],[TOTAL]]=LARGE($AJ$37:$AJ$50,1),despesafixaconsolidadofev[[#This Row],[TOTAL]]=LARGE($AJ$37:$AJ$50,2),despesafixaconsolidadofev[[#This Row],[TOTAL]]=LARGE($AJ$37:$AJ$50,3),despesafixaconsolidadofev[[#This Row],[TOTAL]]=LARGE($AJ$37:$AJ$50,4),despesafixaconsolidadofev[[#This Row],[TOTAL]]=LARGE($AJ$37:$AJ$50,5)),DADOS!$I$8,""))</f>
        <v/>
      </c>
      <c r="E40" s="148" t="n">
        <f aca="false">SUMIFS(tabela_registros[VALOR],tabela_registros[MÊS],$AE$1,tabela_registros[DIA],fevtotal30[[#Headers],[1]],tabela_registros[REGISTRO],DADOS!$N$4,tabela_registros[TIPO],DADOS!$P$3,tabela_registros[CATEGORIA],despesafixaconsolidadofev[[#This Row],[DESPESA FIXA]])</f>
        <v>0</v>
      </c>
      <c r="F40" s="119" t="n">
        <f aca="false">SUMIFS(tabela_registros[VALOR],tabela_registros[MÊS],$AE$1,tabela_registros[DIA],fevtotal30[[#Headers],[2]],tabela_registros[REGISTRO],DADOS!$N$4,tabela_registros[TIPO],DADOS!$P$3,tabela_registros[CATEGORIA],despesafixaconsolidadofev[[#This Row],[DESPESA FIXA]])</f>
        <v>0</v>
      </c>
      <c r="G40" s="119" t="n">
        <f aca="false">SUMIFS(tabela_registros[VALOR],tabela_registros[MÊS],$AE$1,tabela_registros[DIA],fevtotal30[[#Headers],[3]],tabela_registros[REGISTRO],DADOS!$N$4,tabela_registros[TIPO],DADOS!$P$3,tabela_registros[CATEGORIA],despesafixaconsolidadofev[[#This Row],[DESPESA FIXA]])</f>
        <v>0</v>
      </c>
      <c r="H40" s="119" t="n">
        <f aca="false">SUMIFS(tabela_registros[VALOR],tabela_registros[MÊS],$AE$1,tabela_registros[DIA],fevtotal30[[#Headers],[4]],tabela_registros[REGISTRO],DADOS!$N$4,tabela_registros[TIPO],DADOS!$P$3,tabela_registros[CATEGORIA],despesafixaconsolidadofev[[#This Row],[DESPESA FIXA]])</f>
        <v>0</v>
      </c>
      <c r="I40" s="119" t="n">
        <f aca="false">SUMIFS(tabela_registros[VALOR],tabela_registros[MÊS],$AE$1,tabela_registros[DIA],fevtotal30[[#Headers],[5]],tabela_registros[REGISTRO],DADOS!$N$4,tabela_registros[TIPO],DADOS!$P$3,tabela_registros[CATEGORIA],despesafixaconsolidadofev[[#This Row],[DESPESA FIXA]])</f>
        <v>0</v>
      </c>
      <c r="J40" s="119" t="n">
        <f aca="false">SUMIFS(tabela_registros[VALOR],tabela_registros[MÊS],$AE$1,tabela_registros[DIA],fevtotal30[[#Headers],[6]],tabela_registros[REGISTRO],DADOS!$N$4,tabela_registros[TIPO],DADOS!$P$3,tabela_registros[CATEGORIA],despesafixaconsolidadofev[[#This Row],[DESPESA FIXA]])</f>
        <v>0</v>
      </c>
      <c r="K40" s="119" t="n">
        <f aca="false">SUMIFS(tabela_registros[VALOR],tabela_registros[MÊS],$AE$1,tabela_registros[DIA],fevtotal30[[#Headers],[7]],tabela_registros[REGISTRO],DADOS!$N$4,tabela_registros[TIPO],DADOS!$P$3,tabela_registros[CATEGORIA],despesafixaconsolidadofev[[#This Row],[DESPESA FIXA]])</f>
        <v>0</v>
      </c>
      <c r="L40" s="119" t="n">
        <f aca="false">SUMIFS(tabela_registros[VALOR],tabela_registros[MÊS],$AE$1,tabela_registros[DIA],fevtotal30[[#Headers],[8]],tabela_registros[REGISTRO],DADOS!$N$4,tabela_registros[TIPO],DADOS!$P$3,tabela_registros[CATEGORIA],despesafixaconsolidadofev[[#This Row],[DESPESA FIXA]])</f>
        <v>0</v>
      </c>
      <c r="M40" s="119" t="n">
        <f aca="false">SUMIFS(tabela_registros[VALOR],tabela_registros[MÊS],$AE$1,tabela_registros[DIA],fevtotal30[[#Headers],[9]],tabela_registros[REGISTRO],DADOS!$N$4,tabela_registros[TIPO],DADOS!$P$3,tabela_registros[CATEGORIA],despesafixaconsolidadofev[[#This Row],[DESPESA FIXA]])</f>
        <v>0</v>
      </c>
      <c r="N40" s="119" t="n">
        <f aca="false">SUMIFS(tabela_registros[VALOR],tabela_registros[MÊS],$AE$1,tabela_registros[DIA],fevtotal30[[#Headers],[10]],tabela_registros[REGISTRO],DADOS!$N$4,tabela_registros[TIPO],DADOS!$P$3,tabela_registros[CATEGORIA],despesafixaconsolidadofev[[#This Row],[DESPESA FIXA]])</f>
        <v>0</v>
      </c>
      <c r="O40" s="119" t="n">
        <f aca="false">SUMIFS(tabela_registros[VALOR],tabela_registros[MÊS],$AE$1,tabela_registros[DIA],fevtotal30[[#Headers],[11]],tabela_registros[REGISTRO],DADOS!$N$4,tabela_registros[TIPO],DADOS!$P$3,tabela_registros[CATEGORIA],despesafixaconsolidadofev[[#This Row],[DESPESA FIXA]])</f>
        <v>0</v>
      </c>
      <c r="P40" s="119" t="n">
        <f aca="false">SUMIFS(tabela_registros[VALOR],tabela_registros[MÊS],$AE$1,tabela_registros[DIA],fevtotal30[[#Headers],[12]],tabela_registros[REGISTRO],DADOS!$N$4,tabela_registros[TIPO],DADOS!$P$3,tabela_registros[CATEGORIA],despesafixaconsolidadofev[[#This Row],[DESPESA FIXA]])</f>
        <v>0</v>
      </c>
      <c r="Q40" s="119" t="n">
        <f aca="false">SUMIFS(tabela_registros[VALOR],tabela_registros[MÊS],$AE$1,tabela_registros[DIA],fevtotal30[[#Headers],[13]],tabela_registros[REGISTRO],DADOS!$N$4,tabela_registros[TIPO],DADOS!$P$3,tabela_registros[CATEGORIA],despesafixaconsolidadofev[[#This Row],[DESPESA FIXA]])</f>
        <v>0</v>
      </c>
      <c r="R40" s="119" t="n">
        <f aca="false">SUMIFS(tabela_registros[VALOR],tabela_registros[MÊS],$AE$1,tabela_registros[DIA],fevtotal30[[#Headers],[14]],tabela_registros[REGISTRO],DADOS!$N$4,tabela_registros[TIPO],DADOS!$P$3,tabela_registros[CATEGORIA],despesafixaconsolidadofev[[#This Row],[DESPESA FIXA]])</f>
        <v>0</v>
      </c>
      <c r="S40" s="119" t="n">
        <f aca="false">SUMIFS(tabela_registros[VALOR],tabela_registros[MÊS],$AE$1,tabela_registros[DIA],fevtotal30[[#Headers],[15]],tabela_registros[REGISTRO],DADOS!$N$4,tabela_registros[TIPO],DADOS!$P$3,tabela_registros[CATEGORIA],despesafixaconsolidadofev[[#This Row],[DESPESA FIXA]])</f>
        <v>0</v>
      </c>
      <c r="T40" s="119" t="n">
        <f aca="false">SUMIFS(tabela_registros[VALOR],tabela_registros[MÊS],$AE$1,tabela_registros[DIA],fevtotal30[[#Headers],[16]],tabela_registros[REGISTRO],DADOS!$N$4,tabela_registros[TIPO],DADOS!$P$3,tabela_registros[CATEGORIA],despesafixaconsolidadofev[[#This Row],[DESPESA FIXA]])</f>
        <v>0</v>
      </c>
      <c r="U40" s="119" t="n">
        <f aca="false">SUMIFS(tabela_registros[VALOR],tabela_registros[MÊS],$AE$1,tabela_registros[DIA],fevtotal30[[#Headers],[17]],tabela_registros[REGISTRO],DADOS!$N$4,tabela_registros[TIPO],DADOS!$P$3,tabela_registros[CATEGORIA],despesafixaconsolidadofev[[#This Row],[DESPESA FIXA]])</f>
        <v>0</v>
      </c>
      <c r="V40" s="119" t="n">
        <f aca="false">SUMIFS(tabela_registros[VALOR],tabela_registros[MÊS],$AE$1,tabela_registros[DIA],fevtotal30[[#Headers],[18]],tabela_registros[REGISTRO],DADOS!$N$4,tabela_registros[TIPO],DADOS!$P$3,tabela_registros[CATEGORIA],despesafixaconsolidadofev[[#This Row],[DESPESA FIXA]])</f>
        <v>0</v>
      </c>
      <c r="W40" s="119" t="n">
        <f aca="false">SUMIFS(tabela_registros[VALOR],tabela_registros[MÊS],$AE$1,tabela_registros[DIA],fevtotal30[[#Headers],[19]],tabela_registros[REGISTRO],DADOS!$N$4,tabela_registros[TIPO],DADOS!$P$3,tabela_registros[CATEGORIA],despesafixaconsolidadofev[[#This Row],[DESPESA FIXA]])</f>
        <v>0</v>
      </c>
      <c r="X40" s="119" t="n">
        <f aca="false">SUMIFS(tabela_registros[VALOR],tabela_registros[MÊS],$AE$1,tabela_registros[DIA],fevtotal30[[#Headers],[20]],tabela_registros[REGISTRO],DADOS!$N$4,tabela_registros[TIPO],DADOS!$P$3,tabela_registros[CATEGORIA],despesafixaconsolidadofev[[#This Row],[DESPESA FIXA]])</f>
        <v>0</v>
      </c>
      <c r="Y40" s="119" t="n">
        <f aca="false">SUMIFS(tabela_registros[VALOR],tabela_registros[MÊS],$AE$1,tabela_registros[DIA],fevtotal30[[#Headers],[21]],tabela_registros[REGISTRO],DADOS!$N$4,tabela_registros[TIPO],DADOS!$P$3,tabela_registros[CATEGORIA],despesafixaconsolidadofev[[#This Row],[DESPESA FIXA]])</f>
        <v>0</v>
      </c>
      <c r="Z40" s="119" t="n">
        <f aca="false">SUMIFS(tabela_registros[VALOR],tabela_registros[MÊS],$AE$1,tabela_registros[DIA],fevtotal30[[#Headers],[22]],tabela_registros[REGISTRO],DADOS!$N$4,tabela_registros[TIPO],DADOS!$P$3,tabela_registros[CATEGORIA],despesafixaconsolidadofev[[#This Row],[DESPESA FIXA]])</f>
        <v>0</v>
      </c>
      <c r="AA40" s="119" t="n">
        <f aca="false">SUMIFS(tabela_registros[VALOR],tabela_registros[MÊS],$AE$1,tabela_registros[DIA],fevtotal30[[#Headers],[23]],tabela_registros[REGISTRO],DADOS!$N$4,tabela_registros[TIPO],DADOS!$P$3,tabela_registros[CATEGORIA],despesafixaconsolidadofev[[#This Row],[DESPESA FIXA]])</f>
        <v>0</v>
      </c>
      <c r="AB40" s="119" t="n">
        <f aca="false">SUMIFS(tabela_registros[VALOR],tabela_registros[MÊS],$AE$1,tabela_registros[DIA],fevtotal30[[#Headers],[24]],tabela_registros[REGISTRO],DADOS!$N$4,tabela_registros[TIPO],DADOS!$P$3,tabela_registros[CATEGORIA],despesafixaconsolidadofev[[#This Row],[DESPESA FIXA]])</f>
        <v>0</v>
      </c>
      <c r="AC40" s="119" t="n">
        <f aca="false">SUMIFS(tabela_registros[VALOR],tabela_registros[MÊS],$AE$1,tabela_registros[DIA],fevtotal30[[#Headers],[25]],tabela_registros[REGISTRO],DADOS!$N$4,tabela_registros[TIPO],DADOS!$P$3,tabela_registros[CATEGORIA],despesafixaconsolidadofev[[#This Row],[DESPESA FIXA]])</f>
        <v>0</v>
      </c>
      <c r="AD40" s="119" t="n">
        <f aca="false">SUMIFS(tabela_registros[VALOR],tabela_registros[MÊS],$AE$1,tabela_registros[DIA],fevtotal30[[#Headers],[26]],tabela_registros[REGISTRO],DADOS!$N$4,tabela_registros[TIPO],DADOS!$P$3,tabela_registros[CATEGORIA],despesafixaconsolidadofev[[#This Row],[DESPESA FIXA]])</f>
        <v>0</v>
      </c>
      <c r="AE40" s="119" t="n">
        <f aca="false">SUMIFS(tabela_registros[VALOR],tabela_registros[MÊS],$AE$1,tabela_registros[DIA],fevtotal30[[#Headers],[27]],tabela_registros[REGISTRO],DADOS!$N$4,tabela_registros[TIPO],DADOS!$P$3,tabela_registros[CATEGORIA],despesafixaconsolidadofev[[#This Row],[DESPESA FIXA]])</f>
        <v>0</v>
      </c>
      <c r="AF40" s="119" t="n">
        <f aca="false">SUMIFS(tabela_registros[VALOR],tabela_registros[MÊS],$AE$1,tabela_registros[DIA],fevtotal30[[#Headers],[28]],tabela_registros[REGISTRO],DADOS!$N$4,tabela_registros[TIPO],DADOS!$P$3,tabela_registros[CATEGORIA],despesafixaconsolidadofev[[#This Row],[DESPESA FIXA]])</f>
        <v>0</v>
      </c>
      <c r="AG40" s="119" t="n">
        <f aca="false">SUMIFS(tabela_registros[VALOR],tabela_registros[MÊS],$AE$1,tabela_registros[DIA],fevtotal30[[#Headers],[29]],tabela_registros[REGISTRO],DADOS!$N$4,tabela_registros[TIPO],DADOS!$P$3,tabela_registros[CATEGORIA],despesafixaconsolidadofev[[#This Row],[DESPESA FIXA]])</f>
        <v>0</v>
      </c>
      <c r="AH40" s="119" t="n">
        <f aca="false">SUMIFS(tabela_registros[VALOR],tabela_registros[MÊS],$AE$1,tabela_registros[DIA],fevtotal30[[#Headers],[30]],tabela_registros[REGISTRO],DADOS!$N$4,tabela_registros[TIPO],DADOS!$P$3,tabela_registros[CATEGORIA],despesafixaconsolidadofev[[#This Row],[DESPESA FIXA]])</f>
        <v>0</v>
      </c>
      <c r="AI40" s="217" t="n">
        <f aca="false">SUMIFS(tabela_registros[VALOR],tabela_registros[MÊS],$AE$1,tabela_registros[DIA],fevtotal30[[#Headers],[31]],tabela_registros[REGISTRO],DADOS!$N$4,tabela_registros[TIPO],DADOS!$P$3,tabela_registros[CATEGORIA],despesafixaconsolidadofev[[#This Row],[DESPESA FIXA]])</f>
        <v>0</v>
      </c>
      <c r="AJ40" s="149" t="n">
        <f aca="false">SUM(despesafixaconsolidadofev[[#This Row],[1]:[31]])</f>
        <v>0</v>
      </c>
      <c r="AK40" s="143"/>
    </row>
    <row r="41" customFormat="false" ht="18" hidden="false" customHeight="true" outlineLevel="0" collapsed="false">
      <c r="B41" s="143"/>
      <c r="C41" s="144" t="str">
        <f aca="false">DADOS!$R$7</f>
        <v>📖 EDUCAÇÃO</v>
      </c>
      <c r="D41" s="145" t="str">
        <f aca="false">IF(despesafixaconsolidadofev[[#This Row],[TOTAL]]=0,"",IF(OR(despesafixaconsolidadofev[[#This Row],[TOTAL]]=LARGE($AJ$37:$AJ$50,1),despesafixaconsolidadofev[[#This Row],[TOTAL]]=LARGE($AJ$37:$AJ$50,2),despesafixaconsolidadofev[[#This Row],[TOTAL]]=LARGE($AJ$37:$AJ$50,3),despesafixaconsolidadofev[[#This Row],[TOTAL]]=LARGE($AJ$37:$AJ$50,4),despesafixaconsolidadofev[[#This Row],[TOTAL]]=LARGE($AJ$37:$AJ$50,5)),DADOS!$I$8,""))</f>
        <v/>
      </c>
      <c r="E41" s="148" t="n">
        <f aca="false">SUMIFS(tabela_registros[VALOR],tabela_registros[MÊS],$AE$1,tabela_registros[DIA],fevtotal30[[#Headers],[1]],tabela_registros[REGISTRO],DADOS!$N$4,tabela_registros[TIPO],DADOS!$P$3,tabela_registros[CATEGORIA],despesafixaconsolidadofev[[#This Row],[DESPESA FIXA]])</f>
        <v>0</v>
      </c>
      <c r="F41" s="119" t="n">
        <f aca="false">SUMIFS(tabela_registros[VALOR],tabela_registros[MÊS],$AE$1,tabela_registros[DIA],fevtotal30[[#Headers],[2]],tabela_registros[REGISTRO],DADOS!$N$4,tabela_registros[TIPO],DADOS!$P$3,tabela_registros[CATEGORIA],despesafixaconsolidadofev[[#This Row],[DESPESA FIXA]])</f>
        <v>0</v>
      </c>
      <c r="G41" s="119" t="n">
        <f aca="false">SUMIFS(tabela_registros[VALOR],tabela_registros[MÊS],$AE$1,tabela_registros[DIA],fevtotal30[[#Headers],[3]],tabela_registros[REGISTRO],DADOS!$N$4,tabela_registros[TIPO],DADOS!$P$3,tabela_registros[CATEGORIA],despesafixaconsolidadofev[[#This Row],[DESPESA FIXA]])</f>
        <v>0</v>
      </c>
      <c r="H41" s="119" t="n">
        <f aca="false">SUMIFS(tabela_registros[VALOR],tabela_registros[MÊS],$AE$1,tabela_registros[DIA],fevtotal30[[#Headers],[4]],tabela_registros[REGISTRO],DADOS!$N$4,tabela_registros[TIPO],DADOS!$P$3,tabela_registros[CATEGORIA],despesafixaconsolidadofev[[#This Row],[DESPESA FIXA]])</f>
        <v>0</v>
      </c>
      <c r="I41" s="119" t="n">
        <f aca="false">SUMIFS(tabela_registros[VALOR],tabela_registros[MÊS],$AE$1,tabela_registros[DIA],fevtotal30[[#Headers],[5]],tabela_registros[REGISTRO],DADOS!$N$4,tabela_registros[TIPO],DADOS!$P$3,tabela_registros[CATEGORIA],despesafixaconsolidadofev[[#This Row],[DESPESA FIXA]])</f>
        <v>0</v>
      </c>
      <c r="J41" s="119" t="n">
        <f aca="false">SUMIFS(tabela_registros[VALOR],tabela_registros[MÊS],$AE$1,tabela_registros[DIA],fevtotal30[[#Headers],[6]],tabela_registros[REGISTRO],DADOS!$N$4,tabela_registros[TIPO],DADOS!$P$3,tabela_registros[CATEGORIA],despesafixaconsolidadofev[[#This Row],[DESPESA FIXA]])</f>
        <v>0</v>
      </c>
      <c r="K41" s="119" t="n">
        <f aca="false">SUMIFS(tabela_registros[VALOR],tabela_registros[MÊS],$AE$1,tabela_registros[DIA],fevtotal30[[#Headers],[7]],tabela_registros[REGISTRO],DADOS!$N$4,tabela_registros[TIPO],DADOS!$P$3,tabela_registros[CATEGORIA],despesafixaconsolidadofev[[#This Row],[DESPESA FIXA]])</f>
        <v>0</v>
      </c>
      <c r="L41" s="119" t="n">
        <f aca="false">SUMIFS(tabela_registros[VALOR],tabela_registros[MÊS],$AE$1,tabela_registros[DIA],fevtotal30[[#Headers],[8]],tabela_registros[REGISTRO],DADOS!$N$4,tabela_registros[TIPO],DADOS!$P$3,tabela_registros[CATEGORIA],despesafixaconsolidadofev[[#This Row],[DESPESA FIXA]])</f>
        <v>0</v>
      </c>
      <c r="M41" s="119" t="n">
        <f aca="false">SUMIFS(tabela_registros[VALOR],tabela_registros[MÊS],$AE$1,tabela_registros[DIA],fevtotal30[[#Headers],[9]],tabela_registros[REGISTRO],DADOS!$N$4,tabela_registros[TIPO],DADOS!$P$3,tabela_registros[CATEGORIA],despesafixaconsolidadofev[[#This Row],[DESPESA FIXA]])</f>
        <v>0</v>
      </c>
      <c r="N41" s="119" t="n">
        <f aca="false">SUMIFS(tabela_registros[VALOR],tabela_registros[MÊS],$AE$1,tabela_registros[DIA],fevtotal30[[#Headers],[10]],tabela_registros[REGISTRO],DADOS!$N$4,tabela_registros[TIPO],DADOS!$P$3,tabela_registros[CATEGORIA],despesafixaconsolidadofev[[#This Row],[DESPESA FIXA]])</f>
        <v>0</v>
      </c>
      <c r="O41" s="119" t="n">
        <f aca="false">SUMIFS(tabela_registros[VALOR],tabela_registros[MÊS],$AE$1,tabela_registros[DIA],fevtotal30[[#Headers],[11]],tabela_registros[REGISTRO],DADOS!$N$4,tabela_registros[TIPO],DADOS!$P$3,tabela_registros[CATEGORIA],despesafixaconsolidadofev[[#This Row],[DESPESA FIXA]])</f>
        <v>0</v>
      </c>
      <c r="P41" s="119" t="n">
        <f aca="false">SUMIFS(tabela_registros[VALOR],tabela_registros[MÊS],$AE$1,tabela_registros[DIA],fevtotal30[[#Headers],[12]],tabela_registros[REGISTRO],DADOS!$N$4,tabela_registros[TIPO],DADOS!$P$3,tabela_registros[CATEGORIA],despesafixaconsolidadofev[[#This Row],[DESPESA FIXA]])</f>
        <v>0</v>
      </c>
      <c r="Q41" s="119" t="n">
        <f aca="false">SUMIFS(tabela_registros[VALOR],tabela_registros[MÊS],$AE$1,tabela_registros[DIA],fevtotal30[[#Headers],[13]],tabela_registros[REGISTRO],DADOS!$N$4,tabela_registros[TIPO],DADOS!$P$3,tabela_registros[CATEGORIA],despesafixaconsolidadofev[[#This Row],[DESPESA FIXA]])</f>
        <v>0</v>
      </c>
      <c r="R41" s="119" t="n">
        <f aca="false">SUMIFS(tabela_registros[VALOR],tabela_registros[MÊS],$AE$1,tabela_registros[DIA],fevtotal30[[#Headers],[14]],tabela_registros[REGISTRO],DADOS!$N$4,tabela_registros[TIPO],DADOS!$P$3,tabela_registros[CATEGORIA],despesafixaconsolidadofev[[#This Row],[DESPESA FIXA]])</f>
        <v>0</v>
      </c>
      <c r="S41" s="119" t="n">
        <f aca="false">SUMIFS(tabela_registros[VALOR],tabela_registros[MÊS],$AE$1,tabela_registros[DIA],fevtotal30[[#Headers],[15]],tabela_registros[REGISTRO],DADOS!$N$4,tabela_registros[TIPO],DADOS!$P$3,tabela_registros[CATEGORIA],despesafixaconsolidadofev[[#This Row],[DESPESA FIXA]])</f>
        <v>0</v>
      </c>
      <c r="T41" s="119" t="n">
        <f aca="false">SUMIFS(tabela_registros[VALOR],tabela_registros[MÊS],$AE$1,tabela_registros[DIA],fevtotal30[[#Headers],[16]],tabela_registros[REGISTRO],DADOS!$N$4,tabela_registros[TIPO],DADOS!$P$3,tabela_registros[CATEGORIA],despesafixaconsolidadofev[[#This Row],[DESPESA FIXA]])</f>
        <v>0</v>
      </c>
      <c r="U41" s="119" t="n">
        <f aca="false">SUMIFS(tabela_registros[VALOR],tabela_registros[MÊS],$AE$1,tabela_registros[DIA],fevtotal30[[#Headers],[17]],tabela_registros[REGISTRO],DADOS!$N$4,tabela_registros[TIPO],DADOS!$P$3,tabela_registros[CATEGORIA],despesafixaconsolidadofev[[#This Row],[DESPESA FIXA]])</f>
        <v>0</v>
      </c>
      <c r="V41" s="119" t="n">
        <f aca="false">SUMIFS(tabela_registros[VALOR],tabela_registros[MÊS],$AE$1,tabela_registros[DIA],fevtotal30[[#Headers],[18]],tabela_registros[REGISTRO],DADOS!$N$4,tabela_registros[TIPO],DADOS!$P$3,tabela_registros[CATEGORIA],despesafixaconsolidadofev[[#This Row],[DESPESA FIXA]])</f>
        <v>0</v>
      </c>
      <c r="W41" s="119" t="n">
        <f aca="false">SUMIFS(tabela_registros[VALOR],tabela_registros[MÊS],$AE$1,tabela_registros[DIA],fevtotal30[[#Headers],[19]],tabela_registros[REGISTRO],DADOS!$N$4,tabela_registros[TIPO],DADOS!$P$3,tabela_registros[CATEGORIA],despesafixaconsolidadofev[[#This Row],[DESPESA FIXA]])</f>
        <v>0</v>
      </c>
      <c r="X41" s="119" t="n">
        <f aca="false">SUMIFS(tabela_registros[VALOR],tabela_registros[MÊS],$AE$1,tabela_registros[DIA],fevtotal30[[#Headers],[20]],tabela_registros[REGISTRO],DADOS!$N$4,tabela_registros[TIPO],DADOS!$P$3,tabela_registros[CATEGORIA],despesafixaconsolidadofev[[#This Row],[DESPESA FIXA]])</f>
        <v>0</v>
      </c>
      <c r="Y41" s="119" t="n">
        <f aca="false">SUMIFS(tabela_registros[VALOR],tabela_registros[MÊS],$AE$1,tabela_registros[DIA],fevtotal30[[#Headers],[21]],tabela_registros[REGISTRO],DADOS!$N$4,tabela_registros[TIPO],DADOS!$P$3,tabela_registros[CATEGORIA],despesafixaconsolidadofev[[#This Row],[DESPESA FIXA]])</f>
        <v>0</v>
      </c>
      <c r="Z41" s="119" t="n">
        <f aca="false">SUMIFS(tabela_registros[VALOR],tabela_registros[MÊS],$AE$1,tabela_registros[DIA],fevtotal30[[#Headers],[22]],tabela_registros[REGISTRO],DADOS!$N$4,tabela_registros[TIPO],DADOS!$P$3,tabela_registros[CATEGORIA],despesafixaconsolidadofev[[#This Row],[DESPESA FIXA]])</f>
        <v>0</v>
      </c>
      <c r="AA41" s="119" t="n">
        <f aca="false">SUMIFS(tabela_registros[VALOR],tabela_registros[MÊS],$AE$1,tabela_registros[DIA],fevtotal30[[#Headers],[23]],tabela_registros[REGISTRO],DADOS!$N$4,tabela_registros[TIPO],DADOS!$P$3,tabela_registros[CATEGORIA],despesafixaconsolidadofev[[#This Row],[DESPESA FIXA]])</f>
        <v>0</v>
      </c>
      <c r="AB41" s="119" t="n">
        <f aca="false">SUMIFS(tabela_registros[VALOR],tabela_registros[MÊS],$AE$1,tabela_registros[DIA],fevtotal30[[#Headers],[24]],tabela_registros[REGISTRO],DADOS!$N$4,tabela_registros[TIPO],DADOS!$P$3,tabela_registros[CATEGORIA],despesafixaconsolidadofev[[#This Row],[DESPESA FIXA]])</f>
        <v>0</v>
      </c>
      <c r="AC41" s="119" t="n">
        <f aca="false">SUMIFS(tabela_registros[VALOR],tabela_registros[MÊS],$AE$1,tabela_registros[DIA],fevtotal30[[#Headers],[25]],tabela_registros[REGISTRO],DADOS!$N$4,tabela_registros[TIPO],DADOS!$P$3,tabela_registros[CATEGORIA],despesafixaconsolidadofev[[#This Row],[DESPESA FIXA]])</f>
        <v>0</v>
      </c>
      <c r="AD41" s="119" t="n">
        <f aca="false">SUMIFS(tabela_registros[VALOR],tabela_registros[MÊS],$AE$1,tabela_registros[DIA],fevtotal30[[#Headers],[26]],tabela_registros[REGISTRO],DADOS!$N$4,tabela_registros[TIPO],DADOS!$P$3,tabela_registros[CATEGORIA],despesafixaconsolidadofev[[#This Row],[DESPESA FIXA]])</f>
        <v>0</v>
      </c>
      <c r="AE41" s="119" t="n">
        <f aca="false">SUMIFS(tabela_registros[VALOR],tabela_registros[MÊS],$AE$1,tabela_registros[DIA],fevtotal30[[#Headers],[27]],tabela_registros[REGISTRO],DADOS!$N$4,tabela_registros[TIPO],DADOS!$P$3,tabela_registros[CATEGORIA],despesafixaconsolidadofev[[#This Row],[DESPESA FIXA]])</f>
        <v>0</v>
      </c>
      <c r="AF41" s="119" t="n">
        <f aca="false">SUMIFS(tabela_registros[VALOR],tabela_registros[MÊS],$AE$1,tabela_registros[DIA],fevtotal30[[#Headers],[28]],tabela_registros[REGISTRO],DADOS!$N$4,tabela_registros[TIPO],DADOS!$P$3,tabela_registros[CATEGORIA],despesafixaconsolidadofev[[#This Row],[DESPESA FIXA]])</f>
        <v>0</v>
      </c>
      <c r="AG41" s="119" t="n">
        <f aca="false">SUMIFS(tabela_registros[VALOR],tabela_registros[MÊS],$AE$1,tabela_registros[DIA],fevtotal30[[#Headers],[29]],tabela_registros[REGISTRO],DADOS!$N$4,tabela_registros[TIPO],DADOS!$P$3,tabela_registros[CATEGORIA],despesafixaconsolidadofev[[#This Row],[DESPESA FIXA]])</f>
        <v>0</v>
      </c>
      <c r="AH41" s="119" t="n">
        <f aca="false">SUMIFS(tabela_registros[VALOR],tabela_registros[MÊS],$AE$1,tabela_registros[DIA],fevtotal30[[#Headers],[30]],tabela_registros[REGISTRO],DADOS!$N$4,tabela_registros[TIPO],DADOS!$P$3,tabela_registros[CATEGORIA],despesafixaconsolidadofev[[#This Row],[DESPESA FIXA]])</f>
        <v>0</v>
      </c>
      <c r="AI41" s="217" t="n">
        <f aca="false">SUMIFS(tabela_registros[VALOR],tabela_registros[MÊS],$AE$1,tabela_registros[DIA],fevtotal30[[#Headers],[31]],tabela_registros[REGISTRO],DADOS!$N$4,tabela_registros[TIPO],DADOS!$P$3,tabela_registros[CATEGORIA],despesafixaconsolidadofev[[#This Row],[DESPESA FIXA]])</f>
        <v>0</v>
      </c>
      <c r="AJ41" s="149" t="n">
        <f aca="false">SUM(despesafixaconsolidadofev[[#This Row],[1]:[31]])</f>
        <v>0</v>
      </c>
      <c r="AK41" s="143"/>
    </row>
    <row r="42" customFormat="false" ht="18" hidden="false" customHeight="true" outlineLevel="0" collapsed="false">
      <c r="B42" s="143"/>
      <c r="C42" s="144" t="str">
        <f aca="false">DADOS!$R$8</f>
        <v>🏦 EMPRÉSTIMO</v>
      </c>
      <c r="D42" s="145" t="str">
        <f aca="false">IF(despesafixaconsolidadofev[[#This Row],[TOTAL]]=0,"",IF(OR(despesafixaconsolidadofev[[#This Row],[TOTAL]]=LARGE($AJ$37:$AJ$50,1),despesafixaconsolidadofev[[#This Row],[TOTAL]]=LARGE($AJ$37:$AJ$50,2),despesafixaconsolidadofev[[#This Row],[TOTAL]]=LARGE($AJ$37:$AJ$50,3),despesafixaconsolidadofev[[#This Row],[TOTAL]]=LARGE($AJ$37:$AJ$50,4),despesafixaconsolidadofev[[#This Row],[TOTAL]]=LARGE($AJ$37:$AJ$50,5)),DADOS!$I$8,""))</f>
        <v/>
      </c>
      <c r="E42" s="148" t="n">
        <f aca="false">SUMIFS(tabela_registros[VALOR],tabela_registros[MÊS],$AE$1,tabela_registros[DIA],fevtotal30[[#Headers],[1]],tabela_registros[REGISTRO],DADOS!$N$4,tabela_registros[TIPO],DADOS!$P$3,tabela_registros[CATEGORIA],despesafixaconsolidadofev[[#This Row],[DESPESA FIXA]])</f>
        <v>0</v>
      </c>
      <c r="F42" s="119" t="n">
        <f aca="false">SUMIFS(tabela_registros[VALOR],tabela_registros[MÊS],$AE$1,tabela_registros[DIA],fevtotal30[[#Headers],[2]],tabela_registros[REGISTRO],DADOS!$N$4,tabela_registros[TIPO],DADOS!$P$3,tabela_registros[CATEGORIA],despesafixaconsolidadofev[[#This Row],[DESPESA FIXA]])</f>
        <v>0</v>
      </c>
      <c r="G42" s="119" t="n">
        <f aca="false">SUMIFS(tabela_registros[VALOR],tabela_registros[MÊS],$AE$1,tabela_registros[DIA],fevtotal30[[#Headers],[3]],tabela_registros[REGISTRO],DADOS!$N$4,tabela_registros[TIPO],DADOS!$P$3,tabela_registros[CATEGORIA],despesafixaconsolidadofev[[#This Row],[DESPESA FIXA]])</f>
        <v>0</v>
      </c>
      <c r="H42" s="119" t="n">
        <f aca="false">SUMIFS(tabela_registros[VALOR],tabela_registros[MÊS],$AE$1,tabela_registros[DIA],fevtotal30[[#Headers],[4]],tabela_registros[REGISTRO],DADOS!$N$4,tabela_registros[TIPO],DADOS!$P$3,tabela_registros[CATEGORIA],despesafixaconsolidadofev[[#This Row],[DESPESA FIXA]])</f>
        <v>0</v>
      </c>
      <c r="I42" s="119" t="n">
        <f aca="false">SUMIFS(tabela_registros[VALOR],tabela_registros[MÊS],$AE$1,tabela_registros[DIA],fevtotal30[[#Headers],[5]],tabela_registros[REGISTRO],DADOS!$N$4,tabela_registros[TIPO],DADOS!$P$3,tabela_registros[CATEGORIA],despesafixaconsolidadofev[[#This Row],[DESPESA FIXA]])</f>
        <v>0</v>
      </c>
      <c r="J42" s="119" t="n">
        <f aca="false">SUMIFS(tabela_registros[VALOR],tabela_registros[MÊS],$AE$1,tabela_registros[DIA],fevtotal30[[#Headers],[6]],tabela_registros[REGISTRO],DADOS!$N$4,tabela_registros[TIPO],DADOS!$P$3,tabela_registros[CATEGORIA],despesafixaconsolidadofev[[#This Row],[DESPESA FIXA]])</f>
        <v>0</v>
      </c>
      <c r="K42" s="119" t="n">
        <f aca="false">SUMIFS(tabela_registros[VALOR],tabela_registros[MÊS],$AE$1,tabela_registros[DIA],fevtotal30[[#Headers],[7]],tabela_registros[REGISTRO],DADOS!$N$4,tabela_registros[TIPO],DADOS!$P$3,tabela_registros[CATEGORIA],despesafixaconsolidadofev[[#This Row],[DESPESA FIXA]])</f>
        <v>0</v>
      </c>
      <c r="L42" s="119" t="n">
        <f aca="false">SUMIFS(tabela_registros[VALOR],tabela_registros[MÊS],$AE$1,tabela_registros[DIA],fevtotal30[[#Headers],[8]],tabela_registros[REGISTRO],DADOS!$N$4,tabela_registros[TIPO],DADOS!$P$3,tabela_registros[CATEGORIA],despesafixaconsolidadofev[[#This Row],[DESPESA FIXA]])</f>
        <v>0</v>
      </c>
      <c r="M42" s="119" t="n">
        <f aca="false">SUMIFS(tabela_registros[VALOR],tabela_registros[MÊS],$AE$1,tabela_registros[DIA],fevtotal30[[#Headers],[9]],tabela_registros[REGISTRO],DADOS!$N$4,tabela_registros[TIPO],DADOS!$P$3,tabela_registros[CATEGORIA],despesafixaconsolidadofev[[#This Row],[DESPESA FIXA]])</f>
        <v>0</v>
      </c>
      <c r="N42" s="119" t="n">
        <f aca="false">SUMIFS(tabela_registros[VALOR],tabela_registros[MÊS],$AE$1,tabela_registros[DIA],fevtotal30[[#Headers],[10]],tabela_registros[REGISTRO],DADOS!$N$4,tabela_registros[TIPO],DADOS!$P$3,tabela_registros[CATEGORIA],despesafixaconsolidadofev[[#This Row],[DESPESA FIXA]])</f>
        <v>0</v>
      </c>
      <c r="O42" s="119" t="n">
        <f aca="false">SUMIFS(tabela_registros[VALOR],tabela_registros[MÊS],$AE$1,tabela_registros[DIA],fevtotal30[[#Headers],[11]],tabela_registros[REGISTRO],DADOS!$N$4,tabela_registros[TIPO],DADOS!$P$3,tabela_registros[CATEGORIA],despesafixaconsolidadofev[[#This Row],[DESPESA FIXA]])</f>
        <v>0</v>
      </c>
      <c r="P42" s="119" t="n">
        <f aca="false">SUMIFS(tabela_registros[VALOR],tabela_registros[MÊS],$AE$1,tabela_registros[DIA],fevtotal30[[#Headers],[12]],tabela_registros[REGISTRO],DADOS!$N$4,tabela_registros[TIPO],DADOS!$P$3,tabela_registros[CATEGORIA],despesafixaconsolidadofev[[#This Row],[DESPESA FIXA]])</f>
        <v>0</v>
      </c>
      <c r="Q42" s="119" t="n">
        <f aca="false">SUMIFS(tabela_registros[VALOR],tabela_registros[MÊS],$AE$1,tabela_registros[DIA],fevtotal30[[#Headers],[13]],tabela_registros[REGISTRO],DADOS!$N$4,tabela_registros[TIPO],DADOS!$P$3,tabela_registros[CATEGORIA],despesafixaconsolidadofev[[#This Row],[DESPESA FIXA]])</f>
        <v>0</v>
      </c>
      <c r="R42" s="119" t="n">
        <f aca="false">SUMIFS(tabela_registros[VALOR],tabela_registros[MÊS],$AE$1,tabela_registros[DIA],fevtotal30[[#Headers],[14]],tabela_registros[REGISTRO],DADOS!$N$4,tabela_registros[TIPO],DADOS!$P$3,tabela_registros[CATEGORIA],despesafixaconsolidadofev[[#This Row],[DESPESA FIXA]])</f>
        <v>0</v>
      </c>
      <c r="S42" s="119" t="n">
        <f aca="false">SUMIFS(tabela_registros[VALOR],tabela_registros[MÊS],$AE$1,tabela_registros[DIA],fevtotal30[[#Headers],[15]],tabela_registros[REGISTRO],DADOS!$N$4,tabela_registros[TIPO],DADOS!$P$3,tabela_registros[CATEGORIA],despesafixaconsolidadofev[[#This Row],[DESPESA FIXA]])</f>
        <v>0</v>
      </c>
      <c r="T42" s="119" t="n">
        <f aca="false">SUMIFS(tabela_registros[VALOR],tabela_registros[MÊS],$AE$1,tabela_registros[DIA],fevtotal30[[#Headers],[16]],tabela_registros[REGISTRO],DADOS!$N$4,tabela_registros[TIPO],DADOS!$P$3,tabela_registros[CATEGORIA],despesafixaconsolidadofev[[#This Row],[DESPESA FIXA]])</f>
        <v>0</v>
      </c>
      <c r="U42" s="119" t="n">
        <f aca="false">SUMIFS(tabela_registros[VALOR],tabela_registros[MÊS],$AE$1,tabela_registros[DIA],fevtotal30[[#Headers],[17]],tabela_registros[REGISTRO],DADOS!$N$4,tabela_registros[TIPO],DADOS!$P$3,tabela_registros[CATEGORIA],despesafixaconsolidadofev[[#This Row],[DESPESA FIXA]])</f>
        <v>0</v>
      </c>
      <c r="V42" s="119" t="n">
        <f aca="false">SUMIFS(tabela_registros[VALOR],tabela_registros[MÊS],$AE$1,tabela_registros[DIA],fevtotal30[[#Headers],[18]],tabela_registros[REGISTRO],DADOS!$N$4,tabela_registros[TIPO],DADOS!$P$3,tabela_registros[CATEGORIA],despesafixaconsolidadofev[[#This Row],[DESPESA FIXA]])</f>
        <v>0</v>
      </c>
      <c r="W42" s="119" t="n">
        <f aca="false">SUMIFS(tabela_registros[VALOR],tabela_registros[MÊS],$AE$1,tabela_registros[DIA],fevtotal30[[#Headers],[19]],tabela_registros[REGISTRO],DADOS!$N$4,tabela_registros[TIPO],DADOS!$P$3,tabela_registros[CATEGORIA],despesafixaconsolidadofev[[#This Row],[DESPESA FIXA]])</f>
        <v>0</v>
      </c>
      <c r="X42" s="119" t="n">
        <f aca="false">SUMIFS(tabela_registros[VALOR],tabela_registros[MÊS],$AE$1,tabela_registros[DIA],fevtotal30[[#Headers],[20]],tabela_registros[REGISTRO],DADOS!$N$4,tabela_registros[TIPO],DADOS!$P$3,tabela_registros[CATEGORIA],despesafixaconsolidadofev[[#This Row],[DESPESA FIXA]])</f>
        <v>0</v>
      </c>
      <c r="Y42" s="119" t="n">
        <f aca="false">SUMIFS(tabela_registros[VALOR],tabela_registros[MÊS],$AE$1,tabela_registros[DIA],fevtotal30[[#Headers],[21]],tabela_registros[REGISTRO],DADOS!$N$4,tabela_registros[TIPO],DADOS!$P$3,tabela_registros[CATEGORIA],despesafixaconsolidadofev[[#This Row],[DESPESA FIXA]])</f>
        <v>0</v>
      </c>
      <c r="Z42" s="119" t="n">
        <f aca="false">SUMIFS(tabela_registros[VALOR],tabela_registros[MÊS],$AE$1,tabela_registros[DIA],fevtotal30[[#Headers],[22]],tabela_registros[REGISTRO],DADOS!$N$4,tabela_registros[TIPO],DADOS!$P$3,tabela_registros[CATEGORIA],despesafixaconsolidadofev[[#This Row],[DESPESA FIXA]])</f>
        <v>0</v>
      </c>
      <c r="AA42" s="119" t="n">
        <f aca="false">SUMIFS(tabela_registros[VALOR],tabela_registros[MÊS],$AE$1,tabela_registros[DIA],fevtotal30[[#Headers],[23]],tabela_registros[REGISTRO],DADOS!$N$4,tabela_registros[TIPO],DADOS!$P$3,tabela_registros[CATEGORIA],despesafixaconsolidadofev[[#This Row],[DESPESA FIXA]])</f>
        <v>0</v>
      </c>
      <c r="AB42" s="119" t="n">
        <f aca="false">SUMIFS(tabela_registros[VALOR],tabela_registros[MÊS],$AE$1,tabela_registros[DIA],fevtotal30[[#Headers],[24]],tabela_registros[REGISTRO],DADOS!$N$4,tabela_registros[TIPO],DADOS!$P$3,tabela_registros[CATEGORIA],despesafixaconsolidadofev[[#This Row],[DESPESA FIXA]])</f>
        <v>0</v>
      </c>
      <c r="AC42" s="119" t="n">
        <f aca="false">SUMIFS(tabela_registros[VALOR],tabela_registros[MÊS],$AE$1,tabela_registros[DIA],fevtotal30[[#Headers],[25]],tabela_registros[REGISTRO],DADOS!$N$4,tabela_registros[TIPO],DADOS!$P$3,tabela_registros[CATEGORIA],despesafixaconsolidadofev[[#This Row],[DESPESA FIXA]])</f>
        <v>0</v>
      </c>
      <c r="AD42" s="119" t="n">
        <f aca="false">SUMIFS(tabela_registros[VALOR],tabela_registros[MÊS],$AE$1,tabela_registros[DIA],fevtotal30[[#Headers],[26]],tabela_registros[REGISTRO],DADOS!$N$4,tabela_registros[TIPO],DADOS!$P$3,tabela_registros[CATEGORIA],despesafixaconsolidadofev[[#This Row],[DESPESA FIXA]])</f>
        <v>0</v>
      </c>
      <c r="AE42" s="119" t="n">
        <f aca="false">SUMIFS(tabela_registros[VALOR],tabela_registros[MÊS],$AE$1,tabela_registros[DIA],fevtotal30[[#Headers],[27]],tabela_registros[REGISTRO],DADOS!$N$4,tabela_registros[TIPO],DADOS!$P$3,tabela_registros[CATEGORIA],despesafixaconsolidadofev[[#This Row],[DESPESA FIXA]])</f>
        <v>0</v>
      </c>
      <c r="AF42" s="119" t="n">
        <f aca="false">SUMIFS(tabela_registros[VALOR],tabela_registros[MÊS],$AE$1,tabela_registros[DIA],fevtotal30[[#Headers],[28]],tabela_registros[REGISTRO],DADOS!$N$4,tabela_registros[TIPO],DADOS!$P$3,tabela_registros[CATEGORIA],despesafixaconsolidadofev[[#This Row],[DESPESA FIXA]])</f>
        <v>0</v>
      </c>
      <c r="AG42" s="119" t="n">
        <f aca="false">SUMIFS(tabela_registros[VALOR],tabela_registros[MÊS],$AE$1,tabela_registros[DIA],fevtotal30[[#Headers],[29]],tabela_registros[REGISTRO],DADOS!$N$4,tabela_registros[TIPO],DADOS!$P$3,tabela_registros[CATEGORIA],despesafixaconsolidadofev[[#This Row],[DESPESA FIXA]])</f>
        <v>0</v>
      </c>
      <c r="AH42" s="119" t="n">
        <f aca="false">SUMIFS(tabela_registros[VALOR],tabela_registros[MÊS],$AE$1,tabela_registros[DIA],fevtotal30[[#Headers],[30]],tabela_registros[REGISTRO],DADOS!$N$4,tabela_registros[TIPO],DADOS!$P$3,tabela_registros[CATEGORIA],despesafixaconsolidadofev[[#This Row],[DESPESA FIXA]])</f>
        <v>0</v>
      </c>
      <c r="AI42" s="217" t="n">
        <f aca="false">SUMIFS(tabela_registros[VALOR],tabela_registros[MÊS],$AE$1,tabela_registros[DIA],fevtotal30[[#Headers],[31]],tabela_registros[REGISTRO],DADOS!$N$4,tabela_registros[TIPO],DADOS!$P$3,tabela_registros[CATEGORIA],despesafixaconsolidadofev[[#This Row],[DESPESA FIXA]])</f>
        <v>0</v>
      </c>
      <c r="AJ42" s="149" t="n">
        <f aca="false">SUM(despesafixaconsolidadofev[[#This Row],[1]:[31]])</f>
        <v>0</v>
      </c>
      <c r="AK42" s="143"/>
    </row>
    <row r="43" customFormat="false" ht="18" hidden="false" customHeight="true" outlineLevel="0" collapsed="false">
      <c r="B43" s="143"/>
      <c r="C43" s="144" t="str">
        <f aca="false">DADOS!$R$9</f>
        <v>💡 ENERGIA</v>
      </c>
      <c r="D43" s="145" t="str">
        <f aca="false">IF(despesafixaconsolidadofev[[#This Row],[TOTAL]]=0,"",IF(OR(despesafixaconsolidadofev[[#This Row],[TOTAL]]=LARGE($AJ$37:$AJ$50,1),despesafixaconsolidadofev[[#This Row],[TOTAL]]=LARGE($AJ$37:$AJ$50,2),despesafixaconsolidadofev[[#This Row],[TOTAL]]=LARGE($AJ$37:$AJ$50,3),despesafixaconsolidadofev[[#This Row],[TOTAL]]=LARGE($AJ$37:$AJ$50,4),despesafixaconsolidadofev[[#This Row],[TOTAL]]=LARGE($AJ$37:$AJ$50,5)),DADOS!$I$8,""))</f>
        <v/>
      </c>
      <c r="E43" s="148" t="n">
        <f aca="false">SUMIFS(tabela_registros[VALOR],tabela_registros[MÊS],$AE$1,tabela_registros[DIA],fevtotal30[[#Headers],[1]],tabela_registros[REGISTRO],DADOS!$N$4,tabela_registros[TIPO],DADOS!$P$3,tabela_registros[CATEGORIA],despesafixaconsolidadofev[[#This Row],[DESPESA FIXA]])</f>
        <v>0</v>
      </c>
      <c r="F43" s="119" t="n">
        <f aca="false">SUMIFS(tabela_registros[VALOR],tabela_registros[MÊS],$AE$1,tabela_registros[DIA],fevtotal30[[#Headers],[2]],tabela_registros[REGISTRO],DADOS!$N$4,tabela_registros[TIPO],DADOS!$P$3,tabela_registros[CATEGORIA],despesafixaconsolidadofev[[#This Row],[DESPESA FIXA]])</f>
        <v>0</v>
      </c>
      <c r="G43" s="119" t="n">
        <f aca="false">SUMIFS(tabela_registros[VALOR],tabela_registros[MÊS],$AE$1,tabela_registros[DIA],fevtotal30[[#Headers],[3]],tabela_registros[REGISTRO],DADOS!$N$4,tabela_registros[TIPO],DADOS!$P$3,tabela_registros[CATEGORIA],despesafixaconsolidadofev[[#This Row],[DESPESA FIXA]])</f>
        <v>0</v>
      </c>
      <c r="H43" s="119" t="n">
        <f aca="false">SUMIFS(tabela_registros[VALOR],tabela_registros[MÊS],$AE$1,tabela_registros[DIA],fevtotal30[[#Headers],[4]],tabela_registros[REGISTRO],DADOS!$N$4,tabela_registros[TIPO],DADOS!$P$3,tabela_registros[CATEGORIA],despesafixaconsolidadofev[[#This Row],[DESPESA FIXA]])</f>
        <v>0</v>
      </c>
      <c r="I43" s="119" t="n">
        <f aca="false">SUMIFS(tabela_registros[VALOR],tabela_registros[MÊS],$AE$1,tabela_registros[DIA],fevtotal30[[#Headers],[5]],tabela_registros[REGISTRO],DADOS!$N$4,tabela_registros[TIPO],DADOS!$P$3,tabela_registros[CATEGORIA],despesafixaconsolidadofev[[#This Row],[DESPESA FIXA]])</f>
        <v>0</v>
      </c>
      <c r="J43" s="119" t="n">
        <f aca="false">SUMIFS(tabela_registros[VALOR],tabela_registros[MÊS],$AE$1,tabela_registros[DIA],fevtotal30[[#Headers],[6]],tabela_registros[REGISTRO],DADOS!$N$4,tabela_registros[TIPO],DADOS!$P$3,tabela_registros[CATEGORIA],despesafixaconsolidadofev[[#This Row],[DESPESA FIXA]])</f>
        <v>0</v>
      </c>
      <c r="K43" s="119" t="n">
        <f aca="false">SUMIFS(tabela_registros[VALOR],tabela_registros[MÊS],$AE$1,tabela_registros[DIA],fevtotal30[[#Headers],[7]],tabela_registros[REGISTRO],DADOS!$N$4,tabela_registros[TIPO],DADOS!$P$3,tabela_registros[CATEGORIA],despesafixaconsolidadofev[[#This Row],[DESPESA FIXA]])</f>
        <v>0</v>
      </c>
      <c r="L43" s="119" t="n">
        <f aca="false">SUMIFS(tabela_registros[VALOR],tabela_registros[MÊS],$AE$1,tabela_registros[DIA],fevtotal30[[#Headers],[8]],tabela_registros[REGISTRO],DADOS!$N$4,tabela_registros[TIPO],DADOS!$P$3,tabela_registros[CATEGORIA],despesafixaconsolidadofev[[#This Row],[DESPESA FIXA]])</f>
        <v>0</v>
      </c>
      <c r="M43" s="119" t="n">
        <f aca="false">SUMIFS(tabela_registros[VALOR],tabela_registros[MÊS],$AE$1,tabela_registros[DIA],fevtotal30[[#Headers],[9]],tabela_registros[REGISTRO],DADOS!$N$4,tabela_registros[TIPO],DADOS!$P$3,tabela_registros[CATEGORIA],despesafixaconsolidadofev[[#This Row],[DESPESA FIXA]])</f>
        <v>0</v>
      </c>
      <c r="N43" s="119" t="n">
        <f aca="false">SUMIFS(tabela_registros[VALOR],tabela_registros[MÊS],$AE$1,tabela_registros[DIA],fevtotal30[[#Headers],[10]],tabela_registros[REGISTRO],DADOS!$N$4,tabela_registros[TIPO],DADOS!$P$3,tabela_registros[CATEGORIA],despesafixaconsolidadofev[[#This Row],[DESPESA FIXA]])</f>
        <v>0</v>
      </c>
      <c r="O43" s="119" t="n">
        <f aca="false">SUMIFS(tabela_registros[VALOR],tabela_registros[MÊS],$AE$1,tabela_registros[DIA],fevtotal30[[#Headers],[11]],tabela_registros[REGISTRO],DADOS!$N$4,tabela_registros[TIPO],DADOS!$P$3,tabela_registros[CATEGORIA],despesafixaconsolidadofev[[#This Row],[DESPESA FIXA]])</f>
        <v>0</v>
      </c>
      <c r="P43" s="119" t="n">
        <f aca="false">SUMIFS(tabela_registros[VALOR],tabela_registros[MÊS],$AE$1,tabela_registros[DIA],fevtotal30[[#Headers],[12]],tabela_registros[REGISTRO],DADOS!$N$4,tabela_registros[TIPO],DADOS!$P$3,tabela_registros[CATEGORIA],despesafixaconsolidadofev[[#This Row],[DESPESA FIXA]])</f>
        <v>0</v>
      </c>
      <c r="Q43" s="119" t="n">
        <f aca="false">SUMIFS(tabela_registros[VALOR],tabela_registros[MÊS],$AE$1,tabela_registros[DIA],fevtotal30[[#Headers],[13]],tabela_registros[REGISTRO],DADOS!$N$4,tabela_registros[TIPO],DADOS!$P$3,tabela_registros[CATEGORIA],despesafixaconsolidadofev[[#This Row],[DESPESA FIXA]])</f>
        <v>0</v>
      </c>
      <c r="R43" s="119" t="n">
        <f aca="false">SUMIFS(tabela_registros[VALOR],tabela_registros[MÊS],$AE$1,tabela_registros[DIA],fevtotal30[[#Headers],[14]],tabela_registros[REGISTRO],DADOS!$N$4,tabela_registros[TIPO],DADOS!$P$3,tabela_registros[CATEGORIA],despesafixaconsolidadofev[[#This Row],[DESPESA FIXA]])</f>
        <v>0</v>
      </c>
      <c r="S43" s="119" t="n">
        <f aca="false">SUMIFS(tabela_registros[VALOR],tabela_registros[MÊS],$AE$1,tabela_registros[DIA],fevtotal30[[#Headers],[15]],tabela_registros[REGISTRO],DADOS!$N$4,tabela_registros[TIPO],DADOS!$P$3,tabela_registros[CATEGORIA],despesafixaconsolidadofev[[#This Row],[DESPESA FIXA]])</f>
        <v>0</v>
      </c>
      <c r="T43" s="119" t="n">
        <f aca="false">SUMIFS(tabela_registros[VALOR],tabela_registros[MÊS],$AE$1,tabela_registros[DIA],fevtotal30[[#Headers],[16]],tabela_registros[REGISTRO],DADOS!$N$4,tabela_registros[TIPO],DADOS!$P$3,tabela_registros[CATEGORIA],despesafixaconsolidadofev[[#This Row],[DESPESA FIXA]])</f>
        <v>0</v>
      </c>
      <c r="U43" s="119" t="n">
        <f aca="false">SUMIFS(tabela_registros[VALOR],tabela_registros[MÊS],$AE$1,tabela_registros[DIA],fevtotal30[[#Headers],[17]],tabela_registros[REGISTRO],DADOS!$N$4,tabela_registros[TIPO],DADOS!$P$3,tabela_registros[CATEGORIA],despesafixaconsolidadofev[[#This Row],[DESPESA FIXA]])</f>
        <v>0</v>
      </c>
      <c r="V43" s="119" t="n">
        <f aca="false">SUMIFS(tabela_registros[VALOR],tabela_registros[MÊS],$AE$1,tabela_registros[DIA],fevtotal30[[#Headers],[18]],tabela_registros[REGISTRO],DADOS!$N$4,tabela_registros[TIPO],DADOS!$P$3,tabela_registros[CATEGORIA],despesafixaconsolidadofev[[#This Row],[DESPESA FIXA]])</f>
        <v>0</v>
      </c>
      <c r="W43" s="119" t="n">
        <f aca="false">SUMIFS(tabela_registros[VALOR],tabela_registros[MÊS],$AE$1,tabela_registros[DIA],fevtotal30[[#Headers],[19]],tabela_registros[REGISTRO],DADOS!$N$4,tabela_registros[TIPO],DADOS!$P$3,tabela_registros[CATEGORIA],despesafixaconsolidadofev[[#This Row],[DESPESA FIXA]])</f>
        <v>0</v>
      </c>
      <c r="X43" s="119" t="n">
        <f aca="false">SUMIFS(tabela_registros[VALOR],tabela_registros[MÊS],$AE$1,tabela_registros[DIA],fevtotal30[[#Headers],[20]],tabela_registros[REGISTRO],DADOS!$N$4,tabela_registros[TIPO],DADOS!$P$3,tabela_registros[CATEGORIA],despesafixaconsolidadofev[[#This Row],[DESPESA FIXA]])</f>
        <v>0</v>
      </c>
      <c r="Y43" s="119" t="n">
        <f aca="false">SUMIFS(tabela_registros[VALOR],tabela_registros[MÊS],$AE$1,tabela_registros[DIA],fevtotal30[[#Headers],[21]],tabela_registros[REGISTRO],DADOS!$N$4,tabela_registros[TIPO],DADOS!$P$3,tabela_registros[CATEGORIA],despesafixaconsolidadofev[[#This Row],[DESPESA FIXA]])</f>
        <v>0</v>
      </c>
      <c r="Z43" s="119" t="n">
        <f aca="false">SUMIFS(tabela_registros[VALOR],tabela_registros[MÊS],$AE$1,tabela_registros[DIA],fevtotal30[[#Headers],[22]],tabela_registros[REGISTRO],DADOS!$N$4,tabela_registros[TIPO],DADOS!$P$3,tabela_registros[CATEGORIA],despesafixaconsolidadofev[[#This Row],[DESPESA FIXA]])</f>
        <v>0</v>
      </c>
      <c r="AA43" s="119" t="n">
        <f aca="false">SUMIFS(tabela_registros[VALOR],tabela_registros[MÊS],$AE$1,tabela_registros[DIA],fevtotal30[[#Headers],[23]],tabela_registros[REGISTRO],DADOS!$N$4,tabela_registros[TIPO],DADOS!$P$3,tabela_registros[CATEGORIA],despesafixaconsolidadofev[[#This Row],[DESPESA FIXA]])</f>
        <v>0</v>
      </c>
      <c r="AB43" s="119" t="n">
        <f aca="false">SUMIFS(tabela_registros[VALOR],tabela_registros[MÊS],$AE$1,tabela_registros[DIA],fevtotal30[[#Headers],[24]],tabela_registros[REGISTRO],DADOS!$N$4,tabela_registros[TIPO],DADOS!$P$3,tabela_registros[CATEGORIA],despesafixaconsolidadofev[[#This Row],[DESPESA FIXA]])</f>
        <v>0</v>
      </c>
      <c r="AC43" s="119" t="n">
        <f aca="false">SUMIFS(tabela_registros[VALOR],tabela_registros[MÊS],$AE$1,tabela_registros[DIA],fevtotal30[[#Headers],[25]],tabela_registros[REGISTRO],DADOS!$N$4,tabela_registros[TIPO],DADOS!$P$3,tabela_registros[CATEGORIA],despesafixaconsolidadofev[[#This Row],[DESPESA FIXA]])</f>
        <v>0</v>
      </c>
      <c r="AD43" s="119" t="n">
        <f aca="false">SUMIFS(tabela_registros[VALOR],tabela_registros[MÊS],$AE$1,tabela_registros[DIA],fevtotal30[[#Headers],[26]],tabela_registros[REGISTRO],DADOS!$N$4,tabela_registros[TIPO],DADOS!$P$3,tabela_registros[CATEGORIA],despesafixaconsolidadofev[[#This Row],[DESPESA FIXA]])</f>
        <v>0</v>
      </c>
      <c r="AE43" s="119" t="n">
        <f aca="false">SUMIFS(tabela_registros[VALOR],tabela_registros[MÊS],$AE$1,tabela_registros[DIA],fevtotal30[[#Headers],[27]],tabela_registros[REGISTRO],DADOS!$N$4,tabela_registros[TIPO],DADOS!$P$3,tabela_registros[CATEGORIA],despesafixaconsolidadofev[[#This Row],[DESPESA FIXA]])</f>
        <v>0</v>
      </c>
      <c r="AF43" s="119" t="n">
        <f aca="false">SUMIFS(tabela_registros[VALOR],tabela_registros[MÊS],$AE$1,tabela_registros[DIA],fevtotal30[[#Headers],[28]],tabela_registros[REGISTRO],DADOS!$N$4,tabela_registros[TIPO],DADOS!$P$3,tabela_registros[CATEGORIA],despesafixaconsolidadofev[[#This Row],[DESPESA FIXA]])</f>
        <v>0</v>
      </c>
      <c r="AG43" s="119" t="n">
        <f aca="false">SUMIFS(tabela_registros[VALOR],tabela_registros[MÊS],$AE$1,tabela_registros[DIA],fevtotal30[[#Headers],[29]],tabela_registros[REGISTRO],DADOS!$N$4,tabela_registros[TIPO],DADOS!$P$3,tabela_registros[CATEGORIA],despesafixaconsolidadofev[[#This Row],[DESPESA FIXA]])</f>
        <v>0</v>
      </c>
      <c r="AH43" s="119" t="n">
        <f aca="false">SUMIFS(tabela_registros[VALOR],tabela_registros[MÊS],$AE$1,tabela_registros[DIA],fevtotal30[[#Headers],[30]],tabela_registros[REGISTRO],DADOS!$N$4,tabela_registros[TIPO],DADOS!$P$3,tabela_registros[CATEGORIA],despesafixaconsolidadofev[[#This Row],[DESPESA FIXA]])</f>
        <v>0</v>
      </c>
      <c r="AI43" s="217" t="n">
        <f aca="false">SUMIFS(tabela_registros[VALOR],tabela_registros[MÊS],$AE$1,tabela_registros[DIA],fevtotal30[[#Headers],[31]],tabela_registros[REGISTRO],DADOS!$N$4,tabela_registros[TIPO],DADOS!$P$3,tabela_registros[CATEGORIA],despesafixaconsolidadofev[[#This Row],[DESPESA FIXA]])</f>
        <v>0</v>
      </c>
      <c r="AJ43" s="149" t="n">
        <f aca="false">SUM(despesafixaconsolidadofev[[#This Row],[1]:[31]])</f>
        <v>0</v>
      </c>
      <c r="AK43" s="143"/>
    </row>
    <row r="44" customFormat="false" ht="18" hidden="false" customHeight="true" outlineLevel="0" collapsed="false">
      <c r="B44" s="143"/>
      <c r="C44" s="144" t="str">
        <f aca="false">DADOS!$R$10</f>
        <v>👨‍👩‍👧 FAMÍLIA</v>
      </c>
      <c r="D44" s="145" t="str">
        <f aca="false">IF(despesafixaconsolidadofev[[#This Row],[TOTAL]]=0,"",IF(OR(despesafixaconsolidadofev[[#This Row],[TOTAL]]=LARGE($AJ$37:$AJ$50,1),despesafixaconsolidadofev[[#This Row],[TOTAL]]=LARGE($AJ$37:$AJ$50,2),despesafixaconsolidadofev[[#This Row],[TOTAL]]=LARGE($AJ$37:$AJ$50,3),despesafixaconsolidadofev[[#This Row],[TOTAL]]=LARGE($AJ$37:$AJ$50,4),despesafixaconsolidadofev[[#This Row],[TOTAL]]=LARGE($AJ$37:$AJ$50,5)),DADOS!$I$8,""))</f>
        <v/>
      </c>
      <c r="E44" s="148" t="n">
        <f aca="false">SUMIFS(tabela_registros[VALOR],tabela_registros[MÊS],$AE$1,tabela_registros[DIA],fevtotal30[[#Headers],[1]],tabela_registros[REGISTRO],DADOS!$N$4,tabela_registros[TIPO],DADOS!$P$3,tabela_registros[CATEGORIA],despesafixaconsolidadofev[[#This Row],[DESPESA FIXA]])</f>
        <v>0</v>
      </c>
      <c r="F44" s="119" t="n">
        <f aca="false">SUMIFS(tabela_registros[VALOR],tabela_registros[MÊS],$AE$1,tabela_registros[DIA],fevtotal30[[#Headers],[2]],tabela_registros[REGISTRO],DADOS!$N$4,tabela_registros[TIPO],DADOS!$P$3,tabela_registros[CATEGORIA],despesafixaconsolidadofev[[#This Row],[DESPESA FIXA]])</f>
        <v>0</v>
      </c>
      <c r="G44" s="119" t="n">
        <f aca="false">SUMIFS(tabela_registros[VALOR],tabela_registros[MÊS],$AE$1,tabela_registros[DIA],fevtotal30[[#Headers],[3]],tabela_registros[REGISTRO],DADOS!$N$4,tabela_registros[TIPO],DADOS!$P$3,tabela_registros[CATEGORIA],despesafixaconsolidadofev[[#This Row],[DESPESA FIXA]])</f>
        <v>0</v>
      </c>
      <c r="H44" s="119" t="n">
        <f aca="false">SUMIFS(tabela_registros[VALOR],tabela_registros[MÊS],$AE$1,tabela_registros[DIA],fevtotal30[[#Headers],[4]],tabela_registros[REGISTRO],DADOS!$N$4,tabela_registros[TIPO],DADOS!$P$3,tabela_registros[CATEGORIA],despesafixaconsolidadofev[[#This Row],[DESPESA FIXA]])</f>
        <v>0</v>
      </c>
      <c r="I44" s="119" t="n">
        <f aca="false">SUMIFS(tabela_registros[VALOR],tabela_registros[MÊS],$AE$1,tabela_registros[DIA],fevtotal30[[#Headers],[5]],tabela_registros[REGISTRO],DADOS!$N$4,tabela_registros[TIPO],DADOS!$P$3,tabela_registros[CATEGORIA],despesafixaconsolidadofev[[#This Row],[DESPESA FIXA]])</f>
        <v>0</v>
      </c>
      <c r="J44" s="119" t="n">
        <f aca="false">SUMIFS(tabela_registros[VALOR],tabela_registros[MÊS],$AE$1,tabela_registros[DIA],fevtotal30[[#Headers],[6]],tabela_registros[REGISTRO],DADOS!$N$4,tabela_registros[TIPO],DADOS!$P$3,tabela_registros[CATEGORIA],despesafixaconsolidadofev[[#This Row],[DESPESA FIXA]])</f>
        <v>0</v>
      </c>
      <c r="K44" s="119" t="n">
        <f aca="false">SUMIFS(tabela_registros[VALOR],tabela_registros[MÊS],$AE$1,tabela_registros[DIA],fevtotal30[[#Headers],[7]],tabela_registros[REGISTRO],DADOS!$N$4,tabela_registros[TIPO],DADOS!$P$3,tabela_registros[CATEGORIA],despesafixaconsolidadofev[[#This Row],[DESPESA FIXA]])</f>
        <v>0</v>
      </c>
      <c r="L44" s="119" t="n">
        <f aca="false">SUMIFS(tabela_registros[VALOR],tabela_registros[MÊS],$AE$1,tabela_registros[DIA],fevtotal30[[#Headers],[8]],tabela_registros[REGISTRO],DADOS!$N$4,tabela_registros[TIPO],DADOS!$P$3,tabela_registros[CATEGORIA],despesafixaconsolidadofev[[#This Row],[DESPESA FIXA]])</f>
        <v>0</v>
      </c>
      <c r="M44" s="119" t="n">
        <f aca="false">SUMIFS(tabela_registros[VALOR],tabela_registros[MÊS],$AE$1,tabela_registros[DIA],fevtotal30[[#Headers],[9]],tabela_registros[REGISTRO],DADOS!$N$4,tabela_registros[TIPO],DADOS!$P$3,tabela_registros[CATEGORIA],despesafixaconsolidadofev[[#This Row],[DESPESA FIXA]])</f>
        <v>0</v>
      </c>
      <c r="N44" s="119" t="n">
        <f aca="false">SUMIFS(tabela_registros[VALOR],tabela_registros[MÊS],$AE$1,tabela_registros[DIA],fevtotal30[[#Headers],[10]],tabela_registros[REGISTRO],DADOS!$N$4,tabela_registros[TIPO],DADOS!$P$3,tabela_registros[CATEGORIA],despesafixaconsolidadofev[[#This Row],[DESPESA FIXA]])</f>
        <v>0</v>
      </c>
      <c r="O44" s="119" t="n">
        <f aca="false">SUMIFS(tabela_registros[VALOR],tabela_registros[MÊS],$AE$1,tabela_registros[DIA],fevtotal30[[#Headers],[11]],tabela_registros[REGISTRO],DADOS!$N$4,tabela_registros[TIPO],DADOS!$P$3,tabela_registros[CATEGORIA],despesafixaconsolidadofev[[#This Row],[DESPESA FIXA]])</f>
        <v>0</v>
      </c>
      <c r="P44" s="119" t="n">
        <f aca="false">SUMIFS(tabela_registros[VALOR],tabela_registros[MÊS],$AE$1,tabela_registros[DIA],fevtotal30[[#Headers],[12]],tabela_registros[REGISTRO],DADOS!$N$4,tabela_registros[TIPO],DADOS!$P$3,tabela_registros[CATEGORIA],despesafixaconsolidadofev[[#This Row],[DESPESA FIXA]])</f>
        <v>0</v>
      </c>
      <c r="Q44" s="119" t="n">
        <f aca="false">SUMIFS(tabela_registros[VALOR],tabela_registros[MÊS],$AE$1,tabela_registros[DIA],fevtotal30[[#Headers],[13]],tabela_registros[REGISTRO],DADOS!$N$4,tabela_registros[TIPO],DADOS!$P$3,tabela_registros[CATEGORIA],despesafixaconsolidadofev[[#This Row],[DESPESA FIXA]])</f>
        <v>0</v>
      </c>
      <c r="R44" s="119" t="n">
        <f aca="false">SUMIFS(tabela_registros[VALOR],tabela_registros[MÊS],$AE$1,tabela_registros[DIA],fevtotal30[[#Headers],[14]],tabela_registros[REGISTRO],DADOS!$N$4,tabela_registros[TIPO],DADOS!$P$3,tabela_registros[CATEGORIA],despesafixaconsolidadofev[[#This Row],[DESPESA FIXA]])</f>
        <v>0</v>
      </c>
      <c r="S44" s="119" t="n">
        <f aca="false">SUMIFS(tabela_registros[VALOR],tabela_registros[MÊS],$AE$1,tabela_registros[DIA],fevtotal30[[#Headers],[15]],tabela_registros[REGISTRO],DADOS!$N$4,tabela_registros[TIPO],DADOS!$P$3,tabela_registros[CATEGORIA],despesafixaconsolidadofev[[#This Row],[DESPESA FIXA]])</f>
        <v>0</v>
      </c>
      <c r="T44" s="119" t="n">
        <f aca="false">SUMIFS(tabela_registros[VALOR],tabela_registros[MÊS],$AE$1,tabela_registros[DIA],fevtotal30[[#Headers],[16]],tabela_registros[REGISTRO],DADOS!$N$4,tabela_registros[TIPO],DADOS!$P$3,tabela_registros[CATEGORIA],despesafixaconsolidadofev[[#This Row],[DESPESA FIXA]])</f>
        <v>0</v>
      </c>
      <c r="U44" s="119" t="n">
        <f aca="false">SUMIFS(tabela_registros[VALOR],tabela_registros[MÊS],$AE$1,tabela_registros[DIA],fevtotal30[[#Headers],[17]],tabela_registros[REGISTRO],DADOS!$N$4,tabela_registros[TIPO],DADOS!$P$3,tabela_registros[CATEGORIA],despesafixaconsolidadofev[[#This Row],[DESPESA FIXA]])</f>
        <v>0</v>
      </c>
      <c r="V44" s="119" t="n">
        <f aca="false">SUMIFS(tabela_registros[VALOR],tabela_registros[MÊS],$AE$1,tabela_registros[DIA],fevtotal30[[#Headers],[18]],tabela_registros[REGISTRO],DADOS!$N$4,tabela_registros[TIPO],DADOS!$P$3,tabela_registros[CATEGORIA],despesafixaconsolidadofev[[#This Row],[DESPESA FIXA]])</f>
        <v>0</v>
      </c>
      <c r="W44" s="119" t="n">
        <f aca="false">SUMIFS(tabela_registros[VALOR],tabela_registros[MÊS],$AE$1,tabela_registros[DIA],fevtotal30[[#Headers],[19]],tabela_registros[REGISTRO],DADOS!$N$4,tabela_registros[TIPO],DADOS!$P$3,tabela_registros[CATEGORIA],despesafixaconsolidadofev[[#This Row],[DESPESA FIXA]])</f>
        <v>0</v>
      </c>
      <c r="X44" s="119" t="n">
        <f aca="false">SUMIFS(tabela_registros[VALOR],tabela_registros[MÊS],$AE$1,tabela_registros[DIA],fevtotal30[[#Headers],[20]],tabela_registros[REGISTRO],DADOS!$N$4,tabela_registros[TIPO],DADOS!$P$3,tabela_registros[CATEGORIA],despesafixaconsolidadofev[[#This Row],[DESPESA FIXA]])</f>
        <v>0</v>
      </c>
      <c r="Y44" s="119" t="n">
        <f aca="false">SUMIFS(tabela_registros[VALOR],tabela_registros[MÊS],$AE$1,tabela_registros[DIA],fevtotal30[[#Headers],[21]],tabela_registros[REGISTRO],DADOS!$N$4,tabela_registros[TIPO],DADOS!$P$3,tabela_registros[CATEGORIA],despesafixaconsolidadofev[[#This Row],[DESPESA FIXA]])</f>
        <v>0</v>
      </c>
      <c r="Z44" s="119" t="n">
        <f aca="false">SUMIFS(tabela_registros[VALOR],tabela_registros[MÊS],$AE$1,tabela_registros[DIA],fevtotal30[[#Headers],[22]],tabela_registros[REGISTRO],DADOS!$N$4,tabela_registros[TIPO],DADOS!$P$3,tabela_registros[CATEGORIA],despesafixaconsolidadofev[[#This Row],[DESPESA FIXA]])</f>
        <v>0</v>
      </c>
      <c r="AA44" s="119" t="n">
        <f aca="false">SUMIFS(tabela_registros[VALOR],tabela_registros[MÊS],$AE$1,tabela_registros[DIA],fevtotal30[[#Headers],[23]],tabela_registros[REGISTRO],DADOS!$N$4,tabela_registros[TIPO],DADOS!$P$3,tabela_registros[CATEGORIA],despesafixaconsolidadofev[[#This Row],[DESPESA FIXA]])</f>
        <v>0</v>
      </c>
      <c r="AB44" s="119" t="n">
        <f aca="false">SUMIFS(tabela_registros[VALOR],tabela_registros[MÊS],$AE$1,tabela_registros[DIA],fevtotal30[[#Headers],[24]],tabela_registros[REGISTRO],DADOS!$N$4,tabela_registros[TIPO],DADOS!$P$3,tabela_registros[CATEGORIA],despesafixaconsolidadofev[[#This Row],[DESPESA FIXA]])</f>
        <v>0</v>
      </c>
      <c r="AC44" s="119" t="n">
        <f aca="false">SUMIFS(tabela_registros[VALOR],tabela_registros[MÊS],$AE$1,tabela_registros[DIA],fevtotal30[[#Headers],[25]],tabela_registros[REGISTRO],DADOS!$N$4,tabela_registros[TIPO],DADOS!$P$3,tabela_registros[CATEGORIA],despesafixaconsolidadofev[[#This Row],[DESPESA FIXA]])</f>
        <v>0</v>
      </c>
      <c r="AD44" s="119" t="n">
        <f aca="false">SUMIFS(tabela_registros[VALOR],tabela_registros[MÊS],$AE$1,tabela_registros[DIA],fevtotal30[[#Headers],[26]],tabela_registros[REGISTRO],DADOS!$N$4,tabela_registros[TIPO],DADOS!$P$3,tabela_registros[CATEGORIA],despesafixaconsolidadofev[[#This Row],[DESPESA FIXA]])</f>
        <v>0</v>
      </c>
      <c r="AE44" s="119" t="n">
        <f aca="false">SUMIFS(tabela_registros[VALOR],tabela_registros[MÊS],$AE$1,tabela_registros[DIA],fevtotal30[[#Headers],[27]],tabela_registros[REGISTRO],DADOS!$N$4,tabela_registros[TIPO],DADOS!$P$3,tabela_registros[CATEGORIA],despesafixaconsolidadofev[[#This Row],[DESPESA FIXA]])</f>
        <v>0</v>
      </c>
      <c r="AF44" s="119" t="n">
        <f aca="false">SUMIFS(tabela_registros[VALOR],tabela_registros[MÊS],$AE$1,tabela_registros[DIA],fevtotal30[[#Headers],[28]],tabela_registros[REGISTRO],DADOS!$N$4,tabela_registros[TIPO],DADOS!$P$3,tabela_registros[CATEGORIA],despesafixaconsolidadofev[[#This Row],[DESPESA FIXA]])</f>
        <v>0</v>
      </c>
      <c r="AG44" s="119" t="n">
        <f aca="false">SUMIFS(tabela_registros[VALOR],tabela_registros[MÊS],$AE$1,tabela_registros[DIA],fevtotal30[[#Headers],[29]],tabela_registros[REGISTRO],DADOS!$N$4,tabela_registros[TIPO],DADOS!$P$3,tabela_registros[CATEGORIA],despesafixaconsolidadofev[[#This Row],[DESPESA FIXA]])</f>
        <v>0</v>
      </c>
      <c r="AH44" s="119" t="n">
        <f aca="false">SUMIFS(tabela_registros[VALOR],tabela_registros[MÊS],$AE$1,tabela_registros[DIA],fevtotal30[[#Headers],[30]],tabela_registros[REGISTRO],DADOS!$N$4,tabela_registros[TIPO],DADOS!$P$3,tabela_registros[CATEGORIA],despesafixaconsolidadofev[[#This Row],[DESPESA FIXA]])</f>
        <v>0</v>
      </c>
      <c r="AI44" s="217" t="n">
        <f aca="false">SUMIFS(tabela_registros[VALOR],tabela_registros[MÊS],$AE$1,tabela_registros[DIA],fevtotal30[[#Headers],[31]],tabela_registros[REGISTRO],DADOS!$N$4,tabela_registros[TIPO],DADOS!$P$3,tabela_registros[CATEGORIA],despesafixaconsolidadofev[[#This Row],[DESPESA FIXA]])</f>
        <v>0</v>
      </c>
      <c r="AJ44" s="149" t="n">
        <f aca="false">SUM(despesafixaconsolidadofev[[#This Row],[1]:[31]])</f>
        <v>0</v>
      </c>
      <c r="AK44" s="143"/>
    </row>
    <row r="45" customFormat="false" ht="18" hidden="false" customHeight="true" outlineLevel="0" collapsed="false">
      <c r="B45" s="143"/>
      <c r="C45" s="144" t="str">
        <f aca="false">DADOS!$R$11</f>
        <v>🔢 IMPOSTOS</v>
      </c>
      <c r="D45" s="145" t="str">
        <f aca="false">IF(despesafixaconsolidadofev[[#This Row],[TOTAL]]=0,"",IF(OR(despesafixaconsolidadofev[[#This Row],[TOTAL]]=LARGE($AJ$37:$AJ$50,1),despesafixaconsolidadofev[[#This Row],[TOTAL]]=LARGE($AJ$37:$AJ$50,2),despesafixaconsolidadofev[[#This Row],[TOTAL]]=LARGE($AJ$37:$AJ$50,3),despesafixaconsolidadofev[[#This Row],[TOTAL]]=LARGE($AJ$37:$AJ$50,4),despesafixaconsolidadofev[[#This Row],[TOTAL]]=LARGE($AJ$37:$AJ$50,5)),DADOS!$I$8,""))</f>
        <v/>
      </c>
      <c r="E45" s="148" t="n">
        <f aca="false">SUMIFS(tabela_registros[VALOR],tabela_registros[MÊS],$AE$1,tabela_registros[DIA],fevtotal30[[#Headers],[1]],tabela_registros[REGISTRO],DADOS!$N$4,tabela_registros[TIPO],DADOS!$P$3,tabela_registros[CATEGORIA],despesafixaconsolidadofev[[#This Row],[DESPESA FIXA]])</f>
        <v>0</v>
      </c>
      <c r="F45" s="119" t="n">
        <f aca="false">SUMIFS(tabela_registros[VALOR],tabela_registros[MÊS],$AE$1,tabela_registros[DIA],fevtotal30[[#Headers],[2]],tabela_registros[REGISTRO],DADOS!$N$4,tabela_registros[TIPO],DADOS!$P$3,tabela_registros[CATEGORIA],despesafixaconsolidadofev[[#This Row],[DESPESA FIXA]])</f>
        <v>0</v>
      </c>
      <c r="G45" s="119" t="n">
        <f aca="false">SUMIFS(tabela_registros[VALOR],tabela_registros[MÊS],$AE$1,tabela_registros[DIA],fevtotal30[[#Headers],[3]],tabela_registros[REGISTRO],DADOS!$N$4,tabela_registros[TIPO],DADOS!$P$3,tabela_registros[CATEGORIA],despesafixaconsolidadofev[[#This Row],[DESPESA FIXA]])</f>
        <v>0</v>
      </c>
      <c r="H45" s="119" t="n">
        <f aca="false">SUMIFS(tabela_registros[VALOR],tabela_registros[MÊS],$AE$1,tabela_registros[DIA],fevtotal30[[#Headers],[4]],tabela_registros[REGISTRO],DADOS!$N$4,tabela_registros[TIPO],DADOS!$P$3,tabela_registros[CATEGORIA],despesafixaconsolidadofev[[#This Row],[DESPESA FIXA]])</f>
        <v>0</v>
      </c>
      <c r="I45" s="119" t="n">
        <f aca="false">SUMIFS(tabela_registros[VALOR],tabela_registros[MÊS],$AE$1,tabela_registros[DIA],fevtotal30[[#Headers],[5]],tabela_registros[REGISTRO],DADOS!$N$4,tabela_registros[TIPO],DADOS!$P$3,tabela_registros[CATEGORIA],despesafixaconsolidadofev[[#This Row],[DESPESA FIXA]])</f>
        <v>0</v>
      </c>
      <c r="J45" s="119" t="n">
        <f aca="false">SUMIFS(tabela_registros[VALOR],tabela_registros[MÊS],$AE$1,tabela_registros[DIA],fevtotal30[[#Headers],[6]],tabela_registros[REGISTRO],DADOS!$N$4,tabela_registros[TIPO],DADOS!$P$3,tabela_registros[CATEGORIA],despesafixaconsolidadofev[[#This Row],[DESPESA FIXA]])</f>
        <v>0</v>
      </c>
      <c r="K45" s="119" t="n">
        <f aca="false">SUMIFS(tabela_registros[VALOR],tabela_registros[MÊS],$AE$1,tabela_registros[DIA],fevtotal30[[#Headers],[7]],tabela_registros[REGISTRO],DADOS!$N$4,tabela_registros[TIPO],DADOS!$P$3,tabela_registros[CATEGORIA],despesafixaconsolidadofev[[#This Row],[DESPESA FIXA]])</f>
        <v>0</v>
      </c>
      <c r="L45" s="119" t="n">
        <f aca="false">SUMIFS(tabela_registros[VALOR],tabela_registros[MÊS],$AE$1,tabela_registros[DIA],fevtotal30[[#Headers],[8]],tabela_registros[REGISTRO],DADOS!$N$4,tabela_registros[TIPO],DADOS!$P$3,tabela_registros[CATEGORIA],despesafixaconsolidadofev[[#This Row],[DESPESA FIXA]])</f>
        <v>0</v>
      </c>
      <c r="M45" s="119" t="n">
        <f aca="false">SUMIFS(tabela_registros[VALOR],tabela_registros[MÊS],$AE$1,tabela_registros[DIA],fevtotal30[[#Headers],[9]],tabela_registros[REGISTRO],DADOS!$N$4,tabela_registros[TIPO],DADOS!$P$3,tabela_registros[CATEGORIA],despesafixaconsolidadofev[[#This Row],[DESPESA FIXA]])</f>
        <v>0</v>
      </c>
      <c r="N45" s="119" t="n">
        <f aca="false">SUMIFS(tabela_registros[VALOR],tabela_registros[MÊS],$AE$1,tabela_registros[DIA],fevtotal30[[#Headers],[10]],tabela_registros[REGISTRO],DADOS!$N$4,tabela_registros[TIPO],DADOS!$P$3,tabela_registros[CATEGORIA],despesafixaconsolidadofev[[#This Row],[DESPESA FIXA]])</f>
        <v>0</v>
      </c>
      <c r="O45" s="119" t="n">
        <f aca="false">SUMIFS(tabela_registros[VALOR],tabela_registros[MÊS],$AE$1,tabela_registros[DIA],fevtotal30[[#Headers],[11]],tabela_registros[REGISTRO],DADOS!$N$4,tabela_registros[TIPO],DADOS!$P$3,tabela_registros[CATEGORIA],despesafixaconsolidadofev[[#This Row],[DESPESA FIXA]])</f>
        <v>0</v>
      </c>
      <c r="P45" s="119" t="n">
        <f aca="false">SUMIFS(tabela_registros[VALOR],tabela_registros[MÊS],$AE$1,tabela_registros[DIA],fevtotal30[[#Headers],[12]],tabela_registros[REGISTRO],DADOS!$N$4,tabela_registros[TIPO],DADOS!$P$3,tabela_registros[CATEGORIA],despesafixaconsolidadofev[[#This Row],[DESPESA FIXA]])</f>
        <v>0</v>
      </c>
      <c r="Q45" s="119" t="n">
        <f aca="false">SUMIFS(tabela_registros[VALOR],tabela_registros[MÊS],$AE$1,tabela_registros[DIA],fevtotal30[[#Headers],[13]],tabela_registros[REGISTRO],DADOS!$N$4,tabela_registros[TIPO],DADOS!$P$3,tabela_registros[CATEGORIA],despesafixaconsolidadofev[[#This Row],[DESPESA FIXA]])</f>
        <v>0</v>
      </c>
      <c r="R45" s="119" t="n">
        <f aca="false">SUMIFS(tabela_registros[VALOR],tabela_registros[MÊS],$AE$1,tabela_registros[DIA],fevtotal30[[#Headers],[14]],tabela_registros[REGISTRO],DADOS!$N$4,tabela_registros[TIPO],DADOS!$P$3,tabela_registros[CATEGORIA],despesafixaconsolidadofev[[#This Row],[DESPESA FIXA]])</f>
        <v>0</v>
      </c>
      <c r="S45" s="119" t="n">
        <f aca="false">SUMIFS(tabela_registros[VALOR],tabela_registros[MÊS],$AE$1,tabela_registros[DIA],fevtotal30[[#Headers],[15]],tabela_registros[REGISTRO],DADOS!$N$4,tabela_registros[TIPO],DADOS!$P$3,tabela_registros[CATEGORIA],despesafixaconsolidadofev[[#This Row],[DESPESA FIXA]])</f>
        <v>0</v>
      </c>
      <c r="T45" s="119" t="n">
        <f aca="false">SUMIFS(tabela_registros[VALOR],tabela_registros[MÊS],$AE$1,tabela_registros[DIA],fevtotal30[[#Headers],[16]],tabela_registros[REGISTRO],DADOS!$N$4,tabela_registros[TIPO],DADOS!$P$3,tabela_registros[CATEGORIA],despesafixaconsolidadofev[[#This Row],[DESPESA FIXA]])</f>
        <v>0</v>
      </c>
      <c r="U45" s="119" t="n">
        <f aca="false">SUMIFS(tabela_registros[VALOR],tabela_registros[MÊS],$AE$1,tabela_registros[DIA],fevtotal30[[#Headers],[17]],tabela_registros[REGISTRO],DADOS!$N$4,tabela_registros[TIPO],DADOS!$P$3,tabela_registros[CATEGORIA],despesafixaconsolidadofev[[#This Row],[DESPESA FIXA]])</f>
        <v>0</v>
      </c>
      <c r="V45" s="119" t="n">
        <f aca="false">SUMIFS(tabela_registros[VALOR],tabela_registros[MÊS],$AE$1,tabela_registros[DIA],fevtotal30[[#Headers],[18]],tabela_registros[REGISTRO],DADOS!$N$4,tabela_registros[TIPO],DADOS!$P$3,tabela_registros[CATEGORIA],despesafixaconsolidadofev[[#This Row],[DESPESA FIXA]])</f>
        <v>0</v>
      </c>
      <c r="W45" s="119" t="n">
        <f aca="false">SUMIFS(tabela_registros[VALOR],tabela_registros[MÊS],$AE$1,tabela_registros[DIA],fevtotal30[[#Headers],[19]],tabela_registros[REGISTRO],DADOS!$N$4,tabela_registros[TIPO],DADOS!$P$3,tabela_registros[CATEGORIA],despesafixaconsolidadofev[[#This Row],[DESPESA FIXA]])</f>
        <v>0</v>
      </c>
      <c r="X45" s="119" t="n">
        <f aca="false">SUMIFS(tabela_registros[VALOR],tabela_registros[MÊS],$AE$1,tabela_registros[DIA],fevtotal30[[#Headers],[20]],tabela_registros[REGISTRO],DADOS!$N$4,tabela_registros[TIPO],DADOS!$P$3,tabela_registros[CATEGORIA],despesafixaconsolidadofev[[#This Row],[DESPESA FIXA]])</f>
        <v>0</v>
      </c>
      <c r="Y45" s="119" t="n">
        <f aca="false">SUMIFS(tabela_registros[VALOR],tabela_registros[MÊS],$AE$1,tabela_registros[DIA],fevtotal30[[#Headers],[21]],tabela_registros[REGISTRO],DADOS!$N$4,tabela_registros[TIPO],DADOS!$P$3,tabela_registros[CATEGORIA],despesafixaconsolidadofev[[#This Row],[DESPESA FIXA]])</f>
        <v>0</v>
      </c>
      <c r="Z45" s="119" t="n">
        <f aca="false">SUMIFS(tabela_registros[VALOR],tabela_registros[MÊS],$AE$1,tabela_registros[DIA],fevtotal30[[#Headers],[22]],tabela_registros[REGISTRO],DADOS!$N$4,tabela_registros[TIPO],DADOS!$P$3,tabela_registros[CATEGORIA],despesafixaconsolidadofev[[#This Row],[DESPESA FIXA]])</f>
        <v>0</v>
      </c>
      <c r="AA45" s="119" t="n">
        <f aca="false">SUMIFS(tabela_registros[VALOR],tabela_registros[MÊS],$AE$1,tabela_registros[DIA],fevtotal30[[#Headers],[23]],tabela_registros[REGISTRO],DADOS!$N$4,tabela_registros[TIPO],DADOS!$P$3,tabela_registros[CATEGORIA],despesafixaconsolidadofev[[#This Row],[DESPESA FIXA]])</f>
        <v>0</v>
      </c>
      <c r="AB45" s="119" t="n">
        <f aca="false">SUMIFS(tabela_registros[VALOR],tabela_registros[MÊS],$AE$1,tabela_registros[DIA],fevtotal30[[#Headers],[24]],tabela_registros[REGISTRO],DADOS!$N$4,tabela_registros[TIPO],DADOS!$P$3,tabela_registros[CATEGORIA],despesafixaconsolidadofev[[#This Row],[DESPESA FIXA]])</f>
        <v>0</v>
      </c>
      <c r="AC45" s="119" t="n">
        <f aca="false">SUMIFS(tabela_registros[VALOR],tabela_registros[MÊS],$AE$1,tabela_registros[DIA],fevtotal30[[#Headers],[25]],tabela_registros[REGISTRO],DADOS!$N$4,tabela_registros[TIPO],DADOS!$P$3,tabela_registros[CATEGORIA],despesafixaconsolidadofev[[#This Row],[DESPESA FIXA]])</f>
        <v>0</v>
      </c>
      <c r="AD45" s="119" t="n">
        <f aca="false">SUMIFS(tabela_registros[VALOR],tabela_registros[MÊS],$AE$1,tabela_registros[DIA],fevtotal30[[#Headers],[26]],tabela_registros[REGISTRO],DADOS!$N$4,tabela_registros[TIPO],DADOS!$P$3,tabela_registros[CATEGORIA],despesafixaconsolidadofev[[#This Row],[DESPESA FIXA]])</f>
        <v>0</v>
      </c>
      <c r="AE45" s="119" t="n">
        <f aca="false">SUMIFS(tabela_registros[VALOR],tabela_registros[MÊS],$AE$1,tabela_registros[DIA],fevtotal30[[#Headers],[27]],tabela_registros[REGISTRO],DADOS!$N$4,tabela_registros[TIPO],DADOS!$P$3,tabela_registros[CATEGORIA],despesafixaconsolidadofev[[#This Row],[DESPESA FIXA]])</f>
        <v>0</v>
      </c>
      <c r="AF45" s="119" t="n">
        <f aca="false">SUMIFS(tabela_registros[VALOR],tabela_registros[MÊS],$AE$1,tabela_registros[DIA],fevtotal30[[#Headers],[28]],tabela_registros[REGISTRO],DADOS!$N$4,tabela_registros[TIPO],DADOS!$P$3,tabela_registros[CATEGORIA],despesafixaconsolidadofev[[#This Row],[DESPESA FIXA]])</f>
        <v>0</v>
      </c>
      <c r="AG45" s="119" t="n">
        <f aca="false">SUMIFS(tabela_registros[VALOR],tabela_registros[MÊS],$AE$1,tabela_registros[DIA],fevtotal30[[#Headers],[29]],tabela_registros[REGISTRO],DADOS!$N$4,tabela_registros[TIPO],DADOS!$P$3,tabela_registros[CATEGORIA],despesafixaconsolidadofev[[#This Row],[DESPESA FIXA]])</f>
        <v>0</v>
      </c>
      <c r="AH45" s="119" t="n">
        <f aca="false">SUMIFS(tabela_registros[VALOR],tabela_registros[MÊS],$AE$1,tabela_registros[DIA],fevtotal30[[#Headers],[30]],tabela_registros[REGISTRO],DADOS!$N$4,tabela_registros[TIPO],DADOS!$P$3,tabela_registros[CATEGORIA],despesafixaconsolidadofev[[#This Row],[DESPESA FIXA]])</f>
        <v>0</v>
      </c>
      <c r="AI45" s="217" t="n">
        <f aca="false">SUMIFS(tabela_registros[VALOR],tabela_registros[MÊS],$AE$1,tabela_registros[DIA],fevtotal30[[#Headers],[31]],tabela_registros[REGISTRO],DADOS!$N$4,tabela_registros[TIPO],DADOS!$P$3,tabela_registros[CATEGORIA],despesafixaconsolidadofev[[#This Row],[DESPESA FIXA]])</f>
        <v>0</v>
      </c>
      <c r="AJ45" s="149" t="n">
        <f aca="false">SUM(despesafixaconsolidadofev[[#This Row],[1]:[31]])</f>
        <v>0</v>
      </c>
      <c r="AK45" s="143"/>
    </row>
    <row r="46" customFormat="false" ht="18" hidden="false" customHeight="true" outlineLevel="0" collapsed="false">
      <c r="B46" s="143"/>
      <c r="C46" s="144" t="str">
        <f aca="false">DADOS!$R$12</f>
        <v>🖱️ INTERNET</v>
      </c>
      <c r="D46" s="145" t="str">
        <f aca="false">IF(despesafixaconsolidadofev[[#This Row],[TOTAL]]=0,"",IF(OR(despesafixaconsolidadofev[[#This Row],[TOTAL]]=LARGE($AJ$37:$AJ$50,1),despesafixaconsolidadofev[[#This Row],[TOTAL]]=LARGE($AJ$37:$AJ$50,2),despesafixaconsolidadofev[[#This Row],[TOTAL]]=LARGE($AJ$37:$AJ$50,3),despesafixaconsolidadofev[[#This Row],[TOTAL]]=LARGE($AJ$37:$AJ$50,4),despesafixaconsolidadofev[[#This Row],[TOTAL]]=LARGE($AJ$37:$AJ$50,5)),DADOS!$I$8,""))</f>
        <v/>
      </c>
      <c r="E46" s="148" t="n">
        <f aca="false">SUMIFS(tabela_registros[VALOR],tabela_registros[MÊS],$AE$1,tabela_registros[DIA],fevtotal30[[#Headers],[1]],tabela_registros[REGISTRO],DADOS!$N$4,tabela_registros[TIPO],DADOS!$P$3,tabela_registros[CATEGORIA],despesafixaconsolidadofev[[#This Row],[DESPESA FIXA]])</f>
        <v>0</v>
      </c>
      <c r="F46" s="119" t="n">
        <f aca="false">SUMIFS(tabela_registros[VALOR],tabela_registros[MÊS],$AE$1,tabela_registros[DIA],fevtotal30[[#Headers],[2]],tabela_registros[REGISTRO],DADOS!$N$4,tabela_registros[TIPO],DADOS!$P$3,tabela_registros[CATEGORIA],despesafixaconsolidadofev[[#This Row],[DESPESA FIXA]])</f>
        <v>0</v>
      </c>
      <c r="G46" s="119" t="n">
        <f aca="false">SUMIFS(tabela_registros[VALOR],tabela_registros[MÊS],$AE$1,tabela_registros[DIA],fevtotal30[[#Headers],[3]],tabela_registros[REGISTRO],DADOS!$N$4,tabela_registros[TIPO],DADOS!$P$3,tabela_registros[CATEGORIA],despesafixaconsolidadofev[[#This Row],[DESPESA FIXA]])</f>
        <v>0</v>
      </c>
      <c r="H46" s="119" t="n">
        <f aca="false">SUMIFS(tabela_registros[VALOR],tabela_registros[MÊS],$AE$1,tabela_registros[DIA],fevtotal30[[#Headers],[4]],tabela_registros[REGISTRO],DADOS!$N$4,tabela_registros[TIPO],DADOS!$P$3,tabela_registros[CATEGORIA],despesafixaconsolidadofev[[#This Row],[DESPESA FIXA]])</f>
        <v>0</v>
      </c>
      <c r="I46" s="119" t="n">
        <f aca="false">SUMIFS(tabela_registros[VALOR],tabela_registros[MÊS],$AE$1,tabela_registros[DIA],fevtotal30[[#Headers],[5]],tabela_registros[REGISTRO],DADOS!$N$4,tabela_registros[TIPO],DADOS!$P$3,tabela_registros[CATEGORIA],despesafixaconsolidadofev[[#This Row],[DESPESA FIXA]])</f>
        <v>0</v>
      </c>
      <c r="J46" s="119" t="n">
        <f aca="false">SUMIFS(tabela_registros[VALOR],tabela_registros[MÊS],$AE$1,tabela_registros[DIA],fevtotal30[[#Headers],[6]],tabela_registros[REGISTRO],DADOS!$N$4,tabela_registros[TIPO],DADOS!$P$3,tabela_registros[CATEGORIA],despesafixaconsolidadofev[[#This Row],[DESPESA FIXA]])</f>
        <v>0</v>
      </c>
      <c r="K46" s="119" t="n">
        <f aca="false">SUMIFS(tabela_registros[VALOR],tabela_registros[MÊS],$AE$1,tabela_registros[DIA],fevtotal30[[#Headers],[7]],tabela_registros[REGISTRO],DADOS!$N$4,tabela_registros[TIPO],DADOS!$P$3,tabela_registros[CATEGORIA],despesafixaconsolidadofev[[#This Row],[DESPESA FIXA]])</f>
        <v>0</v>
      </c>
      <c r="L46" s="119" t="n">
        <f aca="false">SUMIFS(tabela_registros[VALOR],tabela_registros[MÊS],$AE$1,tabela_registros[DIA],fevtotal30[[#Headers],[8]],tabela_registros[REGISTRO],DADOS!$N$4,tabela_registros[TIPO],DADOS!$P$3,tabela_registros[CATEGORIA],despesafixaconsolidadofev[[#This Row],[DESPESA FIXA]])</f>
        <v>0</v>
      </c>
      <c r="M46" s="119" t="n">
        <f aca="false">SUMIFS(tabela_registros[VALOR],tabela_registros[MÊS],$AE$1,tabela_registros[DIA],fevtotal30[[#Headers],[9]],tabela_registros[REGISTRO],DADOS!$N$4,tabela_registros[TIPO],DADOS!$P$3,tabela_registros[CATEGORIA],despesafixaconsolidadofev[[#This Row],[DESPESA FIXA]])</f>
        <v>0</v>
      </c>
      <c r="N46" s="119" t="n">
        <f aca="false">SUMIFS(tabela_registros[VALOR],tabela_registros[MÊS],$AE$1,tabela_registros[DIA],fevtotal30[[#Headers],[10]],tabela_registros[REGISTRO],DADOS!$N$4,tabela_registros[TIPO],DADOS!$P$3,tabela_registros[CATEGORIA],despesafixaconsolidadofev[[#This Row],[DESPESA FIXA]])</f>
        <v>0</v>
      </c>
      <c r="O46" s="119" t="n">
        <f aca="false">SUMIFS(tabela_registros[VALOR],tabela_registros[MÊS],$AE$1,tabela_registros[DIA],fevtotal30[[#Headers],[11]],tabela_registros[REGISTRO],DADOS!$N$4,tabela_registros[TIPO],DADOS!$P$3,tabela_registros[CATEGORIA],despesafixaconsolidadofev[[#This Row],[DESPESA FIXA]])</f>
        <v>0</v>
      </c>
      <c r="P46" s="119" t="n">
        <f aca="false">SUMIFS(tabela_registros[VALOR],tabela_registros[MÊS],$AE$1,tabela_registros[DIA],fevtotal30[[#Headers],[12]],tabela_registros[REGISTRO],DADOS!$N$4,tabela_registros[TIPO],DADOS!$P$3,tabela_registros[CATEGORIA],despesafixaconsolidadofev[[#This Row],[DESPESA FIXA]])</f>
        <v>0</v>
      </c>
      <c r="Q46" s="119" t="n">
        <f aca="false">SUMIFS(tabela_registros[VALOR],tabela_registros[MÊS],$AE$1,tabela_registros[DIA],fevtotal30[[#Headers],[13]],tabela_registros[REGISTRO],DADOS!$N$4,tabela_registros[TIPO],DADOS!$P$3,tabela_registros[CATEGORIA],despesafixaconsolidadofev[[#This Row],[DESPESA FIXA]])</f>
        <v>0</v>
      </c>
      <c r="R46" s="119" t="n">
        <f aca="false">SUMIFS(tabela_registros[VALOR],tabela_registros[MÊS],$AE$1,tabela_registros[DIA],fevtotal30[[#Headers],[14]],tabela_registros[REGISTRO],DADOS!$N$4,tabela_registros[TIPO],DADOS!$P$3,tabela_registros[CATEGORIA],despesafixaconsolidadofev[[#This Row],[DESPESA FIXA]])</f>
        <v>0</v>
      </c>
      <c r="S46" s="119" t="n">
        <f aca="false">SUMIFS(tabela_registros[VALOR],tabela_registros[MÊS],$AE$1,tabela_registros[DIA],fevtotal30[[#Headers],[15]],tabela_registros[REGISTRO],DADOS!$N$4,tabela_registros[TIPO],DADOS!$P$3,tabela_registros[CATEGORIA],despesafixaconsolidadofev[[#This Row],[DESPESA FIXA]])</f>
        <v>0</v>
      </c>
      <c r="T46" s="119" t="n">
        <f aca="false">SUMIFS(tabela_registros[VALOR],tabela_registros[MÊS],$AE$1,tabela_registros[DIA],fevtotal30[[#Headers],[16]],tabela_registros[REGISTRO],DADOS!$N$4,tabela_registros[TIPO],DADOS!$P$3,tabela_registros[CATEGORIA],despesafixaconsolidadofev[[#This Row],[DESPESA FIXA]])</f>
        <v>0</v>
      </c>
      <c r="U46" s="119" t="n">
        <f aca="false">SUMIFS(tabela_registros[VALOR],tabela_registros[MÊS],$AE$1,tabela_registros[DIA],fevtotal30[[#Headers],[17]],tabela_registros[REGISTRO],DADOS!$N$4,tabela_registros[TIPO],DADOS!$P$3,tabela_registros[CATEGORIA],despesafixaconsolidadofev[[#This Row],[DESPESA FIXA]])</f>
        <v>0</v>
      </c>
      <c r="V46" s="119" t="n">
        <f aca="false">SUMIFS(tabela_registros[VALOR],tabela_registros[MÊS],$AE$1,tabela_registros[DIA],fevtotal30[[#Headers],[18]],tabela_registros[REGISTRO],DADOS!$N$4,tabela_registros[TIPO],DADOS!$P$3,tabela_registros[CATEGORIA],despesafixaconsolidadofev[[#This Row],[DESPESA FIXA]])</f>
        <v>0</v>
      </c>
      <c r="W46" s="119" t="n">
        <f aca="false">SUMIFS(tabela_registros[VALOR],tabela_registros[MÊS],$AE$1,tabela_registros[DIA],fevtotal30[[#Headers],[19]],tabela_registros[REGISTRO],DADOS!$N$4,tabela_registros[TIPO],DADOS!$P$3,tabela_registros[CATEGORIA],despesafixaconsolidadofev[[#This Row],[DESPESA FIXA]])</f>
        <v>0</v>
      </c>
      <c r="X46" s="119" t="n">
        <f aca="false">SUMIFS(tabela_registros[VALOR],tabela_registros[MÊS],$AE$1,tabela_registros[DIA],fevtotal30[[#Headers],[20]],tabela_registros[REGISTRO],DADOS!$N$4,tabela_registros[TIPO],DADOS!$P$3,tabela_registros[CATEGORIA],despesafixaconsolidadofev[[#This Row],[DESPESA FIXA]])</f>
        <v>0</v>
      </c>
      <c r="Y46" s="119" t="n">
        <f aca="false">SUMIFS(tabela_registros[VALOR],tabela_registros[MÊS],$AE$1,tabela_registros[DIA],fevtotal30[[#Headers],[21]],tabela_registros[REGISTRO],DADOS!$N$4,tabela_registros[TIPO],DADOS!$P$3,tabela_registros[CATEGORIA],despesafixaconsolidadofev[[#This Row],[DESPESA FIXA]])</f>
        <v>0</v>
      </c>
      <c r="Z46" s="119" t="n">
        <f aca="false">SUMIFS(tabela_registros[VALOR],tabela_registros[MÊS],$AE$1,tabela_registros[DIA],fevtotal30[[#Headers],[22]],tabela_registros[REGISTRO],DADOS!$N$4,tabela_registros[TIPO],DADOS!$P$3,tabela_registros[CATEGORIA],despesafixaconsolidadofev[[#This Row],[DESPESA FIXA]])</f>
        <v>0</v>
      </c>
      <c r="AA46" s="119" t="n">
        <f aca="false">SUMIFS(tabela_registros[VALOR],tabela_registros[MÊS],$AE$1,tabela_registros[DIA],fevtotal30[[#Headers],[23]],tabela_registros[REGISTRO],DADOS!$N$4,tabela_registros[TIPO],DADOS!$P$3,tabela_registros[CATEGORIA],despesafixaconsolidadofev[[#This Row],[DESPESA FIXA]])</f>
        <v>0</v>
      </c>
      <c r="AB46" s="119" t="n">
        <f aca="false">SUMIFS(tabela_registros[VALOR],tabela_registros[MÊS],$AE$1,tabela_registros[DIA],fevtotal30[[#Headers],[24]],tabela_registros[REGISTRO],DADOS!$N$4,tabela_registros[TIPO],DADOS!$P$3,tabela_registros[CATEGORIA],despesafixaconsolidadofev[[#This Row],[DESPESA FIXA]])</f>
        <v>0</v>
      </c>
      <c r="AC46" s="119" t="n">
        <f aca="false">SUMIFS(tabela_registros[VALOR],tabela_registros[MÊS],$AE$1,tabela_registros[DIA],fevtotal30[[#Headers],[25]],tabela_registros[REGISTRO],DADOS!$N$4,tabela_registros[TIPO],DADOS!$P$3,tabela_registros[CATEGORIA],despesafixaconsolidadofev[[#This Row],[DESPESA FIXA]])</f>
        <v>0</v>
      </c>
      <c r="AD46" s="119" t="n">
        <f aca="false">SUMIFS(tabela_registros[VALOR],tabela_registros[MÊS],$AE$1,tabela_registros[DIA],fevtotal30[[#Headers],[26]],tabela_registros[REGISTRO],DADOS!$N$4,tabela_registros[TIPO],DADOS!$P$3,tabela_registros[CATEGORIA],despesafixaconsolidadofev[[#This Row],[DESPESA FIXA]])</f>
        <v>0</v>
      </c>
      <c r="AE46" s="119" t="n">
        <f aca="false">SUMIFS(tabela_registros[VALOR],tabela_registros[MÊS],$AE$1,tabela_registros[DIA],fevtotal30[[#Headers],[27]],tabela_registros[REGISTRO],DADOS!$N$4,tabela_registros[TIPO],DADOS!$P$3,tabela_registros[CATEGORIA],despesafixaconsolidadofev[[#This Row],[DESPESA FIXA]])</f>
        <v>0</v>
      </c>
      <c r="AF46" s="119" t="n">
        <f aca="false">SUMIFS(tabela_registros[VALOR],tabela_registros[MÊS],$AE$1,tabela_registros[DIA],fevtotal30[[#Headers],[28]],tabela_registros[REGISTRO],DADOS!$N$4,tabela_registros[TIPO],DADOS!$P$3,tabela_registros[CATEGORIA],despesafixaconsolidadofev[[#This Row],[DESPESA FIXA]])</f>
        <v>0</v>
      </c>
      <c r="AG46" s="119" t="n">
        <f aca="false">SUMIFS(tabela_registros[VALOR],tabela_registros[MÊS],$AE$1,tabela_registros[DIA],fevtotal30[[#Headers],[29]],tabela_registros[REGISTRO],DADOS!$N$4,tabela_registros[TIPO],DADOS!$P$3,tabela_registros[CATEGORIA],despesafixaconsolidadofev[[#This Row],[DESPESA FIXA]])</f>
        <v>0</v>
      </c>
      <c r="AH46" s="119" t="n">
        <f aca="false">SUMIFS(tabela_registros[VALOR],tabela_registros[MÊS],$AE$1,tabela_registros[DIA],fevtotal30[[#Headers],[30]],tabela_registros[REGISTRO],DADOS!$N$4,tabela_registros[TIPO],DADOS!$P$3,tabela_registros[CATEGORIA],despesafixaconsolidadofev[[#This Row],[DESPESA FIXA]])</f>
        <v>0</v>
      </c>
      <c r="AI46" s="217" t="n">
        <f aca="false">SUMIFS(tabela_registros[VALOR],tabela_registros[MÊS],$AE$1,tabela_registros[DIA],fevtotal30[[#Headers],[31]],tabela_registros[REGISTRO],DADOS!$N$4,tabela_registros[TIPO],DADOS!$P$3,tabela_registros[CATEGORIA],despesafixaconsolidadofev[[#This Row],[DESPESA FIXA]])</f>
        <v>0</v>
      </c>
      <c r="AJ46" s="149" t="n">
        <f aca="false">SUM(despesafixaconsolidadofev[[#This Row],[1]:[31]])</f>
        <v>0</v>
      </c>
      <c r="AK46" s="143"/>
    </row>
    <row r="47" customFormat="false" ht="18" hidden="false" customHeight="true" outlineLevel="0" collapsed="false">
      <c r="B47" s="143"/>
      <c r="C47" s="144" t="str">
        <f aca="false">DADOS!$R$13</f>
        <v>🏠 MORADIA</v>
      </c>
      <c r="D47" s="145" t="str">
        <f aca="false">IF(despesafixaconsolidadofev[[#This Row],[TOTAL]]=0,"",IF(OR(despesafixaconsolidadofev[[#This Row],[TOTAL]]=LARGE($AJ$37:$AJ$50,1),despesafixaconsolidadofev[[#This Row],[TOTAL]]=LARGE($AJ$37:$AJ$50,2),despesafixaconsolidadofev[[#This Row],[TOTAL]]=LARGE($AJ$37:$AJ$50,3),despesafixaconsolidadofev[[#This Row],[TOTAL]]=LARGE($AJ$37:$AJ$50,4),despesafixaconsolidadofev[[#This Row],[TOTAL]]=LARGE($AJ$37:$AJ$50,5)),DADOS!$I$8,""))</f>
        <v/>
      </c>
      <c r="E47" s="148" t="n">
        <f aca="false">SUMIFS(tabela_registros[VALOR],tabela_registros[MÊS],$AE$1,tabela_registros[DIA],fevtotal30[[#Headers],[1]],tabela_registros[REGISTRO],DADOS!$N$4,tabela_registros[TIPO],DADOS!$P$3,tabela_registros[CATEGORIA],despesafixaconsolidadofev[[#This Row],[DESPESA FIXA]])</f>
        <v>0</v>
      </c>
      <c r="F47" s="119" t="n">
        <f aca="false">SUMIFS(tabela_registros[VALOR],tabela_registros[MÊS],$AE$1,tabela_registros[DIA],fevtotal30[[#Headers],[2]],tabela_registros[REGISTRO],DADOS!$N$4,tabela_registros[TIPO],DADOS!$P$3,tabela_registros[CATEGORIA],despesafixaconsolidadofev[[#This Row],[DESPESA FIXA]])</f>
        <v>0</v>
      </c>
      <c r="G47" s="119" t="n">
        <f aca="false">SUMIFS(tabela_registros[VALOR],tabela_registros[MÊS],$AE$1,tabela_registros[DIA],fevtotal30[[#Headers],[3]],tabela_registros[REGISTRO],DADOS!$N$4,tabela_registros[TIPO],DADOS!$P$3,tabela_registros[CATEGORIA],despesafixaconsolidadofev[[#This Row],[DESPESA FIXA]])</f>
        <v>0</v>
      </c>
      <c r="H47" s="119" t="n">
        <f aca="false">SUMIFS(tabela_registros[VALOR],tabela_registros[MÊS],$AE$1,tabela_registros[DIA],fevtotal30[[#Headers],[4]],tabela_registros[REGISTRO],DADOS!$N$4,tabela_registros[TIPO],DADOS!$P$3,tabela_registros[CATEGORIA],despesafixaconsolidadofev[[#This Row],[DESPESA FIXA]])</f>
        <v>0</v>
      </c>
      <c r="I47" s="119" t="n">
        <f aca="false">SUMIFS(tabela_registros[VALOR],tabela_registros[MÊS],$AE$1,tabela_registros[DIA],fevtotal30[[#Headers],[5]],tabela_registros[REGISTRO],DADOS!$N$4,tabela_registros[TIPO],DADOS!$P$3,tabela_registros[CATEGORIA],despesafixaconsolidadofev[[#This Row],[DESPESA FIXA]])</f>
        <v>0</v>
      </c>
      <c r="J47" s="119" t="n">
        <f aca="false">SUMIFS(tabela_registros[VALOR],tabela_registros[MÊS],$AE$1,tabela_registros[DIA],fevtotal30[[#Headers],[6]],tabela_registros[REGISTRO],DADOS!$N$4,tabela_registros[TIPO],DADOS!$P$3,tabela_registros[CATEGORIA],despesafixaconsolidadofev[[#This Row],[DESPESA FIXA]])</f>
        <v>0</v>
      </c>
      <c r="K47" s="119" t="n">
        <f aca="false">SUMIFS(tabela_registros[VALOR],tabela_registros[MÊS],$AE$1,tabela_registros[DIA],fevtotal30[[#Headers],[7]],tabela_registros[REGISTRO],DADOS!$N$4,tabela_registros[TIPO],DADOS!$P$3,tabela_registros[CATEGORIA],despesafixaconsolidadofev[[#This Row],[DESPESA FIXA]])</f>
        <v>0</v>
      </c>
      <c r="L47" s="119" t="n">
        <f aca="false">SUMIFS(tabela_registros[VALOR],tabela_registros[MÊS],$AE$1,tabela_registros[DIA],fevtotal30[[#Headers],[8]],tabela_registros[REGISTRO],DADOS!$N$4,tabela_registros[TIPO],DADOS!$P$3,tabela_registros[CATEGORIA],despesafixaconsolidadofev[[#This Row],[DESPESA FIXA]])</f>
        <v>0</v>
      </c>
      <c r="M47" s="119" t="n">
        <f aca="false">SUMIFS(tabela_registros[VALOR],tabela_registros[MÊS],$AE$1,tabela_registros[DIA],fevtotal30[[#Headers],[9]],tabela_registros[REGISTRO],DADOS!$N$4,tabela_registros[TIPO],DADOS!$P$3,tabela_registros[CATEGORIA],despesafixaconsolidadofev[[#This Row],[DESPESA FIXA]])</f>
        <v>0</v>
      </c>
      <c r="N47" s="119" t="n">
        <f aca="false">SUMIFS(tabela_registros[VALOR],tabela_registros[MÊS],$AE$1,tabela_registros[DIA],fevtotal30[[#Headers],[10]],tabela_registros[REGISTRO],DADOS!$N$4,tabela_registros[TIPO],DADOS!$P$3,tabela_registros[CATEGORIA],despesafixaconsolidadofev[[#This Row],[DESPESA FIXA]])</f>
        <v>0</v>
      </c>
      <c r="O47" s="119" t="n">
        <f aca="false">SUMIFS(tabela_registros[VALOR],tabela_registros[MÊS],$AE$1,tabela_registros[DIA],fevtotal30[[#Headers],[11]],tabela_registros[REGISTRO],DADOS!$N$4,tabela_registros[TIPO],DADOS!$P$3,tabela_registros[CATEGORIA],despesafixaconsolidadofev[[#This Row],[DESPESA FIXA]])</f>
        <v>0</v>
      </c>
      <c r="P47" s="119" t="n">
        <f aca="false">SUMIFS(tabela_registros[VALOR],tabela_registros[MÊS],$AE$1,tabela_registros[DIA],fevtotal30[[#Headers],[12]],tabela_registros[REGISTRO],DADOS!$N$4,tabela_registros[TIPO],DADOS!$P$3,tabela_registros[CATEGORIA],despesafixaconsolidadofev[[#This Row],[DESPESA FIXA]])</f>
        <v>0</v>
      </c>
      <c r="Q47" s="119" t="n">
        <f aca="false">SUMIFS(tabela_registros[VALOR],tabela_registros[MÊS],$AE$1,tabela_registros[DIA],fevtotal30[[#Headers],[13]],tabela_registros[REGISTRO],DADOS!$N$4,tabela_registros[TIPO],DADOS!$P$3,tabela_registros[CATEGORIA],despesafixaconsolidadofev[[#This Row],[DESPESA FIXA]])</f>
        <v>0</v>
      </c>
      <c r="R47" s="119" t="n">
        <f aca="false">SUMIFS(tabela_registros[VALOR],tabela_registros[MÊS],$AE$1,tabela_registros[DIA],fevtotal30[[#Headers],[14]],tabela_registros[REGISTRO],DADOS!$N$4,tabela_registros[TIPO],DADOS!$P$3,tabela_registros[CATEGORIA],despesafixaconsolidadofev[[#This Row],[DESPESA FIXA]])</f>
        <v>0</v>
      </c>
      <c r="S47" s="119" t="n">
        <f aca="false">SUMIFS(tabela_registros[VALOR],tabela_registros[MÊS],$AE$1,tabela_registros[DIA],fevtotal30[[#Headers],[15]],tabela_registros[REGISTRO],DADOS!$N$4,tabela_registros[TIPO],DADOS!$P$3,tabela_registros[CATEGORIA],despesafixaconsolidadofev[[#This Row],[DESPESA FIXA]])</f>
        <v>0</v>
      </c>
      <c r="T47" s="119" t="n">
        <f aca="false">SUMIFS(tabela_registros[VALOR],tabela_registros[MÊS],$AE$1,tabela_registros[DIA],fevtotal30[[#Headers],[16]],tabela_registros[REGISTRO],DADOS!$N$4,tabela_registros[TIPO],DADOS!$P$3,tabela_registros[CATEGORIA],despesafixaconsolidadofev[[#This Row],[DESPESA FIXA]])</f>
        <v>0</v>
      </c>
      <c r="U47" s="119" t="n">
        <f aca="false">SUMIFS(tabela_registros[VALOR],tabela_registros[MÊS],$AE$1,tabela_registros[DIA],fevtotal30[[#Headers],[17]],tabela_registros[REGISTRO],DADOS!$N$4,tabela_registros[TIPO],DADOS!$P$3,tabela_registros[CATEGORIA],despesafixaconsolidadofev[[#This Row],[DESPESA FIXA]])</f>
        <v>0</v>
      </c>
      <c r="V47" s="119" t="n">
        <f aca="false">SUMIFS(tabela_registros[VALOR],tabela_registros[MÊS],$AE$1,tabela_registros[DIA],fevtotal30[[#Headers],[18]],tabela_registros[REGISTRO],DADOS!$N$4,tabela_registros[TIPO],DADOS!$P$3,tabela_registros[CATEGORIA],despesafixaconsolidadofev[[#This Row],[DESPESA FIXA]])</f>
        <v>0</v>
      </c>
      <c r="W47" s="119" t="n">
        <f aca="false">SUMIFS(tabela_registros[VALOR],tabela_registros[MÊS],$AE$1,tabela_registros[DIA],fevtotal30[[#Headers],[19]],tabela_registros[REGISTRO],DADOS!$N$4,tabela_registros[TIPO],DADOS!$P$3,tabela_registros[CATEGORIA],despesafixaconsolidadofev[[#This Row],[DESPESA FIXA]])</f>
        <v>0</v>
      </c>
      <c r="X47" s="119" t="n">
        <f aca="false">SUMIFS(tabela_registros[VALOR],tabela_registros[MÊS],$AE$1,tabela_registros[DIA],fevtotal30[[#Headers],[20]],tabela_registros[REGISTRO],DADOS!$N$4,tabela_registros[TIPO],DADOS!$P$3,tabela_registros[CATEGORIA],despesafixaconsolidadofev[[#This Row],[DESPESA FIXA]])</f>
        <v>0</v>
      </c>
      <c r="Y47" s="119" t="n">
        <f aca="false">SUMIFS(tabela_registros[VALOR],tabela_registros[MÊS],$AE$1,tabela_registros[DIA],fevtotal30[[#Headers],[21]],tabela_registros[REGISTRO],DADOS!$N$4,tabela_registros[TIPO],DADOS!$P$3,tabela_registros[CATEGORIA],despesafixaconsolidadofev[[#This Row],[DESPESA FIXA]])</f>
        <v>0</v>
      </c>
      <c r="Z47" s="119" t="n">
        <f aca="false">SUMIFS(tabela_registros[VALOR],tabela_registros[MÊS],$AE$1,tabela_registros[DIA],fevtotal30[[#Headers],[22]],tabela_registros[REGISTRO],DADOS!$N$4,tabela_registros[TIPO],DADOS!$P$3,tabela_registros[CATEGORIA],despesafixaconsolidadofev[[#This Row],[DESPESA FIXA]])</f>
        <v>0</v>
      </c>
      <c r="AA47" s="119" t="n">
        <f aca="false">SUMIFS(tabela_registros[VALOR],tabela_registros[MÊS],$AE$1,tabela_registros[DIA],fevtotal30[[#Headers],[23]],tabela_registros[REGISTRO],DADOS!$N$4,tabela_registros[TIPO],DADOS!$P$3,tabela_registros[CATEGORIA],despesafixaconsolidadofev[[#This Row],[DESPESA FIXA]])</f>
        <v>0</v>
      </c>
      <c r="AB47" s="119" t="n">
        <f aca="false">SUMIFS(tabela_registros[VALOR],tabela_registros[MÊS],$AE$1,tabela_registros[DIA],fevtotal30[[#Headers],[24]],tabela_registros[REGISTRO],DADOS!$N$4,tabela_registros[TIPO],DADOS!$P$3,tabela_registros[CATEGORIA],despesafixaconsolidadofev[[#This Row],[DESPESA FIXA]])</f>
        <v>0</v>
      </c>
      <c r="AC47" s="119" t="n">
        <f aca="false">SUMIFS(tabela_registros[VALOR],tabela_registros[MÊS],$AE$1,tabela_registros[DIA],fevtotal30[[#Headers],[25]],tabela_registros[REGISTRO],DADOS!$N$4,tabela_registros[TIPO],DADOS!$P$3,tabela_registros[CATEGORIA],despesafixaconsolidadofev[[#This Row],[DESPESA FIXA]])</f>
        <v>0</v>
      </c>
      <c r="AD47" s="119" t="n">
        <f aca="false">SUMIFS(tabela_registros[VALOR],tabela_registros[MÊS],$AE$1,tabela_registros[DIA],fevtotal30[[#Headers],[26]],tabela_registros[REGISTRO],DADOS!$N$4,tabela_registros[TIPO],DADOS!$P$3,tabela_registros[CATEGORIA],despesafixaconsolidadofev[[#This Row],[DESPESA FIXA]])</f>
        <v>0</v>
      </c>
      <c r="AE47" s="119" t="n">
        <f aca="false">SUMIFS(tabela_registros[VALOR],tabela_registros[MÊS],$AE$1,tabela_registros[DIA],fevtotal30[[#Headers],[27]],tabela_registros[REGISTRO],DADOS!$N$4,tabela_registros[TIPO],DADOS!$P$3,tabela_registros[CATEGORIA],despesafixaconsolidadofev[[#This Row],[DESPESA FIXA]])</f>
        <v>0</v>
      </c>
      <c r="AF47" s="119" t="n">
        <f aca="false">SUMIFS(tabela_registros[VALOR],tabela_registros[MÊS],$AE$1,tabela_registros[DIA],fevtotal30[[#Headers],[28]],tabela_registros[REGISTRO],DADOS!$N$4,tabela_registros[TIPO],DADOS!$P$3,tabela_registros[CATEGORIA],despesafixaconsolidadofev[[#This Row],[DESPESA FIXA]])</f>
        <v>0</v>
      </c>
      <c r="AG47" s="119" t="n">
        <f aca="false">SUMIFS(tabela_registros[VALOR],tabela_registros[MÊS],$AE$1,tabela_registros[DIA],fevtotal30[[#Headers],[29]],tabela_registros[REGISTRO],DADOS!$N$4,tabela_registros[TIPO],DADOS!$P$3,tabela_registros[CATEGORIA],despesafixaconsolidadofev[[#This Row],[DESPESA FIXA]])</f>
        <v>0</v>
      </c>
      <c r="AH47" s="119" t="n">
        <f aca="false">SUMIFS(tabela_registros[VALOR],tabela_registros[MÊS],$AE$1,tabela_registros[DIA],fevtotal30[[#Headers],[30]],tabela_registros[REGISTRO],DADOS!$N$4,tabela_registros[TIPO],DADOS!$P$3,tabela_registros[CATEGORIA],despesafixaconsolidadofev[[#This Row],[DESPESA FIXA]])</f>
        <v>0</v>
      </c>
      <c r="AI47" s="217" t="n">
        <f aca="false">SUMIFS(tabela_registros[VALOR],tabela_registros[MÊS],$AE$1,tabela_registros[DIA],fevtotal30[[#Headers],[31]],tabela_registros[REGISTRO],DADOS!$N$4,tabela_registros[TIPO],DADOS!$P$3,tabela_registros[CATEGORIA],despesafixaconsolidadofev[[#This Row],[DESPESA FIXA]])</f>
        <v>0</v>
      </c>
      <c r="AJ47" s="149" t="n">
        <f aca="false">SUM(despesafixaconsolidadofev[[#This Row],[1]:[31]])</f>
        <v>0</v>
      </c>
      <c r="AK47" s="143"/>
    </row>
    <row r="48" customFormat="false" ht="18" hidden="false" customHeight="true" outlineLevel="0" collapsed="false">
      <c r="B48" s="143"/>
      <c r="C48" s="144" t="str">
        <f aca="false">DADOS!$R$14</f>
        <v>💊 SAÚDE</v>
      </c>
      <c r="D48" s="145" t="str">
        <f aca="false">IF(despesafixaconsolidadofev[[#This Row],[TOTAL]]=0,"",IF(OR(despesafixaconsolidadofev[[#This Row],[TOTAL]]=LARGE($AJ$37:$AJ$50,1),despesafixaconsolidadofev[[#This Row],[TOTAL]]=LARGE($AJ$37:$AJ$50,2),despesafixaconsolidadofev[[#This Row],[TOTAL]]=LARGE($AJ$37:$AJ$50,3),despesafixaconsolidadofev[[#This Row],[TOTAL]]=LARGE($AJ$37:$AJ$50,4),despesafixaconsolidadofev[[#This Row],[TOTAL]]=LARGE($AJ$37:$AJ$50,5)),DADOS!$I$8,""))</f>
        <v/>
      </c>
      <c r="E48" s="148" t="n">
        <f aca="false">SUMIFS(tabela_registros[VALOR],tabela_registros[MÊS],$AE$1,tabela_registros[DIA],fevtotal30[[#Headers],[1]],tabela_registros[REGISTRO],DADOS!$N$4,tabela_registros[TIPO],DADOS!$P$3,tabela_registros[CATEGORIA],despesafixaconsolidadofev[[#This Row],[DESPESA FIXA]])</f>
        <v>0</v>
      </c>
      <c r="F48" s="119" t="n">
        <f aca="false">SUMIFS(tabela_registros[VALOR],tabela_registros[MÊS],$AE$1,tabela_registros[DIA],fevtotal30[[#Headers],[2]],tabela_registros[REGISTRO],DADOS!$N$4,tabela_registros[TIPO],DADOS!$P$3,tabela_registros[CATEGORIA],despesafixaconsolidadofev[[#This Row],[DESPESA FIXA]])</f>
        <v>0</v>
      </c>
      <c r="G48" s="119" t="n">
        <f aca="false">SUMIFS(tabela_registros[VALOR],tabela_registros[MÊS],$AE$1,tabela_registros[DIA],fevtotal30[[#Headers],[3]],tabela_registros[REGISTRO],DADOS!$N$4,tabela_registros[TIPO],DADOS!$P$3,tabela_registros[CATEGORIA],despesafixaconsolidadofev[[#This Row],[DESPESA FIXA]])</f>
        <v>0</v>
      </c>
      <c r="H48" s="119" t="n">
        <f aca="false">SUMIFS(tabela_registros[VALOR],tabela_registros[MÊS],$AE$1,tabela_registros[DIA],fevtotal30[[#Headers],[4]],tabela_registros[REGISTRO],DADOS!$N$4,tabela_registros[TIPO],DADOS!$P$3,tabela_registros[CATEGORIA],despesafixaconsolidadofev[[#This Row],[DESPESA FIXA]])</f>
        <v>0</v>
      </c>
      <c r="I48" s="119" t="n">
        <f aca="false">SUMIFS(tabela_registros[VALOR],tabela_registros[MÊS],$AE$1,tabela_registros[DIA],fevtotal30[[#Headers],[5]],tabela_registros[REGISTRO],DADOS!$N$4,tabela_registros[TIPO],DADOS!$P$3,tabela_registros[CATEGORIA],despesafixaconsolidadofev[[#This Row],[DESPESA FIXA]])</f>
        <v>0</v>
      </c>
      <c r="J48" s="119" t="n">
        <f aca="false">SUMIFS(tabela_registros[VALOR],tabela_registros[MÊS],$AE$1,tabela_registros[DIA],fevtotal30[[#Headers],[6]],tabela_registros[REGISTRO],DADOS!$N$4,tabela_registros[TIPO],DADOS!$P$3,tabela_registros[CATEGORIA],despesafixaconsolidadofev[[#This Row],[DESPESA FIXA]])</f>
        <v>0</v>
      </c>
      <c r="K48" s="119" t="n">
        <f aca="false">SUMIFS(tabela_registros[VALOR],tabela_registros[MÊS],$AE$1,tabela_registros[DIA],fevtotal30[[#Headers],[7]],tabela_registros[REGISTRO],DADOS!$N$4,tabela_registros[TIPO],DADOS!$P$3,tabela_registros[CATEGORIA],despesafixaconsolidadofev[[#This Row],[DESPESA FIXA]])</f>
        <v>0</v>
      </c>
      <c r="L48" s="119" t="n">
        <f aca="false">SUMIFS(tabela_registros[VALOR],tabela_registros[MÊS],$AE$1,tabela_registros[DIA],fevtotal30[[#Headers],[8]],tabela_registros[REGISTRO],DADOS!$N$4,tabela_registros[TIPO],DADOS!$P$3,tabela_registros[CATEGORIA],despesafixaconsolidadofev[[#This Row],[DESPESA FIXA]])</f>
        <v>0</v>
      </c>
      <c r="M48" s="119" t="n">
        <f aca="false">SUMIFS(tabela_registros[VALOR],tabela_registros[MÊS],$AE$1,tabela_registros[DIA],fevtotal30[[#Headers],[9]],tabela_registros[REGISTRO],DADOS!$N$4,tabela_registros[TIPO],DADOS!$P$3,tabela_registros[CATEGORIA],despesafixaconsolidadofev[[#This Row],[DESPESA FIXA]])</f>
        <v>0</v>
      </c>
      <c r="N48" s="119" t="n">
        <f aca="false">SUMIFS(tabela_registros[VALOR],tabela_registros[MÊS],$AE$1,tabela_registros[DIA],fevtotal30[[#Headers],[10]],tabela_registros[REGISTRO],DADOS!$N$4,tabela_registros[TIPO],DADOS!$P$3,tabela_registros[CATEGORIA],despesafixaconsolidadofev[[#This Row],[DESPESA FIXA]])</f>
        <v>0</v>
      </c>
      <c r="O48" s="119" t="n">
        <f aca="false">SUMIFS(tabela_registros[VALOR],tabela_registros[MÊS],$AE$1,tabela_registros[DIA],fevtotal30[[#Headers],[11]],tabela_registros[REGISTRO],DADOS!$N$4,tabela_registros[TIPO],DADOS!$P$3,tabela_registros[CATEGORIA],despesafixaconsolidadofev[[#This Row],[DESPESA FIXA]])</f>
        <v>0</v>
      </c>
      <c r="P48" s="119" t="n">
        <f aca="false">SUMIFS(tabela_registros[VALOR],tabela_registros[MÊS],$AE$1,tabela_registros[DIA],fevtotal30[[#Headers],[12]],tabela_registros[REGISTRO],DADOS!$N$4,tabela_registros[TIPO],DADOS!$P$3,tabela_registros[CATEGORIA],despesafixaconsolidadofev[[#This Row],[DESPESA FIXA]])</f>
        <v>0</v>
      </c>
      <c r="Q48" s="119" t="n">
        <f aca="false">SUMIFS(tabela_registros[VALOR],tabela_registros[MÊS],$AE$1,tabela_registros[DIA],fevtotal30[[#Headers],[13]],tabela_registros[REGISTRO],DADOS!$N$4,tabela_registros[TIPO],DADOS!$P$3,tabela_registros[CATEGORIA],despesafixaconsolidadofev[[#This Row],[DESPESA FIXA]])</f>
        <v>0</v>
      </c>
      <c r="R48" s="119" t="n">
        <f aca="false">SUMIFS(tabela_registros[VALOR],tabela_registros[MÊS],$AE$1,tabela_registros[DIA],fevtotal30[[#Headers],[14]],tabela_registros[REGISTRO],DADOS!$N$4,tabela_registros[TIPO],DADOS!$P$3,tabela_registros[CATEGORIA],despesafixaconsolidadofev[[#This Row],[DESPESA FIXA]])</f>
        <v>0</v>
      </c>
      <c r="S48" s="119" t="n">
        <f aca="false">SUMIFS(tabela_registros[VALOR],tabela_registros[MÊS],$AE$1,tabela_registros[DIA],fevtotal30[[#Headers],[15]],tabela_registros[REGISTRO],DADOS!$N$4,tabela_registros[TIPO],DADOS!$P$3,tabela_registros[CATEGORIA],despesafixaconsolidadofev[[#This Row],[DESPESA FIXA]])</f>
        <v>0</v>
      </c>
      <c r="T48" s="119" t="n">
        <f aca="false">SUMIFS(tabela_registros[VALOR],tabela_registros[MÊS],$AE$1,tabela_registros[DIA],fevtotal30[[#Headers],[16]],tabela_registros[REGISTRO],DADOS!$N$4,tabela_registros[TIPO],DADOS!$P$3,tabela_registros[CATEGORIA],despesafixaconsolidadofev[[#This Row],[DESPESA FIXA]])</f>
        <v>0</v>
      </c>
      <c r="U48" s="119" t="n">
        <f aca="false">SUMIFS(tabela_registros[VALOR],tabela_registros[MÊS],$AE$1,tabela_registros[DIA],fevtotal30[[#Headers],[17]],tabela_registros[REGISTRO],DADOS!$N$4,tabela_registros[TIPO],DADOS!$P$3,tabela_registros[CATEGORIA],despesafixaconsolidadofev[[#This Row],[DESPESA FIXA]])</f>
        <v>0</v>
      </c>
      <c r="V48" s="119" t="n">
        <f aca="false">SUMIFS(tabela_registros[VALOR],tabela_registros[MÊS],$AE$1,tabela_registros[DIA],fevtotal30[[#Headers],[18]],tabela_registros[REGISTRO],DADOS!$N$4,tabela_registros[TIPO],DADOS!$P$3,tabela_registros[CATEGORIA],despesafixaconsolidadofev[[#This Row],[DESPESA FIXA]])</f>
        <v>0</v>
      </c>
      <c r="W48" s="119" t="n">
        <f aca="false">SUMIFS(tabela_registros[VALOR],tabela_registros[MÊS],$AE$1,tabela_registros[DIA],fevtotal30[[#Headers],[19]],tabela_registros[REGISTRO],DADOS!$N$4,tabela_registros[TIPO],DADOS!$P$3,tabela_registros[CATEGORIA],despesafixaconsolidadofev[[#This Row],[DESPESA FIXA]])</f>
        <v>0</v>
      </c>
      <c r="X48" s="119" t="n">
        <f aca="false">SUMIFS(tabela_registros[VALOR],tabela_registros[MÊS],$AE$1,tabela_registros[DIA],fevtotal30[[#Headers],[20]],tabela_registros[REGISTRO],DADOS!$N$4,tabela_registros[TIPO],DADOS!$P$3,tabela_registros[CATEGORIA],despesafixaconsolidadofev[[#This Row],[DESPESA FIXA]])</f>
        <v>0</v>
      </c>
      <c r="Y48" s="119" t="n">
        <f aca="false">SUMIFS(tabela_registros[VALOR],tabela_registros[MÊS],$AE$1,tabela_registros[DIA],fevtotal30[[#Headers],[21]],tabela_registros[REGISTRO],DADOS!$N$4,tabela_registros[TIPO],DADOS!$P$3,tabela_registros[CATEGORIA],despesafixaconsolidadofev[[#This Row],[DESPESA FIXA]])</f>
        <v>0</v>
      </c>
      <c r="Z48" s="119" t="n">
        <f aca="false">SUMIFS(tabela_registros[VALOR],tabela_registros[MÊS],$AE$1,tabela_registros[DIA],fevtotal30[[#Headers],[22]],tabela_registros[REGISTRO],DADOS!$N$4,tabela_registros[TIPO],DADOS!$P$3,tabela_registros[CATEGORIA],despesafixaconsolidadofev[[#This Row],[DESPESA FIXA]])</f>
        <v>0</v>
      </c>
      <c r="AA48" s="119" t="n">
        <f aca="false">SUMIFS(tabela_registros[VALOR],tabela_registros[MÊS],$AE$1,tabela_registros[DIA],fevtotal30[[#Headers],[23]],tabela_registros[REGISTRO],DADOS!$N$4,tabela_registros[TIPO],DADOS!$P$3,tabela_registros[CATEGORIA],despesafixaconsolidadofev[[#This Row],[DESPESA FIXA]])</f>
        <v>0</v>
      </c>
      <c r="AB48" s="119" t="n">
        <f aca="false">SUMIFS(tabela_registros[VALOR],tabela_registros[MÊS],$AE$1,tabela_registros[DIA],fevtotal30[[#Headers],[24]],tabela_registros[REGISTRO],DADOS!$N$4,tabela_registros[TIPO],DADOS!$P$3,tabela_registros[CATEGORIA],despesafixaconsolidadofev[[#This Row],[DESPESA FIXA]])</f>
        <v>0</v>
      </c>
      <c r="AC48" s="119" t="n">
        <f aca="false">SUMIFS(tabela_registros[VALOR],tabela_registros[MÊS],$AE$1,tabela_registros[DIA],fevtotal30[[#Headers],[25]],tabela_registros[REGISTRO],DADOS!$N$4,tabela_registros[TIPO],DADOS!$P$3,tabela_registros[CATEGORIA],despesafixaconsolidadofev[[#This Row],[DESPESA FIXA]])</f>
        <v>0</v>
      </c>
      <c r="AD48" s="119" t="n">
        <f aca="false">SUMIFS(tabela_registros[VALOR],tabela_registros[MÊS],$AE$1,tabela_registros[DIA],fevtotal30[[#Headers],[26]],tabela_registros[REGISTRO],DADOS!$N$4,tabela_registros[TIPO],DADOS!$P$3,tabela_registros[CATEGORIA],despesafixaconsolidadofev[[#This Row],[DESPESA FIXA]])</f>
        <v>0</v>
      </c>
      <c r="AE48" s="119" t="n">
        <f aca="false">SUMIFS(tabela_registros[VALOR],tabela_registros[MÊS],$AE$1,tabela_registros[DIA],fevtotal30[[#Headers],[27]],tabela_registros[REGISTRO],DADOS!$N$4,tabela_registros[TIPO],DADOS!$P$3,tabela_registros[CATEGORIA],despesafixaconsolidadofev[[#This Row],[DESPESA FIXA]])</f>
        <v>0</v>
      </c>
      <c r="AF48" s="119" t="n">
        <f aca="false">SUMIFS(tabela_registros[VALOR],tabela_registros[MÊS],$AE$1,tabela_registros[DIA],fevtotal30[[#Headers],[28]],tabela_registros[REGISTRO],DADOS!$N$4,tabela_registros[TIPO],DADOS!$P$3,tabela_registros[CATEGORIA],despesafixaconsolidadofev[[#This Row],[DESPESA FIXA]])</f>
        <v>0</v>
      </c>
      <c r="AG48" s="119" t="n">
        <f aca="false">SUMIFS(tabela_registros[VALOR],tabela_registros[MÊS],$AE$1,tabela_registros[DIA],fevtotal30[[#Headers],[29]],tabela_registros[REGISTRO],DADOS!$N$4,tabela_registros[TIPO],DADOS!$P$3,tabela_registros[CATEGORIA],despesafixaconsolidadofev[[#This Row],[DESPESA FIXA]])</f>
        <v>0</v>
      </c>
      <c r="AH48" s="119" t="n">
        <f aca="false">SUMIFS(tabela_registros[VALOR],tabela_registros[MÊS],$AE$1,tabela_registros[DIA],fevtotal30[[#Headers],[30]],tabela_registros[REGISTRO],DADOS!$N$4,tabela_registros[TIPO],DADOS!$P$3,tabela_registros[CATEGORIA],despesafixaconsolidadofev[[#This Row],[DESPESA FIXA]])</f>
        <v>0</v>
      </c>
      <c r="AI48" s="217" t="n">
        <f aca="false">SUMIFS(tabela_registros[VALOR],tabela_registros[MÊS],$AE$1,tabela_registros[DIA],fevtotal30[[#Headers],[31]],tabela_registros[REGISTRO],DADOS!$N$4,tabela_registros[TIPO],DADOS!$P$3,tabela_registros[CATEGORIA],despesafixaconsolidadofev[[#This Row],[DESPESA FIXA]])</f>
        <v>0</v>
      </c>
      <c r="AJ48" s="149" t="n">
        <f aca="false">SUM(despesafixaconsolidadofev[[#This Row],[1]:[31]])</f>
        <v>0</v>
      </c>
      <c r="AK48" s="143"/>
    </row>
    <row r="49" customFormat="false" ht="18" hidden="false" customHeight="true" outlineLevel="0" collapsed="false">
      <c r="B49" s="143"/>
      <c r="C49" s="144" t="str">
        <f aca="false">DADOS!$R$15</f>
        <v>📞 TELEFONE</v>
      </c>
      <c r="D49" s="145" t="str">
        <f aca="false">IF(despesafixaconsolidadofev[[#This Row],[TOTAL]]=0,"",IF(OR(despesafixaconsolidadofev[[#This Row],[TOTAL]]=LARGE($AJ$37:$AJ$50,1),despesafixaconsolidadofev[[#This Row],[TOTAL]]=LARGE($AJ$37:$AJ$50,2),despesafixaconsolidadofev[[#This Row],[TOTAL]]=LARGE($AJ$37:$AJ$50,3),despesafixaconsolidadofev[[#This Row],[TOTAL]]=LARGE($AJ$37:$AJ$50,4),despesafixaconsolidadofev[[#This Row],[TOTAL]]=LARGE($AJ$37:$AJ$50,5)),DADOS!$I$8,""))</f>
        <v/>
      </c>
      <c r="E49" s="148" t="n">
        <f aca="false">SUMIFS(tabela_registros[VALOR],tabela_registros[MÊS],$AE$1,tabela_registros[DIA],fevtotal30[[#Headers],[1]],tabela_registros[REGISTRO],DADOS!$N$4,tabela_registros[TIPO],DADOS!$P$3,tabela_registros[CATEGORIA],despesafixaconsolidadofev[[#This Row],[DESPESA FIXA]])</f>
        <v>0</v>
      </c>
      <c r="F49" s="119" t="n">
        <f aca="false">SUMIFS(tabela_registros[VALOR],tabela_registros[MÊS],$AE$1,tabela_registros[DIA],fevtotal30[[#Headers],[2]],tabela_registros[REGISTRO],DADOS!$N$4,tabela_registros[TIPO],DADOS!$P$3,tabela_registros[CATEGORIA],despesafixaconsolidadofev[[#This Row],[DESPESA FIXA]])</f>
        <v>0</v>
      </c>
      <c r="G49" s="119" t="n">
        <f aca="false">SUMIFS(tabela_registros[VALOR],tabela_registros[MÊS],$AE$1,tabela_registros[DIA],fevtotal30[[#Headers],[3]],tabela_registros[REGISTRO],DADOS!$N$4,tabela_registros[TIPO],DADOS!$P$3,tabela_registros[CATEGORIA],despesafixaconsolidadofev[[#This Row],[DESPESA FIXA]])</f>
        <v>0</v>
      </c>
      <c r="H49" s="119" t="n">
        <f aca="false">SUMIFS(tabela_registros[VALOR],tabela_registros[MÊS],$AE$1,tabela_registros[DIA],fevtotal30[[#Headers],[4]],tabela_registros[REGISTRO],DADOS!$N$4,tabela_registros[TIPO],DADOS!$P$3,tabela_registros[CATEGORIA],despesafixaconsolidadofev[[#This Row],[DESPESA FIXA]])</f>
        <v>0</v>
      </c>
      <c r="I49" s="119" t="n">
        <f aca="false">SUMIFS(tabela_registros[VALOR],tabela_registros[MÊS],$AE$1,tabela_registros[DIA],fevtotal30[[#Headers],[5]],tabela_registros[REGISTRO],DADOS!$N$4,tabela_registros[TIPO],DADOS!$P$3,tabela_registros[CATEGORIA],despesafixaconsolidadofev[[#This Row],[DESPESA FIXA]])</f>
        <v>0</v>
      </c>
      <c r="J49" s="119" t="n">
        <f aca="false">SUMIFS(tabela_registros[VALOR],tabela_registros[MÊS],$AE$1,tabela_registros[DIA],fevtotal30[[#Headers],[6]],tabela_registros[REGISTRO],DADOS!$N$4,tabela_registros[TIPO],DADOS!$P$3,tabela_registros[CATEGORIA],despesafixaconsolidadofev[[#This Row],[DESPESA FIXA]])</f>
        <v>0</v>
      </c>
      <c r="K49" s="119" t="n">
        <f aca="false">SUMIFS(tabela_registros[VALOR],tabela_registros[MÊS],$AE$1,tabela_registros[DIA],fevtotal30[[#Headers],[7]],tabela_registros[REGISTRO],DADOS!$N$4,tabela_registros[TIPO],DADOS!$P$3,tabela_registros[CATEGORIA],despesafixaconsolidadofev[[#This Row],[DESPESA FIXA]])</f>
        <v>0</v>
      </c>
      <c r="L49" s="119" t="n">
        <f aca="false">SUMIFS(tabela_registros[VALOR],tabela_registros[MÊS],$AE$1,tabela_registros[DIA],fevtotal30[[#Headers],[8]],tabela_registros[REGISTRO],DADOS!$N$4,tabela_registros[TIPO],DADOS!$P$3,tabela_registros[CATEGORIA],despesafixaconsolidadofev[[#This Row],[DESPESA FIXA]])</f>
        <v>0</v>
      </c>
      <c r="M49" s="119" t="n">
        <f aca="false">SUMIFS(tabela_registros[VALOR],tabela_registros[MÊS],$AE$1,tabela_registros[DIA],fevtotal30[[#Headers],[9]],tabela_registros[REGISTRO],DADOS!$N$4,tabela_registros[TIPO],DADOS!$P$3,tabela_registros[CATEGORIA],despesafixaconsolidadofev[[#This Row],[DESPESA FIXA]])</f>
        <v>0</v>
      </c>
      <c r="N49" s="119" t="n">
        <f aca="false">SUMIFS(tabela_registros[VALOR],tabela_registros[MÊS],$AE$1,tabela_registros[DIA],fevtotal30[[#Headers],[10]],tabela_registros[REGISTRO],DADOS!$N$4,tabela_registros[TIPO],DADOS!$P$3,tabela_registros[CATEGORIA],despesafixaconsolidadofev[[#This Row],[DESPESA FIXA]])</f>
        <v>0</v>
      </c>
      <c r="O49" s="119" t="n">
        <f aca="false">SUMIFS(tabela_registros[VALOR],tabela_registros[MÊS],$AE$1,tabela_registros[DIA],fevtotal30[[#Headers],[11]],tabela_registros[REGISTRO],DADOS!$N$4,tabela_registros[TIPO],DADOS!$P$3,tabela_registros[CATEGORIA],despesafixaconsolidadofev[[#This Row],[DESPESA FIXA]])</f>
        <v>0</v>
      </c>
      <c r="P49" s="119" t="n">
        <f aca="false">SUMIFS(tabela_registros[VALOR],tabela_registros[MÊS],$AE$1,tabela_registros[DIA],fevtotal30[[#Headers],[12]],tabela_registros[REGISTRO],DADOS!$N$4,tabela_registros[TIPO],DADOS!$P$3,tabela_registros[CATEGORIA],despesafixaconsolidadofev[[#This Row],[DESPESA FIXA]])</f>
        <v>0</v>
      </c>
      <c r="Q49" s="119" t="n">
        <f aca="false">SUMIFS(tabela_registros[VALOR],tabela_registros[MÊS],$AE$1,tabela_registros[DIA],fevtotal30[[#Headers],[13]],tabela_registros[REGISTRO],DADOS!$N$4,tabela_registros[TIPO],DADOS!$P$3,tabela_registros[CATEGORIA],despesafixaconsolidadofev[[#This Row],[DESPESA FIXA]])</f>
        <v>0</v>
      </c>
      <c r="R49" s="119" t="n">
        <f aca="false">SUMIFS(tabela_registros[VALOR],tabela_registros[MÊS],$AE$1,tabela_registros[DIA],fevtotal30[[#Headers],[14]],tabela_registros[REGISTRO],DADOS!$N$4,tabela_registros[TIPO],DADOS!$P$3,tabela_registros[CATEGORIA],despesafixaconsolidadofev[[#This Row],[DESPESA FIXA]])</f>
        <v>0</v>
      </c>
      <c r="S49" s="119" t="n">
        <f aca="false">SUMIFS(tabela_registros[VALOR],tabela_registros[MÊS],$AE$1,tabela_registros[DIA],fevtotal30[[#Headers],[15]],tabela_registros[REGISTRO],DADOS!$N$4,tabela_registros[TIPO],DADOS!$P$3,tabela_registros[CATEGORIA],despesafixaconsolidadofev[[#This Row],[DESPESA FIXA]])</f>
        <v>0</v>
      </c>
      <c r="T49" s="119" t="n">
        <f aca="false">SUMIFS(tabela_registros[VALOR],tabela_registros[MÊS],$AE$1,tabela_registros[DIA],fevtotal30[[#Headers],[16]],tabela_registros[REGISTRO],DADOS!$N$4,tabela_registros[TIPO],DADOS!$P$3,tabela_registros[CATEGORIA],despesafixaconsolidadofev[[#This Row],[DESPESA FIXA]])</f>
        <v>0</v>
      </c>
      <c r="U49" s="119" t="n">
        <f aca="false">SUMIFS(tabela_registros[VALOR],tabela_registros[MÊS],$AE$1,tabela_registros[DIA],fevtotal30[[#Headers],[17]],tabela_registros[REGISTRO],DADOS!$N$4,tabela_registros[TIPO],DADOS!$P$3,tabela_registros[CATEGORIA],despesafixaconsolidadofev[[#This Row],[DESPESA FIXA]])</f>
        <v>0</v>
      </c>
      <c r="V49" s="119" t="n">
        <f aca="false">SUMIFS(tabela_registros[VALOR],tabela_registros[MÊS],$AE$1,tabela_registros[DIA],fevtotal30[[#Headers],[18]],tabela_registros[REGISTRO],DADOS!$N$4,tabela_registros[TIPO],DADOS!$P$3,tabela_registros[CATEGORIA],despesafixaconsolidadofev[[#This Row],[DESPESA FIXA]])</f>
        <v>0</v>
      </c>
      <c r="W49" s="119" t="n">
        <f aca="false">SUMIFS(tabela_registros[VALOR],tabela_registros[MÊS],$AE$1,tabela_registros[DIA],fevtotal30[[#Headers],[19]],tabela_registros[REGISTRO],DADOS!$N$4,tabela_registros[TIPO],DADOS!$P$3,tabela_registros[CATEGORIA],despesafixaconsolidadofev[[#This Row],[DESPESA FIXA]])</f>
        <v>0</v>
      </c>
      <c r="X49" s="119" t="n">
        <f aca="false">SUMIFS(tabela_registros[VALOR],tabela_registros[MÊS],$AE$1,tabela_registros[DIA],fevtotal30[[#Headers],[20]],tabela_registros[REGISTRO],DADOS!$N$4,tabela_registros[TIPO],DADOS!$P$3,tabela_registros[CATEGORIA],despesafixaconsolidadofev[[#This Row],[DESPESA FIXA]])</f>
        <v>0</v>
      </c>
      <c r="Y49" s="119" t="n">
        <f aca="false">SUMIFS(tabela_registros[VALOR],tabela_registros[MÊS],$AE$1,tabela_registros[DIA],fevtotal30[[#Headers],[21]],tabela_registros[REGISTRO],DADOS!$N$4,tabela_registros[TIPO],DADOS!$P$3,tabela_registros[CATEGORIA],despesafixaconsolidadofev[[#This Row],[DESPESA FIXA]])</f>
        <v>0</v>
      </c>
      <c r="Z49" s="119" t="n">
        <f aca="false">SUMIFS(tabela_registros[VALOR],tabela_registros[MÊS],$AE$1,tabela_registros[DIA],fevtotal30[[#Headers],[22]],tabela_registros[REGISTRO],DADOS!$N$4,tabela_registros[TIPO],DADOS!$P$3,tabela_registros[CATEGORIA],despesafixaconsolidadofev[[#This Row],[DESPESA FIXA]])</f>
        <v>0</v>
      </c>
      <c r="AA49" s="119" t="n">
        <f aca="false">SUMIFS(tabela_registros[VALOR],tabela_registros[MÊS],$AE$1,tabela_registros[DIA],fevtotal30[[#Headers],[23]],tabela_registros[REGISTRO],DADOS!$N$4,tabela_registros[TIPO],DADOS!$P$3,tabela_registros[CATEGORIA],despesafixaconsolidadofev[[#This Row],[DESPESA FIXA]])</f>
        <v>0</v>
      </c>
      <c r="AB49" s="119" t="n">
        <f aca="false">SUMIFS(tabela_registros[VALOR],tabela_registros[MÊS],$AE$1,tabela_registros[DIA],fevtotal30[[#Headers],[24]],tabela_registros[REGISTRO],DADOS!$N$4,tabela_registros[TIPO],DADOS!$P$3,tabela_registros[CATEGORIA],despesafixaconsolidadofev[[#This Row],[DESPESA FIXA]])</f>
        <v>0</v>
      </c>
      <c r="AC49" s="119" t="n">
        <f aca="false">SUMIFS(tabela_registros[VALOR],tabela_registros[MÊS],$AE$1,tabela_registros[DIA],fevtotal30[[#Headers],[25]],tabela_registros[REGISTRO],DADOS!$N$4,tabela_registros[TIPO],DADOS!$P$3,tabela_registros[CATEGORIA],despesafixaconsolidadofev[[#This Row],[DESPESA FIXA]])</f>
        <v>0</v>
      </c>
      <c r="AD49" s="119" t="n">
        <f aca="false">SUMIFS(tabela_registros[VALOR],tabela_registros[MÊS],$AE$1,tabela_registros[DIA],fevtotal30[[#Headers],[26]],tabela_registros[REGISTRO],DADOS!$N$4,tabela_registros[TIPO],DADOS!$P$3,tabela_registros[CATEGORIA],despesafixaconsolidadofev[[#This Row],[DESPESA FIXA]])</f>
        <v>0</v>
      </c>
      <c r="AE49" s="119" t="n">
        <f aca="false">SUMIFS(tabela_registros[VALOR],tabela_registros[MÊS],$AE$1,tabela_registros[DIA],fevtotal30[[#Headers],[27]],tabela_registros[REGISTRO],DADOS!$N$4,tabela_registros[TIPO],DADOS!$P$3,tabela_registros[CATEGORIA],despesafixaconsolidadofev[[#This Row],[DESPESA FIXA]])</f>
        <v>0</v>
      </c>
      <c r="AF49" s="119" t="n">
        <f aca="false">SUMIFS(tabela_registros[VALOR],tabela_registros[MÊS],$AE$1,tabela_registros[DIA],fevtotal30[[#Headers],[28]],tabela_registros[REGISTRO],DADOS!$N$4,tabela_registros[TIPO],DADOS!$P$3,tabela_registros[CATEGORIA],despesafixaconsolidadofev[[#This Row],[DESPESA FIXA]])</f>
        <v>0</v>
      </c>
      <c r="AG49" s="119" t="n">
        <f aca="false">SUMIFS(tabela_registros[VALOR],tabela_registros[MÊS],$AE$1,tabela_registros[DIA],fevtotal30[[#Headers],[29]],tabela_registros[REGISTRO],DADOS!$N$4,tabela_registros[TIPO],DADOS!$P$3,tabela_registros[CATEGORIA],despesafixaconsolidadofev[[#This Row],[DESPESA FIXA]])</f>
        <v>0</v>
      </c>
      <c r="AH49" s="119" t="n">
        <f aca="false">SUMIFS(tabela_registros[VALOR],tabela_registros[MÊS],$AE$1,tabela_registros[DIA],fevtotal30[[#Headers],[30]],tabela_registros[REGISTRO],DADOS!$N$4,tabela_registros[TIPO],DADOS!$P$3,tabela_registros[CATEGORIA],despesafixaconsolidadofev[[#This Row],[DESPESA FIXA]])</f>
        <v>0</v>
      </c>
      <c r="AI49" s="217" t="n">
        <f aca="false">SUMIFS(tabela_registros[VALOR],tabela_registros[MÊS],$AE$1,tabela_registros[DIA],fevtotal30[[#Headers],[31]],tabela_registros[REGISTRO],DADOS!$N$4,tabela_registros[TIPO],DADOS!$P$3,tabela_registros[CATEGORIA],despesafixaconsolidadofev[[#This Row],[DESPESA FIXA]])</f>
        <v>0</v>
      </c>
      <c r="AJ49" s="149" t="n">
        <f aca="false">SUM(despesafixaconsolidadofev[[#This Row],[1]:[31]])</f>
        <v>0</v>
      </c>
      <c r="AK49" s="143"/>
    </row>
    <row r="50" customFormat="false" ht="18" hidden="false" customHeight="true" outlineLevel="0" collapsed="false">
      <c r="B50" s="143"/>
      <c r="C50" s="144" t="str">
        <f aca="false">DADOS!$R$16</f>
        <v>📎 OUTROS</v>
      </c>
      <c r="D50" s="145" t="str">
        <f aca="false">IF(despesafixaconsolidadofev[[#This Row],[TOTAL]]=0,"",IF(OR(despesafixaconsolidadofev[[#This Row],[TOTAL]]=LARGE($AJ$37:$AJ$50,1),despesafixaconsolidadofev[[#This Row],[TOTAL]]=LARGE($AJ$37:$AJ$50,2),despesafixaconsolidadofev[[#This Row],[TOTAL]]=LARGE($AJ$37:$AJ$50,3),despesafixaconsolidadofev[[#This Row],[TOTAL]]=LARGE($AJ$37:$AJ$50,4),despesafixaconsolidadofev[[#This Row],[TOTAL]]=LARGE($AJ$37:$AJ$50,5)),DADOS!$I$8,""))</f>
        <v/>
      </c>
      <c r="E50" s="150" t="n">
        <f aca="false">SUMIFS(tabela_registros[VALOR],tabela_registros[MÊS],$AE$1,tabela_registros[DIA],fevtotal30[[#Headers],[1]],tabela_registros[REGISTRO],DADOS!$N$4,tabela_registros[TIPO],DADOS!$P$3,tabela_registros[CATEGORIA],despesafixaconsolidadofev[[#This Row],[DESPESA FIXA]])</f>
        <v>0</v>
      </c>
      <c r="F50" s="151" t="n">
        <f aca="false">SUMIFS(tabela_registros[VALOR],tabela_registros[MÊS],$AE$1,tabela_registros[DIA],fevtotal30[[#Headers],[2]],tabela_registros[REGISTRO],DADOS!$N$4,tabela_registros[TIPO],DADOS!$P$3,tabela_registros[CATEGORIA],despesafixaconsolidadofev[[#This Row],[DESPESA FIXA]])</f>
        <v>0</v>
      </c>
      <c r="G50" s="151" t="n">
        <f aca="false">SUMIFS(tabela_registros[VALOR],tabela_registros[MÊS],$AE$1,tabela_registros[DIA],fevtotal30[[#Headers],[3]],tabela_registros[REGISTRO],DADOS!$N$4,tabela_registros[TIPO],DADOS!$P$3,tabela_registros[CATEGORIA],despesafixaconsolidadofev[[#This Row],[DESPESA FIXA]])</f>
        <v>0</v>
      </c>
      <c r="H50" s="151" t="n">
        <f aca="false">SUMIFS(tabela_registros[VALOR],tabela_registros[MÊS],$AE$1,tabela_registros[DIA],fevtotal30[[#Headers],[4]],tabela_registros[REGISTRO],DADOS!$N$4,tabela_registros[TIPO],DADOS!$P$3,tabela_registros[CATEGORIA],despesafixaconsolidadofev[[#This Row],[DESPESA FIXA]])</f>
        <v>0</v>
      </c>
      <c r="I50" s="151" t="n">
        <f aca="false">SUMIFS(tabela_registros[VALOR],tabela_registros[MÊS],$AE$1,tabela_registros[DIA],fevtotal30[[#Headers],[5]],tabela_registros[REGISTRO],DADOS!$N$4,tabela_registros[TIPO],DADOS!$P$3,tabela_registros[CATEGORIA],despesafixaconsolidadofev[[#This Row],[DESPESA FIXA]])</f>
        <v>0</v>
      </c>
      <c r="J50" s="151" t="n">
        <f aca="false">SUMIFS(tabela_registros[VALOR],tabela_registros[MÊS],$AE$1,tabela_registros[DIA],fevtotal30[[#Headers],[6]],tabela_registros[REGISTRO],DADOS!$N$4,tabela_registros[TIPO],DADOS!$P$3,tabela_registros[CATEGORIA],despesafixaconsolidadofev[[#This Row],[DESPESA FIXA]])</f>
        <v>0</v>
      </c>
      <c r="K50" s="151" t="n">
        <f aca="false">SUMIFS(tabela_registros[VALOR],tabela_registros[MÊS],$AE$1,tabela_registros[DIA],fevtotal30[[#Headers],[7]],tabela_registros[REGISTRO],DADOS!$N$4,tabela_registros[TIPO],DADOS!$P$3,tabela_registros[CATEGORIA],despesafixaconsolidadofev[[#This Row],[DESPESA FIXA]])</f>
        <v>0</v>
      </c>
      <c r="L50" s="151" t="n">
        <f aca="false">SUMIFS(tabela_registros[VALOR],tabela_registros[MÊS],$AE$1,tabela_registros[DIA],fevtotal30[[#Headers],[8]],tabela_registros[REGISTRO],DADOS!$N$4,tabela_registros[TIPO],DADOS!$P$3,tabela_registros[CATEGORIA],despesafixaconsolidadofev[[#This Row],[DESPESA FIXA]])</f>
        <v>0</v>
      </c>
      <c r="M50" s="151" t="n">
        <f aca="false">SUMIFS(tabela_registros[VALOR],tabela_registros[MÊS],$AE$1,tabela_registros[DIA],fevtotal30[[#Headers],[9]],tabela_registros[REGISTRO],DADOS!$N$4,tabela_registros[TIPO],DADOS!$P$3,tabela_registros[CATEGORIA],despesafixaconsolidadofev[[#This Row],[DESPESA FIXA]])</f>
        <v>0</v>
      </c>
      <c r="N50" s="151" t="n">
        <f aca="false">SUMIFS(tabela_registros[VALOR],tabela_registros[MÊS],$AE$1,tabela_registros[DIA],fevtotal30[[#Headers],[10]],tabela_registros[REGISTRO],DADOS!$N$4,tabela_registros[TIPO],DADOS!$P$3,tabela_registros[CATEGORIA],despesafixaconsolidadofev[[#This Row],[DESPESA FIXA]])</f>
        <v>0</v>
      </c>
      <c r="O50" s="151" t="n">
        <f aca="false">SUMIFS(tabela_registros[VALOR],tabela_registros[MÊS],$AE$1,tabela_registros[DIA],fevtotal30[[#Headers],[11]],tabela_registros[REGISTRO],DADOS!$N$4,tabela_registros[TIPO],DADOS!$P$3,tabela_registros[CATEGORIA],despesafixaconsolidadofev[[#This Row],[DESPESA FIXA]])</f>
        <v>0</v>
      </c>
      <c r="P50" s="151" t="n">
        <f aca="false">SUMIFS(tabela_registros[VALOR],tabela_registros[MÊS],$AE$1,tabela_registros[DIA],fevtotal30[[#Headers],[12]],tabela_registros[REGISTRO],DADOS!$N$4,tabela_registros[TIPO],DADOS!$P$3,tabela_registros[CATEGORIA],despesafixaconsolidadofev[[#This Row],[DESPESA FIXA]])</f>
        <v>0</v>
      </c>
      <c r="Q50" s="151" t="n">
        <f aca="false">SUMIFS(tabela_registros[VALOR],tabela_registros[MÊS],$AE$1,tabela_registros[DIA],fevtotal30[[#Headers],[13]],tabela_registros[REGISTRO],DADOS!$N$4,tabela_registros[TIPO],DADOS!$P$3,tabela_registros[CATEGORIA],despesafixaconsolidadofev[[#This Row],[DESPESA FIXA]])</f>
        <v>0</v>
      </c>
      <c r="R50" s="151" t="n">
        <f aca="false">SUMIFS(tabela_registros[VALOR],tabela_registros[MÊS],$AE$1,tabela_registros[DIA],fevtotal30[[#Headers],[14]],tabela_registros[REGISTRO],DADOS!$N$4,tabela_registros[TIPO],DADOS!$P$3,tabela_registros[CATEGORIA],despesafixaconsolidadofev[[#This Row],[DESPESA FIXA]])</f>
        <v>0</v>
      </c>
      <c r="S50" s="151" t="n">
        <f aca="false">SUMIFS(tabela_registros[VALOR],tabela_registros[MÊS],$AE$1,tabela_registros[DIA],fevtotal30[[#Headers],[15]],tabela_registros[REGISTRO],DADOS!$N$4,tabela_registros[TIPO],DADOS!$P$3,tabela_registros[CATEGORIA],despesafixaconsolidadofev[[#This Row],[DESPESA FIXA]])</f>
        <v>0</v>
      </c>
      <c r="T50" s="151" t="n">
        <f aca="false">SUMIFS(tabela_registros[VALOR],tabela_registros[MÊS],$AE$1,tabela_registros[DIA],fevtotal30[[#Headers],[16]],tabela_registros[REGISTRO],DADOS!$N$4,tabela_registros[TIPO],DADOS!$P$3,tabela_registros[CATEGORIA],despesafixaconsolidadofev[[#This Row],[DESPESA FIXA]])</f>
        <v>0</v>
      </c>
      <c r="U50" s="151" t="n">
        <f aca="false">SUMIFS(tabela_registros[VALOR],tabela_registros[MÊS],$AE$1,tabela_registros[DIA],fevtotal30[[#Headers],[17]],tabela_registros[REGISTRO],DADOS!$N$4,tabela_registros[TIPO],DADOS!$P$3,tabela_registros[CATEGORIA],despesafixaconsolidadofev[[#This Row],[DESPESA FIXA]])</f>
        <v>0</v>
      </c>
      <c r="V50" s="151" t="n">
        <f aca="false">SUMIFS(tabela_registros[VALOR],tabela_registros[MÊS],$AE$1,tabela_registros[DIA],fevtotal30[[#Headers],[18]],tabela_registros[REGISTRO],DADOS!$N$4,tabela_registros[TIPO],DADOS!$P$3,tabela_registros[CATEGORIA],despesafixaconsolidadofev[[#This Row],[DESPESA FIXA]])</f>
        <v>0</v>
      </c>
      <c r="W50" s="151" t="n">
        <f aca="false">SUMIFS(tabela_registros[VALOR],tabela_registros[MÊS],$AE$1,tabela_registros[DIA],fevtotal30[[#Headers],[19]],tabela_registros[REGISTRO],DADOS!$N$4,tabela_registros[TIPO],DADOS!$P$3,tabela_registros[CATEGORIA],despesafixaconsolidadofev[[#This Row],[DESPESA FIXA]])</f>
        <v>0</v>
      </c>
      <c r="X50" s="151" t="n">
        <f aca="false">SUMIFS(tabela_registros[VALOR],tabela_registros[MÊS],$AE$1,tabela_registros[DIA],fevtotal30[[#Headers],[20]],tabela_registros[REGISTRO],DADOS!$N$4,tabela_registros[TIPO],DADOS!$P$3,tabela_registros[CATEGORIA],despesafixaconsolidadofev[[#This Row],[DESPESA FIXA]])</f>
        <v>0</v>
      </c>
      <c r="Y50" s="151" t="n">
        <f aca="false">SUMIFS(tabela_registros[VALOR],tabela_registros[MÊS],$AE$1,tabela_registros[DIA],fevtotal30[[#Headers],[21]],tabela_registros[REGISTRO],DADOS!$N$4,tabela_registros[TIPO],DADOS!$P$3,tabela_registros[CATEGORIA],despesafixaconsolidadofev[[#This Row],[DESPESA FIXA]])</f>
        <v>0</v>
      </c>
      <c r="Z50" s="151" t="n">
        <f aca="false">SUMIFS(tabela_registros[VALOR],tabela_registros[MÊS],$AE$1,tabela_registros[DIA],fevtotal30[[#Headers],[22]],tabela_registros[REGISTRO],DADOS!$N$4,tabela_registros[TIPO],DADOS!$P$3,tabela_registros[CATEGORIA],despesafixaconsolidadofev[[#This Row],[DESPESA FIXA]])</f>
        <v>0</v>
      </c>
      <c r="AA50" s="151" t="n">
        <f aca="false">SUMIFS(tabela_registros[VALOR],tabela_registros[MÊS],$AE$1,tabela_registros[DIA],fevtotal30[[#Headers],[23]],tabela_registros[REGISTRO],DADOS!$N$4,tabela_registros[TIPO],DADOS!$P$3,tabela_registros[CATEGORIA],despesafixaconsolidadofev[[#This Row],[DESPESA FIXA]])</f>
        <v>0</v>
      </c>
      <c r="AB50" s="151" t="n">
        <f aca="false">SUMIFS(tabela_registros[VALOR],tabela_registros[MÊS],$AE$1,tabela_registros[DIA],fevtotal30[[#Headers],[24]],tabela_registros[REGISTRO],DADOS!$N$4,tabela_registros[TIPO],DADOS!$P$3,tabela_registros[CATEGORIA],despesafixaconsolidadofev[[#This Row],[DESPESA FIXA]])</f>
        <v>0</v>
      </c>
      <c r="AC50" s="151" t="n">
        <f aca="false">SUMIFS(tabela_registros[VALOR],tabela_registros[MÊS],$AE$1,tabela_registros[DIA],fevtotal30[[#Headers],[25]],tabela_registros[REGISTRO],DADOS!$N$4,tabela_registros[TIPO],DADOS!$P$3,tabela_registros[CATEGORIA],despesafixaconsolidadofev[[#This Row],[DESPESA FIXA]])</f>
        <v>0</v>
      </c>
      <c r="AD50" s="151" t="n">
        <f aca="false">SUMIFS(tabela_registros[VALOR],tabela_registros[MÊS],$AE$1,tabela_registros[DIA],fevtotal30[[#Headers],[26]],tabela_registros[REGISTRO],DADOS!$N$4,tabela_registros[TIPO],DADOS!$P$3,tabela_registros[CATEGORIA],despesafixaconsolidadofev[[#This Row],[DESPESA FIXA]])</f>
        <v>0</v>
      </c>
      <c r="AE50" s="151" t="n">
        <f aca="false">SUMIFS(tabela_registros[VALOR],tabela_registros[MÊS],$AE$1,tabela_registros[DIA],fevtotal30[[#Headers],[27]],tabela_registros[REGISTRO],DADOS!$N$4,tabela_registros[TIPO],DADOS!$P$3,tabela_registros[CATEGORIA],despesafixaconsolidadofev[[#This Row],[DESPESA FIXA]])</f>
        <v>0</v>
      </c>
      <c r="AF50" s="151" t="n">
        <f aca="false">SUMIFS(tabela_registros[VALOR],tabela_registros[MÊS],$AE$1,tabela_registros[DIA],fevtotal30[[#Headers],[28]],tabela_registros[REGISTRO],DADOS!$N$4,tabela_registros[TIPO],DADOS!$P$3,tabela_registros[CATEGORIA],despesafixaconsolidadofev[[#This Row],[DESPESA FIXA]])</f>
        <v>0</v>
      </c>
      <c r="AG50" s="151" t="n">
        <f aca="false">SUMIFS(tabela_registros[VALOR],tabela_registros[MÊS],$AE$1,tabela_registros[DIA],fevtotal30[[#Headers],[29]],tabela_registros[REGISTRO],DADOS!$N$4,tabela_registros[TIPO],DADOS!$P$3,tabela_registros[CATEGORIA],despesafixaconsolidadofev[[#This Row],[DESPESA FIXA]])</f>
        <v>0</v>
      </c>
      <c r="AH50" s="151" t="n">
        <f aca="false">SUMIFS(tabela_registros[VALOR],tabela_registros[MÊS],$AE$1,tabela_registros[DIA],fevtotal30[[#Headers],[30]],tabela_registros[REGISTRO],DADOS!$N$4,tabela_registros[TIPO],DADOS!$P$3,tabela_registros[CATEGORIA],despesafixaconsolidadofev[[#This Row],[DESPESA FIXA]])</f>
        <v>0</v>
      </c>
      <c r="AI50" s="218" t="n">
        <f aca="false">SUMIFS(tabela_registros[VALOR],tabela_registros[MÊS],$AE$1,tabela_registros[DIA],fevtotal30[[#Headers],[31]],tabela_registros[REGISTRO],DADOS!$N$4,tabela_registros[TIPO],DADOS!$P$3,tabela_registros[CATEGORIA],despesafixaconsolidadofev[[#This Row],[DESPESA FIXA]])</f>
        <v>0</v>
      </c>
      <c r="AJ50" s="219" t="n">
        <f aca="false">SUM(despesafixaconsolidadofev[[#This Row],[1]:[31]])</f>
        <v>0</v>
      </c>
      <c r="AK50" s="143"/>
    </row>
    <row r="51" s="122" customFormat="true" ht="21" hidden="false" customHeight="true" outlineLevel="0" collapsed="false">
      <c r="B51" s="152"/>
      <c r="C51" s="153" t="s">
        <v>2</v>
      </c>
      <c r="D51" s="154" t="str">
        <f aca="false">IF(despesafixaconsolidadofev[[#This Row],[TOTAL]]=0,"",IF(OR(despesafixaconsolidadofev[[#This Row],[TOTAL]]=SMALL($AJ$37:$AJ$50,1),despesafixaconsolidadofev[[#This Row],[TOTAL]]=SMALL($AJ$37:$AJ$50,2),despesafixaconsolidadofev[[#This Row],[TOTAL]]=SMALL($AJ$37:$AJ$50,3),despesafixaconsolidadofev[[#This Row],[TOTAL]]=SMALL($AJ$37:$AJ$50,4),despesafixaconsolidadofev[[#This Row],[TOTAL]]=SMALL($AJ$37:$AJ$50,5)),DADOS!$I$8,""))</f>
        <v/>
      </c>
      <c r="E51" s="155" t="n">
        <f aca="false">SUM(E37:E50)</f>
        <v>0</v>
      </c>
      <c r="F51" s="156" t="n">
        <f aca="false">SUM(F37:F50)+despesafixaconsolidadofev[[#This Row],[1]]</f>
        <v>0</v>
      </c>
      <c r="G51" s="156" t="n">
        <f aca="false">SUM(G37:G50)+despesafixaconsolidadofev[[#This Row],[2]]</f>
        <v>0</v>
      </c>
      <c r="H51" s="156" t="n">
        <f aca="false">SUM(H37:H50)+despesafixaconsolidadofev[[#This Row],[3]]</f>
        <v>0</v>
      </c>
      <c r="I51" s="156" t="n">
        <f aca="false">SUM(I37:I50)+despesafixaconsolidadofev[[#This Row],[4]]</f>
        <v>0</v>
      </c>
      <c r="J51" s="156" t="n">
        <f aca="false">SUM(J37:J50)+despesafixaconsolidadofev[[#This Row],[5]]</f>
        <v>0</v>
      </c>
      <c r="K51" s="156" t="n">
        <f aca="false">SUM(K37:K50)+despesafixaconsolidadofev[[#This Row],[6]]</f>
        <v>0</v>
      </c>
      <c r="L51" s="156" t="n">
        <f aca="false">SUM(L37:L50)+despesafixaconsolidadofev[[#This Row],[7]]</f>
        <v>0</v>
      </c>
      <c r="M51" s="156" t="n">
        <f aca="false">SUM(M37:M50)+despesafixaconsolidadofev[[#This Row],[8]]</f>
        <v>0</v>
      </c>
      <c r="N51" s="156" t="n">
        <f aca="false">SUM(N37:N50)+despesafixaconsolidadofev[[#This Row],[9]]</f>
        <v>0</v>
      </c>
      <c r="O51" s="156" t="n">
        <f aca="false">SUM(O37:O50)+despesafixaconsolidadofev[[#This Row],[10]]</f>
        <v>0</v>
      </c>
      <c r="P51" s="156" t="n">
        <f aca="false">SUM(P37:P50)+despesafixaconsolidadofev[[#This Row],[11]]</f>
        <v>0</v>
      </c>
      <c r="Q51" s="156" t="n">
        <f aca="false">SUM(Q37:Q50)+despesafixaconsolidadofev[[#This Row],[12]]</f>
        <v>0</v>
      </c>
      <c r="R51" s="156" t="n">
        <f aca="false">SUM(R37:R50)+despesafixaconsolidadofev[[#This Row],[13]]</f>
        <v>0</v>
      </c>
      <c r="S51" s="156" t="n">
        <f aca="false">SUM(S37:S50)+despesafixaconsolidadofev[[#This Row],[14]]</f>
        <v>0</v>
      </c>
      <c r="T51" s="156" t="n">
        <f aca="false">SUM(T37:T50)+despesafixaconsolidadofev[[#This Row],[15]]</f>
        <v>0</v>
      </c>
      <c r="U51" s="156" t="n">
        <f aca="false">SUM(U37:U50)+despesafixaconsolidadofev[[#This Row],[16]]</f>
        <v>0</v>
      </c>
      <c r="V51" s="156" t="n">
        <f aca="false">SUM(V37:V50)+despesafixaconsolidadofev[[#This Row],[17]]</f>
        <v>0</v>
      </c>
      <c r="W51" s="156" t="n">
        <f aca="false">SUM(W37:W50)+despesafixaconsolidadofev[[#This Row],[18]]</f>
        <v>0</v>
      </c>
      <c r="X51" s="156" t="n">
        <f aca="false">SUM(X37:X50)+despesafixaconsolidadofev[[#This Row],[19]]</f>
        <v>0</v>
      </c>
      <c r="Y51" s="156" t="n">
        <f aca="false">SUM(Y37:Y50)+despesafixaconsolidadofev[[#This Row],[20]]</f>
        <v>0</v>
      </c>
      <c r="Z51" s="156" t="n">
        <f aca="false">SUM(Z37:Z50)+despesafixaconsolidadofev[[#This Row],[21]]</f>
        <v>0</v>
      </c>
      <c r="AA51" s="156" t="n">
        <f aca="false">SUM(AA37:AA50)+despesafixaconsolidadofev[[#This Row],[22]]</f>
        <v>0</v>
      </c>
      <c r="AB51" s="156" t="n">
        <f aca="false">SUM(AB37:AB50)+despesafixaconsolidadofev[[#This Row],[23]]</f>
        <v>0</v>
      </c>
      <c r="AC51" s="156" t="n">
        <f aca="false">SUM(AC37:AC50)+despesafixaconsolidadofev[[#This Row],[24]]</f>
        <v>0</v>
      </c>
      <c r="AD51" s="156" t="n">
        <f aca="false">SUM(AD37:AD50)+despesafixaconsolidadofev[[#This Row],[25]]</f>
        <v>0</v>
      </c>
      <c r="AE51" s="156" t="n">
        <f aca="false">SUM(AE37:AE50)+despesafixaconsolidadofev[[#This Row],[26]]</f>
        <v>0</v>
      </c>
      <c r="AF51" s="156" t="n">
        <f aca="false">SUM(AF37:AF50)+despesafixaconsolidadofev[[#This Row],[27]]</f>
        <v>0</v>
      </c>
      <c r="AG51" s="156" t="n">
        <f aca="false">SUM(AG37:AG50)+despesafixaconsolidadofev[[#This Row],[28]]</f>
        <v>0</v>
      </c>
      <c r="AH51" s="156" t="n">
        <f aca="false">SUM(AH37:AH50)+despesafixaconsolidadofev[[#This Row],[29]]</f>
        <v>0</v>
      </c>
      <c r="AI51" s="223" t="n">
        <f aca="false">SUM(AI37:AI50)+despesafixaconsolidadofev[[#This Row],[30]]</f>
        <v>0</v>
      </c>
      <c r="AJ51" s="157" t="n">
        <f aca="false">despesafixaconsolidadofev[[#This Row],[31]]</f>
        <v>0</v>
      </c>
      <c r="AK51" s="158"/>
    </row>
    <row r="52" customFormat="false" ht="6.75" hidden="false" customHeight="true" outlineLevel="0" collapsed="false">
      <c r="B52" s="97"/>
      <c r="C52" s="159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227"/>
      <c r="AJ52" s="97"/>
      <c r="AK52" s="244"/>
    </row>
    <row r="53" customFormat="false" ht="12.75" hidden="false" customHeight="false" outlineLevel="0" collapsed="false">
      <c r="C53" s="133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K53" s="100"/>
    </row>
    <row r="54" customFormat="false" ht="12" hidden="false" customHeight="false" outlineLevel="0" collapsed="false">
      <c r="C54" s="133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</row>
    <row r="55" customFormat="false" ht="12" hidden="false" customHeight="false" outlineLevel="0" collapsed="false">
      <c r="C55" s="133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</row>
    <row r="56" customFormat="false" ht="39.75" hidden="false" customHeight="true" outlineLevel="0" collapsed="false">
      <c r="C56" s="133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3" t="s">
        <v>2</v>
      </c>
    </row>
    <row r="57" s="78" customFormat="true" ht="11.25" hidden="false" customHeight="true" outlineLevel="0" collapsed="false">
      <c r="C57" s="101"/>
      <c r="AJ57" s="106" t="s">
        <v>64</v>
      </c>
    </row>
    <row r="58" customFormat="false" ht="6.75" hidden="false" customHeight="true" outlineLevel="0" collapsed="false">
      <c r="B58" s="139"/>
      <c r="C58" s="140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212"/>
      <c r="AK58" s="139"/>
    </row>
    <row r="59" customFormat="false" ht="12.75" hidden="true" customHeight="false" outlineLevel="0" collapsed="false">
      <c r="B59" s="86"/>
      <c r="C59" s="109" t="s">
        <v>79</v>
      </c>
      <c r="D59" s="110" t="s">
        <v>69</v>
      </c>
      <c r="E59" s="110" t="s">
        <v>30</v>
      </c>
      <c r="F59" s="110" t="s">
        <v>31</v>
      </c>
      <c r="G59" s="110" t="s">
        <v>32</v>
      </c>
      <c r="H59" s="110" t="s">
        <v>33</v>
      </c>
      <c r="I59" s="110" t="s">
        <v>34</v>
      </c>
      <c r="J59" s="110" t="s">
        <v>35</v>
      </c>
      <c r="K59" s="110" t="s">
        <v>36</v>
      </c>
      <c r="L59" s="110" t="s">
        <v>37</v>
      </c>
      <c r="M59" s="110" t="s">
        <v>38</v>
      </c>
      <c r="N59" s="110" t="s">
        <v>39</v>
      </c>
      <c r="O59" s="110" t="s">
        <v>40</v>
      </c>
      <c r="P59" s="110" t="s">
        <v>41</v>
      </c>
      <c r="Q59" s="110" t="s">
        <v>81</v>
      </c>
      <c r="R59" s="110" t="s">
        <v>82</v>
      </c>
      <c r="S59" s="110" t="s">
        <v>83</v>
      </c>
      <c r="T59" s="110" t="s">
        <v>84</v>
      </c>
      <c r="U59" s="110" t="s">
        <v>85</v>
      </c>
      <c r="V59" s="110" t="s">
        <v>86</v>
      </c>
      <c r="W59" s="110" t="s">
        <v>87</v>
      </c>
      <c r="X59" s="110" t="s">
        <v>88</v>
      </c>
      <c r="Y59" s="110" t="s">
        <v>89</v>
      </c>
      <c r="Z59" s="110" t="s">
        <v>90</v>
      </c>
      <c r="AA59" s="110" t="s">
        <v>91</v>
      </c>
      <c r="AB59" s="110" t="s">
        <v>92</v>
      </c>
      <c r="AC59" s="110" t="s">
        <v>93</v>
      </c>
      <c r="AD59" s="110" t="s">
        <v>94</v>
      </c>
      <c r="AE59" s="110" t="s">
        <v>95</v>
      </c>
      <c r="AF59" s="110" t="s">
        <v>96</v>
      </c>
      <c r="AG59" s="110" t="s">
        <v>97</v>
      </c>
      <c r="AH59" s="110" t="s">
        <v>98</v>
      </c>
      <c r="AI59" s="110" t="s">
        <v>99</v>
      </c>
      <c r="AJ59" s="142" t="s">
        <v>2</v>
      </c>
      <c r="AK59" s="86" t="s">
        <v>75</v>
      </c>
    </row>
    <row r="60" customFormat="false" ht="19.5" hidden="false" customHeight="true" outlineLevel="0" collapsed="false">
      <c r="B60" s="143"/>
      <c r="C60" s="144" t="str">
        <f aca="false">DADOS!$T$3</f>
        <v>🍕 ALIMENTAÇÃO</v>
      </c>
      <c r="D60" s="145" t="str">
        <f aca="false">IF(despesavariávelconsolidadofev[[#This Row],[TOTAL]]=0,"",IF(OR(despesavariávelconsolidadofev[[#This Row],[TOTAL]]=LARGE($AJ$60:$AJ$72,1),despesavariávelconsolidadofev[[#This Row],[TOTAL]]=LARGE($AJ$60:$AJ$72,2),despesavariávelconsolidadofev[[#This Row],[TOTAL]]=LARGE($AJ$60:$AJ$72,3),despesavariávelconsolidadofev[[#This Row],[TOTAL]]=LARGE($AJ$60:$AJ$72,4),despesavariávelconsolidadofev[[#This Row],[TOTAL]]=LARGE($AJ$60:$AJ$72,5)),DADOS!$I$8,""))</f>
        <v/>
      </c>
      <c r="E60" s="146" t="n">
        <f aca="false">SUMIFS(tabela_registros[VALOR],tabela_registros[MÊS],$AE$1,tabela_registros[DIA],fevtotal30[[#Headers],[1]],tabela_registros[REGISTRO],DADOS!$N$4,tabela_registros[TIPO],DADOS!$P$4,tabela_registros[CATEGORIA],despesavariávelconsolidadofev[[#This Row],[DESPESA VARIÁVEL]])</f>
        <v>0</v>
      </c>
      <c r="F60" s="114" t="n">
        <f aca="false">SUMIFS(tabela_registros[VALOR],tabela_registros[MÊS],$AE$1,tabela_registros[DIA],fevtotal30[[#Headers],[2]],tabela_registros[REGISTRO],DADOS!$N$4,tabela_registros[TIPO],DADOS!$P$4,tabela_registros[CATEGORIA],despesavariávelconsolidadofev[[#This Row],[DESPESA VARIÁVEL]])</f>
        <v>0</v>
      </c>
      <c r="G60" s="114" t="n">
        <f aca="false">SUMIFS(tabela_registros[VALOR],tabela_registros[MÊS],$AE$1,tabela_registros[DIA],fevtotal30[[#Headers],[3]],tabela_registros[REGISTRO],DADOS!$N$4,tabela_registros[TIPO],DADOS!$P$4,tabela_registros[CATEGORIA],despesavariávelconsolidadofev[[#This Row],[DESPESA VARIÁVEL]])</f>
        <v>0</v>
      </c>
      <c r="H60" s="114" t="n">
        <f aca="false">SUMIFS(tabela_registros[VALOR],tabela_registros[MÊS],$AE$1,tabela_registros[DIA],fevtotal30[[#Headers],[4]],tabela_registros[REGISTRO],DADOS!$N$4,tabela_registros[TIPO],DADOS!$P$4,tabela_registros[CATEGORIA],despesavariávelconsolidadofev[[#This Row],[DESPESA VARIÁVEL]])</f>
        <v>0</v>
      </c>
      <c r="I60" s="114" t="n">
        <f aca="false">SUMIFS(tabela_registros[VALOR],tabela_registros[MÊS],$AE$1,tabela_registros[DIA],fevtotal30[[#Headers],[5]],tabela_registros[REGISTRO],DADOS!$N$4,tabela_registros[TIPO],DADOS!$P$4,tabela_registros[CATEGORIA],despesavariávelconsolidadofev[[#This Row],[DESPESA VARIÁVEL]])</f>
        <v>0</v>
      </c>
      <c r="J60" s="114" t="n">
        <f aca="false">SUMIFS(tabela_registros[VALOR],tabela_registros[MÊS],$AE$1,tabela_registros[DIA],fevtotal30[[#Headers],[6]],tabela_registros[REGISTRO],DADOS!$N$4,tabela_registros[TIPO],DADOS!$P$4,tabela_registros[CATEGORIA],despesavariávelconsolidadofev[[#This Row],[DESPESA VARIÁVEL]])</f>
        <v>0</v>
      </c>
      <c r="K60" s="114" t="n">
        <f aca="false">SUMIFS(tabela_registros[VALOR],tabela_registros[MÊS],$AE$1,tabela_registros[DIA],fevtotal30[[#Headers],[7]],tabela_registros[REGISTRO],DADOS!$N$4,tabela_registros[TIPO],DADOS!$P$4,tabela_registros[CATEGORIA],despesavariávelconsolidadofev[[#This Row],[DESPESA VARIÁVEL]])</f>
        <v>0</v>
      </c>
      <c r="L60" s="114" t="n">
        <f aca="false">SUMIFS(tabela_registros[VALOR],tabela_registros[MÊS],$AE$1,tabela_registros[DIA],fevtotal30[[#Headers],[8]],tabela_registros[REGISTRO],DADOS!$N$4,tabela_registros[TIPO],DADOS!$P$4,tabela_registros[CATEGORIA],despesavariávelconsolidadofev[[#This Row],[DESPESA VARIÁVEL]])</f>
        <v>0</v>
      </c>
      <c r="M60" s="114" t="n">
        <f aca="false">SUMIFS(tabela_registros[VALOR],tabela_registros[MÊS],$AE$1,tabela_registros[DIA],fevtotal30[[#Headers],[9]],tabela_registros[REGISTRO],DADOS!$N$4,tabela_registros[TIPO],DADOS!$P$4,tabela_registros[CATEGORIA],despesavariávelconsolidadofev[[#This Row],[DESPESA VARIÁVEL]])</f>
        <v>0</v>
      </c>
      <c r="N60" s="114" t="n">
        <f aca="false">SUMIFS(tabela_registros[VALOR],tabela_registros[MÊS],$AE$1,tabela_registros[DIA],fevtotal30[[#Headers],[10]],tabela_registros[REGISTRO],DADOS!$N$4,tabela_registros[TIPO],DADOS!$P$4,tabela_registros[CATEGORIA],despesavariávelconsolidadofev[[#This Row],[DESPESA VARIÁVEL]])</f>
        <v>0</v>
      </c>
      <c r="O60" s="114" t="n">
        <f aca="false">SUMIFS(tabela_registros[VALOR],tabela_registros[MÊS],$AE$1,tabela_registros[DIA],fevtotal30[[#Headers],[11]],tabela_registros[REGISTRO],DADOS!$N$4,tabela_registros[TIPO],DADOS!$P$4,tabela_registros[CATEGORIA],despesavariávelconsolidadofev[[#This Row],[DESPESA VARIÁVEL]])</f>
        <v>0</v>
      </c>
      <c r="P60" s="114" t="n">
        <f aca="false">SUMIFS(tabela_registros[VALOR],tabela_registros[MÊS],$AE$1,tabela_registros[DIA],fevtotal30[[#Headers],[12]],tabela_registros[REGISTRO],DADOS!$N$4,tabela_registros[TIPO],DADOS!$P$4,tabela_registros[CATEGORIA],despesavariávelconsolidadofev[[#This Row],[DESPESA VARIÁVEL]])</f>
        <v>0</v>
      </c>
      <c r="Q60" s="114" t="n">
        <f aca="false">SUMIFS(tabela_registros[VALOR],tabela_registros[MÊS],$AE$1,tabela_registros[DIA],fevtotal30[[#Headers],[13]],tabela_registros[REGISTRO],DADOS!$N$4,tabela_registros[TIPO],DADOS!$P$4,tabela_registros[CATEGORIA],despesavariávelconsolidadofev[[#This Row],[DESPESA VARIÁVEL]])</f>
        <v>0</v>
      </c>
      <c r="R60" s="114" t="n">
        <f aca="false">SUMIFS(tabela_registros[VALOR],tabela_registros[MÊS],$AE$1,tabela_registros[DIA],fevtotal30[[#Headers],[14]],tabela_registros[REGISTRO],DADOS!$N$4,tabela_registros[TIPO],DADOS!$P$4,tabela_registros[CATEGORIA],despesavariávelconsolidadofev[[#This Row],[DESPESA VARIÁVEL]])</f>
        <v>0</v>
      </c>
      <c r="S60" s="114" t="n">
        <f aca="false">SUMIFS(tabela_registros[VALOR],tabela_registros[MÊS],$AE$1,tabela_registros[DIA],fevtotal30[[#Headers],[15]],tabela_registros[REGISTRO],DADOS!$N$4,tabela_registros[TIPO],DADOS!$P$4,tabela_registros[CATEGORIA],despesavariávelconsolidadofev[[#This Row],[DESPESA VARIÁVEL]])</f>
        <v>0</v>
      </c>
      <c r="T60" s="114" t="n">
        <f aca="false">SUMIFS(tabela_registros[VALOR],tabela_registros[MÊS],$AE$1,tabela_registros[DIA],fevtotal30[[#Headers],[16]],tabela_registros[REGISTRO],DADOS!$N$4,tabela_registros[TIPO],DADOS!$P$4,tabela_registros[CATEGORIA],despesavariávelconsolidadofev[[#This Row],[DESPESA VARIÁVEL]])</f>
        <v>0</v>
      </c>
      <c r="U60" s="114" t="n">
        <f aca="false">SUMIFS(tabela_registros[VALOR],tabela_registros[MÊS],$AE$1,tabela_registros[DIA],fevtotal30[[#Headers],[17]],tabela_registros[REGISTRO],DADOS!$N$4,tabela_registros[TIPO],DADOS!$P$4,tabela_registros[CATEGORIA],despesavariávelconsolidadofev[[#This Row],[DESPESA VARIÁVEL]])</f>
        <v>0</v>
      </c>
      <c r="V60" s="114" t="n">
        <f aca="false">SUMIFS(tabela_registros[VALOR],tabela_registros[MÊS],$AE$1,tabela_registros[DIA],fevtotal30[[#Headers],[18]],tabela_registros[REGISTRO],DADOS!$N$4,tabela_registros[TIPO],DADOS!$P$4,tabela_registros[CATEGORIA],despesavariávelconsolidadofev[[#This Row],[DESPESA VARIÁVEL]])</f>
        <v>0</v>
      </c>
      <c r="W60" s="114" t="n">
        <f aca="false">SUMIFS(tabela_registros[VALOR],tabela_registros[MÊS],$AE$1,tabela_registros[DIA],fevtotal30[[#Headers],[19]],tabela_registros[REGISTRO],DADOS!$N$4,tabela_registros[TIPO],DADOS!$P$4,tabela_registros[CATEGORIA],despesavariávelconsolidadofev[[#This Row],[DESPESA VARIÁVEL]])</f>
        <v>0</v>
      </c>
      <c r="X60" s="114" t="n">
        <f aca="false">SUMIFS(tabela_registros[VALOR],tabela_registros[MÊS],$AE$1,tabela_registros[DIA],fevtotal30[[#Headers],[20]],tabela_registros[REGISTRO],DADOS!$N$4,tabela_registros[TIPO],DADOS!$P$4,tabela_registros[CATEGORIA],despesavariávelconsolidadofev[[#This Row],[DESPESA VARIÁVEL]])</f>
        <v>0</v>
      </c>
      <c r="Y60" s="114" t="n">
        <f aca="false">SUMIFS(tabela_registros[VALOR],tabela_registros[MÊS],$AE$1,tabela_registros[DIA],fevtotal30[[#Headers],[21]],tabela_registros[REGISTRO],DADOS!$N$4,tabela_registros[TIPO],DADOS!$P$4,tabela_registros[CATEGORIA],despesavariávelconsolidadofev[[#This Row],[DESPESA VARIÁVEL]])</f>
        <v>0</v>
      </c>
      <c r="Z60" s="114" t="n">
        <f aca="false">SUMIFS(tabela_registros[VALOR],tabela_registros[MÊS],$AE$1,tabela_registros[DIA],fevtotal30[[#Headers],[22]],tabela_registros[REGISTRO],DADOS!$N$4,tabela_registros[TIPO],DADOS!$P$4,tabela_registros[CATEGORIA],despesavariávelconsolidadofev[[#This Row],[DESPESA VARIÁVEL]])</f>
        <v>0</v>
      </c>
      <c r="AA60" s="114" t="n">
        <f aca="false">SUMIFS(tabela_registros[VALOR],tabela_registros[MÊS],$AE$1,tabela_registros[DIA],fevtotal30[[#Headers],[23]],tabela_registros[REGISTRO],DADOS!$N$4,tabela_registros[TIPO],DADOS!$P$4,tabela_registros[CATEGORIA],despesavariávelconsolidadofev[[#This Row],[DESPESA VARIÁVEL]])</f>
        <v>0</v>
      </c>
      <c r="AB60" s="114" t="n">
        <f aca="false">SUMIFS(tabela_registros[VALOR],tabela_registros[MÊS],$AE$1,tabela_registros[DIA],fevtotal30[[#Headers],[24]],tabela_registros[REGISTRO],DADOS!$N$4,tabela_registros[TIPO],DADOS!$P$4,tabela_registros[CATEGORIA],despesavariávelconsolidadofev[[#This Row],[DESPESA VARIÁVEL]])</f>
        <v>0</v>
      </c>
      <c r="AC60" s="114" t="n">
        <f aca="false">SUMIFS(tabela_registros[VALOR],tabela_registros[MÊS],$AE$1,tabela_registros[DIA],fevtotal30[[#Headers],[25]],tabela_registros[REGISTRO],DADOS!$N$4,tabela_registros[TIPO],DADOS!$P$4,tabela_registros[CATEGORIA],despesavariávelconsolidadofev[[#This Row],[DESPESA VARIÁVEL]])</f>
        <v>0</v>
      </c>
      <c r="AD60" s="114" t="n">
        <f aca="false">SUMIFS(tabela_registros[VALOR],tabela_registros[MÊS],$AE$1,tabela_registros[DIA],fevtotal30[[#Headers],[26]],tabela_registros[REGISTRO],DADOS!$N$4,tabela_registros[TIPO],DADOS!$P$4,tabela_registros[CATEGORIA],despesavariávelconsolidadofev[[#This Row],[DESPESA VARIÁVEL]])</f>
        <v>0</v>
      </c>
      <c r="AE60" s="114" t="n">
        <f aca="false">SUMIFS(tabela_registros[VALOR],tabela_registros[MÊS],$AE$1,tabela_registros[DIA],fevtotal30[[#Headers],[27]],tabela_registros[REGISTRO],DADOS!$N$4,tabela_registros[TIPO],DADOS!$P$4,tabela_registros[CATEGORIA],despesavariávelconsolidadofev[[#This Row],[DESPESA VARIÁVEL]])</f>
        <v>0</v>
      </c>
      <c r="AF60" s="114" t="n">
        <f aca="false">SUMIFS(tabela_registros[VALOR],tabela_registros[MÊS],$AE$1,tabela_registros[DIA],fevtotal30[[#Headers],[28]],tabela_registros[REGISTRO],DADOS!$N$4,tabela_registros[TIPO],DADOS!$P$4,tabela_registros[CATEGORIA],despesavariávelconsolidadofev[[#This Row],[DESPESA VARIÁVEL]])</f>
        <v>0</v>
      </c>
      <c r="AG60" s="114" t="n">
        <f aca="false">SUMIFS(tabela_registros[VALOR],tabela_registros[MÊS],$AE$1,tabela_registros[DIA],fevtotal30[[#Headers],[29]],tabela_registros[REGISTRO],DADOS!$N$4,tabela_registros[TIPO],DADOS!$P$4,tabela_registros[CATEGORIA],despesavariávelconsolidadofev[[#This Row],[DESPESA VARIÁVEL]])</f>
        <v>0</v>
      </c>
      <c r="AH60" s="114" t="n">
        <f aca="false">SUMIFS(tabela_registros[VALOR],tabela_registros[MÊS],$AE$1,tabela_registros[DIA],fevtotal30[[#Headers],[30]],tabela_registros[REGISTRO],DADOS!$N$4,tabela_registros[TIPO],DADOS!$P$4,tabela_registros[CATEGORIA],despesavariávelconsolidadofev[[#This Row],[DESPESA VARIÁVEL]])</f>
        <v>0</v>
      </c>
      <c r="AI60" s="216" t="n">
        <f aca="false">SUMIFS(tabela_registros[VALOR],tabela_registros[MÊS],$AE$1,tabela_registros[DIA],fevtotal30[[#Headers],[31]],tabela_registros[REGISTRO],DADOS!$N$4,tabela_registros[TIPO],DADOS!$P$4,tabela_registros[CATEGORIA],despesavariávelconsolidadofev[[#This Row],[DESPESA VARIÁVEL]])</f>
        <v>0</v>
      </c>
      <c r="AJ60" s="147" t="n">
        <f aca="false">SUM(despesavariávelconsolidadofev[[#This Row],[1]:[31]])</f>
        <v>0</v>
      </c>
      <c r="AK60" s="143"/>
    </row>
    <row r="61" customFormat="false" ht="18" hidden="false" customHeight="true" outlineLevel="0" collapsed="false">
      <c r="B61" s="143"/>
      <c r="C61" s="144" t="str">
        <f aca="false">DADOS!$T$4</f>
        <v>💳 CARTÃO DE CRÉDITO</v>
      </c>
      <c r="D61" s="145" t="str">
        <f aca="false">IF(despesavariávelconsolidadofev[[#This Row],[TOTAL]]=0,"",IF(OR(despesavariávelconsolidadofev[[#This Row],[TOTAL]]=LARGE($AJ$60:$AJ$72,1),despesavariávelconsolidadofev[[#This Row],[TOTAL]]=LARGE($AJ$60:$AJ$72,2),despesavariávelconsolidadofev[[#This Row],[TOTAL]]=LARGE($AJ$60:$AJ$72,3),despesavariávelconsolidadofev[[#This Row],[TOTAL]]=LARGE($AJ$60:$AJ$72,4),despesavariávelconsolidadofev[[#This Row],[TOTAL]]=LARGE($AJ$60:$AJ$72,5)),DADOS!$I$8,""))</f>
        <v/>
      </c>
      <c r="E61" s="148" t="n">
        <f aca="false">SUMIFS(tabela_registros[VALOR],tabela_registros[MÊS],$AE$1,tabela_registros[DIA],fevtotal30[[#Headers],[1]],tabela_registros[REGISTRO],DADOS!$N$4,tabela_registros[TIPO],DADOS!$P$4,tabela_registros[CATEGORIA],despesavariávelconsolidadofev[[#This Row],[DESPESA VARIÁVEL]])</f>
        <v>0</v>
      </c>
      <c r="F61" s="119" t="n">
        <f aca="false">SUMIFS(tabela_registros[VALOR],tabela_registros[MÊS],$AE$1,tabela_registros[DIA],fevtotal30[[#Headers],[2]],tabela_registros[REGISTRO],DADOS!$N$4,tabela_registros[TIPO],DADOS!$P$4,tabela_registros[CATEGORIA],despesavariávelconsolidadofev[[#This Row],[DESPESA VARIÁVEL]])</f>
        <v>0</v>
      </c>
      <c r="G61" s="119" t="n">
        <f aca="false">SUMIFS(tabela_registros[VALOR],tabela_registros[MÊS],$AE$1,tabela_registros[DIA],fevtotal30[[#Headers],[3]],tabela_registros[REGISTRO],DADOS!$N$4,tabela_registros[TIPO],DADOS!$P$4,tabela_registros[CATEGORIA],despesavariávelconsolidadofev[[#This Row],[DESPESA VARIÁVEL]])</f>
        <v>0</v>
      </c>
      <c r="H61" s="119" t="n">
        <f aca="false">SUMIFS(tabela_registros[VALOR],tabela_registros[MÊS],$AE$1,tabela_registros[DIA],fevtotal30[[#Headers],[4]],tabela_registros[REGISTRO],DADOS!$N$4,tabela_registros[TIPO],DADOS!$P$4,tabela_registros[CATEGORIA],despesavariávelconsolidadofev[[#This Row],[DESPESA VARIÁVEL]])</f>
        <v>0</v>
      </c>
      <c r="I61" s="119" t="n">
        <f aca="false">SUMIFS(tabela_registros[VALOR],tabela_registros[MÊS],$AE$1,tabela_registros[DIA],fevtotal30[[#Headers],[5]],tabela_registros[REGISTRO],DADOS!$N$4,tabela_registros[TIPO],DADOS!$P$4,tabela_registros[CATEGORIA],despesavariávelconsolidadofev[[#This Row],[DESPESA VARIÁVEL]])</f>
        <v>0</v>
      </c>
      <c r="J61" s="119" t="n">
        <f aca="false">SUMIFS(tabela_registros[VALOR],tabela_registros[MÊS],$AE$1,tabela_registros[DIA],fevtotal30[[#Headers],[6]],tabela_registros[REGISTRO],DADOS!$N$4,tabela_registros[TIPO],DADOS!$P$4,tabela_registros[CATEGORIA],despesavariávelconsolidadofev[[#This Row],[DESPESA VARIÁVEL]])</f>
        <v>0</v>
      </c>
      <c r="K61" s="119" t="n">
        <f aca="false">SUMIFS(tabela_registros[VALOR],tabela_registros[MÊS],$AE$1,tabela_registros[DIA],fevtotal30[[#Headers],[7]],tabela_registros[REGISTRO],DADOS!$N$4,tabela_registros[TIPO],DADOS!$P$4,tabela_registros[CATEGORIA],despesavariávelconsolidadofev[[#This Row],[DESPESA VARIÁVEL]])</f>
        <v>0</v>
      </c>
      <c r="L61" s="119" t="n">
        <f aca="false">SUMIFS(tabela_registros[VALOR],tabela_registros[MÊS],$AE$1,tabela_registros[DIA],fevtotal30[[#Headers],[8]],tabela_registros[REGISTRO],DADOS!$N$4,tabela_registros[TIPO],DADOS!$P$4,tabela_registros[CATEGORIA],despesavariávelconsolidadofev[[#This Row],[DESPESA VARIÁVEL]])</f>
        <v>0</v>
      </c>
      <c r="M61" s="119" t="n">
        <f aca="false">SUMIFS(tabela_registros[VALOR],tabela_registros[MÊS],$AE$1,tabela_registros[DIA],fevtotal30[[#Headers],[9]],tabela_registros[REGISTRO],DADOS!$N$4,tabela_registros[TIPO],DADOS!$P$4,tabela_registros[CATEGORIA],despesavariávelconsolidadofev[[#This Row],[DESPESA VARIÁVEL]])</f>
        <v>0</v>
      </c>
      <c r="N61" s="119" t="n">
        <f aca="false">SUMIFS(tabela_registros[VALOR],tabela_registros[MÊS],$AE$1,tabela_registros[DIA],fevtotal30[[#Headers],[10]],tabela_registros[REGISTRO],DADOS!$N$4,tabela_registros[TIPO],DADOS!$P$4,tabela_registros[CATEGORIA],despesavariávelconsolidadofev[[#This Row],[DESPESA VARIÁVEL]])</f>
        <v>0</v>
      </c>
      <c r="O61" s="119" t="n">
        <f aca="false">SUMIFS(tabela_registros[VALOR],tabela_registros[MÊS],$AE$1,tabela_registros[DIA],fevtotal30[[#Headers],[11]],tabela_registros[REGISTRO],DADOS!$N$4,tabela_registros[TIPO],DADOS!$P$4,tabela_registros[CATEGORIA],despesavariávelconsolidadofev[[#This Row],[DESPESA VARIÁVEL]])</f>
        <v>0</v>
      </c>
      <c r="P61" s="119" t="n">
        <f aca="false">SUMIFS(tabela_registros[VALOR],tabela_registros[MÊS],$AE$1,tabela_registros[DIA],fevtotal30[[#Headers],[12]],tabela_registros[REGISTRO],DADOS!$N$4,tabela_registros[TIPO],DADOS!$P$4,tabela_registros[CATEGORIA],despesavariávelconsolidadofev[[#This Row],[DESPESA VARIÁVEL]])</f>
        <v>0</v>
      </c>
      <c r="Q61" s="119" t="n">
        <f aca="false">SUMIFS(tabela_registros[VALOR],tabela_registros[MÊS],$AE$1,tabela_registros[DIA],fevtotal30[[#Headers],[13]],tabela_registros[REGISTRO],DADOS!$N$4,tabela_registros[TIPO],DADOS!$P$4,tabela_registros[CATEGORIA],despesavariávelconsolidadofev[[#This Row],[DESPESA VARIÁVEL]])</f>
        <v>0</v>
      </c>
      <c r="R61" s="119" t="n">
        <f aca="false">SUMIFS(tabela_registros[VALOR],tabela_registros[MÊS],$AE$1,tabela_registros[DIA],fevtotal30[[#Headers],[14]],tabela_registros[REGISTRO],DADOS!$N$4,tabela_registros[TIPO],DADOS!$P$4,tabela_registros[CATEGORIA],despesavariávelconsolidadofev[[#This Row],[DESPESA VARIÁVEL]])</f>
        <v>0</v>
      </c>
      <c r="S61" s="119" t="n">
        <f aca="false">SUMIFS(tabela_registros[VALOR],tabela_registros[MÊS],$AE$1,tabela_registros[DIA],fevtotal30[[#Headers],[15]],tabela_registros[REGISTRO],DADOS!$N$4,tabela_registros[TIPO],DADOS!$P$4,tabela_registros[CATEGORIA],despesavariávelconsolidadofev[[#This Row],[DESPESA VARIÁVEL]])</f>
        <v>0</v>
      </c>
      <c r="T61" s="119" t="n">
        <f aca="false">SUMIFS(tabela_registros[VALOR],tabela_registros[MÊS],$AE$1,tabela_registros[DIA],fevtotal30[[#Headers],[16]],tabela_registros[REGISTRO],DADOS!$N$4,tabela_registros[TIPO],DADOS!$P$4,tabela_registros[CATEGORIA],despesavariávelconsolidadofev[[#This Row],[DESPESA VARIÁVEL]])</f>
        <v>0</v>
      </c>
      <c r="U61" s="119" t="n">
        <f aca="false">SUMIFS(tabela_registros[VALOR],tabela_registros[MÊS],$AE$1,tabela_registros[DIA],fevtotal30[[#Headers],[17]],tabela_registros[REGISTRO],DADOS!$N$4,tabela_registros[TIPO],DADOS!$P$4,tabela_registros[CATEGORIA],despesavariávelconsolidadofev[[#This Row],[DESPESA VARIÁVEL]])</f>
        <v>0</v>
      </c>
      <c r="V61" s="119" t="n">
        <f aca="false">SUMIFS(tabela_registros[VALOR],tabela_registros[MÊS],$AE$1,tabela_registros[DIA],fevtotal30[[#Headers],[18]],tabela_registros[REGISTRO],DADOS!$N$4,tabela_registros[TIPO],DADOS!$P$4,tabela_registros[CATEGORIA],despesavariávelconsolidadofev[[#This Row],[DESPESA VARIÁVEL]])</f>
        <v>0</v>
      </c>
      <c r="W61" s="119" t="n">
        <f aca="false">SUMIFS(tabela_registros[VALOR],tabela_registros[MÊS],$AE$1,tabela_registros[DIA],fevtotal30[[#Headers],[19]],tabela_registros[REGISTRO],DADOS!$N$4,tabela_registros[TIPO],DADOS!$P$4,tabela_registros[CATEGORIA],despesavariávelconsolidadofev[[#This Row],[DESPESA VARIÁVEL]])</f>
        <v>0</v>
      </c>
      <c r="X61" s="119" t="n">
        <f aca="false">SUMIFS(tabela_registros[VALOR],tabela_registros[MÊS],$AE$1,tabela_registros[DIA],fevtotal30[[#Headers],[20]],tabela_registros[REGISTRO],DADOS!$N$4,tabela_registros[TIPO],DADOS!$P$4,tabela_registros[CATEGORIA],despesavariávelconsolidadofev[[#This Row],[DESPESA VARIÁVEL]])</f>
        <v>0</v>
      </c>
      <c r="Y61" s="119" t="n">
        <f aca="false">SUMIFS(tabela_registros[VALOR],tabela_registros[MÊS],$AE$1,tabela_registros[DIA],fevtotal30[[#Headers],[21]],tabela_registros[REGISTRO],DADOS!$N$4,tabela_registros[TIPO],DADOS!$P$4,tabela_registros[CATEGORIA],despesavariávelconsolidadofev[[#This Row],[DESPESA VARIÁVEL]])</f>
        <v>0</v>
      </c>
      <c r="Z61" s="119" t="n">
        <f aca="false">SUMIFS(tabela_registros[VALOR],tabela_registros[MÊS],$AE$1,tabela_registros[DIA],fevtotal30[[#Headers],[22]],tabela_registros[REGISTRO],DADOS!$N$4,tabela_registros[TIPO],DADOS!$P$4,tabela_registros[CATEGORIA],despesavariávelconsolidadofev[[#This Row],[DESPESA VARIÁVEL]])</f>
        <v>0</v>
      </c>
      <c r="AA61" s="119" t="n">
        <f aca="false">SUMIFS(tabela_registros[VALOR],tabela_registros[MÊS],$AE$1,tabela_registros[DIA],fevtotal30[[#Headers],[23]],tabela_registros[REGISTRO],DADOS!$N$4,tabela_registros[TIPO],DADOS!$P$4,tabela_registros[CATEGORIA],despesavariávelconsolidadofev[[#This Row],[DESPESA VARIÁVEL]])</f>
        <v>0</v>
      </c>
      <c r="AB61" s="119" t="n">
        <f aca="false">SUMIFS(tabela_registros[VALOR],tabela_registros[MÊS],$AE$1,tabela_registros[DIA],fevtotal30[[#Headers],[24]],tabela_registros[REGISTRO],DADOS!$N$4,tabela_registros[TIPO],DADOS!$P$4,tabela_registros[CATEGORIA],despesavariávelconsolidadofev[[#This Row],[DESPESA VARIÁVEL]])</f>
        <v>0</v>
      </c>
      <c r="AC61" s="119" t="n">
        <f aca="false">SUMIFS(tabela_registros[VALOR],tabela_registros[MÊS],$AE$1,tabela_registros[DIA],fevtotal30[[#Headers],[25]],tabela_registros[REGISTRO],DADOS!$N$4,tabela_registros[TIPO],DADOS!$P$4,tabela_registros[CATEGORIA],despesavariávelconsolidadofev[[#This Row],[DESPESA VARIÁVEL]])</f>
        <v>0</v>
      </c>
      <c r="AD61" s="119" t="n">
        <f aca="false">SUMIFS(tabela_registros[VALOR],tabela_registros[MÊS],$AE$1,tabela_registros[DIA],fevtotal30[[#Headers],[26]],tabela_registros[REGISTRO],DADOS!$N$4,tabela_registros[TIPO],DADOS!$P$4,tabela_registros[CATEGORIA],despesavariávelconsolidadofev[[#This Row],[DESPESA VARIÁVEL]])</f>
        <v>0</v>
      </c>
      <c r="AE61" s="119" t="n">
        <f aca="false">SUMIFS(tabela_registros[VALOR],tabela_registros[MÊS],$AE$1,tabela_registros[DIA],fevtotal30[[#Headers],[27]],tabela_registros[REGISTRO],DADOS!$N$4,tabela_registros[TIPO],DADOS!$P$4,tabela_registros[CATEGORIA],despesavariávelconsolidadofev[[#This Row],[DESPESA VARIÁVEL]])</f>
        <v>0</v>
      </c>
      <c r="AF61" s="119" t="n">
        <f aca="false">SUMIFS(tabela_registros[VALOR],tabela_registros[MÊS],$AE$1,tabela_registros[DIA],fevtotal30[[#Headers],[28]],tabela_registros[REGISTRO],DADOS!$N$4,tabela_registros[TIPO],DADOS!$P$4,tabela_registros[CATEGORIA],despesavariávelconsolidadofev[[#This Row],[DESPESA VARIÁVEL]])</f>
        <v>0</v>
      </c>
      <c r="AG61" s="119" t="n">
        <f aca="false">SUMIFS(tabela_registros[VALOR],tabela_registros[MÊS],$AE$1,tabela_registros[DIA],fevtotal30[[#Headers],[29]],tabela_registros[REGISTRO],DADOS!$N$4,tabela_registros[TIPO],DADOS!$P$4,tabela_registros[CATEGORIA],despesavariávelconsolidadofev[[#This Row],[DESPESA VARIÁVEL]])</f>
        <v>0</v>
      </c>
      <c r="AH61" s="119" t="n">
        <f aca="false">SUMIFS(tabela_registros[VALOR],tabela_registros[MÊS],$AE$1,tabela_registros[DIA],fevtotal30[[#Headers],[30]],tabela_registros[REGISTRO],DADOS!$N$4,tabela_registros[TIPO],DADOS!$P$4,tabela_registros[CATEGORIA],despesavariávelconsolidadofev[[#This Row],[DESPESA VARIÁVEL]])</f>
        <v>0</v>
      </c>
      <c r="AI61" s="217" t="n">
        <f aca="false">SUMIFS(tabela_registros[VALOR],tabela_registros[MÊS],$AE$1,tabela_registros[DIA],fevtotal30[[#Headers],[31]],tabela_registros[REGISTRO],DADOS!$N$4,tabela_registros[TIPO],DADOS!$P$4,tabela_registros[CATEGORIA],despesavariávelconsolidadofev[[#This Row],[DESPESA VARIÁVEL]])</f>
        <v>0</v>
      </c>
      <c r="AJ61" s="149" t="n">
        <f aca="false">SUM(despesavariávelconsolidadofev[[#This Row],[1]:[31]])</f>
        <v>0</v>
      </c>
      <c r="AK61" s="143"/>
    </row>
    <row r="62" customFormat="false" ht="18" hidden="false" customHeight="true" outlineLevel="0" collapsed="false">
      <c r="B62" s="143"/>
      <c r="C62" s="144" t="str">
        <f aca="false">DADOS!$T$5</f>
        <v>✍️ CHEQUE ESPECIAL</v>
      </c>
      <c r="D62" s="145" t="str">
        <f aca="false">IF(despesavariávelconsolidadofev[[#This Row],[TOTAL]]=0,"",IF(OR(despesavariávelconsolidadofev[[#This Row],[TOTAL]]=LARGE($AJ$60:$AJ$72,1),despesavariávelconsolidadofev[[#This Row],[TOTAL]]=LARGE($AJ$60:$AJ$72,2),despesavariávelconsolidadofev[[#This Row],[TOTAL]]=LARGE($AJ$60:$AJ$72,3),despesavariávelconsolidadofev[[#This Row],[TOTAL]]=LARGE($AJ$60:$AJ$72,4),despesavariávelconsolidadofev[[#This Row],[TOTAL]]=LARGE($AJ$60:$AJ$72,5)),DADOS!$I$8,""))</f>
        <v/>
      </c>
      <c r="E62" s="148" t="n">
        <f aca="false">SUMIFS(tabela_registros[VALOR],tabela_registros[MÊS],$AE$1,tabela_registros[DIA],fevtotal30[[#Headers],[1]],tabela_registros[REGISTRO],DADOS!$N$4,tabela_registros[TIPO],DADOS!$P$4,tabela_registros[CATEGORIA],despesavariávelconsolidadofev[[#This Row],[DESPESA VARIÁVEL]])</f>
        <v>0</v>
      </c>
      <c r="F62" s="119" t="n">
        <f aca="false">SUMIFS(tabela_registros[VALOR],tabela_registros[MÊS],$AE$1,tabela_registros[DIA],fevtotal30[[#Headers],[2]],tabela_registros[REGISTRO],DADOS!$N$4,tabela_registros[TIPO],DADOS!$P$4,tabela_registros[CATEGORIA],despesavariávelconsolidadofev[[#This Row],[DESPESA VARIÁVEL]])</f>
        <v>0</v>
      </c>
      <c r="G62" s="119" t="n">
        <f aca="false">SUMIFS(tabela_registros[VALOR],tabela_registros[MÊS],$AE$1,tabela_registros[DIA],fevtotal30[[#Headers],[3]],tabela_registros[REGISTRO],DADOS!$N$4,tabela_registros[TIPO],DADOS!$P$4,tabela_registros[CATEGORIA],despesavariávelconsolidadofev[[#This Row],[DESPESA VARIÁVEL]])</f>
        <v>0</v>
      </c>
      <c r="H62" s="119" t="n">
        <f aca="false">SUMIFS(tabela_registros[VALOR],tabela_registros[MÊS],$AE$1,tabela_registros[DIA],fevtotal30[[#Headers],[4]],tabela_registros[REGISTRO],DADOS!$N$4,tabela_registros[TIPO],DADOS!$P$4,tabela_registros[CATEGORIA],despesavariávelconsolidadofev[[#This Row],[DESPESA VARIÁVEL]])</f>
        <v>0</v>
      </c>
      <c r="I62" s="119" t="n">
        <f aca="false">SUMIFS(tabela_registros[VALOR],tabela_registros[MÊS],$AE$1,tabela_registros[DIA],fevtotal30[[#Headers],[5]],tabela_registros[REGISTRO],DADOS!$N$4,tabela_registros[TIPO],DADOS!$P$4,tabela_registros[CATEGORIA],despesavariávelconsolidadofev[[#This Row],[DESPESA VARIÁVEL]])</f>
        <v>0</v>
      </c>
      <c r="J62" s="119" t="n">
        <f aca="false">SUMIFS(tabela_registros[VALOR],tabela_registros[MÊS],$AE$1,tabela_registros[DIA],fevtotal30[[#Headers],[6]],tabela_registros[REGISTRO],DADOS!$N$4,tabela_registros[TIPO],DADOS!$P$4,tabela_registros[CATEGORIA],despesavariávelconsolidadofev[[#This Row],[DESPESA VARIÁVEL]])</f>
        <v>0</v>
      </c>
      <c r="K62" s="119" t="n">
        <f aca="false">SUMIFS(tabela_registros[VALOR],tabela_registros[MÊS],$AE$1,tabela_registros[DIA],fevtotal30[[#Headers],[7]],tabela_registros[REGISTRO],DADOS!$N$4,tabela_registros[TIPO],DADOS!$P$4,tabela_registros[CATEGORIA],despesavariávelconsolidadofev[[#This Row],[DESPESA VARIÁVEL]])</f>
        <v>0</v>
      </c>
      <c r="L62" s="119" t="n">
        <f aca="false">SUMIFS(tabela_registros[VALOR],tabela_registros[MÊS],$AE$1,tabela_registros[DIA],fevtotal30[[#Headers],[8]],tabela_registros[REGISTRO],DADOS!$N$4,tabela_registros[TIPO],DADOS!$P$4,tabela_registros[CATEGORIA],despesavariávelconsolidadofev[[#This Row],[DESPESA VARIÁVEL]])</f>
        <v>0</v>
      </c>
      <c r="M62" s="119" t="n">
        <f aca="false">SUMIFS(tabela_registros[VALOR],tabela_registros[MÊS],$AE$1,tabela_registros[DIA],fevtotal30[[#Headers],[9]],tabela_registros[REGISTRO],DADOS!$N$4,tabela_registros[TIPO],DADOS!$P$4,tabela_registros[CATEGORIA],despesavariávelconsolidadofev[[#This Row],[DESPESA VARIÁVEL]])</f>
        <v>0</v>
      </c>
      <c r="N62" s="119" t="n">
        <f aca="false">SUMIFS(tabela_registros[VALOR],tabela_registros[MÊS],$AE$1,tabela_registros[DIA],fevtotal30[[#Headers],[10]],tabela_registros[REGISTRO],DADOS!$N$4,tabela_registros[TIPO],DADOS!$P$4,tabela_registros[CATEGORIA],despesavariávelconsolidadofev[[#This Row],[DESPESA VARIÁVEL]])</f>
        <v>0</v>
      </c>
      <c r="O62" s="119" t="n">
        <f aca="false">SUMIFS(tabela_registros[VALOR],tabela_registros[MÊS],$AE$1,tabela_registros[DIA],fevtotal30[[#Headers],[11]],tabela_registros[REGISTRO],DADOS!$N$4,tabela_registros[TIPO],DADOS!$P$4,tabela_registros[CATEGORIA],despesavariávelconsolidadofev[[#This Row],[DESPESA VARIÁVEL]])</f>
        <v>0</v>
      </c>
      <c r="P62" s="119" t="n">
        <f aca="false">SUMIFS(tabela_registros[VALOR],tabela_registros[MÊS],$AE$1,tabela_registros[DIA],fevtotal30[[#Headers],[12]],tabela_registros[REGISTRO],DADOS!$N$4,tabela_registros[TIPO],DADOS!$P$4,tabela_registros[CATEGORIA],despesavariávelconsolidadofev[[#This Row],[DESPESA VARIÁVEL]])</f>
        <v>0</v>
      </c>
      <c r="Q62" s="119" t="n">
        <f aca="false">SUMIFS(tabela_registros[VALOR],tabela_registros[MÊS],$AE$1,tabela_registros[DIA],fevtotal30[[#Headers],[13]],tabela_registros[REGISTRO],DADOS!$N$4,tabela_registros[TIPO],DADOS!$P$4,tabela_registros[CATEGORIA],despesavariávelconsolidadofev[[#This Row],[DESPESA VARIÁVEL]])</f>
        <v>0</v>
      </c>
      <c r="R62" s="119" t="n">
        <f aca="false">SUMIFS(tabela_registros[VALOR],tabela_registros[MÊS],$AE$1,tabela_registros[DIA],fevtotal30[[#Headers],[14]],tabela_registros[REGISTRO],DADOS!$N$4,tabela_registros[TIPO],DADOS!$P$4,tabela_registros[CATEGORIA],despesavariávelconsolidadofev[[#This Row],[DESPESA VARIÁVEL]])</f>
        <v>0</v>
      </c>
      <c r="S62" s="119" t="n">
        <f aca="false">SUMIFS(tabela_registros[VALOR],tabela_registros[MÊS],$AE$1,tabela_registros[DIA],fevtotal30[[#Headers],[15]],tabela_registros[REGISTRO],DADOS!$N$4,tabela_registros[TIPO],DADOS!$P$4,tabela_registros[CATEGORIA],despesavariávelconsolidadofev[[#This Row],[DESPESA VARIÁVEL]])</f>
        <v>0</v>
      </c>
      <c r="T62" s="119" t="n">
        <f aca="false">SUMIFS(tabela_registros[VALOR],tabela_registros[MÊS],$AE$1,tabela_registros[DIA],fevtotal30[[#Headers],[16]],tabela_registros[REGISTRO],DADOS!$N$4,tabela_registros[TIPO],DADOS!$P$4,tabela_registros[CATEGORIA],despesavariávelconsolidadofev[[#This Row],[DESPESA VARIÁVEL]])</f>
        <v>0</v>
      </c>
      <c r="U62" s="119" t="n">
        <f aca="false">SUMIFS(tabela_registros[VALOR],tabela_registros[MÊS],$AE$1,tabela_registros[DIA],fevtotal30[[#Headers],[17]],tabela_registros[REGISTRO],DADOS!$N$4,tabela_registros[TIPO],DADOS!$P$4,tabela_registros[CATEGORIA],despesavariávelconsolidadofev[[#This Row],[DESPESA VARIÁVEL]])</f>
        <v>0</v>
      </c>
      <c r="V62" s="119" t="n">
        <f aca="false">SUMIFS(tabela_registros[VALOR],tabela_registros[MÊS],$AE$1,tabela_registros[DIA],fevtotal30[[#Headers],[18]],tabela_registros[REGISTRO],DADOS!$N$4,tabela_registros[TIPO],DADOS!$P$4,tabela_registros[CATEGORIA],despesavariávelconsolidadofev[[#This Row],[DESPESA VARIÁVEL]])</f>
        <v>0</v>
      </c>
      <c r="W62" s="119" t="n">
        <f aca="false">SUMIFS(tabela_registros[VALOR],tabela_registros[MÊS],$AE$1,tabela_registros[DIA],fevtotal30[[#Headers],[19]],tabela_registros[REGISTRO],DADOS!$N$4,tabela_registros[TIPO],DADOS!$P$4,tabela_registros[CATEGORIA],despesavariávelconsolidadofev[[#This Row],[DESPESA VARIÁVEL]])</f>
        <v>0</v>
      </c>
      <c r="X62" s="119" t="n">
        <f aca="false">SUMIFS(tabela_registros[VALOR],tabela_registros[MÊS],$AE$1,tabela_registros[DIA],fevtotal30[[#Headers],[20]],tabela_registros[REGISTRO],DADOS!$N$4,tabela_registros[TIPO],DADOS!$P$4,tabela_registros[CATEGORIA],despesavariávelconsolidadofev[[#This Row],[DESPESA VARIÁVEL]])</f>
        <v>0</v>
      </c>
      <c r="Y62" s="119" t="n">
        <f aca="false">SUMIFS(tabela_registros[VALOR],tabela_registros[MÊS],$AE$1,tabela_registros[DIA],fevtotal30[[#Headers],[21]],tabela_registros[REGISTRO],DADOS!$N$4,tabela_registros[TIPO],DADOS!$P$4,tabela_registros[CATEGORIA],despesavariávelconsolidadofev[[#This Row],[DESPESA VARIÁVEL]])</f>
        <v>0</v>
      </c>
      <c r="Z62" s="119" t="n">
        <f aca="false">SUMIFS(tabela_registros[VALOR],tabela_registros[MÊS],$AE$1,tabela_registros[DIA],fevtotal30[[#Headers],[22]],tabela_registros[REGISTRO],DADOS!$N$4,tabela_registros[TIPO],DADOS!$P$4,tabela_registros[CATEGORIA],despesavariávelconsolidadofev[[#This Row],[DESPESA VARIÁVEL]])</f>
        <v>0</v>
      </c>
      <c r="AA62" s="119" t="n">
        <f aca="false">SUMIFS(tabela_registros[VALOR],tabela_registros[MÊS],$AE$1,tabela_registros[DIA],fevtotal30[[#Headers],[23]],tabela_registros[REGISTRO],DADOS!$N$4,tabela_registros[TIPO],DADOS!$P$4,tabela_registros[CATEGORIA],despesavariávelconsolidadofev[[#This Row],[DESPESA VARIÁVEL]])</f>
        <v>0</v>
      </c>
      <c r="AB62" s="119" t="n">
        <f aca="false">SUMIFS(tabela_registros[VALOR],tabela_registros[MÊS],$AE$1,tabela_registros[DIA],fevtotal30[[#Headers],[24]],tabela_registros[REGISTRO],DADOS!$N$4,tabela_registros[TIPO],DADOS!$P$4,tabela_registros[CATEGORIA],despesavariávelconsolidadofev[[#This Row],[DESPESA VARIÁVEL]])</f>
        <v>0</v>
      </c>
      <c r="AC62" s="119" t="n">
        <f aca="false">SUMIFS(tabela_registros[VALOR],tabela_registros[MÊS],$AE$1,tabela_registros[DIA],fevtotal30[[#Headers],[25]],tabela_registros[REGISTRO],DADOS!$N$4,tabela_registros[TIPO],DADOS!$P$4,tabela_registros[CATEGORIA],despesavariávelconsolidadofev[[#This Row],[DESPESA VARIÁVEL]])</f>
        <v>0</v>
      </c>
      <c r="AD62" s="119" t="n">
        <f aca="false">SUMIFS(tabela_registros[VALOR],tabela_registros[MÊS],$AE$1,tabela_registros[DIA],fevtotal30[[#Headers],[26]],tabela_registros[REGISTRO],DADOS!$N$4,tabela_registros[TIPO],DADOS!$P$4,tabela_registros[CATEGORIA],despesavariávelconsolidadofev[[#This Row],[DESPESA VARIÁVEL]])</f>
        <v>0</v>
      </c>
      <c r="AE62" s="119" t="n">
        <f aca="false">SUMIFS(tabela_registros[VALOR],tabela_registros[MÊS],$AE$1,tabela_registros[DIA],fevtotal30[[#Headers],[27]],tabela_registros[REGISTRO],DADOS!$N$4,tabela_registros[TIPO],DADOS!$P$4,tabela_registros[CATEGORIA],despesavariávelconsolidadofev[[#This Row],[DESPESA VARIÁVEL]])</f>
        <v>0</v>
      </c>
      <c r="AF62" s="119" t="n">
        <f aca="false">SUMIFS(tabela_registros[VALOR],tabela_registros[MÊS],$AE$1,tabela_registros[DIA],fevtotal30[[#Headers],[28]],tabela_registros[REGISTRO],DADOS!$N$4,tabela_registros[TIPO],DADOS!$P$4,tabela_registros[CATEGORIA],despesavariávelconsolidadofev[[#This Row],[DESPESA VARIÁVEL]])</f>
        <v>0</v>
      </c>
      <c r="AG62" s="119" t="n">
        <f aca="false">SUMIFS(tabela_registros[VALOR],tabela_registros[MÊS],$AE$1,tabela_registros[DIA],fevtotal30[[#Headers],[29]],tabela_registros[REGISTRO],DADOS!$N$4,tabela_registros[TIPO],DADOS!$P$4,tabela_registros[CATEGORIA],despesavariávelconsolidadofev[[#This Row],[DESPESA VARIÁVEL]])</f>
        <v>0</v>
      </c>
      <c r="AH62" s="119" t="n">
        <f aca="false">SUMIFS(tabela_registros[VALOR],tabela_registros[MÊS],$AE$1,tabela_registros[DIA],fevtotal30[[#Headers],[30]],tabela_registros[REGISTRO],DADOS!$N$4,tabela_registros[TIPO],DADOS!$P$4,tabela_registros[CATEGORIA],despesavariávelconsolidadofev[[#This Row],[DESPESA VARIÁVEL]])</f>
        <v>0</v>
      </c>
      <c r="AI62" s="217" t="n">
        <f aca="false">SUMIFS(tabela_registros[VALOR],tabela_registros[MÊS],$AE$1,tabela_registros[DIA],fevtotal30[[#Headers],[31]],tabela_registros[REGISTRO],DADOS!$N$4,tabela_registros[TIPO],DADOS!$P$4,tabela_registros[CATEGORIA],despesavariávelconsolidadofev[[#This Row],[DESPESA VARIÁVEL]])</f>
        <v>0</v>
      </c>
      <c r="AJ62" s="149" t="n">
        <f aca="false">SUM(despesavariávelconsolidadofev[[#This Row],[1]:[31]])</f>
        <v>0</v>
      </c>
      <c r="AK62" s="143"/>
    </row>
    <row r="63" customFormat="false" ht="18" hidden="false" customHeight="true" outlineLevel="0" collapsed="false">
      <c r="B63" s="143"/>
      <c r="C63" s="144" t="str">
        <f aca="false">DADOS!$T$6</f>
        <v>💄 CUIDADOS PESSOAIS</v>
      </c>
      <c r="D63" s="145" t="str">
        <f aca="false">IF(despesavariávelconsolidadofev[[#This Row],[TOTAL]]=0,"",IF(OR(despesavariávelconsolidadofev[[#This Row],[TOTAL]]=LARGE($AJ$60:$AJ$72,1),despesavariávelconsolidadofev[[#This Row],[TOTAL]]=LARGE($AJ$60:$AJ$72,2),despesavariávelconsolidadofev[[#This Row],[TOTAL]]=LARGE($AJ$60:$AJ$72,3),despesavariávelconsolidadofev[[#This Row],[TOTAL]]=LARGE($AJ$60:$AJ$72,4),despesavariávelconsolidadofev[[#This Row],[TOTAL]]=LARGE($AJ$60:$AJ$72,5)),DADOS!$I$8,""))</f>
        <v/>
      </c>
      <c r="E63" s="148" t="n">
        <f aca="false">SUMIFS(tabela_registros[VALOR],tabela_registros[MÊS],$AE$1,tabela_registros[DIA],fevtotal30[[#Headers],[1]],tabela_registros[REGISTRO],DADOS!$N$4,tabela_registros[TIPO],DADOS!$P$4,tabela_registros[CATEGORIA],despesavariávelconsolidadofev[[#This Row],[DESPESA VARIÁVEL]])</f>
        <v>0</v>
      </c>
      <c r="F63" s="119" t="n">
        <f aca="false">SUMIFS(tabela_registros[VALOR],tabela_registros[MÊS],$AE$1,tabela_registros[DIA],fevtotal30[[#Headers],[2]],tabela_registros[REGISTRO],DADOS!$N$4,tabela_registros[TIPO],DADOS!$P$4,tabela_registros[CATEGORIA],despesavariávelconsolidadofev[[#This Row],[DESPESA VARIÁVEL]])</f>
        <v>0</v>
      </c>
      <c r="G63" s="119" t="n">
        <f aca="false">SUMIFS(tabela_registros[VALOR],tabela_registros[MÊS],$AE$1,tabela_registros[DIA],fevtotal30[[#Headers],[3]],tabela_registros[REGISTRO],DADOS!$N$4,tabela_registros[TIPO],DADOS!$P$4,tabela_registros[CATEGORIA],despesavariávelconsolidadofev[[#This Row],[DESPESA VARIÁVEL]])</f>
        <v>0</v>
      </c>
      <c r="H63" s="119" t="n">
        <f aca="false">SUMIFS(tabela_registros[VALOR],tabela_registros[MÊS],$AE$1,tabela_registros[DIA],fevtotal30[[#Headers],[4]],tabela_registros[REGISTRO],DADOS!$N$4,tabela_registros[TIPO],DADOS!$P$4,tabela_registros[CATEGORIA],despesavariávelconsolidadofev[[#This Row],[DESPESA VARIÁVEL]])</f>
        <v>0</v>
      </c>
      <c r="I63" s="119" t="n">
        <f aca="false">SUMIFS(tabela_registros[VALOR],tabela_registros[MÊS],$AE$1,tabela_registros[DIA],fevtotal30[[#Headers],[5]],tabela_registros[REGISTRO],DADOS!$N$4,tabela_registros[TIPO],DADOS!$P$4,tabela_registros[CATEGORIA],despesavariávelconsolidadofev[[#This Row],[DESPESA VARIÁVEL]])</f>
        <v>0</v>
      </c>
      <c r="J63" s="119" t="n">
        <f aca="false">SUMIFS(tabela_registros[VALOR],tabela_registros[MÊS],$AE$1,tabela_registros[DIA],fevtotal30[[#Headers],[6]],tabela_registros[REGISTRO],DADOS!$N$4,tabela_registros[TIPO],DADOS!$P$4,tabela_registros[CATEGORIA],despesavariávelconsolidadofev[[#This Row],[DESPESA VARIÁVEL]])</f>
        <v>0</v>
      </c>
      <c r="K63" s="119" t="n">
        <f aca="false">SUMIFS(tabela_registros[VALOR],tabela_registros[MÊS],$AE$1,tabela_registros[DIA],fevtotal30[[#Headers],[7]],tabela_registros[REGISTRO],DADOS!$N$4,tabela_registros[TIPO],DADOS!$P$4,tabela_registros[CATEGORIA],despesavariávelconsolidadofev[[#This Row],[DESPESA VARIÁVEL]])</f>
        <v>0</v>
      </c>
      <c r="L63" s="119" t="n">
        <f aca="false">SUMIFS(tabela_registros[VALOR],tabela_registros[MÊS],$AE$1,tabela_registros[DIA],fevtotal30[[#Headers],[8]],tabela_registros[REGISTRO],DADOS!$N$4,tabela_registros[TIPO],DADOS!$P$4,tabela_registros[CATEGORIA],despesavariávelconsolidadofev[[#This Row],[DESPESA VARIÁVEL]])</f>
        <v>0</v>
      </c>
      <c r="M63" s="119" t="n">
        <f aca="false">SUMIFS(tabela_registros[VALOR],tabela_registros[MÊS],$AE$1,tabela_registros[DIA],fevtotal30[[#Headers],[9]],tabela_registros[REGISTRO],DADOS!$N$4,tabela_registros[TIPO],DADOS!$P$4,tabela_registros[CATEGORIA],despesavariávelconsolidadofev[[#This Row],[DESPESA VARIÁVEL]])</f>
        <v>0</v>
      </c>
      <c r="N63" s="119" t="n">
        <f aca="false">SUMIFS(tabela_registros[VALOR],tabela_registros[MÊS],$AE$1,tabela_registros[DIA],fevtotal30[[#Headers],[10]],tabela_registros[REGISTRO],DADOS!$N$4,tabela_registros[TIPO],DADOS!$P$4,tabela_registros[CATEGORIA],despesavariávelconsolidadofev[[#This Row],[DESPESA VARIÁVEL]])</f>
        <v>0</v>
      </c>
      <c r="O63" s="119" t="n">
        <f aca="false">SUMIFS(tabela_registros[VALOR],tabela_registros[MÊS],$AE$1,tabela_registros[DIA],fevtotal30[[#Headers],[11]],tabela_registros[REGISTRO],DADOS!$N$4,tabela_registros[TIPO],DADOS!$P$4,tabela_registros[CATEGORIA],despesavariávelconsolidadofev[[#This Row],[DESPESA VARIÁVEL]])</f>
        <v>0</v>
      </c>
      <c r="P63" s="119" t="n">
        <f aca="false">SUMIFS(tabela_registros[VALOR],tabela_registros[MÊS],$AE$1,tabela_registros[DIA],fevtotal30[[#Headers],[12]],tabela_registros[REGISTRO],DADOS!$N$4,tabela_registros[TIPO],DADOS!$P$4,tabela_registros[CATEGORIA],despesavariávelconsolidadofev[[#This Row],[DESPESA VARIÁVEL]])</f>
        <v>0</v>
      </c>
      <c r="Q63" s="119" t="n">
        <f aca="false">SUMIFS(tabela_registros[VALOR],tabela_registros[MÊS],$AE$1,tabela_registros[DIA],fevtotal30[[#Headers],[13]],tabela_registros[REGISTRO],DADOS!$N$4,tabela_registros[TIPO],DADOS!$P$4,tabela_registros[CATEGORIA],despesavariávelconsolidadofev[[#This Row],[DESPESA VARIÁVEL]])</f>
        <v>0</v>
      </c>
      <c r="R63" s="119" t="n">
        <f aca="false">SUMIFS(tabela_registros[VALOR],tabela_registros[MÊS],$AE$1,tabela_registros[DIA],fevtotal30[[#Headers],[14]],tabela_registros[REGISTRO],DADOS!$N$4,tabela_registros[TIPO],DADOS!$P$4,tabela_registros[CATEGORIA],despesavariávelconsolidadofev[[#This Row],[DESPESA VARIÁVEL]])</f>
        <v>0</v>
      </c>
      <c r="S63" s="119" t="n">
        <f aca="false">SUMIFS(tabela_registros[VALOR],tabela_registros[MÊS],$AE$1,tabela_registros[DIA],fevtotal30[[#Headers],[15]],tabela_registros[REGISTRO],DADOS!$N$4,tabela_registros[TIPO],DADOS!$P$4,tabela_registros[CATEGORIA],despesavariávelconsolidadofev[[#This Row],[DESPESA VARIÁVEL]])</f>
        <v>0</v>
      </c>
      <c r="T63" s="119" t="n">
        <f aca="false">SUMIFS(tabela_registros[VALOR],tabela_registros[MÊS],$AE$1,tabela_registros[DIA],fevtotal30[[#Headers],[16]],tabela_registros[REGISTRO],DADOS!$N$4,tabela_registros[TIPO],DADOS!$P$4,tabela_registros[CATEGORIA],despesavariávelconsolidadofev[[#This Row],[DESPESA VARIÁVEL]])</f>
        <v>0</v>
      </c>
      <c r="U63" s="119" t="n">
        <f aca="false">SUMIFS(tabela_registros[VALOR],tabela_registros[MÊS],$AE$1,tabela_registros[DIA],fevtotal30[[#Headers],[17]],tabela_registros[REGISTRO],DADOS!$N$4,tabela_registros[TIPO],DADOS!$P$4,tabela_registros[CATEGORIA],despesavariávelconsolidadofev[[#This Row],[DESPESA VARIÁVEL]])</f>
        <v>0</v>
      </c>
      <c r="V63" s="119" t="n">
        <f aca="false">SUMIFS(tabela_registros[VALOR],tabela_registros[MÊS],$AE$1,tabela_registros[DIA],fevtotal30[[#Headers],[18]],tabela_registros[REGISTRO],DADOS!$N$4,tabela_registros[TIPO],DADOS!$P$4,tabela_registros[CATEGORIA],despesavariávelconsolidadofev[[#This Row],[DESPESA VARIÁVEL]])</f>
        <v>0</v>
      </c>
      <c r="W63" s="119" t="n">
        <f aca="false">SUMIFS(tabela_registros[VALOR],tabela_registros[MÊS],$AE$1,tabela_registros[DIA],fevtotal30[[#Headers],[19]],tabela_registros[REGISTRO],DADOS!$N$4,tabela_registros[TIPO],DADOS!$P$4,tabela_registros[CATEGORIA],despesavariávelconsolidadofev[[#This Row],[DESPESA VARIÁVEL]])</f>
        <v>0</v>
      </c>
      <c r="X63" s="119" t="n">
        <f aca="false">SUMIFS(tabela_registros[VALOR],tabela_registros[MÊS],$AE$1,tabela_registros[DIA],fevtotal30[[#Headers],[20]],tabela_registros[REGISTRO],DADOS!$N$4,tabela_registros[TIPO],DADOS!$P$4,tabela_registros[CATEGORIA],despesavariávelconsolidadofev[[#This Row],[DESPESA VARIÁVEL]])</f>
        <v>0</v>
      </c>
      <c r="Y63" s="119" t="n">
        <f aca="false">SUMIFS(tabela_registros[VALOR],tabela_registros[MÊS],$AE$1,tabela_registros[DIA],fevtotal30[[#Headers],[21]],tabela_registros[REGISTRO],DADOS!$N$4,tabela_registros[TIPO],DADOS!$P$4,tabela_registros[CATEGORIA],despesavariávelconsolidadofev[[#This Row],[DESPESA VARIÁVEL]])</f>
        <v>0</v>
      </c>
      <c r="Z63" s="119" t="n">
        <f aca="false">SUMIFS(tabela_registros[VALOR],tabela_registros[MÊS],$AE$1,tabela_registros[DIA],fevtotal30[[#Headers],[22]],tabela_registros[REGISTRO],DADOS!$N$4,tabela_registros[TIPO],DADOS!$P$4,tabela_registros[CATEGORIA],despesavariávelconsolidadofev[[#This Row],[DESPESA VARIÁVEL]])</f>
        <v>0</v>
      </c>
      <c r="AA63" s="119" t="n">
        <f aca="false">SUMIFS(tabela_registros[VALOR],tabela_registros[MÊS],$AE$1,tabela_registros[DIA],fevtotal30[[#Headers],[23]],tabela_registros[REGISTRO],DADOS!$N$4,tabela_registros[TIPO],DADOS!$P$4,tabela_registros[CATEGORIA],despesavariávelconsolidadofev[[#This Row],[DESPESA VARIÁVEL]])</f>
        <v>0</v>
      </c>
      <c r="AB63" s="119" t="n">
        <f aca="false">SUMIFS(tabela_registros[VALOR],tabela_registros[MÊS],$AE$1,tabela_registros[DIA],fevtotal30[[#Headers],[24]],tabela_registros[REGISTRO],DADOS!$N$4,tabela_registros[TIPO],DADOS!$P$4,tabela_registros[CATEGORIA],despesavariávelconsolidadofev[[#This Row],[DESPESA VARIÁVEL]])</f>
        <v>0</v>
      </c>
      <c r="AC63" s="119" t="n">
        <f aca="false">SUMIFS(tabela_registros[VALOR],tabela_registros[MÊS],$AE$1,tabela_registros[DIA],fevtotal30[[#Headers],[25]],tabela_registros[REGISTRO],DADOS!$N$4,tabela_registros[TIPO],DADOS!$P$4,tabela_registros[CATEGORIA],despesavariávelconsolidadofev[[#This Row],[DESPESA VARIÁVEL]])</f>
        <v>0</v>
      </c>
      <c r="AD63" s="119" t="n">
        <f aca="false">SUMIFS(tabela_registros[VALOR],tabela_registros[MÊS],$AE$1,tabela_registros[DIA],fevtotal30[[#Headers],[26]],tabela_registros[REGISTRO],DADOS!$N$4,tabela_registros[TIPO],DADOS!$P$4,tabela_registros[CATEGORIA],despesavariávelconsolidadofev[[#This Row],[DESPESA VARIÁVEL]])</f>
        <v>0</v>
      </c>
      <c r="AE63" s="119" t="n">
        <f aca="false">SUMIFS(tabela_registros[VALOR],tabela_registros[MÊS],$AE$1,tabela_registros[DIA],fevtotal30[[#Headers],[27]],tabela_registros[REGISTRO],DADOS!$N$4,tabela_registros[TIPO],DADOS!$P$4,tabela_registros[CATEGORIA],despesavariávelconsolidadofev[[#This Row],[DESPESA VARIÁVEL]])</f>
        <v>0</v>
      </c>
      <c r="AF63" s="119" t="n">
        <f aca="false">SUMIFS(tabela_registros[VALOR],tabela_registros[MÊS],$AE$1,tabela_registros[DIA],fevtotal30[[#Headers],[28]],tabela_registros[REGISTRO],DADOS!$N$4,tabela_registros[TIPO],DADOS!$P$4,tabela_registros[CATEGORIA],despesavariávelconsolidadofev[[#This Row],[DESPESA VARIÁVEL]])</f>
        <v>0</v>
      </c>
      <c r="AG63" s="119" t="n">
        <f aca="false">SUMIFS(tabela_registros[VALOR],tabela_registros[MÊS],$AE$1,tabela_registros[DIA],fevtotal30[[#Headers],[29]],tabela_registros[REGISTRO],DADOS!$N$4,tabela_registros[TIPO],DADOS!$P$4,tabela_registros[CATEGORIA],despesavariávelconsolidadofev[[#This Row],[DESPESA VARIÁVEL]])</f>
        <v>0</v>
      </c>
      <c r="AH63" s="119" t="n">
        <f aca="false">SUMIFS(tabela_registros[VALOR],tabela_registros[MÊS],$AE$1,tabela_registros[DIA],fevtotal30[[#Headers],[30]],tabela_registros[REGISTRO],DADOS!$N$4,tabela_registros[TIPO],DADOS!$P$4,tabela_registros[CATEGORIA],despesavariávelconsolidadofev[[#This Row],[DESPESA VARIÁVEL]])</f>
        <v>0</v>
      </c>
      <c r="AI63" s="217" t="n">
        <f aca="false">SUMIFS(tabela_registros[VALOR],tabela_registros[MÊS],$AE$1,tabela_registros[DIA],fevtotal30[[#Headers],[31]],tabela_registros[REGISTRO],DADOS!$N$4,tabela_registros[TIPO],DADOS!$P$4,tabela_registros[CATEGORIA],despesavariávelconsolidadofev[[#This Row],[DESPESA VARIÁVEL]])</f>
        <v>0</v>
      </c>
      <c r="AJ63" s="149" t="n">
        <f aca="false">SUM(despesavariávelconsolidadofev[[#This Row],[1]:[31]])</f>
        <v>0</v>
      </c>
      <c r="AK63" s="143"/>
    </row>
    <row r="64" customFormat="false" ht="18" hidden="false" customHeight="true" outlineLevel="0" collapsed="false">
      <c r="B64" s="143"/>
      <c r="C64" s="144" t="str">
        <f aca="false">DADOS!$T$7</f>
        <v>🤝 DOAÇÃO</v>
      </c>
      <c r="D64" s="145" t="str">
        <f aca="false">IF(despesavariávelconsolidadofev[[#This Row],[TOTAL]]=0,"",IF(OR(despesavariávelconsolidadofev[[#This Row],[TOTAL]]=LARGE($AJ$60:$AJ$72,1),despesavariávelconsolidadofev[[#This Row],[TOTAL]]=LARGE($AJ$60:$AJ$72,2),despesavariávelconsolidadofev[[#This Row],[TOTAL]]=LARGE($AJ$60:$AJ$72,3),despesavariávelconsolidadofev[[#This Row],[TOTAL]]=LARGE($AJ$60:$AJ$72,4),despesavariávelconsolidadofev[[#This Row],[TOTAL]]=LARGE($AJ$60:$AJ$72,5)),DADOS!$I$8,""))</f>
        <v/>
      </c>
      <c r="E64" s="148" t="n">
        <f aca="false">SUMIFS(tabela_registros[VALOR],tabela_registros[MÊS],$AE$1,tabela_registros[DIA],fevtotal30[[#Headers],[1]],tabela_registros[REGISTRO],DADOS!$N$4,tabela_registros[TIPO],DADOS!$P$4,tabela_registros[CATEGORIA],despesavariávelconsolidadofev[[#This Row],[DESPESA VARIÁVEL]])</f>
        <v>0</v>
      </c>
      <c r="F64" s="119" t="n">
        <f aca="false">SUMIFS(tabela_registros[VALOR],tabela_registros[MÊS],$AE$1,tabela_registros[DIA],fevtotal30[[#Headers],[2]],tabela_registros[REGISTRO],DADOS!$N$4,tabela_registros[TIPO],DADOS!$P$4,tabela_registros[CATEGORIA],despesavariávelconsolidadofev[[#This Row],[DESPESA VARIÁVEL]])</f>
        <v>0</v>
      </c>
      <c r="G64" s="119" t="n">
        <f aca="false">SUMIFS(tabela_registros[VALOR],tabela_registros[MÊS],$AE$1,tabela_registros[DIA],fevtotal30[[#Headers],[3]],tabela_registros[REGISTRO],DADOS!$N$4,tabela_registros[TIPO],DADOS!$P$4,tabela_registros[CATEGORIA],despesavariávelconsolidadofev[[#This Row],[DESPESA VARIÁVEL]])</f>
        <v>0</v>
      </c>
      <c r="H64" s="119" t="n">
        <f aca="false">SUMIFS(tabela_registros[VALOR],tabela_registros[MÊS],$AE$1,tabela_registros[DIA],fevtotal30[[#Headers],[4]],tabela_registros[REGISTRO],DADOS!$N$4,tabela_registros[TIPO],DADOS!$P$4,tabela_registros[CATEGORIA],despesavariávelconsolidadofev[[#This Row],[DESPESA VARIÁVEL]])</f>
        <v>0</v>
      </c>
      <c r="I64" s="119" t="n">
        <f aca="false">SUMIFS(tabela_registros[VALOR],tabela_registros[MÊS],$AE$1,tabela_registros[DIA],fevtotal30[[#Headers],[5]],tabela_registros[REGISTRO],DADOS!$N$4,tabela_registros[TIPO],DADOS!$P$4,tabela_registros[CATEGORIA],despesavariávelconsolidadofev[[#This Row],[DESPESA VARIÁVEL]])</f>
        <v>0</v>
      </c>
      <c r="J64" s="119" t="n">
        <f aca="false">SUMIFS(tabela_registros[VALOR],tabela_registros[MÊS],$AE$1,tabela_registros[DIA],fevtotal30[[#Headers],[6]],tabela_registros[REGISTRO],DADOS!$N$4,tabela_registros[TIPO],DADOS!$P$4,tabela_registros[CATEGORIA],despesavariávelconsolidadofev[[#This Row],[DESPESA VARIÁVEL]])</f>
        <v>0</v>
      </c>
      <c r="K64" s="119" t="n">
        <f aca="false">SUMIFS(tabela_registros[VALOR],tabela_registros[MÊS],$AE$1,tabela_registros[DIA],fevtotal30[[#Headers],[7]],tabela_registros[REGISTRO],DADOS!$N$4,tabela_registros[TIPO],DADOS!$P$4,tabela_registros[CATEGORIA],despesavariávelconsolidadofev[[#This Row],[DESPESA VARIÁVEL]])</f>
        <v>0</v>
      </c>
      <c r="L64" s="119" t="n">
        <f aca="false">SUMIFS(tabela_registros[VALOR],tabela_registros[MÊS],$AE$1,tabela_registros[DIA],fevtotal30[[#Headers],[8]],tabela_registros[REGISTRO],DADOS!$N$4,tabela_registros[TIPO],DADOS!$P$4,tabela_registros[CATEGORIA],despesavariávelconsolidadofev[[#This Row],[DESPESA VARIÁVEL]])</f>
        <v>0</v>
      </c>
      <c r="M64" s="119" t="n">
        <f aca="false">SUMIFS(tabela_registros[VALOR],tabela_registros[MÊS],$AE$1,tabela_registros[DIA],fevtotal30[[#Headers],[9]],tabela_registros[REGISTRO],DADOS!$N$4,tabela_registros[TIPO],DADOS!$P$4,tabela_registros[CATEGORIA],despesavariávelconsolidadofev[[#This Row],[DESPESA VARIÁVEL]])</f>
        <v>0</v>
      </c>
      <c r="N64" s="119" t="n">
        <f aca="false">SUMIFS(tabela_registros[VALOR],tabela_registros[MÊS],$AE$1,tabela_registros[DIA],fevtotal30[[#Headers],[10]],tabela_registros[REGISTRO],DADOS!$N$4,tabela_registros[TIPO],DADOS!$P$4,tabela_registros[CATEGORIA],despesavariávelconsolidadofev[[#This Row],[DESPESA VARIÁVEL]])</f>
        <v>0</v>
      </c>
      <c r="O64" s="119" t="n">
        <f aca="false">SUMIFS(tabela_registros[VALOR],tabela_registros[MÊS],$AE$1,tabela_registros[DIA],fevtotal30[[#Headers],[11]],tabela_registros[REGISTRO],DADOS!$N$4,tabela_registros[TIPO],DADOS!$P$4,tabela_registros[CATEGORIA],despesavariávelconsolidadofev[[#This Row],[DESPESA VARIÁVEL]])</f>
        <v>0</v>
      </c>
      <c r="P64" s="119" t="n">
        <f aca="false">SUMIFS(tabela_registros[VALOR],tabela_registros[MÊS],$AE$1,tabela_registros[DIA],fevtotal30[[#Headers],[12]],tabela_registros[REGISTRO],DADOS!$N$4,tabela_registros[TIPO],DADOS!$P$4,tabela_registros[CATEGORIA],despesavariávelconsolidadofev[[#This Row],[DESPESA VARIÁVEL]])</f>
        <v>0</v>
      </c>
      <c r="Q64" s="119" t="n">
        <f aca="false">SUMIFS(tabela_registros[VALOR],tabela_registros[MÊS],$AE$1,tabela_registros[DIA],fevtotal30[[#Headers],[13]],tabela_registros[REGISTRO],DADOS!$N$4,tabela_registros[TIPO],DADOS!$P$4,tabela_registros[CATEGORIA],despesavariávelconsolidadofev[[#This Row],[DESPESA VARIÁVEL]])</f>
        <v>0</v>
      </c>
      <c r="R64" s="119" t="n">
        <f aca="false">SUMIFS(tabela_registros[VALOR],tabela_registros[MÊS],$AE$1,tabela_registros[DIA],fevtotal30[[#Headers],[14]],tabela_registros[REGISTRO],DADOS!$N$4,tabela_registros[TIPO],DADOS!$P$4,tabela_registros[CATEGORIA],despesavariávelconsolidadofev[[#This Row],[DESPESA VARIÁVEL]])</f>
        <v>0</v>
      </c>
      <c r="S64" s="119" t="n">
        <f aca="false">SUMIFS(tabela_registros[VALOR],tabela_registros[MÊS],$AE$1,tabela_registros[DIA],fevtotal30[[#Headers],[15]],tabela_registros[REGISTRO],DADOS!$N$4,tabela_registros[TIPO],DADOS!$P$4,tabela_registros[CATEGORIA],despesavariávelconsolidadofev[[#This Row],[DESPESA VARIÁVEL]])</f>
        <v>0</v>
      </c>
      <c r="T64" s="119" t="n">
        <f aca="false">SUMIFS(tabela_registros[VALOR],tabela_registros[MÊS],$AE$1,tabela_registros[DIA],fevtotal30[[#Headers],[16]],tabela_registros[REGISTRO],DADOS!$N$4,tabela_registros[TIPO],DADOS!$P$4,tabela_registros[CATEGORIA],despesavariávelconsolidadofev[[#This Row],[DESPESA VARIÁVEL]])</f>
        <v>0</v>
      </c>
      <c r="U64" s="119" t="n">
        <f aca="false">SUMIFS(tabela_registros[VALOR],tabela_registros[MÊS],$AE$1,tabela_registros[DIA],fevtotal30[[#Headers],[17]],tabela_registros[REGISTRO],DADOS!$N$4,tabela_registros[TIPO],DADOS!$P$4,tabela_registros[CATEGORIA],despesavariávelconsolidadofev[[#This Row],[DESPESA VARIÁVEL]])</f>
        <v>0</v>
      </c>
      <c r="V64" s="119" t="n">
        <f aca="false">SUMIFS(tabela_registros[VALOR],tabela_registros[MÊS],$AE$1,tabela_registros[DIA],fevtotal30[[#Headers],[18]],tabela_registros[REGISTRO],DADOS!$N$4,tabela_registros[TIPO],DADOS!$P$4,tabela_registros[CATEGORIA],despesavariávelconsolidadofev[[#This Row],[DESPESA VARIÁVEL]])</f>
        <v>0</v>
      </c>
      <c r="W64" s="119" t="n">
        <f aca="false">SUMIFS(tabela_registros[VALOR],tabela_registros[MÊS],$AE$1,tabela_registros[DIA],fevtotal30[[#Headers],[19]],tabela_registros[REGISTRO],DADOS!$N$4,tabela_registros[TIPO],DADOS!$P$4,tabela_registros[CATEGORIA],despesavariávelconsolidadofev[[#This Row],[DESPESA VARIÁVEL]])</f>
        <v>0</v>
      </c>
      <c r="X64" s="119" t="n">
        <f aca="false">SUMIFS(tabela_registros[VALOR],tabela_registros[MÊS],$AE$1,tabela_registros[DIA],fevtotal30[[#Headers],[20]],tabela_registros[REGISTRO],DADOS!$N$4,tabela_registros[TIPO],DADOS!$P$4,tabela_registros[CATEGORIA],despesavariávelconsolidadofev[[#This Row],[DESPESA VARIÁVEL]])</f>
        <v>0</v>
      </c>
      <c r="Y64" s="119" t="n">
        <f aca="false">SUMIFS(tabela_registros[VALOR],tabela_registros[MÊS],$AE$1,tabela_registros[DIA],fevtotal30[[#Headers],[21]],tabela_registros[REGISTRO],DADOS!$N$4,tabela_registros[TIPO],DADOS!$P$4,tabela_registros[CATEGORIA],despesavariávelconsolidadofev[[#This Row],[DESPESA VARIÁVEL]])</f>
        <v>0</v>
      </c>
      <c r="Z64" s="119" t="n">
        <f aca="false">SUMIFS(tabela_registros[VALOR],tabela_registros[MÊS],$AE$1,tabela_registros[DIA],fevtotal30[[#Headers],[22]],tabela_registros[REGISTRO],DADOS!$N$4,tabela_registros[TIPO],DADOS!$P$4,tabela_registros[CATEGORIA],despesavariávelconsolidadofev[[#This Row],[DESPESA VARIÁVEL]])</f>
        <v>0</v>
      </c>
      <c r="AA64" s="119" t="n">
        <f aca="false">SUMIFS(tabela_registros[VALOR],tabela_registros[MÊS],$AE$1,tabela_registros[DIA],fevtotal30[[#Headers],[23]],tabela_registros[REGISTRO],DADOS!$N$4,tabela_registros[TIPO],DADOS!$P$4,tabela_registros[CATEGORIA],despesavariávelconsolidadofev[[#This Row],[DESPESA VARIÁVEL]])</f>
        <v>0</v>
      </c>
      <c r="AB64" s="119" t="n">
        <f aca="false">SUMIFS(tabela_registros[VALOR],tabela_registros[MÊS],$AE$1,tabela_registros[DIA],fevtotal30[[#Headers],[24]],tabela_registros[REGISTRO],DADOS!$N$4,tabela_registros[TIPO],DADOS!$P$4,tabela_registros[CATEGORIA],despesavariávelconsolidadofev[[#This Row],[DESPESA VARIÁVEL]])</f>
        <v>0</v>
      </c>
      <c r="AC64" s="119" t="n">
        <f aca="false">SUMIFS(tabela_registros[VALOR],tabela_registros[MÊS],$AE$1,tabela_registros[DIA],fevtotal30[[#Headers],[25]],tabela_registros[REGISTRO],DADOS!$N$4,tabela_registros[TIPO],DADOS!$P$4,tabela_registros[CATEGORIA],despesavariávelconsolidadofev[[#This Row],[DESPESA VARIÁVEL]])</f>
        <v>0</v>
      </c>
      <c r="AD64" s="119" t="n">
        <f aca="false">SUMIFS(tabela_registros[VALOR],tabela_registros[MÊS],$AE$1,tabela_registros[DIA],fevtotal30[[#Headers],[26]],tabela_registros[REGISTRO],DADOS!$N$4,tabela_registros[TIPO],DADOS!$P$4,tabela_registros[CATEGORIA],despesavariávelconsolidadofev[[#This Row],[DESPESA VARIÁVEL]])</f>
        <v>0</v>
      </c>
      <c r="AE64" s="119" t="n">
        <f aca="false">SUMIFS(tabela_registros[VALOR],tabela_registros[MÊS],$AE$1,tabela_registros[DIA],fevtotal30[[#Headers],[27]],tabela_registros[REGISTRO],DADOS!$N$4,tabela_registros[TIPO],DADOS!$P$4,tabela_registros[CATEGORIA],despesavariávelconsolidadofev[[#This Row],[DESPESA VARIÁVEL]])</f>
        <v>0</v>
      </c>
      <c r="AF64" s="119" t="n">
        <f aca="false">SUMIFS(tabela_registros[VALOR],tabela_registros[MÊS],$AE$1,tabela_registros[DIA],fevtotal30[[#Headers],[28]],tabela_registros[REGISTRO],DADOS!$N$4,tabela_registros[TIPO],DADOS!$P$4,tabela_registros[CATEGORIA],despesavariávelconsolidadofev[[#This Row],[DESPESA VARIÁVEL]])</f>
        <v>0</v>
      </c>
      <c r="AG64" s="119" t="n">
        <f aca="false">SUMIFS(tabela_registros[VALOR],tabela_registros[MÊS],$AE$1,tabela_registros[DIA],fevtotal30[[#Headers],[29]],tabela_registros[REGISTRO],DADOS!$N$4,tabela_registros[TIPO],DADOS!$P$4,tabela_registros[CATEGORIA],despesavariávelconsolidadofev[[#This Row],[DESPESA VARIÁVEL]])</f>
        <v>0</v>
      </c>
      <c r="AH64" s="119" t="n">
        <f aca="false">SUMIFS(tabela_registros[VALOR],tabela_registros[MÊS],$AE$1,tabela_registros[DIA],fevtotal30[[#Headers],[30]],tabela_registros[REGISTRO],DADOS!$N$4,tabela_registros[TIPO],DADOS!$P$4,tabela_registros[CATEGORIA],despesavariávelconsolidadofev[[#This Row],[DESPESA VARIÁVEL]])</f>
        <v>0</v>
      </c>
      <c r="AI64" s="217" t="n">
        <f aca="false">SUMIFS(tabela_registros[VALOR],tabela_registros[MÊS],$AE$1,tabela_registros[DIA],fevtotal30[[#Headers],[31]],tabela_registros[REGISTRO],DADOS!$N$4,tabela_registros[TIPO],DADOS!$P$4,tabela_registros[CATEGORIA],despesavariávelconsolidadofev[[#This Row],[DESPESA VARIÁVEL]])</f>
        <v>0</v>
      </c>
      <c r="AJ64" s="149" t="n">
        <f aca="false">SUM(despesavariávelconsolidadofev[[#This Row],[1]:[31]])</f>
        <v>0</v>
      </c>
      <c r="AK64" s="143"/>
    </row>
    <row r="65" customFormat="false" ht="18" hidden="false" customHeight="true" outlineLevel="0" collapsed="false">
      <c r="B65" s="143"/>
      <c r="C65" s="144" t="str">
        <f aca="false">DADOS!$T$8</f>
        <v>📖 EDUCAÇÃO</v>
      </c>
      <c r="D65" s="145" t="str">
        <f aca="false">IF(despesavariávelconsolidadofev[[#This Row],[TOTAL]]=0,"",IF(OR(despesavariávelconsolidadofev[[#This Row],[TOTAL]]=LARGE($AJ$60:$AJ$72,1),despesavariávelconsolidadofev[[#This Row],[TOTAL]]=LARGE($AJ$60:$AJ$72,2),despesavariávelconsolidadofev[[#This Row],[TOTAL]]=LARGE($AJ$60:$AJ$72,3),despesavariávelconsolidadofev[[#This Row],[TOTAL]]=LARGE($AJ$60:$AJ$72,4),despesavariávelconsolidadofev[[#This Row],[TOTAL]]=LARGE($AJ$60:$AJ$72,5)),DADOS!$I$8,""))</f>
        <v/>
      </c>
      <c r="E65" s="148" t="n">
        <f aca="false">SUMIFS(tabela_registros[VALOR],tabela_registros[MÊS],$AE$1,tabela_registros[DIA],fevtotal30[[#Headers],[1]],tabela_registros[REGISTRO],DADOS!$N$4,tabela_registros[TIPO],DADOS!$P$4,tabela_registros[CATEGORIA],despesavariávelconsolidadofev[[#This Row],[DESPESA VARIÁVEL]])</f>
        <v>0</v>
      </c>
      <c r="F65" s="119" t="n">
        <f aca="false">SUMIFS(tabela_registros[VALOR],tabela_registros[MÊS],$AE$1,tabela_registros[DIA],fevtotal30[[#Headers],[2]],tabela_registros[REGISTRO],DADOS!$N$4,tabela_registros[TIPO],DADOS!$P$4,tabela_registros[CATEGORIA],despesavariávelconsolidadofev[[#This Row],[DESPESA VARIÁVEL]])</f>
        <v>0</v>
      </c>
      <c r="G65" s="119" t="n">
        <f aca="false">SUMIFS(tabela_registros[VALOR],tabela_registros[MÊS],$AE$1,tabela_registros[DIA],fevtotal30[[#Headers],[3]],tabela_registros[REGISTRO],DADOS!$N$4,tabela_registros[TIPO],DADOS!$P$4,tabela_registros[CATEGORIA],despesavariávelconsolidadofev[[#This Row],[DESPESA VARIÁVEL]])</f>
        <v>0</v>
      </c>
      <c r="H65" s="119" t="n">
        <f aca="false">SUMIFS(tabela_registros[VALOR],tabela_registros[MÊS],$AE$1,tabela_registros[DIA],fevtotal30[[#Headers],[4]],tabela_registros[REGISTRO],DADOS!$N$4,tabela_registros[TIPO],DADOS!$P$4,tabela_registros[CATEGORIA],despesavariávelconsolidadofev[[#This Row],[DESPESA VARIÁVEL]])</f>
        <v>0</v>
      </c>
      <c r="I65" s="119" t="n">
        <f aca="false">SUMIFS(tabela_registros[VALOR],tabela_registros[MÊS],$AE$1,tabela_registros[DIA],fevtotal30[[#Headers],[5]],tabela_registros[REGISTRO],DADOS!$N$4,tabela_registros[TIPO],DADOS!$P$4,tabela_registros[CATEGORIA],despesavariávelconsolidadofev[[#This Row],[DESPESA VARIÁVEL]])</f>
        <v>0</v>
      </c>
      <c r="J65" s="119" t="n">
        <f aca="false">SUMIFS(tabela_registros[VALOR],tabela_registros[MÊS],$AE$1,tabela_registros[DIA],fevtotal30[[#Headers],[6]],tabela_registros[REGISTRO],DADOS!$N$4,tabela_registros[TIPO],DADOS!$P$4,tabela_registros[CATEGORIA],despesavariávelconsolidadofev[[#This Row],[DESPESA VARIÁVEL]])</f>
        <v>0</v>
      </c>
      <c r="K65" s="119" t="n">
        <f aca="false">SUMIFS(tabela_registros[VALOR],tabela_registros[MÊS],$AE$1,tabela_registros[DIA],fevtotal30[[#Headers],[7]],tabela_registros[REGISTRO],DADOS!$N$4,tabela_registros[TIPO],DADOS!$P$4,tabela_registros[CATEGORIA],despesavariávelconsolidadofev[[#This Row],[DESPESA VARIÁVEL]])</f>
        <v>0</v>
      </c>
      <c r="L65" s="119" t="n">
        <f aca="false">SUMIFS(tabela_registros[VALOR],tabela_registros[MÊS],$AE$1,tabela_registros[DIA],fevtotal30[[#Headers],[8]],tabela_registros[REGISTRO],DADOS!$N$4,tabela_registros[TIPO],DADOS!$P$4,tabela_registros[CATEGORIA],despesavariávelconsolidadofev[[#This Row],[DESPESA VARIÁVEL]])</f>
        <v>0</v>
      </c>
      <c r="M65" s="119" t="n">
        <f aca="false">SUMIFS(tabela_registros[VALOR],tabela_registros[MÊS],$AE$1,tabela_registros[DIA],fevtotal30[[#Headers],[9]],tabela_registros[REGISTRO],DADOS!$N$4,tabela_registros[TIPO],DADOS!$P$4,tabela_registros[CATEGORIA],despesavariávelconsolidadofev[[#This Row],[DESPESA VARIÁVEL]])</f>
        <v>0</v>
      </c>
      <c r="N65" s="119" t="n">
        <f aca="false">SUMIFS(tabela_registros[VALOR],tabela_registros[MÊS],$AE$1,tabela_registros[DIA],fevtotal30[[#Headers],[10]],tabela_registros[REGISTRO],DADOS!$N$4,tabela_registros[TIPO],DADOS!$P$4,tabela_registros[CATEGORIA],despesavariávelconsolidadofev[[#This Row],[DESPESA VARIÁVEL]])</f>
        <v>0</v>
      </c>
      <c r="O65" s="119" t="n">
        <f aca="false">SUMIFS(tabela_registros[VALOR],tabela_registros[MÊS],$AE$1,tabela_registros[DIA],fevtotal30[[#Headers],[11]],tabela_registros[REGISTRO],DADOS!$N$4,tabela_registros[TIPO],DADOS!$P$4,tabela_registros[CATEGORIA],despesavariávelconsolidadofev[[#This Row],[DESPESA VARIÁVEL]])</f>
        <v>0</v>
      </c>
      <c r="P65" s="119" t="n">
        <f aca="false">SUMIFS(tabela_registros[VALOR],tabela_registros[MÊS],$AE$1,tabela_registros[DIA],fevtotal30[[#Headers],[12]],tabela_registros[REGISTRO],DADOS!$N$4,tabela_registros[TIPO],DADOS!$P$4,tabela_registros[CATEGORIA],despesavariávelconsolidadofev[[#This Row],[DESPESA VARIÁVEL]])</f>
        <v>0</v>
      </c>
      <c r="Q65" s="119" t="n">
        <f aca="false">SUMIFS(tabela_registros[VALOR],tabela_registros[MÊS],$AE$1,tabela_registros[DIA],fevtotal30[[#Headers],[13]],tabela_registros[REGISTRO],DADOS!$N$4,tabela_registros[TIPO],DADOS!$P$4,tabela_registros[CATEGORIA],despesavariávelconsolidadofev[[#This Row],[DESPESA VARIÁVEL]])</f>
        <v>0</v>
      </c>
      <c r="R65" s="119" t="n">
        <f aca="false">SUMIFS(tabela_registros[VALOR],tabela_registros[MÊS],$AE$1,tabela_registros[DIA],fevtotal30[[#Headers],[14]],tabela_registros[REGISTRO],DADOS!$N$4,tabela_registros[TIPO],DADOS!$P$4,tabela_registros[CATEGORIA],despesavariávelconsolidadofev[[#This Row],[DESPESA VARIÁVEL]])</f>
        <v>0</v>
      </c>
      <c r="S65" s="119" t="n">
        <f aca="false">SUMIFS(tabela_registros[VALOR],tabela_registros[MÊS],$AE$1,tabela_registros[DIA],fevtotal30[[#Headers],[15]],tabela_registros[REGISTRO],DADOS!$N$4,tabela_registros[TIPO],DADOS!$P$4,tabela_registros[CATEGORIA],despesavariávelconsolidadofev[[#This Row],[DESPESA VARIÁVEL]])</f>
        <v>0</v>
      </c>
      <c r="T65" s="119" t="n">
        <f aca="false">SUMIFS(tabela_registros[VALOR],tabela_registros[MÊS],$AE$1,tabela_registros[DIA],fevtotal30[[#Headers],[16]],tabela_registros[REGISTRO],DADOS!$N$4,tabela_registros[TIPO],DADOS!$P$4,tabela_registros[CATEGORIA],despesavariávelconsolidadofev[[#This Row],[DESPESA VARIÁVEL]])</f>
        <v>0</v>
      </c>
      <c r="U65" s="119" t="n">
        <f aca="false">SUMIFS(tabela_registros[VALOR],tabela_registros[MÊS],$AE$1,tabela_registros[DIA],fevtotal30[[#Headers],[17]],tabela_registros[REGISTRO],DADOS!$N$4,tabela_registros[TIPO],DADOS!$P$4,tabela_registros[CATEGORIA],despesavariávelconsolidadofev[[#This Row],[DESPESA VARIÁVEL]])</f>
        <v>0</v>
      </c>
      <c r="V65" s="119" t="n">
        <f aca="false">SUMIFS(tabela_registros[VALOR],tabela_registros[MÊS],$AE$1,tabela_registros[DIA],fevtotal30[[#Headers],[18]],tabela_registros[REGISTRO],DADOS!$N$4,tabela_registros[TIPO],DADOS!$P$4,tabela_registros[CATEGORIA],despesavariávelconsolidadofev[[#This Row],[DESPESA VARIÁVEL]])</f>
        <v>0</v>
      </c>
      <c r="W65" s="119" t="n">
        <f aca="false">SUMIFS(tabela_registros[VALOR],tabela_registros[MÊS],$AE$1,tabela_registros[DIA],fevtotal30[[#Headers],[19]],tabela_registros[REGISTRO],DADOS!$N$4,tabela_registros[TIPO],DADOS!$P$4,tabela_registros[CATEGORIA],despesavariávelconsolidadofev[[#This Row],[DESPESA VARIÁVEL]])</f>
        <v>0</v>
      </c>
      <c r="X65" s="119" t="n">
        <f aca="false">SUMIFS(tabela_registros[VALOR],tabela_registros[MÊS],$AE$1,tabela_registros[DIA],fevtotal30[[#Headers],[20]],tabela_registros[REGISTRO],DADOS!$N$4,tabela_registros[TIPO],DADOS!$P$4,tabela_registros[CATEGORIA],despesavariávelconsolidadofev[[#This Row],[DESPESA VARIÁVEL]])</f>
        <v>0</v>
      </c>
      <c r="Y65" s="119" t="n">
        <f aca="false">SUMIFS(tabela_registros[VALOR],tabela_registros[MÊS],$AE$1,tabela_registros[DIA],fevtotal30[[#Headers],[21]],tabela_registros[REGISTRO],DADOS!$N$4,tabela_registros[TIPO],DADOS!$P$4,tabela_registros[CATEGORIA],despesavariávelconsolidadofev[[#This Row],[DESPESA VARIÁVEL]])</f>
        <v>0</v>
      </c>
      <c r="Z65" s="119" t="n">
        <f aca="false">SUMIFS(tabela_registros[VALOR],tabela_registros[MÊS],$AE$1,tabela_registros[DIA],fevtotal30[[#Headers],[22]],tabela_registros[REGISTRO],DADOS!$N$4,tabela_registros[TIPO],DADOS!$P$4,tabela_registros[CATEGORIA],despesavariávelconsolidadofev[[#This Row],[DESPESA VARIÁVEL]])</f>
        <v>0</v>
      </c>
      <c r="AA65" s="119" t="n">
        <f aca="false">SUMIFS(tabela_registros[VALOR],tabela_registros[MÊS],$AE$1,tabela_registros[DIA],fevtotal30[[#Headers],[23]],tabela_registros[REGISTRO],DADOS!$N$4,tabela_registros[TIPO],DADOS!$P$4,tabela_registros[CATEGORIA],despesavariávelconsolidadofev[[#This Row],[DESPESA VARIÁVEL]])</f>
        <v>0</v>
      </c>
      <c r="AB65" s="119" t="n">
        <f aca="false">SUMIFS(tabela_registros[VALOR],tabela_registros[MÊS],$AE$1,tabela_registros[DIA],fevtotal30[[#Headers],[24]],tabela_registros[REGISTRO],DADOS!$N$4,tabela_registros[TIPO],DADOS!$P$4,tabela_registros[CATEGORIA],despesavariávelconsolidadofev[[#This Row],[DESPESA VARIÁVEL]])</f>
        <v>0</v>
      </c>
      <c r="AC65" s="119" t="n">
        <f aca="false">SUMIFS(tabela_registros[VALOR],tabela_registros[MÊS],$AE$1,tabela_registros[DIA],fevtotal30[[#Headers],[25]],tabela_registros[REGISTRO],DADOS!$N$4,tabela_registros[TIPO],DADOS!$P$4,tabela_registros[CATEGORIA],despesavariávelconsolidadofev[[#This Row],[DESPESA VARIÁVEL]])</f>
        <v>0</v>
      </c>
      <c r="AD65" s="119" t="n">
        <f aca="false">SUMIFS(tabela_registros[VALOR],tabela_registros[MÊS],$AE$1,tabela_registros[DIA],fevtotal30[[#Headers],[26]],tabela_registros[REGISTRO],DADOS!$N$4,tabela_registros[TIPO],DADOS!$P$4,tabela_registros[CATEGORIA],despesavariávelconsolidadofev[[#This Row],[DESPESA VARIÁVEL]])</f>
        <v>0</v>
      </c>
      <c r="AE65" s="119" t="n">
        <f aca="false">SUMIFS(tabela_registros[VALOR],tabela_registros[MÊS],$AE$1,tabela_registros[DIA],fevtotal30[[#Headers],[27]],tabela_registros[REGISTRO],DADOS!$N$4,tabela_registros[TIPO],DADOS!$P$4,tabela_registros[CATEGORIA],despesavariávelconsolidadofev[[#This Row],[DESPESA VARIÁVEL]])</f>
        <v>0</v>
      </c>
      <c r="AF65" s="119" t="n">
        <f aca="false">SUMIFS(tabela_registros[VALOR],tabela_registros[MÊS],$AE$1,tabela_registros[DIA],fevtotal30[[#Headers],[28]],tabela_registros[REGISTRO],DADOS!$N$4,tabela_registros[TIPO],DADOS!$P$4,tabela_registros[CATEGORIA],despesavariávelconsolidadofev[[#This Row],[DESPESA VARIÁVEL]])</f>
        <v>0</v>
      </c>
      <c r="AG65" s="119" t="n">
        <f aca="false">SUMIFS(tabela_registros[VALOR],tabela_registros[MÊS],$AE$1,tabela_registros[DIA],fevtotal30[[#Headers],[29]],tabela_registros[REGISTRO],DADOS!$N$4,tabela_registros[TIPO],DADOS!$P$4,tabela_registros[CATEGORIA],despesavariávelconsolidadofev[[#This Row],[DESPESA VARIÁVEL]])</f>
        <v>0</v>
      </c>
      <c r="AH65" s="119" t="n">
        <f aca="false">SUMIFS(tabela_registros[VALOR],tabela_registros[MÊS],$AE$1,tabela_registros[DIA],fevtotal30[[#Headers],[30]],tabela_registros[REGISTRO],DADOS!$N$4,tabela_registros[TIPO],DADOS!$P$4,tabela_registros[CATEGORIA],despesavariávelconsolidadofev[[#This Row],[DESPESA VARIÁVEL]])</f>
        <v>0</v>
      </c>
      <c r="AI65" s="217" t="n">
        <f aca="false">SUMIFS(tabela_registros[VALOR],tabela_registros[MÊS],$AE$1,tabela_registros[DIA],fevtotal30[[#Headers],[31]],tabela_registros[REGISTRO],DADOS!$N$4,tabela_registros[TIPO],DADOS!$P$4,tabela_registros[CATEGORIA],despesavariávelconsolidadofev[[#This Row],[DESPESA VARIÁVEL]])</f>
        <v>0</v>
      </c>
      <c r="AJ65" s="149" t="n">
        <f aca="false">SUM(despesavariávelconsolidadofev[[#This Row],[1]:[31]])</f>
        <v>0</v>
      </c>
      <c r="AK65" s="143"/>
    </row>
    <row r="66" customFormat="false" ht="18" hidden="false" customHeight="true" outlineLevel="0" collapsed="false">
      <c r="B66" s="143"/>
      <c r="C66" s="144" t="str">
        <f aca="false">DADOS!$T$9</f>
        <v>🎭 LAZER</v>
      </c>
      <c r="D66" s="145" t="str">
        <f aca="false">IF(despesavariávelconsolidadofev[[#This Row],[TOTAL]]=0,"",IF(OR(despesavariávelconsolidadofev[[#This Row],[TOTAL]]=LARGE($AJ$60:$AJ$72,1),despesavariávelconsolidadofev[[#This Row],[TOTAL]]=LARGE($AJ$60:$AJ$72,2),despesavariávelconsolidadofev[[#This Row],[TOTAL]]=LARGE($AJ$60:$AJ$72,3),despesavariávelconsolidadofev[[#This Row],[TOTAL]]=LARGE($AJ$60:$AJ$72,4),despesavariávelconsolidadofev[[#This Row],[TOTAL]]=LARGE($AJ$60:$AJ$72,5)),DADOS!$I$8,""))</f>
        <v/>
      </c>
      <c r="E66" s="148" t="n">
        <f aca="false">SUMIFS(tabela_registros[VALOR],tabela_registros[MÊS],$AE$1,tabela_registros[DIA],fevtotal30[[#Headers],[1]],tabela_registros[REGISTRO],DADOS!$N$4,tabela_registros[TIPO],DADOS!$P$4,tabela_registros[CATEGORIA],despesavariávelconsolidadofev[[#This Row],[DESPESA VARIÁVEL]])</f>
        <v>0</v>
      </c>
      <c r="F66" s="119" t="n">
        <f aca="false">SUMIFS(tabela_registros[VALOR],tabela_registros[MÊS],$AE$1,tabela_registros[DIA],fevtotal30[[#Headers],[2]],tabela_registros[REGISTRO],DADOS!$N$4,tabela_registros[TIPO],DADOS!$P$4,tabela_registros[CATEGORIA],despesavariávelconsolidadofev[[#This Row],[DESPESA VARIÁVEL]])</f>
        <v>0</v>
      </c>
      <c r="G66" s="119" t="n">
        <f aca="false">SUMIFS(tabela_registros[VALOR],tabela_registros[MÊS],$AE$1,tabela_registros[DIA],fevtotal30[[#Headers],[3]],tabela_registros[REGISTRO],DADOS!$N$4,tabela_registros[TIPO],DADOS!$P$4,tabela_registros[CATEGORIA],despesavariávelconsolidadofev[[#This Row],[DESPESA VARIÁVEL]])</f>
        <v>0</v>
      </c>
      <c r="H66" s="119" t="n">
        <f aca="false">SUMIFS(tabela_registros[VALOR],tabela_registros[MÊS],$AE$1,tabela_registros[DIA],fevtotal30[[#Headers],[4]],tabela_registros[REGISTRO],DADOS!$N$4,tabela_registros[TIPO],DADOS!$P$4,tabela_registros[CATEGORIA],despesavariávelconsolidadofev[[#This Row],[DESPESA VARIÁVEL]])</f>
        <v>0</v>
      </c>
      <c r="I66" s="119" t="n">
        <f aca="false">SUMIFS(tabela_registros[VALOR],tabela_registros[MÊS],$AE$1,tabela_registros[DIA],fevtotal30[[#Headers],[5]],tabela_registros[REGISTRO],DADOS!$N$4,tabela_registros[TIPO],DADOS!$P$4,tabela_registros[CATEGORIA],despesavariávelconsolidadofev[[#This Row],[DESPESA VARIÁVEL]])</f>
        <v>0</v>
      </c>
      <c r="J66" s="119" t="n">
        <f aca="false">SUMIFS(tabela_registros[VALOR],tabela_registros[MÊS],$AE$1,tabela_registros[DIA],fevtotal30[[#Headers],[6]],tabela_registros[REGISTRO],DADOS!$N$4,tabela_registros[TIPO],DADOS!$P$4,tabela_registros[CATEGORIA],despesavariávelconsolidadofev[[#This Row],[DESPESA VARIÁVEL]])</f>
        <v>0</v>
      </c>
      <c r="K66" s="119" t="n">
        <f aca="false">SUMIFS(tabela_registros[VALOR],tabela_registros[MÊS],$AE$1,tabela_registros[DIA],fevtotal30[[#Headers],[7]],tabela_registros[REGISTRO],DADOS!$N$4,tabela_registros[TIPO],DADOS!$P$4,tabela_registros[CATEGORIA],despesavariávelconsolidadofev[[#This Row],[DESPESA VARIÁVEL]])</f>
        <v>0</v>
      </c>
      <c r="L66" s="119" t="n">
        <f aca="false">SUMIFS(tabela_registros[VALOR],tabela_registros[MÊS],$AE$1,tabela_registros[DIA],fevtotal30[[#Headers],[8]],tabela_registros[REGISTRO],DADOS!$N$4,tabela_registros[TIPO],DADOS!$P$4,tabela_registros[CATEGORIA],despesavariávelconsolidadofev[[#This Row],[DESPESA VARIÁVEL]])</f>
        <v>0</v>
      </c>
      <c r="M66" s="119" t="n">
        <f aca="false">SUMIFS(tabela_registros[VALOR],tabela_registros[MÊS],$AE$1,tabela_registros[DIA],fevtotal30[[#Headers],[9]],tabela_registros[REGISTRO],DADOS!$N$4,tabela_registros[TIPO],DADOS!$P$4,tabela_registros[CATEGORIA],despesavariávelconsolidadofev[[#This Row],[DESPESA VARIÁVEL]])</f>
        <v>0</v>
      </c>
      <c r="N66" s="119" t="n">
        <f aca="false">SUMIFS(tabela_registros[VALOR],tabela_registros[MÊS],$AE$1,tabela_registros[DIA],fevtotal30[[#Headers],[10]],tabela_registros[REGISTRO],DADOS!$N$4,tabela_registros[TIPO],DADOS!$P$4,tabela_registros[CATEGORIA],despesavariávelconsolidadofev[[#This Row],[DESPESA VARIÁVEL]])</f>
        <v>0</v>
      </c>
      <c r="O66" s="119" t="n">
        <f aca="false">SUMIFS(tabela_registros[VALOR],tabela_registros[MÊS],$AE$1,tabela_registros[DIA],fevtotal30[[#Headers],[11]],tabela_registros[REGISTRO],DADOS!$N$4,tabela_registros[TIPO],DADOS!$P$4,tabela_registros[CATEGORIA],despesavariávelconsolidadofev[[#This Row],[DESPESA VARIÁVEL]])</f>
        <v>0</v>
      </c>
      <c r="P66" s="119" t="n">
        <f aca="false">SUMIFS(tabela_registros[VALOR],tabela_registros[MÊS],$AE$1,tabela_registros[DIA],fevtotal30[[#Headers],[12]],tabela_registros[REGISTRO],DADOS!$N$4,tabela_registros[TIPO],DADOS!$P$4,tabela_registros[CATEGORIA],despesavariávelconsolidadofev[[#This Row],[DESPESA VARIÁVEL]])</f>
        <v>0</v>
      </c>
      <c r="Q66" s="119" t="n">
        <f aca="false">SUMIFS(tabela_registros[VALOR],tabela_registros[MÊS],$AE$1,tabela_registros[DIA],fevtotal30[[#Headers],[13]],tabela_registros[REGISTRO],DADOS!$N$4,tabela_registros[TIPO],DADOS!$P$4,tabela_registros[CATEGORIA],despesavariávelconsolidadofev[[#This Row],[DESPESA VARIÁVEL]])</f>
        <v>0</v>
      </c>
      <c r="R66" s="119" t="n">
        <f aca="false">SUMIFS(tabela_registros[VALOR],tabela_registros[MÊS],$AE$1,tabela_registros[DIA],fevtotal30[[#Headers],[14]],tabela_registros[REGISTRO],DADOS!$N$4,tabela_registros[TIPO],DADOS!$P$4,tabela_registros[CATEGORIA],despesavariávelconsolidadofev[[#This Row],[DESPESA VARIÁVEL]])</f>
        <v>0</v>
      </c>
      <c r="S66" s="119" t="n">
        <f aca="false">SUMIFS(tabela_registros[VALOR],tabela_registros[MÊS],$AE$1,tabela_registros[DIA],fevtotal30[[#Headers],[15]],tabela_registros[REGISTRO],DADOS!$N$4,tabela_registros[TIPO],DADOS!$P$4,tabela_registros[CATEGORIA],despesavariávelconsolidadofev[[#This Row],[DESPESA VARIÁVEL]])</f>
        <v>0</v>
      </c>
      <c r="T66" s="119" t="n">
        <f aca="false">SUMIFS(tabela_registros[VALOR],tabela_registros[MÊS],$AE$1,tabela_registros[DIA],fevtotal30[[#Headers],[16]],tabela_registros[REGISTRO],DADOS!$N$4,tabela_registros[TIPO],DADOS!$P$4,tabela_registros[CATEGORIA],despesavariávelconsolidadofev[[#This Row],[DESPESA VARIÁVEL]])</f>
        <v>0</v>
      </c>
      <c r="U66" s="119" t="n">
        <f aca="false">SUMIFS(tabela_registros[VALOR],tabela_registros[MÊS],$AE$1,tabela_registros[DIA],fevtotal30[[#Headers],[17]],tabela_registros[REGISTRO],DADOS!$N$4,tabela_registros[TIPO],DADOS!$P$4,tabela_registros[CATEGORIA],despesavariávelconsolidadofev[[#This Row],[DESPESA VARIÁVEL]])</f>
        <v>0</v>
      </c>
      <c r="V66" s="119" t="n">
        <f aca="false">SUMIFS(tabela_registros[VALOR],tabela_registros[MÊS],$AE$1,tabela_registros[DIA],fevtotal30[[#Headers],[18]],tabela_registros[REGISTRO],DADOS!$N$4,tabela_registros[TIPO],DADOS!$P$4,tabela_registros[CATEGORIA],despesavariávelconsolidadofev[[#This Row],[DESPESA VARIÁVEL]])</f>
        <v>0</v>
      </c>
      <c r="W66" s="119" t="n">
        <f aca="false">SUMIFS(tabela_registros[VALOR],tabela_registros[MÊS],$AE$1,tabela_registros[DIA],fevtotal30[[#Headers],[19]],tabela_registros[REGISTRO],DADOS!$N$4,tabela_registros[TIPO],DADOS!$P$4,tabela_registros[CATEGORIA],despesavariávelconsolidadofev[[#This Row],[DESPESA VARIÁVEL]])</f>
        <v>0</v>
      </c>
      <c r="X66" s="119" t="n">
        <f aca="false">SUMIFS(tabela_registros[VALOR],tabela_registros[MÊS],$AE$1,tabela_registros[DIA],fevtotal30[[#Headers],[20]],tabela_registros[REGISTRO],DADOS!$N$4,tabela_registros[TIPO],DADOS!$P$4,tabela_registros[CATEGORIA],despesavariávelconsolidadofev[[#This Row],[DESPESA VARIÁVEL]])</f>
        <v>0</v>
      </c>
      <c r="Y66" s="119" t="n">
        <f aca="false">SUMIFS(tabela_registros[VALOR],tabela_registros[MÊS],$AE$1,tabela_registros[DIA],fevtotal30[[#Headers],[21]],tabela_registros[REGISTRO],DADOS!$N$4,tabela_registros[TIPO],DADOS!$P$4,tabela_registros[CATEGORIA],despesavariávelconsolidadofev[[#This Row],[DESPESA VARIÁVEL]])</f>
        <v>0</v>
      </c>
      <c r="Z66" s="119" t="n">
        <f aca="false">SUMIFS(tabela_registros[VALOR],tabela_registros[MÊS],$AE$1,tabela_registros[DIA],fevtotal30[[#Headers],[22]],tabela_registros[REGISTRO],DADOS!$N$4,tabela_registros[TIPO],DADOS!$P$4,tabela_registros[CATEGORIA],despesavariávelconsolidadofev[[#This Row],[DESPESA VARIÁVEL]])</f>
        <v>0</v>
      </c>
      <c r="AA66" s="119" t="n">
        <f aca="false">SUMIFS(tabela_registros[VALOR],tabela_registros[MÊS],$AE$1,tabela_registros[DIA],fevtotal30[[#Headers],[23]],tabela_registros[REGISTRO],DADOS!$N$4,tabela_registros[TIPO],DADOS!$P$4,tabela_registros[CATEGORIA],despesavariávelconsolidadofev[[#This Row],[DESPESA VARIÁVEL]])</f>
        <v>0</v>
      </c>
      <c r="AB66" s="119" t="n">
        <f aca="false">SUMIFS(tabela_registros[VALOR],tabela_registros[MÊS],$AE$1,tabela_registros[DIA],fevtotal30[[#Headers],[24]],tabela_registros[REGISTRO],DADOS!$N$4,tabela_registros[TIPO],DADOS!$P$4,tabela_registros[CATEGORIA],despesavariávelconsolidadofev[[#This Row],[DESPESA VARIÁVEL]])</f>
        <v>0</v>
      </c>
      <c r="AC66" s="119" t="n">
        <f aca="false">SUMIFS(tabela_registros[VALOR],tabela_registros[MÊS],$AE$1,tabela_registros[DIA],fevtotal30[[#Headers],[25]],tabela_registros[REGISTRO],DADOS!$N$4,tabela_registros[TIPO],DADOS!$P$4,tabela_registros[CATEGORIA],despesavariávelconsolidadofev[[#This Row],[DESPESA VARIÁVEL]])</f>
        <v>0</v>
      </c>
      <c r="AD66" s="119" t="n">
        <f aca="false">SUMIFS(tabela_registros[VALOR],tabela_registros[MÊS],$AE$1,tabela_registros[DIA],fevtotal30[[#Headers],[26]],tabela_registros[REGISTRO],DADOS!$N$4,tabela_registros[TIPO],DADOS!$P$4,tabela_registros[CATEGORIA],despesavariávelconsolidadofev[[#This Row],[DESPESA VARIÁVEL]])</f>
        <v>0</v>
      </c>
      <c r="AE66" s="119" t="n">
        <f aca="false">SUMIFS(tabela_registros[VALOR],tabela_registros[MÊS],$AE$1,tabela_registros[DIA],fevtotal30[[#Headers],[27]],tabela_registros[REGISTRO],DADOS!$N$4,tabela_registros[TIPO],DADOS!$P$4,tabela_registros[CATEGORIA],despesavariávelconsolidadofev[[#This Row],[DESPESA VARIÁVEL]])</f>
        <v>0</v>
      </c>
      <c r="AF66" s="119" t="n">
        <f aca="false">SUMIFS(tabela_registros[VALOR],tabela_registros[MÊS],$AE$1,tabela_registros[DIA],fevtotal30[[#Headers],[28]],tabela_registros[REGISTRO],DADOS!$N$4,tabela_registros[TIPO],DADOS!$P$4,tabela_registros[CATEGORIA],despesavariávelconsolidadofev[[#This Row],[DESPESA VARIÁVEL]])</f>
        <v>0</v>
      </c>
      <c r="AG66" s="119" t="n">
        <f aca="false">SUMIFS(tabela_registros[VALOR],tabela_registros[MÊS],$AE$1,tabela_registros[DIA],fevtotal30[[#Headers],[29]],tabela_registros[REGISTRO],DADOS!$N$4,tabela_registros[TIPO],DADOS!$P$4,tabela_registros[CATEGORIA],despesavariávelconsolidadofev[[#This Row],[DESPESA VARIÁVEL]])</f>
        <v>0</v>
      </c>
      <c r="AH66" s="119" t="n">
        <f aca="false">SUMIFS(tabela_registros[VALOR],tabela_registros[MÊS],$AE$1,tabela_registros[DIA],fevtotal30[[#Headers],[30]],tabela_registros[REGISTRO],DADOS!$N$4,tabela_registros[TIPO],DADOS!$P$4,tabela_registros[CATEGORIA],despesavariávelconsolidadofev[[#This Row],[DESPESA VARIÁVEL]])</f>
        <v>0</v>
      </c>
      <c r="AI66" s="217" t="n">
        <f aca="false">SUMIFS(tabela_registros[VALOR],tabela_registros[MÊS],$AE$1,tabela_registros[DIA],fevtotal30[[#Headers],[31]],tabela_registros[REGISTRO],DADOS!$N$4,tabela_registros[TIPO],DADOS!$P$4,tabela_registros[CATEGORIA],despesavariávelconsolidadofev[[#This Row],[DESPESA VARIÁVEL]])</f>
        <v>0</v>
      </c>
      <c r="AJ66" s="149" t="n">
        <f aca="false">SUM(despesavariávelconsolidadofev[[#This Row],[1]:[31]])</f>
        <v>0</v>
      </c>
      <c r="AK66" s="143"/>
    </row>
    <row r="67" customFormat="false" ht="18" hidden="false" customHeight="true" outlineLevel="0" collapsed="false">
      <c r="B67" s="143"/>
      <c r="C67" s="144" t="str">
        <f aca="false">DADOS!$T$10</f>
        <v>🛒 MERCADO</v>
      </c>
      <c r="D67" s="145" t="str">
        <f aca="false">IF(despesavariávelconsolidadofev[[#This Row],[TOTAL]]=0,"",IF(OR(despesavariávelconsolidadofev[[#This Row],[TOTAL]]=LARGE($AJ$60:$AJ$72,1),despesavariávelconsolidadofev[[#This Row],[TOTAL]]=LARGE($AJ$60:$AJ$72,2),despesavariávelconsolidadofev[[#This Row],[TOTAL]]=LARGE($AJ$60:$AJ$72,3),despesavariávelconsolidadofev[[#This Row],[TOTAL]]=LARGE($AJ$60:$AJ$72,4),despesavariávelconsolidadofev[[#This Row],[TOTAL]]=LARGE($AJ$60:$AJ$72,5)),DADOS!$I$8,""))</f>
        <v/>
      </c>
      <c r="E67" s="148" t="n">
        <f aca="false">SUMIFS(tabela_registros[VALOR],tabela_registros[MÊS],$AE$1,tabela_registros[DIA],fevtotal30[[#Headers],[1]],tabela_registros[REGISTRO],DADOS!$N$4,tabela_registros[TIPO],DADOS!$P$4,tabela_registros[CATEGORIA],despesavariávelconsolidadofev[[#This Row],[DESPESA VARIÁVEL]])</f>
        <v>0</v>
      </c>
      <c r="F67" s="119" t="n">
        <f aca="false">SUMIFS(tabela_registros[VALOR],tabela_registros[MÊS],$AE$1,tabela_registros[DIA],fevtotal30[[#Headers],[2]],tabela_registros[REGISTRO],DADOS!$N$4,tabela_registros[TIPO],DADOS!$P$4,tabela_registros[CATEGORIA],despesavariávelconsolidadofev[[#This Row],[DESPESA VARIÁVEL]])</f>
        <v>0</v>
      </c>
      <c r="G67" s="119" t="n">
        <f aca="false">SUMIFS(tabela_registros[VALOR],tabela_registros[MÊS],$AE$1,tabela_registros[DIA],fevtotal30[[#Headers],[3]],tabela_registros[REGISTRO],DADOS!$N$4,tabela_registros[TIPO],DADOS!$P$4,tabela_registros[CATEGORIA],despesavariávelconsolidadofev[[#This Row],[DESPESA VARIÁVEL]])</f>
        <v>0</v>
      </c>
      <c r="H67" s="119" t="n">
        <f aca="false">SUMIFS(tabela_registros[VALOR],tabela_registros[MÊS],$AE$1,tabela_registros[DIA],fevtotal30[[#Headers],[4]],tabela_registros[REGISTRO],DADOS!$N$4,tabela_registros[TIPO],DADOS!$P$4,tabela_registros[CATEGORIA],despesavariávelconsolidadofev[[#This Row],[DESPESA VARIÁVEL]])</f>
        <v>0</v>
      </c>
      <c r="I67" s="119" t="n">
        <f aca="false">SUMIFS(tabela_registros[VALOR],tabela_registros[MÊS],$AE$1,tabela_registros[DIA],fevtotal30[[#Headers],[5]],tabela_registros[REGISTRO],DADOS!$N$4,tabela_registros[TIPO],DADOS!$P$4,tabela_registros[CATEGORIA],despesavariávelconsolidadofev[[#This Row],[DESPESA VARIÁVEL]])</f>
        <v>0</v>
      </c>
      <c r="J67" s="119" t="n">
        <f aca="false">SUMIFS(tabela_registros[VALOR],tabela_registros[MÊS],$AE$1,tabela_registros[DIA],fevtotal30[[#Headers],[6]],tabela_registros[REGISTRO],DADOS!$N$4,tabela_registros[TIPO],DADOS!$P$4,tabela_registros[CATEGORIA],despesavariávelconsolidadofev[[#This Row],[DESPESA VARIÁVEL]])</f>
        <v>0</v>
      </c>
      <c r="K67" s="119" t="n">
        <f aca="false">SUMIFS(tabela_registros[VALOR],tabela_registros[MÊS],$AE$1,tabela_registros[DIA],fevtotal30[[#Headers],[7]],tabela_registros[REGISTRO],DADOS!$N$4,tabela_registros[TIPO],DADOS!$P$4,tabela_registros[CATEGORIA],despesavariávelconsolidadofev[[#This Row],[DESPESA VARIÁVEL]])</f>
        <v>0</v>
      </c>
      <c r="L67" s="119" t="n">
        <f aca="false">SUMIFS(tabela_registros[VALOR],tabela_registros[MÊS],$AE$1,tabela_registros[DIA],fevtotal30[[#Headers],[8]],tabela_registros[REGISTRO],DADOS!$N$4,tabela_registros[TIPO],DADOS!$P$4,tabela_registros[CATEGORIA],despesavariávelconsolidadofev[[#This Row],[DESPESA VARIÁVEL]])</f>
        <v>0</v>
      </c>
      <c r="M67" s="119" t="n">
        <f aca="false">SUMIFS(tabela_registros[VALOR],tabela_registros[MÊS],$AE$1,tabela_registros[DIA],fevtotal30[[#Headers],[9]],tabela_registros[REGISTRO],DADOS!$N$4,tabela_registros[TIPO],DADOS!$P$4,tabela_registros[CATEGORIA],despesavariávelconsolidadofev[[#This Row],[DESPESA VARIÁVEL]])</f>
        <v>0</v>
      </c>
      <c r="N67" s="119" t="n">
        <f aca="false">SUMIFS(tabela_registros[VALOR],tabela_registros[MÊS],$AE$1,tabela_registros[DIA],fevtotal30[[#Headers],[10]],tabela_registros[REGISTRO],DADOS!$N$4,tabela_registros[TIPO],DADOS!$P$4,tabela_registros[CATEGORIA],despesavariávelconsolidadofev[[#This Row],[DESPESA VARIÁVEL]])</f>
        <v>0</v>
      </c>
      <c r="O67" s="119" t="n">
        <f aca="false">SUMIFS(tabela_registros[VALOR],tabela_registros[MÊS],$AE$1,tabela_registros[DIA],fevtotal30[[#Headers],[11]],tabela_registros[REGISTRO],DADOS!$N$4,tabela_registros[TIPO],DADOS!$P$4,tabela_registros[CATEGORIA],despesavariávelconsolidadofev[[#This Row],[DESPESA VARIÁVEL]])</f>
        <v>0</v>
      </c>
      <c r="P67" s="119" t="n">
        <f aca="false">SUMIFS(tabela_registros[VALOR],tabela_registros[MÊS],$AE$1,tabela_registros[DIA],fevtotal30[[#Headers],[12]],tabela_registros[REGISTRO],DADOS!$N$4,tabela_registros[TIPO],DADOS!$P$4,tabela_registros[CATEGORIA],despesavariávelconsolidadofev[[#This Row],[DESPESA VARIÁVEL]])</f>
        <v>0</v>
      </c>
      <c r="Q67" s="119" t="n">
        <f aca="false">SUMIFS(tabela_registros[VALOR],tabela_registros[MÊS],$AE$1,tabela_registros[DIA],fevtotal30[[#Headers],[13]],tabela_registros[REGISTRO],DADOS!$N$4,tabela_registros[TIPO],DADOS!$P$4,tabela_registros[CATEGORIA],despesavariávelconsolidadofev[[#This Row],[DESPESA VARIÁVEL]])</f>
        <v>0</v>
      </c>
      <c r="R67" s="119" t="n">
        <f aca="false">SUMIFS(tabela_registros[VALOR],tabela_registros[MÊS],$AE$1,tabela_registros[DIA],fevtotal30[[#Headers],[14]],tabela_registros[REGISTRO],DADOS!$N$4,tabela_registros[TIPO],DADOS!$P$4,tabela_registros[CATEGORIA],despesavariávelconsolidadofev[[#This Row],[DESPESA VARIÁVEL]])</f>
        <v>0</v>
      </c>
      <c r="S67" s="119" t="n">
        <f aca="false">SUMIFS(tabela_registros[VALOR],tabela_registros[MÊS],$AE$1,tabela_registros[DIA],fevtotal30[[#Headers],[15]],tabela_registros[REGISTRO],DADOS!$N$4,tabela_registros[TIPO],DADOS!$P$4,tabela_registros[CATEGORIA],despesavariávelconsolidadofev[[#This Row],[DESPESA VARIÁVEL]])</f>
        <v>0</v>
      </c>
      <c r="T67" s="119" t="n">
        <f aca="false">SUMIFS(tabela_registros[VALOR],tabela_registros[MÊS],$AE$1,tabela_registros[DIA],fevtotal30[[#Headers],[16]],tabela_registros[REGISTRO],DADOS!$N$4,tabela_registros[TIPO],DADOS!$P$4,tabela_registros[CATEGORIA],despesavariávelconsolidadofev[[#This Row],[DESPESA VARIÁVEL]])</f>
        <v>0</v>
      </c>
      <c r="U67" s="119" t="n">
        <f aca="false">SUMIFS(tabela_registros[VALOR],tabela_registros[MÊS],$AE$1,tabela_registros[DIA],fevtotal30[[#Headers],[17]],tabela_registros[REGISTRO],DADOS!$N$4,tabela_registros[TIPO],DADOS!$P$4,tabela_registros[CATEGORIA],despesavariávelconsolidadofev[[#This Row],[DESPESA VARIÁVEL]])</f>
        <v>0</v>
      </c>
      <c r="V67" s="119" t="n">
        <f aca="false">SUMIFS(tabela_registros[VALOR],tabela_registros[MÊS],$AE$1,tabela_registros[DIA],fevtotal30[[#Headers],[18]],tabela_registros[REGISTRO],DADOS!$N$4,tabela_registros[TIPO],DADOS!$P$4,tabela_registros[CATEGORIA],despesavariávelconsolidadofev[[#This Row],[DESPESA VARIÁVEL]])</f>
        <v>0</v>
      </c>
      <c r="W67" s="119" t="n">
        <f aca="false">SUMIFS(tabela_registros[VALOR],tabela_registros[MÊS],$AE$1,tabela_registros[DIA],fevtotal30[[#Headers],[19]],tabela_registros[REGISTRO],DADOS!$N$4,tabela_registros[TIPO],DADOS!$P$4,tabela_registros[CATEGORIA],despesavariávelconsolidadofev[[#This Row],[DESPESA VARIÁVEL]])</f>
        <v>0</v>
      </c>
      <c r="X67" s="119" t="n">
        <f aca="false">SUMIFS(tabela_registros[VALOR],tabela_registros[MÊS],$AE$1,tabela_registros[DIA],fevtotal30[[#Headers],[20]],tabela_registros[REGISTRO],DADOS!$N$4,tabela_registros[TIPO],DADOS!$P$4,tabela_registros[CATEGORIA],despesavariávelconsolidadofev[[#This Row],[DESPESA VARIÁVEL]])</f>
        <v>0</v>
      </c>
      <c r="Y67" s="119" t="n">
        <f aca="false">SUMIFS(tabela_registros[VALOR],tabela_registros[MÊS],$AE$1,tabela_registros[DIA],fevtotal30[[#Headers],[21]],tabela_registros[REGISTRO],DADOS!$N$4,tabela_registros[TIPO],DADOS!$P$4,tabela_registros[CATEGORIA],despesavariávelconsolidadofev[[#This Row],[DESPESA VARIÁVEL]])</f>
        <v>0</v>
      </c>
      <c r="Z67" s="119" t="n">
        <f aca="false">SUMIFS(tabela_registros[VALOR],tabela_registros[MÊS],$AE$1,tabela_registros[DIA],fevtotal30[[#Headers],[22]],tabela_registros[REGISTRO],DADOS!$N$4,tabela_registros[TIPO],DADOS!$P$4,tabela_registros[CATEGORIA],despesavariávelconsolidadofev[[#This Row],[DESPESA VARIÁVEL]])</f>
        <v>0</v>
      </c>
      <c r="AA67" s="119" t="n">
        <f aca="false">SUMIFS(tabela_registros[VALOR],tabela_registros[MÊS],$AE$1,tabela_registros[DIA],fevtotal30[[#Headers],[23]],tabela_registros[REGISTRO],DADOS!$N$4,tabela_registros[TIPO],DADOS!$P$4,tabela_registros[CATEGORIA],despesavariávelconsolidadofev[[#This Row],[DESPESA VARIÁVEL]])</f>
        <v>0</v>
      </c>
      <c r="AB67" s="119" t="n">
        <f aca="false">SUMIFS(tabela_registros[VALOR],tabela_registros[MÊS],$AE$1,tabela_registros[DIA],fevtotal30[[#Headers],[24]],tabela_registros[REGISTRO],DADOS!$N$4,tabela_registros[TIPO],DADOS!$P$4,tabela_registros[CATEGORIA],despesavariávelconsolidadofev[[#This Row],[DESPESA VARIÁVEL]])</f>
        <v>0</v>
      </c>
      <c r="AC67" s="119" t="n">
        <f aca="false">SUMIFS(tabela_registros[VALOR],tabela_registros[MÊS],$AE$1,tabela_registros[DIA],fevtotal30[[#Headers],[25]],tabela_registros[REGISTRO],DADOS!$N$4,tabela_registros[TIPO],DADOS!$P$4,tabela_registros[CATEGORIA],despesavariávelconsolidadofev[[#This Row],[DESPESA VARIÁVEL]])</f>
        <v>0</v>
      </c>
      <c r="AD67" s="119" t="n">
        <f aca="false">SUMIFS(tabela_registros[VALOR],tabela_registros[MÊS],$AE$1,tabela_registros[DIA],fevtotal30[[#Headers],[26]],tabela_registros[REGISTRO],DADOS!$N$4,tabela_registros[TIPO],DADOS!$P$4,tabela_registros[CATEGORIA],despesavariávelconsolidadofev[[#This Row],[DESPESA VARIÁVEL]])</f>
        <v>0</v>
      </c>
      <c r="AE67" s="119" t="n">
        <f aca="false">SUMIFS(tabela_registros[VALOR],tabela_registros[MÊS],$AE$1,tabela_registros[DIA],fevtotal30[[#Headers],[27]],tabela_registros[REGISTRO],DADOS!$N$4,tabela_registros[TIPO],DADOS!$P$4,tabela_registros[CATEGORIA],despesavariávelconsolidadofev[[#This Row],[DESPESA VARIÁVEL]])</f>
        <v>0</v>
      </c>
      <c r="AF67" s="119" t="n">
        <f aca="false">SUMIFS(tabela_registros[VALOR],tabela_registros[MÊS],$AE$1,tabela_registros[DIA],fevtotal30[[#Headers],[28]],tabela_registros[REGISTRO],DADOS!$N$4,tabela_registros[TIPO],DADOS!$P$4,tabela_registros[CATEGORIA],despesavariávelconsolidadofev[[#This Row],[DESPESA VARIÁVEL]])</f>
        <v>0</v>
      </c>
      <c r="AG67" s="119" t="n">
        <f aca="false">SUMIFS(tabela_registros[VALOR],tabela_registros[MÊS],$AE$1,tabela_registros[DIA],fevtotal30[[#Headers],[29]],tabela_registros[REGISTRO],DADOS!$N$4,tabela_registros[TIPO],DADOS!$P$4,tabela_registros[CATEGORIA],despesavariávelconsolidadofev[[#This Row],[DESPESA VARIÁVEL]])</f>
        <v>0</v>
      </c>
      <c r="AH67" s="119" t="n">
        <f aca="false">SUMIFS(tabela_registros[VALOR],tabela_registros[MÊS],$AE$1,tabela_registros[DIA],fevtotal30[[#Headers],[30]],tabela_registros[REGISTRO],DADOS!$N$4,tabela_registros[TIPO],DADOS!$P$4,tabela_registros[CATEGORIA],despesavariávelconsolidadofev[[#This Row],[DESPESA VARIÁVEL]])</f>
        <v>0</v>
      </c>
      <c r="AI67" s="217" t="n">
        <f aca="false">SUMIFS(tabela_registros[VALOR],tabela_registros[MÊS],$AE$1,tabela_registros[DIA],fevtotal30[[#Headers],[31]],tabela_registros[REGISTRO],DADOS!$N$4,tabela_registros[TIPO],DADOS!$P$4,tabela_registros[CATEGORIA],despesavariávelconsolidadofev[[#This Row],[DESPESA VARIÁVEL]])</f>
        <v>0</v>
      </c>
      <c r="AJ67" s="149" t="n">
        <f aca="false">SUM(despesavariávelconsolidadofev[[#This Row],[1]:[31]])</f>
        <v>0</v>
      </c>
      <c r="AK67" s="143"/>
    </row>
    <row r="68" customFormat="false" ht="18" hidden="false" customHeight="true" outlineLevel="0" collapsed="false">
      <c r="B68" s="143"/>
      <c r="C68" s="144" t="str">
        <f aca="false">DADOS!$T$11</f>
        <v>🎁 PRESENTES</v>
      </c>
      <c r="D68" s="145" t="str">
        <f aca="false">IF(despesavariávelconsolidadofev[[#This Row],[TOTAL]]=0,"",IF(OR(despesavariávelconsolidadofev[[#This Row],[TOTAL]]=LARGE($AJ$60:$AJ$72,1),despesavariávelconsolidadofev[[#This Row],[TOTAL]]=LARGE($AJ$60:$AJ$72,2),despesavariávelconsolidadofev[[#This Row],[TOTAL]]=LARGE($AJ$60:$AJ$72,3),despesavariávelconsolidadofev[[#This Row],[TOTAL]]=LARGE($AJ$60:$AJ$72,4),despesavariávelconsolidadofev[[#This Row],[TOTAL]]=LARGE($AJ$60:$AJ$72,5)),DADOS!$I$8,""))</f>
        <v/>
      </c>
      <c r="E68" s="148" t="n">
        <f aca="false">SUMIFS(tabela_registros[VALOR],tabela_registros[MÊS],$AE$1,tabela_registros[DIA],fevtotal30[[#Headers],[1]],tabela_registros[REGISTRO],DADOS!$N$4,tabela_registros[TIPO],DADOS!$P$4,tabela_registros[CATEGORIA],despesavariávelconsolidadofev[[#This Row],[DESPESA VARIÁVEL]])</f>
        <v>0</v>
      </c>
      <c r="F68" s="119" t="n">
        <f aca="false">SUMIFS(tabela_registros[VALOR],tabela_registros[MÊS],$AE$1,tabela_registros[DIA],fevtotal30[[#Headers],[2]],tabela_registros[REGISTRO],DADOS!$N$4,tabela_registros[TIPO],DADOS!$P$4,tabela_registros[CATEGORIA],despesavariávelconsolidadofev[[#This Row],[DESPESA VARIÁVEL]])</f>
        <v>0</v>
      </c>
      <c r="G68" s="119" t="n">
        <f aca="false">SUMIFS(tabela_registros[VALOR],tabela_registros[MÊS],$AE$1,tabela_registros[DIA],fevtotal30[[#Headers],[3]],tabela_registros[REGISTRO],DADOS!$N$4,tabela_registros[TIPO],DADOS!$P$4,tabela_registros[CATEGORIA],despesavariávelconsolidadofev[[#This Row],[DESPESA VARIÁVEL]])</f>
        <v>0</v>
      </c>
      <c r="H68" s="119" t="n">
        <f aca="false">SUMIFS(tabela_registros[VALOR],tabela_registros[MÊS],$AE$1,tabela_registros[DIA],fevtotal30[[#Headers],[4]],tabela_registros[REGISTRO],DADOS!$N$4,tabela_registros[TIPO],DADOS!$P$4,tabela_registros[CATEGORIA],despesavariávelconsolidadofev[[#This Row],[DESPESA VARIÁVEL]])</f>
        <v>0</v>
      </c>
      <c r="I68" s="119" t="n">
        <f aca="false">SUMIFS(tabela_registros[VALOR],tabela_registros[MÊS],$AE$1,tabela_registros[DIA],fevtotal30[[#Headers],[5]],tabela_registros[REGISTRO],DADOS!$N$4,tabela_registros[TIPO],DADOS!$P$4,tabela_registros[CATEGORIA],despesavariávelconsolidadofev[[#This Row],[DESPESA VARIÁVEL]])</f>
        <v>0</v>
      </c>
      <c r="J68" s="119" t="n">
        <f aca="false">SUMIFS(tabela_registros[VALOR],tabela_registros[MÊS],$AE$1,tabela_registros[DIA],fevtotal30[[#Headers],[6]],tabela_registros[REGISTRO],DADOS!$N$4,tabela_registros[TIPO],DADOS!$P$4,tabela_registros[CATEGORIA],despesavariávelconsolidadofev[[#This Row],[DESPESA VARIÁVEL]])</f>
        <v>0</v>
      </c>
      <c r="K68" s="119" t="n">
        <f aca="false">SUMIFS(tabela_registros[VALOR],tabela_registros[MÊS],$AE$1,tabela_registros[DIA],fevtotal30[[#Headers],[7]],tabela_registros[REGISTRO],DADOS!$N$4,tabela_registros[TIPO],DADOS!$P$4,tabela_registros[CATEGORIA],despesavariávelconsolidadofev[[#This Row],[DESPESA VARIÁVEL]])</f>
        <v>0</v>
      </c>
      <c r="L68" s="119" t="n">
        <f aca="false">SUMIFS(tabela_registros[VALOR],tabela_registros[MÊS],$AE$1,tabela_registros[DIA],fevtotal30[[#Headers],[8]],tabela_registros[REGISTRO],DADOS!$N$4,tabela_registros[TIPO],DADOS!$P$4,tabela_registros[CATEGORIA],despesavariávelconsolidadofev[[#This Row],[DESPESA VARIÁVEL]])</f>
        <v>0</v>
      </c>
      <c r="M68" s="119" t="n">
        <f aca="false">SUMIFS(tabela_registros[VALOR],tabela_registros[MÊS],$AE$1,tabela_registros[DIA],fevtotal30[[#Headers],[9]],tabela_registros[REGISTRO],DADOS!$N$4,tabela_registros[TIPO],DADOS!$P$4,tabela_registros[CATEGORIA],despesavariávelconsolidadofev[[#This Row],[DESPESA VARIÁVEL]])</f>
        <v>0</v>
      </c>
      <c r="N68" s="119" t="n">
        <f aca="false">SUMIFS(tabela_registros[VALOR],tabela_registros[MÊS],$AE$1,tabela_registros[DIA],fevtotal30[[#Headers],[10]],tabela_registros[REGISTRO],DADOS!$N$4,tabela_registros[TIPO],DADOS!$P$4,tabela_registros[CATEGORIA],despesavariávelconsolidadofev[[#This Row],[DESPESA VARIÁVEL]])</f>
        <v>0</v>
      </c>
      <c r="O68" s="119" t="n">
        <f aca="false">SUMIFS(tabela_registros[VALOR],tabela_registros[MÊS],$AE$1,tabela_registros[DIA],fevtotal30[[#Headers],[11]],tabela_registros[REGISTRO],DADOS!$N$4,tabela_registros[TIPO],DADOS!$P$4,tabela_registros[CATEGORIA],despesavariávelconsolidadofev[[#This Row],[DESPESA VARIÁVEL]])</f>
        <v>0</v>
      </c>
      <c r="P68" s="119" t="n">
        <f aca="false">SUMIFS(tabela_registros[VALOR],tabela_registros[MÊS],$AE$1,tabela_registros[DIA],fevtotal30[[#Headers],[12]],tabela_registros[REGISTRO],DADOS!$N$4,tabela_registros[TIPO],DADOS!$P$4,tabela_registros[CATEGORIA],despesavariávelconsolidadofev[[#This Row],[DESPESA VARIÁVEL]])</f>
        <v>0</v>
      </c>
      <c r="Q68" s="119" t="n">
        <f aca="false">SUMIFS(tabela_registros[VALOR],tabela_registros[MÊS],$AE$1,tabela_registros[DIA],fevtotal30[[#Headers],[13]],tabela_registros[REGISTRO],DADOS!$N$4,tabela_registros[TIPO],DADOS!$P$4,tabela_registros[CATEGORIA],despesavariávelconsolidadofev[[#This Row],[DESPESA VARIÁVEL]])</f>
        <v>0</v>
      </c>
      <c r="R68" s="119" t="n">
        <f aca="false">SUMIFS(tabela_registros[VALOR],tabela_registros[MÊS],$AE$1,tabela_registros[DIA],fevtotal30[[#Headers],[14]],tabela_registros[REGISTRO],DADOS!$N$4,tabela_registros[TIPO],DADOS!$P$4,tabela_registros[CATEGORIA],despesavariávelconsolidadofev[[#This Row],[DESPESA VARIÁVEL]])</f>
        <v>0</v>
      </c>
      <c r="S68" s="119" t="n">
        <f aca="false">SUMIFS(tabela_registros[VALOR],tabela_registros[MÊS],$AE$1,tabela_registros[DIA],fevtotal30[[#Headers],[15]],tabela_registros[REGISTRO],DADOS!$N$4,tabela_registros[TIPO],DADOS!$P$4,tabela_registros[CATEGORIA],despesavariávelconsolidadofev[[#This Row],[DESPESA VARIÁVEL]])</f>
        <v>0</v>
      </c>
      <c r="T68" s="119" t="n">
        <f aca="false">SUMIFS(tabela_registros[VALOR],tabela_registros[MÊS],$AE$1,tabela_registros[DIA],fevtotal30[[#Headers],[16]],tabela_registros[REGISTRO],DADOS!$N$4,tabela_registros[TIPO],DADOS!$P$4,tabela_registros[CATEGORIA],despesavariávelconsolidadofev[[#This Row],[DESPESA VARIÁVEL]])</f>
        <v>0</v>
      </c>
      <c r="U68" s="119" t="n">
        <f aca="false">SUMIFS(tabela_registros[VALOR],tabela_registros[MÊS],$AE$1,tabela_registros[DIA],fevtotal30[[#Headers],[17]],tabela_registros[REGISTRO],DADOS!$N$4,tabela_registros[TIPO],DADOS!$P$4,tabela_registros[CATEGORIA],despesavariávelconsolidadofev[[#This Row],[DESPESA VARIÁVEL]])</f>
        <v>0</v>
      </c>
      <c r="V68" s="119" t="n">
        <f aca="false">SUMIFS(tabela_registros[VALOR],tabela_registros[MÊS],$AE$1,tabela_registros[DIA],fevtotal30[[#Headers],[18]],tabela_registros[REGISTRO],DADOS!$N$4,tabela_registros[TIPO],DADOS!$P$4,tabela_registros[CATEGORIA],despesavariávelconsolidadofev[[#This Row],[DESPESA VARIÁVEL]])</f>
        <v>0</v>
      </c>
      <c r="W68" s="119" t="n">
        <f aca="false">SUMIFS(tabela_registros[VALOR],tabela_registros[MÊS],$AE$1,tabela_registros[DIA],fevtotal30[[#Headers],[19]],tabela_registros[REGISTRO],DADOS!$N$4,tabela_registros[TIPO],DADOS!$P$4,tabela_registros[CATEGORIA],despesavariávelconsolidadofev[[#This Row],[DESPESA VARIÁVEL]])</f>
        <v>0</v>
      </c>
      <c r="X68" s="119" t="n">
        <f aca="false">SUMIFS(tabela_registros[VALOR],tabela_registros[MÊS],$AE$1,tabela_registros[DIA],fevtotal30[[#Headers],[20]],tabela_registros[REGISTRO],DADOS!$N$4,tabela_registros[TIPO],DADOS!$P$4,tabela_registros[CATEGORIA],despesavariávelconsolidadofev[[#This Row],[DESPESA VARIÁVEL]])</f>
        <v>0</v>
      </c>
      <c r="Y68" s="119" t="n">
        <f aca="false">SUMIFS(tabela_registros[VALOR],tabela_registros[MÊS],$AE$1,tabela_registros[DIA],fevtotal30[[#Headers],[21]],tabela_registros[REGISTRO],DADOS!$N$4,tabela_registros[TIPO],DADOS!$P$4,tabela_registros[CATEGORIA],despesavariávelconsolidadofev[[#This Row],[DESPESA VARIÁVEL]])</f>
        <v>0</v>
      </c>
      <c r="Z68" s="119" t="n">
        <f aca="false">SUMIFS(tabela_registros[VALOR],tabela_registros[MÊS],$AE$1,tabela_registros[DIA],fevtotal30[[#Headers],[22]],tabela_registros[REGISTRO],DADOS!$N$4,tabela_registros[TIPO],DADOS!$P$4,tabela_registros[CATEGORIA],despesavariávelconsolidadofev[[#This Row],[DESPESA VARIÁVEL]])</f>
        <v>0</v>
      </c>
      <c r="AA68" s="119" t="n">
        <f aca="false">SUMIFS(tabela_registros[VALOR],tabela_registros[MÊS],$AE$1,tabela_registros[DIA],fevtotal30[[#Headers],[23]],tabela_registros[REGISTRO],DADOS!$N$4,tabela_registros[TIPO],DADOS!$P$4,tabela_registros[CATEGORIA],despesavariávelconsolidadofev[[#This Row],[DESPESA VARIÁVEL]])</f>
        <v>0</v>
      </c>
      <c r="AB68" s="119" t="n">
        <f aca="false">SUMIFS(tabela_registros[VALOR],tabela_registros[MÊS],$AE$1,tabela_registros[DIA],fevtotal30[[#Headers],[24]],tabela_registros[REGISTRO],DADOS!$N$4,tabela_registros[TIPO],DADOS!$P$4,tabela_registros[CATEGORIA],despesavariávelconsolidadofev[[#This Row],[DESPESA VARIÁVEL]])</f>
        <v>0</v>
      </c>
      <c r="AC68" s="119" t="n">
        <f aca="false">SUMIFS(tabela_registros[VALOR],tabela_registros[MÊS],$AE$1,tabela_registros[DIA],fevtotal30[[#Headers],[25]],tabela_registros[REGISTRO],DADOS!$N$4,tabela_registros[TIPO],DADOS!$P$4,tabela_registros[CATEGORIA],despesavariávelconsolidadofev[[#This Row],[DESPESA VARIÁVEL]])</f>
        <v>0</v>
      </c>
      <c r="AD68" s="119" t="n">
        <f aca="false">SUMIFS(tabela_registros[VALOR],tabela_registros[MÊS],$AE$1,tabela_registros[DIA],fevtotal30[[#Headers],[26]],tabela_registros[REGISTRO],DADOS!$N$4,tabela_registros[TIPO],DADOS!$P$4,tabela_registros[CATEGORIA],despesavariávelconsolidadofev[[#This Row],[DESPESA VARIÁVEL]])</f>
        <v>0</v>
      </c>
      <c r="AE68" s="119" t="n">
        <f aca="false">SUMIFS(tabela_registros[VALOR],tabela_registros[MÊS],$AE$1,tabela_registros[DIA],fevtotal30[[#Headers],[27]],tabela_registros[REGISTRO],DADOS!$N$4,tabela_registros[TIPO],DADOS!$P$4,tabela_registros[CATEGORIA],despesavariávelconsolidadofev[[#This Row],[DESPESA VARIÁVEL]])</f>
        <v>0</v>
      </c>
      <c r="AF68" s="119" t="n">
        <f aca="false">SUMIFS(tabela_registros[VALOR],tabela_registros[MÊS],$AE$1,tabela_registros[DIA],fevtotal30[[#Headers],[28]],tabela_registros[REGISTRO],DADOS!$N$4,tabela_registros[TIPO],DADOS!$P$4,tabela_registros[CATEGORIA],despesavariávelconsolidadofev[[#This Row],[DESPESA VARIÁVEL]])</f>
        <v>0</v>
      </c>
      <c r="AG68" s="119" t="n">
        <f aca="false">SUMIFS(tabela_registros[VALOR],tabela_registros[MÊS],$AE$1,tabela_registros[DIA],fevtotal30[[#Headers],[29]],tabela_registros[REGISTRO],DADOS!$N$4,tabela_registros[TIPO],DADOS!$P$4,tabela_registros[CATEGORIA],despesavariávelconsolidadofev[[#This Row],[DESPESA VARIÁVEL]])</f>
        <v>0</v>
      </c>
      <c r="AH68" s="119" t="n">
        <f aca="false">SUMIFS(tabela_registros[VALOR],tabela_registros[MÊS],$AE$1,tabela_registros[DIA],fevtotal30[[#Headers],[30]],tabela_registros[REGISTRO],DADOS!$N$4,tabela_registros[TIPO],DADOS!$P$4,tabela_registros[CATEGORIA],despesavariávelconsolidadofev[[#This Row],[DESPESA VARIÁVEL]])</f>
        <v>0</v>
      </c>
      <c r="AI68" s="217" t="n">
        <f aca="false">SUMIFS(tabela_registros[VALOR],tabela_registros[MÊS],$AE$1,tabela_registros[DIA],fevtotal30[[#Headers],[31]],tabela_registros[REGISTRO],DADOS!$N$4,tabela_registros[TIPO],DADOS!$P$4,tabela_registros[CATEGORIA],despesavariávelconsolidadofev[[#This Row],[DESPESA VARIÁVEL]])</f>
        <v>0</v>
      </c>
      <c r="AJ68" s="149" t="n">
        <f aca="false">SUM(despesavariávelconsolidadofev[[#This Row],[1]:[31]])</f>
        <v>0</v>
      </c>
      <c r="AK68" s="143"/>
    </row>
    <row r="69" customFormat="false" ht="18" hidden="false" customHeight="true" outlineLevel="0" collapsed="false">
      <c r="B69" s="143"/>
      <c r="C69" s="144" t="str">
        <f aca="false">DADOS!$T$12</f>
        <v>💊 SAÚDE</v>
      </c>
      <c r="D69" s="145" t="str">
        <f aca="false">IF(despesavariávelconsolidadofev[[#This Row],[TOTAL]]=0,"",IF(OR(despesavariávelconsolidadofev[[#This Row],[TOTAL]]=LARGE($AJ$60:$AJ$72,1),despesavariávelconsolidadofev[[#This Row],[TOTAL]]=LARGE($AJ$60:$AJ$72,2),despesavariávelconsolidadofev[[#This Row],[TOTAL]]=LARGE($AJ$60:$AJ$72,3),despesavariávelconsolidadofev[[#This Row],[TOTAL]]=LARGE($AJ$60:$AJ$72,4),despesavariávelconsolidadofev[[#This Row],[TOTAL]]=LARGE($AJ$60:$AJ$72,5)),DADOS!$I$8,""))</f>
        <v/>
      </c>
      <c r="E69" s="148" t="n">
        <f aca="false">SUMIFS(tabela_registros[VALOR],tabela_registros[MÊS],$AE$1,tabela_registros[DIA],fevtotal30[[#Headers],[1]],tabela_registros[REGISTRO],DADOS!$N$4,tabela_registros[TIPO],DADOS!$P$4,tabela_registros[CATEGORIA],despesavariávelconsolidadofev[[#This Row],[DESPESA VARIÁVEL]])</f>
        <v>0</v>
      </c>
      <c r="F69" s="119" t="n">
        <f aca="false">SUMIFS(tabela_registros[VALOR],tabela_registros[MÊS],$AE$1,tabela_registros[DIA],fevtotal30[[#Headers],[2]],tabela_registros[REGISTRO],DADOS!$N$4,tabela_registros[TIPO],DADOS!$P$4,tabela_registros[CATEGORIA],despesavariávelconsolidadofev[[#This Row],[DESPESA VARIÁVEL]])</f>
        <v>0</v>
      </c>
      <c r="G69" s="119" t="n">
        <f aca="false">SUMIFS(tabela_registros[VALOR],tabela_registros[MÊS],$AE$1,tabela_registros[DIA],fevtotal30[[#Headers],[3]],tabela_registros[REGISTRO],DADOS!$N$4,tabela_registros[TIPO],DADOS!$P$4,tabela_registros[CATEGORIA],despesavariávelconsolidadofev[[#This Row],[DESPESA VARIÁVEL]])</f>
        <v>0</v>
      </c>
      <c r="H69" s="119" t="n">
        <f aca="false">SUMIFS(tabela_registros[VALOR],tabela_registros[MÊS],$AE$1,tabela_registros[DIA],fevtotal30[[#Headers],[4]],tabela_registros[REGISTRO],DADOS!$N$4,tabela_registros[TIPO],DADOS!$P$4,tabela_registros[CATEGORIA],despesavariávelconsolidadofev[[#This Row],[DESPESA VARIÁVEL]])</f>
        <v>0</v>
      </c>
      <c r="I69" s="119" t="n">
        <f aca="false">SUMIFS(tabela_registros[VALOR],tabela_registros[MÊS],$AE$1,tabela_registros[DIA],fevtotal30[[#Headers],[5]],tabela_registros[REGISTRO],DADOS!$N$4,tabela_registros[TIPO],DADOS!$P$4,tabela_registros[CATEGORIA],despesavariávelconsolidadofev[[#This Row],[DESPESA VARIÁVEL]])</f>
        <v>0</v>
      </c>
      <c r="J69" s="119" t="n">
        <f aca="false">SUMIFS(tabela_registros[VALOR],tabela_registros[MÊS],$AE$1,tabela_registros[DIA],fevtotal30[[#Headers],[6]],tabela_registros[REGISTRO],DADOS!$N$4,tabela_registros[TIPO],DADOS!$P$4,tabela_registros[CATEGORIA],despesavariávelconsolidadofev[[#This Row],[DESPESA VARIÁVEL]])</f>
        <v>0</v>
      </c>
      <c r="K69" s="119" t="n">
        <f aca="false">SUMIFS(tabela_registros[VALOR],tabela_registros[MÊS],$AE$1,tabela_registros[DIA],fevtotal30[[#Headers],[7]],tabela_registros[REGISTRO],DADOS!$N$4,tabela_registros[TIPO],DADOS!$P$4,tabela_registros[CATEGORIA],despesavariávelconsolidadofev[[#This Row],[DESPESA VARIÁVEL]])</f>
        <v>0</v>
      </c>
      <c r="L69" s="119" t="n">
        <f aca="false">SUMIFS(tabela_registros[VALOR],tabela_registros[MÊS],$AE$1,tabela_registros[DIA],fevtotal30[[#Headers],[8]],tabela_registros[REGISTRO],DADOS!$N$4,tabela_registros[TIPO],DADOS!$P$4,tabela_registros[CATEGORIA],despesavariávelconsolidadofev[[#This Row],[DESPESA VARIÁVEL]])</f>
        <v>0</v>
      </c>
      <c r="M69" s="119" t="n">
        <f aca="false">SUMIFS(tabela_registros[VALOR],tabela_registros[MÊS],$AE$1,tabela_registros[DIA],fevtotal30[[#Headers],[9]],tabela_registros[REGISTRO],DADOS!$N$4,tabela_registros[TIPO],DADOS!$P$4,tabela_registros[CATEGORIA],despesavariávelconsolidadofev[[#This Row],[DESPESA VARIÁVEL]])</f>
        <v>0</v>
      </c>
      <c r="N69" s="119" t="n">
        <f aca="false">SUMIFS(tabela_registros[VALOR],tabela_registros[MÊS],$AE$1,tabela_registros[DIA],fevtotal30[[#Headers],[10]],tabela_registros[REGISTRO],DADOS!$N$4,tabela_registros[TIPO],DADOS!$P$4,tabela_registros[CATEGORIA],despesavariávelconsolidadofev[[#This Row],[DESPESA VARIÁVEL]])</f>
        <v>0</v>
      </c>
      <c r="O69" s="119" t="n">
        <f aca="false">SUMIFS(tabela_registros[VALOR],tabela_registros[MÊS],$AE$1,tabela_registros[DIA],fevtotal30[[#Headers],[11]],tabela_registros[REGISTRO],DADOS!$N$4,tabela_registros[TIPO],DADOS!$P$4,tabela_registros[CATEGORIA],despesavariávelconsolidadofev[[#This Row],[DESPESA VARIÁVEL]])</f>
        <v>0</v>
      </c>
      <c r="P69" s="119" t="n">
        <f aca="false">SUMIFS(tabela_registros[VALOR],tabela_registros[MÊS],$AE$1,tabela_registros[DIA],fevtotal30[[#Headers],[12]],tabela_registros[REGISTRO],DADOS!$N$4,tabela_registros[TIPO],DADOS!$P$4,tabela_registros[CATEGORIA],despesavariávelconsolidadofev[[#This Row],[DESPESA VARIÁVEL]])</f>
        <v>0</v>
      </c>
      <c r="Q69" s="119" t="n">
        <f aca="false">SUMIFS(tabela_registros[VALOR],tabela_registros[MÊS],$AE$1,tabela_registros[DIA],fevtotal30[[#Headers],[13]],tabela_registros[REGISTRO],DADOS!$N$4,tabela_registros[TIPO],DADOS!$P$4,tabela_registros[CATEGORIA],despesavariávelconsolidadofev[[#This Row],[DESPESA VARIÁVEL]])</f>
        <v>0</v>
      </c>
      <c r="R69" s="119" t="n">
        <f aca="false">SUMIFS(tabela_registros[VALOR],tabela_registros[MÊS],$AE$1,tabela_registros[DIA],fevtotal30[[#Headers],[14]],tabela_registros[REGISTRO],DADOS!$N$4,tabela_registros[TIPO],DADOS!$P$4,tabela_registros[CATEGORIA],despesavariávelconsolidadofev[[#This Row],[DESPESA VARIÁVEL]])</f>
        <v>0</v>
      </c>
      <c r="S69" s="119" t="n">
        <f aca="false">SUMIFS(tabela_registros[VALOR],tabela_registros[MÊS],$AE$1,tabela_registros[DIA],fevtotal30[[#Headers],[15]],tabela_registros[REGISTRO],DADOS!$N$4,tabela_registros[TIPO],DADOS!$P$4,tabela_registros[CATEGORIA],despesavariávelconsolidadofev[[#This Row],[DESPESA VARIÁVEL]])</f>
        <v>0</v>
      </c>
      <c r="T69" s="119" t="n">
        <f aca="false">SUMIFS(tabela_registros[VALOR],tabela_registros[MÊS],$AE$1,tabela_registros[DIA],fevtotal30[[#Headers],[16]],tabela_registros[REGISTRO],DADOS!$N$4,tabela_registros[TIPO],DADOS!$P$4,tabela_registros[CATEGORIA],despesavariávelconsolidadofev[[#This Row],[DESPESA VARIÁVEL]])</f>
        <v>0</v>
      </c>
      <c r="U69" s="119" t="n">
        <f aca="false">SUMIFS(tabela_registros[VALOR],tabela_registros[MÊS],$AE$1,tabela_registros[DIA],fevtotal30[[#Headers],[17]],tabela_registros[REGISTRO],DADOS!$N$4,tabela_registros[TIPO],DADOS!$P$4,tabela_registros[CATEGORIA],despesavariávelconsolidadofev[[#This Row],[DESPESA VARIÁVEL]])</f>
        <v>0</v>
      </c>
      <c r="V69" s="119" t="n">
        <f aca="false">SUMIFS(tabela_registros[VALOR],tabela_registros[MÊS],$AE$1,tabela_registros[DIA],fevtotal30[[#Headers],[18]],tabela_registros[REGISTRO],DADOS!$N$4,tabela_registros[TIPO],DADOS!$P$4,tabela_registros[CATEGORIA],despesavariávelconsolidadofev[[#This Row],[DESPESA VARIÁVEL]])</f>
        <v>0</v>
      </c>
      <c r="W69" s="119" t="n">
        <f aca="false">SUMIFS(tabela_registros[VALOR],tabela_registros[MÊS],$AE$1,tabela_registros[DIA],fevtotal30[[#Headers],[19]],tabela_registros[REGISTRO],DADOS!$N$4,tabela_registros[TIPO],DADOS!$P$4,tabela_registros[CATEGORIA],despesavariávelconsolidadofev[[#This Row],[DESPESA VARIÁVEL]])</f>
        <v>0</v>
      </c>
      <c r="X69" s="119" t="n">
        <f aca="false">SUMIFS(tabela_registros[VALOR],tabela_registros[MÊS],$AE$1,tabela_registros[DIA],fevtotal30[[#Headers],[20]],tabela_registros[REGISTRO],DADOS!$N$4,tabela_registros[TIPO],DADOS!$P$4,tabela_registros[CATEGORIA],despesavariávelconsolidadofev[[#This Row],[DESPESA VARIÁVEL]])</f>
        <v>0</v>
      </c>
      <c r="Y69" s="119" t="n">
        <f aca="false">SUMIFS(tabela_registros[VALOR],tabela_registros[MÊS],$AE$1,tabela_registros[DIA],fevtotal30[[#Headers],[21]],tabela_registros[REGISTRO],DADOS!$N$4,tabela_registros[TIPO],DADOS!$P$4,tabela_registros[CATEGORIA],despesavariávelconsolidadofev[[#This Row],[DESPESA VARIÁVEL]])</f>
        <v>0</v>
      </c>
      <c r="Z69" s="119" t="n">
        <f aca="false">SUMIFS(tabela_registros[VALOR],tabela_registros[MÊS],$AE$1,tabela_registros[DIA],fevtotal30[[#Headers],[22]],tabela_registros[REGISTRO],DADOS!$N$4,tabela_registros[TIPO],DADOS!$P$4,tabela_registros[CATEGORIA],despesavariávelconsolidadofev[[#This Row],[DESPESA VARIÁVEL]])</f>
        <v>0</v>
      </c>
      <c r="AA69" s="119" t="n">
        <f aca="false">SUMIFS(tabela_registros[VALOR],tabela_registros[MÊS],$AE$1,tabela_registros[DIA],fevtotal30[[#Headers],[23]],tabela_registros[REGISTRO],DADOS!$N$4,tabela_registros[TIPO],DADOS!$P$4,tabela_registros[CATEGORIA],despesavariávelconsolidadofev[[#This Row],[DESPESA VARIÁVEL]])</f>
        <v>0</v>
      </c>
      <c r="AB69" s="119" t="n">
        <f aca="false">SUMIFS(tabela_registros[VALOR],tabela_registros[MÊS],$AE$1,tabela_registros[DIA],fevtotal30[[#Headers],[24]],tabela_registros[REGISTRO],DADOS!$N$4,tabela_registros[TIPO],DADOS!$P$4,tabela_registros[CATEGORIA],despesavariávelconsolidadofev[[#This Row],[DESPESA VARIÁVEL]])</f>
        <v>0</v>
      </c>
      <c r="AC69" s="119" t="n">
        <f aca="false">SUMIFS(tabela_registros[VALOR],tabela_registros[MÊS],$AE$1,tabela_registros[DIA],fevtotal30[[#Headers],[25]],tabela_registros[REGISTRO],DADOS!$N$4,tabela_registros[TIPO],DADOS!$P$4,tabela_registros[CATEGORIA],despesavariávelconsolidadofev[[#This Row],[DESPESA VARIÁVEL]])</f>
        <v>0</v>
      </c>
      <c r="AD69" s="119" t="n">
        <f aca="false">SUMIFS(tabela_registros[VALOR],tabela_registros[MÊS],$AE$1,tabela_registros[DIA],fevtotal30[[#Headers],[26]],tabela_registros[REGISTRO],DADOS!$N$4,tabela_registros[TIPO],DADOS!$P$4,tabela_registros[CATEGORIA],despesavariávelconsolidadofev[[#This Row],[DESPESA VARIÁVEL]])</f>
        <v>0</v>
      </c>
      <c r="AE69" s="119" t="n">
        <f aca="false">SUMIFS(tabela_registros[VALOR],tabela_registros[MÊS],$AE$1,tabela_registros[DIA],fevtotal30[[#Headers],[27]],tabela_registros[REGISTRO],DADOS!$N$4,tabela_registros[TIPO],DADOS!$P$4,tabela_registros[CATEGORIA],despesavariávelconsolidadofev[[#This Row],[DESPESA VARIÁVEL]])</f>
        <v>0</v>
      </c>
      <c r="AF69" s="119" t="n">
        <f aca="false">SUMIFS(tabela_registros[VALOR],tabela_registros[MÊS],$AE$1,tabela_registros[DIA],fevtotal30[[#Headers],[28]],tabela_registros[REGISTRO],DADOS!$N$4,tabela_registros[TIPO],DADOS!$P$4,tabela_registros[CATEGORIA],despesavariávelconsolidadofev[[#This Row],[DESPESA VARIÁVEL]])</f>
        <v>0</v>
      </c>
      <c r="AG69" s="119" t="n">
        <f aca="false">SUMIFS(tabela_registros[VALOR],tabela_registros[MÊS],$AE$1,tabela_registros[DIA],fevtotal30[[#Headers],[29]],tabela_registros[REGISTRO],DADOS!$N$4,tabela_registros[TIPO],DADOS!$P$4,tabela_registros[CATEGORIA],despesavariávelconsolidadofev[[#This Row],[DESPESA VARIÁVEL]])</f>
        <v>0</v>
      </c>
      <c r="AH69" s="119" t="n">
        <f aca="false">SUMIFS(tabela_registros[VALOR],tabela_registros[MÊS],$AE$1,tabela_registros[DIA],fevtotal30[[#Headers],[30]],tabela_registros[REGISTRO],DADOS!$N$4,tabela_registros[TIPO],DADOS!$P$4,tabela_registros[CATEGORIA],despesavariávelconsolidadofev[[#This Row],[DESPESA VARIÁVEL]])</f>
        <v>0</v>
      </c>
      <c r="AI69" s="217" t="n">
        <f aca="false">SUMIFS(tabela_registros[VALOR],tabela_registros[MÊS],$AE$1,tabela_registros[DIA],fevtotal30[[#Headers],[31]],tabela_registros[REGISTRO],DADOS!$N$4,tabela_registros[TIPO],DADOS!$P$4,tabela_registros[CATEGORIA],despesavariávelconsolidadofev[[#This Row],[DESPESA VARIÁVEL]])</f>
        <v>0</v>
      </c>
      <c r="AJ69" s="149" t="n">
        <f aca="false">SUM(despesavariávelconsolidadofev[[#This Row],[1]:[31]])</f>
        <v>0</v>
      </c>
      <c r="AK69" s="143"/>
    </row>
    <row r="70" customFormat="false" ht="18" hidden="false" customHeight="true" outlineLevel="0" collapsed="false">
      <c r="B70" s="143"/>
      <c r="C70" s="144" t="str">
        <f aca="false">DADOS!$T$13</f>
        <v>🚍 TRANSPORTE</v>
      </c>
      <c r="D70" s="145" t="str">
        <f aca="false">IF(despesavariávelconsolidadofev[[#This Row],[TOTAL]]=0,"",IF(OR(despesavariávelconsolidadofev[[#This Row],[TOTAL]]=LARGE($AJ$60:$AJ$72,1),despesavariávelconsolidadofev[[#This Row],[TOTAL]]=LARGE($AJ$60:$AJ$72,2),despesavariávelconsolidadofev[[#This Row],[TOTAL]]=LARGE($AJ$60:$AJ$72,3),despesavariávelconsolidadofev[[#This Row],[TOTAL]]=LARGE($AJ$60:$AJ$72,4),despesavariávelconsolidadofev[[#This Row],[TOTAL]]=LARGE($AJ$60:$AJ$72,5)),DADOS!$I$8,""))</f>
        <v/>
      </c>
      <c r="E70" s="148" t="n">
        <f aca="false">SUMIFS(tabela_registros[VALOR],tabela_registros[MÊS],$AE$1,tabela_registros[DIA],fevtotal30[[#Headers],[1]],tabela_registros[REGISTRO],DADOS!$N$4,tabela_registros[TIPO],DADOS!$P$4,tabela_registros[CATEGORIA],despesavariávelconsolidadofev[[#This Row],[DESPESA VARIÁVEL]])</f>
        <v>0</v>
      </c>
      <c r="F70" s="119" t="n">
        <f aca="false">SUMIFS(tabela_registros[VALOR],tabela_registros[MÊS],$AE$1,tabela_registros[DIA],fevtotal30[[#Headers],[2]],tabela_registros[REGISTRO],DADOS!$N$4,tabela_registros[TIPO],DADOS!$P$4,tabela_registros[CATEGORIA],despesavariávelconsolidadofev[[#This Row],[DESPESA VARIÁVEL]])</f>
        <v>0</v>
      </c>
      <c r="G70" s="119" t="n">
        <f aca="false">SUMIFS(tabela_registros[VALOR],tabela_registros[MÊS],$AE$1,tabela_registros[DIA],fevtotal30[[#Headers],[3]],tabela_registros[REGISTRO],DADOS!$N$4,tabela_registros[TIPO],DADOS!$P$4,tabela_registros[CATEGORIA],despesavariávelconsolidadofev[[#This Row],[DESPESA VARIÁVEL]])</f>
        <v>0</v>
      </c>
      <c r="H70" s="119" t="n">
        <f aca="false">SUMIFS(tabela_registros[VALOR],tabela_registros[MÊS],$AE$1,tabela_registros[DIA],fevtotal30[[#Headers],[4]],tabela_registros[REGISTRO],DADOS!$N$4,tabela_registros[TIPO],DADOS!$P$4,tabela_registros[CATEGORIA],despesavariávelconsolidadofev[[#This Row],[DESPESA VARIÁVEL]])</f>
        <v>0</v>
      </c>
      <c r="I70" s="119" t="n">
        <f aca="false">SUMIFS(tabela_registros[VALOR],tabela_registros[MÊS],$AE$1,tabela_registros[DIA],fevtotal30[[#Headers],[5]],tabela_registros[REGISTRO],DADOS!$N$4,tabela_registros[TIPO],DADOS!$P$4,tabela_registros[CATEGORIA],despesavariávelconsolidadofev[[#This Row],[DESPESA VARIÁVEL]])</f>
        <v>0</v>
      </c>
      <c r="J70" s="119" t="n">
        <f aca="false">SUMIFS(tabela_registros[VALOR],tabela_registros[MÊS],$AE$1,tabela_registros[DIA],fevtotal30[[#Headers],[6]],tabela_registros[REGISTRO],DADOS!$N$4,tabela_registros[TIPO],DADOS!$P$4,tabela_registros[CATEGORIA],despesavariávelconsolidadofev[[#This Row],[DESPESA VARIÁVEL]])</f>
        <v>0</v>
      </c>
      <c r="K70" s="119" t="n">
        <f aca="false">SUMIFS(tabela_registros[VALOR],tabela_registros[MÊS],$AE$1,tabela_registros[DIA],fevtotal30[[#Headers],[7]],tabela_registros[REGISTRO],DADOS!$N$4,tabela_registros[TIPO],DADOS!$P$4,tabela_registros[CATEGORIA],despesavariávelconsolidadofev[[#This Row],[DESPESA VARIÁVEL]])</f>
        <v>0</v>
      </c>
      <c r="L70" s="119" t="n">
        <f aca="false">SUMIFS(tabela_registros[VALOR],tabela_registros[MÊS],$AE$1,tabela_registros[DIA],fevtotal30[[#Headers],[8]],tabela_registros[REGISTRO],DADOS!$N$4,tabela_registros[TIPO],DADOS!$P$4,tabela_registros[CATEGORIA],despesavariávelconsolidadofev[[#This Row],[DESPESA VARIÁVEL]])</f>
        <v>0</v>
      </c>
      <c r="M70" s="119" t="n">
        <f aca="false">SUMIFS(tabela_registros[VALOR],tabela_registros[MÊS],$AE$1,tabela_registros[DIA],fevtotal30[[#Headers],[9]],tabela_registros[REGISTRO],DADOS!$N$4,tabela_registros[TIPO],DADOS!$P$4,tabela_registros[CATEGORIA],despesavariávelconsolidadofev[[#This Row],[DESPESA VARIÁVEL]])</f>
        <v>0</v>
      </c>
      <c r="N70" s="119" t="n">
        <f aca="false">SUMIFS(tabela_registros[VALOR],tabela_registros[MÊS],$AE$1,tabela_registros[DIA],fevtotal30[[#Headers],[10]],tabela_registros[REGISTRO],DADOS!$N$4,tabela_registros[TIPO],DADOS!$P$4,tabela_registros[CATEGORIA],despesavariávelconsolidadofev[[#This Row],[DESPESA VARIÁVEL]])</f>
        <v>0</v>
      </c>
      <c r="O70" s="119" t="n">
        <f aca="false">SUMIFS(tabela_registros[VALOR],tabela_registros[MÊS],$AE$1,tabela_registros[DIA],fevtotal30[[#Headers],[11]],tabela_registros[REGISTRO],DADOS!$N$4,tabela_registros[TIPO],DADOS!$P$4,tabela_registros[CATEGORIA],despesavariávelconsolidadofev[[#This Row],[DESPESA VARIÁVEL]])</f>
        <v>0</v>
      </c>
      <c r="P70" s="119" t="n">
        <f aca="false">SUMIFS(tabela_registros[VALOR],tabela_registros[MÊS],$AE$1,tabela_registros[DIA],fevtotal30[[#Headers],[12]],tabela_registros[REGISTRO],DADOS!$N$4,tabela_registros[TIPO],DADOS!$P$4,tabela_registros[CATEGORIA],despesavariávelconsolidadofev[[#This Row],[DESPESA VARIÁVEL]])</f>
        <v>0</v>
      </c>
      <c r="Q70" s="119" t="n">
        <f aca="false">SUMIFS(tabela_registros[VALOR],tabela_registros[MÊS],$AE$1,tabela_registros[DIA],fevtotal30[[#Headers],[13]],tabela_registros[REGISTRO],DADOS!$N$4,tabela_registros[TIPO],DADOS!$P$4,tabela_registros[CATEGORIA],despesavariávelconsolidadofev[[#This Row],[DESPESA VARIÁVEL]])</f>
        <v>0</v>
      </c>
      <c r="R70" s="119" t="n">
        <f aca="false">SUMIFS(tabela_registros[VALOR],tabela_registros[MÊS],$AE$1,tabela_registros[DIA],fevtotal30[[#Headers],[14]],tabela_registros[REGISTRO],DADOS!$N$4,tabela_registros[TIPO],DADOS!$P$4,tabela_registros[CATEGORIA],despesavariávelconsolidadofev[[#This Row],[DESPESA VARIÁVEL]])</f>
        <v>0</v>
      </c>
      <c r="S70" s="119" t="n">
        <f aca="false">SUMIFS(tabela_registros[VALOR],tabela_registros[MÊS],$AE$1,tabela_registros[DIA],fevtotal30[[#Headers],[15]],tabela_registros[REGISTRO],DADOS!$N$4,tabela_registros[TIPO],DADOS!$P$4,tabela_registros[CATEGORIA],despesavariávelconsolidadofev[[#This Row],[DESPESA VARIÁVEL]])</f>
        <v>0</v>
      </c>
      <c r="T70" s="119" t="n">
        <f aca="false">SUMIFS(tabela_registros[VALOR],tabela_registros[MÊS],$AE$1,tabela_registros[DIA],fevtotal30[[#Headers],[16]],tabela_registros[REGISTRO],DADOS!$N$4,tabela_registros[TIPO],DADOS!$P$4,tabela_registros[CATEGORIA],despesavariávelconsolidadofev[[#This Row],[DESPESA VARIÁVEL]])</f>
        <v>0</v>
      </c>
      <c r="U70" s="119" t="n">
        <f aca="false">SUMIFS(tabela_registros[VALOR],tabela_registros[MÊS],$AE$1,tabela_registros[DIA],fevtotal30[[#Headers],[17]],tabela_registros[REGISTRO],DADOS!$N$4,tabela_registros[TIPO],DADOS!$P$4,tabela_registros[CATEGORIA],despesavariávelconsolidadofev[[#This Row],[DESPESA VARIÁVEL]])</f>
        <v>0</v>
      </c>
      <c r="V70" s="119" t="n">
        <f aca="false">SUMIFS(tabela_registros[VALOR],tabela_registros[MÊS],$AE$1,tabela_registros[DIA],fevtotal30[[#Headers],[18]],tabela_registros[REGISTRO],DADOS!$N$4,tabela_registros[TIPO],DADOS!$P$4,tabela_registros[CATEGORIA],despesavariávelconsolidadofev[[#This Row],[DESPESA VARIÁVEL]])</f>
        <v>0</v>
      </c>
      <c r="W70" s="119" t="n">
        <f aca="false">SUMIFS(tabela_registros[VALOR],tabela_registros[MÊS],$AE$1,tabela_registros[DIA],fevtotal30[[#Headers],[19]],tabela_registros[REGISTRO],DADOS!$N$4,tabela_registros[TIPO],DADOS!$P$4,tabela_registros[CATEGORIA],despesavariávelconsolidadofev[[#This Row],[DESPESA VARIÁVEL]])</f>
        <v>0</v>
      </c>
      <c r="X70" s="119" t="n">
        <f aca="false">SUMIFS(tabela_registros[VALOR],tabela_registros[MÊS],$AE$1,tabela_registros[DIA],fevtotal30[[#Headers],[20]],tabela_registros[REGISTRO],DADOS!$N$4,tabela_registros[TIPO],DADOS!$P$4,tabela_registros[CATEGORIA],despesavariávelconsolidadofev[[#This Row],[DESPESA VARIÁVEL]])</f>
        <v>0</v>
      </c>
      <c r="Y70" s="119" t="n">
        <f aca="false">SUMIFS(tabela_registros[VALOR],tabela_registros[MÊS],$AE$1,tabela_registros[DIA],fevtotal30[[#Headers],[21]],tabela_registros[REGISTRO],DADOS!$N$4,tabela_registros[TIPO],DADOS!$P$4,tabela_registros[CATEGORIA],despesavariávelconsolidadofev[[#This Row],[DESPESA VARIÁVEL]])</f>
        <v>0</v>
      </c>
      <c r="Z70" s="119" t="n">
        <f aca="false">SUMIFS(tabela_registros[VALOR],tabela_registros[MÊS],$AE$1,tabela_registros[DIA],fevtotal30[[#Headers],[22]],tabela_registros[REGISTRO],DADOS!$N$4,tabela_registros[TIPO],DADOS!$P$4,tabela_registros[CATEGORIA],despesavariávelconsolidadofev[[#This Row],[DESPESA VARIÁVEL]])</f>
        <v>0</v>
      </c>
      <c r="AA70" s="119" t="n">
        <f aca="false">SUMIFS(tabela_registros[VALOR],tabela_registros[MÊS],$AE$1,tabela_registros[DIA],fevtotal30[[#Headers],[23]],tabela_registros[REGISTRO],DADOS!$N$4,tabela_registros[TIPO],DADOS!$P$4,tabela_registros[CATEGORIA],despesavariávelconsolidadofev[[#This Row],[DESPESA VARIÁVEL]])</f>
        <v>0</v>
      </c>
      <c r="AB70" s="119" t="n">
        <f aca="false">SUMIFS(tabela_registros[VALOR],tabela_registros[MÊS],$AE$1,tabela_registros[DIA],fevtotal30[[#Headers],[24]],tabela_registros[REGISTRO],DADOS!$N$4,tabela_registros[TIPO],DADOS!$P$4,tabela_registros[CATEGORIA],despesavariávelconsolidadofev[[#This Row],[DESPESA VARIÁVEL]])</f>
        <v>0</v>
      </c>
      <c r="AC70" s="119" t="n">
        <f aca="false">SUMIFS(tabela_registros[VALOR],tabela_registros[MÊS],$AE$1,tabela_registros[DIA],fevtotal30[[#Headers],[25]],tabela_registros[REGISTRO],DADOS!$N$4,tabela_registros[TIPO],DADOS!$P$4,tabela_registros[CATEGORIA],despesavariávelconsolidadofev[[#This Row],[DESPESA VARIÁVEL]])</f>
        <v>0</v>
      </c>
      <c r="AD70" s="119" t="n">
        <f aca="false">SUMIFS(tabela_registros[VALOR],tabela_registros[MÊS],$AE$1,tabela_registros[DIA],fevtotal30[[#Headers],[26]],tabela_registros[REGISTRO],DADOS!$N$4,tabela_registros[TIPO],DADOS!$P$4,tabela_registros[CATEGORIA],despesavariávelconsolidadofev[[#This Row],[DESPESA VARIÁVEL]])</f>
        <v>0</v>
      </c>
      <c r="AE70" s="119" t="n">
        <f aca="false">SUMIFS(tabela_registros[VALOR],tabela_registros[MÊS],$AE$1,tabela_registros[DIA],fevtotal30[[#Headers],[27]],tabela_registros[REGISTRO],DADOS!$N$4,tabela_registros[TIPO],DADOS!$P$4,tabela_registros[CATEGORIA],despesavariávelconsolidadofev[[#This Row],[DESPESA VARIÁVEL]])</f>
        <v>0</v>
      </c>
      <c r="AF70" s="119" t="n">
        <f aca="false">SUMIFS(tabela_registros[VALOR],tabela_registros[MÊS],$AE$1,tabela_registros[DIA],fevtotal30[[#Headers],[28]],tabela_registros[REGISTRO],DADOS!$N$4,tabela_registros[TIPO],DADOS!$P$4,tabela_registros[CATEGORIA],despesavariávelconsolidadofev[[#This Row],[DESPESA VARIÁVEL]])</f>
        <v>0</v>
      </c>
      <c r="AG70" s="119" t="n">
        <f aca="false">SUMIFS(tabela_registros[VALOR],tabela_registros[MÊS],$AE$1,tabela_registros[DIA],fevtotal30[[#Headers],[29]],tabela_registros[REGISTRO],DADOS!$N$4,tabela_registros[TIPO],DADOS!$P$4,tabela_registros[CATEGORIA],despesavariávelconsolidadofev[[#This Row],[DESPESA VARIÁVEL]])</f>
        <v>0</v>
      </c>
      <c r="AH70" s="119" t="n">
        <f aca="false">SUMIFS(tabela_registros[VALOR],tabela_registros[MÊS],$AE$1,tabela_registros[DIA],fevtotal30[[#Headers],[30]],tabela_registros[REGISTRO],DADOS!$N$4,tabela_registros[TIPO],DADOS!$P$4,tabela_registros[CATEGORIA],despesavariávelconsolidadofev[[#This Row],[DESPESA VARIÁVEL]])</f>
        <v>0</v>
      </c>
      <c r="AI70" s="217" t="n">
        <f aca="false">SUMIFS(tabela_registros[VALOR],tabela_registros[MÊS],$AE$1,tabela_registros[DIA],fevtotal30[[#Headers],[31]],tabela_registros[REGISTRO],DADOS!$N$4,tabela_registros[TIPO],DADOS!$P$4,tabela_registros[CATEGORIA],despesavariávelconsolidadofev[[#This Row],[DESPESA VARIÁVEL]])</f>
        <v>0</v>
      </c>
      <c r="AJ70" s="149" t="n">
        <f aca="false">SUM(despesavariávelconsolidadofev[[#This Row],[1]:[31]])</f>
        <v>0</v>
      </c>
      <c r="AK70" s="143"/>
    </row>
    <row r="71" customFormat="false" ht="18" hidden="false" customHeight="true" outlineLevel="0" collapsed="false">
      <c r="B71" s="143"/>
      <c r="C71" s="144" t="str">
        <f aca="false">DADOS!$T$14</f>
        <v>🛍️ VESTUÁRIO</v>
      </c>
      <c r="D71" s="145" t="str">
        <f aca="false">IF(despesavariávelconsolidadofev[[#This Row],[TOTAL]]=0,"",IF(OR(despesavariávelconsolidadofev[[#This Row],[TOTAL]]=LARGE($AJ$60:$AJ$72,1),despesavariávelconsolidadofev[[#This Row],[TOTAL]]=LARGE($AJ$60:$AJ$72,2),despesavariávelconsolidadofev[[#This Row],[TOTAL]]=LARGE($AJ$60:$AJ$72,3),despesavariávelconsolidadofev[[#This Row],[TOTAL]]=LARGE($AJ$60:$AJ$72,4),despesavariávelconsolidadofev[[#This Row],[TOTAL]]=LARGE($AJ$60:$AJ$72,5)),DADOS!$I$8,""))</f>
        <v/>
      </c>
      <c r="E71" s="148" t="n">
        <f aca="false">SUMIFS(tabela_registros[VALOR],tabela_registros[MÊS],$AE$1,tabela_registros[DIA],fevtotal30[[#Headers],[1]],tabela_registros[REGISTRO],DADOS!$N$4,tabela_registros[TIPO],DADOS!$P$4,tabela_registros[CATEGORIA],despesavariávelconsolidadofev[[#This Row],[DESPESA VARIÁVEL]])</f>
        <v>0</v>
      </c>
      <c r="F71" s="119" t="n">
        <f aca="false">SUMIFS(tabela_registros[VALOR],tabela_registros[MÊS],$AE$1,tabela_registros[DIA],fevtotal30[[#Headers],[2]],tabela_registros[REGISTRO],DADOS!$N$4,tabela_registros[TIPO],DADOS!$P$4,tabela_registros[CATEGORIA],despesavariávelconsolidadofev[[#This Row],[DESPESA VARIÁVEL]])</f>
        <v>0</v>
      </c>
      <c r="G71" s="119" t="n">
        <f aca="false">SUMIFS(tabela_registros[VALOR],tabela_registros[MÊS],$AE$1,tabela_registros[DIA],fevtotal30[[#Headers],[3]],tabela_registros[REGISTRO],DADOS!$N$4,tabela_registros[TIPO],DADOS!$P$4,tabela_registros[CATEGORIA],despesavariávelconsolidadofev[[#This Row],[DESPESA VARIÁVEL]])</f>
        <v>0</v>
      </c>
      <c r="H71" s="119" t="n">
        <f aca="false">SUMIFS(tabela_registros[VALOR],tabela_registros[MÊS],$AE$1,tabela_registros[DIA],fevtotal30[[#Headers],[4]],tabela_registros[REGISTRO],DADOS!$N$4,tabela_registros[TIPO],DADOS!$P$4,tabela_registros[CATEGORIA],despesavariávelconsolidadofev[[#This Row],[DESPESA VARIÁVEL]])</f>
        <v>0</v>
      </c>
      <c r="I71" s="119" t="n">
        <f aca="false">SUMIFS(tabela_registros[VALOR],tabela_registros[MÊS],$AE$1,tabela_registros[DIA],fevtotal30[[#Headers],[5]],tabela_registros[REGISTRO],DADOS!$N$4,tabela_registros[TIPO],DADOS!$P$4,tabela_registros[CATEGORIA],despesavariávelconsolidadofev[[#This Row],[DESPESA VARIÁVEL]])</f>
        <v>0</v>
      </c>
      <c r="J71" s="119" t="n">
        <f aca="false">SUMIFS(tabela_registros[VALOR],tabela_registros[MÊS],$AE$1,tabela_registros[DIA],fevtotal30[[#Headers],[6]],tabela_registros[REGISTRO],DADOS!$N$4,tabela_registros[TIPO],DADOS!$P$4,tabela_registros[CATEGORIA],despesavariávelconsolidadofev[[#This Row],[DESPESA VARIÁVEL]])</f>
        <v>0</v>
      </c>
      <c r="K71" s="119" t="n">
        <f aca="false">SUMIFS(tabela_registros[VALOR],tabela_registros[MÊS],$AE$1,tabela_registros[DIA],fevtotal30[[#Headers],[7]],tabela_registros[REGISTRO],DADOS!$N$4,tabela_registros[TIPO],DADOS!$P$4,tabela_registros[CATEGORIA],despesavariávelconsolidadofev[[#This Row],[DESPESA VARIÁVEL]])</f>
        <v>0</v>
      </c>
      <c r="L71" s="119" t="n">
        <f aca="false">SUMIFS(tabela_registros[VALOR],tabela_registros[MÊS],$AE$1,tabela_registros[DIA],fevtotal30[[#Headers],[8]],tabela_registros[REGISTRO],DADOS!$N$4,tabela_registros[TIPO],DADOS!$P$4,tabela_registros[CATEGORIA],despesavariávelconsolidadofev[[#This Row],[DESPESA VARIÁVEL]])</f>
        <v>0</v>
      </c>
      <c r="M71" s="119" t="n">
        <f aca="false">SUMIFS(tabela_registros[VALOR],tabela_registros[MÊS],$AE$1,tabela_registros[DIA],fevtotal30[[#Headers],[9]],tabela_registros[REGISTRO],DADOS!$N$4,tabela_registros[TIPO],DADOS!$P$4,tabela_registros[CATEGORIA],despesavariávelconsolidadofev[[#This Row],[DESPESA VARIÁVEL]])</f>
        <v>0</v>
      </c>
      <c r="N71" s="119" t="n">
        <f aca="false">SUMIFS(tabela_registros[VALOR],tabela_registros[MÊS],$AE$1,tabela_registros[DIA],fevtotal30[[#Headers],[10]],tabela_registros[REGISTRO],DADOS!$N$4,tabela_registros[TIPO],DADOS!$P$4,tabela_registros[CATEGORIA],despesavariávelconsolidadofev[[#This Row],[DESPESA VARIÁVEL]])</f>
        <v>0</v>
      </c>
      <c r="O71" s="119" t="n">
        <f aca="false">SUMIFS(tabela_registros[VALOR],tabela_registros[MÊS],$AE$1,tabela_registros[DIA],fevtotal30[[#Headers],[11]],tabela_registros[REGISTRO],DADOS!$N$4,tabela_registros[TIPO],DADOS!$P$4,tabela_registros[CATEGORIA],despesavariávelconsolidadofev[[#This Row],[DESPESA VARIÁVEL]])</f>
        <v>0</v>
      </c>
      <c r="P71" s="119" t="n">
        <f aca="false">SUMIFS(tabela_registros[VALOR],tabela_registros[MÊS],$AE$1,tabela_registros[DIA],fevtotal30[[#Headers],[12]],tabela_registros[REGISTRO],DADOS!$N$4,tabela_registros[TIPO],DADOS!$P$4,tabela_registros[CATEGORIA],despesavariávelconsolidadofev[[#This Row],[DESPESA VARIÁVEL]])</f>
        <v>0</v>
      </c>
      <c r="Q71" s="119" t="n">
        <f aca="false">SUMIFS(tabela_registros[VALOR],tabela_registros[MÊS],$AE$1,tabela_registros[DIA],fevtotal30[[#Headers],[13]],tabela_registros[REGISTRO],DADOS!$N$4,tabela_registros[TIPO],DADOS!$P$4,tabela_registros[CATEGORIA],despesavariávelconsolidadofev[[#This Row],[DESPESA VARIÁVEL]])</f>
        <v>0</v>
      </c>
      <c r="R71" s="119" t="n">
        <f aca="false">SUMIFS(tabela_registros[VALOR],tabela_registros[MÊS],$AE$1,tabela_registros[DIA],fevtotal30[[#Headers],[14]],tabela_registros[REGISTRO],DADOS!$N$4,tabela_registros[TIPO],DADOS!$P$4,tabela_registros[CATEGORIA],despesavariávelconsolidadofev[[#This Row],[DESPESA VARIÁVEL]])</f>
        <v>0</v>
      </c>
      <c r="S71" s="119" t="n">
        <f aca="false">SUMIFS(tabela_registros[VALOR],tabela_registros[MÊS],$AE$1,tabela_registros[DIA],fevtotal30[[#Headers],[15]],tabela_registros[REGISTRO],DADOS!$N$4,tabela_registros[TIPO],DADOS!$P$4,tabela_registros[CATEGORIA],despesavariávelconsolidadofev[[#This Row],[DESPESA VARIÁVEL]])</f>
        <v>0</v>
      </c>
      <c r="T71" s="119" t="n">
        <f aca="false">SUMIFS(tabela_registros[VALOR],tabela_registros[MÊS],$AE$1,tabela_registros[DIA],fevtotal30[[#Headers],[16]],tabela_registros[REGISTRO],DADOS!$N$4,tabela_registros[TIPO],DADOS!$P$4,tabela_registros[CATEGORIA],despesavariávelconsolidadofev[[#This Row],[DESPESA VARIÁVEL]])</f>
        <v>0</v>
      </c>
      <c r="U71" s="119" t="n">
        <f aca="false">SUMIFS(tabela_registros[VALOR],tabela_registros[MÊS],$AE$1,tabela_registros[DIA],fevtotal30[[#Headers],[17]],tabela_registros[REGISTRO],DADOS!$N$4,tabela_registros[TIPO],DADOS!$P$4,tabela_registros[CATEGORIA],despesavariávelconsolidadofev[[#This Row],[DESPESA VARIÁVEL]])</f>
        <v>0</v>
      </c>
      <c r="V71" s="119" t="n">
        <f aca="false">SUMIFS(tabela_registros[VALOR],tabela_registros[MÊS],$AE$1,tabela_registros[DIA],fevtotal30[[#Headers],[18]],tabela_registros[REGISTRO],DADOS!$N$4,tabela_registros[TIPO],DADOS!$P$4,tabela_registros[CATEGORIA],despesavariávelconsolidadofev[[#This Row],[DESPESA VARIÁVEL]])</f>
        <v>0</v>
      </c>
      <c r="W71" s="119" t="n">
        <f aca="false">SUMIFS(tabela_registros[VALOR],tabela_registros[MÊS],$AE$1,tabela_registros[DIA],fevtotal30[[#Headers],[19]],tabela_registros[REGISTRO],DADOS!$N$4,tabela_registros[TIPO],DADOS!$P$4,tabela_registros[CATEGORIA],despesavariávelconsolidadofev[[#This Row],[DESPESA VARIÁVEL]])</f>
        <v>0</v>
      </c>
      <c r="X71" s="119" t="n">
        <f aca="false">SUMIFS(tabela_registros[VALOR],tabela_registros[MÊS],$AE$1,tabela_registros[DIA],fevtotal30[[#Headers],[20]],tabela_registros[REGISTRO],DADOS!$N$4,tabela_registros[TIPO],DADOS!$P$4,tabela_registros[CATEGORIA],despesavariávelconsolidadofev[[#This Row],[DESPESA VARIÁVEL]])</f>
        <v>0</v>
      </c>
      <c r="Y71" s="119" t="n">
        <f aca="false">SUMIFS(tabela_registros[VALOR],tabela_registros[MÊS],$AE$1,tabela_registros[DIA],fevtotal30[[#Headers],[21]],tabela_registros[REGISTRO],DADOS!$N$4,tabela_registros[TIPO],DADOS!$P$4,tabela_registros[CATEGORIA],despesavariávelconsolidadofev[[#This Row],[DESPESA VARIÁVEL]])</f>
        <v>0</v>
      </c>
      <c r="Z71" s="119" t="n">
        <f aca="false">SUMIFS(tabela_registros[VALOR],tabela_registros[MÊS],$AE$1,tabela_registros[DIA],fevtotal30[[#Headers],[22]],tabela_registros[REGISTRO],DADOS!$N$4,tabela_registros[TIPO],DADOS!$P$4,tabela_registros[CATEGORIA],despesavariávelconsolidadofev[[#This Row],[DESPESA VARIÁVEL]])</f>
        <v>0</v>
      </c>
      <c r="AA71" s="119" t="n">
        <f aca="false">SUMIFS(tabela_registros[VALOR],tabela_registros[MÊS],$AE$1,tabela_registros[DIA],fevtotal30[[#Headers],[23]],tabela_registros[REGISTRO],DADOS!$N$4,tabela_registros[TIPO],DADOS!$P$4,tabela_registros[CATEGORIA],despesavariávelconsolidadofev[[#This Row],[DESPESA VARIÁVEL]])</f>
        <v>0</v>
      </c>
      <c r="AB71" s="119" t="n">
        <f aca="false">SUMIFS(tabela_registros[VALOR],tabela_registros[MÊS],$AE$1,tabela_registros[DIA],fevtotal30[[#Headers],[24]],tabela_registros[REGISTRO],DADOS!$N$4,tabela_registros[TIPO],DADOS!$P$4,tabela_registros[CATEGORIA],despesavariávelconsolidadofev[[#This Row],[DESPESA VARIÁVEL]])</f>
        <v>0</v>
      </c>
      <c r="AC71" s="119" t="n">
        <f aca="false">SUMIFS(tabela_registros[VALOR],tabela_registros[MÊS],$AE$1,tabela_registros[DIA],fevtotal30[[#Headers],[25]],tabela_registros[REGISTRO],DADOS!$N$4,tabela_registros[TIPO],DADOS!$P$4,tabela_registros[CATEGORIA],despesavariávelconsolidadofev[[#This Row],[DESPESA VARIÁVEL]])</f>
        <v>0</v>
      </c>
      <c r="AD71" s="119" t="n">
        <f aca="false">SUMIFS(tabela_registros[VALOR],tabela_registros[MÊS],$AE$1,tabela_registros[DIA],fevtotal30[[#Headers],[26]],tabela_registros[REGISTRO],DADOS!$N$4,tabela_registros[TIPO],DADOS!$P$4,tabela_registros[CATEGORIA],despesavariávelconsolidadofev[[#This Row],[DESPESA VARIÁVEL]])</f>
        <v>0</v>
      </c>
      <c r="AE71" s="119" t="n">
        <f aca="false">SUMIFS(tabela_registros[VALOR],tabela_registros[MÊS],$AE$1,tabela_registros[DIA],fevtotal30[[#Headers],[27]],tabela_registros[REGISTRO],DADOS!$N$4,tabela_registros[TIPO],DADOS!$P$4,tabela_registros[CATEGORIA],despesavariávelconsolidadofev[[#This Row],[DESPESA VARIÁVEL]])</f>
        <v>0</v>
      </c>
      <c r="AF71" s="119" t="n">
        <f aca="false">SUMIFS(tabela_registros[VALOR],tabela_registros[MÊS],$AE$1,tabela_registros[DIA],fevtotal30[[#Headers],[28]],tabela_registros[REGISTRO],DADOS!$N$4,tabela_registros[TIPO],DADOS!$P$4,tabela_registros[CATEGORIA],despesavariávelconsolidadofev[[#This Row],[DESPESA VARIÁVEL]])</f>
        <v>0</v>
      </c>
      <c r="AG71" s="119" t="n">
        <f aca="false">SUMIFS(tabela_registros[VALOR],tabela_registros[MÊS],$AE$1,tabela_registros[DIA],fevtotal30[[#Headers],[29]],tabela_registros[REGISTRO],DADOS!$N$4,tabela_registros[TIPO],DADOS!$P$4,tabela_registros[CATEGORIA],despesavariávelconsolidadofev[[#This Row],[DESPESA VARIÁVEL]])</f>
        <v>0</v>
      </c>
      <c r="AH71" s="119" t="n">
        <f aca="false">SUMIFS(tabela_registros[VALOR],tabela_registros[MÊS],$AE$1,tabela_registros[DIA],fevtotal30[[#Headers],[30]],tabela_registros[REGISTRO],DADOS!$N$4,tabela_registros[TIPO],DADOS!$P$4,tabela_registros[CATEGORIA],despesavariávelconsolidadofev[[#This Row],[DESPESA VARIÁVEL]])</f>
        <v>0</v>
      </c>
      <c r="AI71" s="217" t="n">
        <f aca="false">SUMIFS(tabela_registros[VALOR],tabela_registros[MÊS],$AE$1,tabela_registros[DIA],fevtotal30[[#Headers],[31]],tabela_registros[REGISTRO],DADOS!$N$4,tabela_registros[TIPO],DADOS!$P$4,tabela_registros[CATEGORIA],despesavariávelconsolidadofev[[#This Row],[DESPESA VARIÁVEL]])</f>
        <v>0</v>
      </c>
      <c r="AJ71" s="149" t="n">
        <f aca="false">SUM(despesavariávelconsolidadofev[[#This Row],[1]:[31]])</f>
        <v>0</v>
      </c>
      <c r="AK71" s="143"/>
    </row>
    <row r="72" customFormat="false" ht="18" hidden="false" customHeight="true" outlineLevel="0" collapsed="false">
      <c r="B72" s="143"/>
      <c r="C72" s="144" t="str">
        <f aca="false">DADOS!$T$15</f>
        <v>📎 OUTROS</v>
      </c>
      <c r="D72" s="145" t="str">
        <f aca="false">IF(despesavariávelconsolidadofev[[#This Row],[TOTAL]]=0,"",IF(OR(despesavariávelconsolidadofev[[#This Row],[TOTAL]]=LARGE($AJ$60:$AJ$72,1),despesavariávelconsolidadofev[[#This Row],[TOTAL]]=LARGE($AJ$60:$AJ$72,2),despesavariávelconsolidadofev[[#This Row],[TOTAL]]=LARGE($AJ$60:$AJ$72,3),despesavariávelconsolidadofev[[#This Row],[TOTAL]]=LARGE($AJ$60:$AJ$72,4),despesavariávelconsolidadofev[[#This Row],[TOTAL]]=LARGE($AJ$60:$AJ$72,5)),DADOS!$I$8,""))</f>
        <v/>
      </c>
      <c r="E72" s="148" t="n">
        <f aca="false">SUMIFS(tabela_registros[VALOR],tabela_registros[MÊS],$AE$1,tabela_registros[DIA],fevtotal30[[#Headers],[1]],tabela_registros[REGISTRO],DADOS!$N$4,tabela_registros[TIPO],DADOS!$P$4,tabela_registros[CATEGORIA],despesavariávelconsolidadofev[[#This Row],[DESPESA VARIÁVEL]])</f>
        <v>0</v>
      </c>
      <c r="F72" s="119" t="n">
        <f aca="false">SUMIFS(tabela_registros[VALOR],tabela_registros[MÊS],$AE$1,tabela_registros[DIA],fevtotal30[[#Headers],[2]],tabela_registros[REGISTRO],DADOS!$N$4,tabela_registros[TIPO],DADOS!$P$4,tabela_registros[CATEGORIA],despesavariávelconsolidadofev[[#This Row],[DESPESA VARIÁVEL]])</f>
        <v>0</v>
      </c>
      <c r="G72" s="119" t="n">
        <f aca="false">SUMIFS(tabela_registros[VALOR],tabela_registros[MÊS],$AE$1,tabela_registros[DIA],fevtotal30[[#Headers],[3]],tabela_registros[REGISTRO],DADOS!$N$4,tabela_registros[TIPO],DADOS!$P$4,tabela_registros[CATEGORIA],despesavariávelconsolidadofev[[#This Row],[DESPESA VARIÁVEL]])</f>
        <v>0</v>
      </c>
      <c r="H72" s="119" t="n">
        <f aca="false">SUMIFS(tabela_registros[VALOR],tabela_registros[MÊS],$AE$1,tabela_registros[DIA],fevtotal30[[#Headers],[4]],tabela_registros[REGISTRO],DADOS!$N$4,tabela_registros[TIPO],DADOS!$P$4,tabela_registros[CATEGORIA],despesavariávelconsolidadofev[[#This Row],[DESPESA VARIÁVEL]])</f>
        <v>0</v>
      </c>
      <c r="I72" s="119" t="n">
        <f aca="false">SUMIFS(tabela_registros[VALOR],tabela_registros[MÊS],$AE$1,tabela_registros[DIA],fevtotal30[[#Headers],[5]],tabela_registros[REGISTRO],DADOS!$N$4,tabela_registros[TIPO],DADOS!$P$4,tabela_registros[CATEGORIA],despesavariávelconsolidadofev[[#This Row],[DESPESA VARIÁVEL]])</f>
        <v>0</v>
      </c>
      <c r="J72" s="119" t="n">
        <f aca="false">SUMIFS(tabela_registros[VALOR],tabela_registros[MÊS],$AE$1,tabela_registros[DIA],fevtotal30[[#Headers],[6]],tabela_registros[REGISTRO],DADOS!$N$4,tabela_registros[TIPO],DADOS!$P$4,tabela_registros[CATEGORIA],despesavariávelconsolidadofev[[#This Row],[DESPESA VARIÁVEL]])</f>
        <v>0</v>
      </c>
      <c r="K72" s="119" t="n">
        <f aca="false">SUMIFS(tabela_registros[VALOR],tabela_registros[MÊS],$AE$1,tabela_registros[DIA],fevtotal30[[#Headers],[7]],tabela_registros[REGISTRO],DADOS!$N$4,tabela_registros[TIPO],DADOS!$P$4,tabela_registros[CATEGORIA],despesavariávelconsolidadofev[[#This Row],[DESPESA VARIÁVEL]])</f>
        <v>0</v>
      </c>
      <c r="L72" s="119" t="n">
        <f aca="false">SUMIFS(tabela_registros[VALOR],tabela_registros[MÊS],$AE$1,tabela_registros[DIA],fevtotal30[[#Headers],[8]],tabela_registros[REGISTRO],DADOS!$N$4,tabela_registros[TIPO],DADOS!$P$4,tabela_registros[CATEGORIA],despesavariávelconsolidadofev[[#This Row],[DESPESA VARIÁVEL]])</f>
        <v>0</v>
      </c>
      <c r="M72" s="119" t="n">
        <f aca="false">SUMIFS(tabela_registros[VALOR],tabela_registros[MÊS],$AE$1,tabela_registros[DIA],fevtotal30[[#Headers],[9]],tabela_registros[REGISTRO],DADOS!$N$4,tabela_registros[TIPO],DADOS!$P$4,tabela_registros[CATEGORIA],despesavariávelconsolidadofev[[#This Row],[DESPESA VARIÁVEL]])</f>
        <v>0</v>
      </c>
      <c r="N72" s="119" t="n">
        <f aca="false">SUMIFS(tabela_registros[VALOR],tabela_registros[MÊS],$AE$1,tabela_registros[DIA],fevtotal30[[#Headers],[10]],tabela_registros[REGISTRO],DADOS!$N$4,tabela_registros[TIPO],DADOS!$P$4,tabela_registros[CATEGORIA],despesavariávelconsolidadofev[[#This Row],[DESPESA VARIÁVEL]])</f>
        <v>0</v>
      </c>
      <c r="O72" s="119" t="n">
        <f aca="false">SUMIFS(tabela_registros[VALOR],tabela_registros[MÊS],$AE$1,tabela_registros[DIA],fevtotal30[[#Headers],[11]],tabela_registros[REGISTRO],DADOS!$N$4,tabela_registros[TIPO],DADOS!$P$4,tabela_registros[CATEGORIA],despesavariávelconsolidadofev[[#This Row],[DESPESA VARIÁVEL]])</f>
        <v>0</v>
      </c>
      <c r="P72" s="119" t="n">
        <f aca="false">SUMIFS(tabela_registros[VALOR],tabela_registros[MÊS],$AE$1,tabela_registros[DIA],fevtotal30[[#Headers],[12]],tabela_registros[REGISTRO],DADOS!$N$4,tabela_registros[TIPO],DADOS!$P$4,tabela_registros[CATEGORIA],despesavariávelconsolidadofev[[#This Row],[DESPESA VARIÁVEL]])</f>
        <v>0</v>
      </c>
      <c r="Q72" s="119" t="n">
        <f aca="false">SUMIFS(tabela_registros[VALOR],tabela_registros[MÊS],$AE$1,tabela_registros[DIA],fevtotal30[[#Headers],[13]],tabela_registros[REGISTRO],DADOS!$N$4,tabela_registros[TIPO],DADOS!$P$4,tabela_registros[CATEGORIA],despesavariávelconsolidadofev[[#This Row],[DESPESA VARIÁVEL]])</f>
        <v>0</v>
      </c>
      <c r="R72" s="119" t="n">
        <f aca="false">SUMIFS(tabela_registros[VALOR],tabela_registros[MÊS],$AE$1,tabela_registros[DIA],fevtotal30[[#Headers],[14]],tabela_registros[REGISTRO],DADOS!$N$4,tabela_registros[TIPO],DADOS!$P$4,tabela_registros[CATEGORIA],despesavariávelconsolidadofev[[#This Row],[DESPESA VARIÁVEL]])</f>
        <v>0</v>
      </c>
      <c r="S72" s="119" t="n">
        <f aca="false">SUMIFS(tabela_registros[VALOR],tabela_registros[MÊS],$AE$1,tabela_registros[DIA],fevtotal30[[#Headers],[15]],tabela_registros[REGISTRO],DADOS!$N$4,tabela_registros[TIPO],DADOS!$P$4,tabela_registros[CATEGORIA],despesavariávelconsolidadofev[[#This Row],[DESPESA VARIÁVEL]])</f>
        <v>0</v>
      </c>
      <c r="T72" s="119" t="n">
        <f aca="false">SUMIFS(tabela_registros[VALOR],tabela_registros[MÊS],$AE$1,tabela_registros[DIA],fevtotal30[[#Headers],[16]],tabela_registros[REGISTRO],DADOS!$N$4,tabela_registros[TIPO],DADOS!$P$4,tabela_registros[CATEGORIA],despesavariávelconsolidadofev[[#This Row],[DESPESA VARIÁVEL]])</f>
        <v>0</v>
      </c>
      <c r="U72" s="119" t="n">
        <f aca="false">SUMIFS(tabela_registros[VALOR],tabela_registros[MÊS],$AE$1,tabela_registros[DIA],fevtotal30[[#Headers],[17]],tabela_registros[REGISTRO],DADOS!$N$4,tabela_registros[TIPO],DADOS!$P$4,tabela_registros[CATEGORIA],despesavariávelconsolidadofev[[#This Row],[DESPESA VARIÁVEL]])</f>
        <v>0</v>
      </c>
      <c r="V72" s="119" t="n">
        <f aca="false">SUMIFS(tabela_registros[VALOR],tabela_registros[MÊS],$AE$1,tabela_registros[DIA],fevtotal30[[#Headers],[18]],tabela_registros[REGISTRO],DADOS!$N$4,tabela_registros[TIPO],DADOS!$P$4,tabela_registros[CATEGORIA],despesavariávelconsolidadofev[[#This Row],[DESPESA VARIÁVEL]])</f>
        <v>0</v>
      </c>
      <c r="W72" s="119" t="n">
        <f aca="false">SUMIFS(tabela_registros[VALOR],tabela_registros[MÊS],$AE$1,tabela_registros[DIA],fevtotal30[[#Headers],[19]],tabela_registros[REGISTRO],DADOS!$N$4,tabela_registros[TIPO],DADOS!$P$4,tabela_registros[CATEGORIA],despesavariávelconsolidadofev[[#This Row],[DESPESA VARIÁVEL]])</f>
        <v>0</v>
      </c>
      <c r="X72" s="119" t="n">
        <f aca="false">SUMIFS(tabela_registros[VALOR],tabela_registros[MÊS],$AE$1,tabela_registros[DIA],fevtotal30[[#Headers],[20]],tabela_registros[REGISTRO],DADOS!$N$4,tabela_registros[TIPO],DADOS!$P$4,tabela_registros[CATEGORIA],despesavariávelconsolidadofev[[#This Row],[DESPESA VARIÁVEL]])</f>
        <v>0</v>
      </c>
      <c r="Y72" s="119" t="n">
        <f aca="false">SUMIFS(tabela_registros[VALOR],tabela_registros[MÊS],$AE$1,tabela_registros[DIA],fevtotal30[[#Headers],[21]],tabela_registros[REGISTRO],DADOS!$N$4,tabela_registros[TIPO],DADOS!$P$4,tabela_registros[CATEGORIA],despesavariávelconsolidadofev[[#This Row],[DESPESA VARIÁVEL]])</f>
        <v>0</v>
      </c>
      <c r="Z72" s="119" t="n">
        <f aca="false">SUMIFS(tabela_registros[VALOR],tabela_registros[MÊS],$AE$1,tabela_registros[DIA],fevtotal30[[#Headers],[22]],tabela_registros[REGISTRO],DADOS!$N$4,tabela_registros[TIPO],DADOS!$P$4,tabela_registros[CATEGORIA],despesavariávelconsolidadofev[[#This Row],[DESPESA VARIÁVEL]])</f>
        <v>0</v>
      </c>
      <c r="AA72" s="119" t="n">
        <f aca="false">SUMIFS(tabela_registros[VALOR],tabela_registros[MÊS],$AE$1,tabela_registros[DIA],fevtotal30[[#Headers],[23]],tabela_registros[REGISTRO],DADOS!$N$4,tabela_registros[TIPO],DADOS!$P$4,tabela_registros[CATEGORIA],despesavariávelconsolidadofev[[#This Row],[DESPESA VARIÁVEL]])</f>
        <v>0</v>
      </c>
      <c r="AB72" s="119" t="n">
        <f aca="false">SUMIFS(tabela_registros[VALOR],tabela_registros[MÊS],$AE$1,tabela_registros[DIA],fevtotal30[[#Headers],[24]],tabela_registros[REGISTRO],DADOS!$N$4,tabela_registros[TIPO],DADOS!$P$4,tabela_registros[CATEGORIA],despesavariávelconsolidadofev[[#This Row],[DESPESA VARIÁVEL]])</f>
        <v>0</v>
      </c>
      <c r="AC72" s="119" t="n">
        <f aca="false">SUMIFS(tabela_registros[VALOR],tabela_registros[MÊS],$AE$1,tabela_registros[DIA],fevtotal30[[#Headers],[25]],tabela_registros[REGISTRO],DADOS!$N$4,tabela_registros[TIPO],DADOS!$P$4,tabela_registros[CATEGORIA],despesavariávelconsolidadofev[[#This Row],[DESPESA VARIÁVEL]])</f>
        <v>0</v>
      </c>
      <c r="AD72" s="119" t="n">
        <f aca="false">SUMIFS(tabela_registros[VALOR],tabela_registros[MÊS],$AE$1,tabela_registros[DIA],fevtotal30[[#Headers],[26]],tabela_registros[REGISTRO],DADOS!$N$4,tabela_registros[TIPO],DADOS!$P$4,tabela_registros[CATEGORIA],despesavariávelconsolidadofev[[#This Row],[DESPESA VARIÁVEL]])</f>
        <v>0</v>
      </c>
      <c r="AE72" s="119" t="n">
        <f aca="false">SUMIFS(tabela_registros[VALOR],tabela_registros[MÊS],$AE$1,tabela_registros[DIA],fevtotal30[[#Headers],[27]],tabela_registros[REGISTRO],DADOS!$N$4,tabela_registros[TIPO],DADOS!$P$4,tabela_registros[CATEGORIA],despesavariávelconsolidadofev[[#This Row],[DESPESA VARIÁVEL]])</f>
        <v>0</v>
      </c>
      <c r="AF72" s="119" t="n">
        <f aca="false">SUMIFS(tabela_registros[VALOR],tabela_registros[MÊS],$AE$1,tabela_registros[DIA],fevtotal30[[#Headers],[28]],tabela_registros[REGISTRO],DADOS!$N$4,tabela_registros[TIPO],DADOS!$P$4,tabela_registros[CATEGORIA],despesavariávelconsolidadofev[[#This Row],[DESPESA VARIÁVEL]])</f>
        <v>0</v>
      </c>
      <c r="AG72" s="119" t="n">
        <f aca="false">SUMIFS(tabela_registros[VALOR],tabela_registros[MÊS],$AE$1,tabela_registros[DIA],fevtotal30[[#Headers],[29]],tabela_registros[REGISTRO],DADOS!$N$4,tabela_registros[TIPO],DADOS!$P$4,tabela_registros[CATEGORIA],despesavariávelconsolidadofev[[#This Row],[DESPESA VARIÁVEL]])</f>
        <v>0</v>
      </c>
      <c r="AH72" s="119" t="n">
        <f aca="false">SUMIFS(tabela_registros[VALOR],tabela_registros[MÊS],$AE$1,tabela_registros[DIA],fevtotal30[[#Headers],[30]],tabela_registros[REGISTRO],DADOS!$N$4,tabela_registros[TIPO],DADOS!$P$4,tabela_registros[CATEGORIA],despesavariávelconsolidadofev[[#This Row],[DESPESA VARIÁVEL]])</f>
        <v>0</v>
      </c>
      <c r="AI72" s="218" t="n">
        <f aca="false">SUMIFS(tabela_registros[VALOR],tabela_registros[MÊS],$AE$1,tabela_registros[DIA],fevtotal30[[#Headers],[31]],tabela_registros[REGISTRO],DADOS!$N$4,tabela_registros[TIPO],DADOS!$P$4,tabela_registros[CATEGORIA],despesavariávelconsolidadofev[[#This Row],[DESPESA VARIÁVEL]])</f>
        <v>0</v>
      </c>
      <c r="AJ72" s="149" t="n">
        <f aca="false">SUM(despesavariávelconsolidadofev[[#This Row],[1]:[31]])</f>
        <v>0</v>
      </c>
      <c r="AK72" s="143"/>
    </row>
    <row r="73" s="122" customFormat="true" ht="21" hidden="false" customHeight="true" outlineLevel="0" collapsed="false">
      <c r="B73" s="152"/>
      <c r="C73" s="153" t="s">
        <v>2</v>
      </c>
      <c r="D73" s="154" t="str">
        <f aca="false">IF(despesavariávelconsolidadofev[[#This Row],[TOTAL]]=0,"",IF(OR(despesavariávelconsolidadofev[[#This Row],[TOTAL]]=SMALL(despesavariávelconsolidadofev[TOTAL],1),despesavariávelconsolidadofev[[#This Row],[TOTAL]]=SMALL(despesavariávelconsolidadofev[TOTAL],2),despesavariávelconsolidadofev[[#This Row],[TOTAL]]=SMALL(despesavariávelconsolidadofev[TOTAL],3),despesavariávelconsolidadofev[[#This Row],[TOTAL]]=SMALL(despesavariávelconsolidadofev[TOTAL],4),despesavariávelconsolidadofev[[#This Row],[TOTAL]]=SMALL(despesavariávelconsolidadofev[TOTAL],5)),DADOS!$I$8,""))</f>
        <v/>
      </c>
      <c r="E73" s="155" t="n">
        <f aca="false">SUM(E60:E72)</f>
        <v>0</v>
      </c>
      <c r="F73" s="156" t="n">
        <f aca="false">SUM(F60:F72)+despesavariávelconsolidadofev[[#This Row],[1]]</f>
        <v>0</v>
      </c>
      <c r="G73" s="156" t="n">
        <f aca="false">SUM(G60:G72)+despesavariávelconsolidadofev[[#This Row],[2]]</f>
        <v>0</v>
      </c>
      <c r="H73" s="156" t="n">
        <f aca="false">SUM(H60:H72)+despesavariávelconsolidadofev[[#This Row],[3]]</f>
        <v>0</v>
      </c>
      <c r="I73" s="156" t="n">
        <f aca="false">SUM(I60:I72)+despesavariávelconsolidadofev[[#This Row],[4]]</f>
        <v>0</v>
      </c>
      <c r="J73" s="156" t="n">
        <f aca="false">SUM(J60:J72)+despesavariávelconsolidadofev[[#This Row],[5]]</f>
        <v>0</v>
      </c>
      <c r="K73" s="156" t="n">
        <f aca="false">SUM(K60:K72)+despesavariávelconsolidadofev[[#This Row],[6]]</f>
        <v>0</v>
      </c>
      <c r="L73" s="156" t="n">
        <f aca="false">SUM(L60:L72)+despesavariávelconsolidadofev[[#This Row],[7]]</f>
        <v>0</v>
      </c>
      <c r="M73" s="156" t="n">
        <f aca="false">SUM(M60:M72)+despesavariávelconsolidadofev[[#This Row],[8]]</f>
        <v>0</v>
      </c>
      <c r="N73" s="156" t="n">
        <f aca="false">SUM(N60:N72)+despesavariávelconsolidadofev[[#This Row],[9]]</f>
        <v>0</v>
      </c>
      <c r="O73" s="156" t="n">
        <f aca="false">SUM(O60:O72)+despesavariávelconsolidadofev[[#This Row],[10]]</f>
        <v>0</v>
      </c>
      <c r="P73" s="156" t="n">
        <f aca="false">SUM(P60:P72)+despesavariávelconsolidadofev[[#This Row],[11]]</f>
        <v>0</v>
      </c>
      <c r="Q73" s="156" t="n">
        <f aca="false">SUM(Q60:Q72)+despesavariávelconsolidadofev[[#This Row],[12]]</f>
        <v>0</v>
      </c>
      <c r="R73" s="156" t="n">
        <f aca="false">SUM(R60:R72)+despesavariávelconsolidadofev[[#This Row],[13]]</f>
        <v>0</v>
      </c>
      <c r="S73" s="156" t="n">
        <f aca="false">SUM(S60:S72)+despesavariávelconsolidadofev[[#This Row],[14]]</f>
        <v>0</v>
      </c>
      <c r="T73" s="156" t="n">
        <f aca="false">SUM(T60:T72)+despesavariávelconsolidadofev[[#This Row],[15]]</f>
        <v>0</v>
      </c>
      <c r="U73" s="156" t="n">
        <f aca="false">SUM(U60:U72)+despesavariávelconsolidadofev[[#This Row],[16]]</f>
        <v>0</v>
      </c>
      <c r="V73" s="156" t="n">
        <f aca="false">SUM(V60:V72)+despesavariávelconsolidadofev[[#This Row],[17]]</f>
        <v>0</v>
      </c>
      <c r="W73" s="156" t="n">
        <f aca="false">SUM(W60:W72)+despesavariávelconsolidadofev[[#This Row],[18]]</f>
        <v>0</v>
      </c>
      <c r="X73" s="156" t="n">
        <f aca="false">SUM(X60:X72)+despesavariávelconsolidadofev[[#This Row],[19]]</f>
        <v>0</v>
      </c>
      <c r="Y73" s="156" t="n">
        <f aca="false">SUM(Y60:Y72)+despesavariávelconsolidadofev[[#This Row],[20]]</f>
        <v>0</v>
      </c>
      <c r="Z73" s="156" t="n">
        <f aca="false">SUM(Z60:Z72)+despesavariávelconsolidadofev[[#This Row],[21]]</f>
        <v>0</v>
      </c>
      <c r="AA73" s="156" t="n">
        <f aca="false">SUM(AA60:AA72)+despesavariávelconsolidadofev[[#This Row],[22]]</f>
        <v>0</v>
      </c>
      <c r="AB73" s="156" t="n">
        <f aca="false">SUM(AB60:AB72)+despesavariávelconsolidadofev[[#This Row],[23]]</f>
        <v>0</v>
      </c>
      <c r="AC73" s="156" t="n">
        <f aca="false">SUM(AC60:AC72)+despesavariávelconsolidadofev[[#This Row],[24]]</f>
        <v>0</v>
      </c>
      <c r="AD73" s="156" t="n">
        <f aca="false">SUM(AD60:AD72)+despesavariávelconsolidadofev[[#This Row],[25]]</f>
        <v>0</v>
      </c>
      <c r="AE73" s="156" t="n">
        <f aca="false">SUM(AE60:AE72)+despesavariávelconsolidadofev[[#This Row],[26]]</f>
        <v>0</v>
      </c>
      <c r="AF73" s="156" t="n">
        <f aca="false">SUM(AF60:AF72)+despesavariávelconsolidadofev[[#This Row],[27]]</f>
        <v>0</v>
      </c>
      <c r="AG73" s="156" t="n">
        <f aca="false">SUM(AG60:AG72)+despesavariávelconsolidadofev[[#This Row],[28]]</f>
        <v>0</v>
      </c>
      <c r="AH73" s="156" t="n">
        <f aca="false">SUM(AH60:AH72)+despesavariávelconsolidadofev[[#This Row],[29]]</f>
        <v>0</v>
      </c>
      <c r="AI73" s="223" t="n">
        <f aca="false">SUM(AI60:AI72)+despesavariávelconsolidadofev[[#This Row],[30]]</f>
        <v>0</v>
      </c>
      <c r="AJ73" s="157" t="n">
        <f aca="false">despesavariávelconsolidadofev[[#This Row],[31]]</f>
        <v>0</v>
      </c>
      <c r="AK73" s="158"/>
    </row>
    <row r="74" customFormat="false" ht="6.75" hidden="false" customHeight="true" outlineLevel="0" collapsed="false">
      <c r="B74" s="97"/>
      <c r="C74" s="159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229"/>
      <c r="AJ74" s="97"/>
      <c r="AK74" s="244"/>
    </row>
    <row r="75" s="78" customFormat="true" ht="12.75" hidden="false" customHeight="false" outlineLevel="0" collapsed="false">
      <c r="E75" s="100"/>
    </row>
    <row r="76" s="78" customFormat="true" ht="12" hidden="false" customHeight="false" outlineLevel="0" collapsed="false"/>
    <row r="77" s="78" customFormat="true" ht="12" hidden="false" customHeight="false" outlineLevel="0" collapsed="false"/>
    <row r="78" customFormat="false" ht="39.75" hidden="false" customHeight="true" outlineLevel="0" collapsed="false">
      <c r="C78" s="101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3" t="s">
        <v>2</v>
      </c>
    </row>
    <row r="79" s="78" customFormat="true" ht="12.75" hidden="false" customHeight="false" outlineLevel="0" collapsed="false">
      <c r="B79" s="161"/>
      <c r="AJ79" s="106" t="s">
        <v>64</v>
      </c>
    </row>
    <row r="80" customFormat="false" ht="6.75" hidden="false" customHeight="true" outlineLevel="0" collapsed="false">
      <c r="B80" s="86"/>
      <c r="C80" s="162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233"/>
      <c r="AK80" s="139"/>
    </row>
    <row r="81" customFormat="false" ht="13.5" hidden="true" customHeight="false" outlineLevel="0" collapsed="false">
      <c r="B81" s="86"/>
      <c r="C81" s="109" t="s">
        <v>68</v>
      </c>
      <c r="D81" s="110" t="s">
        <v>69</v>
      </c>
      <c r="E81" s="110" t="s">
        <v>30</v>
      </c>
      <c r="F81" s="110" t="s">
        <v>31</v>
      </c>
      <c r="G81" s="110" t="s">
        <v>32</v>
      </c>
      <c r="H81" s="110" t="s">
        <v>33</v>
      </c>
      <c r="I81" s="110" t="s">
        <v>34</v>
      </c>
      <c r="J81" s="110" t="s">
        <v>35</v>
      </c>
      <c r="K81" s="110" t="s">
        <v>36</v>
      </c>
      <c r="L81" s="110" t="s">
        <v>37</v>
      </c>
      <c r="M81" s="110" t="s">
        <v>38</v>
      </c>
      <c r="N81" s="110" t="s">
        <v>39</v>
      </c>
      <c r="O81" s="110" t="s">
        <v>40</v>
      </c>
      <c r="P81" s="110" t="s">
        <v>41</v>
      </c>
      <c r="Q81" s="110" t="s">
        <v>81</v>
      </c>
      <c r="R81" s="110" t="s">
        <v>82</v>
      </c>
      <c r="S81" s="110" t="s">
        <v>83</v>
      </c>
      <c r="T81" s="110" t="s">
        <v>84</v>
      </c>
      <c r="U81" s="110" t="s">
        <v>85</v>
      </c>
      <c r="V81" s="110" t="s">
        <v>86</v>
      </c>
      <c r="W81" s="110" t="s">
        <v>87</v>
      </c>
      <c r="X81" s="110" t="s">
        <v>88</v>
      </c>
      <c r="Y81" s="110" t="s">
        <v>89</v>
      </c>
      <c r="Z81" s="110" t="s">
        <v>90</v>
      </c>
      <c r="AA81" s="110" t="s">
        <v>91</v>
      </c>
      <c r="AB81" s="110" t="s">
        <v>92</v>
      </c>
      <c r="AC81" s="110" t="s">
        <v>93</v>
      </c>
      <c r="AD81" s="110" t="s">
        <v>94</v>
      </c>
      <c r="AE81" s="110" t="s">
        <v>95</v>
      </c>
      <c r="AF81" s="110" t="s">
        <v>96</v>
      </c>
      <c r="AG81" s="110" t="s">
        <v>97</v>
      </c>
      <c r="AH81" s="110" t="s">
        <v>98</v>
      </c>
      <c r="AI81" s="110" t="s">
        <v>99</v>
      </c>
      <c r="AJ81" s="111" t="s">
        <v>70</v>
      </c>
      <c r="AK81" s="86"/>
    </row>
    <row r="82" customFormat="false" ht="19.5" hidden="false" customHeight="true" outlineLevel="0" collapsed="false">
      <c r="B82" s="143"/>
      <c r="C82" s="144" t="str">
        <f aca="false">DADOS!$X$3</f>
        <v>💵 ALUGUEL</v>
      </c>
      <c r="D82" s="145" t="str">
        <f aca="false">IF(receitasfixasconsolidadofev[[#This Row],[TOTAL (R$)]]=0,"",IF(OR(receitasfixasconsolidadofev[[#This Row],[TOTAL (R$)]]=LARGE($AJ$82:$AJ$86,1),receitasfixasconsolidadofev[[#This Row],[TOTAL (R$)]]=LARGE($AJ$82:$AJ$86,2)),DADOS!$I$9,""))</f>
        <v/>
      </c>
      <c r="E82" s="146" t="n">
        <f aca="false">SUMIFS(tabela_registros[VALOR],tabela_registros[MÊS],$AE$1,tabela_registros[DIA],receitasfixasconsolidadofev[[#Headers],[1]],tabela_registros[REGISTRO],DADOS!$N$3,tabela_registros[TIPO],DADOS!$V$3,tabela_registros[CATEGORIA],receitasfixasconsolidadofev[[#This Row],[ATUAL]])</f>
        <v>0</v>
      </c>
      <c r="F82" s="114" t="n">
        <f aca="false">SUMIFS(tabela_registros[VALOR],tabela_registros[MÊS],$AE$1,tabela_registros[DIA],receitasfixasconsolidadofev[[#Headers],[2]],tabela_registros[REGISTRO],DADOS!$N$3,tabela_registros[TIPO],DADOS!$V$3,tabela_registros[CATEGORIA],receitasfixasconsolidadofev[[#This Row],[ATUAL]])</f>
        <v>0</v>
      </c>
      <c r="G82" s="114" t="n">
        <f aca="false">SUMIFS(tabela_registros[VALOR],tabela_registros[MÊS],$AE$1,tabela_registros[DIA],receitasfixasconsolidadofev[[#Headers],[3]],tabela_registros[REGISTRO],DADOS!$N$3,tabela_registros[TIPO],DADOS!$V$3,tabela_registros[CATEGORIA],receitasfixasconsolidadofev[[#This Row],[ATUAL]])</f>
        <v>0</v>
      </c>
      <c r="H82" s="114" t="n">
        <f aca="false">SUMIFS(tabela_registros[VALOR],tabela_registros[MÊS],$AE$1,tabela_registros[DIA],receitasfixasconsolidadofev[[#Headers],[4]],tabela_registros[REGISTRO],DADOS!$N$3,tabela_registros[TIPO],DADOS!$V$3,tabela_registros[CATEGORIA],receitasfixasconsolidadofev[[#This Row],[ATUAL]])</f>
        <v>0</v>
      </c>
      <c r="I82" s="114" t="n">
        <f aca="false">SUMIFS(tabela_registros[VALOR],tabela_registros[MÊS],$AE$1,tabela_registros[DIA],receitasfixasconsolidadofev[[#Headers],[5]],tabela_registros[REGISTRO],DADOS!$N$3,tabela_registros[TIPO],DADOS!$V$3,tabela_registros[CATEGORIA],receitasfixasconsolidadofev[[#This Row],[ATUAL]])</f>
        <v>0</v>
      </c>
      <c r="J82" s="114" t="n">
        <f aca="false">SUMIFS(tabela_registros[VALOR],tabela_registros[MÊS],$AE$1,tabela_registros[DIA],receitasfixasconsolidadofev[[#Headers],[6]],tabela_registros[REGISTRO],DADOS!$N$3,tabela_registros[TIPO],DADOS!$V$3,tabela_registros[CATEGORIA],receitasfixasconsolidadofev[[#This Row],[ATUAL]])</f>
        <v>0</v>
      </c>
      <c r="K82" s="114" t="n">
        <f aca="false">SUMIFS(tabela_registros[VALOR],tabela_registros[MÊS],$AE$1,tabela_registros[DIA],receitasfixasconsolidadofev[[#Headers],[7]],tabela_registros[REGISTRO],DADOS!$N$3,tabela_registros[TIPO],DADOS!$V$3,tabela_registros[CATEGORIA],receitasfixasconsolidadofev[[#This Row],[ATUAL]])</f>
        <v>0</v>
      </c>
      <c r="L82" s="114" t="n">
        <f aca="false">SUMIFS(tabela_registros[VALOR],tabela_registros[MÊS],$AE$1,tabela_registros[DIA],receitasfixasconsolidadofev[[#Headers],[8]],tabela_registros[REGISTRO],DADOS!$N$3,tabela_registros[TIPO],DADOS!$V$3,tabela_registros[CATEGORIA],receitasfixasconsolidadofev[[#This Row],[ATUAL]])</f>
        <v>0</v>
      </c>
      <c r="M82" s="114" t="n">
        <f aca="false">SUMIFS(tabela_registros[VALOR],tabela_registros[MÊS],$AE$1,tabela_registros[DIA],receitasfixasconsolidadofev[[#Headers],[9]],tabela_registros[REGISTRO],DADOS!$N$3,tabela_registros[TIPO],DADOS!$V$3,tabela_registros[CATEGORIA],receitasfixasconsolidadofev[[#This Row],[ATUAL]])</f>
        <v>0</v>
      </c>
      <c r="N82" s="114" t="n">
        <f aca="false">SUMIFS(tabela_registros[VALOR],tabela_registros[MÊS],$AE$1,tabela_registros[DIA],receitasfixasconsolidadofev[[#Headers],[10]],tabela_registros[REGISTRO],DADOS!$N$3,tabela_registros[TIPO],DADOS!$V$3,tabela_registros[CATEGORIA],receitasfixasconsolidadofev[[#This Row],[ATUAL]])</f>
        <v>0</v>
      </c>
      <c r="O82" s="114" t="n">
        <f aca="false">SUMIFS(tabela_registros[VALOR],tabela_registros[MÊS],$AE$1,tabela_registros[DIA],receitasfixasconsolidadofev[[#Headers],[11]],tabela_registros[REGISTRO],DADOS!$N$3,tabela_registros[TIPO],DADOS!$V$3,tabela_registros[CATEGORIA],receitasfixasconsolidadofev[[#This Row],[ATUAL]])</f>
        <v>0</v>
      </c>
      <c r="P82" s="114" t="n">
        <f aca="false">SUMIFS(tabela_registros[VALOR],tabela_registros[MÊS],$AE$1,tabela_registros[DIA],receitasfixasconsolidadofev[[#Headers],[12]],tabela_registros[REGISTRO],DADOS!$N$3,tabela_registros[TIPO],DADOS!$V$3,tabela_registros[CATEGORIA],receitasfixasconsolidadofev[[#This Row],[ATUAL]])</f>
        <v>0</v>
      </c>
      <c r="Q82" s="114" t="n">
        <f aca="false">SUMIFS(tabela_registros[VALOR],tabela_registros[MÊS],$AE$1,tabela_registros[DIA],receitasfixasconsolidadofev[[#Headers],[13]],tabela_registros[REGISTRO],DADOS!$N$3,tabela_registros[TIPO],DADOS!$V$3,tabela_registros[CATEGORIA],receitasfixasconsolidadofev[[#This Row],[ATUAL]])</f>
        <v>0</v>
      </c>
      <c r="R82" s="114" t="n">
        <f aca="false">SUMIFS(tabela_registros[VALOR],tabela_registros[MÊS],$AE$1,tabela_registros[DIA],receitasfixasconsolidadofev[[#Headers],[14]],tabela_registros[REGISTRO],DADOS!$N$3,tabela_registros[TIPO],DADOS!$V$3,tabela_registros[CATEGORIA],receitasfixasconsolidadofev[[#This Row],[ATUAL]])</f>
        <v>0</v>
      </c>
      <c r="S82" s="114" t="n">
        <f aca="false">SUMIFS(tabela_registros[VALOR],tabela_registros[MÊS],$AE$1,tabela_registros[DIA],receitasfixasconsolidadofev[[#Headers],[15]],tabela_registros[REGISTRO],DADOS!$N$3,tabela_registros[TIPO],DADOS!$V$3,tabela_registros[CATEGORIA],receitasfixasconsolidadofev[[#This Row],[ATUAL]])</f>
        <v>0</v>
      </c>
      <c r="T82" s="114" t="n">
        <f aca="false">SUMIFS(tabela_registros[VALOR],tabela_registros[MÊS],$AE$1,tabela_registros[DIA],receitasfixasconsolidadofev[[#Headers],[16]],tabela_registros[REGISTRO],DADOS!$N$3,tabela_registros[TIPO],DADOS!$V$3,tabela_registros[CATEGORIA],receitasfixasconsolidadofev[[#This Row],[ATUAL]])</f>
        <v>0</v>
      </c>
      <c r="U82" s="114" t="n">
        <f aca="false">SUMIFS(tabela_registros[VALOR],tabela_registros[MÊS],$AE$1,tabela_registros[DIA],receitasfixasconsolidadofev[[#Headers],[17]],tabela_registros[REGISTRO],DADOS!$N$3,tabela_registros[TIPO],DADOS!$V$3,tabela_registros[CATEGORIA],receitasfixasconsolidadofev[[#This Row],[ATUAL]])</f>
        <v>0</v>
      </c>
      <c r="V82" s="114" t="n">
        <f aca="false">SUMIFS(tabela_registros[VALOR],tabela_registros[MÊS],$AE$1,tabela_registros[DIA],receitasfixasconsolidadofev[[#Headers],[18]],tabela_registros[REGISTRO],DADOS!$N$3,tabela_registros[TIPO],DADOS!$V$3,tabela_registros[CATEGORIA],receitasfixasconsolidadofev[[#This Row],[ATUAL]])</f>
        <v>0</v>
      </c>
      <c r="W82" s="114" t="n">
        <f aca="false">SUMIFS(tabela_registros[VALOR],tabela_registros[MÊS],$AE$1,tabela_registros[DIA],receitasfixasconsolidadofev[[#Headers],[19]],tabela_registros[REGISTRO],DADOS!$N$3,tabela_registros[TIPO],DADOS!$V$3,tabela_registros[CATEGORIA],receitasfixasconsolidadofev[[#This Row],[ATUAL]])</f>
        <v>0</v>
      </c>
      <c r="X82" s="114" t="n">
        <f aca="false">SUMIFS(tabela_registros[VALOR],tabela_registros[MÊS],$AE$1,tabela_registros[DIA],receitasfixasconsolidadofev[[#Headers],[20]],tabela_registros[REGISTRO],DADOS!$N$3,tabela_registros[TIPO],DADOS!$V$3,tabela_registros[CATEGORIA],receitasfixasconsolidadofev[[#This Row],[ATUAL]])</f>
        <v>0</v>
      </c>
      <c r="Y82" s="114" t="n">
        <f aca="false">SUMIFS(tabela_registros[VALOR],tabela_registros[MÊS],$AE$1,tabela_registros[DIA],receitasfixasconsolidadofev[[#Headers],[21]],tabela_registros[REGISTRO],DADOS!$N$3,tabela_registros[TIPO],DADOS!$V$3,tabela_registros[CATEGORIA],receitasfixasconsolidadofev[[#This Row],[ATUAL]])</f>
        <v>0</v>
      </c>
      <c r="Z82" s="114" t="n">
        <f aca="false">SUMIFS(tabela_registros[VALOR],tabela_registros[MÊS],$AE$1,tabela_registros[DIA],receitasfixasconsolidadofev[[#Headers],[22]],tabela_registros[REGISTRO],DADOS!$N$3,tabela_registros[TIPO],DADOS!$V$3,tabela_registros[CATEGORIA],receitasfixasconsolidadofev[[#This Row],[ATUAL]])</f>
        <v>0</v>
      </c>
      <c r="AA82" s="114" t="n">
        <f aca="false">SUMIFS(tabela_registros[VALOR],tabela_registros[MÊS],$AE$1,tabela_registros[DIA],receitasfixasconsolidadofev[[#Headers],[23]],tabela_registros[REGISTRO],DADOS!$N$3,tabela_registros[TIPO],DADOS!$V$3,tabela_registros[CATEGORIA],receitasfixasconsolidadofev[[#This Row],[ATUAL]])</f>
        <v>0</v>
      </c>
      <c r="AB82" s="114" t="n">
        <f aca="false">SUMIFS(tabela_registros[VALOR],tabela_registros[MÊS],$AE$1,tabela_registros[DIA],receitasfixasconsolidadofev[[#Headers],[24]],tabela_registros[REGISTRO],DADOS!$N$3,tabela_registros[TIPO],DADOS!$V$3,tabela_registros[CATEGORIA],receitasfixasconsolidadofev[[#This Row],[ATUAL]])</f>
        <v>0</v>
      </c>
      <c r="AC82" s="114" t="n">
        <f aca="false">SUMIFS(tabela_registros[VALOR],tabela_registros[MÊS],$AE$1,tabela_registros[DIA],receitasfixasconsolidadofev[[#Headers],[25]],tabela_registros[REGISTRO],DADOS!$N$3,tabela_registros[TIPO],DADOS!$V$3,tabela_registros[CATEGORIA],receitasfixasconsolidadofev[[#This Row],[ATUAL]])</f>
        <v>0</v>
      </c>
      <c r="AD82" s="114" t="n">
        <f aca="false">SUMIFS(tabela_registros[VALOR],tabela_registros[MÊS],$AE$1,tabela_registros[DIA],receitasfixasconsolidadofev[[#Headers],[26]],tabela_registros[REGISTRO],DADOS!$N$3,tabela_registros[TIPO],DADOS!$V$3,tabela_registros[CATEGORIA],receitasfixasconsolidadofev[[#This Row],[ATUAL]])</f>
        <v>0</v>
      </c>
      <c r="AE82" s="114" t="n">
        <f aca="false">SUMIFS(tabela_registros[VALOR],tabela_registros[MÊS],$AE$1,tabela_registros[DIA],receitasfixasconsolidadofev[[#Headers],[27]],tabela_registros[REGISTRO],DADOS!$N$3,tabela_registros[TIPO],DADOS!$V$3,tabela_registros[CATEGORIA],receitasfixasconsolidadofev[[#This Row],[ATUAL]])</f>
        <v>0</v>
      </c>
      <c r="AF82" s="114" t="n">
        <f aca="false">SUMIFS(tabela_registros[VALOR],tabela_registros[MÊS],$AE$1,tabela_registros[DIA],receitasfixasconsolidadofev[[#Headers],[28]],tabela_registros[REGISTRO],DADOS!$N$3,tabela_registros[TIPO],DADOS!$V$3,tabela_registros[CATEGORIA],receitasfixasconsolidadofev[[#This Row],[ATUAL]])</f>
        <v>0</v>
      </c>
      <c r="AG82" s="114" t="n">
        <f aca="false">SUMIFS(tabela_registros[VALOR],tabela_registros[MÊS],$AE$1,tabela_registros[DIA],receitasfixasconsolidadofev[[#Headers],[29]],tabela_registros[REGISTRO],DADOS!$N$3,tabela_registros[TIPO],DADOS!$V$3,tabela_registros[CATEGORIA],receitasfixasconsolidadofev[[#This Row],[ATUAL]])</f>
        <v>0</v>
      </c>
      <c r="AH82" s="114" t="n">
        <f aca="false">SUMIFS(tabela_registros[VALOR],tabela_registros[MÊS],$AE$1,tabela_registros[DIA],receitasfixasconsolidadofev[[#Headers],[30]],tabela_registros[REGISTRO],DADOS!$N$3,tabela_registros[TIPO],DADOS!$V$3,tabela_registros[CATEGORIA],receitasfixasconsolidadofev[[#This Row],[ATUAL]])</f>
        <v>0</v>
      </c>
      <c r="AI82" s="216" t="n">
        <f aca="false">SUMIFS(tabela_registros[VALOR],tabela_registros[MÊS],$AE$1,tabela_registros[DIA],receitasfixasconsolidadofev[[#Headers],[31]],tabela_registros[REGISTRO],DADOS!$N$3,tabela_registros[TIPO],DADOS!$V$3,tabela_registros[CATEGORIA],receitasfixasconsolidadofev[[#This Row],[ATUAL]])</f>
        <v>0</v>
      </c>
      <c r="AJ82" s="149" t="n">
        <f aca="false">SUM(receitasfixasconsolidadofev[[#This Row],[1]:[31]])</f>
        <v>0</v>
      </c>
      <c r="AK82" s="165"/>
    </row>
    <row r="83" customFormat="false" ht="19.5" hidden="false" customHeight="true" outlineLevel="0" collapsed="false">
      <c r="B83" s="143"/>
      <c r="C83" s="144" t="str">
        <f aca="false">DADOS!$X$4</f>
        <v>💸APOSENTADORIA</v>
      </c>
      <c r="D83" s="145" t="str">
        <f aca="false">IF(receitasfixasconsolidadofev[[#This Row],[TOTAL (R$)]]=0,"",IF(OR(receitasfixasconsolidadofev[[#This Row],[TOTAL (R$)]]=LARGE($AJ$82:$AJ$86,1),receitasfixasconsolidadofev[[#This Row],[TOTAL (R$)]]=LARGE($AJ$82:$AJ$86,2)),DADOS!$I$9,""))</f>
        <v/>
      </c>
      <c r="E83" s="148" t="n">
        <f aca="false">SUMIFS(tabela_registros[VALOR],tabela_registros[MÊS],$AE$1,tabela_registros[DIA],receitasfixasconsolidadofev[[#Headers],[1]],tabela_registros[REGISTRO],DADOS!$N$3,tabela_registros[TIPO],DADOS!$V$3,tabela_registros[CATEGORIA],receitasfixasconsolidadofev[[#This Row],[ATUAL]])</f>
        <v>0</v>
      </c>
      <c r="F83" s="119" t="n">
        <f aca="false">SUMIFS(tabela_registros[VALOR],tabela_registros[MÊS],$AE$1,tabela_registros[DIA],receitasfixasconsolidadofev[[#Headers],[2]],tabela_registros[REGISTRO],DADOS!$N$3,tabela_registros[TIPO],DADOS!$V$3,tabela_registros[CATEGORIA],receitasfixasconsolidadofev[[#This Row],[ATUAL]])</f>
        <v>0</v>
      </c>
      <c r="G83" s="119" t="n">
        <f aca="false">SUMIFS(tabela_registros[VALOR],tabela_registros[MÊS],$AE$1,tabela_registros[DIA],receitasfixasconsolidadofev[[#Headers],[3]],tabela_registros[REGISTRO],DADOS!$N$3,tabela_registros[TIPO],DADOS!$V$3,tabela_registros[CATEGORIA],receitasfixasconsolidadofev[[#This Row],[ATUAL]])</f>
        <v>0</v>
      </c>
      <c r="H83" s="119" t="n">
        <f aca="false">SUMIFS(tabela_registros[VALOR],tabela_registros[MÊS],$AE$1,tabela_registros[DIA],receitasfixasconsolidadofev[[#Headers],[4]],tabela_registros[REGISTRO],DADOS!$N$3,tabela_registros[TIPO],DADOS!$V$3,tabela_registros[CATEGORIA],receitasfixasconsolidadofev[[#This Row],[ATUAL]])</f>
        <v>0</v>
      </c>
      <c r="I83" s="119" t="n">
        <f aca="false">SUMIFS(tabela_registros[VALOR],tabela_registros[MÊS],$AE$1,tabela_registros[DIA],receitasfixasconsolidadofev[[#Headers],[5]],tabela_registros[REGISTRO],DADOS!$N$3,tabela_registros[TIPO],DADOS!$V$3,tabela_registros[CATEGORIA],receitasfixasconsolidadofev[[#This Row],[ATUAL]])</f>
        <v>0</v>
      </c>
      <c r="J83" s="119" t="n">
        <f aca="false">SUMIFS(tabela_registros[VALOR],tabela_registros[MÊS],$AE$1,tabela_registros[DIA],receitasfixasconsolidadofev[[#Headers],[6]],tabela_registros[REGISTRO],DADOS!$N$3,tabela_registros[TIPO],DADOS!$V$3,tabela_registros[CATEGORIA],receitasfixasconsolidadofev[[#This Row],[ATUAL]])</f>
        <v>0</v>
      </c>
      <c r="K83" s="119" t="n">
        <f aca="false">SUMIFS(tabela_registros[VALOR],tabela_registros[MÊS],$AE$1,tabela_registros[DIA],receitasfixasconsolidadofev[[#Headers],[7]],tabela_registros[REGISTRO],DADOS!$N$3,tabela_registros[TIPO],DADOS!$V$3,tabela_registros[CATEGORIA],receitasfixasconsolidadofev[[#This Row],[ATUAL]])</f>
        <v>0</v>
      </c>
      <c r="L83" s="119" t="n">
        <f aca="false">SUMIFS(tabela_registros[VALOR],tabela_registros[MÊS],$AE$1,tabela_registros[DIA],receitasfixasconsolidadofev[[#Headers],[8]],tabela_registros[REGISTRO],DADOS!$N$3,tabela_registros[TIPO],DADOS!$V$3,tabela_registros[CATEGORIA],receitasfixasconsolidadofev[[#This Row],[ATUAL]])</f>
        <v>0</v>
      </c>
      <c r="M83" s="119" t="n">
        <f aca="false">SUMIFS(tabela_registros[VALOR],tabela_registros[MÊS],$AE$1,tabela_registros[DIA],receitasfixasconsolidadofev[[#Headers],[9]],tabela_registros[REGISTRO],DADOS!$N$3,tabela_registros[TIPO],DADOS!$V$3,tabela_registros[CATEGORIA],receitasfixasconsolidadofev[[#This Row],[ATUAL]])</f>
        <v>0</v>
      </c>
      <c r="N83" s="119" t="n">
        <f aca="false">SUMIFS(tabela_registros[VALOR],tabela_registros[MÊS],$AE$1,tabela_registros[DIA],receitasfixasconsolidadofev[[#Headers],[10]],tabela_registros[REGISTRO],DADOS!$N$3,tabela_registros[TIPO],DADOS!$V$3,tabela_registros[CATEGORIA],receitasfixasconsolidadofev[[#This Row],[ATUAL]])</f>
        <v>0</v>
      </c>
      <c r="O83" s="119" t="n">
        <f aca="false">SUMIFS(tabela_registros[VALOR],tabela_registros[MÊS],$AE$1,tabela_registros[DIA],receitasfixasconsolidadofev[[#Headers],[11]],tabela_registros[REGISTRO],DADOS!$N$3,tabela_registros[TIPO],DADOS!$V$3,tabela_registros[CATEGORIA],receitasfixasconsolidadofev[[#This Row],[ATUAL]])</f>
        <v>0</v>
      </c>
      <c r="P83" s="119" t="n">
        <f aca="false">SUMIFS(tabela_registros[VALOR],tabela_registros[MÊS],$AE$1,tabela_registros[DIA],receitasfixasconsolidadofev[[#Headers],[12]],tabela_registros[REGISTRO],DADOS!$N$3,tabela_registros[TIPO],DADOS!$V$3,tabela_registros[CATEGORIA],receitasfixasconsolidadofev[[#This Row],[ATUAL]])</f>
        <v>0</v>
      </c>
      <c r="Q83" s="119" t="n">
        <f aca="false">SUMIFS(tabela_registros[VALOR],tabela_registros[MÊS],$AE$1,tabela_registros[DIA],receitasfixasconsolidadofev[[#Headers],[13]],tabela_registros[REGISTRO],DADOS!$N$3,tabela_registros[TIPO],DADOS!$V$3,tabela_registros[CATEGORIA],receitasfixasconsolidadofev[[#This Row],[ATUAL]])</f>
        <v>0</v>
      </c>
      <c r="R83" s="119" t="n">
        <f aca="false">SUMIFS(tabela_registros[VALOR],tabela_registros[MÊS],$AE$1,tabela_registros[DIA],receitasfixasconsolidadofev[[#Headers],[14]],tabela_registros[REGISTRO],DADOS!$N$3,tabela_registros[TIPO],DADOS!$V$3,tabela_registros[CATEGORIA],receitasfixasconsolidadofev[[#This Row],[ATUAL]])</f>
        <v>0</v>
      </c>
      <c r="S83" s="119" t="n">
        <f aca="false">SUMIFS(tabela_registros[VALOR],tabela_registros[MÊS],$AE$1,tabela_registros[DIA],receitasfixasconsolidadofev[[#Headers],[15]],tabela_registros[REGISTRO],DADOS!$N$3,tabela_registros[TIPO],DADOS!$V$3,tabela_registros[CATEGORIA],receitasfixasconsolidadofev[[#This Row],[ATUAL]])</f>
        <v>0</v>
      </c>
      <c r="T83" s="119" t="n">
        <f aca="false">SUMIFS(tabela_registros[VALOR],tabela_registros[MÊS],$AE$1,tabela_registros[DIA],receitasfixasconsolidadofev[[#Headers],[16]],tabela_registros[REGISTRO],DADOS!$N$3,tabela_registros[TIPO],DADOS!$V$3,tabela_registros[CATEGORIA],receitasfixasconsolidadofev[[#This Row],[ATUAL]])</f>
        <v>0</v>
      </c>
      <c r="U83" s="119" t="n">
        <f aca="false">SUMIFS(tabela_registros[VALOR],tabela_registros[MÊS],$AE$1,tabela_registros[DIA],receitasfixasconsolidadofev[[#Headers],[17]],tabela_registros[REGISTRO],DADOS!$N$3,tabela_registros[TIPO],DADOS!$V$3,tabela_registros[CATEGORIA],receitasfixasconsolidadofev[[#This Row],[ATUAL]])</f>
        <v>0</v>
      </c>
      <c r="V83" s="119" t="n">
        <f aca="false">SUMIFS(tabela_registros[VALOR],tabela_registros[MÊS],$AE$1,tabela_registros[DIA],receitasfixasconsolidadofev[[#Headers],[18]],tabela_registros[REGISTRO],DADOS!$N$3,tabela_registros[TIPO],DADOS!$V$3,tabela_registros[CATEGORIA],receitasfixasconsolidadofev[[#This Row],[ATUAL]])</f>
        <v>0</v>
      </c>
      <c r="W83" s="119" t="n">
        <f aca="false">SUMIFS(tabela_registros[VALOR],tabela_registros[MÊS],$AE$1,tabela_registros[DIA],receitasfixasconsolidadofev[[#Headers],[19]],tabela_registros[REGISTRO],DADOS!$N$3,tabela_registros[TIPO],DADOS!$V$3,tabela_registros[CATEGORIA],receitasfixasconsolidadofev[[#This Row],[ATUAL]])</f>
        <v>0</v>
      </c>
      <c r="X83" s="119" t="n">
        <f aca="false">SUMIFS(tabela_registros[VALOR],tabela_registros[MÊS],$AE$1,tabela_registros[DIA],receitasfixasconsolidadofev[[#Headers],[20]],tabela_registros[REGISTRO],DADOS!$N$3,tabela_registros[TIPO],DADOS!$V$3,tabela_registros[CATEGORIA],receitasfixasconsolidadofev[[#This Row],[ATUAL]])</f>
        <v>0</v>
      </c>
      <c r="Y83" s="119" t="n">
        <f aca="false">SUMIFS(tabela_registros[VALOR],tabela_registros[MÊS],$AE$1,tabela_registros[DIA],receitasfixasconsolidadofev[[#Headers],[21]],tabela_registros[REGISTRO],DADOS!$N$3,tabela_registros[TIPO],DADOS!$V$3,tabela_registros[CATEGORIA],receitasfixasconsolidadofev[[#This Row],[ATUAL]])</f>
        <v>0</v>
      </c>
      <c r="Z83" s="119" t="n">
        <f aca="false">SUMIFS(tabela_registros[VALOR],tabela_registros[MÊS],$AE$1,tabela_registros[DIA],receitasfixasconsolidadofev[[#Headers],[22]],tabela_registros[REGISTRO],DADOS!$N$3,tabela_registros[TIPO],DADOS!$V$3,tabela_registros[CATEGORIA],receitasfixasconsolidadofev[[#This Row],[ATUAL]])</f>
        <v>0</v>
      </c>
      <c r="AA83" s="119" t="n">
        <f aca="false">SUMIFS(tabela_registros[VALOR],tabela_registros[MÊS],$AE$1,tabela_registros[DIA],receitasfixasconsolidadofev[[#Headers],[23]],tabela_registros[REGISTRO],DADOS!$N$3,tabela_registros[TIPO],DADOS!$V$3,tabela_registros[CATEGORIA],receitasfixasconsolidadofev[[#This Row],[ATUAL]])</f>
        <v>0</v>
      </c>
      <c r="AB83" s="119" t="n">
        <f aca="false">SUMIFS(tabela_registros[VALOR],tabela_registros[MÊS],$AE$1,tabela_registros[DIA],receitasfixasconsolidadofev[[#Headers],[24]],tabela_registros[REGISTRO],DADOS!$N$3,tabela_registros[TIPO],DADOS!$V$3,tabela_registros[CATEGORIA],receitasfixasconsolidadofev[[#This Row],[ATUAL]])</f>
        <v>0</v>
      </c>
      <c r="AC83" s="119" t="n">
        <f aca="false">SUMIFS(tabela_registros[VALOR],tabela_registros[MÊS],$AE$1,tabela_registros[DIA],receitasfixasconsolidadofev[[#Headers],[25]],tabela_registros[REGISTRO],DADOS!$N$3,tabela_registros[TIPO],DADOS!$V$3,tabela_registros[CATEGORIA],receitasfixasconsolidadofev[[#This Row],[ATUAL]])</f>
        <v>0</v>
      </c>
      <c r="AD83" s="119" t="n">
        <f aca="false">SUMIFS(tabela_registros[VALOR],tabela_registros[MÊS],$AE$1,tabela_registros[DIA],receitasfixasconsolidadofev[[#Headers],[26]],tabela_registros[REGISTRO],DADOS!$N$3,tabela_registros[TIPO],DADOS!$V$3,tabela_registros[CATEGORIA],receitasfixasconsolidadofev[[#This Row],[ATUAL]])</f>
        <v>0</v>
      </c>
      <c r="AE83" s="119" t="n">
        <f aca="false">SUMIFS(tabela_registros[VALOR],tabela_registros[MÊS],$AE$1,tabela_registros[DIA],receitasfixasconsolidadofev[[#Headers],[27]],tabela_registros[REGISTRO],DADOS!$N$3,tabela_registros[TIPO],DADOS!$V$3,tabela_registros[CATEGORIA],receitasfixasconsolidadofev[[#This Row],[ATUAL]])</f>
        <v>0</v>
      </c>
      <c r="AF83" s="119" t="n">
        <f aca="false">SUMIFS(tabela_registros[VALOR],tabela_registros[MÊS],$AE$1,tabela_registros[DIA],receitasfixasconsolidadofev[[#Headers],[28]],tabela_registros[REGISTRO],DADOS!$N$3,tabela_registros[TIPO],DADOS!$V$3,tabela_registros[CATEGORIA],receitasfixasconsolidadofev[[#This Row],[ATUAL]])</f>
        <v>0</v>
      </c>
      <c r="AG83" s="119" t="n">
        <f aca="false">SUMIFS(tabela_registros[VALOR],tabela_registros[MÊS],$AE$1,tabela_registros[DIA],receitasfixasconsolidadofev[[#Headers],[29]],tabela_registros[REGISTRO],DADOS!$N$3,tabela_registros[TIPO],DADOS!$V$3,tabela_registros[CATEGORIA],receitasfixasconsolidadofev[[#This Row],[ATUAL]])</f>
        <v>0</v>
      </c>
      <c r="AH83" s="119" t="n">
        <f aca="false">SUMIFS(tabela_registros[VALOR],tabela_registros[MÊS],$AE$1,tabela_registros[DIA],receitasfixasconsolidadofev[[#Headers],[30]],tabela_registros[REGISTRO],DADOS!$N$3,tabela_registros[TIPO],DADOS!$V$3,tabela_registros[CATEGORIA],receitasfixasconsolidadofev[[#This Row],[ATUAL]])</f>
        <v>0</v>
      </c>
      <c r="AI83" s="217" t="n">
        <f aca="false">SUMIFS(tabela_registros[VALOR],tabela_registros[MÊS],$AE$1,tabela_registros[DIA],receitasfixasconsolidadofev[[#Headers],[31]],tabela_registros[REGISTRO],DADOS!$N$3,tabela_registros[TIPO],DADOS!$V$3,tabela_registros[CATEGORIA],receitasfixasconsolidadofev[[#This Row],[ATUAL]])</f>
        <v>0</v>
      </c>
      <c r="AJ83" s="149" t="n">
        <f aca="false">SUM(receitasfixasconsolidadofev[[#This Row],[1]:[31]])</f>
        <v>0</v>
      </c>
      <c r="AK83" s="165"/>
    </row>
    <row r="84" customFormat="false" ht="19.5" hidden="false" customHeight="true" outlineLevel="0" collapsed="false">
      <c r="B84" s="143"/>
      <c r="C84" s="144" t="str">
        <f aca="false">DADOS!$X$5</f>
        <v>🎀 MESADA</v>
      </c>
      <c r="D84" s="145" t="str">
        <f aca="false">IF(receitasfixasconsolidadofev[[#This Row],[TOTAL (R$)]]=0,"",IF(OR(receitasfixasconsolidadofev[[#This Row],[TOTAL (R$)]]=LARGE($AJ$82:$AJ$86,1),receitasfixasconsolidadofev[[#This Row],[TOTAL (R$)]]=LARGE($AJ$82:$AJ$86,2)),DADOS!$I$9,""))</f>
        <v/>
      </c>
      <c r="E84" s="148" t="n">
        <f aca="false">SUMIFS(tabela_registros[VALOR],tabela_registros[MÊS],$AE$1,tabela_registros[DIA],receitasfixasconsolidadofev[[#Headers],[1]],tabela_registros[REGISTRO],DADOS!$N$3,tabela_registros[TIPO],DADOS!$V$3,tabela_registros[CATEGORIA],receitasfixasconsolidadofev[[#This Row],[ATUAL]])</f>
        <v>0</v>
      </c>
      <c r="F84" s="119" t="n">
        <f aca="false">SUMIFS(tabela_registros[VALOR],tabela_registros[MÊS],$AE$1,tabela_registros[DIA],receitasfixasconsolidadofev[[#Headers],[2]],tabela_registros[REGISTRO],DADOS!$N$3,tabela_registros[TIPO],DADOS!$V$3,tabela_registros[CATEGORIA],receitasfixasconsolidadofev[[#This Row],[ATUAL]])</f>
        <v>0</v>
      </c>
      <c r="G84" s="119" t="n">
        <f aca="false">SUMIFS(tabela_registros[VALOR],tabela_registros[MÊS],$AE$1,tabela_registros[DIA],receitasfixasconsolidadofev[[#Headers],[3]],tabela_registros[REGISTRO],DADOS!$N$3,tabela_registros[TIPO],DADOS!$V$3,tabela_registros[CATEGORIA],receitasfixasconsolidadofev[[#This Row],[ATUAL]])</f>
        <v>0</v>
      </c>
      <c r="H84" s="119" t="n">
        <f aca="false">SUMIFS(tabela_registros[VALOR],tabela_registros[MÊS],$AE$1,tabela_registros[DIA],receitasfixasconsolidadofev[[#Headers],[4]],tabela_registros[REGISTRO],DADOS!$N$3,tabela_registros[TIPO],DADOS!$V$3,tabela_registros[CATEGORIA],receitasfixasconsolidadofev[[#This Row],[ATUAL]])</f>
        <v>0</v>
      </c>
      <c r="I84" s="119" t="n">
        <f aca="false">SUMIFS(tabela_registros[VALOR],tabela_registros[MÊS],$AE$1,tabela_registros[DIA],receitasfixasconsolidadofev[[#Headers],[5]],tabela_registros[REGISTRO],DADOS!$N$3,tabela_registros[TIPO],DADOS!$V$3,tabela_registros[CATEGORIA],receitasfixasconsolidadofev[[#This Row],[ATUAL]])</f>
        <v>0</v>
      </c>
      <c r="J84" s="119" t="n">
        <f aca="false">SUMIFS(tabela_registros[VALOR],tabela_registros[MÊS],$AE$1,tabela_registros[DIA],receitasfixasconsolidadofev[[#Headers],[6]],tabela_registros[REGISTRO],DADOS!$N$3,tabela_registros[TIPO],DADOS!$V$3,tabela_registros[CATEGORIA],receitasfixasconsolidadofev[[#This Row],[ATUAL]])</f>
        <v>0</v>
      </c>
      <c r="K84" s="119" t="n">
        <f aca="false">SUMIFS(tabela_registros[VALOR],tabela_registros[MÊS],$AE$1,tabela_registros[DIA],receitasfixasconsolidadofev[[#Headers],[7]],tabela_registros[REGISTRO],DADOS!$N$3,tabela_registros[TIPO],DADOS!$V$3,tabela_registros[CATEGORIA],receitasfixasconsolidadofev[[#This Row],[ATUAL]])</f>
        <v>0</v>
      </c>
      <c r="L84" s="119" t="n">
        <f aca="false">SUMIFS(tabela_registros[VALOR],tabela_registros[MÊS],$AE$1,tabela_registros[DIA],receitasfixasconsolidadofev[[#Headers],[8]],tabela_registros[REGISTRO],DADOS!$N$3,tabela_registros[TIPO],DADOS!$V$3,tabela_registros[CATEGORIA],receitasfixasconsolidadofev[[#This Row],[ATUAL]])</f>
        <v>0</v>
      </c>
      <c r="M84" s="119" t="n">
        <f aca="false">SUMIFS(tabela_registros[VALOR],tabela_registros[MÊS],$AE$1,tabela_registros[DIA],receitasfixasconsolidadofev[[#Headers],[9]],tabela_registros[REGISTRO],DADOS!$N$3,tabela_registros[TIPO],DADOS!$V$3,tabela_registros[CATEGORIA],receitasfixasconsolidadofev[[#This Row],[ATUAL]])</f>
        <v>0</v>
      </c>
      <c r="N84" s="119" t="n">
        <f aca="false">SUMIFS(tabela_registros[VALOR],tabela_registros[MÊS],$AE$1,tabela_registros[DIA],receitasfixasconsolidadofev[[#Headers],[10]],tabela_registros[REGISTRO],DADOS!$N$3,tabela_registros[TIPO],DADOS!$V$3,tabela_registros[CATEGORIA],receitasfixasconsolidadofev[[#This Row],[ATUAL]])</f>
        <v>0</v>
      </c>
      <c r="O84" s="119" t="n">
        <f aca="false">SUMIFS(tabela_registros[VALOR],tabela_registros[MÊS],$AE$1,tabela_registros[DIA],receitasfixasconsolidadofev[[#Headers],[11]],tabela_registros[REGISTRO],DADOS!$N$3,tabela_registros[TIPO],DADOS!$V$3,tabela_registros[CATEGORIA],receitasfixasconsolidadofev[[#This Row],[ATUAL]])</f>
        <v>0</v>
      </c>
      <c r="P84" s="119" t="n">
        <f aca="false">SUMIFS(tabela_registros[VALOR],tabela_registros[MÊS],$AE$1,tabela_registros[DIA],receitasfixasconsolidadofev[[#Headers],[12]],tabela_registros[REGISTRO],DADOS!$N$3,tabela_registros[TIPO],DADOS!$V$3,tabela_registros[CATEGORIA],receitasfixasconsolidadofev[[#This Row],[ATUAL]])</f>
        <v>0</v>
      </c>
      <c r="Q84" s="119" t="n">
        <f aca="false">SUMIFS(tabela_registros[VALOR],tabela_registros[MÊS],$AE$1,tabela_registros[DIA],receitasfixasconsolidadofev[[#Headers],[13]],tabela_registros[REGISTRO],DADOS!$N$3,tabela_registros[TIPO],DADOS!$V$3,tabela_registros[CATEGORIA],receitasfixasconsolidadofev[[#This Row],[ATUAL]])</f>
        <v>0</v>
      </c>
      <c r="R84" s="119" t="n">
        <f aca="false">SUMIFS(tabela_registros[VALOR],tabela_registros[MÊS],$AE$1,tabela_registros[DIA],receitasfixasconsolidadofev[[#Headers],[14]],tabela_registros[REGISTRO],DADOS!$N$3,tabela_registros[TIPO],DADOS!$V$3,tabela_registros[CATEGORIA],receitasfixasconsolidadofev[[#This Row],[ATUAL]])</f>
        <v>0</v>
      </c>
      <c r="S84" s="119" t="n">
        <f aca="false">SUMIFS(tabela_registros[VALOR],tabela_registros[MÊS],$AE$1,tabela_registros[DIA],receitasfixasconsolidadofev[[#Headers],[15]],tabela_registros[REGISTRO],DADOS!$N$3,tabela_registros[TIPO],DADOS!$V$3,tabela_registros[CATEGORIA],receitasfixasconsolidadofev[[#This Row],[ATUAL]])</f>
        <v>0</v>
      </c>
      <c r="T84" s="119" t="n">
        <f aca="false">SUMIFS(tabela_registros[VALOR],tabela_registros[MÊS],$AE$1,tabela_registros[DIA],receitasfixasconsolidadofev[[#Headers],[16]],tabela_registros[REGISTRO],DADOS!$N$3,tabela_registros[TIPO],DADOS!$V$3,tabela_registros[CATEGORIA],receitasfixasconsolidadofev[[#This Row],[ATUAL]])</f>
        <v>0</v>
      </c>
      <c r="U84" s="119" t="n">
        <f aca="false">SUMIFS(tabela_registros[VALOR],tabela_registros[MÊS],$AE$1,tabela_registros[DIA],receitasfixasconsolidadofev[[#Headers],[17]],tabela_registros[REGISTRO],DADOS!$N$3,tabela_registros[TIPO],DADOS!$V$3,tabela_registros[CATEGORIA],receitasfixasconsolidadofev[[#This Row],[ATUAL]])</f>
        <v>0</v>
      </c>
      <c r="V84" s="119" t="n">
        <f aca="false">SUMIFS(tabela_registros[VALOR],tabela_registros[MÊS],$AE$1,tabela_registros[DIA],receitasfixasconsolidadofev[[#Headers],[18]],tabela_registros[REGISTRO],DADOS!$N$3,tabela_registros[TIPO],DADOS!$V$3,tabela_registros[CATEGORIA],receitasfixasconsolidadofev[[#This Row],[ATUAL]])</f>
        <v>0</v>
      </c>
      <c r="W84" s="119" t="n">
        <f aca="false">SUMIFS(tabela_registros[VALOR],tabela_registros[MÊS],$AE$1,tabela_registros[DIA],receitasfixasconsolidadofev[[#Headers],[19]],tabela_registros[REGISTRO],DADOS!$N$3,tabela_registros[TIPO],DADOS!$V$3,tabela_registros[CATEGORIA],receitasfixasconsolidadofev[[#This Row],[ATUAL]])</f>
        <v>0</v>
      </c>
      <c r="X84" s="119" t="n">
        <f aca="false">SUMIFS(tabela_registros[VALOR],tabela_registros[MÊS],$AE$1,tabela_registros[DIA],receitasfixasconsolidadofev[[#Headers],[20]],tabela_registros[REGISTRO],DADOS!$N$3,tabela_registros[TIPO],DADOS!$V$3,tabela_registros[CATEGORIA],receitasfixasconsolidadofev[[#This Row],[ATUAL]])</f>
        <v>0</v>
      </c>
      <c r="Y84" s="119" t="n">
        <f aca="false">SUMIFS(tabela_registros[VALOR],tabela_registros[MÊS],$AE$1,tabela_registros[DIA],receitasfixasconsolidadofev[[#Headers],[21]],tabela_registros[REGISTRO],DADOS!$N$3,tabela_registros[TIPO],DADOS!$V$3,tabela_registros[CATEGORIA],receitasfixasconsolidadofev[[#This Row],[ATUAL]])</f>
        <v>0</v>
      </c>
      <c r="Z84" s="119" t="n">
        <f aca="false">SUMIFS(tabela_registros[VALOR],tabela_registros[MÊS],$AE$1,tabela_registros[DIA],receitasfixasconsolidadofev[[#Headers],[22]],tabela_registros[REGISTRO],DADOS!$N$3,tabela_registros[TIPO],DADOS!$V$3,tabela_registros[CATEGORIA],receitasfixasconsolidadofev[[#This Row],[ATUAL]])</f>
        <v>0</v>
      </c>
      <c r="AA84" s="119" t="n">
        <f aca="false">SUMIFS(tabela_registros[VALOR],tabela_registros[MÊS],$AE$1,tabela_registros[DIA],receitasfixasconsolidadofev[[#Headers],[23]],tabela_registros[REGISTRO],DADOS!$N$3,tabela_registros[TIPO],DADOS!$V$3,tabela_registros[CATEGORIA],receitasfixasconsolidadofev[[#This Row],[ATUAL]])</f>
        <v>0</v>
      </c>
      <c r="AB84" s="119" t="n">
        <f aca="false">SUMIFS(tabela_registros[VALOR],tabela_registros[MÊS],$AE$1,tabela_registros[DIA],receitasfixasconsolidadofev[[#Headers],[24]],tabela_registros[REGISTRO],DADOS!$N$3,tabela_registros[TIPO],DADOS!$V$3,tabela_registros[CATEGORIA],receitasfixasconsolidadofev[[#This Row],[ATUAL]])</f>
        <v>0</v>
      </c>
      <c r="AC84" s="119" t="n">
        <f aca="false">SUMIFS(tabela_registros[VALOR],tabela_registros[MÊS],$AE$1,tabela_registros[DIA],receitasfixasconsolidadofev[[#Headers],[25]],tabela_registros[REGISTRO],DADOS!$N$3,tabela_registros[TIPO],DADOS!$V$3,tabela_registros[CATEGORIA],receitasfixasconsolidadofev[[#This Row],[ATUAL]])</f>
        <v>0</v>
      </c>
      <c r="AD84" s="119" t="n">
        <f aca="false">SUMIFS(tabela_registros[VALOR],tabela_registros[MÊS],$AE$1,tabela_registros[DIA],receitasfixasconsolidadofev[[#Headers],[26]],tabela_registros[REGISTRO],DADOS!$N$3,tabela_registros[TIPO],DADOS!$V$3,tabela_registros[CATEGORIA],receitasfixasconsolidadofev[[#This Row],[ATUAL]])</f>
        <v>0</v>
      </c>
      <c r="AE84" s="119" t="n">
        <f aca="false">SUMIFS(tabela_registros[VALOR],tabela_registros[MÊS],$AE$1,tabela_registros[DIA],receitasfixasconsolidadofev[[#Headers],[27]],tabela_registros[REGISTRO],DADOS!$N$3,tabela_registros[TIPO],DADOS!$V$3,tabela_registros[CATEGORIA],receitasfixasconsolidadofev[[#This Row],[ATUAL]])</f>
        <v>0</v>
      </c>
      <c r="AF84" s="119" t="n">
        <f aca="false">SUMIFS(tabela_registros[VALOR],tabela_registros[MÊS],$AE$1,tabela_registros[DIA],receitasfixasconsolidadofev[[#Headers],[28]],tabela_registros[REGISTRO],DADOS!$N$3,tabela_registros[TIPO],DADOS!$V$3,tabela_registros[CATEGORIA],receitasfixasconsolidadofev[[#This Row],[ATUAL]])</f>
        <v>0</v>
      </c>
      <c r="AG84" s="119" t="n">
        <f aca="false">SUMIFS(tabela_registros[VALOR],tabela_registros[MÊS],$AE$1,tabela_registros[DIA],receitasfixasconsolidadofev[[#Headers],[29]],tabela_registros[REGISTRO],DADOS!$N$3,tabela_registros[TIPO],DADOS!$V$3,tabela_registros[CATEGORIA],receitasfixasconsolidadofev[[#This Row],[ATUAL]])</f>
        <v>0</v>
      </c>
      <c r="AH84" s="119" t="n">
        <f aca="false">SUMIFS(tabela_registros[VALOR],tabela_registros[MÊS],$AE$1,tabela_registros[DIA],receitasfixasconsolidadofev[[#Headers],[30]],tabela_registros[REGISTRO],DADOS!$N$3,tabela_registros[TIPO],DADOS!$V$3,tabela_registros[CATEGORIA],receitasfixasconsolidadofev[[#This Row],[ATUAL]])</f>
        <v>0</v>
      </c>
      <c r="AI84" s="217" t="n">
        <f aca="false">SUMIFS(tabela_registros[VALOR],tabela_registros[MÊS],$AE$1,tabela_registros[DIA],receitasfixasconsolidadofev[[#Headers],[31]],tabela_registros[REGISTRO],DADOS!$N$3,tabela_registros[TIPO],DADOS!$V$3,tabela_registros[CATEGORIA],receitasfixasconsolidadofev[[#This Row],[ATUAL]])</f>
        <v>0</v>
      </c>
      <c r="AJ84" s="149" t="n">
        <f aca="false">SUM(receitasfixasconsolidadofev[[#This Row],[1]:[31]])</f>
        <v>0</v>
      </c>
      <c r="AK84" s="165"/>
    </row>
    <row r="85" customFormat="false" ht="19.5" hidden="false" customHeight="true" outlineLevel="0" collapsed="false">
      <c r="B85" s="143"/>
      <c r="C85" s="144" t="str">
        <f aca="false">DADOS!$X$6</f>
        <v>💰 SALÁRIO</v>
      </c>
      <c r="D85" s="145" t="str">
        <f aca="false">IF(receitasfixasconsolidadofev[[#This Row],[TOTAL (R$)]]=0,"",IF(OR(receitasfixasconsolidadofev[[#This Row],[TOTAL (R$)]]=LARGE($AJ$82:$AJ$86,1),receitasfixasconsolidadofev[[#This Row],[TOTAL (R$)]]=LARGE($AJ$82:$AJ$86,2)),DADOS!$I$9,""))</f>
        <v/>
      </c>
      <c r="E85" s="148" t="n">
        <f aca="false">SUMIFS(tabela_registros[VALOR],tabela_registros[MÊS],$AE$1,tabela_registros[DIA],receitasfixasconsolidadofev[[#Headers],[1]],tabela_registros[REGISTRO],DADOS!$N$3,tabela_registros[TIPO],DADOS!$V$3,tabela_registros[CATEGORIA],receitasfixasconsolidadofev[[#This Row],[ATUAL]])</f>
        <v>0</v>
      </c>
      <c r="F85" s="119" t="n">
        <f aca="false">SUMIFS(tabela_registros[VALOR],tabela_registros[MÊS],$AE$1,tabela_registros[DIA],receitasfixasconsolidadofev[[#Headers],[2]],tabela_registros[REGISTRO],DADOS!$N$3,tabela_registros[TIPO],DADOS!$V$3,tabela_registros[CATEGORIA],receitasfixasconsolidadofev[[#This Row],[ATUAL]])</f>
        <v>0</v>
      </c>
      <c r="G85" s="119" t="n">
        <f aca="false">SUMIFS(tabela_registros[VALOR],tabela_registros[MÊS],$AE$1,tabela_registros[DIA],receitasfixasconsolidadofev[[#Headers],[3]],tabela_registros[REGISTRO],DADOS!$N$3,tabela_registros[TIPO],DADOS!$V$3,tabela_registros[CATEGORIA],receitasfixasconsolidadofev[[#This Row],[ATUAL]])</f>
        <v>0</v>
      </c>
      <c r="H85" s="119" t="n">
        <f aca="false">SUMIFS(tabela_registros[VALOR],tabela_registros[MÊS],$AE$1,tabela_registros[DIA],receitasfixasconsolidadofev[[#Headers],[4]],tabela_registros[REGISTRO],DADOS!$N$3,tabela_registros[TIPO],DADOS!$V$3,tabela_registros[CATEGORIA],receitasfixasconsolidadofev[[#This Row],[ATUAL]])</f>
        <v>0</v>
      </c>
      <c r="I85" s="119" t="n">
        <f aca="false">SUMIFS(tabela_registros[VALOR],tabela_registros[MÊS],$AE$1,tabela_registros[DIA],receitasfixasconsolidadofev[[#Headers],[5]],tabela_registros[REGISTRO],DADOS!$N$3,tabela_registros[TIPO],DADOS!$V$3,tabela_registros[CATEGORIA],receitasfixasconsolidadofev[[#This Row],[ATUAL]])</f>
        <v>0</v>
      </c>
      <c r="J85" s="119" t="n">
        <f aca="false">SUMIFS(tabela_registros[VALOR],tabela_registros[MÊS],$AE$1,tabela_registros[DIA],receitasfixasconsolidadofev[[#Headers],[6]],tabela_registros[REGISTRO],DADOS!$N$3,tabela_registros[TIPO],DADOS!$V$3,tabela_registros[CATEGORIA],receitasfixasconsolidadofev[[#This Row],[ATUAL]])</f>
        <v>0</v>
      </c>
      <c r="K85" s="119" t="n">
        <f aca="false">SUMIFS(tabela_registros[VALOR],tabela_registros[MÊS],$AE$1,tabela_registros[DIA],receitasfixasconsolidadofev[[#Headers],[7]],tabela_registros[REGISTRO],DADOS!$N$3,tabela_registros[TIPO],DADOS!$V$3,tabela_registros[CATEGORIA],receitasfixasconsolidadofev[[#This Row],[ATUAL]])</f>
        <v>0</v>
      </c>
      <c r="L85" s="119" t="n">
        <f aca="false">SUMIFS(tabela_registros[VALOR],tabela_registros[MÊS],$AE$1,tabela_registros[DIA],receitasfixasconsolidadofev[[#Headers],[8]],tabela_registros[REGISTRO],DADOS!$N$3,tabela_registros[TIPO],DADOS!$V$3,tabela_registros[CATEGORIA],receitasfixasconsolidadofev[[#This Row],[ATUAL]])</f>
        <v>0</v>
      </c>
      <c r="M85" s="119" t="n">
        <f aca="false">SUMIFS(tabela_registros[VALOR],tabela_registros[MÊS],$AE$1,tabela_registros[DIA],receitasfixasconsolidadofev[[#Headers],[9]],tabela_registros[REGISTRO],DADOS!$N$3,tabela_registros[TIPO],DADOS!$V$3,tabela_registros[CATEGORIA],receitasfixasconsolidadofev[[#This Row],[ATUAL]])</f>
        <v>0</v>
      </c>
      <c r="N85" s="119" t="n">
        <f aca="false">SUMIFS(tabela_registros[VALOR],tabela_registros[MÊS],$AE$1,tabela_registros[DIA],receitasfixasconsolidadofev[[#Headers],[10]],tabela_registros[REGISTRO],DADOS!$N$3,tabela_registros[TIPO],DADOS!$V$3,tabela_registros[CATEGORIA],receitasfixasconsolidadofev[[#This Row],[ATUAL]])</f>
        <v>0</v>
      </c>
      <c r="O85" s="119" t="n">
        <f aca="false">SUMIFS(tabela_registros[VALOR],tabela_registros[MÊS],$AE$1,tabela_registros[DIA],receitasfixasconsolidadofev[[#Headers],[11]],tabela_registros[REGISTRO],DADOS!$N$3,tabela_registros[TIPO],DADOS!$V$3,tabela_registros[CATEGORIA],receitasfixasconsolidadofev[[#This Row],[ATUAL]])</f>
        <v>0</v>
      </c>
      <c r="P85" s="119" t="n">
        <f aca="false">SUMIFS(tabela_registros[VALOR],tabela_registros[MÊS],$AE$1,tabela_registros[DIA],receitasfixasconsolidadofev[[#Headers],[12]],tabela_registros[REGISTRO],DADOS!$N$3,tabela_registros[TIPO],DADOS!$V$3,tabela_registros[CATEGORIA],receitasfixasconsolidadofev[[#This Row],[ATUAL]])</f>
        <v>0</v>
      </c>
      <c r="Q85" s="119" t="n">
        <f aca="false">SUMIFS(tabela_registros[VALOR],tabela_registros[MÊS],$AE$1,tabela_registros[DIA],receitasfixasconsolidadofev[[#Headers],[13]],tabela_registros[REGISTRO],DADOS!$N$3,tabela_registros[TIPO],DADOS!$V$3,tabela_registros[CATEGORIA],receitasfixasconsolidadofev[[#This Row],[ATUAL]])</f>
        <v>0</v>
      </c>
      <c r="R85" s="119" t="n">
        <f aca="false">SUMIFS(tabela_registros[VALOR],tabela_registros[MÊS],$AE$1,tabela_registros[DIA],receitasfixasconsolidadofev[[#Headers],[14]],tabela_registros[REGISTRO],DADOS!$N$3,tabela_registros[TIPO],DADOS!$V$3,tabela_registros[CATEGORIA],receitasfixasconsolidadofev[[#This Row],[ATUAL]])</f>
        <v>0</v>
      </c>
      <c r="S85" s="119" t="n">
        <f aca="false">SUMIFS(tabela_registros[VALOR],tabela_registros[MÊS],$AE$1,tabela_registros[DIA],receitasfixasconsolidadofev[[#Headers],[15]],tabela_registros[REGISTRO],DADOS!$N$3,tabela_registros[TIPO],DADOS!$V$3,tabela_registros[CATEGORIA],receitasfixasconsolidadofev[[#This Row],[ATUAL]])</f>
        <v>0</v>
      </c>
      <c r="T85" s="119" t="n">
        <f aca="false">SUMIFS(tabela_registros[VALOR],tabela_registros[MÊS],$AE$1,tabela_registros[DIA],receitasfixasconsolidadofev[[#Headers],[16]],tabela_registros[REGISTRO],DADOS!$N$3,tabela_registros[TIPO],DADOS!$V$3,tabela_registros[CATEGORIA],receitasfixasconsolidadofev[[#This Row],[ATUAL]])</f>
        <v>0</v>
      </c>
      <c r="U85" s="119" t="n">
        <f aca="false">SUMIFS(tabela_registros[VALOR],tabela_registros[MÊS],$AE$1,tabela_registros[DIA],receitasfixasconsolidadofev[[#Headers],[17]],tabela_registros[REGISTRO],DADOS!$N$3,tabela_registros[TIPO],DADOS!$V$3,tabela_registros[CATEGORIA],receitasfixasconsolidadofev[[#This Row],[ATUAL]])</f>
        <v>0</v>
      </c>
      <c r="V85" s="119" t="n">
        <f aca="false">SUMIFS(tabela_registros[VALOR],tabela_registros[MÊS],$AE$1,tabela_registros[DIA],receitasfixasconsolidadofev[[#Headers],[18]],tabela_registros[REGISTRO],DADOS!$N$3,tabela_registros[TIPO],DADOS!$V$3,tabela_registros[CATEGORIA],receitasfixasconsolidadofev[[#This Row],[ATUAL]])</f>
        <v>0</v>
      </c>
      <c r="W85" s="119" t="n">
        <f aca="false">SUMIFS(tabela_registros[VALOR],tabela_registros[MÊS],$AE$1,tabela_registros[DIA],receitasfixasconsolidadofev[[#Headers],[19]],tabela_registros[REGISTRO],DADOS!$N$3,tabela_registros[TIPO],DADOS!$V$3,tabela_registros[CATEGORIA],receitasfixasconsolidadofev[[#This Row],[ATUAL]])</f>
        <v>0</v>
      </c>
      <c r="X85" s="119" t="n">
        <f aca="false">SUMIFS(tabela_registros[VALOR],tabela_registros[MÊS],$AE$1,tabela_registros[DIA],receitasfixasconsolidadofev[[#Headers],[20]],tabela_registros[REGISTRO],DADOS!$N$3,tabela_registros[TIPO],DADOS!$V$3,tabela_registros[CATEGORIA],receitasfixasconsolidadofev[[#This Row],[ATUAL]])</f>
        <v>0</v>
      </c>
      <c r="Y85" s="119" t="n">
        <f aca="false">SUMIFS(tabela_registros[VALOR],tabela_registros[MÊS],$AE$1,tabela_registros[DIA],receitasfixasconsolidadofev[[#Headers],[21]],tabela_registros[REGISTRO],DADOS!$N$3,tabela_registros[TIPO],DADOS!$V$3,tabela_registros[CATEGORIA],receitasfixasconsolidadofev[[#This Row],[ATUAL]])</f>
        <v>0</v>
      </c>
      <c r="Z85" s="119" t="n">
        <f aca="false">SUMIFS(tabela_registros[VALOR],tabela_registros[MÊS],$AE$1,tabela_registros[DIA],receitasfixasconsolidadofev[[#Headers],[22]],tabela_registros[REGISTRO],DADOS!$N$3,tabela_registros[TIPO],DADOS!$V$3,tabela_registros[CATEGORIA],receitasfixasconsolidadofev[[#This Row],[ATUAL]])</f>
        <v>0</v>
      </c>
      <c r="AA85" s="119" t="n">
        <f aca="false">SUMIFS(tabela_registros[VALOR],tabela_registros[MÊS],$AE$1,tabela_registros[DIA],receitasfixasconsolidadofev[[#Headers],[23]],tabela_registros[REGISTRO],DADOS!$N$3,tabela_registros[TIPO],DADOS!$V$3,tabela_registros[CATEGORIA],receitasfixasconsolidadofev[[#This Row],[ATUAL]])</f>
        <v>0</v>
      </c>
      <c r="AB85" s="119" t="n">
        <f aca="false">SUMIFS(tabela_registros[VALOR],tabela_registros[MÊS],$AE$1,tabela_registros[DIA],receitasfixasconsolidadofev[[#Headers],[24]],tabela_registros[REGISTRO],DADOS!$N$3,tabela_registros[TIPO],DADOS!$V$3,tabela_registros[CATEGORIA],receitasfixasconsolidadofev[[#This Row],[ATUAL]])</f>
        <v>0</v>
      </c>
      <c r="AC85" s="119" t="n">
        <f aca="false">SUMIFS(tabela_registros[VALOR],tabela_registros[MÊS],$AE$1,tabela_registros[DIA],receitasfixasconsolidadofev[[#Headers],[25]],tabela_registros[REGISTRO],DADOS!$N$3,tabela_registros[TIPO],DADOS!$V$3,tabela_registros[CATEGORIA],receitasfixasconsolidadofev[[#This Row],[ATUAL]])</f>
        <v>0</v>
      </c>
      <c r="AD85" s="119" t="n">
        <f aca="false">SUMIFS(tabela_registros[VALOR],tabela_registros[MÊS],$AE$1,tabela_registros[DIA],receitasfixasconsolidadofev[[#Headers],[26]],tabela_registros[REGISTRO],DADOS!$N$3,tabela_registros[TIPO],DADOS!$V$3,tabela_registros[CATEGORIA],receitasfixasconsolidadofev[[#This Row],[ATUAL]])</f>
        <v>0</v>
      </c>
      <c r="AE85" s="119" t="n">
        <f aca="false">SUMIFS(tabela_registros[VALOR],tabela_registros[MÊS],$AE$1,tabela_registros[DIA],receitasfixasconsolidadofev[[#Headers],[27]],tabela_registros[REGISTRO],DADOS!$N$3,tabela_registros[TIPO],DADOS!$V$3,tabela_registros[CATEGORIA],receitasfixasconsolidadofev[[#This Row],[ATUAL]])</f>
        <v>0</v>
      </c>
      <c r="AF85" s="119" t="n">
        <f aca="false">SUMIFS(tabela_registros[VALOR],tabela_registros[MÊS],$AE$1,tabela_registros[DIA],receitasfixasconsolidadofev[[#Headers],[28]],tabela_registros[REGISTRO],DADOS!$N$3,tabela_registros[TIPO],DADOS!$V$3,tabela_registros[CATEGORIA],receitasfixasconsolidadofev[[#This Row],[ATUAL]])</f>
        <v>0</v>
      </c>
      <c r="AG85" s="119" t="n">
        <f aca="false">SUMIFS(tabela_registros[VALOR],tabela_registros[MÊS],$AE$1,tabela_registros[DIA],receitasfixasconsolidadofev[[#Headers],[29]],tabela_registros[REGISTRO],DADOS!$N$3,tabela_registros[TIPO],DADOS!$V$3,tabela_registros[CATEGORIA],receitasfixasconsolidadofev[[#This Row],[ATUAL]])</f>
        <v>0</v>
      </c>
      <c r="AH85" s="119" t="n">
        <f aca="false">SUMIFS(tabela_registros[VALOR],tabela_registros[MÊS],$AE$1,tabela_registros[DIA],receitasfixasconsolidadofev[[#Headers],[30]],tabela_registros[REGISTRO],DADOS!$N$3,tabela_registros[TIPO],DADOS!$V$3,tabela_registros[CATEGORIA],receitasfixasconsolidadofev[[#This Row],[ATUAL]])</f>
        <v>0</v>
      </c>
      <c r="AI85" s="217" t="n">
        <f aca="false">SUMIFS(tabela_registros[VALOR],tabela_registros[MÊS],$AE$1,tabela_registros[DIA],receitasfixasconsolidadofev[[#Headers],[31]],tabela_registros[REGISTRO],DADOS!$N$3,tabela_registros[TIPO],DADOS!$V$3,tabela_registros[CATEGORIA],receitasfixasconsolidadofev[[#This Row],[ATUAL]])</f>
        <v>0</v>
      </c>
      <c r="AJ85" s="149" t="n">
        <f aca="false">SUM(receitasfixasconsolidadofev[[#This Row],[1]:[31]])</f>
        <v>0</v>
      </c>
      <c r="AK85" s="165"/>
    </row>
    <row r="86" customFormat="false" ht="18" hidden="false" customHeight="true" outlineLevel="0" collapsed="false">
      <c r="B86" s="143"/>
      <c r="C86" s="144" t="str">
        <f aca="false">DADOS!$X$7</f>
        <v>📎 OUTROS</v>
      </c>
      <c r="D86" s="145" t="str">
        <f aca="false">IF(receitasfixasconsolidadofev[[#This Row],[TOTAL (R$)]]=0,"",IF(OR(receitasfixasconsolidadofev[[#This Row],[TOTAL (R$)]]=LARGE($AJ$82:$AJ$86,1),receitasfixasconsolidadofev[[#This Row],[TOTAL (R$)]]=LARGE($AJ$82:$AJ$86,2)),DADOS!$I$9,""))</f>
        <v/>
      </c>
      <c r="E86" s="148" t="n">
        <f aca="false">SUMIFS(tabela_registros[VALOR],tabela_registros[MÊS],$AE$1,tabela_registros[DIA],receitasfixasconsolidadofev[[#Headers],[1]],tabela_registros[REGISTRO],DADOS!$N$3,tabela_registros[TIPO],DADOS!$V$3,tabela_registros[CATEGORIA],receitasfixasconsolidadofev[[#This Row],[ATUAL]])</f>
        <v>0</v>
      </c>
      <c r="F86" s="119" t="n">
        <f aca="false">SUMIFS(tabela_registros[VALOR],tabela_registros[MÊS],$AE$1,tabela_registros[DIA],receitasfixasconsolidadofev[[#Headers],[2]],tabela_registros[REGISTRO],DADOS!$N$3,tabela_registros[TIPO],DADOS!$V$3,tabela_registros[CATEGORIA],receitasfixasconsolidadofev[[#This Row],[ATUAL]])</f>
        <v>0</v>
      </c>
      <c r="G86" s="119" t="n">
        <f aca="false">SUMIFS(tabela_registros[VALOR],tabela_registros[MÊS],$AE$1,tabela_registros[DIA],receitasfixasconsolidadofev[[#Headers],[3]],tabela_registros[REGISTRO],DADOS!$N$3,tabela_registros[TIPO],DADOS!$V$3,tabela_registros[CATEGORIA],receitasfixasconsolidadofev[[#This Row],[ATUAL]])</f>
        <v>0</v>
      </c>
      <c r="H86" s="119" t="n">
        <f aca="false">SUMIFS(tabela_registros[VALOR],tabela_registros[MÊS],$AE$1,tabela_registros[DIA],receitasfixasconsolidadofev[[#Headers],[4]],tabela_registros[REGISTRO],DADOS!$N$3,tabela_registros[TIPO],DADOS!$V$3,tabela_registros[CATEGORIA],receitasfixasconsolidadofev[[#This Row],[ATUAL]])</f>
        <v>0</v>
      </c>
      <c r="I86" s="119" t="n">
        <f aca="false">SUMIFS(tabela_registros[VALOR],tabela_registros[MÊS],$AE$1,tabela_registros[DIA],receitasfixasconsolidadofev[[#Headers],[5]],tabela_registros[REGISTRO],DADOS!$N$3,tabela_registros[TIPO],DADOS!$V$3,tabela_registros[CATEGORIA],receitasfixasconsolidadofev[[#This Row],[ATUAL]])</f>
        <v>0</v>
      </c>
      <c r="J86" s="119" t="n">
        <f aca="false">SUMIFS(tabela_registros[VALOR],tabela_registros[MÊS],$AE$1,tabela_registros[DIA],receitasfixasconsolidadofev[[#Headers],[6]],tabela_registros[REGISTRO],DADOS!$N$3,tabela_registros[TIPO],DADOS!$V$3,tabela_registros[CATEGORIA],receitasfixasconsolidadofev[[#This Row],[ATUAL]])</f>
        <v>0</v>
      </c>
      <c r="K86" s="119" t="n">
        <f aca="false">SUMIFS(tabela_registros[VALOR],tabela_registros[MÊS],$AE$1,tabela_registros[DIA],receitasfixasconsolidadofev[[#Headers],[7]],tabela_registros[REGISTRO],DADOS!$N$3,tabela_registros[TIPO],DADOS!$V$3,tabela_registros[CATEGORIA],receitasfixasconsolidadofev[[#This Row],[ATUAL]])</f>
        <v>0</v>
      </c>
      <c r="L86" s="119" t="n">
        <f aca="false">SUMIFS(tabela_registros[VALOR],tabela_registros[MÊS],$AE$1,tabela_registros[DIA],receitasfixasconsolidadofev[[#Headers],[8]],tabela_registros[REGISTRO],DADOS!$N$3,tabela_registros[TIPO],DADOS!$V$3,tabela_registros[CATEGORIA],receitasfixasconsolidadofev[[#This Row],[ATUAL]])</f>
        <v>0</v>
      </c>
      <c r="M86" s="119" t="n">
        <f aca="false">SUMIFS(tabela_registros[VALOR],tabela_registros[MÊS],$AE$1,tabela_registros[DIA],receitasfixasconsolidadofev[[#Headers],[9]],tabela_registros[REGISTRO],DADOS!$N$3,tabela_registros[TIPO],DADOS!$V$3,tabela_registros[CATEGORIA],receitasfixasconsolidadofev[[#This Row],[ATUAL]])</f>
        <v>0</v>
      </c>
      <c r="N86" s="119" t="n">
        <f aca="false">SUMIFS(tabela_registros[VALOR],tabela_registros[MÊS],$AE$1,tabela_registros[DIA],receitasfixasconsolidadofev[[#Headers],[10]],tabela_registros[REGISTRO],DADOS!$N$3,tabela_registros[TIPO],DADOS!$V$3,tabela_registros[CATEGORIA],receitasfixasconsolidadofev[[#This Row],[ATUAL]])</f>
        <v>0</v>
      </c>
      <c r="O86" s="119" t="n">
        <f aca="false">SUMIFS(tabela_registros[VALOR],tabela_registros[MÊS],$AE$1,tabela_registros[DIA],receitasfixasconsolidadofev[[#Headers],[11]],tabela_registros[REGISTRO],DADOS!$N$3,tabela_registros[TIPO],DADOS!$V$3,tabela_registros[CATEGORIA],receitasfixasconsolidadofev[[#This Row],[ATUAL]])</f>
        <v>0</v>
      </c>
      <c r="P86" s="119" t="n">
        <f aca="false">SUMIFS(tabela_registros[VALOR],tabela_registros[MÊS],$AE$1,tabela_registros[DIA],receitasfixasconsolidadofev[[#Headers],[12]],tabela_registros[REGISTRO],DADOS!$N$3,tabela_registros[TIPO],DADOS!$V$3,tabela_registros[CATEGORIA],receitasfixasconsolidadofev[[#This Row],[ATUAL]])</f>
        <v>0</v>
      </c>
      <c r="Q86" s="119" t="n">
        <f aca="false">SUMIFS(tabela_registros[VALOR],tabela_registros[MÊS],$AE$1,tabela_registros[DIA],receitasfixasconsolidadofev[[#Headers],[13]],tabela_registros[REGISTRO],DADOS!$N$3,tabela_registros[TIPO],DADOS!$V$3,tabela_registros[CATEGORIA],receitasfixasconsolidadofev[[#This Row],[ATUAL]])</f>
        <v>0</v>
      </c>
      <c r="R86" s="119" t="n">
        <f aca="false">SUMIFS(tabela_registros[VALOR],tabela_registros[MÊS],$AE$1,tabela_registros[DIA],receitasfixasconsolidadofev[[#Headers],[14]],tabela_registros[REGISTRO],DADOS!$N$3,tabela_registros[TIPO],DADOS!$V$3,tabela_registros[CATEGORIA],receitasfixasconsolidadofev[[#This Row],[ATUAL]])</f>
        <v>0</v>
      </c>
      <c r="S86" s="119" t="n">
        <f aca="false">SUMIFS(tabela_registros[VALOR],tabela_registros[MÊS],$AE$1,tabela_registros[DIA],receitasfixasconsolidadofev[[#Headers],[15]],tabela_registros[REGISTRO],DADOS!$N$3,tabela_registros[TIPO],DADOS!$V$3,tabela_registros[CATEGORIA],receitasfixasconsolidadofev[[#This Row],[ATUAL]])</f>
        <v>0</v>
      </c>
      <c r="T86" s="119" t="n">
        <f aca="false">SUMIFS(tabela_registros[VALOR],tabela_registros[MÊS],$AE$1,tabela_registros[DIA],receitasfixasconsolidadofev[[#Headers],[16]],tabela_registros[REGISTRO],DADOS!$N$3,tabela_registros[TIPO],DADOS!$V$3,tabela_registros[CATEGORIA],receitasfixasconsolidadofev[[#This Row],[ATUAL]])</f>
        <v>0</v>
      </c>
      <c r="U86" s="119" t="n">
        <f aca="false">SUMIFS(tabela_registros[VALOR],tabela_registros[MÊS],$AE$1,tabela_registros[DIA],receitasfixasconsolidadofev[[#Headers],[17]],tabela_registros[REGISTRO],DADOS!$N$3,tabela_registros[TIPO],DADOS!$V$3,tabela_registros[CATEGORIA],receitasfixasconsolidadofev[[#This Row],[ATUAL]])</f>
        <v>0</v>
      </c>
      <c r="V86" s="119" t="n">
        <f aca="false">SUMIFS(tabela_registros[VALOR],tabela_registros[MÊS],$AE$1,tabela_registros[DIA],receitasfixasconsolidadofev[[#Headers],[18]],tabela_registros[REGISTRO],DADOS!$N$3,tabela_registros[TIPO],DADOS!$V$3,tabela_registros[CATEGORIA],receitasfixasconsolidadofev[[#This Row],[ATUAL]])</f>
        <v>0</v>
      </c>
      <c r="W86" s="119" t="n">
        <f aca="false">SUMIFS(tabela_registros[VALOR],tabela_registros[MÊS],$AE$1,tabela_registros[DIA],receitasfixasconsolidadofev[[#Headers],[19]],tabela_registros[REGISTRO],DADOS!$N$3,tabela_registros[TIPO],DADOS!$V$3,tabela_registros[CATEGORIA],receitasfixasconsolidadofev[[#This Row],[ATUAL]])</f>
        <v>0</v>
      </c>
      <c r="X86" s="119" t="n">
        <f aca="false">SUMIFS(tabela_registros[VALOR],tabela_registros[MÊS],$AE$1,tabela_registros[DIA],receitasfixasconsolidadofev[[#Headers],[20]],tabela_registros[REGISTRO],DADOS!$N$3,tabela_registros[TIPO],DADOS!$V$3,tabela_registros[CATEGORIA],receitasfixasconsolidadofev[[#This Row],[ATUAL]])</f>
        <v>0</v>
      </c>
      <c r="Y86" s="119" t="n">
        <f aca="false">SUMIFS(tabela_registros[VALOR],tabela_registros[MÊS],$AE$1,tabela_registros[DIA],receitasfixasconsolidadofev[[#Headers],[21]],tabela_registros[REGISTRO],DADOS!$N$3,tabela_registros[TIPO],DADOS!$V$3,tabela_registros[CATEGORIA],receitasfixasconsolidadofev[[#This Row],[ATUAL]])</f>
        <v>0</v>
      </c>
      <c r="Z86" s="119" t="n">
        <f aca="false">SUMIFS(tabela_registros[VALOR],tabela_registros[MÊS],$AE$1,tabela_registros[DIA],receitasfixasconsolidadofev[[#Headers],[22]],tabela_registros[REGISTRO],DADOS!$N$3,tabela_registros[TIPO],DADOS!$V$3,tabela_registros[CATEGORIA],receitasfixasconsolidadofev[[#This Row],[ATUAL]])</f>
        <v>0</v>
      </c>
      <c r="AA86" s="119" t="n">
        <f aca="false">SUMIFS(tabela_registros[VALOR],tabela_registros[MÊS],$AE$1,tabela_registros[DIA],receitasfixasconsolidadofev[[#Headers],[23]],tabela_registros[REGISTRO],DADOS!$N$3,tabela_registros[TIPO],DADOS!$V$3,tabela_registros[CATEGORIA],receitasfixasconsolidadofev[[#This Row],[ATUAL]])</f>
        <v>0</v>
      </c>
      <c r="AB86" s="119" t="n">
        <f aca="false">SUMIFS(tabela_registros[VALOR],tabela_registros[MÊS],$AE$1,tabela_registros[DIA],receitasfixasconsolidadofev[[#Headers],[24]],tabela_registros[REGISTRO],DADOS!$N$3,tabela_registros[TIPO],DADOS!$V$3,tabela_registros[CATEGORIA],receitasfixasconsolidadofev[[#This Row],[ATUAL]])</f>
        <v>0</v>
      </c>
      <c r="AC86" s="119" t="n">
        <f aca="false">SUMIFS(tabela_registros[VALOR],tabela_registros[MÊS],$AE$1,tabela_registros[DIA],receitasfixasconsolidadofev[[#Headers],[25]],tabela_registros[REGISTRO],DADOS!$N$3,tabela_registros[TIPO],DADOS!$V$3,tabela_registros[CATEGORIA],receitasfixasconsolidadofev[[#This Row],[ATUAL]])</f>
        <v>0</v>
      </c>
      <c r="AD86" s="119" t="n">
        <f aca="false">SUMIFS(tabela_registros[VALOR],tabela_registros[MÊS],$AE$1,tabela_registros[DIA],receitasfixasconsolidadofev[[#Headers],[26]],tabela_registros[REGISTRO],DADOS!$N$3,tabela_registros[TIPO],DADOS!$V$3,tabela_registros[CATEGORIA],receitasfixasconsolidadofev[[#This Row],[ATUAL]])</f>
        <v>0</v>
      </c>
      <c r="AE86" s="119" t="n">
        <f aca="false">SUMIFS(tabela_registros[VALOR],tabela_registros[MÊS],$AE$1,tabela_registros[DIA],receitasfixasconsolidadofev[[#Headers],[27]],tabela_registros[REGISTRO],DADOS!$N$3,tabela_registros[TIPO],DADOS!$V$3,tabela_registros[CATEGORIA],receitasfixasconsolidadofev[[#This Row],[ATUAL]])</f>
        <v>0</v>
      </c>
      <c r="AF86" s="119" t="n">
        <f aca="false">SUMIFS(tabela_registros[VALOR],tabela_registros[MÊS],$AE$1,tabela_registros[DIA],receitasfixasconsolidadofev[[#Headers],[28]],tabela_registros[REGISTRO],DADOS!$N$3,tabela_registros[TIPO],DADOS!$V$3,tabela_registros[CATEGORIA],receitasfixasconsolidadofev[[#This Row],[ATUAL]])</f>
        <v>0</v>
      </c>
      <c r="AG86" s="151" t="n">
        <f aca="false">SUMIFS(tabela_registros[VALOR],tabela_registros[MÊS],$AE$1,tabela_registros[DIA],receitasfixasconsolidadofev[[#Headers],[29]],tabela_registros[REGISTRO],DADOS!$N$3,tabela_registros[TIPO],DADOS!$V$3,tabela_registros[CATEGORIA],receitasfixasconsolidadofev[[#This Row],[ATUAL]])</f>
        <v>0</v>
      </c>
      <c r="AH86" s="151" t="n">
        <f aca="false">SUMIFS(tabela_registros[VALOR],tabela_registros[MÊS],$AE$1,tabela_registros[DIA],receitasfixasconsolidadofev[[#Headers],[30]],tabela_registros[REGISTRO],DADOS!$N$3,tabela_registros[TIPO],DADOS!$V$3,tabela_registros[CATEGORIA],receitasfixasconsolidadofev[[#This Row],[ATUAL]])</f>
        <v>0</v>
      </c>
      <c r="AI86" s="218" t="n">
        <f aca="false">SUMIFS(tabela_registros[VALOR],tabela_registros[MÊS],$AE$1,tabela_registros[DIA],receitasfixasconsolidadofev[[#Headers],[31]],tabela_registros[REGISTRO],DADOS!$N$3,tabela_registros[TIPO],DADOS!$V$3,tabela_registros[CATEGORIA],receitasfixasconsolidadofev[[#This Row],[ATUAL]])</f>
        <v>0</v>
      </c>
      <c r="AJ86" s="219" t="n">
        <f aca="false">SUM(receitasfixasconsolidadofev[[#This Row],[1]:[31]])</f>
        <v>0</v>
      </c>
      <c r="AK86" s="165"/>
    </row>
    <row r="87" s="122" customFormat="true" ht="21" hidden="false" customHeight="true" outlineLevel="0" collapsed="false">
      <c r="B87" s="152"/>
      <c r="C87" s="153" t="s">
        <v>2</v>
      </c>
      <c r="D87" s="166"/>
      <c r="E87" s="155" t="n">
        <f aca="false">SUM(E82:E86)</f>
        <v>0</v>
      </c>
      <c r="F87" s="156" t="n">
        <f aca="false">SUM(F82:F86)+receitasfixasconsolidadofev[[#This Row],[1]]</f>
        <v>0</v>
      </c>
      <c r="G87" s="156" t="n">
        <f aca="false">SUM(G82:G86)+receitasfixasconsolidadofev[[#This Row],[2]]</f>
        <v>0</v>
      </c>
      <c r="H87" s="156" t="n">
        <f aca="false">SUM(H82:H86)+receitasfixasconsolidadofev[[#This Row],[3]]</f>
        <v>0</v>
      </c>
      <c r="I87" s="156" t="n">
        <f aca="false">SUM(I82:I86)+receitasfixasconsolidadofev[[#This Row],[4]]</f>
        <v>0</v>
      </c>
      <c r="J87" s="156" t="n">
        <f aca="false">SUM(J82:J86)+receitasfixasconsolidadofev[[#This Row],[5]]</f>
        <v>0</v>
      </c>
      <c r="K87" s="156" t="n">
        <f aca="false">SUM(K82:K86)+receitasfixasconsolidadofev[[#This Row],[6]]</f>
        <v>0</v>
      </c>
      <c r="L87" s="156" t="n">
        <f aca="false">SUM(L82:L86)+receitasfixasconsolidadofev[[#This Row],[7]]</f>
        <v>0</v>
      </c>
      <c r="M87" s="156" t="n">
        <f aca="false">SUM(M82:M86)+receitasfixasconsolidadofev[[#This Row],[8]]</f>
        <v>0</v>
      </c>
      <c r="N87" s="156" t="n">
        <f aca="false">SUM(N82:N86)+receitasfixasconsolidadofev[[#This Row],[9]]</f>
        <v>0</v>
      </c>
      <c r="O87" s="156" t="n">
        <f aca="false">SUM(O82:O86)+receitasfixasconsolidadofev[[#This Row],[10]]</f>
        <v>0</v>
      </c>
      <c r="P87" s="156" t="n">
        <f aca="false">SUM(P82:P86)+receitasfixasconsolidadofev[[#This Row],[11]]</f>
        <v>0</v>
      </c>
      <c r="Q87" s="156" t="n">
        <f aca="false">SUM(Q82:Q86)+receitasfixasconsolidadofev[[#This Row],[12]]</f>
        <v>0</v>
      </c>
      <c r="R87" s="156" t="n">
        <f aca="false">SUM(R82:R86)+receitasfixasconsolidadofev[[#This Row],[13]]</f>
        <v>0</v>
      </c>
      <c r="S87" s="156" t="n">
        <f aca="false">SUM(S82:S86)+receitasfixasconsolidadofev[[#This Row],[14]]</f>
        <v>0</v>
      </c>
      <c r="T87" s="156" t="n">
        <f aca="false">SUM(T82:T86)+receitasfixasconsolidadofev[[#This Row],[15]]</f>
        <v>0</v>
      </c>
      <c r="U87" s="156" t="n">
        <f aca="false">SUM(U82:U86)+receitasfixasconsolidadofev[[#This Row],[16]]</f>
        <v>0</v>
      </c>
      <c r="V87" s="156" t="n">
        <f aca="false">SUM(V82:V86)+receitasfixasconsolidadofev[[#This Row],[17]]</f>
        <v>0</v>
      </c>
      <c r="W87" s="156" t="n">
        <f aca="false">SUM(W82:W86)+receitasfixasconsolidadofev[[#This Row],[18]]</f>
        <v>0</v>
      </c>
      <c r="X87" s="156" t="n">
        <f aca="false">SUM(X82:X86)+receitasfixasconsolidadofev[[#This Row],[19]]</f>
        <v>0</v>
      </c>
      <c r="Y87" s="156" t="n">
        <f aca="false">SUM(Y82:Y86)+receitasfixasconsolidadofev[[#This Row],[20]]</f>
        <v>0</v>
      </c>
      <c r="Z87" s="156" t="n">
        <f aca="false">SUM(Z82:Z86)+receitasfixasconsolidadofev[[#This Row],[21]]</f>
        <v>0</v>
      </c>
      <c r="AA87" s="156" t="n">
        <f aca="false">SUM(AA82:AA86)+receitasfixasconsolidadofev[[#This Row],[22]]</f>
        <v>0</v>
      </c>
      <c r="AB87" s="156" t="n">
        <f aca="false">SUM(AB82:AB86)+receitasfixasconsolidadofev[[#This Row],[23]]</f>
        <v>0</v>
      </c>
      <c r="AC87" s="156" t="n">
        <f aca="false">SUM(AC82:AC86)+receitasfixasconsolidadofev[[#This Row],[24]]</f>
        <v>0</v>
      </c>
      <c r="AD87" s="156" t="n">
        <f aca="false">SUM(AD82:AD86)+receitasfixasconsolidadofev[[#This Row],[25]]</f>
        <v>0</v>
      </c>
      <c r="AE87" s="156" t="n">
        <f aca="false">SUM(AE82:AE86)+receitasfixasconsolidadofev[[#This Row],[26]]</f>
        <v>0</v>
      </c>
      <c r="AF87" s="156" t="n">
        <f aca="false">SUM(AF82:AF86)+receitasfixasconsolidadofev[[#This Row],[27]]</f>
        <v>0</v>
      </c>
      <c r="AG87" s="156" t="n">
        <f aca="false">SUM(AG82:AG86)+receitasfixasconsolidadofev[[#This Row],[28]]</f>
        <v>0</v>
      </c>
      <c r="AH87" s="156" t="n">
        <f aca="false">SUM(AH82:AH86)+receitasfixasconsolidadofev[[#This Row],[29]]</f>
        <v>0</v>
      </c>
      <c r="AI87" s="223" t="n">
        <f aca="false">SUM(AI82:AI86)+receitasfixasconsolidadofev[[#This Row],[30]]</f>
        <v>0</v>
      </c>
      <c r="AJ87" s="157" t="n">
        <f aca="false">receitasfixasconsolidadofev[[#This Row],[31]]</f>
        <v>0</v>
      </c>
      <c r="AK87" s="158"/>
    </row>
    <row r="88" customFormat="false" ht="6.75" hidden="false" customHeight="true" outlineLevel="0" collapsed="false">
      <c r="B88" s="97"/>
      <c r="C88" s="162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233"/>
      <c r="AJ88" s="164"/>
      <c r="AK88" s="244"/>
    </row>
    <row r="89" s="78" customFormat="true" ht="12.75" hidden="false" customHeight="false" outlineLevel="0" collapsed="false">
      <c r="E89" s="100"/>
    </row>
    <row r="90" s="78" customFormat="true" ht="12" hidden="false" customHeight="false" outlineLevel="0" collapsed="false"/>
    <row r="91" s="78" customFormat="true" ht="12" hidden="false" customHeight="false" outlineLevel="0" collapsed="false"/>
    <row r="92" customFormat="false" ht="39.75" hidden="false" customHeight="true" outlineLevel="0" collapsed="false">
      <c r="C92" s="101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3" t="s">
        <v>2</v>
      </c>
    </row>
    <row r="93" s="78" customFormat="true" ht="12.75" hidden="false" customHeight="false" outlineLevel="0" collapsed="false">
      <c r="B93" s="161"/>
      <c r="AJ93" s="106" t="s">
        <v>64</v>
      </c>
    </row>
    <row r="94" customFormat="false" ht="6.75" hidden="false" customHeight="true" outlineLevel="0" collapsed="false">
      <c r="B94" s="86"/>
      <c r="C94" s="162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233"/>
      <c r="AK94" s="139"/>
    </row>
    <row r="95" customFormat="false" ht="13.5" hidden="true" customHeight="false" outlineLevel="0" collapsed="false">
      <c r="B95" s="86"/>
      <c r="C95" s="109" t="s">
        <v>68</v>
      </c>
      <c r="D95" s="110" t="s">
        <v>69</v>
      </c>
      <c r="E95" s="110" t="s">
        <v>30</v>
      </c>
      <c r="F95" s="110" t="s">
        <v>31</v>
      </c>
      <c r="G95" s="110" t="s">
        <v>32</v>
      </c>
      <c r="H95" s="110" t="s">
        <v>33</v>
      </c>
      <c r="I95" s="110" t="s">
        <v>34</v>
      </c>
      <c r="J95" s="110" t="s">
        <v>35</v>
      </c>
      <c r="K95" s="110" t="s">
        <v>36</v>
      </c>
      <c r="L95" s="110" t="s">
        <v>37</v>
      </c>
      <c r="M95" s="110" t="s">
        <v>38</v>
      </c>
      <c r="N95" s="110" t="s">
        <v>39</v>
      </c>
      <c r="O95" s="110" t="s">
        <v>40</v>
      </c>
      <c r="P95" s="110" t="s">
        <v>41</v>
      </c>
      <c r="Q95" s="110" t="s">
        <v>81</v>
      </c>
      <c r="R95" s="110" t="s">
        <v>82</v>
      </c>
      <c r="S95" s="110" t="s">
        <v>83</v>
      </c>
      <c r="T95" s="110" t="s">
        <v>84</v>
      </c>
      <c r="U95" s="110" t="s">
        <v>85</v>
      </c>
      <c r="V95" s="110" t="s">
        <v>86</v>
      </c>
      <c r="W95" s="110" t="s">
        <v>87</v>
      </c>
      <c r="X95" s="110" t="s">
        <v>88</v>
      </c>
      <c r="Y95" s="110" t="s">
        <v>89</v>
      </c>
      <c r="Z95" s="110" t="s">
        <v>90</v>
      </c>
      <c r="AA95" s="110" t="s">
        <v>91</v>
      </c>
      <c r="AB95" s="110" t="s">
        <v>92</v>
      </c>
      <c r="AC95" s="110" t="s">
        <v>93</v>
      </c>
      <c r="AD95" s="110" t="s">
        <v>94</v>
      </c>
      <c r="AE95" s="110" t="s">
        <v>95</v>
      </c>
      <c r="AF95" s="110" t="s">
        <v>96</v>
      </c>
      <c r="AG95" s="110" t="s">
        <v>97</v>
      </c>
      <c r="AH95" s="110" t="s">
        <v>98</v>
      </c>
      <c r="AI95" s="110" t="s">
        <v>99</v>
      </c>
      <c r="AJ95" s="111" t="s">
        <v>70</v>
      </c>
      <c r="AK95" s="86"/>
    </row>
    <row r="96" customFormat="false" ht="19.5" hidden="false" customHeight="true" outlineLevel="0" collapsed="false">
      <c r="B96" s="143"/>
      <c r="C96" s="144" t="str">
        <f aca="false">DADOS!$Z$3</f>
        <v>🏅 BÔNUS</v>
      </c>
      <c r="D96" s="145" t="str">
        <f aca="false">IF(receitasvariáveisconsolidadofev[[#This Row],[TOTAL (R$)]]=0,"",IF(OR(receitasvariáveisconsolidadofev[[#This Row],[TOTAL (R$)]]=LARGE($AJ$96:$AJ$103,1),receitasvariáveisconsolidadofev[[#This Row],[TOTAL (R$)]]=LARGE($AJ$96:$AJ$103,2)),DADOS!$I$9,""))</f>
        <v/>
      </c>
      <c r="E96" s="148" t="n">
        <f aca="false">SUMIFS(tabela_registros[VALOR],tabela_registros[MÊS],$AE$1,tabela_registros[DIA],receitasvariáveisconsolidadofev[[#Headers],[1]],tabela_registros[REGISTRO],DADOS!$N$3,tabela_registros[TIPO],DADOS!$V$4,tabela_registros[CATEGORIA],receitasvariáveisconsolidadofev[[#This Row],[ATUAL]])</f>
        <v>0</v>
      </c>
      <c r="F96" s="119" t="n">
        <f aca="false">SUMIFS(tabela_registros[VALOR],tabela_registros[MÊS],$AE$1,tabela_registros[DIA],receitasvariáveisconsolidadofev[[#Headers],[2]],tabela_registros[REGISTRO],DADOS!$N$3,tabela_registros[TIPO],DADOS!$V$4,tabela_registros[CATEGORIA],receitasvariáveisconsolidadofev[[#This Row],[ATUAL]])</f>
        <v>0</v>
      </c>
      <c r="G96" s="119" t="n">
        <f aca="false">SUMIFS(tabela_registros[VALOR],tabela_registros[MÊS],$AE$1,tabela_registros[DIA],receitasvariáveisconsolidadofev[[#Headers],[3]],tabela_registros[REGISTRO],DADOS!$N$3,tabela_registros[TIPO],DADOS!$V$4,tabela_registros[CATEGORIA],receitasvariáveisconsolidadofev[[#This Row],[ATUAL]])</f>
        <v>0</v>
      </c>
      <c r="H96" s="119" t="n">
        <f aca="false">SUMIFS(tabela_registros[VALOR],tabela_registros[MÊS],$AE$1,tabela_registros[DIA],receitasvariáveisconsolidadofev[[#Headers],[4]],tabela_registros[REGISTRO],DADOS!$N$3,tabela_registros[TIPO],DADOS!$V$4,tabela_registros[CATEGORIA],receitasvariáveisconsolidadofev[[#This Row],[ATUAL]])</f>
        <v>0</v>
      </c>
      <c r="I96" s="119" t="n">
        <f aca="false">SUMIFS(tabela_registros[VALOR],tabela_registros[MÊS],$AE$1,tabela_registros[DIA],receitasvariáveisconsolidadofev[[#Headers],[5]],tabela_registros[REGISTRO],DADOS!$N$3,tabela_registros[TIPO],DADOS!$V$4,tabela_registros[CATEGORIA],receitasvariáveisconsolidadofev[[#This Row],[ATUAL]])</f>
        <v>0</v>
      </c>
      <c r="J96" s="119" t="n">
        <f aca="false">SUMIFS(tabela_registros[VALOR],tabela_registros[MÊS],$AE$1,tabela_registros[DIA],receitasvariáveisconsolidadofev[[#Headers],[6]],tabela_registros[REGISTRO],DADOS!$N$3,tabela_registros[TIPO],DADOS!$V$4,tabela_registros[CATEGORIA],receitasvariáveisconsolidadofev[[#This Row],[ATUAL]])</f>
        <v>0</v>
      </c>
      <c r="K96" s="119" t="n">
        <f aca="false">SUMIFS(tabela_registros[VALOR],tabela_registros[MÊS],$AE$1,tabela_registros[DIA],receitasvariáveisconsolidadofev[[#Headers],[7]],tabela_registros[REGISTRO],DADOS!$N$3,tabela_registros[TIPO],DADOS!$V$4,tabela_registros[CATEGORIA],receitasvariáveisconsolidadofev[[#This Row],[ATUAL]])</f>
        <v>0</v>
      </c>
      <c r="L96" s="119" t="n">
        <f aca="false">SUMIFS(tabela_registros[VALOR],tabela_registros[MÊS],$AE$1,tabela_registros[DIA],receitasvariáveisconsolidadofev[[#Headers],[8]],tabela_registros[REGISTRO],DADOS!$N$3,tabela_registros[TIPO],DADOS!$V$4,tabela_registros[CATEGORIA],receitasvariáveisconsolidadofev[[#This Row],[ATUAL]])</f>
        <v>0</v>
      </c>
      <c r="M96" s="119" t="n">
        <f aca="false">SUMIFS(tabela_registros[VALOR],tabela_registros[MÊS],$AE$1,tabela_registros[DIA],receitasvariáveisconsolidadofev[[#Headers],[9]],tabela_registros[REGISTRO],DADOS!$N$3,tabela_registros[TIPO],DADOS!$V$4,tabela_registros[CATEGORIA],receitasvariáveisconsolidadofev[[#This Row],[ATUAL]])</f>
        <v>0</v>
      </c>
      <c r="N96" s="119" t="n">
        <f aca="false">SUMIFS(tabela_registros[VALOR],tabela_registros[MÊS],$AE$1,tabela_registros[DIA],receitasvariáveisconsolidadofev[[#Headers],[10]],tabela_registros[REGISTRO],DADOS!$N$3,tabela_registros[TIPO],DADOS!$V$4,tabela_registros[CATEGORIA],receitasvariáveisconsolidadofev[[#This Row],[ATUAL]])</f>
        <v>0</v>
      </c>
      <c r="O96" s="119" t="n">
        <f aca="false">SUMIFS(tabela_registros[VALOR],tabela_registros[MÊS],$AE$1,tabela_registros[DIA],receitasvariáveisconsolidadofev[[#Headers],[11]],tabela_registros[REGISTRO],DADOS!$N$3,tabela_registros[TIPO],DADOS!$V$4,tabela_registros[CATEGORIA],receitasvariáveisconsolidadofev[[#This Row],[ATUAL]])</f>
        <v>0</v>
      </c>
      <c r="P96" s="119" t="n">
        <f aca="false">SUMIFS(tabela_registros[VALOR],tabela_registros[MÊS],$AE$1,tabela_registros[DIA],receitasvariáveisconsolidadofev[[#Headers],[12]],tabela_registros[REGISTRO],DADOS!$N$3,tabela_registros[TIPO],DADOS!$V$4,tabela_registros[CATEGORIA],receitasvariáveisconsolidadofev[[#This Row],[ATUAL]])</f>
        <v>0</v>
      </c>
      <c r="Q96" s="119" t="n">
        <f aca="false">SUMIFS(tabela_registros[VALOR],tabela_registros[MÊS],$AE$1,tabela_registros[DIA],receitasvariáveisconsolidadofev[[#Headers],[13]],tabela_registros[REGISTRO],DADOS!$N$3,tabela_registros[TIPO],DADOS!$V$4,tabela_registros[CATEGORIA],receitasvariáveisconsolidadofev[[#This Row],[ATUAL]])</f>
        <v>0</v>
      </c>
      <c r="R96" s="119" t="n">
        <f aca="false">SUMIFS(tabela_registros[VALOR],tabela_registros[MÊS],$AE$1,tabela_registros[DIA],receitasvariáveisconsolidadofev[[#Headers],[14]],tabela_registros[REGISTRO],DADOS!$N$3,tabela_registros[TIPO],DADOS!$V$4,tabela_registros[CATEGORIA],receitasvariáveisconsolidadofev[[#This Row],[ATUAL]])</f>
        <v>0</v>
      </c>
      <c r="S96" s="119" t="n">
        <f aca="false">SUMIFS(tabela_registros[VALOR],tabela_registros[MÊS],$AE$1,tabela_registros[DIA],receitasvariáveisconsolidadofev[[#Headers],[15]],tabela_registros[REGISTRO],DADOS!$N$3,tabela_registros[TIPO],DADOS!$V$4,tabela_registros[CATEGORIA],receitasvariáveisconsolidadofev[[#This Row],[ATUAL]])</f>
        <v>0</v>
      </c>
      <c r="T96" s="119" t="n">
        <f aca="false">SUMIFS(tabela_registros[VALOR],tabela_registros[MÊS],$AE$1,tabela_registros[DIA],receitasvariáveisconsolidadofev[[#Headers],[16]],tabela_registros[REGISTRO],DADOS!$N$3,tabela_registros[TIPO],DADOS!$V$4,tabela_registros[CATEGORIA],receitasvariáveisconsolidadofev[[#This Row],[ATUAL]])</f>
        <v>0</v>
      </c>
      <c r="U96" s="119" t="n">
        <f aca="false">SUMIFS(tabela_registros[VALOR],tabela_registros[MÊS],$AE$1,tabela_registros[DIA],receitasvariáveisconsolidadofev[[#Headers],[17]],tabela_registros[REGISTRO],DADOS!$N$3,tabela_registros[TIPO],DADOS!$V$4,tabela_registros[CATEGORIA],receitasvariáveisconsolidadofev[[#This Row],[ATUAL]])</f>
        <v>0</v>
      </c>
      <c r="V96" s="119" t="n">
        <f aca="false">SUMIFS(tabela_registros[VALOR],tabela_registros[MÊS],$AE$1,tabela_registros[DIA],receitasvariáveisconsolidadofev[[#Headers],[18]],tabela_registros[REGISTRO],DADOS!$N$3,tabela_registros[TIPO],DADOS!$V$4,tabela_registros[CATEGORIA],receitasvariáveisconsolidadofev[[#This Row],[ATUAL]])</f>
        <v>0</v>
      </c>
      <c r="W96" s="119" t="n">
        <f aca="false">SUMIFS(tabela_registros[VALOR],tabela_registros[MÊS],$AE$1,tabela_registros[DIA],receitasvariáveisconsolidadofev[[#Headers],[19]],tabela_registros[REGISTRO],DADOS!$N$3,tabela_registros[TIPO],DADOS!$V$4,tabela_registros[CATEGORIA],receitasvariáveisconsolidadofev[[#This Row],[ATUAL]])</f>
        <v>0</v>
      </c>
      <c r="X96" s="119" t="n">
        <f aca="false">SUMIFS(tabela_registros[VALOR],tabela_registros[MÊS],$AE$1,tabela_registros[DIA],receitasvariáveisconsolidadofev[[#Headers],[20]],tabela_registros[REGISTRO],DADOS!$N$3,tabela_registros[TIPO],DADOS!$V$4,tabela_registros[CATEGORIA],receitasvariáveisconsolidadofev[[#This Row],[ATUAL]])</f>
        <v>0</v>
      </c>
      <c r="Y96" s="119" t="n">
        <f aca="false">SUMIFS(tabela_registros[VALOR],tabela_registros[MÊS],$AE$1,tabela_registros[DIA],receitasvariáveisconsolidadofev[[#Headers],[21]],tabela_registros[REGISTRO],DADOS!$N$3,tabela_registros[TIPO],DADOS!$V$4,tabela_registros[CATEGORIA],receitasvariáveisconsolidadofev[[#This Row],[ATUAL]])</f>
        <v>0</v>
      </c>
      <c r="Z96" s="119" t="n">
        <f aca="false">SUMIFS(tabela_registros[VALOR],tabela_registros[MÊS],$AE$1,tabela_registros[DIA],receitasvariáveisconsolidadofev[[#Headers],[22]],tabela_registros[REGISTRO],DADOS!$N$3,tabela_registros[TIPO],DADOS!$V$4,tabela_registros[CATEGORIA],receitasvariáveisconsolidadofev[[#This Row],[ATUAL]])</f>
        <v>0</v>
      </c>
      <c r="AA96" s="119" t="n">
        <f aca="false">SUMIFS(tabela_registros[VALOR],tabela_registros[MÊS],$AE$1,tabela_registros[DIA],receitasvariáveisconsolidadofev[[#Headers],[23]],tabela_registros[REGISTRO],DADOS!$N$3,tabela_registros[TIPO],DADOS!$V$4,tabela_registros[CATEGORIA],receitasvariáveisconsolidadofev[[#This Row],[ATUAL]])</f>
        <v>0</v>
      </c>
      <c r="AB96" s="119" t="n">
        <f aca="false">SUMIFS(tabela_registros[VALOR],tabela_registros[MÊS],$AE$1,tabela_registros[DIA],receitasvariáveisconsolidadofev[[#Headers],[24]],tabela_registros[REGISTRO],DADOS!$N$3,tabela_registros[TIPO],DADOS!$V$4,tabela_registros[CATEGORIA],receitasvariáveisconsolidadofev[[#This Row],[ATUAL]])</f>
        <v>0</v>
      </c>
      <c r="AC96" s="119" t="n">
        <f aca="false">SUMIFS(tabela_registros[VALOR],tabela_registros[MÊS],$AE$1,tabela_registros[DIA],receitasvariáveisconsolidadofev[[#Headers],[25]],tabela_registros[REGISTRO],DADOS!$N$3,tabela_registros[TIPO],DADOS!$V$4,tabela_registros[CATEGORIA],receitasvariáveisconsolidadofev[[#This Row],[ATUAL]])</f>
        <v>0</v>
      </c>
      <c r="AD96" s="119" t="n">
        <f aca="false">SUMIFS(tabela_registros[VALOR],tabela_registros[MÊS],$AE$1,tabela_registros[DIA],receitasvariáveisconsolidadofev[[#Headers],[26]],tabela_registros[REGISTRO],DADOS!$N$3,tabela_registros[TIPO],DADOS!$V$4,tabela_registros[CATEGORIA],receitasvariáveisconsolidadofev[[#This Row],[ATUAL]])</f>
        <v>0</v>
      </c>
      <c r="AE96" s="119" t="n">
        <f aca="false">SUMIFS(tabela_registros[VALOR],tabela_registros[MÊS],$AE$1,tabela_registros[DIA],receitasvariáveisconsolidadofev[[#Headers],[27]],tabela_registros[REGISTRO],DADOS!$N$3,tabela_registros[TIPO],DADOS!$V$4,tabela_registros[CATEGORIA],receitasvariáveisconsolidadofev[[#This Row],[ATUAL]])</f>
        <v>0</v>
      </c>
      <c r="AF96" s="119" t="n">
        <f aca="false">SUMIFS(tabela_registros[VALOR],tabela_registros[MÊS],$AE$1,tabela_registros[DIA],receitasvariáveisconsolidadofev[[#Headers],[28]],tabela_registros[REGISTRO],DADOS!$N$3,tabela_registros[TIPO],DADOS!$V$4,tabela_registros[CATEGORIA],receitasvariáveisconsolidadofev[[#This Row],[ATUAL]])</f>
        <v>0</v>
      </c>
      <c r="AG96" s="119" t="n">
        <f aca="false">SUMIFS(tabela_registros[VALOR],tabela_registros[MÊS],$AE$1,tabela_registros[DIA],receitasvariáveisconsolidadofev[[#Headers],[29]],tabela_registros[REGISTRO],DADOS!$N$3,tabela_registros[TIPO],DADOS!$V$4,tabela_registros[CATEGORIA],receitasvariáveisconsolidadofev[[#This Row],[ATUAL]])</f>
        <v>0</v>
      </c>
      <c r="AH96" s="119" t="n">
        <f aca="false">SUMIFS(tabela_registros[VALOR],tabela_registros[MÊS],$AE$1,tabela_registros[DIA],receitasvariáveisconsolidadofev[[#Headers],[30]],tabela_registros[REGISTRO],DADOS!$N$3,tabela_registros[TIPO],DADOS!$V$4,tabela_registros[CATEGORIA],receitasvariáveisconsolidadofev[[#This Row],[ATUAL]])</f>
        <v>0</v>
      </c>
      <c r="AI96" s="217" t="n">
        <f aca="false">SUMIFS(tabela_registros[VALOR],tabela_registros[MÊS],$AE$1,tabela_registros[DIA],receitasvariáveisconsolidadofev[[#Headers],[31]],tabela_registros[REGISTRO],DADOS!$N$3,tabela_registros[TIPO],DADOS!$V$4,tabela_registros[CATEGORIA],receitasvariáveisconsolidadofev[[#This Row],[ATUAL]])</f>
        <v>0</v>
      </c>
      <c r="AJ96" s="149" t="n">
        <f aca="false">SUM(receitasvariáveisconsolidadofev[[#This Row],[1]:[31]])</f>
        <v>0</v>
      </c>
      <c r="AK96" s="165"/>
    </row>
    <row r="97" customFormat="false" ht="19.5" hidden="false" customHeight="true" outlineLevel="0" collapsed="false">
      <c r="B97" s="143"/>
      <c r="C97" s="144" t="str">
        <f aca="false">DADOS!$Z$4</f>
        <v>🤑 COMISSÃO</v>
      </c>
      <c r="D97" s="145" t="str">
        <f aca="false">IF(receitasvariáveisconsolidadofev[[#This Row],[TOTAL (R$)]]=0,"",IF(OR(receitasvariáveisconsolidadofev[[#This Row],[TOTAL (R$)]]=LARGE($AJ$96:$AJ$103,1),receitasvariáveisconsolidadofev[[#This Row],[TOTAL (R$)]]=LARGE($AJ$96:$AJ$103,2)),DADOS!$I$9,""))</f>
        <v/>
      </c>
      <c r="E97" s="148" t="n">
        <f aca="false">SUMIFS(tabela_registros[VALOR],tabela_registros[MÊS],$AE$1,tabela_registros[DIA],receitasvariáveisconsolidadofev[[#Headers],[1]],tabela_registros[REGISTRO],DADOS!$N$3,tabela_registros[TIPO],DADOS!$V$4,tabela_registros[CATEGORIA],receitasvariáveisconsolidadofev[[#This Row],[ATUAL]])</f>
        <v>0</v>
      </c>
      <c r="F97" s="119" t="n">
        <f aca="false">SUMIFS(tabela_registros[VALOR],tabela_registros[MÊS],$AE$1,tabela_registros[DIA],receitasvariáveisconsolidadofev[[#Headers],[2]],tabela_registros[REGISTRO],DADOS!$N$3,tabela_registros[TIPO],DADOS!$V$4,tabela_registros[CATEGORIA],receitasvariáveisconsolidadofev[[#This Row],[ATUAL]])</f>
        <v>0</v>
      </c>
      <c r="G97" s="119" t="n">
        <f aca="false">SUMIFS(tabela_registros[VALOR],tabela_registros[MÊS],$AE$1,tabela_registros[DIA],receitasvariáveisconsolidadofev[[#Headers],[3]],tabela_registros[REGISTRO],DADOS!$N$3,tabela_registros[TIPO],DADOS!$V$4,tabela_registros[CATEGORIA],receitasvariáveisconsolidadofev[[#This Row],[ATUAL]])</f>
        <v>0</v>
      </c>
      <c r="H97" s="119" t="n">
        <f aca="false">SUMIFS(tabela_registros[VALOR],tabela_registros[MÊS],$AE$1,tabela_registros[DIA],receitasvariáveisconsolidadofev[[#Headers],[4]],tabela_registros[REGISTRO],DADOS!$N$3,tabela_registros[TIPO],DADOS!$V$4,tabela_registros[CATEGORIA],receitasvariáveisconsolidadofev[[#This Row],[ATUAL]])</f>
        <v>0</v>
      </c>
      <c r="I97" s="119" t="n">
        <f aca="false">SUMIFS(tabela_registros[VALOR],tabela_registros[MÊS],$AE$1,tabela_registros[DIA],receitasvariáveisconsolidadofev[[#Headers],[5]],tabela_registros[REGISTRO],DADOS!$N$3,tabela_registros[TIPO],DADOS!$V$4,tabela_registros[CATEGORIA],receitasvariáveisconsolidadofev[[#This Row],[ATUAL]])</f>
        <v>0</v>
      </c>
      <c r="J97" s="119" t="n">
        <f aca="false">SUMIFS(tabela_registros[VALOR],tabela_registros[MÊS],$AE$1,tabela_registros[DIA],receitasvariáveisconsolidadofev[[#Headers],[6]],tabela_registros[REGISTRO],DADOS!$N$3,tabela_registros[TIPO],DADOS!$V$4,tabela_registros[CATEGORIA],receitasvariáveisconsolidadofev[[#This Row],[ATUAL]])</f>
        <v>0</v>
      </c>
      <c r="K97" s="119" t="n">
        <f aca="false">SUMIFS(tabela_registros[VALOR],tabela_registros[MÊS],$AE$1,tabela_registros[DIA],receitasvariáveisconsolidadofev[[#Headers],[7]],tabela_registros[REGISTRO],DADOS!$N$3,tabela_registros[TIPO],DADOS!$V$4,tabela_registros[CATEGORIA],receitasvariáveisconsolidadofev[[#This Row],[ATUAL]])</f>
        <v>0</v>
      </c>
      <c r="L97" s="119" t="n">
        <f aca="false">SUMIFS(tabela_registros[VALOR],tabela_registros[MÊS],$AE$1,tabela_registros[DIA],receitasvariáveisconsolidadofev[[#Headers],[8]],tabela_registros[REGISTRO],DADOS!$N$3,tabela_registros[TIPO],DADOS!$V$4,tabela_registros[CATEGORIA],receitasvariáveisconsolidadofev[[#This Row],[ATUAL]])</f>
        <v>0</v>
      </c>
      <c r="M97" s="119" t="n">
        <f aca="false">SUMIFS(tabela_registros[VALOR],tabela_registros[MÊS],$AE$1,tabela_registros[DIA],receitasvariáveisconsolidadofev[[#Headers],[9]],tabela_registros[REGISTRO],DADOS!$N$3,tabela_registros[TIPO],DADOS!$V$4,tabela_registros[CATEGORIA],receitasvariáveisconsolidadofev[[#This Row],[ATUAL]])</f>
        <v>0</v>
      </c>
      <c r="N97" s="119" t="n">
        <f aca="false">SUMIFS(tabela_registros[VALOR],tabela_registros[MÊS],$AE$1,tabela_registros[DIA],receitasvariáveisconsolidadofev[[#Headers],[10]],tabela_registros[REGISTRO],DADOS!$N$3,tabela_registros[TIPO],DADOS!$V$4,tabela_registros[CATEGORIA],receitasvariáveisconsolidadofev[[#This Row],[ATUAL]])</f>
        <v>0</v>
      </c>
      <c r="O97" s="119" t="n">
        <f aca="false">SUMIFS(tabela_registros[VALOR],tabela_registros[MÊS],$AE$1,tabela_registros[DIA],receitasvariáveisconsolidadofev[[#Headers],[11]],tabela_registros[REGISTRO],DADOS!$N$3,tabela_registros[TIPO],DADOS!$V$4,tabela_registros[CATEGORIA],receitasvariáveisconsolidadofev[[#This Row],[ATUAL]])</f>
        <v>0</v>
      </c>
      <c r="P97" s="119" t="n">
        <f aca="false">SUMIFS(tabela_registros[VALOR],tabela_registros[MÊS],$AE$1,tabela_registros[DIA],receitasvariáveisconsolidadofev[[#Headers],[12]],tabela_registros[REGISTRO],DADOS!$N$3,tabela_registros[TIPO],DADOS!$V$4,tabela_registros[CATEGORIA],receitasvariáveisconsolidadofev[[#This Row],[ATUAL]])</f>
        <v>0</v>
      </c>
      <c r="Q97" s="119" t="n">
        <f aca="false">SUMIFS(tabela_registros[VALOR],tabela_registros[MÊS],$AE$1,tabela_registros[DIA],receitasvariáveisconsolidadofev[[#Headers],[13]],tabela_registros[REGISTRO],DADOS!$N$3,tabela_registros[TIPO],DADOS!$V$4,tabela_registros[CATEGORIA],receitasvariáveisconsolidadofev[[#This Row],[ATUAL]])</f>
        <v>0</v>
      </c>
      <c r="R97" s="119" t="n">
        <f aca="false">SUMIFS(tabela_registros[VALOR],tabela_registros[MÊS],$AE$1,tabela_registros[DIA],receitasvariáveisconsolidadofev[[#Headers],[14]],tabela_registros[REGISTRO],DADOS!$N$3,tabela_registros[TIPO],DADOS!$V$4,tabela_registros[CATEGORIA],receitasvariáveisconsolidadofev[[#This Row],[ATUAL]])</f>
        <v>0</v>
      </c>
      <c r="S97" s="119" t="n">
        <f aca="false">SUMIFS(tabela_registros[VALOR],tabela_registros[MÊS],$AE$1,tabela_registros[DIA],receitasvariáveisconsolidadofev[[#Headers],[15]],tabela_registros[REGISTRO],DADOS!$N$3,tabela_registros[TIPO],DADOS!$V$4,tabela_registros[CATEGORIA],receitasvariáveisconsolidadofev[[#This Row],[ATUAL]])</f>
        <v>0</v>
      </c>
      <c r="T97" s="119" t="n">
        <f aca="false">SUMIFS(tabela_registros[VALOR],tabela_registros[MÊS],$AE$1,tabela_registros[DIA],receitasvariáveisconsolidadofev[[#Headers],[16]],tabela_registros[REGISTRO],DADOS!$N$3,tabela_registros[TIPO],DADOS!$V$4,tabela_registros[CATEGORIA],receitasvariáveisconsolidadofev[[#This Row],[ATUAL]])</f>
        <v>0</v>
      </c>
      <c r="U97" s="119" t="n">
        <f aca="false">SUMIFS(tabela_registros[VALOR],tabela_registros[MÊS],$AE$1,tabela_registros[DIA],receitasvariáveisconsolidadofev[[#Headers],[17]],tabela_registros[REGISTRO],DADOS!$N$3,tabela_registros[TIPO],DADOS!$V$4,tabela_registros[CATEGORIA],receitasvariáveisconsolidadofev[[#This Row],[ATUAL]])</f>
        <v>0</v>
      </c>
      <c r="V97" s="119" t="n">
        <f aca="false">SUMIFS(tabela_registros[VALOR],tabela_registros[MÊS],$AE$1,tabela_registros[DIA],receitasvariáveisconsolidadofev[[#Headers],[18]],tabela_registros[REGISTRO],DADOS!$N$3,tabela_registros[TIPO],DADOS!$V$4,tabela_registros[CATEGORIA],receitasvariáveisconsolidadofev[[#This Row],[ATUAL]])</f>
        <v>0</v>
      </c>
      <c r="W97" s="119" t="n">
        <f aca="false">SUMIFS(tabela_registros[VALOR],tabela_registros[MÊS],$AE$1,tabela_registros[DIA],receitasvariáveisconsolidadofev[[#Headers],[19]],tabela_registros[REGISTRO],DADOS!$N$3,tabela_registros[TIPO],DADOS!$V$4,tabela_registros[CATEGORIA],receitasvariáveisconsolidadofev[[#This Row],[ATUAL]])</f>
        <v>0</v>
      </c>
      <c r="X97" s="119" t="n">
        <f aca="false">SUMIFS(tabela_registros[VALOR],tabela_registros[MÊS],$AE$1,tabela_registros[DIA],receitasvariáveisconsolidadofev[[#Headers],[20]],tabela_registros[REGISTRO],DADOS!$N$3,tabela_registros[TIPO],DADOS!$V$4,tabela_registros[CATEGORIA],receitasvariáveisconsolidadofev[[#This Row],[ATUAL]])</f>
        <v>0</v>
      </c>
      <c r="Y97" s="119" t="n">
        <f aca="false">SUMIFS(tabela_registros[VALOR],tabela_registros[MÊS],$AE$1,tabela_registros[DIA],receitasvariáveisconsolidadofev[[#Headers],[21]],tabela_registros[REGISTRO],DADOS!$N$3,tabela_registros[TIPO],DADOS!$V$4,tabela_registros[CATEGORIA],receitasvariáveisconsolidadofev[[#This Row],[ATUAL]])</f>
        <v>0</v>
      </c>
      <c r="Z97" s="119" t="n">
        <f aca="false">SUMIFS(tabela_registros[VALOR],tabela_registros[MÊS],$AE$1,tabela_registros[DIA],receitasvariáveisconsolidadofev[[#Headers],[22]],tabela_registros[REGISTRO],DADOS!$N$3,tabela_registros[TIPO],DADOS!$V$4,tabela_registros[CATEGORIA],receitasvariáveisconsolidadofev[[#This Row],[ATUAL]])</f>
        <v>0</v>
      </c>
      <c r="AA97" s="119" t="n">
        <f aca="false">SUMIFS(tabela_registros[VALOR],tabela_registros[MÊS],$AE$1,tabela_registros[DIA],receitasvariáveisconsolidadofev[[#Headers],[23]],tabela_registros[REGISTRO],DADOS!$N$3,tabela_registros[TIPO],DADOS!$V$4,tabela_registros[CATEGORIA],receitasvariáveisconsolidadofev[[#This Row],[ATUAL]])</f>
        <v>0</v>
      </c>
      <c r="AB97" s="119" t="n">
        <f aca="false">SUMIFS(tabela_registros[VALOR],tabela_registros[MÊS],$AE$1,tabela_registros[DIA],receitasvariáveisconsolidadofev[[#Headers],[24]],tabela_registros[REGISTRO],DADOS!$N$3,tabela_registros[TIPO],DADOS!$V$4,tabela_registros[CATEGORIA],receitasvariáveisconsolidadofev[[#This Row],[ATUAL]])</f>
        <v>0</v>
      </c>
      <c r="AC97" s="119" t="n">
        <f aca="false">SUMIFS(tabela_registros[VALOR],tabela_registros[MÊS],$AE$1,tabela_registros[DIA],receitasvariáveisconsolidadofev[[#Headers],[25]],tabela_registros[REGISTRO],DADOS!$N$3,tabela_registros[TIPO],DADOS!$V$4,tabela_registros[CATEGORIA],receitasvariáveisconsolidadofev[[#This Row],[ATUAL]])</f>
        <v>0</v>
      </c>
      <c r="AD97" s="119" t="n">
        <f aca="false">SUMIFS(tabela_registros[VALOR],tabela_registros[MÊS],$AE$1,tabela_registros[DIA],receitasvariáveisconsolidadofev[[#Headers],[26]],tabela_registros[REGISTRO],DADOS!$N$3,tabela_registros[TIPO],DADOS!$V$4,tabela_registros[CATEGORIA],receitasvariáveisconsolidadofev[[#This Row],[ATUAL]])</f>
        <v>0</v>
      </c>
      <c r="AE97" s="119" t="n">
        <f aca="false">SUMIFS(tabela_registros[VALOR],tabela_registros[MÊS],$AE$1,tabela_registros[DIA],receitasvariáveisconsolidadofev[[#Headers],[27]],tabela_registros[REGISTRO],DADOS!$N$3,tabela_registros[TIPO],DADOS!$V$4,tabela_registros[CATEGORIA],receitasvariáveisconsolidadofev[[#This Row],[ATUAL]])</f>
        <v>0</v>
      </c>
      <c r="AF97" s="119" t="n">
        <f aca="false">SUMIFS(tabela_registros[VALOR],tabela_registros[MÊS],$AE$1,tabela_registros[DIA],receitasvariáveisconsolidadofev[[#Headers],[28]],tabela_registros[REGISTRO],DADOS!$N$3,tabela_registros[TIPO],DADOS!$V$4,tabela_registros[CATEGORIA],receitasvariáveisconsolidadofev[[#This Row],[ATUAL]])</f>
        <v>0</v>
      </c>
      <c r="AG97" s="119" t="n">
        <f aca="false">SUMIFS(tabela_registros[VALOR],tabela_registros[MÊS],$AE$1,tabela_registros[DIA],receitasvariáveisconsolidadofev[[#Headers],[29]],tabela_registros[REGISTRO],DADOS!$N$3,tabela_registros[TIPO],DADOS!$V$4,tabela_registros[CATEGORIA],receitasvariáveisconsolidadofev[[#This Row],[ATUAL]])</f>
        <v>0</v>
      </c>
      <c r="AH97" s="119" t="n">
        <f aca="false">SUMIFS(tabela_registros[VALOR],tabela_registros[MÊS],$AE$1,tabela_registros[DIA],receitasvariáveisconsolidadofev[[#Headers],[30]],tabela_registros[REGISTRO],DADOS!$N$3,tabela_registros[TIPO],DADOS!$V$4,tabela_registros[CATEGORIA],receitasvariáveisconsolidadofev[[#This Row],[ATUAL]])</f>
        <v>0</v>
      </c>
      <c r="AI97" s="217" t="n">
        <f aca="false">SUMIFS(tabela_registros[VALOR],tabela_registros[MÊS],$AE$1,tabela_registros[DIA],receitasvariáveisconsolidadofev[[#Headers],[31]],tabela_registros[REGISTRO],DADOS!$N$3,tabela_registros[TIPO],DADOS!$V$4,tabela_registros[CATEGORIA],receitasvariáveisconsolidadofev[[#This Row],[ATUAL]])</f>
        <v>0</v>
      </c>
      <c r="AJ97" s="149" t="n">
        <f aca="false">SUM(receitasvariáveisconsolidadofev[[#This Row],[1]:[31]])</f>
        <v>0</v>
      </c>
      <c r="AK97" s="165"/>
    </row>
    <row r="98" customFormat="false" ht="19.5" hidden="false" customHeight="true" outlineLevel="0" collapsed="false">
      <c r="B98" s="143"/>
      <c r="C98" s="144" t="str">
        <f aca="false">DADOS!$Z$5</f>
        <v>🎗️ HERANÇA</v>
      </c>
      <c r="D98" s="145" t="str">
        <f aca="false">IF(receitasvariáveisconsolidadofev[[#This Row],[TOTAL (R$)]]=0,"",IF(OR(receitasvariáveisconsolidadofev[[#This Row],[TOTAL (R$)]]=LARGE($AJ$96:$AJ$103,1),receitasvariáveisconsolidadofev[[#This Row],[TOTAL (R$)]]=LARGE($AJ$96:$AJ$103,2)),DADOS!$I$9,""))</f>
        <v/>
      </c>
      <c r="E98" s="148" t="n">
        <f aca="false">SUMIFS(tabela_registros[VALOR],tabela_registros[MÊS],$AE$1,tabela_registros[DIA],receitasvariáveisconsolidadofev[[#Headers],[1]],tabela_registros[REGISTRO],DADOS!$N$3,tabela_registros[TIPO],DADOS!$V$4,tabela_registros[CATEGORIA],receitasvariáveisconsolidadofev[[#This Row],[ATUAL]])</f>
        <v>0</v>
      </c>
      <c r="F98" s="119" t="n">
        <f aca="false">SUMIFS(tabela_registros[VALOR],tabela_registros[MÊS],$AE$1,tabela_registros[DIA],receitasvariáveisconsolidadofev[[#Headers],[2]],tabela_registros[REGISTRO],DADOS!$N$3,tabela_registros[TIPO],DADOS!$V$4,tabela_registros[CATEGORIA],receitasvariáveisconsolidadofev[[#This Row],[ATUAL]])</f>
        <v>0</v>
      </c>
      <c r="G98" s="119" t="n">
        <f aca="false">SUMIFS(tabela_registros[VALOR],tabela_registros[MÊS],$AE$1,tabela_registros[DIA],receitasvariáveisconsolidadofev[[#Headers],[3]],tabela_registros[REGISTRO],DADOS!$N$3,tabela_registros[TIPO],DADOS!$V$4,tabela_registros[CATEGORIA],receitasvariáveisconsolidadofev[[#This Row],[ATUAL]])</f>
        <v>0</v>
      </c>
      <c r="H98" s="119" t="n">
        <f aca="false">SUMIFS(tabela_registros[VALOR],tabela_registros[MÊS],$AE$1,tabela_registros[DIA],receitasvariáveisconsolidadofev[[#Headers],[4]],tabela_registros[REGISTRO],DADOS!$N$3,tabela_registros[TIPO],DADOS!$V$4,tabela_registros[CATEGORIA],receitasvariáveisconsolidadofev[[#This Row],[ATUAL]])</f>
        <v>0</v>
      </c>
      <c r="I98" s="119" t="n">
        <f aca="false">SUMIFS(tabela_registros[VALOR],tabela_registros[MÊS],$AE$1,tabela_registros[DIA],receitasvariáveisconsolidadofev[[#Headers],[5]],tabela_registros[REGISTRO],DADOS!$N$3,tabela_registros[TIPO],DADOS!$V$4,tabela_registros[CATEGORIA],receitasvariáveisconsolidadofev[[#This Row],[ATUAL]])</f>
        <v>0</v>
      </c>
      <c r="J98" s="119" t="n">
        <f aca="false">SUMIFS(tabela_registros[VALOR],tabela_registros[MÊS],$AE$1,tabela_registros[DIA],receitasvariáveisconsolidadofev[[#Headers],[6]],tabela_registros[REGISTRO],DADOS!$N$3,tabela_registros[TIPO],DADOS!$V$4,tabela_registros[CATEGORIA],receitasvariáveisconsolidadofev[[#This Row],[ATUAL]])</f>
        <v>0</v>
      </c>
      <c r="K98" s="119" t="n">
        <f aca="false">SUMIFS(tabela_registros[VALOR],tabela_registros[MÊS],$AE$1,tabela_registros[DIA],receitasvariáveisconsolidadofev[[#Headers],[7]],tabela_registros[REGISTRO],DADOS!$N$3,tabela_registros[TIPO],DADOS!$V$4,tabela_registros[CATEGORIA],receitasvariáveisconsolidadofev[[#This Row],[ATUAL]])</f>
        <v>0</v>
      </c>
      <c r="L98" s="119" t="n">
        <f aca="false">SUMIFS(tabela_registros[VALOR],tabela_registros[MÊS],$AE$1,tabela_registros[DIA],receitasvariáveisconsolidadofev[[#Headers],[8]],tabela_registros[REGISTRO],DADOS!$N$3,tabela_registros[TIPO],DADOS!$V$4,tabela_registros[CATEGORIA],receitasvariáveisconsolidadofev[[#This Row],[ATUAL]])</f>
        <v>0</v>
      </c>
      <c r="M98" s="119" t="n">
        <f aca="false">SUMIFS(tabela_registros[VALOR],tabela_registros[MÊS],$AE$1,tabela_registros[DIA],receitasvariáveisconsolidadofev[[#Headers],[9]],tabela_registros[REGISTRO],DADOS!$N$3,tabela_registros[TIPO],DADOS!$V$4,tabela_registros[CATEGORIA],receitasvariáveisconsolidadofev[[#This Row],[ATUAL]])</f>
        <v>0</v>
      </c>
      <c r="N98" s="119" t="n">
        <f aca="false">SUMIFS(tabela_registros[VALOR],tabela_registros[MÊS],$AE$1,tabela_registros[DIA],receitasvariáveisconsolidadofev[[#Headers],[10]],tabela_registros[REGISTRO],DADOS!$N$3,tabela_registros[TIPO],DADOS!$V$4,tabela_registros[CATEGORIA],receitasvariáveisconsolidadofev[[#This Row],[ATUAL]])</f>
        <v>0</v>
      </c>
      <c r="O98" s="119" t="n">
        <f aca="false">SUMIFS(tabela_registros[VALOR],tabela_registros[MÊS],$AE$1,tabela_registros[DIA],receitasvariáveisconsolidadofev[[#Headers],[11]],tabela_registros[REGISTRO],DADOS!$N$3,tabela_registros[TIPO],DADOS!$V$4,tabela_registros[CATEGORIA],receitasvariáveisconsolidadofev[[#This Row],[ATUAL]])</f>
        <v>0</v>
      </c>
      <c r="P98" s="119" t="n">
        <f aca="false">SUMIFS(tabela_registros[VALOR],tabela_registros[MÊS],$AE$1,tabela_registros[DIA],receitasvariáveisconsolidadofev[[#Headers],[12]],tabela_registros[REGISTRO],DADOS!$N$3,tabela_registros[TIPO],DADOS!$V$4,tabela_registros[CATEGORIA],receitasvariáveisconsolidadofev[[#This Row],[ATUAL]])</f>
        <v>0</v>
      </c>
      <c r="Q98" s="119" t="n">
        <f aca="false">SUMIFS(tabela_registros[VALOR],tabela_registros[MÊS],$AE$1,tabela_registros[DIA],receitasvariáveisconsolidadofev[[#Headers],[13]],tabela_registros[REGISTRO],DADOS!$N$3,tabela_registros[TIPO],DADOS!$V$4,tabela_registros[CATEGORIA],receitasvariáveisconsolidadofev[[#This Row],[ATUAL]])</f>
        <v>0</v>
      </c>
      <c r="R98" s="119" t="n">
        <f aca="false">SUMIFS(tabela_registros[VALOR],tabela_registros[MÊS],$AE$1,tabela_registros[DIA],receitasvariáveisconsolidadofev[[#Headers],[14]],tabela_registros[REGISTRO],DADOS!$N$3,tabela_registros[TIPO],DADOS!$V$4,tabela_registros[CATEGORIA],receitasvariáveisconsolidadofev[[#This Row],[ATUAL]])</f>
        <v>0</v>
      </c>
      <c r="S98" s="119" t="n">
        <f aca="false">SUMIFS(tabela_registros[VALOR],tabela_registros[MÊS],$AE$1,tabela_registros[DIA],receitasvariáveisconsolidadofev[[#Headers],[15]],tabela_registros[REGISTRO],DADOS!$N$3,tabela_registros[TIPO],DADOS!$V$4,tabela_registros[CATEGORIA],receitasvariáveisconsolidadofev[[#This Row],[ATUAL]])</f>
        <v>0</v>
      </c>
      <c r="T98" s="119" t="n">
        <f aca="false">SUMIFS(tabela_registros[VALOR],tabela_registros[MÊS],$AE$1,tabela_registros[DIA],receitasvariáveisconsolidadofev[[#Headers],[16]],tabela_registros[REGISTRO],DADOS!$N$3,tabela_registros[TIPO],DADOS!$V$4,tabela_registros[CATEGORIA],receitasvariáveisconsolidadofev[[#This Row],[ATUAL]])</f>
        <v>0</v>
      </c>
      <c r="U98" s="119" t="n">
        <f aca="false">SUMIFS(tabela_registros[VALOR],tabela_registros[MÊS],$AE$1,tabela_registros[DIA],receitasvariáveisconsolidadofev[[#Headers],[17]],tabela_registros[REGISTRO],DADOS!$N$3,tabela_registros[TIPO],DADOS!$V$4,tabela_registros[CATEGORIA],receitasvariáveisconsolidadofev[[#This Row],[ATUAL]])</f>
        <v>0</v>
      </c>
      <c r="V98" s="119" t="n">
        <f aca="false">SUMIFS(tabela_registros[VALOR],tabela_registros[MÊS],$AE$1,tabela_registros[DIA],receitasvariáveisconsolidadofev[[#Headers],[18]],tabela_registros[REGISTRO],DADOS!$N$3,tabela_registros[TIPO],DADOS!$V$4,tabela_registros[CATEGORIA],receitasvariáveisconsolidadofev[[#This Row],[ATUAL]])</f>
        <v>0</v>
      </c>
      <c r="W98" s="119" t="n">
        <f aca="false">SUMIFS(tabela_registros[VALOR],tabela_registros[MÊS],$AE$1,tabela_registros[DIA],receitasvariáveisconsolidadofev[[#Headers],[19]],tabela_registros[REGISTRO],DADOS!$N$3,tabela_registros[TIPO],DADOS!$V$4,tabela_registros[CATEGORIA],receitasvariáveisconsolidadofev[[#This Row],[ATUAL]])</f>
        <v>0</v>
      </c>
      <c r="X98" s="119" t="n">
        <f aca="false">SUMIFS(tabela_registros[VALOR],tabela_registros[MÊS],$AE$1,tabela_registros[DIA],receitasvariáveisconsolidadofev[[#Headers],[20]],tabela_registros[REGISTRO],DADOS!$N$3,tabela_registros[TIPO],DADOS!$V$4,tabela_registros[CATEGORIA],receitasvariáveisconsolidadofev[[#This Row],[ATUAL]])</f>
        <v>0</v>
      </c>
      <c r="Y98" s="119" t="n">
        <f aca="false">SUMIFS(tabela_registros[VALOR],tabela_registros[MÊS],$AE$1,tabela_registros[DIA],receitasvariáveisconsolidadofev[[#Headers],[21]],tabela_registros[REGISTRO],DADOS!$N$3,tabela_registros[TIPO],DADOS!$V$4,tabela_registros[CATEGORIA],receitasvariáveisconsolidadofev[[#This Row],[ATUAL]])</f>
        <v>0</v>
      </c>
      <c r="Z98" s="119" t="n">
        <f aca="false">SUMIFS(tabela_registros[VALOR],tabela_registros[MÊS],$AE$1,tabela_registros[DIA],receitasvariáveisconsolidadofev[[#Headers],[22]],tabela_registros[REGISTRO],DADOS!$N$3,tabela_registros[TIPO],DADOS!$V$4,tabela_registros[CATEGORIA],receitasvariáveisconsolidadofev[[#This Row],[ATUAL]])</f>
        <v>0</v>
      </c>
      <c r="AA98" s="119" t="n">
        <f aca="false">SUMIFS(tabela_registros[VALOR],tabela_registros[MÊS],$AE$1,tabela_registros[DIA],receitasvariáveisconsolidadofev[[#Headers],[23]],tabela_registros[REGISTRO],DADOS!$N$3,tabela_registros[TIPO],DADOS!$V$4,tabela_registros[CATEGORIA],receitasvariáveisconsolidadofev[[#This Row],[ATUAL]])</f>
        <v>0</v>
      </c>
      <c r="AB98" s="119" t="n">
        <f aca="false">SUMIFS(tabela_registros[VALOR],tabela_registros[MÊS],$AE$1,tabela_registros[DIA],receitasvariáveisconsolidadofev[[#Headers],[24]],tabela_registros[REGISTRO],DADOS!$N$3,tabela_registros[TIPO],DADOS!$V$4,tabela_registros[CATEGORIA],receitasvariáveisconsolidadofev[[#This Row],[ATUAL]])</f>
        <v>0</v>
      </c>
      <c r="AC98" s="119" t="n">
        <f aca="false">SUMIFS(tabela_registros[VALOR],tabela_registros[MÊS],$AE$1,tabela_registros[DIA],receitasvariáveisconsolidadofev[[#Headers],[25]],tabela_registros[REGISTRO],DADOS!$N$3,tabela_registros[TIPO],DADOS!$V$4,tabela_registros[CATEGORIA],receitasvariáveisconsolidadofev[[#This Row],[ATUAL]])</f>
        <v>0</v>
      </c>
      <c r="AD98" s="119" t="n">
        <f aca="false">SUMIFS(tabela_registros[VALOR],tabela_registros[MÊS],$AE$1,tabela_registros[DIA],receitasvariáveisconsolidadofev[[#Headers],[26]],tabela_registros[REGISTRO],DADOS!$N$3,tabela_registros[TIPO],DADOS!$V$4,tabela_registros[CATEGORIA],receitasvariáveisconsolidadofev[[#This Row],[ATUAL]])</f>
        <v>0</v>
      </c>
      <c r="AE98" s="119" t="n">
        <f aca="false">SUMIFS(tabela_registros[VALOR],tabela_registros[MÊS],$AE$1,tabela_registros[DIA],receitasvariáveisconsolidadofev[[#Headers],[27]],tabela_registros[REGISTRO],DADOS!$N$3,tabela_registros[TIPO],DADOS!$V$4,tabela_registros[CATEGORIA],receitasvariáveisconsolidadofev[[#This Row],[ATUAL]])</f>
        <v>0</v>
      </c>
      <c r="AF98" s="119" t="n">
        <f aca="false">SUMIFS(tabela_registros[VALOR],tabela_registros[MÊS],$AE$1,tabela_registros[DIA],receitasvariáveisconsolidadofev[[#Headers],[28]],tabela_registros[REGISTRO],DADOS!$N$3,tabela_registros[TIPO],DADOS!$V$4,tabela_registros[CATEGORIA],receitasvariáveisconsolidadofev[[#This Row],[ATUAL]])</f>
        <v>0</v>
      </c>
      <c r="AG98" s="119" t="n">
        <f aca="false">SUMIFS(tabela_registros[VALOR],tabela_registros[MÊS],$AE$1,tabela_registros[DIA],receitasvariáveisconsolidadofev[[#Headers],[29]],tabela_registros[REGISTRO],DADOS!$N$3,tabela_registros[TIPO],DADOS!$V$4,tabela_registros[CATEGORIA],receitasvariáveisconsolidadofev[[#This Row],[ATUAL]])</f>
        <v>0</v>
      </c>
      <c r="AH98" s="119" t="n">
        <f aca="false">SUMIFS(tabela_registros[VALOR],tabela_registros[MÊS],$AE$1,tabela_registros[DIA],receitasvariáveisconsolidadofev[[#Headers],[30]],tabela_registros[REGISTRO],DADOS!$N$3,tabela_registros[TIPO],DADOS!$V$4,tabela_registros[CATEGORIA],receitasvariáveisconsolidadofev[[#This Row],[ATUAL]])</f>
        <v>0</v>
      </c>
      <c r="AI98" s="217" t="n">
        <f aca="false">SUMIFS(tabela_registros[VALOR],tabela_registros[MÊS],$AE$1,tabela_registros[DIA],receitasvariáveisconsolidadofev[[#Headers],[31]],tabela_registros[REGISTRO],DADOS!$N$3,tabela_registros[TIPO],DADOS!$V$4,tabela_registros[CATEGORIA],receitasvariáveisconsolidadofev[[#This Row],[ATUAL]])</f>
        <v>0</v>
      </c>
      <c r="AJ98" s="149" t="n">
        <f aca="false">SUM(receitasvariáveisconsolidadofev[[#This Row],[1]:[31]])</f>
        <v>0</v>
      </c>
      <c r="AK98" s="165"/>
    </row>
    <row r="99" customFormat="false" ht="19.5" hidden="false" customHeight="true" outlineLevel="0" collapsed="false">
      <c r="B99" s="143"/>
      <c r="C99" s="144" t="str">
        <f aca="false">DADOS!$Z$6</f>
        <v>💲 INVESTIMENTOS</v>
      </c>
      <c r="D99" s="145" t="str">
        <f aca="false">IF(receitasvariáveisconsolidadofev[[#This Row],[TOTAL (R$)]]=0,"",IF(OR(receitasvariáveisconsolidadofev[[#This Row],[TOTAL (R$)]]=LARGE($AJ$96:$AJ$103,1),receitasvariáveisconsolidadofev[[#This Row],[TOTAL (R$)]]=LARGE($AJ$96:$AJ$103,2)),DADOS!$I$9,""))</f>
        <v/>
      </c>
      <c r="E99" s="148" t="n">
        <f aca="false">SUMIFS(tabela_registros[VALOR],tabela_registros[MÊS],$AE$1,tabela_registros[DIA],receitasvariáveisconsolidadofev[[#Headers],[1]],tabela_registros[REGISTRO],DADOS!$N$3,tabela_registros[TIPO],DADOS!$V$4,tabela_registros[CATEGORIA],receitasvariáveisconsolidadofev[[#This Row],[ATUAL]])</f>
        <v>0</v>
      </c>
      <c r="F99" s="119" t="n">
        <f aca="false">SUMIFS(tabela_registros[VALOR],tabela_registros[MÊS],$AE$1,tabela_registros[DIA],receitasvariáveisconsolidadofev[[#Headers],[2]],tabela_registros[REGISTRO],DADOS!$N$3,tabela_registros[TIPO],DADOS!$V$4,tabela_registros[CATEGORIA],receitasvariáveisconsolidadofev[[#This Row],[ATUAL]])</f>
        <v>0</v>
      </c>
      <c r="G99" s="119" t="n">
        <f aca="false">SUMIFS(tabela_registros[VALOR],tabela_registros[MÊS],$AE$1,tabela_registros[DIA],receitasvariáveisconsolidadofev[[#Headers],[3]],tabela_registros[REGISTRO],DADOS!$N$3,tabela_registros[TIPO],DADOS!$V$4,tabela_registros[CATEGORIA],receitasvariáveisconsolidadofev[[#This Row],[ATUAL]])</f>
        <v>0</v>
      </c>
      <c r="H99" s="119" t="n">
        <f aca="false">SUMIFS(tabela_registros[VALOR],tabela_registros[MÊS],$AE$1,tabela_registros[DIA],receitasvariáveisconsolidadofev[[#Headers],[4]],tabela_registros[REGISTRO],DADOS!$N$3,tabela_registros[TIPO],DADOS!$V$4,tabela_registros[CATEGORIA],receitasvariáveisconsolidadofev[[#This Row],[ATUAL]])</f>
        <v>0</v>
      </c>
      <c r="I99" s="119" t="n">
        <f aca="false">SUMIFS(tabela_registros[VALOR],tabela_registros[MÊS],$AE$1,tabela_registros[DIA],receitasvariáveisconsolidadofev[[#Headers],[5]],tabela_registros[REGISTRO],DADOS!$N$3,tabela_registros[TIPO],DADOS!$V$4,tabela_registros[CATEGORIA],receitasvariáveisconsolidadofev[[#This Row],[ATUAL]])</f>
        <v>0</v>
      </c>
      <c r="J99" s="119" t="n">
        <f aca="false">SUMIFS(tabela_registros[VALOR],tabela_registros[MÊS],$AE$1,tabela_registros[DIA],receitasvariáveisconsolidadofev[[#Headers],[6]],tabela_registros[REGISTRO],DADOS!$N$3,tabela_registros[TIPO],DADOS!$V$4,tabela_registros[CATEGORIA],receitasvariáveisconsolidadofev[[#This Row],[ATUAL]])</f>
        <v>0</v>
      </c>
      <c r="K99" s="119" t="n">
        <f aca="false">SUMIFS(tabela_registros[VALOR],tabela_registros[MÊS],$AE$1,tabela_registros[DIA],receitasvariáveisconsolidadofev[[#Headers],[7]],tabela_registros[REGISTRO],DADOS!$N$3,tabela_registros[TIPO],DADOS!$V$4,tabela_registros[CATEGORIA],receitasvariáveisconsolidadofev[[#This Row],[ATUAL]])</f>
        <v>0</v>
      </c>
      <c r="L99" s="119" t="n">
        <f aca="false">SUMIFS(tabela_registros[VALOR],tabela_registros[MÊS],$AE$1,tabela_registros[DIA],receitasvariáveisconsolidadofev[[#Headers],[8]],tabela_registros[REGISTRO],DADOS!$N$3,tabela_registros[TIPO],DADOS!$V$4,tabela_registros[CATEGORIA],receitasvariáveisconsolidadofev[[#This Row],[ATUAL]])</f>
        <v>0</v>
      </c>
      <c r="M99" s="119" t="n">
        <f aca="false">SUMIFS(tabela_registros[VALOR],tabela_registros[MÊS],$AE$1,tabela_registros[DIA],receitasvariáveisconsolidadofev[[#Headers],[9]],tabela_registros[REGISTRO],DADOS!$N$3,tabela_registros[TIPO],DADOS!$V$4,tabela_registros[CATEGORIA],receitasvariáveisconsolidadofev[[#This Row],[ATUAL]])</f>
        <v>0</v>
      </c>
      <c r="N99" s="119" t="n">
        <f aca="false">SUMIFS(tabela_registros[VALOR],tabela_registros[MÊS],$AE$1,tabela_registros[DIA],receitasvariáveisconsolidadofev[[#Headers],[10]],tabela_registros[REGISTRO],DADOS!$N$3,tabela_registros[TIPO],DADOS!$V$4,tabela_registros[CATEGORIA],receitasvariáveisconsolidadofev[[#This Row],[ATUAL]])</f>
        <v>0</v>
      </c>
      <c r="O99" s="119" t="n">
        <f aca="false">SUMIFS(tabela_registros[VALOR],tabela_registros[MÊS],$AE$1,tabela_registros[DIA],receitasvariáveisconsolidadofev[[#Headers],[11]],tabela_registros[REGISTRO],DADOS!$N$3,tabela_registros[TIPO],DADOS!$V$4,tabela_registros[CATEGORIA],receitasvariáveisconsolidadofev[[#This Row],[ATUAL]])</f>
        <v>0</v>
      </c>
      <c r="P99" s="119" t="n">
        <f aca="false">SUMIFS(tabela_registros[VALOR],tabela_registros[MÊS],$AE$1,tabela_registros[DIA],receitasvariáveisconsolidadofev[[#Headers],[12]],tabela_registros[REGISTRO],DADOS!$N$3,tabela_registros[TIPO],DADOS!$V$4,tabela_registros[CATEGORIA],receitasvariáveisconsolidadofev[[#This Row],[ATUAL]])</f>
        <v>0</v>
      </c>
      <c r="Q99" s="119" t="n">
        <f aca="false">SUMIFS(tabela_registros[VALOR],tabela_registros[MÊS],$AE$1,tabela_registros[DIA],receitasvariáveisconsolidadofev[[#Headers],[13]],tabela_registros[REGISTRO],DADOS!$N$3,tabela_registros[TIPO],DADOS!$V$4,tabela_registros[CATEGORIA],receitasvariáveisconsolidadofev[[#This Row],[ATUAL]])</f>
        <v>0</v>
      </c>
      <c r="R99" s="119" t="n">
        <f aca="false">SUMIFS(tabela_registros[VALOR],tabela_registros[MÊS],$AE$1,tabela_registros[DIA],receitasvariáveisconsolidadofev[[#Headers],[14]],tabela_registros[REGISTRO],DADOS!$N$3,tabela_registros[TIPO],DADOS!$V$4,tabela_registros[CATEGORIA],receitasvariáveisconsolidadofev[[#This Row],[ATUAL]])</f>
        <v>0</v>
      </c>
      <c r="S99" s="119" t="n">
        <f aca="false">SUMIFS(tabela_registros[VALOR],tabela_registros[MÊS],$AE$1,tabela_registros[DIA],receitasvariáveisconsolidadofev[[#Headers],[15]],tabela_registros[REGISTRO],DADOS!$N$3,tabela_registros[TIPO],DADOS!$V$4,tabela_registros[CATEGORIA],receitasvariáveisconsolidadofev[[#This Row],[ATUAL]])</f>
        <v>0</v>
      </c>
      <c r="T99" s="119" t="n">
        <f aca="false">SUMIFS(tabela_registros[VALOR],tabela_registros[MÊS],$AE$1,tabela_registros[DIA],receitasvariáveisconsolidadofev[[#Headers],[16]],tabela_registros[REGISTRO],DADOS!$N$3,tabela_registros[TIPO],DADOS!$V$4,tabela_registros[CATEGORIA],receitasvariáveisconsolidadofev[[#This Row],[ATUAL]])</f>
        <v>0</v>
      </c>
      <c r="U99" s="119" t="n">
        <f aca="false">SUMIFS(tabela_registros[VALOR],tabela_registros[MÊS],$AE$1,tabela_registros[DIA],receitasvariáveisconsolidadofev[[#Headers],[17]],tabela_registros[REGISTRO],DADOS!$N$3,tabela_registros[TIPO],DADOS!$V$4,tabela_registros[CATEGORIA],receitasvariáveisconsolidadofev[[#This Row],[ATUAL]])</f>
        <v>0</v>
      </c>
      <c r="V99" s="119" t="n">
        <f aca="false">SUMIFS(tabela_registros[VALOR],tabela_registros[MÊS],$AE$1,tabela_registros[DIA],receitasvariáveisconsolidadofev[[#Headers],[18]],tabela_registros[REGISTRO],DADOS!$N$3,tabela_registros[TIPO],DADOS!$V$4,tabela_registros[CATEGORIA],receitasvariáveisconsolidadofev[[#This Row],[ATUAL]])</f>
        <v>0</v>
      </c>
      <c r="W99" s="119" t="n">
        <f aca="false">SUMIFS(tabela_registros[VALOR],tabela_registros[MÊS],$AE$1,tabela_registros[DIA],receitasvariáveisconsolidadofev[[#Headers],[19]],tabela_registros[REGISTRO],DADOS!$N$3,tabela_registros[TIPO],DADOS!$V$4,tabela_registros[CATEGORIA],receitasvariáveisconsolidadofev[[#This Row],[ATUAL]])</f>
        <v>0</v>
      </c>
      <c r="X99" s="119" t="n">
        <f aca="false">SUMIFS(tabela_registros[VALOR],tabela_registros[MÊS],$AE$1,tabela_registros[DIA],receitasvariáveisconsolidadofev[[#Headers],[20]],tabela_registros[REGISTRO],DADOS!$N$3,tabela_registros[TIPO],DADOS!$V$4,tabela_registros[CATEGORIA],receitasvariáveisconsolidadofev[[#This Row],[ATUAL]])</f>
        <v>0</v>
      </c>
      <c r="Y99" s="119" t="n">
        <f aca="false">SUMIFS(tabela_registros[VALOR],tabela_registros[MÊS],$AE$1,tabela_registros[DIA],receitasvariáveisconsolidadofev[[#Headers],[21]],tabela_registros[REGISTRO],DADOS!$N$3,tabela_registros[TIPO],DADOS!$V$4,tabela_registros[CATEGORIA],receitasvariáveisconsolidadofev[[#This Row],[ATUAL]])</f>
        <v>0</v>
      </c>
      <c r="Z99" s="119" t="n">
        <f aca="false">SUMIFS(tabela_registros[VALOR],tabela_registros[MÊS],$AE$1,tabela_registros[DIA],receitasvariáveisconsolidadofev[[#Headers],[22]],tabela_registros[REGISTRO],DADOS!$N$3,tabela_registros[TIPO],DADOS!$V$4,tabela_registros[CATEGORIA],receitasvariáveisconsolidadofev[[#This Row],[ATUAL]])</f>
        <v>0</v>
      </c>
      <c r="AA99" s="119" t="n">
        <f aca="false">SUMIFS(tabela_registros[VALOR],tabela_registros[MÊS],$AE$1,tabela_registros[DIA],receitasvariáveisconsolidadofev[[#Headers],[23]],tabela_registros[REGISTRO],DADOS!$N$3,tabela_registros[TIPO],DADOS!$V$4,tabela_registros[CATEGORIA],receitasvariáveisconsolidadofev[[#This Row],[ATUAL]])</f>
        <v>0</v>
      </c>
      <c r="AB99" s="119" t="n">
        <f aca="false">SUMIFS(tabela_registros[VALOR],tabela_registros[MÊS],$AE$1,tabela_registros[DIA],receitasvariáveisconsolidadofev[[#Headers],[24]],tabela_registros[REGISTRO],DADOS!$N$3,tabela_registros[TIPO],DADOS!$V$4,tabela_registros[CATEGORIA],receitasvariáveisconsolidadofev[[#This Row],[ATUAL]])</f>
        <v>0</v>
      </c>
      <c r="AC99" s="119" t="n">
        <f aca="false">SUMIFS(tabela_registros[VALOR],tabela_registros[MÊS],$AE$1,tabela_registros[DIA],receitasvariáveisconsolidadofev[[#Headers],[25]],tabela_registros[REGISTRO],DADOS!$N$3,tabela_registros[TIPO],DADOS!$V$4,tabela_registros[CATEGORIA],receitasvariáveisconsolidadofev[[#This Row],[ATUAL]])</f>
        <v>0</v>
      </c>
      <c r="AD99" s="119" t="n">
        <f aca="false">SUMIFS(tabela_registros[VALOR],tabela_registros[MÊS],$AE$1,tabela_registros[DIA],receitasvariáveisconsolidadofev[[#Headers],[26]],tabela_registros[REGISTRO],DADOS!$N$3,tabela_registros[TIPO],DADOS!$V$4,tabela_registros[CATEGORIA],receitasvariáveisconsolidadofev[[#This Row],[ATUAL]])</f>
        <v>0</v>
      </c>
      <c r="AE99" s="119" t="n">
        <f aca="false">SUMIFS(tabela_registros[VALOR],tabela_registros[MÊS],$AE$1,tabela_registros[DIA],receitasvariáveisconsolidadofev[[#Headers],[27]],tabela_registros[REGISTRO],DADOS!$N$3,tabela_registros[TIPO],DADOS!$V$4,tabela_registros[CATEGORIA],receitasvariáveisconsolidadofev[[#This Row],[ATUAL]])</f>
        <v>0</v>
      </c>
      <c r="AF99" s="119" t="n">
        <f aca="false">SUMIFS(tabela_registros[VALOR],tabela_registros[MÊS],$AE$1,tabela_registros[DIA],receitasvariáveisconsolidadofev[[#Headers],[28]],tabela_registros[REGISTRO],DADOS!$N$3,tabela_registros[TIPO],DADOS!$V$4,tabela_registros[CATEGORIA],receitasvariáveisconsolidadofev[[#This Row],[ATUAL]])</f>
        <v>0</v>
      </c>
      <c r="AG99" s="119" t="n">
        <f aca="false">SUMIFS(tabela_registros[VALOR],tabela_registros[MÊS],$AE$1,tabela_registros[DIA],receitasvariáveisconsolidadofev[[#Headers],[29]],tabela_registros[REGISTRO],DADOS!$N$3,tabela_registros[TIPO],DADOS!$V$4,tabela_registros[CATEGORIA],receitasvariáveisconsolidadofev[[#This Row],[ATUAL]])</f>
        <v>0</v>
      </c>
      <c r="AH99" s="119" t="n">
        <f aca="false">SUMIFS(tabela_registros[VALOR],tabela_registros[MÊS],$AE$1,tabela_registros[DIA],receitasvariáveisconsolidadofev[[#Headers],[30]],tabela_registros[REGISTRO],DADOS!$N$3,tabela_registros[TIPO],DADOS!$V$4,tabela_registros[CATEGORIA],receitasvariáveisconsolidadofev[[#This Row],[ATUAL]])</f>
        <v>0</v>
      </c>
      <c r="AI99" s="217" t="n">
        <f aca="false">SUMIFS(tabela_registros[VALOR],tabela_registros[MÊS],$AE$1,tabela_registros[DIA],receitasvariáveisconsolidadofev[[#Headers],[31]],tabela_registros[REGISTRO],DADOS!$N$3,tabela_registros[TIPO],DADOS!$V$4,tabela_registros[CATEGORIA],receitasvariáveisconsolidadofev[[#This Row],[ATUAL]])</f>
        <v>0</v>
      </c>
      <c r="AJ99" s="149" t="n">
        <f aca="false">SUM(receitasvariáveisconsolidadofev[[#This Row],[1]:[31]])</f>
        <v>0</v>
      </c>
      <c r="AK99" s="165"/>
    </row>
    <row r="100" customFormat="false" ht="19.5" hidden="false" customHeight="true" outlineLevel="0" collapsed="false">
      <c r="B100" s="143"/>
      <c r="C100" s="144" t="str">
        <f aca="false">DADOS!$Z$7</f>
        <v>🧾 NOTA DE SERVIÇO</v>
      </c>
      <c r="D100" s="145" t="str">
        <f aca="false">IF(receitasvariáveisconsolidadofev[[#This Row],[TOTAL (R$)]]=0,"",IF(OR(receitasvariáveisconsolidadofev[[#This Row],[TOTAL (R$)]]=LARGE($AJ$96:$AJ$103,1),receitasvariáveisconsolidadofev[[#This Row],[TOTAL (R$)]]=LARGE($AJ$96:$AJ$103,2)),DADOS!$I$9,""))</f>
        <v/>
      </c>
      <c r="E100" s="148" t="n">
        <f aca="false">SUMIFS(tabela_registros[VALOR],tabela_registros[MÊS],$AE$1,tabela_registros[DIA],receitasvariáveisconsolidadofev[[#Headers],[1]],tabela_registros[REGISTRO],DADOS!$N$3,tabela_registros[TIPO],DADOS!$V$4,tabela_registros[CATEGORIA],receitasvariáveisconsolidadofev[[#This Row],[ATUAL]])</f>
        <v>0</v>
      </c>
      <c r="F100" s="119" t="n">
        <f aca="false">SUMIFS(tabela_registros[VALOR],tabela_registros[MÊS],$AE$1,tabela_registros[DIA],receitasvariáveisconsolidadofev[[#Headers],[2]],tabela_registros[REGISTRO],DADOS!$N$3,tabela_registros[TIPO],DADOS!$V$4,tabela_registros[CATEGORIA],receitasvariáveisconsolidadofev[[#This Row],[ATUAL]])</f>
        <v>0</v>
      </c>
      <c r="G100" s="119" t="n">
        <f aca="false">SUMIFS(tabela_registros[VALOR],tabela_registros[MÊS],$AE$1,tabela_registros[DIA],receitasvariáveisconsolidadofev[[#Headers],[3]],tabela_registros[REGISTRO],DADOS!$N$3,tabela_registros[TIPO],DADOS!$V$4,tabela_registros[CATEGORIA],receitasvariáveisconsolidadofev[[#This Row],[ATUAL]])</f>
        <v>0</v>
      </c>
      <c r="H100" s="119" t="n">
        <f aca="false">SUMIFS(tabela_registros[VALOR],tabela_registros[MÊS],$AE$1,tabela_registros[DIA],receitasvariáveisconsolidadofev[[#Headers],[4]],tabela_registros[REGISTRO],DADOS!$N$3,tabela_registros[TIPO],DADOS!$V$4,tabela_registros[CATEGORIA],receitasvariáveisconsolidadofev[[#This Row],[ATUAL]])</f>
        <v>0</v>
      </c>
      <c r="I100" s="119" t="n">
        <f aca="false">SUMIFS(tabela_registros[VALOR],tabela_registros[MÊS],$AE$1,tabela_registros[DIA],receitasvariáveisconsolidadofev[[#Headers],[5]],tabela_registros[REGISTRO],DADOS!$N$3,tabela_registros[TIPO],DADOS!$V$4,tabela_registros[CATEGORIA],receitasvariáveisconsolidadofev[[#This Row],[ATUAL]])</f>
        <v>0</v>
      </c>
      <c r="J100" s="119" t="n">
        <f aca="false">SUMIFS(tabela_registros[VALOR],tabela_registros[MÊS],$AE$1,tabela_registros[DIA],receitasvariáveisconsolidadofev[[#Headers],[6]],tabela_registros[REGISTRO],DADOS!$N$3,tabela_registros[TIPO],DADOS!$V$4,tabela_registros[CATEGORIA],receitasvariáveisconsolidadofev[[#This Row],[ATUAL]])</f>
        <v>0</v>
      </c>
      <c r="K100" s="119" t="n">
        <f aca="false">SUMIFS(tabela_registros[VALOR],tabela_registros[MÊS],$AE$1,tabela_registros[DIA],receitasvariáveisconsolidadofev[[#Headers],[7]],tabela_registros[REGISTRO],DADOS!$N$3,tabela_registros[TIPO],DADOS!$V$4,tabela_registros[CATEGORIA],receitasvariáveisconsolidadofev[[#This Row],[ATUAL]])</f>
        <v>0</v>
      </c>
      <c r="L100" s="119" t="n">
        <f aca="false">SUMIFS(tabela_registros[VALOR],tabela_registros[MÊS],$AE$1,tabela_registros[DIA],receitasvariáveisconsolidadofev[[#Headers],[8]],tabela_registros[REGISTRO],DADOS!$N$3,tabela_registros[TIPO],DADOS!$V$4,tabela_registros[CATEGORIA],receitasvariáveisconsolidadofev[[#This Row],[ATUAL]])</f>
        <v>0</v>
      </c>
      <c r="M100" s="119" t="n">
        <f aca="false">SUMIFS(tabela_registros[VALOR],tabela_registros[MÊS],$AE$1,tabela_registros[DIA],receitasvariáveisconsolidadofev[[#Headers],[9]],tabela_registros[REGISTRO],DADOS!$N$3,tabela_registros[TIPO],DADOS!$V$4,tabela_registros[CATEGORIA],receitasvariáveisconsolidadofev[[#This Row],[ATUAL]])</f>
        <v>0</v>
      </c>
      <c r="N100" s="119" t="n">
        <f aca="false">SUMIFS(tabela_registros[VALOR],tabela_registros[MÊS],$AE$1,tabela_registros[DIA],receitasvariáveisconsolidadofev[[#Headers],[10]],tabela_registros[REGISTRO],DADOS!$N$3,tabela_registros[TIPO],DADOS!$V$4,tabela_registros[CATEGORIA],receitasvariáveisconsolidadofev[[#This Row],[ATUAL]])</f>
        <v>0</v>
      </c>
      <c r="O100" s="119" t="n">
        <f aca="false">SUMIFS(tabela_registros[VALOR],tabela_registros[MÊS],$AE$1,tabela_registros[DIA],receitasvariáveisconsolidadofev[[#Headers],[11]],tabela_registros[REGISTRO],DADOS!$N$3,tabela_registros[TIPO],DADOS!$V$4,tabela_registros[CATEGORIA],receitasvariáveisconsolidadofev[[#This Row],[ATUAL]])</f>
        <v>0</v>
      </c>
      <c r="P100" s="119" t="n">
        <f aca="false">SUMIFS(tabela_registros[VALOR],tabela_registros[MÊS],$AE$1,tabela_registros[DIA],receitasvariáveisconsolidadofev[[#Headers],[12]],tabela_registros[REGISTRO],DADOS!$N$3,tabela_registros[TIPO],DADOS!$V$4,tabela_registros[CATEGORIA],receitasvariáveisconsolidadofev[[#This Row],[ATUAL]])</f>
        <v>0</v>
      </c>
      <c r="Q100" s="119" t="n">
        <f aca="false">SUMIFS(tabela_registros[VALOR],tabela_registros[MÊS],$AE$1,tabela_registros[DIA],receitasvariáveisconsolidadofev[[#Headers],[13]],tabela_registros[REGISTRO],DADOS!$N$3,tabela_registros[TIPO],DADOS!$V$4,tabela_registros[CATEGORIA],receitasvariáveisconsolidadofev[[#This Row],[ATUAL]])</f>
        <v>0</v>
      </c>
      <c r="R100" s="119" t="n">
        <f aca="false">SUMIFS(tabela_registros[VALOR],tabela_registros[MÊS],$AE$1,tabela_registros[DIA],receitasvariáveisconsolidadofev[[#Headers],[14]],tabela_registros[REGISTRO],DADOS!$N$3,tabela_registros[TIPO],DADOS!$V$4,tabela_registros[CATEGORIA],receitasvariáveisconsolidadofev[[#This Row],[ATUAL]])</f>
        <v>0</v>
      </c>
      <c r="S100" s="119" t="n">
        <f aca="false">SUMIFS(tabela_registros[VALOR],tabela_registros[MÊS],$AE$1,tabela_registros[DIA],receitasvariáveisconsolidadofev[[#Headers],[15]],tabela_registros[REGISTRO],DADOS!$N$3,tabela_registros[TIPO],DADOS!$V$4,tabela_registros[CATEGORIA],receitasvariáveisconsolidadofev[[#This Row],[ATUAL]])</f>
        <v>0</v>
      </c>
      <c r="T100" s="119" t="n">
        <f aca="false">SUMIFS(tabela_registros[VALOR],tabela_registros[MÊS],$AE$1,tabela_registros[DIA],receitasvariáveisconsolidadofev[[#Headers],[16]],tabela_registros[REGISTRO],DADOS!$N$3,tabela_registros[TIPO],DADOS!$V$4,tabela_registros[CATEGORIA],receitasvariáveisconsolidadofev[[#This Row],[ATUAL]])</f>
        <v>0</v>
      </c>
      <c r="U100" s="119" t="n">
        <f aca="false">SUMIFS(tabela_registros[VALOR],tabela_registros[MÊS],$AE$1,tabela_registros[DIA],receitasvariáveisconsolidadofev[[#Headers],[17]],tabela_registros[REGISTRO],DADOS!$N$3,tabela_registros[TIPO],DADOS!$V$4,tabela_registros[CATEGORIA],receitasvariáveisconsolidadofev[[#This Row],[ATUAL]])</f>
        <v>0</v>
      </c>
      <c r="V100" s="119" t="n">
        <f aca="false">SUMIFS(tabela_registros[VALOR],tabela_registros[MÊS],$AE$1,tabela_registros[DIA],receitasvariáveisconsolidadofev[[#Headers],[18]],tabela_registros[REGISTRO],DADOS!$N$3,tabela_registros[TIPO],DADOS!$V$4,tabela_registros[CATEGORIA],receitasvariáveisconsolidadofev[[#This Row],[ATUAL]])</f>
        <v>0</v>
      </c>
      <c r="W100" s="119" t="n">
        <f aca="false">SUMIFS(tabela_registros[VALOR],tabela_registros[MÊS],$AE$1,tabela_registros[DIA],receitasvariáveisconsolidadofev[[#Headers],[19]],tabela_registros[REGISTRO],DADOS!$N$3,tabela_registros[TIPO],DADOS!$V$4,tabela_registros[CATEGORIA],receitasvariáveisconsolidadofev[[#This Row],[ATUAL]])</f>
        <v>0</v>
      </c>
      <c r="X100" s="119" t="n">
        <f aca="false">SUMIFS(tabela_registros[VALOR],tabela_registros[MÊS],$AE$1,tabela_registros[DIA],receitasvariáveisconsolidadofev[[#Headers],[20]],tabela_registros[REGISTRO],DADOS!$N$3,tabela_registros[TIPO],DADOS!$V$4,tabela_registros[CATEGORIA],receitasvariáveisconsolidadofev[[#This Row],[ATUAL]])</f>
        <v>0</v>
      </c>
      <c r="Y100" s="119" t="n">
        <f aca="false">SUMIFS(tabela_registros[VALOR],tabela_registros[MÊS],$AE$1,tabela_registros[DIA],receitasvariáveisconsolidadofev[[#Headers],[21]],tabela_registros[REGISTRO],DADOS!$N$3,tabela_registros[TIPO],DADOS!$V$4,tabela_registros[CATEGORIA],receitasvariáveisconsolidadofev[[#This Row],[ATUAL]])</f>
        <v>0</v>
      </c>
      <c r="Z100" s="119" t="n">
        <f aca="false">SUMIFS(tabela_registros[VALOR],tabela_registros[MÊS],$AE$1,tabela_registros[DIA],receitasvariáveisconsolidadofev[[#Headers],[22]],tabela_registros[REGISTRO],DADOS!$N$3,tabela_registros[TIPO],DADOS!$V$4,tabela_registros[CATEGORIA],receitasvariáveisconsolidadofev[[#This Row],[ATUAL]])</f>
        <v>0</v>
      </c>
      <c r="AA100" s="119" t="n">
        <f aca="false">SUMIFS(tabela_registros[VALOR],tabela_registros[MÊS],$AE$1,tabela_registros[DIA],receitasvariáveisconsolidadofev[[#Headers],[23]],tabela_registros[REGISTRO],DADOS!$N$3,tabela_registros[TIPO],DADOS!$V$4,tabela_registros[CATEGORIA],receitasvariáveisconsolidadofev[[#This Row],[ATUAL]])</f>
        <v>0</v>
      </c>
      <c r="AB100" s="119" t="n">
        <f aca="false">SUMIFS(tabela_registros[VALOR],tabela_registros[MÊS],$AE$1,tabela_registros[DIA],receitasvariáveisconsolidadofev[[#Headers],[24]],tabela_registros[REGISTRO],DADOS!$N$3,tabela_registros[TIPO],DADOS!$V$4,tabela_registros[CATEGORIA],receitasvariáveisconsolidadofev[[#This Row],[ATUAL]])</f>
        <v>0</v>
      </c>
      <c r="AC100" s="119" t="n">
        <f aca="false">SUMIFS(tabela_registros[VALOR],tabela_registros[MÊS],$AE$1,tabela_registros[DIA],receitasvariáveisconsolidadofev[[#Headers],[25]],tabela_registros[REGISTRO],DADOS!$N$3,tabela_registros[TIPO],DADOS!$V$4,tabela_registros[CATEGORIA],receitasvariáveisconsolidadofev[[#This Row],[ATUAL]])</f>
        <v>0</v>
      </c>
      <c r="AD100" s="119" t="n">
        <f aca="false">SUMIFS(tabela_registros[VALOR],tabela_registros[MÊS],$AE$1,tabela_registros[DIA],receitasvariáveisconsolidadofev[[#Headers],[26]],tabela_registros[REGISTRO],DADOS!$N$3,tabela_registros[TIPO],DADOS!$V$4,tabela_registros[CATEGORIA],receitasvariáveisconsolidadofev[[#This Row],[ATUAL]])</f>
        <v>0</v>
      </c>
      <c r="AE100" s="119" t="n">
        <f aca="false">SUMIFS(tabela_registros[VALOR],tabela_registros[MÊS],$AE$1,tabela_registros[DIA],receitasvariáveisconsolidadofev[[#Headers],[27]],tabela_registros[REGISTRO],DADOS!$N$3,tabela_registros[TIPO],DADOS!$V$4,tabela_registros[CATEGORIA],receitasvariáveisconsolidadofev[[#This Row],[ATUAL]])</f>
        <v>0</v>
      </c>
      <c r="AF100" s="119" t="n">
        <f aca="false">SUMIFS(tabela_registros[VALOR],tabela_registros[MÊS],$AE$1,tabela_registros[DIA],receitasvariáveisconsolidadofev[[#Headers],[28]],tabela_registros[REGISTRO],DADOS!$N$3,tabela_registros[TIPO],DADOS!$V$4,tabela_registros[CATEGORIA],receitasvariáveisconsolidadofev[[#This Row],[ATUAL]])</f>
        <v>0</v>
      </c>
      <c r="AG100" s="119" t="n">
        <f aca="false">SUMIFS(tabela_registros[VALOR],tabela_registros[MÊS],$AE$1,tabela_registros[DIA],receitasvariáveisconsolidadofev[[#Headers],[29]],tabela_registros[REGISTRO],DADOS!$N$3,tabela_registros[TIPO],DADOS!$V$4,tabela_registros[CATEGORIA],receitasvariáveisconsolidadofev[[#This Row],[ATUAL]])</f>
        <v>0</v>
      </c>
      <c r="AH100" s="119" t="n">
        <f aca="false">SUMIFS(tabela_registros[VALOR],tabela_registros[MÊS],$AE$1,tabela_registros[DIA],receitasvariáveisconsolidadofev[[#Headers],[30]],tabela_registros[REGISTRO],DADOS!$N$3,tabela_registros[TIPO],DADOS!$V$4,tabela_registros[CATEGORIA],receitasvariáveisconsolidadofev[[#This Row],[ATUAL]])</f>
        <v>0</v>
      </c>
      <c r="AI100" s="217" t="n">
        <f aca="false">SUMIFS(tabela_registros[VALOR],tabela_registros[MÊS],$AE$1,tabela_registros[DIA],receitasvariáveisconsolidadofev[[#Headers],[31]],tabela_registros[REGISTRO],DADOS!$N$3,tabela_registros[TIPO],DADOS!$V$4,tabela_registros[CATEGORIA],receitasvariáveisconsolidadofev[[#This Row],[ATUAL]])</f>
        <v>0</v>
      </c>
      <c r="AJ100" s="149" t="n">
        <f aca="false">SUM(receitasvariáveisconsolidadofev[[#This Row],[1]:[31]])</f>
        <v>0</v>
      </c>
      <c r="AK100" s="165"/>
    </row>
    <row r="101" customFormat="false" ht="19.5" hidden="false" customHeight="true" outlineLevel="0" collapsed="false">
      <c r="B101" s="143"/>
      <c r="C101" s="144" t="str">
        <f aca="false">DADOS!$Z$8</f>
        <v>🎁 PRESENTE</v>
      </c>
      <c r="D101" s="145" t="str">
        <f aca="false">IF(receitasvariáveisconsolidadofev[[#This Row],[TOTAL (R$)]]=0,"",IF(OR(receitasvariáveisconsolidadofev[[#This Row],[TOTAL (R$)]]=LARGE($AJ$96:$AJ$103,1),receitasvariáveisconsolidadofev[[#This Row],[TOTAL (R$)]]=LARGE($AJ$96:$AJ$103,2)),DADOS!$I$9,""))</f>
        <v/>
      </c>
      <c r="E101" s="148" t="n">
        <f aca="false">SUMIFS(tabela_registros[VALOR],tabela_registros[MÊS],$AE$1,tabela_registros[DIA],receitasvariáveisconsolidadofev[[#Headers],[1]],tabela_registros[REGISTRO],DADOS!$N$3,tabela_registros[TIPO],DADOS!$V$4,tabela_registros[CATEGORIA],receitasvariáveisconsolidadofev[[#This Row],[ATUAL]])</f>
        <v>0</v>
      </c>
      <c r="F101" s="119" t="n">
        <f aca="false">SUMIFS(tabela_registros[VALOR],tabela_registros[MÊS],$AE$1,tabela_registros[DIA],receitasvariáveisconsolidadofev[[#Headers],[2]],tabela_registros[REGISTRO],DADOS!$N$3,tabela_registros[TIPO],DADOS!$V$4,tabela_registros[CATEGORIA],receitasvariáveisconsolidadofev[[#This Row],[ATUAL]])</f>
        <v>0</v>
      </c>
      <c r="G101" s="119" t="n">
        <f aca="false">SUMIFS(tabela_registros[VALOR],tabela_registros[MÊS],$AE$1,tabela_registros[DIA],receitasvariáveisconsolidadofev[[#Headers],[3]],tabela_registros[REGISTRO],DADOS!$N$3,tabela_registros[TIPO],DADOS!$V$4,tabela_registros[CATEGORIA],receitasvariáveisconsolidadofev[[#This Row],[ATUAL]])</f>
        <v>0</v>
      </c>
      <c r="H101" s="119" t="n">
        <f aca="false">SUMIFS(tabela_registros[VALOR],tabela_registros[MÊS],$AE$1,tabela_registros[DIA],receitasvariáveisconsolidadofev[[#Headers],[4]],tabela_registros[REGISTRO],DADOS!$N$3,tabela_registros[TIPO],DADOS!$V$4,tabela_registros[CATEGORIA],receitasvariáveisconsolidadofev[[#This Row],[ATUAL]])</f>
        <v>0</v>
      </c>
      <c r="I101" s="119" t="n">
        <f aca="false">SUMIFS(tabela_registros[VALOR],tabela_registros[MÊS],$AE$1,tabela_registros[DIA],receitasvariáveisconsolidadofev[[#Headers],[5]],tabela_registros[REGISTRO],DADOS!$N$3,tabela_registros[TIPO],DADOS!$V$4,tabela_registros[CATEGORIA],receitasvariáveisconsolidadofev[[#This Row],[ATUAL]])</f>
        <v>0</v>
      </c>
      <c r="J101" s="119" t="n">
        <f aca="false">SUMIFS(tabela_registros[VALOR],tabela_registros[MÊS],$AE$1,tabela_registros[DIA],receitasvariáveisconsolidadofev[[#Headers],[6]],tabela_registros[REGISTRO],DADOS!$N$3,tabela_registros[TIPO],DADOS!$V$4,tabela_registros[CATEGORIA],receitasvariáveisconsolidadofev[[#This Row],[ATUAL]])</f>
        <v>0</v>
      </c>
      <c r="K101" s="119" t="n">
        <f aca="false">SUMIFS(tabela_registros[VALOR],tabela_registros[MÊS],$AE$1,tabela_registros[DIA],receitasvariáveisconsolidadofev[[#Headers],[7]],tabela_registros[REGISTRO],DADOS!$N$3,tabela_registros[TIPO],DADOS!$V$4,tabela_registros[CATEGORIA],receitasvariáveisconsolidadofev[[#This Row],[ATUAL]])</f>
        <v>0</v>
      </c>
      <c r="L101" s="119" t="n">
        <f aca="false">SUMIFS(tabela_registros[VALOR],tabela_registros[MÊS],$AE$1,tabela_registros[DIA],receitasvariáveisconsolidadofev[[#Headers],[8]],tabela_registros[REGISTRO],DADOS!$N$3,tabela_registros[TIPO],DADOS!$V$4,tabela_registros[CATEGORIA],receitasvariáveisconsolidadofev[[#This Row],[ATUAL]])</f>
        <v>0</v>
      </c>
      <c r="M101" s="119" t="n">
        <f aca="false">SUMIFS(tabela_registros[VALOR],tabela_registros[MÊS],$AE$1,tabela_registros[DIA],receitasvariáveisconsolidadofev[[#Headers],[9]],tabela_registros[REGISTRO],DADOS!$N$3,tabela_registros[TIPO],DADOS!$V$4,tabela_registros[CATEGORIA],receitasvariáveisconsolidadofev[[#This Row],[ATUAL]])</f>
        <v>0</v>
      </c>
      <c r="N101" s="119" t="n">
        <f aca="false">SUMIFS(tabela_registros[VALOR],tabela_registros[MÊS],$AE$1,tabela_registros[DIA],receitasvariáveisconsolidadofev[[#Headers],[10]],tabela_registros[REGISTRO],DADOS!$N$3,tabela_registros[TIPO],DADOS!$V$4,tabela_registros[CATEGORIA],receitasvariáveisconsolidadofev[[#This Row],[ATUAL]])</f>
        <v>0</v>
      </c>
      <c r="O101" s="119" t="n">
        <f aca="false">SUMIFS(tabela_registros[VALOR],tabela_registros[MÊS],$AE$1,tabela_registros[DIA],receitasvariáveisconsolidadofev[[#Headers],[11]],tabela_registros[REGISTRO],DADOS!$N$3,tabela_registros[TIPO],DADOS!$V$4,tabela_registros[CATEGORIA],receitasvariáveisconsolidadofev[[#This Row],[ATUAL]])</f>
        <v>0</v>
      </c>
      <c r="P101" s="119" t="n">
        <f aca="false">SUMIFS(tabela_registros[VALOR],tabela_registros[MÊS],$AE$1,tabela_registros[DIA],receitasvariáveisconsolidadofev[[#Headers],[12]],tabela_registros[REGISTRO],DADOS!$N$3,tabela_registros[TIPO],DADOS!$V$4,tabela_registros[CATEGORIA],receitasvariáveisconsolidadofev[[#This Row],[ATUAL]])</f>
        <v>0</v>
      </c>
      <c r="Q101" s="119" t="n">
        <f aca="false">SUMIFS(tabela_registros[VALOR],tabela_registros[MÊS],$AE$1,tabela_registros[DIA],receitasvariáveisconsolidadofev[[#Headers],[13]],tabela_registros[REGISTRO],DADOS!$N$3,tabela_registros[TIPO],DADOS!$V$4,tabela_registros[CATEGORIA],receitasvariáveisconsolidadofev[[#This Row],[ATUAL]])</f>
        <v>0</v>
      </c>
      <c r="R101" s="119" t="n">
        <f aca="false">SUMIFS(tabela_registros[VALOR],tabela_registros[MÊS],$AE$1,tabela_registros[DIA],receitasvariáveisconsolidadofev[[#Headers],[14]],tabela_registros[REGISTRO],DADOS!$N$3,tabela_registros[TIPO],DADOS!$V$4,tabela_registros[CATEGORIA],receitasvariáveisconsolidadofev[[#This Row],[ATUAL]])</f>
        <v>0</v>
      </c>
      <c r="S101" s="119" t="n">
        <f aca="false">SUMIFS(tabela_registros[VALOR],tabela_registros[MÊS],$AE$1,tabela_registros[DIA],receitasvariáveisconsolidadofev[[#Headers],[15]],tabela_registros[REGISTRO],DADOS!$N$3,tabela_registros[TIPO],DADOS!$V$4,tabela_registros[CATEGORIA],receitasvariáveisconsolidadofev[[#This Row],[ATUAL]])</f>
        <v>0</v>
      </c>
      <c r="T101" s="119" t="n">
        <f aca="false">SUMIFS(tabela_registros[VALOR],tabela_registros[MÊS],$AE$1,tabela_registros[DIA],receitasvariáveisconsolidadofev[[#Headers],[16]],tabela_registros[REGISTRO],DADOS!$N$3,tabela_registros[TIPO],DADOS!$V$4,tabela_registros[CATEGORIA],receitasvariáveisconsolidadofev[[#This Row],[ATUAL]])</f>
        <v>0</v>
      </c>
      <c r="U101" s="119" t="n">
        <f aca="false">SUMIFS(tabela_registros[VALOR],tabela_registros[MÊS],$AE$1,tabela_registros[DIA],receitasvariáveisconsolidadofev[[#Headers],[17]],tabela_registros[REGISTRO],DADOS!$N$3,tabela_registros[TIPO],DADOS!$V$4,tabela_registros[CATEGORIA],receitasvariáveisconsolidadofev[[#This Row],[ATUAL]])</f>
        <v>0</v>
      </c>
      <c r="V101" s="119" t="n">
        <f aca="false">SUMIFS(tabela_registros[VALOR],tabela_registros[MÊS],$AE$1,tabela_registros[DIA],receitasvariáveisconsolidadofev[[#Headers],[18]],tabela_registros[REGISTRO],DADOS!$N$3,tabela_registros[TIPO],DADOS!$V$4,tabela_registros[CATEGORIA],receitasvariáveisconsolidadofev[[#This Row],[ATUAL]])</f>
        <v>0</v>
      </c>
      <c r="W101" s="119" t="n">
        <f aca="false">SUMIFS(tabela_registros[VALOR],tabela_registros[MÊS],$AE$1,tabela_registros[DIA],receitasvariáveisconsolidadofev[[#Headers],[19]],tabela_registros[REGISTRO],DADOS!$N$3,tabela_registros[TIPO],DADOS!$V$4,tabela_registros[CATEGORIA],receitasvariáveisconsolidadofev[[#This Row],[ATUAL]])</f>
        <v>0</v>
      </c>
      <c r="X101" s="119" t="n">
        <f aca="false">SUMIFS(tabela_registros[VALOR],tabela_registros[MÊS],$AE$1,tabela_registros[DIA],receitasvariáveisconsolidadofev[[#Headers],[20]],tabela_registros[REGISTRO],DADOS!$N$3,tabela_registros[TIPO],DADOS!$V$4,tabela_registros[CATEGORIA],receitasvariáveisconsolidadofev[[#This Row],[ATUAL]])</f>
        <v>0</v>
      </c>
      <c r="Y101" s="119" t="n">
        <f aca="false">SUMIFS(tabela_registros[VALOR],tabela_registros[MÊS],$AE$1,tabela_registros[DIA],receitasvariáveisconsolidadofev[[#Headers],[21]],tabela_registros[REGISTRO],DADOS!$N$3,tabela_registros[TIPO],DADOS!$V$4,tabela_registros[CATEGORIA],receitasvariáveisconsolidadofev[[#This Row],[ATUAL]])</f>
        <v>0</v>
      </c>
      <c r="Z101" s="119" t="n">
        <f aca="false">SUMIFS(tabela_registros[VALOR],tabela_registros[MÊS],$AE$1,tabela_registros[DIA],receitasvariáveisconsolidadofev[[#Headers],[22]],tabela_registros[REGISTRO],DADOS!$N$3,tabela_registros[TIPO],DADOS!$V$4,tabela_registros[CATEGORIA],receitasvariáveisconsolidadofev[[#This Row],[ATUAL]])</f>
        <v>0</v>
      </c>
      <c r="AA101" s="119" t="n">
        <f aca="false">SUMIFS(tabela_registros[VALOR],tabela_registros[MÊS],$AE$1,tabela_registros[DIA],receitasvariáveisconsolidadofev[[#Headers],[23]],tabela_registros[REGISTRO],DADOS!$N$3,tabela_registros[TIPO],DADOS!$V$4,tabela_registros[CATEGORIA],receitasvariáveisconsolidadofev[[#This Row],[ATUAL]])</f>
        <v>0</v>
      </c>
      <c r="AB101" s="119" t="n">
        <f aca="false">SUMIFS(tabela_registros[VALOR],tabela_registros[MÊS],$AE$1,tabela_registros[DIA],receitasvariáveisconsolidadofev[[#Headers],[24]],tabela_registros[REGISTRO],DADOS!$N$3,tabela_registros[TIPO],DADOS!$V$4,tabela_registros[CATEGORIA],receitasvariáveisconsolidadofev[[#This Row],[ATUAL]])</f>
        <v>0</v>
      </c>
      <c r="AC101" s="119" t="n">
        <f aca="false">SUMIFS(tabela_registros[VALOR],tabela_registros[MÊS],$AE$1,tabela_registros[DIA],receitasvariáveisconsolidadofev[[#Headers],[25]],tabela_registros[REGISTRO],DADOS!$N$3,tabela_registros[TIPO],DADOS!$V$4,tabela_registros[CATEGORIA],receitasvariáveisconsolidadofev[[#This Row],[ATUAL]])</f>
        <v>0</v>
      </c>
      <c r="AD101" s="119" t="n">
        <f aca="false">SUMIFS(tabela_registros[VALOR],tabela_registros[MÊS],$AE$1,tabela_registros[DIA],receitasvariáveisconsolidadofev[[#Headers],[26]],tabela_registros[REGISTRO],DADOS!$N$3,tabela_registros[TIPO],DADOS!$V$4,tabela_registros[CATEGORIA],receitasvariáveisconsolidadofev[[#This Row],[ATUAL]])</f>
        <v>0</v>
      </c>
      <c r="AE101" s="119" t="n">
        <f aca="false">SUMIFS(tabela_registros[VALOR],tabela_registros[MÊS],$AE$1,tabela_registros[DIA],receitasvariáveisconsolidadofev[[#Headers],[27]],tabela_registros[REGISTRO],DADOS!$N$3,tabela_registros[TIPO],DADOS!$V$4,tabela_registros[CATEGORIA],receitasvariáveisconsolidadofev[[#This Row],[ATUAL]])</f>
        <v>0</v>
      </c>
      <c r="AF101" s="119" t="n">
        <f aca="false">SUMIFS(tabela_registros[VALOR],tabela_registros[MÊS],$AE$1,tabela_registros[DIA],receitasvariáveisconsolidadofev[[#Headers],[28]],tabela_registros[REGISTRO],DADOS!$N$3,tabela_registros[TIPO],DADOS!$V$4,tabela_registros[CATEGORIA],receitasvariáveisconsolidadofev[[#This Row],[ATUAL]])</f>
        <v>0</v>
      </c>
      <c r="AG101" s="119" t="n">
        <f aca="false">SUMIFS(tabela_registros[VALOR],tabela_registros[MÊS],$AE$1,tabela_registros[DIA],receitasvariáveisconsolidadofev[[#Headers],[29]],tabela_registros[REGISTRO],DADOS!$N$3,tabela_registros[TIPO],DADOS!$V$4,tabela_registros[CATEGORIA],receitasvariáveisconsolidadofev[[#This Row],[ATUAL]])</f>
        <v>0</v>
      </c>
      <c r="AH101" s="119" t="n">
        <f aca="false">SUMIFS(tabela_registros[VALOR],tabela_registros[MÊS],$AE$1,tabela_registros[DIA],receitasvariáveisconsolidadofev[[#Headers],[30]],tabela_registros[REGISTRO],DADOS!$N$3,tabela_registros[TIPO],DADOS!$V$4,tabela_registros[CATEGORIA],receitasvariáveisconsolidadofev[[#This Row],[ATUAL]])</f>
        <v>0</v>
      </c>
      <c r="AI101" s="217" t="n">
        <f aca="false">SUMIFS(tabela_registros[VALOR],tabela_registros[MÊS],$AE$1,tabela_registros[DIA],receitasvariáveisconsolidadofev[[#Headers],[31]],tabela_registros[REGISTRO],DADOS!$N$3,tabela_registros[TIPO],DADOS!$V$4,tabela_registros[CATEGORIA],receitasvariáveisconsolidadofev[[#This Row],[ATUAL]])</f>
        <v>0</v>
      </c>
      <c r="AJ101" s="149" t="n">
        <f aca="false">SUM(receitasvariáveisconsolidadofev[[#This Row],[1]:[31]])</f>
        <v>0</v>
      </c>
      <c r="AK101" s="165"/>
    </row>
    <row r="102" customFormat="false" ht="19.5" hidden="false" customHeight="true" outlineLevel="0" collapsed="false">
      <c r="B102" s="143"/>
      <c r="C102" s="144" t="str">
        <f aca="false">DADOS!$Z$9</f>
        <v>👷‍♀️ TRABALHO TEMPORÁRIO</v>
      </c>
      <c r="D102" s="145" t="str">
        <f aca="false">IF(receitasvariáveisconsolidadofev[[#This Row],[TOTAL (R$)]]=0,"",IF(OR(receitasvariáveisconsolidadofev[[#This Row],[TOTAL (R$)]]=LARGE($AJ$96:$AJ$103,1),receitasvariáveisconsolidadofev[[#This Row],[TOTAL (R$)]]=LARGE($AJ$96:$AJ$103,2)),DADOS!$I$9,""))</f>
        <v/>
      </c>
      <c r="E102" s="148" t="n">
        <f aca="false">SUMIFS(tabela_registros[VALOR],tabela_registros[MÊS],$AE$1,tabela_registros[DIA],receitasvariáveisconsolidadofev[[#Headers],[1]],tabela_registros[REGISTRO],DADOS!$N$3,tabela_registros[TIPO],DADOS!$V$4,tabela_registros[CATEGORIA],receitasvariáveisconsolidadofev[[#This Row],[ATUAL]])</f>
        <v>0</v>
      </c>
      <c r="F102" s="119" t="n">
        <f aca="false">SUMIFS(tabela_registros[VALOR],tabela_registros[MÊS],$AE$1,tabela_registros[DIA],receitasvariáveisconsolidadofev[[#Headers],[2]],tabela_registros[REGISTRO],DADOS!$N$3,tabela_registros[TIPO],DADOS!$V$4,tabela_registros[CATEGORIA],receitasvariáveisconsolidadofev[[#This Row],[ATUAL]])</f>
        <v>0</v>
      </c>
      <c r="G102" s="119" t="n">
        <f aca="false">SUMIFS(tabela_registros[VALOR],tabela_registros[MÊS],$AE$1,tabela_registros[DIA],receitasvariáveisconsolidadofev[[#Headers],[3]],tabela_registros[REGISTRO],DADOS!$N$3,tabela_registros[TIPO],DADOS!$V$4,tabela_registros[CATEGORIA],receitasvariáveisconsolidadofev[[#This Row],[ATUAL]])</f>
        <v>0</v>
      </c>
      <c r="H102" s="119" t="n">
        <f aca="false">SUMIFS(tabela_registros[VALOR],tabela_registros[MÊS],$AE$1,tabela_registros[DIA],receitasvariáveisconsolidadofev[[#Headers],[4]],tabela_registros[REGISTRO],DADOS!$N$3,tabela_registros[TIPO],DADOS!$V$4,tabela_registros[CATEGORIA],receitasvariáveisconsolidadofev[[#This Row],[ATUAL]])</f>
        <v>0</v>
      </c>
      <c r="I102" s="119" t="n">
        <f aca="false">SUMIFS(tabela_registros[VALOR],tabela_registros[MÊS],$AE$1,tabela_registros[DIA],receitasvariáveisconsolidadofev[[#Headers],[5]],tabela_registros[REGISTRO],DADOS!$N$3,tabela_registros[TIPO],DADOS!$V$4,tabela_registros[CATEGORIA],receitasvariáveisconsolidadofev[[#This Row],[ATUAL]])</f>
        <v>0</v>
      </c>
      <c r="J102" s="119" t="n">
        <f aca="false">SUMIFS(tabela_registros[VALOR],tabela_registros[MÊS],$AE$1,tabela_registros[DIA],receitasvariáveisconsolidadofev[[#Headers],[6]],tabela_registros[REGISTRO],DADOS!$N$3,tabela_registros[TIPO],DADOS!$V$4,tabela_registros[CATEGORIA],receitasvariáveisconsolidadofev[[#This Row],[ATUAL]])</f>
        <v>0</v>
      </c>
      <c r="K102" s="119" t="n">
        <f aca="false">SUMIFS(tabela_registros[VALOR],tabela_registros[MÊS],$AE$1,tabela_registros[DIA],receitasvariáveisconsolidadofev[[#Headers],[7]],tabela_registros[REGISTRO],DADOS!$N$3,tabela_registros[TIPO],DADOS!$V$4,tabela_registros[CATEGORIA],receitasvariáveisconsolidadofev[[#This Row],[ATUAL]])</f>
        <v>0</v>
      </c>
      <c r="L102" s="119" t="n">
        <f aca="false">SUMIFS(tabela_registros[VALOR],tabela_registros[MÊS],$AE$1,tabela_registros[DIA],receitasvariáveisconsolidadofev[[#Headers],[8]],tabela_registros[REGISTRO],DADOS!$N$3,tabela_registros[TIPO],DADOS!$V$4,tabela_registros[CATEGORIA],receitasvariáveisconsolidadofev[[#This Row],[ATUAL]])</f>
        <v>0</v>
      </c>
      <c r="M102" s="119" t="n">
        <f aca="false">SUMIFS(tabela_registros[VALOR],tabela_registros[MÊS],$AE$1,tabela_registros[DIA],receitasvariáveisconsolidadofev[[#Headers],[9]],tabela_registros[REGISTRO],DADOS!$N$3,tabela_registros[TIPO],DADOS!$V$4,tabela_registros[CATEGORIA],receitasvariáveisconsolidadofev[[#This Row],[ATUAL]])</f>
        <v>0</v>
      </c>
      <c r="N102" s="119" t="n">
        <f aca="false">SUMIFS(tabela_registros[VALOR],tabela_registros[MÊS],$AE$1,tabela_registros[DIA],receitasvariáveisconsolidadofev[[#Headers],[10]],tabela_registros[REGISTRO],DADOS!$N$3,tabela_registros[TIPO],DADOS!$V$4,tabela_registros[CATEGORIA],receitasvariáveisconsolidadofev[[#This Row],[ATUAL]])</f>
        <v>0</v>
      </c>
      <c r="O102" s="119" t="n">
        <f aca="false">SUMIFS(tabela_registros[VALOR],tabela_registros[MÊS],$AE$1,tabela_registros[DIA],receitasvariáveisconsolidadofev[[#Headers],[11]],tabela_registros[REGISTRO],DADOS!$N$3,tabela_registros[TIPO],DADOS!$V$4,tabela_registros[CATEGORIA],receitasvariáveisconsolidadofev[[#This Row],[ATUAL]])</f>
        <v>0</v>
      </c>
      <c r="P102" s="119" t="n">
        <f aca="false">SUMIFS(tabela_registros[VALOR],tabela_registros[MÊS],$AE$1,tabela_registros[DIA],receitasvariáveisconsolidadofev[[#Headers],[12]],tabela_registros[REGISTRO],DADOS!$N$3,tabela_registros[TIPO],DADOS!$V$4,tabela_registros[CATEGORIA],receitasvariáveisconsolidadofev[[#This Row],[ATUAL]])</f>
        <v>0</v>
      </c>
      <c r="Q102" s="119" t="n">
        <f aca="false">SUMIFS(tabela_registros[VALOR],tabela_registros[MÊS],$AE$1,tabela_registros[DIA],receitasvariáveisconsolidadofev[[#Headers],[13]],tabela_registros[REGISTRO],DADOS!$N$3,tabela_registros[TIPO],DADOS!$V$4,tabela_registros[CATEGORIA],receitasvariáveisconsolidadofev[[#This Row],[ATUAL]])</f>
        <v>0</v>
      </c>
      <c r="R102" s="119" t="n">
        <f aca="false">SUMIFS(tabela_registros[VALOR],tabela_registros[MÊS],$AE$1,tabela_registros[DIA],receitasvariáveisconsolidadofev[[#Headers],[14]],tabela_registros[REGISTRO],DADOS!$N$3,tabela_registros[TIPO],DADOS!$V$4,tabela_registros[CATEGORIA],receitasvariáveisconsolidadofev[[#This Row],[ATUAL]])</f>
        <v>0</v>
      </c>
      <c r="S102" s="119" t="n">
        <f aca="false">SUMIFS(tabela_registros[VALOR],tabela_registros[MÊS],$AE$1,tabela_registros[DIA],receitasvariáveisconsolidadofev[[#Headers],[15]],tabela_registros[REGISTRO],DADOS!$N$3,tabela_registros[TIPO],DADOS!$V$4,tabela_registros[CATEGORIA],receitasvariáveisconsolidadofev[[#This Row],[ATUAL]])</f>
        <v>0</v>
      </c>
      <c r="T102" s="119" t="n">
        <f aca="false">SUMIFS(tabela_registros[VALOR],tabela_registros[MÊS],$AE$1,tabela_registros[DIA],receitasvariáveisconsolidadofev[[#Headers],[16]],tabela_registros[REGISTRO],DADOS!$N$3,tabela_registros[TIPO],DADOS!$V$4,tabela_registros[CATEGORIA],receitasvariáveisconsolidadofev[[#This Row],[ATUAL]])</f>
        <v>0</v>
      </c>
      <c r="U102" s="119" t="n">
        <f aca="false">SUMIFS(tabela_registros[VALOR],tabela_registros[MÊS],$AE$1,tabela_registros[DIA],receitasvariáveisconsolidadofev[[#Headers],[17]],tabela_registros[REGISTRO],DADOS!$N$3,tabela_registros[TIPO],DADOS!$V$4,tabela_registros[CATEGORIA],receitasvariáveisconsolidadofev[[#This Row],[ATUAL]])</f>
        <v>0</v>
      </c>
      <c r="V102" s="119" t="n">
        <f aca="false">SUMIFS(tabela_registros[VALOR],tabela_registros[MÊS],$AE$1,tabela_registros[DIA],receitasvariáveisconsolidadofev[[#Headers],[18]],tabela_registros[REGISTRO],DADOS!$N$3,tabela_registros[TIPO],DADOS!$V$4,tabela_registros[CATEGORIA],receitasvariáveisconsolidadofev[[#This Row],[ATUAL]])</f>
        <v>0</v>
      </c>
      <c r="W102" s="119" t="n">
        <f aca="false">SUMIFS(tabela_registros[VALOR],tabela_registros[MÊS],$AE$1,tabela_registros[DIA],receitasvariáveisconsolidadofev[[#Headers],[19]],tabela_registros[REGISTRO],DADOS!$N$3,tabela_registros[TIPO],DADOS!$V$4,tabela_registros[CATEGORIA],receitasvariáveisconsolidadofev[[#This Row],[ATUAL]])</f>
        <v>0</v>
      </c>
      <c r="X102" s="119" t="n">
        <f aca="false">SUMIFS(tabela_registros[VALOR],tabela_registros[MÊS],$AE$1,tabela_registros[DIA],receitasvariáveisconsolidadofev[[#Headers],[20]],tabela_registros[REGISTRO],DADOS!$N$3,tabela_registros[TIPO],DADOS!$V$4,tabela_registros[CATEGORIA],receitasvariáveisconsolidadofev[[#This Row],[ATUAL]])</f>
        <v>0</v>
      </c>
      <c r="Y102" s="119" t="n">
        <f aca="false">SUMIFS(tabela_registros[VALOR],tabela_registros[MÊS],$AE$1,tabela_registros[DIA],receitasvariáveisconsolidadofev[[#Headers],[21]],tabela_registros[REGISTRO],DADOS!$N$3,tabela_registros[TIPO],DADOS!$V$4,tabela_registros[CATEGORIA],receitasvariáveisconsolidadofev[[#This Row],[ATUAL]])</f>
        <v>0</v>
      </c>
      <c r="Z102" s="119" t="n">
        <f aca="false">SUMIFS(tabela_registros[VALOR],tabela_registros[MÊS],$AE$1,tabela_registros[DIA],receitasvariáveisconsolidadofev[[#Headers],[22]],tabela_registros[REGISTRO],DADOS!$N$3,tabela_registros[TIPO],DADOS!$V$4,tabela_registros[CATEGORIA],receitasvariáveisconsolidadofev[[#This Row],[ATUAL]])</f>
        <v>0</v>
      </c>
      <c r="AA102" s="119" t="n">
        <f aca="false">SUMIFS(tabela_registros[VALOR],tabela_registros[MÊS],$AE$1,tabela_registros[DIA],receitasvariáveisconsolidadofev[[#Headers],[23]],tabela_registros[REGISTRO],DADOS!$N$3,tabela_registros[TIPO],DADOS!$V$4,tabela_registros[CATEGORIA],receitasvariáveisconsolidadofev[[#This Row],[ATUAL]])</f>
        <v>0</v>
      </c>
      <c r="AB102" s="119" t="n">
        <f aca="false">SUMIFS(tabela_registros[VALOR],tabela_registros[MÊS],$AE$1,tabela_registros[DIA],receitasvariáveisconsolidadofev[[#Headers],[24]],tabela_registros[REGISTRO],DADOS!$N$3,tabela_registros[TIPO],DADOS!$V$4,tabela_registros[CATEGORIA],receitasvariáveisconsolidadofev[[#This Row],[ATUAL]])</f>
        <v>0</v>
      </c>
      <c r="AC102" s="119" t="n">
        <f aca="false">SUMIFS(tabela_registros[VALOR],tabela_registros[MÊS],$AE$1,tabela_registros[DIA],receitasvariáveisconsolidadofev[[#Headers],[25]],tabela_registros[REGISTRO],DADOS!$N$3,tabela_registros[TIPO],DADOS!$V$4,tabela_registros[CATEGORIA],receitasvariáveisconsolidadofev[[#This Row],[ATUAL]])</f>
        <v>0</v>
      </c>
      <c r="AD102" s="119" t="n">
        <f aca="false">SUMIFS(tabela_registros[VALOR],tabela_registros[MÊS],$AE$1,tabela_registros[DIA],receitasvariáveisconsolidadofev[[#Headers],[26]],tabela_registros[REGISTRO],DADOS!$N$3,tabela_registros[TIPO],DADOS!$V$4,tabela_registros[CATEGORIA],receitasvariáveisconsolidadofev[[#This Row],[ATUAL]])</f>
        <v>0</v>
      </c>
      <c r="AE102" s="119" t="n">
        <f aca="false">SUMIFS(tabela_registros[VALOR],tabela_registros[MÊS],$AE$1,tabela_registros[DIA],receitasvariáveisconsolidadofev[[#Headers],[27]],tabela_registros[REGISTRO],DADOS!$N$3,tabela_registros[TIPO],DADOS!$V$4,tabela_registros[CATEGORIA],receitasvariáveisconsolidadofev[[#This Row],[ATUAL]])</f>
        <v>0</v>
      </c>
      <c r="AF102" s="119" t="n">
        <f aca="false">SUMIFS(tabela_registros[VALOR],tabela_registros[MÊS],$AE$1,tabela_registros[DIA],receitasvariáveisconsolidadofev[[#Headers],[28]],tabela_registros[REGISTRO],DADOS!$N$3,tabela_registros[TIPO],DADOS!$V$4,tabela_registros[CATEGORIA],receitasvariáveisconsolidadofev[[#This Row],[ATUAL]])</f>
        <v>0</v>
      </c>
      <c r="AG102" s="119" t="n">
        <f aca="false">SUMIFS(tabela_registros[VALOR],tabela_registros[MÊS],$AE$1,tabela_registros[DIA],receitasvariáveisconsolidadofev[[#Headers],[29]],tabela_registros[REGISTRO],DADOS!$N$3,tabela_registros[TIPO],DADOS!$V$4,tabela_registros[CATEGORIA],receitasvariáveisconsolidadofev[[#This Row],[ATUAL]])</f>
        <v>0</v>
      </c>
      <c r="AH102" s="119" t="n">
        <f aca="false">SUMIFS(tabela_registros[VALOR],tabela_registros[MÊS],$AE$1,tabela_registros[DIA],receitasvariáveisconsolidadofev[[#Headers],[30]],tabela_registros[REGISTRO],DADOS!$N$3,tabela_registros[TIPO],DADOS!$V$4,tabela_registros[CATEGORIA],receitasvariáveisconsolidadofev[[#This Row],[ATUAL]])</f>
        <v>0</v>
      </c>
      <c r="AI102" s="217" t="n">
        <f aca="false">SUMIFS(tabela_registros[VALOR],tabela_registros[MÊS],$AE$1,tabela_registros[DIA],receitasvariáveisconsolidadofev[[#Headers],[31]],tabela_registros[REGISTRO],DADOS!$N$3,tabela_registros[TIPO],DADOS!$V$4,tabela_registros[CATEGORIA],receitasvariáveisconsolidadofev[[#This Row],[ATUAL]])</f>
        <v>0</v>
      </c>
      <c r="AJ102" s="149" t="n">
        <f aca="false">SUM(receitasvariáveisconsolidadofev[[#This Row],[1]:[31]])</f>
        <v>0</v>
      </c>
      <c r="AK102" s="165"/>
    </row>
    <row r="103" customFormat="false" ht="18" hidden="false" customHeight="true" outlineLevel="0" collapsed="false">
      <c r="B103" s="143"/>
      <c r="C103" s="144" t="str">
        <f aca="false">DADOS!$Z$10</f>
        <v>📎 OUTROS</v>
      </c>
      <c r="D103" s="145" t="str">
        <f aca="false">IF(receitasvariáveisconsolidadofev[[#This Row],[TOTAL (R$)]]=0,"",IF(OR(receitasvariáveisconsolidadofev[[#This Row],[TOTAL (R$)]]=LARGE($AJ$96:$AJ$103,1),receitasvariáveisconsolidadofev[[#This Row],[TOTAL (R$)]]=LARGE($AJ$96:$AJ$103,2)),DADOS!$I$9,""))</f>
        <v/>
      </c>
      <c r="E103" s="148" t="n">
        <f aca="false">SUMIFS(tabela_registros[VALOR],tabela_registros[MÊS],$AE$1,tabela_registros[DIA],receitasvariáveisconsolidadofev[[#Headers],[1]],tabela_registros[REGISTRO],DADOS!$N$3,tabela_registros[TIPO],DADOS!$V$4,tabela_registros[CATEGORIA],receitasvariáveisconsolidadofev[[#This Row],[ATUAL]])</f>
        <v>0</v>
      </c>
      <c r="F103" s="119" t="n">
        <f aca="false">SUMIFS(tabela_registros[VALOR],tabela_registros[MÊS],$AE$1,tabela_registros[DIA],receitasvariáveisconsolidadofev[[#Headers],[2]],tabela_registros[REGISTRO],DADOS!$N$3,tabela_registros[TIPO],DADOS!$V$4,tabela_registros[CATEGORIA],receitasvariáveisconsolidadofev[[#This Row],[ATUAL]])</f>
        <v>0</v>
      </c>
      <c r="G103" s="119" t="n">
        <f aca="false">SUMIFS(tabela_registros[VALOR],tabela_registros[MÊS],$AE$1,tabela_registros[DIA],receitasvariáveisconsolidadofev[[#Headers],[3]],tabela_registros[REGISTRO],DADOS!$N$3,tabela_registros[TIPO],DADOS!$V$4,tabela_registros[CATEGORIA],receitasvariáveisconsolidadofev[[#This Row],[ATUAL]])</f>
        <v>0</v>
      </c>
      <c r="H103" s="119" t="n">
        <f aca="false">SUMIFS(tabela_registros[VALOR],tabela_registros[MÊS],$AE$1,tabela_registros[DIA],receitasvariáveisconsolidadofev[[#Headers],[4]],tabela_registros[REGISTRO],DADOS!$N$3,tabela_registros[TIPO],DADOS!$V$4,tabela_registros[CATEGORIA],receitasvariáveisconsolidadofev[[#This Row],[ATUAL]])</f>
        <v>0</v>
      </c>
      <c r="I103" s="119" t="n">
        <f aca="false">SUMIFS(tabela_registros[VALOR],tabela_registros[MÊS],$AE$1,tabela_registros[DIA],receitasvariáveisconsolidadofev[[#Headers],[5]],tabela_registros[REGISTRO],DADOS!$N$3,tabela_registros[TIPO],DADOS!$V$4,tabela_registros[CATEGORIA],receitasvariáveisconsolidadofev[[#This Row],[ATUAL]])</f>
        <v>0</v>
      </c>
      <c r="J103" s="119" t="n">
        <f aca="false">SUMIFS(tabela_registros[VALOR],tabela_registros[MÊS],$AE$1,tabela_registros[DIA],receitasvariáveisconsolidadofev[[#Headers],[6]],tabela_registros[REGISTRO],DADOS!$N$3,tabela_registros[TIPO],DADOS!$V$4,tabela_registros[CATEGORIA],receitasvariáveisconsolidadofev[[#This Row],[ATUAL]])</f>
        <v>0</v>
      </c>
      <c r="K103" s="119" t="n">
        <f aca="false">SUMIFS(tabela_registros[VALOR],tabela_registros[MÊS],$AE$1,tabela_registros[DIA],receitasvariáveisconsolidadofev[[#Headers],[7]],tabela_registros[REGISTRO],DADOS!$N$3,tabela_registros[TIPO],DADOS!$V$4,tabela_registros[CATEGORIA],receitasvariáveisconsolidadofev[[#This Row],[ATUAL]])</f>
        <v>0</v>
      </c>
      <c r="L103" s="119" t="n">
        <f aca="false">SUMIFS(tabela_registros[VALOR],tabela_registros[MÊS],$AE$1,tabela_registros[DIA],receitasvariáveisconsolidadofev[[#Headers],[8]],tabela_registros[REGISTRO],DADOS!$N$3,tabela_registros[TIPO],DADOS!$V$4,tabela_registros[CATEGORIA],receitasvariáveisconsolidadofev[[#This Row],[ATUAL]])</f>
        <v>0</v>
      </c>
      <c r="M103" s="119" t="n">
        <f aca="false">SUMIFS(tabela_registros[VALOR],tabela_registros[MÊS],$AE$1,tabela_registros[DIA],receitasvariáveisconsolidadofev[[#Headers],[9]],tabela_registros[REGISTRO],DADOS!$N$3,tabela_registros[TIPO],DADOS!$V$4,tabela_registros[CATEGORIA],receitasvariáveisconsolidadofev[[#This Row],[ATUAL]])</f>
        <v>0</v>
      </c>
      <c r="N103" s="119" t="n">
        <f aca="false">SUMIFS(tabela_registros[VALOR],tabela_registros[MÊS],$AE$1,tabela_registros[DIA],receitasvariáveisconsolidadofev[[#Headers],[10]],tabela_registros[REGISTRO],DADOS!$N$3,tabela_registros[TIPO],DADOS!$V$4,tabela_registros[CATEGORIA],receitasvariáveisconsolidadofev[[#This Row],[ATUAL]])</f>
        <v>0</v>
      </c>
      <c r="O103" s="119" t="n">
        <f aca="false">SUMIFS(tabela_registros[VALOR],tabela_registros[MÊS],$AE$1,tabela_registros[DIA],receitasvariáveisconsolidadofev[[#Headers],[11]],tabela_registros[REGISTRO],DADOS!$N$3,tabela_registros[TIPO],DADOS!$V$4,tabela_registros[CATEGORIA],receitasvariáveisconsolidadofev[[#This Row],[ATUAL]])</f>
        <v>0</v>
      </c>
      <c r="P103" s="119" t="n">
        <f aca="false">SUMIFS(tabela_registros[VALOR],tabela_registros[MÊS],$AE$1,tabela_registros[DIA],receitasvariáveisconsolidadofev[[#Headers],[12]],tabela_registros[REGISTRO],DADOS!$N$3,tabela_registros[TIPO],DADOS!$V$4,tabela_registros[CATEGORIA],receitasvariáveisconsolidadofev[[#This Row],[ATUAL]])</f>
        <v>0</v>
      </c>
      <c r="Q103" s="119" t="n">
        <f aca="false">SUMIFS(tabela_registros[VALOR],tabela_registros[MÊS],$AE$1,tabela_registros[DIA],receitasvariáveisconsolidadofev[[#Headers],[13]],tabela_registros[REGISTRO],DADOS!$N$3,tabela_registros[TIPO],DADOS!$V$4,tabela_registros[CATEGORIA],receitasvariáveisconsolidadofev[[#This Row],[ATUAL]])</f>
        <v>0</v>
      </c>
      <c r="R103" s="119" t="n">
        <f aca="false">SUMIFS(tabela_registros[VALOR],tabela_registros[MÊS],$AE$1,tabela_registros[DIA],receitasvariáveisconsolidadofev[[#Headers],[14]],tabela_registros[REGISTRO],DADOS!$N$3,tabela_registros[TIPO],DADOS!$V$4,tabela_registros[CATEGORIA],receitasvariáveisconsolidadofev[[#This Row],[ATUAL]])</f>
        <v>0</v>
      </c>
      <c r="S103" s="119" t="n">
        <f aca="false">SUMIFS(tabela_registros[VALOR],tabela_registros[MÊS],$AE$1,tabela_registros[DIA],receitasvariáveisconsolidadofev[[#Headers],[15]],tabela_registros[REGISTRO],DADOS!$N$3,tabela_registros[TIPO],DADOS!$V$4,tabela_registros[CATEGORIA],receitasvariáveisconsolidadofev[[#This Row],[ATUAL]])</f>
        <v>0</v>
      </c>
      <c r="T103" s="119" t="n">
        <f aca="false">SUMIFS(tabela_registros[VALOR],tabela_registros[MÊS],$AE$1,tabela_registros[DIA],receitasvariáveisconsolidadofev[[#Headers],[16]],tabela_registros[REGISTRO],DADOS!$N$3,tabela_registros[TIPO],DADOS!$V$4,tabela_registros[CATEGORIA],receitasvariáveisconsolidadofev[[#This Row],[ATUAL]])</f>
        <v>0</v>
      </c>
      <c r="U103" s="119" t="n">
        <f aca="false">SUMIFS(tabela_registros[VALOR],tabela_registros[MÊS],$AE$1,tabela_registros[DIA],receitasvariáveisconsolidadofev[[#Headers],[17]],tabela_registros[REGISTRO],DADOS!$N$3,tabela_registros[TIPO],DADOS!$V$4,tabela_registros[CATEGORIA],receitasvariáveisconsolidadofev[[#This Row],[ATUAL]])</f>
        <v>0</v>
      </c>
      <c r="V103" s="119" t="n">
        <f aca="false">SUMIFS(tabela_registros[VALOR],tabela_registros[MÊS],$AE$1,tabela_registros[DIA],receitasvariáveisconsolidadofev[[#Headers],[18]],tabela_registros[REGISTRO],DADOS!$N$3,tabela_registros[TIPO],DADOS!$V$4,tabela_registros[CATEGORIA],receitasvariáveisconsolidadofev[[#This Row],[ATUAL]])</f>
        <v>0</v>
      </c>
      <c r="W103" s="119" t="n">
        <f aca="false">SUMIFS(tabela_registros[VALOR],tabela_registros[MÊS],$AE$1,tabela_registros[DIA],receitasvariáveisconsolidadofev[[#Headers],[19]],tabela_registros[REGISTRO],DADOS!$N$3,tabela_registros[TIPO],DADOS!$V$4,tabela_registros[CATEGORIA],receitasvariáveisconsolidadofev[[#This Row],[ATUAL]])</f>
        <v>0</v>
      </c>
      <c r="X103" s="119" t="n">
        <f aca="false">SUMIFS(tabela_registros[VALOR],tabela_registros[MÊS],$AE$1,tabela_registros[DIA],receitasvariáveisconsolidadofev[[#Headers],[20]],tabela_registros[REGISTRO],DADOS!$N$3,tabela_registros[TIPO],DADOS!$V$4,tabela_registros[CATEGORIA],receitasvariáveisconsolidadofev[[#This Row],[ATUAL]])</f>
        <v>0</v>
      </c>
      <c r="Y103" s="119" t="n">
        <f aca="false">SUMIFS(tabela_registros[VALOR],tabela_registros[MÊS],$AE$1,tabela_registros[DIA],receitasvariáveisconsolidadofev[[#Headers],[21]],tabela_registros[REGISTRO],DADOS!$N$3,tabela_registros[TIPO],DADOS!$V$4,tabela_registros[CATEGORIA],receitasvariáveisconsolidadofev[[#This Row],[ATUAL]])</f>
        <v>0</v>
      </c>
      <c r="Z103" s="119" t="n">
        <f aca="false">SUMIFS(tabela_registros[VALOR],tabela_registros[MÊS],$AE$1,tabela_registros[DIA],receitasvariáveisconsolidadofev[[#Headers],[22]],tabela_registros[REGISTRO],DADOS!$N$3,tabela_registros[TIPO],DADOS!$V$4,tabela_registros[CATEGORIA],receitasvariáveisconsolidadofev[[#This Row],[ATUAL]])</f>
        <v>0</v>
      </c>
      <c r="AA103" s="119" t="n">
        <f aca="false">SUMIFS(tabela_registros[VALOR],tabela_registros[MÊS],$AE$1,tabela_registros[DIA],receitasvariáveisconsolidadofev[[#Headers],[23]],tabela_registros[REGISTRO],DADOS!$N$3,tabela_registros[TIPO],DADOS!$V$4,tabela_registros[CATEGORIA],receitasvariáveisconsolidadofev[[#This Row],[ATUAL]])</f>
        <v>0</v>
      </c>
      <c r="AB103" s="119" t="n">
        <f aca="false">SUMIFS(tabela_registros[VALOR],tabela_registros[MÊS],$AE$1,tabela_registros[DIA],receitasvariáveisconsolidadofev[[#Headers],[24]],tabela_registros[REGISTRO],DADOS!$N$3,tabela_registros[TIPO],DADOS!$V$4,tabela_registros[CATEGORIA],receitasvariáveisconsolidadofev[[#This Row],[ATUAL]])</f>
        <v>0</v>
      </c>
      <c r="AC103" s="119" t="n">
        <f aca="false">SUMIFS(tabela_registros[VALOR],tabela_registros[MÊS],$AE$1,tabela_registros[DIA],receitasvariáveisconsolidadofev[[#Headers],[25]],tabela_registros[REGISTRO],DADOS!$N$3,tabela_registros[TIPO],DADOS!$V$4,tabela_registros[CATEGORIA],receitasvariáveisconsolidadofev[[#This Row],[ATUAL]])</f>
        <v>0</v>
      </c>
      <c r="AD103" s="119" t="n">
        <f aca="false">SUMIFS(tabela_registros[VALOR],tabela_registros[MÊS],$AE$1,tabela_registros[DIA],receitasvariáveisconsolidadofev[[#Headers],[26]],tabela_registros[REGISTRO],DADOS!$N$3,tabela_registros[TIPO],DADOS!$V$4,tabela_registros[CATEGORIA],receitasvariáveisconsolidadofev[[#This Row],[ATUAL]])</f>
        <v>0</v>
      </c>
      <c r="AE103" s="119" t="n">
        <f aca="false">SUMIFS(tabela_registros[VALOR],tabela_registros[MÊS],$AE$1,tabela_registros[DIA],receitasvariáveisconsolidadofev[[#Headers],[27]],tabela_registros[REGISTRO],DADOS!$N$3,tabela_registros[TIPO],DADOS!$V$4,tabela_registros[CATEGORIA],receitasvariáveisconsolidadofev[[#This Row],[ATUAL]])</f>
        <v>0</v>
      </c>
      <c r="AF103" s="119" t="n">
        <f aca="false">SUMIFS(tabela_registros[VALOR],tabela_registros[MÊS],$AE$1,tabela_registros[DIA],receitasvariáveisconsolidadofev[[#Headers],[28]],tabela_registros[REGISTRO],DADOS!$N$3,tabela_registros[TIPO],DADOS!$V$4,tabela_registros[CATEGORIA],receitasvariáveisconsolidadofev[[#This Row],[ATUAL]])</f>
        <v>0</v>
      </c>
      <c r="AG103" s="151" t="n">
        <f aca="false">SUMIFS(tabela_registros[VALOR],tabela_registros[MÊS],$AE$1,tabela_registros[DIA],receitasvariáveisconsolidadofev[[#Headers],[29]],tabela_registros[REGISTRO],DADOS!$N$3,tabela_registros[TIPO],DADOS!$V$4,tabela_registros[CATEGORIA],receitasvariáveisconsolidadofev[[#This Row],[ATUAL]])</f>
        <v>0</v>
      </c>
      <c r="AH103" s="151" t="n">
        <f aca="false">SUMIFS(tabela_registros[VALOR],tabela_registros[MÊS],$AE$1,tabela_registros[DIA],receitasvariáveisconsolidadofev[[#Headers],[30]],tabela_registros[REGISTRO],DADOS!$N$3,tabela_registros[TIPO],DADOS!$V$4,tabela_registros[CATEGORIA],receitasvariáveisconsolidadofev[[#This Row],[ATUAL]])</f>
        <v>0</v>
      </c>
      <c r="AI103" s="218" t="n">
        <f aca="false">SUMIFS(tabela_registros[VALOR],tabela_registros[MÊS],$AE$1,tabela_registros[DIA],receitasvariáveisconsolidadofev[[#Headers],[31]],tabela_registros[REGISTRO],DADOS!$N$3,tabela_registros[TIPO],DADOS!$V$4,tabela_registros[CATEGORIA],receitasvariáveisconsolidadofev[[#This Row],[ATUAL]])</f>
        <v>0</v>
      </c>
      <c r="AJ103" s="219" t="n">
        <f aca="false">SUM(receitasvariáveisconsolidadofev[[#This Row],[1]:[31]])</f>
        <v>0</v>
      </c>
      <c r="AK103" s="165"/>
    </row>
    <row r="104" s="122" customFormat="true" ht="21" hidden="false" customHeight="true" outlineLevel="0" collapsed="false">
      <c r="B104" s="152"/>
      <c r="C104" s="153" t="s">
        <v>2</v>
      </c>
      <c r="D104" s="166"/>
      <c r="E104" s="155" t="n">
        <f aca="false">SUM(E96:E103)</f>
        <v>0</v>
      </c>
      <c r="F104" s="156" t="n">
        <f aca="false">SUM(F96:F103)+receitasvariáveisconsolidadofev[[#This Row],[1]]</f>
        <v>0</v>
      </c>
      <c r="G104" s="156" t="n">
        <f aca="false">SUM(G96:G103)+receitasvariáveisconsolidadofev[[#This Row],[2]]</f>
        <v>0</v>
      </c>
      <c r="H104" s="156" t="n">
        <f aca="false">SUM(H96:H103)+receitasvariáveisconsolidadofev[[#This Row],[3]]</f>
        <v>0</v>
      </c>
      <c r="I104" s="156" t="n">
        <f aca="false">SUM(I96:I103)+receitasvariáveisconsolidadofev[[#This Row],[4]]</f>
        <v>0</v>
      </c>
      <c r="J104" s="156" t="n">
        <f aca="false">SUM(J96:J103)+receitasvariáveisconsolidadofev[[#This Row],[5]]</f>
        <v>0</v>
      </c>
      <c r="K104" s="156" t="n">
        <f aca="false">SUM(K96:K103)+receitasvariáveisconsolidadofev[[#This Row],[6]]</f>
        <v>0</v>
      </c>
      <c r="L104" s="156" t="n">
        <f aca="false">SUM(L96:L103)+receitasvariáveisconsolidadofev[[#This Row],[7]]</f>
        <v>0</v>
      </c>
      <c r="M104" s="156" t="n">
        <f aca="false">SUM(M96:M103)+receitasvariáveisconsolidadofev[[#This Row],[8]]</f>
        <v>0</v>
      </c>
      <c r="N104" s="156" t="n">
        <f aca="false">SUM(N96:N103)+receitasvariáveisconsolidadofev[[#This Row],[9]]</f>
        <v>0</v>
      </c>
      <c r="O104" s="156" t="n">
        <f aca="false">SUM(O96:O103)+receitasvariáveisconsolidadofev[[#This Row],[10]]</f>
        <v>0</v>
      </c>
      <c r="P104" s="156" t="n">
        <f aca="false">SUM(P96:P103)+receitasvariáveisconsolidadofev[[#This Row],[11]]</f>
        <v>0</v>
      </c>
      <c r="Q104" s="156" t="n">
        <f aca="false">SUM(Q96:Q103)+receitasvariáveisconsolidadofev[[#This Row],[12]]</f>
        <v>0</v>
      </c>
      <c r="R104" s="156" t="n">
        <f aca="false">SUM(R96:R103)+receitasvariáveisconsolidadofev[[#This Row],[13]]</f>
        <v>0</v>
      </c>
      <c r="S104" s="156" t="n">
        <f aca="false">SUM(S96:S103)+receitasvariáveisconsolidadofev[[#This Row],[14]]</f>
        <v>0</v>
      </c>
      <c r="T104" s="156" t="n">
        <f aca="false">SUM(T96:T103)+receitasvariáveisconsolidadofev[[#This Row],[15]]</f>
        <v>0</v>
      </c>
      <c r="U104" s="156" t="n">
        <f aca="false">SUM(U96:U103)+receitasvariáveisconsolidadofev[[#This Row],[16]]</f>
        <v>0</v>
      </c>
      <c r="V104" s="156" t="n">
        <f aca="false">SUM(V96:V103)+receitasvariáveisconsolidadofev[[#This Row],[17]]</f>
        <v>0</v>
      </c>
      <c r="W104" s="156" t="n">
        <f aca="false">SUM(W96:W103)+receitasvariáveisconsolidadofev[[#This Row],[18]]</f>
        <v>0</v>
      </c>
      <c r="X104" s="156" t="n">
        <f aca="false">SUM(X96:X103)+receitasvariáveisconsolidadofev[[#This Row],[19]]</f>
        <v>0</v>
      </c>
      <c r="Y104" s="156" t="n">
        <f aca="false">SUM(Y96:Y103)+receitasvariáveisconsolidadofev[[#This Row],[20]]</f>
        <v>0</v>
      </c>
      <c r="Z104" s="156" t="n">
        <f aca="false">SUM(Z96:Z103)+receitasvariáveisconsolidadofev[[#This Row],[21]]</f>
        <v>0</v>
      </c>
      <c r="AA104" s="156" t="n">
        <f aca="false">SUM(AA96:AA103)+receitasvariáveisconsolidadofev[[#This Row],[22]]</f>
        <v>0</v>
      </c>
      <c r="AB104" s="156" t="n">
        <f aca="false">SUM(AB96:AB103)+receitasvariáveisconsolidadofev[[#This Row],[23]]</f>
        <v>0</v>
      </c>
      <c r="AC104" s="156" t="n">
        <f aca="false">SUM(AC96:AC103)+receitasvariáveisconsolidadofev[[#This Row],[24]]</f>
        <v>0</v>
      </c>
      <c r="AD104" s="156" t="n">
        <f aca="false">SUM(AD96:AD103)+receitasvariáveisconsolidadofev[[#This Row],[25]]</f>
        <v>0</v>
      </c>
      <c r="AE104" s="156" t="n">
        <f aca="false">SUM(AE96:AE103)+receitasvariáveisconsolidadofev[[#This Row],[26]]</f>
        <v>0</v>
      </c>
      <c r="AF104" s="156" t="n">
        <f aca="false">SUM(AF96:AF103)+receitasvariáveisconsolidadofev[[#This Row],[27]]</f>
        <v>0</v>
      </c>
      <c r="AG104" s="156" t="n">
        <f aca="false">SUM(AG96:AG103)+receitasvariáveisconsolidadofev[[#This Row],[28]]</f>
        <v>0</v>
      </c>
      <c r="AH104" s="156" t="n">
        <f aca="false">SUM(AH96:AH103)+receitasvariáveisconsolidadofev[[#This Row],[29]]</f>
        <v>0</v>
      </c>
      <c r="AI104" s="223" t="n">
        <f aca="false">SUM(AI96:AI103)+receitasvariáveisconsolidadofev[[#This Row],[30]]</f>
        <v>0</v>
      </c>
      <c r="AJ104" s="157" t="n">
        <f aca="false">receitasvariáveisconsolidadofev[[#This Row],[31]]</f>
        <v>0</v>
      </c>
      <c r="AK104" s="158"/>
    </row>
    <row r="105" customFormat="false" ht="6.75" hidden="false" customHeight="true" outlineLevel="0" collapsed="false">
      <c r="B105" s="97"/>
      <c r="C105" s="162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233"/>
      <c r="AJ105" s="164"/>
      <c r="AK105" s="244"/>
    </row>
    <row r="106" s="78" customFormat="true" ht="12.75" hidden="false" customHeight="false" outlineLevel="0" collapsed="false">
      <c r="E106" s="100"/>
    </row>
    <row r="107" s="78" customFormat="true" ht="12" hidden="false" customHeight="false" outlineLevel="0" collapsed="false"/>
    <row r="108" s="78" customFormat="true" ht="12" hidden="false" customHeight="false" outlineLevel="0" collapsed="false"/>
    <row r="109" customFormat="false" ht="39.75" hidden="false" customHeight="true" outlineLevel="0" collapsed="false">
      <c r="C109" s="101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3" t="s">
        <v>2</v>
      </c>
    </row>
    <row r="110" s="78" customFormat="true" ht="12.75" hidden="false" customHeight="false" outlineLevel="0" collapsed="false">
      <c r="B110" s="161"/>
      <c r="AJ110" s="106" t="s">
        <v>64</v>
      </c>
    </row>
    <row r="111" customFormat="false" ht="6.75" hidden="false" customHeight="true" outlineLevel="0" collapsed="false">
      <c r="B111" s="86"/>
      <c r="C111" s="162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233"/>
      <c r="AK111" s="139"/>
    </row>
    <row r="112" customFormat="false" ht="13.5" hidden="true" customHeight="false" outlineLevel="0" collapsed="false">
      <c r="B112" s="86"/>
      <c r="C112" s="109" t="s">
        <v>68</v>
      </c>
      <c r="D112" s="110" t="s">
        <v>69</v>
      </c>
      <c r="E112" s="110" t="s">
        <v>30</v>
      </c>
      <c r="F112" s="110" t="s">
        <v>31</v>
      </c>
      <c r="G112" s="110" t="s">
        <v>32</v>
      </c>
      <c r="H112" s="110" t="s">
        <v>33</v>
      </c>
      <c r="I112" s="110" t="s">
        <v>34</v>
      </c>
      <c r="J112" s="110" t="s">
        <v>35</v>
      </c>
      <c r="K112" s="110" t="s">
        <v>36</v>
      </c>
      <c r="L112" s="110" t="s">
        <v>37</v>
      </c>
      <c r="M112" s="110" t="s">
        <v>38</v>
      </c>
      <c r="N112" s="110" t="s">
        <v>39</v>
      </c>
      <c r="O112" s="110" t="s">
        <v>40</v>
      </c>
      <c r="P112" s="110" t="s">
        <v>41</v>
      </c>
      <c r="Q112" s="110" t="s">
        <v>81</v>
      </c>
      <c r="R112" s="110" t="s">
        <v>82</v>
      </c>
      <c r="S112" s="110" t="s">
        <v>83</v>
      </c>
      <c r="T112" s="110" t="s">
        <v>84</v>
      </c>
      <c r="U112" s="110" t="s">
        <v>85</v>
      </c>
      <c r="V112" s="110" t="s">
        <v>86</v>
      </c>
      <c r="W112" s="110" t="s">
        <v>87</v>
      </c>
      <c r="X112" s="110" t="s">
        <v>88</v>
      </c>
      <c r="Y112" s="110" t="s">
        <v>89</v>
      </c>
      <c r="Z112" s="110" t="s">
        <v>90</v>
      </c>
      <c r="AA112" s="110" t="s">
        <v>91</v>
      </c>
      <c r="AB112" s="110" t="s">
        <v>92</v>
      </c>
      <c r="AC112" s="110" t="s">
        <v>93</v>
      </c>
      <c r="AD112" s="110" t="s">
        <v>94</v>
      </c>
      <c r="AE112" s="110" t="s">
        <v>95</v>
      </c>
      <c r="AF112" s="110" t="s">
        <v>96</v>
      </c>
      <c r="AG112" s="110" t="s">
        <v>97</v>
      </c>
      <c r="AH112" s="110" t="s">
        <v>98</v>
      </c>
      <c r="AI112" s="110" t="s">
        <v>99</v>
      </c>
      <c r="AJ112" s="111" t="s">
        <v>70</v>
      </c>
      <c r="AK112" s="86"/>
    </row>
    <row r="113" customFormat="false" ht="19.5" hidden="false" customHeight="true" outlineLevel="0" collapsed="false">
      <c r="B113" s="143"/>
      <c r="C113" s="144" t="str">
        <f aca="false">DADOS!$AD$3</f>
        <v>📝 CDB</v>
      </c>
      <c r="D113" s="145" t="str">
        <f aca="false">IF(investirrendafixaconsolidadofev[[#This Row],[TOTAL (R$)]]=0,"",IF(OR(investirrendafixaconsolidadofev[[#This Row],[TOTAL (R$)]]=LARGE($AJ$113:$AJ$122,1),investirrendafixaconsolidadofev[[#This Row],[TOTAL (R$)]]=LARGE($AJ$113:$AJ$122,2)),DADOS!$I$10,""))</f>
        <v/>
      </c>
      <c r="E113" s="148" t="n">
        <f aca="false">SUMIFS(tabela_registros[VALOR],tabela_registros[MÊS],$AE$1,tabela_registros[DIA],investirrendafixaconsolidadofev[[#Headers],[1]],tabela_registros[REGISTRO],DADOS!$N$5,tabela_registros[TIPO],DADOS!$AB$3,tabela_registros[CATEGORIA],investirrendafixaconsolidadofev[[#This Row],[ATUAL]])</f>
        <v>0</v>
      </c>
      <c r="F113" s="119" t="n">
        <f aca="false">SUMIFS(tabela_registros[VALOR],tabela_registros[MÊS],$AE$1,tabela_registros[DIA],investirrendafixaconsolidadofev[[#Headers],[2]],tabela_registros[REGISTRO],DADOS!$N$5,tabela_registros[TIPO],DADOS!$AB$3,tabela_registros[CATEGORIA],investirrendafixaconsolidadofev[[#This Row],[ATUAL]])</f>
        <v>0</v>
      </c>
      <c r="G113" s="119" t="n">
        <f aca="false">SUMIFS(tabela_registros[VALOR],tabela_registros[MÊS],$AE$1,tabela_registros[DIA],investirrendafixaconsolidadofev[[#Headers],[3]],tabela_registros[REGISTRO],DADOS!$N$5,tabela_registros[TIPO],DADOS!$AB$3,tabela_registros[CATEGORIA],investirrendafixaconsolidadofev[[#This Row],[ATUAL]])</f>
        <v>0</v>
      </c>
      <c r="H113" s="119" t="n">
        <f aca="false">SUMIFS(tabela_registros[VALOR],tabela_registros[MÊS],$AE$1,tabela_registros[DIA],investirrendafixaconsolidadofev[[#Headers],[4]],tabela_registros[REGISTRO],DADOS!$N$5,tabela_registros[TIPO],DADOS!$AB$3,tabela_registros[CATEGORIA],investirrendafixaconsolidadofev[[#This Row],[ATUAL]])</f>
        <v>0</v>
      </c>
      <c r="I113" s="119" t="n">
        <f aca="false">SUMIFS(tabela_registros[VALOR],tabela_registros[MÊS],$AE$1,tabela_registros[DIA],investirrendafixaconsolidadofev[[#Headers],[5]],tabela_registros[REGISTRO],DADOS!$N$5,tabela_registros[TIPO],DADOS!$AB$3,tabela_registros[CATEGORIA],investirrendafixaconsolidadofev[[#This Row],[ATUAL]])</f>
        <v>0</v>
      </c>
      <c r="J113" s="119" t="n">
        <f aca="false">SUMIFS(tabela_registros[VALOR],tabela_registros[MÊS],$AE$1,tabela_registros[DIA],investirrendafixaconsolidadofev[[#Headers],[6]],tabela_registros[REGISTRO],DADOS!$N$5,tabela_registros[TIPO],DADOS!$AB$3,tabela_registros[CATEGORIA],investirrendafixaconsolidadofev[[#This Row],[ATUAL]])</f>
        <v>0</v>
      </c>
      <c r="K113" s="119" t="n">
        <f aca="false">SUMIFS(tabela_registros[VALOR],tabela_registros[MÊS],$AE$1,tabela_registros[DIA],investirrendafixaconsolidadofev[[#Headers],[7]],tabela_registros[REGISTRO],DADOS!$N$5,tabela_registros[TIPO],DADOS!$AB$3,tabela_registros[CATEGORIA],investirrendafixaconsolidadofev[[#This Row],[ATUAL]])</f>
        <v>0</v>
      </c>
      <c r="L113" s="119" t="n">
        <f aca="false">SUMIFS(tabela_registros[VALOR],tabela_registros[MÊS],$AE$1,tabela_registros[DIA],investirrendafixaconsolidadofev[[#Headers],[8]],tabela_registros[REGISTRO],DADOS!$N$5,tabela_registros[TIPO],DADOS!$AB$3,tabela_registros[CATEGORIA],investirrendafixaconsolidadofev[[#This Row],[ATUAL]])</f>
        <v>0</v>
      </c>
      <c r="M113" s="119" t="n">
        <f aca="false">SUMIFS(tabela_registros[VALOR],tabela_registros[MÊS],$AE$1,tabela_registros[DIA],investirrendafixaconsolidadofev[[#Headers],[9]],tabela_registros[REGISTRO],DADOS!$N$5,tabela_registros[TIPO],DADOS!$AB$3,tabela_registros[CATEGORIA],investirrendafixaconsolidadofev[[#This Row],[ATUAL]])</f>
        <v>0</v>
      </c>
      <c r="N113" s="119" t="n">
        <f aca="false">SUMIFS(tabela_registros[VALOR],tabela_registros[MÊS],$AE$1,tabela_registros[DIA],investirrendafixaconsolidadofev[[#Headers],[10]],tabela_registros[REGISTRO],DADOS!$N$5,tabela_registros[TIPO],DADOS!$AB$3,tabela_registros[CATEGORIA],investirrendafixaconsolidadofev[[#This Row],[ATUAL]])</f>
        <v>0</v>
      </c>
      <c r="O113" s="119" t="n">
        <f aca="false">SUMIFS(tabela_registros[VALOR],tabela_registros[MÊS],$AE$1,tabela_registros[DIA],investirrendafixaconsolidadofev[[#Headers],[11]],tabela_registros[REGISTRO],DADOS!$N$5,tabela_registros[TIPO],DADOS!$AB$3,tabela_registros[CATEGORIA],investirrendafixaconsolidadofev[[#This Row],[ATUAL]])</f>
        <v>0</v>
      </c>
      <c r="P113" s="119" t="n">
        <f aca="false">SUMIFS(tabela_registros[VALOR],tabela_registros[MÊS],$AE$1,tabela_registros[DIA],investirrendafixaconsolidadofev[[#Headers],[12]],tabela_registros[REGISTRO],DADOS!$N$5,tabela_registros[TIPO],DADOS!$AB$3,tabela_registros[CATEGORIA],investirrendafixaconsolidadofev[[#This Row],[ATUAL]])</f>
        <v>0</v>
      </c>
      <c r="Q113" s="119" t="n">
        <f aca="false">SUMIFS(tabela_registros[VALOR],tabela_registros[MÊS],$AE$1,tabela_registros[DIA],investirrendafixaconsolidadofev[[#Headers],[13]],tabela_registros[REGISTRO],DADOS!$N$5,tabela_registros[TIPO],DADOS!$AB$3,tabela_registros[CATEGORIA],investirrendafixaconsolidadofev[[#This Row],[ATUAL]])</f>
        <v>0</v>
      </c>
      <c r="R113" s="119" t="n">
        <f aca="false">SUMIFS(tabela_registros[VALOR],tabela_registros[MÊS],$AE$1,tabela_registros[DIA],investirrendafixaconsolidadofev[[#Headers],[14]],tabela_registros[REGISTRO],DADOS!$N$5,tabela_registros[TIPO],DADOS!$AB$3,tabela_registros[CATEGORIA],investirrendafixaconsolidadofev[[#This Row],[ATUAL]])</f>
        <v>0</v>
      </c>
      <c r="S113" s="119" t="n">
        <f aca="false">SUMIFS(tabela_registros[VALOR],tabela_registros[MÊS],$AE$1,tabela_registros[DIA],investirrendafixaconsolidadofev[[#Headers],[15]],tabela_registros[REGISTRO],DADOS!$N$5,tabela_registros[TIPO],DADOS!$AB$3,tabela_registros[CATEGORIA],investirrendafixaconsolidadofev[[#This Row],[ATUAL]])</f>
        <v>0</v>
      </c>
      <c r="T113" s="119" t="n">
        <f aca="false">SUMIFS(tabela_registros[VALOR],tabela_registros[MÊS],$AE$1,tabela_registros[DIA],investirrendafixaconsolidadofev[[#Headers],[16]],tabela_registros[REGISTRO],DADOS!$N$5,tabela_registros[TIPO],DADOS!$AB$3,tabela_registros[CATEGORIA],investirrendafixaconsolidadofev[[#This Row],[ATUAL]])</f>
        <v>0</v>
      </c>
      <c r="U113" s="119" t="n">
        <f aca="false">SUMIFS(tabela_registros[VALOR],tabela_registros[MÊS],$AE$1,tabela_registros[DIA],investirrendafixaconsolidadofev[[#Headers],[17]],tabela_registros[REGISTRO],DADOS!$N$5,tabela_registros[TIPO],DADOS!$AB$3,tabela_registros[CATEGORIA],investirrendafixaconsolidadofev[[#This Row],[ATUAL]])</f>
        <v>0</v>
      </c>
      <c r="V113" s="119" t="n">
        <f aca="false">SUMIFS(tabela_registros[VALOR],tabela_registros[MÊS],$AE$1,tabela_registros[DIA],investirrendafixaconsolidadofev[[#Headers],[18]],tabela_registros[REGISTRO],DADOS!$N$5,tabela_registros[TIPO],DADOS!$AB$3,tabela_registros[CATEGORIA],investirrendafixaconsolidadofev[[#This Row],[ATUAL]])</f>
        <v>0</v>
      </c>
      <c r="W113" s="119" t="n">
        <f aca="false">SUMIFS(tabela_registros[VALOR],tabela_registros[MÊS],$AE$1,tabela_registros[DIA],investirrendafixaconsolidadofev[[#Headers],[19]],tabela_registros[REGISTRO],DADOS!$N$5,tabela_registros[TIPO],DADOS!$AB$3,tabela_registros[CATEGORIA],investirrendafixaconsolidadofev[[#This Row],[ATUAL]])</f>
        <v>0</v>
      </c>
      <c r="X113" s="119" t="n">
        <f aca="false">SUMIFS(tabela_registros[VALOR],tabela_registros[MÊS],$AE$1,tabela_registros[DIA],investirrendafixaconsolidadofev[[#Headers],[20]],tabela_registros[REGISTRO],DADOS!$N$5,tabela_registros[TIPO],DADOS!$AB$3,tabela_registros[CATEGORIA],investirrendafixaconsolidadofev[[#This Row],[ATUAL]])</f>
        <v>0</v>
      </c>
      <c r="Y113" s="119" t="n">
        <f aca="false">SUMIFS(tabela_registros[VALOR],tabela_registros[MÊS],$AE$1,tabela_registros[DIA],investirrendafixaconsolidadofev[[#Headers],[21]],tabela_registros[REGISTRO],DADOS!$N$5,tabela_registros[TIPO],DADOS!$AB$3,tabela_registros[CATEGORIA],investirrendafixaconsolidadofev[[#This Row],[ATUAL]])</f>
        <v>0</v>
      </c>
      <c r="Z113" s="119" t="n">
        <f aca="false">SUMIFS(tabela_registros[VALOR],tabela_registros[MÊS],$AE$1,tabela_registros[DIA],investirrendafixaconsolidadofev[[#Headers],[22]],tabela_registros[REGISTRO],DADOS!$N$5,tabela_registros[TIPO],DADOS!$AB$3,tabela_registros[CATEGORIA],investirrendafixaconsolidadofev[[#This Row],[ATUAL]])</f>
        <v>0</v>
      </c>
      <c r="AA113" s="119" t="n">
        <f aca="false">SUMIFS(tabela_registros[VALOR],tabela_registros[MÊS],$AE$1,tabela_registros[DIA],investirrendafixaconsolidadofev[[#Headers],[23]],tabela_registros[REGISTRO],DADOS!$N$5,tabela_registros[TIPO],DADOS!$AB$3,tabela_registros[CATEGORIA],investirrendafixaconsolidadofev[[#This Row],[ATUAL]])</f>
        <v>0</v>
      </c>
      <c r="AB113" s="119" t="n">
        <f aca="false">SUMIFS(tabela_registros[VALOR],tabela_registros[MÊS],$AE$1,tabela_registros[DIA],investirrendafixaconsolidadofev[[#Headers],[24]],tabela_registros[REGISTRO],DADOS!$N$5,tabela_registros[TIPO],DADOS!$AB$3,tabela_registros[CATEGORIA],investirrendafixaconsolidadofev[[#This Row],[ATUAL]])</f>
        <v>0</v>
      </c>
      <c r="AC113" s="119" t="n">
        <f aca="false">SUMIFS(tabela_registros[VALOR],tabela_registros[MÊS],$AE$1,tabela_registros[DIA],investirrendafixaconsolidadofev[[#Headers],[25]],tabela_registros[REGISTRO],DADOS!$N$5,tabela_registros[TIPO],DADOS!$AB$3,tabela_registros[CATEGORIA],investirrendafixaconsolidadofev[[#This Row],[ATUAL]])</f>
        <v>0</v>
      </c>
      <c r="AD113" s="119" t="n">
        <f aca="false">SUMIFS(tabela_registros[VALOR],tabela_registros[MÊS],$AE$1,tabela_registros[DIA],investirrendafixaconsolidadofev[[#Headers],[26]],tabela_registros[REGISTRO],DADOS!$N$5,tabela_registros[TIPO],DADOS!$AB$3,tabela_registros[CATEGORIA],investirrendafixaconsolidadofev[[#This Row],[ATUAL]])</f>
        <v>0</v>
      </c>
      <c r="AE113" s="119" t="n">
        <f aca="false">SUMIFS(tabela_registros[VALOR],tabela_registros[MÊS],$AE$1,tabela_registros[DIA],investirrendafixaconsolidadofev[[#Headers],[27]],tabela_registros[REGISTRO],DADOS!$N$5,tabela_registros[TIPO],DADOS!$AB$3,tabela_registros[CATEGORIA],investirrendafixaconsolidadofev[[#This Row],[ATUAL]])</f>
        <v>0</v>
      </c>
      <c r="AF113" s="119" t="n">
        <f aca="false">SUMIFS(tabela_registros[VALOR],tabela_registros[MÊS],$AE$1,tabela_registros[DIA],investirrendafixaconsolidadofev[[#Headers],[28]],tabela_registros[REGISTRO],DADOS!$N$5,tabela_registros[TIPO],DADOS!$AB$3,tabela_registros[CATEGORIA],investirrendafixaconsolidadofev[[#This Row],[ATUAL]])</f>
        <v>0</v>
      </c>
      <c r="AG113" s="119" t="n">
        <f aca="false">SUMIFS(tabela_registros[VALOR],tabela_registros[MÊS],$AE$1,tabela_registros[DIA],investirrendafixaconsolidadofev[[#Headers],[29]],tabela_registros[REGISTRO],DADOS!$N$5,tabela_registros[TIPO],DADOS!$AB$3,tabela_registros[CATEGORIA],investirrendafixaconsolidadofev[[#This Row],[ATUAL]])</f>
        <v>0</v>
      </c>
      <c r="AH113" s="119" t="n">
        <f aca="false">SUMIFS(tabela_registros[VALOR],tabela_registros[MÊS],$AE$1,tabela_registros[DIA],investirrendafixaconsolidadofev[[#Headers],[30]],tabela_registros[REGISTRO],DADOS!$N$5,tabela_registros[TIPO],DADOS!$AB$3,tabela_registros[CATEGORIA],investirrendafixaconsolidadofev[[#This Row],[ATUAL]])</f>
        <v>0</v>
      </c>
      <c r="AI113" s="217" t="n">
        <f aca="false">SUMIFS(tabela_registros[VALOR],tabela_registros[MÊS],$AE$1,tabela_registros[DIA],investirrendafixaconsolidadofev[[#Headers],[31]],tabela_registros[REGISTRO],DADOS!$N$5,tabela_registros[TIPO],DADOS!$AB$3,tabela_registros[CATEGORIA],investirrendafixaconsolidadofev[[#This Row],[ATUAL]])</f>
        <v>0</v>
      </c>
      <c r="AJ113" s="149" t="n">
        <f aca="false">SUM(investirrendafixaconsolidadofev[[#This Row],[1]:[31]])</f>
        <v>0</v>
      </c>
      <c r="AK113" s="165"/>
    </row>
    <row r="114" customFormat="false" ht="19.5" hidden="false" customHeight="true" outlineLevel="0" collapsed="false">
      <c r="B114" s="143"/>
      <c r="C114" s="144" t="str">
        <f aca="false">DADOS!$AD$4</f>
        <v>📝 CRA</v>
      </c>
      <c r="D114" s="145" t="str">
        <f aca="false">IF(investirrendafixaconsolidadofev[[#This Row],[TOTAL (R$)]]=0,"",IF(OR(investirrendafixaconsolidadofev[[#This Row],[TOTAL (R$)]]=LARGE($AJ$113:$AJ$122,1),investirrendafixaconsolidadofev[[#This Row],[TOTAL (R$)]]=LARGE($AJ$113:$AJ$122,2)),DADOS!$I$10,""))</f>
        <v/>
      </c>
      <c r="E114" s="148" t="n">
        <f aca="false">SUMIFS(tabela_registros[VALOR],tabela_registros[MÊS],$AE$1,tabela_registros[DIA],investirrendafixaconsolidadofev[[#Headers],[1]],tabela_registros[REGISTRO],DADOS!$N$5,tabela_registros[TIPO],DADOS!$AB$3,tabela_registros[CATEGORIA],investirrendafixaconsolidadofev[[#This Row],[ATUAL]])</f>
        <v>0</v>
      </c>
      <c r="F114" s="119" t="n">
        <f aca="false">SUMIFS(tabela_registros[VALOR],tabela_registros[MÊS],$AE$1,tabela_registros[DIA],investirrendafixaconsolidadofev[[#Headers],[2]],tabela_registros[REGISTRO],DADOS!$N$5,tabela_registros[TIPO],DADOS!$AB$3,tabela_registros[CATEGORIA],investirrendafixaconsolidadofev[[#This Row],[ATUAL]])</f>
        <v>0</v>
      </c>
      <c r="G114" s="119" t="n">
        <f aca="false">SUMIFS(tabela_registros[VALOR],tabela_registros[MÊS],$AE$1,tabela_registros[DIA],investirrendafixaconsolidadofev[[#Headers],[3]],tabela_registros[REGISTRO],DADOS!$N$5,tabela_registros[TIPO],DADOS!$AB$3,tabela_registros[CATEGORIA],investirrendafixaconsolidadofev[[#This Row],[ATUAL]])</f>
        <v>0</v>
      </c>
      <c r="H114" s="119" t="n">
        <f aca="false">SUMIFS(tabela_registros[VALOR],tabela_registros[MÊS],$AE$1,tabela_registros[DIA],investirrendafixaconsolidadofev[[#Headers],[4]],tabela_registros[REGISTRO],DADOS!$N$5,tabela_registros[TIPO],DADOS!$AB$3,tabela_registros[CATEGORIA],investirrendafixaconsolidadofev[[#This Row],[ATUAL]])</f>
        <v>0</v>
      </c>
      <c r="I114" s="119" t="n">
        <f aca="false">SUMIFS(tabela_registros[VALOR],tabela_registros[MÊS],$AE$1,tabela_registros[DIA],investirrendafixaconsolidadofev[[#Headers],[5]],tabela_registros[REGISTRO],DADOS!$N$5,tabela_registros[TIPO],DADOS!$AB$3,tabela_registros[CATEGORIA],investirrendafixaconsolidadofev[[#This Row],[ATUAL]])</f>
        <v>0</v>
      </c>
      <c r="J114" s="119" t="n">
        <f aca="false">SUMIFS(tabela_registros[VALOR],tabela_registros[MÊS],$AE$1,tabela_registros[DIA],investirrendafixaconsolidadofev[[#Headers],[6]],tabela_registros[REGISTRO],DADOS!$N$5,tabela_registros[TIPO],DADOS!$AB$3,tabela_registros[CATEGORIA],investirrendafixaconsolidadofev[[#This Row],[ATUAL]])</f>
        <v>0</v>
      </c>
      <c r="K114" s="119" t="n">
        <f aca="false">SUMIFS(tabela_registros[VALOR],tabela_registros[MÊS],$AE$1,tabela_registros[DIA],investirrendafixaconsolidadofev[[#Headers],[7]],tabela_registros[REGISTRO],DADOS!$N$5,tabela_registros[TIPO],DADOS!$AB$3,tabela_registros[CATEGORIA],investirrendafixaconsolidadofev[[#This Row],[ATUAL]])</f>
        <v>0</v>
      </c>
      <c r="L114" s="119" t="n">
        <f aca="false">SUMIFS(tabela_registros[VALOR],tabela_registros[MÊS],$AE$1,tabela_registros[DIA],investirrendafixaconsolidadofev[[#Headers],[8]],tabela_registros[REGISTRO],DADOS!$N$5,tabela_registros[TIPO],DADOS!$AB$3,tabela_registros[CATEGORIA],investirrendafixaconsolidadofev[[#This Row],[ATUAL]])</f>
        <v>0</v>
      </c>
      <c r="M114" s="119" t="n">
        <f aca="false">SUMIFS(tabela_registros[VALOR],tabela_registros[MÊS],$AE$1,tabela_registros[DIA],investirrendafixaconsolidadofev[[#Headers],[9]],tabela_registros[REGISTRO],DADOS!$N$5,tabela_registros[TIPO],DADOS!$AB$3,tabela_registros[CATEGORIA],investirrendafixaconsolidadofev[[#This Row],[ATUAL]])</f>
        <v>0</v>
      </c>
      <c r="N114" s="119" t="n">
        <f aca="false">SUMIFS(tabela_registros[VALOR],tabela_registros[MÊS],$AE$1,tabela_registros[DIA],investirrendafixaconsolidadofev[[#Headers],[10]],tabela_registros[REGISTRO],DADOS!$N$5,tabela_registros[TIPO],DADOS!$AB$3,tabela_registros[CATEGORIA],investirrendafixaconsolidadofev[[#This Row],[ATUAL]])</f>
        <v>0</v>
      </c>
      <c r="O114" s="119" t="n">
        <f aca="false">SUMIFS(tabela_registros[VALOR],tabela_registros[MÊS],$AE$1,tabela_registros[DIA],investirrendafixaconsolidadofev[[#Headers],[11]],tabela_registros[REGISTRO],DADOS!$N$5,tabela_registros[TIPO],DADOS!$AB$3,tabela_registros[CATEGORIA],investirrendafixaconsolidadofev[[#This Row],[ATUAL]])</f>
        <v>0</v>
      </c>
      <c r="P114" s="119" t="n">
        <f aca="false">SUMIFS(tabela_registros[VALOR],tabela_registros[MÊS],$AE$1,tabela_registros[DIA],investirrendafixaconsolidadofev[[#Headers],[12]],tabela_registros[REGISTRO],DADOS!$N$5,tabela_registros[TIPO],DADOS!$AB$3,tabela_registros[CATEGORIA],investirrendafixaconsolidadofev[[#This Row],[ATUAL]])</f>
        <v>0</v>
      </c>
      <c r="Q114" s="119" t="n">
        <f aca="false">SUMIFS(tabela_registros[VALOR],tabela_registros[MÊS],$AE$1,tabela_registros[DIA],investirrendafixaconsolidadofev[[#Headers],[13]],tabela_registros[REGISTRO],DADOS!$N$5,tabela_registros[TIPO],DADOS!$AB$3,tabela_registros[CATEGORIA],investirrendafixaconsolidadofev[[#This Row],[ATUAL]])</f>
        <v>0</v>
      </c>
      <c r="R114" s="119" t="n">
        <f aca="false">SUMIFS(tabela_registros[VALOR],tabela_registros[MÊS],$AE$1,tabela_registros[DIA],investirrendafixaconsolidadofev[[#Headers],[14]],tabela_registros[REGISTRO],DADOS!$N$5,tabela_registros[TIPO],DADOS!$AB$3,tabela_registros[CATEGORIA],investirrendafixaconsolidadofev[[#This Row],[ATUAL]])</f>
        <v>0</v>
      </c>
      <c r="S114" s="119" t="n">
        <f aca="false">SUMIFS(tabela_registros[VALOR],tabela_registros[MÊS],$AE$1,tabela_registros[DIA],investirrendafixaconsolidadofev[[#Headers],[15]],tabela_registros[REGISTRO],DADOS!$N$5,tabela_registros[TIPO],DADOS!$AB$3,tabela_registros[CATEGORIA],investirrendafixaconsolidadofev[[#This Row],[ATUAL]])</f>
        <v>0</v>
      </c>
      <c r="T114" s="119" t="n">
        <f aca="false">SUMIFS(tabela_registros[VALOR],tabela_registros[MÊS],$AE$1,tabela_registros[DIA],investirrendafixaconsolidadofev[[#Headers],[16]],tabela_registros[REGISTRO],DADOS!$N$5,tabela_registros[TIPO],DADOS!$AB$3,tabela_registros[CATEGORIA],investirrendafixaconsolidadofev[[#This Row],[ATUAL]])</f>
        <v>0</v>
      </c>
      <c r="U114" s="119" t="n">
        <f aca="false">SUMIFS(tabela_registros[VALOR],tabela_registros[MÊS],$AE$1,tabela_registros[DIA],investirrendafixaconsolidadofev[[#Headers],[17]],tabela_registros[REGISTRO],DADOS!$N$5,tabela_registros[TIPO],DADOS!$AB$3,tabela_registros[CATEGORIA],investirrendafixaconsolidadofev[[#This Row],[ATUAL]])</f>
        <v>0</v>
      </c>
      <c r="V114" s="119" t="n">
        <f aca="false">SUMIFS(tabela_registros[VALOR],tabela_registros[MÊS],$AE$1,tabela_registros[DIA],investirrendafixaconsolidadofev[[#Headers],[18]],tabela_registros[REGISTRO],DADOS!$N$5,tabela_registros[TIPO],DADOS!$AB$3,tabela_registros[CATEGORIA],investirrendafixaconsolidadofev[[#This Row],[ATUAL]])</f>
        <v>0</v>
      </c>
      <c r="W114" s="119" t="n">
        <f aca="false">SUMIFS(tabela_registros[VALOR],tabela_registros[MÊS],$AE$1,tabela_registros[DIA],investirrendafixaconsolidadofev[[#Headers],[19]],tabela_registros[REGISTRO],DADOS!$N$5,tabela_registros[TIPO],DADOS!$AB$3,tabela_registros[CATEGORIA],investirrendafixaconsolidadofev[[#This Row],[ATUAL]])</f>
        <v>0</v>
      </c>
      <c r="X114" s="119" t="n">
        <f aca="false">SUMIFS(tabela_registros[VALOR],tabela_registros[MÊS],$AE$1,tabela_registros[DIA],investirrendafixaconsolidadofev[[#Headers],[20]],tabela_registros[REGISTRO],DADOS!$N$5,tabela_registros[TIPO],DADOS!$AB$3,tabela_registros[CATEGORIA],investirrendafixaconsolidadofev[[#This Row],[ATUAL]])</f>
        <v>0</v>
      </c>
      <c r="Y114" s="119" t="n">
        <f aca="false">SUMIFS(tabela_registros[VALOR],tabela_registros[MÊS],$AE$1,tabela_registros[DIA],investirrendafixaconsolidadofev[[#Headers],[21]],tabela_registros[REGISTRO],DADOS!$N$5,tabela_registros[TIPO],DADOS!$AB$3,tabela_registros[CATEGORIA],investirrendafixaconsolidadofev[[#This Row],[ATUAL]])</f>
        <v>0</v>
      </c>
      <c r="Z114" s="119" t="n">
        <f aca="false">SUMIFS(tabela_registros[VALOR],tabela_registros[MÊS],$AE$1,tabela_registros[DIA],investirrendafixaconsolidadofev[[#Headers],[22]],tabela_registros[REGISTRO],DADOS!$N$5,tabela_registros[TIPO],DADOS!$AB$3,tabela_registros[CATEGORIA],investirrendafixaconsolidadofev[[#This Row],[ATUAL]])</f>
        <v>0</v>
      </c>
      <c r="AA114" s="119" t="n">
        <f aca="false">SUMIFS(tabela_registros[VALOR],tabela_registros[MÊS],$AE$1,tabela_registros[DIA],investirrendafixaconsolidadofev[[#Headers],[23]],tabela_registros[REGISTRO],DADOS!$N$5,tabela_registros[TIPO],DADOS!$AB$3,tabela_registros[CATEGORIA],investirrendafixaconsolidadofev[[#This Row],[ATUAL]])</f>
        <v>0</v>
      </c>
      <c r="AB114" s="119" t="n">
        <f aca="false">SUMIFS(tabela_registros[VALOR],tabela_registros[MÊS],$AE$1,tabela_registros[DIA],investirrendafixaconsolidadofev[[#Headers],[24]],tabela_registros[REGISTRO],DADOS!$N$5,tabela_registros[TIPO],DADOS!$AB$3,tabela_registros[CATEGORIA],investirrendafixaconsolidadofev[[#This Row],[ATUAL]])</f>
        <v>0</v>
      </c>
      <c r="AC114" s="119" t="n">
        <f aca="false">SUMIFS(tabela_registros[VALOR],tabela_registros[MÊS],$AE$1,tabela_registros[DIA],investirrendafixaconsolidadofev[[#Headers],[25]],tabela_registros[REGISTRO],DADOS!$N$5,tabela_registros[TIPO],DADOS!$AB$3,tabela_registros[CATEGORIA],investirrendafixaconsolidadofev[[#This Row],[ATUAL]])</f>
        <v>0</v>
      </c>
      <c r="AD114" s="119" t="n">
        <f aca="false">SUMIFS(tabela_registros[VALOR],tabela_registros[MÊS],$AE$1,tabela_registros[DIA],investirrendafixaconsolidadofev[[#Headers],[26]],tabela_registros[REGISTRO],DADOS!$N$5,tabela_registros[TIPO],DADOS!$AB$3,tabela_registros[CATEGORIA],investirrendafixaconsolidadofev[[#This Row],[ATUAL]])</f>
        <v>0</v>
      </c>
      <c r="AE114" s="119" t="n">
        <f aca="false">SUMIFS(tabela_registros[VALOR],tabela_registros[MÊS],$AE$1,tabela_registros[DIA],investirrendafixaconsolidadofev[[#Headers],[27]],tabela_registros[REGISTRO],DADOS!$N$5,tabela_registros[TIPO],DADOS!$AB$3,tabela_registros[CATEGORIA],investirrendafixaconsolidadofev[[#This Row],[ATUAL]])</f>
        <v>0</v>
      </c>
      <c r="AF114" s="119" t="n">
        <f aca="false">SUMIFS(tabela_registros[VALOR],tabela_registros[MÊS],$AE$1,tabela_registros[DIA],investirrendafixaconsolidadofev[[#Headers],[28]],tabela_registros[REGISTRO],DADOS!$N$5,tabela_registros[TIPO],DADOS!$AB$3,tabela_registros[CATEGORIA],investirrendafixaconsolidadofev[[#This Row],[ATUAL]])</f>
        <v>0</v>
      </c>
      <c r="AG114" s="119" t="n">
        <f aca="false">SUMIFS(tabela_registros[VALOR],tabela_registros[MÊS],$AE$1,tabela_registros[DIA],investirrendafixaconsolidadofev[[#Headers],[29]],tabela_registros[REGISTRO],DADOS!$N$5,tabela_registros[TIPO],DADOS!$AB$3,tabela_registros[CATEGORIA],investirrendafixaconsolidadofev[[#This Row],[ATUAL]])</f>
        <v>0</v>
      </c>
      <c r="AH114" s="119" t="n">
        <f aca="false">SUMIFS(tabela_registros[VALOR],tabela_registros[MÊS],$AE$1,tabela_registros[DIA],investirrendafixaconsolidadofev[[#Headers],[30]],tabela_registros[REGISTRO],DADOS!$N$5,tabela_registros[TIPO],DADOS!$AB$3,tabela_registros[CATEGORIA],investirrendafixaconsolidadofev[[#This Row],[ATUAL]])</f>
        <v>0</v>
      </c>
      <c r="AI114" s="217" t="n">
        <f aca="false">SUMIFS(tabela_registros[VALOR],tabela_registros[MÊS],$AE$1,tabela_registros[DIA],investirrendafixaconsolidadofev[[#Headers],[31]],tabela_registros[REGISTRO],DADOS!$N$5,tabela_registros[TIPO],DADOS!$AB$3,tabela_registros[CATEGORIA],investirrendafixaconsolidadofev[[#This Row],[ATUAL]])</f>
        <v>0</v>
      </c>
      <c r="AJ114" s="149" t="n">
        <f aca="false">SUM(investirrendafixaconsolidadofev[[#This Row],[1]:[31]])</f>
        <v>0</v>
      </c>
      <c r="AK114" s="165"/>
    </row>
    <row r="115" customFormat="false" ht="19.5" hidden="false" customHeight="true" outlineLevel="0" collapsed="false">
      <c r="B115" s="143"/>
      <c r="C115" s="144" t="str">
        <f aca="false">DADOS!$AD$5</f>
        <v>📝 CRI</v>
      </c>
      <c r="D115" s="145" t="str">
        <f aca="false">IF(investirrendafixaconsolidadofev[[#This Row],[TOTAL (R$)]]=0,"",IF(OR(investirrendafixaconsolidadofev[[#This Row],[TOTAL (R$)]]=LARGE($AJ$113:$AJ$122,1),investirrendafixaconsolidadofev[[#This Row],[TOTAL (R$)]]=LARGE($AJ$113:$AJ$122,2)),DADOS!$I$10,""))</f>
        <v/>
      </c>
      <c r="E115" s="148" t="n">
        <f aca="false">SUMIFS(tabela_registros[VALOR],tabela_registros[MÊS],$AE$1,tabela_registros[DIA],investirrendafixaconsolidadofev[[#Headers],[1]],tabela_registros[REGISTRO],DADOS!$N$5,tabela_registros[TIPO],DADOS!$AB$3,tabela_registros[CATEGORIA],investirrendafixaconsolidadofev[[#This Row],[ATUAL]])</f>
        <v>0</v>
      </c>
      <c r="F115" s="119" t="n">
        <f aca="false">SUMIFS(tabela_registros[VALOR],tabela_registros[MÊS],$AE$1,tabela_registros[DIA],investirrendafixaconsolidadofev[[#Headers],[2]],tabela_registros[REGISTRO],DADOS!$N$5,tabela_registros[TIPO],DADOS!$AB$3,tabela_registros[CATEGORIA],investirrendafixaconsolidadofev[[#This Row],[ATUAL]])</f>
        <v>0</v>
      </c>
      <c r="G115" s="119" t="n">
        <f aca="false">SUMIFS(tabela_registros[VALOR],tabela_registros[MÊS],$AE$1,tabela_registros[DIA],investirrendafixaconsolidadofev[[#Headers],[3]],tabela_registros[REGISTRO],DADOS!$N$5,tabela_registros[TIPO],DADOS!$AB$3,tabela_registros[CATEGORIA],investirrendafixaconsolidadofev[[#This Row],[ATUAL]])</f>
        <v>0</v>
      </c>
      <c r="H115" s="119" t="n">
        <f aca="false">SUMIFS(tabela_registros[VALOR],tabela_registros[MÊS],$AE$1,tabela_registros[DIA],investirrendafixaconsolidadofev[[#Headers],[4]],tabela_registros[REGISTRO],DADOS!$N$5,tabela_registros[TIPO],DADOS!$AB$3,tabela_registros[CATEGORIA],investirrendafixaconsolidadofev[[#This Row],[ATUAL]])</f>
        <v>0</v>
      </c>
      <c r="I115" s="119" t="n">
        <f aca="false">SUMIFS(tabela_registros[VALOR],tabela_registros[MÊS],$AE$1,tabela_registros[DIA],investirrendafixaconsolidadofev[[#Headers],[5]],tabela_registros[REGISTRO],DADOS!$N$5,tabela_registros[TIPO],DADOS!$AB$3,tabela_registros[CATEGORIA],investirrendafixaconsolidadofev[[#This Row],[ATUAL]])</f>
        <v>0</v>
      </c>
      <c r="J115" s="119" t="n">
        <f aca="false">SUMIFS(tabela_registros[VALOR],tabela_registros[MÊS],$AE$1,tabela_registros[DIA],investirrendafixaconsolidadofev[[#Headers],[6]],tabela_registros[REGISTRO],DADOS!$N$5,tabela_registros[TIPO],DADOS!$AB$3,tabela_registros[CATEGORIA],investirrendafixaconsolidadofev[[#This Row],[ATUAL]])</f>
        <v>0</v>
      </c>
      <c r="K115" s="119" t="n">
        <f aca="false">SUMIFS(tabela_registros[VALOR],tabela_registros[MÊS],$AE$1,tabela_registros[DIA],investirrendafixaconsolidadofev[[#Headers],[7]],tabela_registros[REGISTRO],DADOS!$N$5,tabela_registros[TIPO],DADOS!$AB$3,tabela_registros[CATEGORIA],investirrendafixaconsolidadofev[[#This Row],[ATUAL]])</f>
        <v>0</v>
      </c>
      <c r="L115" s="119" t="n">
        <f aca="false">SUMIFS(tabela_registros[VALOR],tabela_registros[MÊS],$AE$1,tabela_registros[DIA],investirrendafixaconsolidadofev[[#Headers],[8]],tabela_registros[REGISTRO],DADOS!$N$5,tabela_registros[TIPO],DADOS!$AB$3,tabela_registros[CATEGORIA],investirrendafixaconsolidadofev[[#This Row],[ATUAL]])</f>
        <v>0</v>
      </c>
      <c r="M115" s="119" t="n">
        <f aca="false">SUMIFS(tabela_registros[VALOR],tabela_registros[MÊS],$AE$1,tabela_registros[DIA],investirrendafixaconsolidadofev[[#Headers],[9]],tabela_registros[REGISTRO],DADOS!$N$5,tabela_registros[TIPO],DADOS!$AB$3,tabela_registros[CATEGORIA],investirrendafixaconsolidadofev[[#This Row],[ATUAL]])</f>
        <v>0</v>
      </c>
      <c r="N115" s="119" t="n">
        <f aca="false">SUMIFS(tabela_registros[VALOR],tabela_registros[MÊS],$AE$1,tabela_registros[DIA],investirrendafixaconsolidadofev[[#Headers],[10]],tabela_registros[REGISTRO],DADOS!$N$5,tabela_registros[TIPO],DADOS!$AB$3,tabela_registros[CATEGORIA],investirrendafixaconsolidadofev[[#This Row],[ATUAL]])</f>
        <v>0</v>
      </c>
      <c r="O115" s="119" t="n">
        <f aca="false">SUMIFS(tabela_registros[VALOR],tabela_registros[MÊS],$AE$1,tabela_registros[DIA],investirrendafixaconsolidadofev[[#Headers],[11]],tabela_registros[REGISTRO],DADOS!$N$5,tabela_registros[TIPO],DADOS!$AB$3,tabela_registros[CATEGORIA],investirrendafixaconsolidadofev[[#This Row],[ATUAL]])</f>
        <v>0</v>
      </c>
      <c r="P115" s="119" t="n">
        <f aca="false">SUMIFS(tabela_registros[VALOR],tabela_registros[MÊS],$AE$1,tabela_registros[DIA],investirrendafixaconsolidadofev[[#Headers],[12]],tabela_registros[REGISTRO],DADOS!$N$5,tabela_registros[TIPO],DADOS!$AB$3,tabela_registros[CATEGORIA],investirrendafixaconsolidadofev[[#This Row],[ATUAL]])</f>
        <v>0</v>
      </c>
      <c r="Q115" s="119" t="n">
        <f aca="false">SUMIFS(tabela_registros[VALOR],tabela_registros[MÊS],$AE$1,tabela_registros[DIA],investirrendafixaconsolidadofev[[#Headers],[13]],tabela_registros[REGISTRO],DADOS!$N$5,tabela_registros[TIPO],DADOS!$AB$3,tabela_registros[CATEGORIA],investirrendafixaconsolidadofev[[#This Row],[ATUAL]])</f>
        <v>0</v>
      </c>
      <c r="R115" s="119" t="n">
        <f aca="false">SUMIFS(tabela_registros[VALOR],tabela_registros[MÊS],$AE$1,tabela_registros[DIA],investirrendafixaconsolidadofev[[#Headers],[14]],tabela_registros[REGISTRO],DADOS!$N$5,tabela_registros[TIPO],DADOS!$AB$3,tabela_registros[CATEGORIA],investirrendafixaconsolidadofev[[#This Row],[ATUAL]])</f>
        <v>0</v>
      </c>
      <c r="S115" s="119" t="n">
        <f aca="false">SUMIFS(tabela_registros[VALOR],tabela_registros[MÊS],$AE$1,tabela_registros[DIA],investirrendafixaconsolidadofev[[#Headers],[15]],tabela_registros[REGISTRO],DADOS!$N$5,tabela_registros[TIPO],DADOS!$AB$3,tabela_registros[CATEGORIA],investirrendafixaconsolidadofev[[#This Row],[ATUAL]])</f>
        <v>0</v>
      </c>
      <c r="T115" s="119" t="n">
        <f aca="false">SUMIFS(tabela_registros[VALOR],tabela_registros[MÊS],$AE$1,tabela_registros[DIA],investirrendafixaconsolidadofev[[#Headers],[16]],tabela_registros[REGISTRO],DADOS!$N$5,tabela_registros[TIPO],DADOS!$AB$3,tabela_registros[CATEGORIA],investirrendafixaconsolidadofev[[#This Row],[ATUAL]])</f>
        <v>0</v>
      </c>
      <c r="U115" s="119" t="n">
        <f aca="false">SUMIFS(tabela_registros[VALOR],tabela_registros[MÊS],$AE$1,tabela_registros[DIA],investirrendafixaconsolidadofev[[#Headers],[17]],tabela_registros[REGISTRO],DADOS!$N$5,tabela_registros[TIPO],DADOS!$AB$3,tabela_registros[CATEGORIA],investirrendafixaconsolidadofev[[#This Row],[ATUAL]])</f>
        <v>0</v>
      </c>
      <c r="V115" s="119" t="n">
        <f aca="false">SUMIFS(tabela_registros[VALOR],tabela_registros[MÊS],$AE$1,tabela_registros[DIA],investirrendafixaconsolidadofev[[#Headers],[18]],tabela_registros[REGISTRO],DADOS!$N$5,tabela_registros[TIPO],DADOS!$AB$3,tabela_registros[CATEGORIA],investirrendafixaconsolidadofev[[#This Row],[ATUAL]])</f>
        <v>0</v>
      </c>
      <c r="W115" s="119" t="n">
        <f aca="false">SUMIFS(tabela_registros[VALOR],tabela_registros[MÊS],$AE$1,tabela_registros[DIA],investirrendafixaconsolidadofev[[#Headers],[19]],tabela_registros[REGISTRO],DADOS!$N$5,tabela_registros[TIPO],DADOS!$AB$3,tabela_registros[CATEGORIA],investirrendafixaconsolidadofev[[#This Row],[ATUAL]])</f>
        <v>0</v>
      </c>
      <c r="X115" s="119" t="n">
        <f aca="false">SUMIFS(tabela_registros[VALOR],tabela_registros[MÊS],$AE$1,tabela_registros[DIA],investirrendafixaconsolidadofev[[#Headers],[20]],tabela_registros[REGISTRO],DADOS!$N$5,tabela_registros[TIPO],DADOS!$AB$3,tabela_registros[CATEGORIA],investirrendafixaconsolidadofev[[#This Row],[ATUAL]])</f>
        <v>0</v>
      </c>
      <c r="Y115" s="119" t="n">
        <f aca="false">SUMIFS(tabela_registros[VALOR],tabela_registros[MÊS],$AE$1,tabela_registros[DIA],investirrendafixaconsolidadofev[[#Headers],[21]],tabela_registros[REGISTRO],DADOS!$N$5,tabela_registros[TIPO],DADOS!$AB$3,tabela_registros[CATEGORIA],investirrendafixaconsolidadofev[[#This Row],[ATUAL]])</f>
        <v>0</v>
      </c>
      <c r="Z115" s="119" t="n">
        <f aca="false">SUMIFS(tabela_registros[VALOR],tabela_registros[MÊS],$AE$1,tabela_registros[DIA],investirrendafixaconsolidadofev[[#Headers],[22]],tabela_registros[REGISTRO],DADOS!$N$5,tabela_registros[TIPO],DADOS!$AB$3,tabela_registros[CATEGORIA],investirrendafixaconsolidadofev[[#This Row],[ATUAL]])</f>
        <v>0</v>
      </c>
      <c r="AA115" s="119" t="n">
        <f aca="false">SUMIFS(tabela_registros[VALOR],tabela_registros[MÊS],$AE$1,tabela_registros[DIA],investirrendafixaconsolidadofev[[#Headers],[23]],tabela_registros[REGISTRO],DADOS!$N$5,tabela_registros[TIPO],DADOS!$AB$3,tabela_registros[CATEGORIA],investirrendafixaconsolidadofev[[#This Row],[ATUAL]])</f>
        <v>0</v>
      </c>
      <c r="AB115" s="119" t="n">
        <f aca="false">SUMIFS(tabela_registros[VALOR],tabela_registros[MÊS],$AE$1,tabela_registros[DIA],investirrendafixaconsolidadofev[[#Headers],[24]],tabela_registros[REGISTRO],DADOS!$N$5,tabela_registros[TIPO],DADOS!$AB$3,tabela_registros[CATEGORIA],investirrendafixaconsolidadofev[[#This Row],[ATUAL]])</f>
        <v>0</v>
      </c>
      <c r="AC115" s="119" t="n">
        <f aca="false">SUMIFS(tabela_registros[VALOR],tabela_registros[MÊS],$AE$1,tabela_registros[DIA],investirrendafixaconsolidadofev[[#Headers],[25]],tabela_registros[REGISTRO],DADOS!$N$5,tabela_registros[TIPO],DADOS!$AB$3,tabela_registros[CATEGORIA],investirrendafixaconsolidadofev[[#This Row],[ATUAL]])</f>
        <v>0</v>
      </c>
      <c r="AD115" s="119" t="n">
        <f aca="false">SUMIFS(tabela_registros[VALOR],tabela_registros[MÊS],$AE$1,tabela_registros[DIA],investirrendafixaconsolidadofev[[#Headers],[26]],tabela_registros[REGISTRO],DADOS!$N$5,tabela_registros[TIPO],DADOS!$AB$3,tabela_registros[CATEGORIA],investirrendafixaconsolidadofev[[#This Row],[ATUAL]])</f>
        <v>0</v>
      </c>
      <c r="AE115" s="119" t="n">
        <f aca="false">SUMIFS(tabela_registros[VALOR],tabela_registros[MÊS],$AE$1,tabela_registros[DIA],investirrendafixaconsolidadofev[[#Headers],[27]],tabela_registros[REGISTRO],DADOS!$N$5,tabela_registros[TIPO],DADOS!$AB$3,tabela_registros[CATEGORIA],investirrendafixaconsolidadofev[[#This Row],[ATUAL]])</f>
        <v>0</v>
      </c>
      <c r="AF115" s="119" t="n">
        <f aca="false">SUMIFS(tabela_registros[VALOR],tabela_registros[MÊS],$AE$1,tabela_registros[DIA],investirrendafixaconsolidadofev[[#Headers],[28]],tabela_registros[REGISTRO],DADOS!$N$5,tabela_registros[TIPO],DADOS!$AB$3,tabela_registros[CATEGORIA],investirrendafixaconsolidadofev[[#This Row],[ATUAL]])</f>
        <v>0</v>
      </c>
      <c r="AG115" s="119" t="n">
        <f aca="false">SUMIFS(tabela_registros[VALOR],tabela_registros[MÊS],$AE$1,tabela_registros[DIA],investirrendafixaconsolidadofev[[#Headers],[29]],tabela_registros[REGISTRO],DADOS!$N$5,tabela_registros[TIPO],DADOS!$AB$3,tabela_registros[CATEGORIA],investirrendafixaconsolidadofev[[#This Row],[ATUAL]])</f>
        <v>0</v>
      </c>
      <c r="AH115" s="119" t="n">
        <f aca="false">SUMIFS(tabela_registros[VALOR],tabela_registros[MÊS],$AE$1,tabela_registros[DIA],investirrendafixaconsolidadofev[[#Headers],[30]],tabela_registros[REGISTRO],DADOS!$N$5,tabela_registros[TIPO],DADOS!$AB$3,tabela_registros[CATEGORIA],investirrendafixaconsolidadofev[[#This Row],[ATUAL]])</f>
        <v>0</v>
      </c>
      <c r="AI115" s="217" t="n">
        <f aca="false">SUMIFS(tabela_registros[VALOR],tabela_registros[MÊS],$AE$1,tabela_registros[DIA],investirrendafixaconsolidadofev[[#Headers],[31]],tabela_registros[REGISTRO],DADOS!$N$5,tabela_registros[TIPO],DADOS!$AB$3,tabela_registros[CATEGORIA],investirrendafixaconsolidadofev[[#This Row],[ATUAL]])</f>
        <v>0</v>
      </c>
      <c r="AJ115" s="149" t="n">
        <f aca="false">SUM(investirrendafixaconsolidadofev[[#This Row],[1]:[31]])</f>
        <v>0</v>
      </c>
      <c r="AK115" s="165"/>
    </row>
    <row r="116" customFormat="false" ht="19.5" hidden="false" customHeight="true" outlineLevel="0" collapsed="false">
      <c r="B116" s="143"/>
      <c r="C116" s="144" t="str">
        <f aca="false">DADOS!$AD$6</f>
        <v>📝 DEBÊNTURE</v>
      </c>
      <c r="D116" s="145" t="str">
        <f aca="false">IF(investirrendafixaconsolidadofev[[#This Row],[TOTAL (R$)]]=0,"",IF(OR(investirrendafixaconsolidadofev[[#This Row],[TOTAL (R$)]]=LARGE($AJ$113:$AJ$122,1),investirrendafixaconsolidadofev[[#This Row],[TOTAL (R$)]]=LARGE($AJ$113:$AJ$122,2)),DADOS!$I$10,""))</f>
        <v/>
      </c>
      <c r="E116" s="148" t="n">
        <f aca="false">SUMIFS(tabela_registros[VALOR],tabela_registros[MÊS],$AE$1,tabela_registros[DIA],investirrendafixaconsolidadofev[[#Headers],[1]],tabela_registros[REGISTRO],DADOS!$N$5,tabela_registros[TIPO],DADOS!$AB$3,tabela_registros[CATEGORIA],investirrendafixaconsolidadofev[[#This Row],[ATUAL]])</f>
        <v>0</v>
      </c>
      <c r="F116" s="119" t="n">
        <f aca="false">SUMIFS(tabela_registros[VALOR],tabela_registros[MÊS],$AE$1,tabela_registros[DIA],investirrendafixaconsolidadofev[[#Headers],[2]],tabela_registros[REGISTRO],DADOS!$N$5,tabela_registros[TIPO],DADOS!$AB$3,tabela_registros[CATEGORIA],investirrendafixaconsolidadofev[[#This Row],[ATUAL]])</f>
        <v>0</v>
      </c>
      <c r="G116" s="119" t="n">
        <f aca="false">SUMIFS(tabela_registros[VALOR],tabela_registros[MÊS],$AE$1,tabela_registros[DIA],investirrendafixaconsolidadofev[[#Headers],[3]],tabela_registros[REGISTRO],DADOS!$N$5,tabela_registros[TIPO],DADOS!$AB$3,tabela_registros[CATEGORIA],investirrendafixaconsolidadofev[[#This Row],[ATUAL]])</f>
        <v>0</v>
      </c>
      <c r="H116" s="119" t="n">
        <f aca="false">SUMIFS(tabela_registros[VALOR],tabela_registros[MÊS],$AE$1,tabela_registros[DIA],investirrendafixaconsolidadofev[[#Headers],[4]],tabela_registros[REGISTRO],DADOS!$N$5,tabela_registros[TIPO],DADOS!$AB$3,tabela_registros[CATEGORIA],investirrendafixaconsolidadofev[[#This Row],[ATUAL]])</f>
        <v>0</v>
      </c>
      <c r="I116" s="119" t="n">
        <f aca="false">SUMIFS(tabela_registros[VALOR],tabela_registros[MÊS],$AE$1,tabela_registros[DIA],investirrendafixaconsolidadofev[[#Headers],[5]],tabela_registros[REGISTRO],DADOS!$N$5,tabela_registros[TIPO],DADOS!$AB$3,tabela_registros[CATEGORIA],investirrendafixaconsolidadofev[[#This Row],[ATUAL]])</f>
        <v>0</v>
      </c>
      <c r="J116" s="119" t="n">
        <f aca="false">SUMIFS(tabela_registros[VALOR],tabela_registros[MÊS],$AE$1,tabela_registros[DIA],investirrendafixaconsolidadofev[[#Headers],[6]],tabela_registros[REGISTRO],DADOS!$N$5,tabela_registros[TIPO],DADOS!$AB$3,tabela_registros[CATEGORIA],investirrendafixaconsolidadofev[[#This Row],[ATUAL]])</f>
        <v>0</v>
      </c>
      <c r="K116" s="119" t="n">
        <f aca="false">SUMIFS(tabela_registros[VALOR],tabela_registros[MÊS],$AE$1,tabela_registros[DIA],investirrendafixaconsolidadofev[[#Headers],[7]],tabela_registros[REGISTRO],DADOS!$N$5,tabela_registros[TIPO],DADOS!$AB$3,tabela_registros[CATEGORIA],investirrendafixaconsolidadofev[[#This Row],[ATUAL]])</f>
        <v>0</v>
      </c>
      <c r="L116" s="119" t="n">
        <f aca="false">SUMIFS(tabela_registros[VALOR],tabela_registros[MÊS],$AE$1,tabela_registros[DIA],investirrendafixaconsolidadofev[[#Headers],[8]],tabela_registros[REGISTRO],DADOS!$N$5,tabela_registros[TIPO],DADOS!$AB$3,tabela_registros[CATEGORIA],investirrendafixaconsolidadofev[[#This Row],[ATUAL]])</f>
        <v>0</v>
      </c>
      <c r="M116" s="119" t="n">
        <f aca="false">SUMIFS(tabela_registros[VALOR],tabela_registros[MÊS],$AE$1,tabela_registros[DIA],investirrendafixaconsolidadofev[[#Headers],[9]],tabela_registros[REGISTRO],DADOS!$N$5,tabela_registros[TIPO],DADOS!$AB$3,tabela_registros[CATEGORIA],investirrendafixaconsolidadofev[[#This Row],[ATUAL]])</f>
        <v>0</v>
      </c>
      <c r="N116" s="119" t="n">
        <f aca="false">SUMIFS(tabela_registros[VALOR],tabela_registros[MÊS],$AE$1,tabela_registros[DIA],investirrendafixaconsolidadofev[[#Headers],[10]],tabela_registros[REGISTRO],DADOS!$N$5,tabela_registros[TIPO],DADOS!$AB$3,tabela_registros[CATEGORIA],investirrendafixaconsolidadofev[[#This Row],[ATUAL]])</f>
        <v>0</v>
      </c>
      <c r="O116" s="119" t="n">
        <f aca="false">SUMIFS(tabela_registros[VALOR],tabela_registros[MÊS],$AE$1,tabela_registros[DIA],investirrendafixaconsolidadofev[[#Headers],[11]],tabela_registros[REGISTRO],DADOS!$N$5,tabela_registros[TIPO],DADOS!$AB$3,tabela_registros[CATEGORIA],investirrendafixaconsolidadofev[[#This Row],[ATUAL]])</f>
        <v>0</v>
      </c>
      <c r="P116" s="119" t="n">
        <f aca="false">SUMIFS(tabela_registros[VALOR],tabela_registros[MÊS],$AE$1,tabela_registros[DIA],investirrendafixaconsolidadofev[[#Headers],[12]],tabela_registros[REGISTRO],DADOS!$N$5,tabela_registros[TIPO],DADOS!$AB$3,tabela_registros[CATEGORIA],investirrendafixaconsolidadofev[[#This Row],[ATUAL]])</f>
        <v>0</v>
      </c>
      <c r="Q116" s="119" t="n">
        <f aca="false">SUMIFS(tabela_registros[VALOR],tabela_registros[MÊS],$AE$1,tabela_registros[DIA],investirrendafixaconsolidadofev[[#Headers],[13]],tabela_registros[REGISTRO],DADOS!$N$5,tabela_registros[TIPO],DADOS!$AB$3,tabela_registros[CATEGORIA],investirrendafixaconsolidadofev[[#This Row],[ATUAL]])</f>
        <v>0</v>
      </c>
      <c r="R116" s="119" t="n">
        <f aca="false">SUMIFS(tabela_registros[VALOR],tabela_registros[MÊS],$AE$1,tabela_registros[DIA],investirrendafixaconsolidadofev[[#Headers],[14]],tabela_registros[REGISTRO],DADOS!$N$5,tabela_registros[TIPO],DADOS!$AB$3,tabela_registros[CATEGORIA],investirrendafixaconsolidadofev[[#This Row],[ATUAL]])</f>
        <v>0</v>
      </c>
      <c r="S116" s="119" t="n">
        <f aca="false">SUMIFS(tabela_registros[VALOR],tabela_registros[MÊS],$AE$1,tabela_registros[DIA],investirrendafixaconsolidadofev[[#Headers],[15]],tabela_registros[REGISTRO],DADOS!$N$5,tabela_registros[TIPO],DADOS!$AB$3,tabela_registros[CATEGORIA],investirrendafixaconsolidadofev[[#This Row],[ATUAL]])</f>
        <v>0</v>
      </c>
      <c r="T116" s="119" t="n">
        <f aca="false">SUMIFS(tabela_registros[VALOR],tabela_registros[MÊS],$AE$1,tabela_registros[DIA],investirrendafixaconsolidadofev[[#Headers],[16]],tabela_registros[REGISTRO],DADOS!$N$5,tabela_registros[TIPO],DADOS!$AB$3,tabela_registros[CATEGORIA],investirrendafixaconsolidadofev[[#This Row],[ATUAL]])</f>
        <v>0</v>
      </c>
      <c r="U116" s="119" t="n">
        <f aca="false">SUMIFS(tabela_registros[VALOR],tabela_registros[MÊS],$AE$1,tabela_registros[DIA],investirrendafixaconsolidadofev[[#Headers],[17]],tabela_registros[REGISTRO],DADOS!$N$5,tabela_registros[TIPO],DADOS!$AB$3,tabela_registros[CATEGORIA],investirrendafixaconsolidadofev[[#This Row],[ATUAL]])</f>
        <v>0</v>
      </c>
      <c r="V116" s="119" t="n">
        <f aca="false">SUMIFS(tabela_registros[VALOR],tabela_registros[MÊS],$AE$1,tabela_registros[DIA],investirrendafixaconsolidadofev[[#Headers],[18]],tabela_registros[REGISTRO],DADOS!$N$5,tabela_registros[TIPO],DADOS!$AB$3,tabela_registros[CATEGORIA],investirrendafixaconsolidadofev[[#This Row],[ATUAL]])</f>
        <v>0</v>
      </c>
      <c r="W116" s="119" t="n">
        <f aca="false">SUMIFS(tabela_registros[VALOR],tabela_registros[MÊS],$AE$1,tabela_registros[DIA],investirrendafixaconsolidadofev[[#Headers],[19]],tabela_registros[REGISTRO],DADOS!$N$5,tabela_registros[TIPO],DADOS!$AB$3,tabela_registros[CATEGORIA],investirrendafixaconsolidadofev[[#This Row],[ATUAL]])</f>
        <v>0</v>
      </c>
      <c r="X116" s="119" t="n">
        <f aca="false">SUMIFS(tabela_registros[VALOR],tabela_registros[MÊS],$AE$1,tabela_registros[DIA],investirrendafixaconsolidadofev[[#Headers],[20]],tabela_registros[REGISTRO],DADOS!$N$5,tabela_registros[TIPO],DADOS!$AB$3,tabela_registros[CATEGORIA],investirrendafixaconsolidadofev[[#This Row],[ATUAL]])</f>
        <v>0</v>
      </c>
      <c r="Y116" s="119" t="n">
        <f aca="false">SUMIFS(tabela_registros[VALOR],tabela_registros[MÊS],$AE$1,tabela_registros[DIA],investirrendafixaconsolidadofev[[#Headers],[21]],tabela_registros[REGISTRO],DADOS!$N$5,tabela_registros[TIPO],DADOS!$AB$3,tabela_registros[CATEGORIA],investirrendafixaconsolidadofev[[#This Row],[ATUAL]])</f>
        <v>0</v>
      </c>
      <c r="Z116" s="119" t="n">
        <f aca="false">SUMIFS(tabela_registros[VALOR],tabela_registros[MÊS],$AE$1,tabela_registros[DIA],investirrendafixaconsolidadofev[[#Headers],[22]],tabela_registros[REGISTRO],DADOS!$N$5,tabela_registros[TIPO],DADOS!$AB$3,tabela_registros[CATEGORIA],investirrendafixaconsolidadofev[[#This Row],[ATUAL]])</f>
        <v>0</v>
      </c>
      <c r="AA116" s="119" t="n">
        <f aca="false">SUMIFS(tabela_registros[VALOR],tabela_registros[MÊS],$AE$1,tabela_registros[DIA],investirrendafixaconsolidadofev[[#Headers],[23]],tabela_registros[REGISTRO],DADOS!$N$5,tabela_registros[TIPO],DADOS!$AB$3,tabela_registros[CATEGORIA],investirrendafixaconsolidadofev[[#This Row],[ATUAL]])</f>
        <v>0</v>
      </c>
      <c r="AB116" s="119" t="n">
        <f aca="false">SUMIFS(tabela_registros[VALOR],tabela_registros[MÊS],$AE$1,tabela_registros[DIA],investirrendafixaconsolidadofev[[#Headers],[24]],tabela_registros[REGISTRO],DADOS!$N$5,tabela_registros[TIPO],DADOS!$AB$3,tabela_registros[CATEGORIA],investirrendafixaconsolidadofev[[#This Row],[ATUAL]])</f>
        <v>0</v>
      </c>
      <c r="AC116" s="119" t="n">
        <f aca="false">SUMIFS(tabela_registros[VALOR],tabela_registros[MÊS],$AE$1,tabela_registros[DIA],investirrendafixaconsolidadofev[[#Headers],[25]],tabela_registros[REGISTRO],DADOS!$N$5,tabela_registros[TIPO],DADOS!$AB$3,tabela_registros[CATEGORIA],investirrendafixaconsolidadofev[[#This Row],[ATUAL]])</f>
        <v>0</v>
      </c>
      <c r="AD116" s="119" t="n">
        <f aca="false">SUMIFS(tabela_registros[VALOR],tabela_registros[MÊS],$AE$1,tabela_registros[DIA],investirrendafixaconsolidadofev[[#Headers],[26]],tabela_registros[REGISTRO],DADOS!$N$5,tabela_registros[TIPO],DADOS!$AB$3,tabela_registros[CATEGORIA],investirrendafixaconsolidadofev[[#This Row],[ATUAL]])</f>
        <v>0</v>
      </c>
      <c r="AE116" s="119" t="n">
        <f aca="false">SUMIFS(tabela_registros[VALOR],tabela_registros[MÊS],$AE$1,tabela_registros[DIA],investirrendafixaconsolidadofev[[#Headers],[27]],tabela_registros[REGISTRO],DADOS!$N$5,tabela_registros[TIPO],DADOS!$AB$3,tabela_registros[CATEGORIA],investirrendafixaconsolidadofev[[#This Row],[ATUAL]])</f>
        <v>0</v>
      </c>
      <c r="AF116" s="119" t="n">
        <f aca="false">SUMIFS(tabela_registros[VALOR],tabela_registros[MÊS],$AE$1,tabela_registros[DIA],investirrendafixaconsolidadofev[[#Headers],[28]],tabela_registros[REGISTRO],DADOS!$N$5,tabela_registros[TIPO],DADOS!$AB$3,tabela_registros[CATEGORIA],investirrendafixaconsolidadofev[[#This Row],[ATUAL]])</f>
        <v>0</v>
      </c>
      <c r="AG116" s="119" t="n">
        <f aca="false">SUMIFS(tabela_registros[VALOR],tabela_registros[MÊS],$AE$1,tabela_registros[DIA],investirrendafixaconsolidadofev[[#Headers],[29]],tabela_registros[REGISTRO],DADOS!$N$5,tabela_registros[TIPO],DADOS!$AB$3,tabela_registros[CATEGORIA],investirrendafixaconsolidadofev[[#This Row],[ATUAL]])</f>
        <v>0</v>
      </c>
      <c r="AH116" s="119" t="n">
        <f aca="false">SUMIFS(tabela_registros[VALOR],tabela_registros[MÊS],$AE$1,tabela_registros[DIA],investirrendafixaconsolidadofev[[#Headers],[30]],tabela_registros[REGISTRO],DADOS!$N$5,tabela_registros[TIPO],DADOS!$AB$3,tabela_registros[CATEGORIA],investirrendafixaconsolidadofev[[#This Row],[ATUAL]])</f>
        <v>0</v>
      </c>
      <c r="AI116" s="217" t="n">
        <f aca="false">SUMIFS(tabela_registros[VALOR],tabela_registros[MÊS],$AE$1,tabela_registros[DIA],investirrendafixaconsolidadofev[[#Headers],[31]],tabela_registros[REGISTRO],DADOS!$N$5,tabela_registros[TIPO],DADOS!$AB$3,tabela_registros[CATEGORIA],investirrendafixaconsolidadofev[[#This Row],[ATUAL]])</f>
        <v>0</v>
      </c>
      <c r="AJ116" s="149" t="n">
        <f aca="false">SUM(investirrendafixaconsolidadofev[[#This Row],[1]:[31]])</f>
        <v>0</v>
      </c>
      <c r="AK116" s="165"/>
    </row>
    <row r="117" customFormat="false" ht="19.5" hidden="false" customHeight="true" outlineLevel="0" collapsed="false">
      <c r="B117" s="143"/>
      <c r="C117" s="144" t="str">
        <f aca="false">DADOS!$AD$7</f>
        <v>📝 EXTERIOR</v>
      </c>
      <c r="D117" s="145" t="str">
        <f aca="false">IF(investirrendafixaconsolidadofev[[#This Row],[TOTAL (R$)]]=0,"",IF(OR(investirrendafixaconsolidadofev[[#This Row],[TOTAL (R$)]]=LARGE($AJ$113:$AJ$122,1),investirrendafixaconsolidadofev[[#This Row],[TOTAL (R$)]]=LARGE($AJ$113:$AJ$122,2)),DADOS!$I$10,""))</f>
        <v/>
      </c>
      <c r="E117" s="148" t="n">
        <f aca="false">SUMIFS(tabela_registros[VALOR],tabela_registros[MÊS],$AE$1,tabela_registros[DIA],investirrendafixaconsolidadofev[[#Headers],[1]],tabela_registros[REGISTRO],DADOS!$N$5,tabela_registros[TIPO],DADOS!$AB$3,tabela_registros[CATEGORIA],investirrendafixaconsolidadofev[[#This Row],[ATUAL]])</f>
        <v>0</v>
      </c>
      <c r="F117" s="119" t="n">
        <f aca="false">SUMIFS(tabela_registros[VALOR],tabela_registros[MÊS],$AE$1,tabela_registros[DIA],investirrendafixaconsolidadofev[[#Headers],[2]],tabela_registros[REGISTRO],DADOS!$N$5,tabela_registros[TIPO],DADOS!$AB$3,tabela_registros[CATEGORIA],investirrendafixaconsolidadofev[[#This Row],[ATUAL]])</f>
        <v>0</v>
      </c>
      <c r="G117" s="119" t="n">
        <f aca="false">SUMIFS(tabela_registros[VALOR],tabela_registros[MÊS],$AE$1,tabela_registros[DIA],investirrendafixaconsolidadofev[[#Headers],[3]],tabela_registros[REGISTRO],DADOS!$N$5,tabela_registros[TIPO],DADOS!$AB$3,tabela_registros[CATEGORIA],investirrendafixaconsolidadofev[[#This Row],[ATUAL]])</f>
        <v>0</v>
      </c>
      <c r="H117" s="119" t="n">
        <f aca="false">SUMIFS(tabela_registros[VALOR],tabela_registros[MÊS],$AE$1,tabela_registros[DIA],investirrendafixaconsolidadofev[[#Headers],[4]],tabela_registros[REGISTRO],DADOS!$N$5,tabela_registros[TIPO],DADOS!$AB$3,tabela_registros[CATEGORIA],investirrendafixaconsolidadofev[[#This Row],[ATUAL]])</f>
        <v>0</v>
      </c>
      <c r="I117" s="119" t="n">
        <f aca="false">SUMIFS(tabela_registros[VALOR],tabela_registros[MÊS],$AE$1,tabela_registros[DIA],investirrendafixaconsolidadofev[[#Headers],[5]],tabela_registros[REGISTRO],DADOS!$N$5,tabela_registros[TIPO],DADOS!$AB$3,tabela_registros[CATEGORIA],investirrendafixaconsolidadofev[[#This Row],[ATUAL]])</f>
        <v>0</v>
      </c>
      <c r="J117" s="119" t="n">
        <f aca="false">SUMIFS(tabela_registros[VALOR],tabela_registros[MÊS],$AE$1,tabela_registros[DIA],investirrendafixaconsolidadofev[[#Headers],[6]],tabela_registros[REGISTRO],DADOS!$N$5,tabela_registros[TIPO],DADOS!$AB$3,tabela_registros[CATEGORIA],investirrendafixaconsolidadofev[[#This Row],[ATUAL]])</f>
        <v>0</v>
      </c>
      <c r="K117" s="119" t="n">
        <f aca="false">SUMIFS(tabela_registros[VALOR],tabela_registros[MÊS],$AE$1,tabela_registros[DIA],investirrendafixaconsolidadofev[[#Headers],[7]],tabela_registros[REGISTRO],DADOS!$N$5,tabela_registros[TIPO],DADOS!$AB$3,tabela_registros[CATEGORIA],investirrendafixaconsolidadofev[[#This Row],[ATUAL]])</f>
        <v>0</v>
      </c>
      <c r="L117" s="119" t="n">
        <f aca="false">SUMIFS(tabela_registros[VALOR],tabela_registros[MÊS],$AE$1,tabela_registros[DIA],investirrendafixaconsolidadofev[[#Headers],[8]],tabela_registros[REGISTRO],DADOS!$N$5,tabela_registros[TIPO],DADOS!$AB$3,tabela_registros[CATEGORIA],investirrendafixaconsolidadofev[[#This Row],[ATUAL]])</f>
        <v>0</v>
      </c>
      <c r="M117" s="119" t="n">
        <f aca="false">SUMIFS(tabela_registros[VALOR],tabela_registros[MÊS],$AE$1,tabela_registros[DIA],investirrendafixaconsolidadofev[[#Headers],[9]],tabela_registros[REGISTRO],DADOS!$N$5,tabela_registros[TIPO],DADOS!$AB$3,tabela_registros[CATEGORIA],investirrendafixaconsolidadofev[[#This Row],[ATUAL]])</f>
        <v>0</v>
      </c>
      <c r="N117" s="119" t="n">
        <f aca="false">SUMIFS(tabela_registros[VALOR],tabela_registros[MÊS],$AE$1,tabela_registros[DIA],investirrendafixaconsolidadofev[[#Headers],[10]],tabela_registros[REGISTRO],DADOS!$N$5,tabela_registros[TIPO],DADOS!$AB$3,tabela_registros[CATEGORIA],investirrendafixaconsolidadofev[[#This Row],[ATUAL]])</f>
        <v>0</v>
      </c>
      <c r="O117" s="119" t="n">
        <f aca="false">SUMIFS(tabela_registros[VALOR],tabela_registros[MÊS],$AE$1,tabela_registros[DIA],investirrendafixaconsolidadofev[[#Headers],[11]],tabela_registros[REGISTRO],DADOS!$N$5,tabela_registros[TIPO],DADOS!$AB$3,tabela_registros[CATEGORIA],investirrendafixaconsolidadofev[[#This Row],[ATUAL]])</f>
        <v>0</v>
      </c>
      <c r="P117" s="119" t="n">
        <f aca="false">SUMIFS(tabela_registros[VALOR],tabela_registros[MÊS],$AE$1,tabela_registros[DIA],investirrendafixaconsolidadofev[[#Headers],[12]],tabela_registros[REGISTRO],DADOS!$N$5,tabela_registros[TIPO],DADOS!$AB$3,tabela_registros[CATEGORIA],investirrendafixaconsolidadofev[[#This Row],[ATUAL]])</f>
        <v>0</v>
      </c>
      <c r="Q117" s="119" t="n">
        <f aca="false">SUMIFS(tabela_registros[VALOR],tabela_registros[MÊS],$AE$1,tabela_registros[DIA],investirrendafixaconsolidadofev[[#Headers],[13]],tabela_registros[REGISTRO],DADOS!$N$5,tabela_registros[TIPO],DADOS!$AB$3,tabela_registros[CATEGORIA],investirrendafixaconsolidadofev[[#This Row],[ATUAL]])</f>
        <v>0</v>
      </c>
      <c r="R117" s="119" t="n">
        <f aca="false">SUMIFS(tabela_registros[VALOR],tabela_registros[MÊS],$AE$1,tabela_registros[DIA],investirrendafixaconsolidadofev[[#Headers],[14]],tabela_registros[REGISTRO],DADOS!$N$5,tabela_registros[TIPO],DADOS!$AB$3,tabela_registros[CATEGORIA],investirrendafixaconsolidadofev[[#This Row],[ATUAL]])</f>
        <v>0</v>
      </c>
      <c r="S117" s="119" t="n">
        <f aca="false">SUMIFS(tabela_registros[VALOR],tabela_registros[MÊS],$AE$1,tabela_registros[DIA],investirrendafixaconsolidadofev[[#Headers],[15]],tabela_registros[REGISTRO],DADOS!$N$5,tabela_registros[TIPO],DADOS!$AB$3,tabela_registros[CATEGORIA],investirrendafixaconsolidadofev[[#This Row],[ATUAL]])</f>
        <v>0</v>
      </c>
      <c r="T117" s="119" t="n">
        <f aca="false">SUMIFS(tabela_registros[VALOR],tabela_registros[MÊS],$AE$1,tabela_registros[DIA],investirrendafixaconsolidadofev[[#Headers],[16]],tabela_registros[REGISTRO],DADOS!$N$5,tabela_registros[TIPO],DADOS!$AB$3,tabela_registros[CATEGORIA],investirrendafixaconsolidadofev[[#This Row],[ATUAL]])</f>
        <v>0</v>
      </c>
      <c r="U117" s="119" t="n">
        <f aca="false">SUMIFS(tabela_registros[VALOR],tabela_registros[MÊS],$AE$1,tabela_registros[DIA],investirrendafixaconsolidadofev[[#Headers],[17]],tabela_registros[REGISTRO],DADOS!$N$5,tabela_registros[TIPO],DADOS!$AB$3,tabela_registros[CATEGORIA],investirrendafixaconsolidadofev[[#This Row],[ATUAL]])</f>
        <v>0</v>
      </c>
      <c r="V117" s="119" t="n">
        <f aca="false">SUMIFS(tabela_registros[VALOR],tabela_registros[MÊS],$AE$1,tabela_registros[DIA],investirrendafixaconsolidadofev[[#Headers],[18]],tabela_registros[REGISTRO],DADOS!$N$5,tabela_registros[TIPO],DADOS!$AB$3,tabela_registros[CATEGORIA],investirrendafixaconsolidadofev[[#This Row],[ATUAL]])</f>
        <v>0</v>
      </c>
      <c r="W117" s="119" t="n">
        <f aca="false">SUMIFS(tabela_registros[VALOR],tabela_registros[MÊS],$AE$1,tabela_registros[DIA],investirrendafixaconsolidadofev[[#Headers],[19]],tabela_registros[REGISTRO],DADOS!$N$5,tabela_registros[TIPO],DADOS!$AB$3,tabela_registros[CATEGORIA],investirrendafixaconsolidadofev[[#This Row],[ATUAL]])</f>
        <v>0</v>
      </c>
      <c r="X117" s="119" t="n">
        <f aca="false">SUMIFS(tabela_registros[VALOR],tabela_registros[MÊS],$AE$1,tabela_registros[DIA],investirrendafixaconsolidadofev[[#Headers],[20]],tabela_registros[REGISTRO],DADOS!$N$5,tabela_registros[TIPO],DADOS!$AB$3,tabela_registros[CATEGORIA],investirrendafixaconsolidadofev[[#This Row],[ATUAL]])</f>
        <v>0</v>
      </c>
      <c r="Y117" s="119" t="n">
        <f aca="false">SUMIFS(tabela_registros[VALOR],tabela_registros[MÊS],$AE$1,tabela_registros[DIA],investirrendafixaconsolidadofev[[#Headers],[21]],tabela_registros[REGISTRO],DADOS!$N$5,tabela_registros[TIPO],DADOS!$AB$3,tabela_registros[CATEGORIA],investirrendafixaconsolidadofev[[#This Row],[ATUAL]])</f>
        <v>0</v>
      </c>
      <c r="Z117" s="119" t="n">
        <f aca="false">SUMIFS(tabela_registros[VALOR],tabela_registros[MÊS],$AE$1,tabela_registros[DIA],investirrendafixaconsolidadofev[[#Headers],[22]],tabela_registros[REGISTRO],DADOS!$N$5,tabela_registros[TIPO],DADOS!$AB$3,tabela_registros[CATEGORIA],investirrendafixaconsolidadofev[[#This Row],[ATUAL]])</f>
        <v>0</v>
      </c>
      <c r="AA117" s="119" t="n">
        <f aca="false">SUMIFS(tabela_registros[VALOR],tabela_registros[MÊS],$AE$1,tabela_registros[DIA],investirrendafixaconsolidadofev[[#Headers],[23]],tabela_registros[REGISTRO],DADOS!$N$5,tabela_registros[TIPO],DADOS!$AB$3,tabela_registros[CATEGORIA],investirrendafixaconsolidadofev[[#This Row],[ATUAL]])</f>
        <v>0</v>
      </c>
      <c r="AB117" s="119" t="n">
        <f aca="false">SUMIFS(tabela_registros[VALOR],tabela_registros[MÊS],$AE$1,tabela_registros[DIA],investirrendafixaconsolidadofev[[#Headers],[24]],tabela_registros[REGISTRO],DADOS!$N$5,tabela_registros[TIPO],DADOS!$AB$3,tabela_registros[CATEGORIA],investirrendafixaconsolidadofev[[#This Row],[ATUAL]])</f>
        <v>0</v>
      </c>
      <c r="AC117" s="119" t="n">
        <f aca="false">SUMIFS(tabela_registros[VALOR],tabela_registros[MÊS],$AE$1,tabela_registros[DIA],investirrendafixaconsolidadofev[[#Headers],[25]],tabela_registros[REGISTRO],DADOS!$N$5,tabela_registros[TIPO],DADOS!$AB$3,tabela_registros[CATEGORIA],investirrendafixaconsolidadofev[[#This Row],[ATUAL]])</f>
        <v>0</v>
      </c>
      <c r="AD117" s="119" t="n">
        <f aca="false">SUMIFS(tabela_registros[VALOR],tabela_registros[MÊS],$AE$1,tabela_registros[DIA],investirrendafixaconsolidadofev[[#Headers],[26]],tabela_registros[REGISTRO],DADOS!$N$5,tabela_registros[TIPO],DADOS!$AB$3,tabela_registros[CATEGORIA],investirrendafixaconsolidadofev[[#This Row],[ATUAL]])</f>
        <v>0</v>
      </c>
      <c r="AE117" s="119" t="n">
        <f aca="false">SUMIFS(tabela_registros[VALOR],tabela_registros[MÊS],$AE$1,tabela_registros[DIA],investirrendafixaconsolidadofev[[#Headers],[27]],tabela_registros[REGISTRO],DADOS!$N$5,tabela_registros[TIPO],DADOS!$AB$3,tabela_registros[CATEGORIA],investirrendafixaconsolidadofev[[#This Row],[ATUAL]])</f>
        <v>0</v>
      </c>
      <c r="AF117" s="119" t="n">
        <f aca="false">SUMIFS(tabela_registros[VALOR],tabela_registros[MÊS],$AE$1,tabela_registros[DIA],investirrendafixaconsolidadofev[[#Headers],[28]],tabela_registros[REGISTRO],DADOS!$N$5,tabela_registros[TIPO],DADOS!$AB$3,tabela_registros[CATEGORIA],investirrendafixaconsolidadofev[[#This Row],[ATUAL]])</f>
        <v>0</v>
      </c>
      <c r="AG117" s="119" t="n">
        <f aca="false">SUMIFS(tabela_registros[VALOR],tabela_registros[MÊS],$AE$1,tabela_registros[DIA],investirrendafixaconsolidadofev[[#Headers],[29]],tabela_registros[REGISTRO],DADOS!$N$5,tabela_registros[TIPO],DADOS!$AB$3,tabela_registros[CATEGORIA],investirrendafixaconsolidadofev[[#This Row],[ATUAL]])</f>
        <v>0</v>
      </c>
      <c r="AH117" s="119" t="n">
        <f aca="false">SUMIFS(tabela_registros[VALOR],tabela_registros[MÊS],$AE$1,tabela_registros[DIA],investirrendafixaconsolidadofev[[#Headers],[30]],tabela_registros[REGISTRO],DADOS!$N$5,tabela_registros[TIPO],DADOS!$AB$3,tabela_registros[CATEGORIA],investirrendafixaconsolidadofev[[#This Row],[ATUAL]])</f>
        <v>0</v>
      </c>
      <c r="AI117" s="217" t="n">
        <f aca="false">SUMIFS(tabela_registros[VALOR],tabela_registros[MÊS],$AE$1,tabela_registros[DIA],investirrendafixaconsolidadofev[[#Headers],[31]],tabela_registros[REGISTRO],DADOS!$N$5,tabela_registros[TIPO],DADOS!$AB$3,tabela_registros[CATEGORIA],investirrendafixaconsolidadofev[[#This Row],[ATUAL]])</f>
        <v>0</v>
      </c>
      <c r="AJ117" s="149" t="n">
        <f aca="false">SUM(investirrendafixaconsolidadofev[[#This Row],[1]:[31]])</f>
        <v>0</v>
      </c>
      <c r="AK117" s="165"/>
    </row>
    <row r="118" customFormat="false" ht="19.5" hidden="false" customHeight="true" outlineLevel="0" collapsed="false">
      <c r="B118" s="143"/>
      <c r="C118" s="144" t="str">
        <f aca="false">DADOS!$AD$8</f>
        <v>📝 LC</v>
      </c>
      <c r="D118" s="145" t="str">
        <f aca="false">IF(investirrendafixaconsolidadofev[[#This Row],[TOTAL (R$)]]=0,"",IF(OR(investirrendafixaconsolidadofev[[#This Row],[TOTAL (R$)]]=LARGE($AJ$113:$AJ$122,1),investirrendafixaconsolidadofev[[#This Row],[TOTAL (R$)]]=LARGE($AJ$113:$AJ$122,2)),DADOS!$I$10,""))</f>
        <v/>
      </c>
      <c r="E118" s="148" t="n">
        <f aca="false">SUMIFS(tabela_registros[VALOR],tabela_registros[MÊS],$AE$1,tabela_registros[DIA],investirrendafixaconsolidadofev[[#Headers],[1]],tabela_registros[REGISTRO],DADOS!$N$5,tabela_registros[TIPO],DADOS!$AB$3,tabela_registros[CATEGORIA],investirrendafixaconsolidadofev[[#This Row],[ATUAL]])</f>
        <v>0</v>
      </c>
      <c r="F118" s="119" t="n">
        <f aca="false">SUMIFS(tabela_registros[VALOR],tabela_registros[MÊS],$AE$1,tabela_registros[DIA],investirrendafixaconsolidadofev[[#Headers],[2]],tabela_registros[REGISTRO],DADOS!$N$5,tabela_registros[TIPO],DADOS!$AB$3,tabela_registros[CATEGORIA],investirrendafixaconsolidadofev[[#This Row],[ATUAL]])</f>
        <v>0</v>
      </c>
      <c r="G118" s="119" t="n">
        <f aca="false">SUMIFS(tabela_registros[VALOR],tabela_registros[MÊS],$AE$1,tabela_registros[DIA],investirrendafixaconsolidadofev[[#Headers],[3]],tabela_registros[REGISTRO],DADOS!$N$5,tabela_registros[TIPO],DADOS!$AB$3,tabela_registros[CATEGORIA],investirrendafixaconsolidadofev[[#This Row],[ATUAL]])</f>
        <v>0</v>
      </c>
      <c r="H118" s="119" t="n">
        <f aca="false">SUMIFS(tabela_registros[VALOR],tabela_registros[MÊS],$AE$1,tabela_registros[DIA],investirrendafixaconsolidadofev[[#Headers],[4]],tabela_registros[REGISTRO],DADOS!$N$5,tabela_registros[TIPO],DADOS!$AB$3,tabela_registros[CATEGORIA],investirrendafixaconsolidadofev[[#This Row],[ATUAL]])</f>
        <v>0</v>
      </c>
      <c r="I118" s="119" t="n">
        <f aca="false">SUMIFS(tabela_registros[VALOR],tabela_registros[MÊS],$AE$1,tabela_registros[DIA],investirrendafixaconsolidadofev[[#Headers],[5]],tabela_registros[REGISTRO],DADOS!$N$5,tabela_registros[TIPO],DADOS!$AB$3,tabela_registros[CATEGORIA],investirrendafixaconsolidadofev[[#This Row],[ATUAL]])</f>
        <v>0</v>
      </c>
      <c r="J118" s="119" t="n">
        <f aca="false">SUMIFS(tabela_registros[VALOR],tabela_registros[MÊS],$AE$1,tabela_registros[DIA],investirrendafixaconsolidadofev[[#Headers],[6]],tabela_registros[REGISTRO],DADOS!$N$5,tabela_registros[TIPO],DADOS!$AB$3,tabela_registros[CATEGORIA],investirrendafixaconsolidadofev[[#This Row],[ATUAL]])</f>
        <v>0</v>
      </c>
      <c r="K118" s="119" t="n">
        <f aca="false">SUMIFS(tabela_registros[VALOR],tabela_registros[MÊS],$AE$1,tabela_registros[DIA],investirrendafixaconsolidadofev[[#Headers],[7]],tabela_registros[REGISTRO],DADOS!$N$5,tabela_registros[TIPO],DADOS!$AB$3,tabela_registros[CATEGORIA],investirrendafixaconsolidadofev[[#This Row],[ATUAL]])</f>
        <v>0</v>
      </c>
      <c r="L118" s="119" t="n">
        <f aca="false">SUMIFS(tabela_registros[VALOR],tabela_registros[MÊS],$AE$1,tabela_registros[DIA],investirrendafixaconsolidadofev[[#Headers],[8]],tabela_registros[REGISTRO],DADOS!$N$5,tabela_registros[TIPO],DADOS!$AB$3,tabela_registros[CATEGORIA],investirrendafixaconsolidadofev[[#This Row],[ATUAL]])</f>
        <v>0</v>
      </c>
      <c r="M118" s="119" t="n">
        <f aca="false">SUMIFS(tabela_registros[VALOR],tabela_registros[MÊS],$AE$1,tabela_registros[DIA],investirrendafixaconsolidadofev[[#Headers],[9]],tabela_registros[REGISTRO],DADOS!$N$5,tabela_registros[TIPO],DADOS!$AB$3,tabela_registros[CATEGORIA],investirrendafixaconsolidadofev[[#This Row],[ATUAL]])</f>
        <v>0</v>
      </c>
      <c r="N118" s="119" t="n">
        <f aca="false">SUMIFS(tabela_registros[VALOR],tabela_registros[MÊS],$AE$1,tabela_registros[DIA],investirrendafixaconsolidadofev[[#Headers],[10]],tabela_registros[REGISTRO],DADOS!$N$5,tabela_registros[TIPO],DADOS!$AB$3,tabela_registros[CATEGORIA],investirrendafixaconsolidadofev[[#This Row],[ATUAL]])</f>
        <v>0</v>
      </c>
      <c r="O118" s="119" t="n">
        <f aca="false">SUMIFS(tabela_registros[VALOR],tabela_registros[MÊS],$AE$1,tabela_registros[DIA],investirrendafixaconsolidadofev[[#Headers],[11]],tabela_registros[REGISTRO],DADOS!$N$5,tabela_registros[TIPO],DADOS!$AB$3,tabela_registros[CATEGORIA],investirrendafixaconsolidadofev[[#This Row],[ATUAL]])</f>
        <v>0</v>
      </c>
      <c r="P118" s="119" t="n">
        <f aca="false">SUMIFS(tabela_registros[VALOR],tabela_registros[MÊS],$AE$1,tabela_registros[DIA],investirrendafixaconsolidadofev[[#Headers],[12]],tabela_registros[REGISTRO],DADOS!$N$5,tabela_registros[TIPO],DADOS!$AB$3,tabela_registros[CATEGORIA],investirrendafixaconsolidadofev[[#This Row],[ATUAL]])</f>
        <v>0</v>
      </c>
      <c r="Q118" s="119" t="n">
        <f aca="false">SUMIFS(tabela_registros[VALOR],tabela_registros[MÊS],$AE$1,tabela_registros[DIA],investirrendafixaconsolidadofev[[#Headers],[13]],tabela_registros[REGISTRO],DADOS!$N$5,tabela_registros[TIPO],DADOS!$AB$3,tabela_registros[CATEGORIA],investirrendafixaconsolidadofev[[#This Row],[ATUAL]])</f>
        <v>0</v>
      </c>
      <c r="R118" s="119" t="n">
        <f aca="false">SUMIFS(tabela_registros[VALOR],tabela_registros[MÊS],$AE$1,tabela_registros[DIA],investirrendafixaconsolidadofev[[#Headers],[14]],tabela_registros[REGISTRO],DADOS!$N$5,tabela_registros[TIPO],DADOS!$AB$3,tabela_registros[CATEGORIA],investirrendafixaconsolidadofev[[#This Row],[ATUAL]])</f>
        <v>0</v>
      </c>
      <c r="S118" s="119" t="n">
        <f aca="false">SUMIFS(tabela_registros[VALOR],tabela_registros[MÊS],$AE$1,tabela_registros[DIA],investirrendafixaconsolidadofev[[#Headers],[15]],tabela_registros[REGISTRO],DADOS!$N$5,tabela_registros[TIPO],DADOS!$AB$3,tabela_registros[CATEGORIA],investirrendafixaconsolidadofev[[#This Row],[ATUAL]])</f>
        <v>0</v>
      </c>
      <c r="T118" s="119" t="n">
        <f aca="false">SUMIFS(tabela_registros[VALOR],tabela_registros[MÊS],$AE$1,tabela_registros[DIA],investirrendafixaconsolidadofev[[#Headers],[16]],tabela_registros[REGISTRO],DADOS!$N$5,tabela_registros[TIPO],DADOS!$AB$3,tabela_registros[CATEGORIA],investirrendafixaconsolidadofev[[#This Row],[ATUAL]])</f>
        <v>0</v>
      </c>
      <c r="U118" s="119" t="n">
        <f aca="false">SUMIFS(tabela_registros[VALOR],tabela_registros[MÊS],$AE$1,tabela_registros[DIA],investirrendafixaconsolidadofev[[#Headers],[17]],tabela_registros[REGISTRO],DADOS!$N$5,tabela_registros[TIPO],DADOS!$AB$3,tabela_registros[CATEGORIA],investirrendafixaconsolidadofev[[#This Row],[ATUAL]])</f>
        <v>0</v>
      </c>
      <c r="V118" s="119" t="n">
        <f aca="false">SUMIFS(tabela_registros[VALOR],tabela_registros[MÊS],$AE$1,tabela_registros[DIA],investirrendafixaconsolidadofev[[#Headers],[18]],tabela_registros[REGISTRO],DADOS!$N$5,tabela_registros[TIPO],DADOS!$AB$3,tabela_registros[CATEGORIA],investirrendafixaconsolidadofev[[#This Row],[ATUAL]])</f>
        <v>0</v>
      </c>
      <c r="W118" s="119" t="n">
        <f aca="false">SUMIFS(tabela_registros[VALOR],tabela_registros[MÊS],$AE$1,tabela_registros[DIA],investirrendafixaconsolidadofev[[#Headers],[19]],tabela_registros[REGISTRO],DADOS!$N$5,tabela_registros[TIPO],DADOS!$AB$3,tabela_registros[CATEGORIA],investirrendafixaconsolidadofev[[#This Row],[ATUAL]])</f>
        <v>0</v>
      </c>
      <c r="X118" s="119" t="n">
        <f aca="false">SUMIFS(tabela_registros[VALOR],tabela_registros[MÊS],$AE$1,tabela_registros[DIA],investirrendafixaconsolidadofev[[#Headers],[20]],tabela_registros[REGISTRO],DADOS!$N$5,tabela_registros[TIPO],DADOS!$AB$3,tabela_registros[CATEGORIA],investirrendafixaconsolidadofev[[#This Row],[ATUAL]])</f>
        <v>0</v>
      </c>
      <c r="Y118" s="119" t="n">
        <f aca="false">SUMIFS(tabela_registros[VALOR],tabela_registros[MÊS],$AE$1,tabela_registros[DIA],investirrendafixaconsolidadofev[[#Headers],[21]],tabela_registros[REGISTRO],DADOS!$N$5,tabela_registros[TIPO],DADOS!$AB$3,tabela_registros[CATEGORIA],investirrendafixaconsolidadofev[[#This Row],[ATUAL]])</f>
        <v>0</v>
      </c>
      <c r="Z118" s="119" t="n">
        <f aca="false">SUMIFS(tabela_registros[VALOR],tabela_registros[MÊS],$AE$1,tabela_registros[DIA],investirrendafixaconsolidadofev[[#Headers],[22]],tabela_registros[REGISTRO],DADOS!$N$5,tabela_registros[TIPO],DADOS!$AB$3,tabela_registros[CATEGORIA],investirrendafixaconsolidadofev[[#This Row],[ATUAL]])</f>
        <v>0</v>
      </c>
      <c r="AA118" s="119" t="n">
        <f aca="false">SUMIFS(tabela_registros[VALOR],tabela_registros[MÊS],$AE$1,tabela_registros[DIA],investirrendafixaconsolidadofev[[#Headers],[23]],tabela_registros[REGISTRO],DADOS!$N$5,tabela_registros[TIPO],DADOS!$AB$3,tabela_registros[CATEGORIA],investirrendafixaconsolidadofev[[#This Row],[ATUAL]])</f>
        <v>0</v>
      </c>
      <c r="AB118" s="119" t="n">
        <f aca="false">SUMIFS(tabela_registros[VALOR],tabela_registros[MÊS],$AE$1,tabela_registros[DIA],investirrendafixaconsolidadofev[[#Headers],[24]],tabela_registros[REGISTRO],DADOS!$N$5,tabela_registros[TIPO],DADOS!$AB$3,tabela_registros[CATEGORIA],investirrendafixaconsolidadofev[[#This Row],[ATUAL]])</f>
        <v>0</v>
      </c>
      <c r="AC118" s="119" t="n">
        <f aca="false">SUMIFS(tabela_registros[VALOR],tabela_registros[MÊS],$AE$1,tabela_registros[DIA],investirrendafixaconsolidadofev[[#Headers],[25]],tabela_registros[REGISTRO],DADOS!$N$5,tabela_registros[TIPO],DADOS!$AB$3,tabela_registros[CATEGORIA],investirrendafixaconsolidadofev[[#This Row],[ATUAL]])</f>
        <v>0</v>
      </c>
      <c r="AD118" s="119" t="n">
        <f aca="false">SUMIFS(tabela_registros[VALOR],tabela_registros[MÊS],$AE$1,tabela_registros[DIA],investirrendafixaconsolidadofev[[#Headers],[26]],tabela_registros[REGISTRO],DADOS!$N$5,tabela_registros[TIPO],DADOS!$AB$3,tabela_registros[CATEGORIA],investirrendafixaconsolidadofev[[#This Row],[ATUAL]])</f>
        <v>0</v>
      </c>
      <c r="AE118" s="119" t="n">
        <f aca="false">SUMIFS(tabela_registros[VALOR],tabela_registros[MÊS],$AE$1,tabela_registros[DIA],investirrendafixaconsolidadofev[[#Headers],[27]],tabela_registros[REGISTRO],DADOS!$N$5,tabela_registros[TIPO],DADOS!$AB$3,tabela_registros[CATEGORIA],investirrendafixaconsolidadofev[[#This Row],[ATUAL]])</f>
        <v>0</v>
      </c>
      <c r="AF118" s="119" t="n">
        <f aca="false">SUMIFS(tabela_registros[VALOR],tabela_registros[MÊS],$AE$1,tabela_registros[DIA],investirrendafixaconsolidadofev[[#Headers],[28]],tabela_registros[REGISTRO],DADOS!$N$5,tabela_registros[TIPO],DADOS!$AB$3,tabela_registros[CATEGORIA],investirrendafixaconsolidadofev[[#This Row],[ATUAL]])</f>
        <v>0</v>
      </c>
      <c r="AG118" s="119" t="n">
        <f aca="false">SUMIFS(tabela_registros[VALOR],tabela_registros[MÊS],$AE$1,tabela_registros[DIA],investirrendafixaconsolidadofev[[#Headers],[29]],tabela_registros[REGISTRO],DADOS!$N$5,tabela_registros[TIPO],DADOS!$AB$3,tabela_registros[CATEGORIA],investirrendafixaconsolidadofev[[#This Row],[ATUAL]])</f>
        <v>0</v>
      </c>
      <c r="AH118" s="119" t="n">
        <f aca="false">SUMIFS(tabela_registros[VALOR],tabela_registros[MÊS],$AE$1,tabela_registros[DIA],investirrendafixaconsolidadofev[[#Headers],[30]],tabela_registros[REGISTRO],DADOS!$N$5,tabela_registros[TIPO],DADOS!$AB$3,tabela_registros[CATEGORIA],investirrendafixaconsolidadofev[[#This Row],[ATUAL]])</f>
        <v>0</v>
      </c>
      <c r="AI118" s="217" t="n">
        <f aca="false">SUMIFS(tabela_registros[VALOR],tabela_registros[MÊS],$AE$1,tabela_registros[DIA],investirrendafixaconsolidadofev[[#Headers],[31]],tabela_registros[REGISTRO],DADOS!$N$5,tabela_registros[TIPO],DADOS!$AB$3,tabela_registros[CATEGORIA],investirrendafixaconsolidadofev[[#This Row],[ATUAL]])</f>
        <v>0</v>
      </c>
      <c r="AJ118" s="149" t="n">
        <f aca="false">SUM(investirrendafixaconsolidadofev[[#This Row],[1]:[31]])</f>
        <v>0</v>
      </c>
      <c r="AK118" s="165"/>
    </row>
    <row r="119" customFormat="false" ht="19.5" hidden="false" customHeight="true" outlineLevel="0" collapsed="false">
      <c r="B119" s="143"/>
      <c r="C119" s="144" t="str">
        <f aca="false">DADOS!$AD$9</f>
        <v>📝 LCA</v>
      </c>
      <c r="D119" s="145" t="str">
        <f aca="false">IF(investirrendafixaconsolidadofev[[#This Row],[TOTAL (R$)]]=0,"",IF(OR(investirrendafixaconsolidadofev[[#This Row],[TOTAL (R$)]]=LARGE($AJ$113:$AJ$122,1),investirrendafixaconsolidadofev[[#This Row],[TOTAL (R$)]]=LARGE($AJ$113:$AJ$122,2)),DADOS!$I$10,""))</f>
        <v/>
      </c>
      <c r="E119" s="148" t="n">
        <f aca="false">SUMIFS(tabela_registros[VALOR],tabela_registros[MÊS],$AE$1,tabela_registros[DIA],investirrendafixaconsolidadofev[[#Headers],[1]],tabela_registros[REGISTRO],DADOS!$N$5,tabela_registros[TIPO],DADOS!$AB$3,tabela_registros[CATEGORIA],investirrendafixaconsolidadofev[[#This Row],[ATUAL]])</f>
        <v>0</v>
      </c>
      <c r="F119" s="119" t="n">
        <f aca="false">SUMIFS(tabela_registros[VALOR],tabela_registros[MÊS],$AE$1,tabela_registros[DIA],investirrendafixaconsolidadofev[[#Headers],[2]],tabela_registros[REGISTRO],DADOS!$N$5,tabela_registros[TIPO],DADOS!$AB$3,tabela_registros[CATEGORIA],investirrendafixaconsolidadofev[[#This Row],[ATUAL]])</f>
        <v>0</v>
      </c>
      <c r="G119" s="119" t="n">
        <f aca="false">SUMIFS(tabela_registros[VALOR],tabela_registros[MÊS],$AE$1,tabela_registros[DIA],investirrendafixaconsolidadofev[[#Headers],[3]],tabela_registros[REGISTRO],DADOS!$N$5,tabela_registros[TIPO],DADOS!$AB$3,tabela_registros[CATEGORIA],investirrendafixaconsolidadofev[[#This Row],[ATUAL]])</f>
        <v>0</v>
      </c>
      <c r="H119" s="119" t="n">
        <f aca="false">SUMIFS(tabela_registros[VALOR],tabela_registros[MÊS],$AE$1,tabela_registros[DIA],investirrendafixaconsolidadofev[[#Headers],[4]],tabela_registros[REGISTRO],DADOS!$N$5,tabela_registros[TIPO],DADOS!$AB$3,tabela_registros[CATEGORIA],investirrendafixaconsolidadofev[[#This Row],[ATUAL]])</f>
        <v>0</v>
      </c>
      <c r="I119" s="119" t="n">
        <f aca="false">SUMIFS(tabela_registros[VALOR],tabela_registros[MÊS],$AE$1,tabela_registros[DIA],investirrendafixaconsolidadofev[[#Headers],[5]],tabela_registros[REGISTRO],DADOS!$N$5,tabela_registros[TIPO],DADOS!$AB$3,tabela_registros[CATEGORIA],investirrendafixaconsolidadofev[[#This Row],[ATUAL]])</f>
        <v>0</v>
      </c>
      <c r="J119" s="119" t="n">
        <f aca="false">SUMIFS(tabela_registros[VALOR],tabela_registros[MÊS],$AE$1,tabela_registros[DIA],investirrendafixaconsolidadofev[[#Headers],[6]],tabela_registros[REGISTRO],DADOS!$N$5,tabela_registros[TIPO],DADOS!$AB$3,tabela_registros[CATEGORIA],investirrendafixaconsolidadofev[[#This Row],[ATUAL]])</f>
        <v>0</v>
      </c>
      <c r="K119" s="119" t="n">
        <f aca="false">SUMIFS(tabela_registros[VALOR],tabela_registros[MÊS],$AE$1,tabela_registros[DIA],investirrendafixaconsolidadofev[[#Headers],[7]],tabela_registros[REGISTRO],DADOS!$N$5,tabela_registros[TIPO],DADOS!$AB$3,tabela_registros[CATEGORIA],investirrendafixaconsolidadofev[[#This Row],[ATUAL]])</f>
        <v>0</v>
      </c>
      <c r="L119" s="119" t="n">
        <f aca="false">SUMIFS(tabela_registros[VALOR],tabela_registros[MÊS],$AE$1,tabela_registros[DIA],investirrendafixaconsolidadofev[[#Headers],[8]],tabela_registros[REGISTRO],DADOS!$N$5,tabela_registros[TIPO],DADOS!$AB$3,tabela_registros[CATEGORIA],investirrendafixaconsolidadofev[[#This Row],[ATUAL]])</f>
        <v>0</v>
      </c>
      <c r="M119" s="119" t="n">
        <f aca="false">SUMIFS(tabela_registros[VALOR],tabela_registros[MÊS],$AE$1,tabela_registros[DIA],investirrendafixaconsolidadofev[[#Headers],[9]],tabela_registros[REGISTRO],DADOS!$N$5,tabela_registros[TIPO],DADOS!$AB$3,tabela_registros[CATEGORIA],investirrendafixaconsolidadofev[[#This Row],[ATUAL]])</f>
        <v>0</v>
      </c>
      <c r="N119" s="119" t="n">
        <f aca="false">SUMIFS(tabela_registros[VALOR],tabela_registros[MÊS],$AE$1,tabela_registros[DIA],investirrendafixaconsolidadofev[[#Headers],[10]],tabela_registros[REGISTRO],DADOS!$N$5,tabela_registros[TIPO],DADOS!$AB$3,tabela_registros[CATEGORIA],investirrendafixaconsolidadofev[[#This Row],[ATUAL]])</f>
        <v>0</v>
      </c>
      <c r="O119" s="119" t="n">
        <f aca="false">SUMIFS(tabela_registros[VALOR],tabela_registros[MÊS],$AE$1,tabela_registros[DIA],investirrendafixaconsolidadofev[[#Headers],[11]],tabela_registros[REGISTRO],DADOS!$N$5,tabela_registros[TIPO],DADOS!$AB$3,tabela_registros[CATEGORIA],investirrendafixaconsolidadofev[[#This Row],[ATUAL]])</f>
        <v>0</v>
      </c>
      <c r="P119" s="119" t="n">
        <f aca="false">SUMIFS(tabela_registros[VALOR],tabela_registros[MÊS],$AE$1,tabela_registros[DIA],investirrendafixaconsolidadofev[[#Headers],[12]],tabela_registros[REGISTRO],DADOS!$N$5,tabela_registros[TIPO],DADOS!$AB$3,tabela_registros[CATEGORIA],investirrendafixaconsolidadofev[[#This Row],[ATUAL]])</f>
        <v>0</v>
      </c>
      <c r="Q119" s="119" t="n">
        <f aca="false">SUMIFS(tabela_registros[VALOR],tabela_registros[MÊS],$AE$1,tabela_registros[DIA],investirrendafixaconsolidadofev[[#Headers],[13]],tabela_registros[REGISTRO],DADOS!$N$5,tabela_registros[TIPO],DADOS!$AB$3,tabela_registros[CATEGORIA],investirrendafixaconsolidadofev[[#This Row],[ATUAL]])</f>
        <v>0</v>
      </c>
      <c r="R119" s="119" t="n">
        <f aca="false">SUMIFS(tabela_registros[VALOR],tabela_registros[MÊS],$AE$1,tabela_registros[DIA],investirrendafixaconsolidadofev[[#Headers],[14]],tabela_registros[REGISTRO],DADOS!$N$5,tabela_registros[TIPO],DADOS!$AB$3,tabela_registros[CATEGORIA],investirrendafixaconsolidadofev[[#This Row],[ATUAL]])</f>
        <v>0</v>
      </c>
      <c r="S119" s="119" t="n">
        <f aca="false">SUMIFS(tabela_registros[VALOR],tabela_registros[MÊS],$AE$1,tabela_registros[DIA],investirrendafixaconsolidadofev[[#Headers],[15]],tabela_registros[REGISTRO],DADOS!$N$5,tabela_registros[TIPO],DADOS!$AB$3,tabela_registros[CATEGORIA],investirrendafixaconsolidadofev[[#This Row],[ATUAL]])</f>
        <v>0</v>
      </c>
      <c r="T119" s="119" t="n">
        <f aca="false">SUMIFS(tabela_registros[VALOR],tabela_registros[MÊS],$AE$1,tabela_registros[DIA],investirrendafixaconsolidadofev[[#Headers],[16]],tabela_registros[REGISTRO],DADOS!$N$5,tabela_registros[TIPO],DADOS!$AB$3,tabela_registros[CATEGORIA],investirrendafixaconsolidadofev[[#This Row],[ATUAL]])</f>
        <v>0</v>
      </c>
      <c r="U119" s="119" t="n">
        <f aca="false">SUMIFS(tabela_registros[VALOR],tabela_registros[MÊS],$AE$1,tabela_registros[DIA],investirrendafixaconsolidadofev[[#Headers],[17]],tabela_registros[REGISTRO],DADOS!$N$5,tabela_registros[TIPO],DADOS!$AB$3,tabela_registros[CATEGORIA],investirrendafixaconsolidadofev[[#This Row],[ATUAL]])</f>
        <v>0</v>
      </c>
      <c r="V119" s="119" t="n">
        <f aca="false">SUMIFS(tabela_registros[VALOR],tabela_registros[MÊS],$AE$1,tabela_registros[DIA],investirrendafixaconsolidadofev[[#Headers],[18]],tabela_registros[REGISTRO],DADOS!$N$5,tabela_registros[TIPO],DADOS!$AB$3,tabela_registros[CATEGORIA],investirrendafixaconsolidadofev[[#This Row],[ATUAL]])</f>
        <v>0</v>
      </c>
      <c r="W119" s="119" t="n">
        <f aca="false">SUMIFS(tabela_registros[VALOR],tabela_registros[MÊS],$AE$1,tabela_registros[DIA],investirrendafixaconsolidadofev[[#Headers],[19]],tabela_registros[REGISTRO],DADOS!$N$5,tabela_registros[TIPO],DADOS!$AB$3,tabela_registros[CATEGORIA],investirrendafixaconsolidadofev[[#This Row],[ATUAL]])</f>
        <v>0</v>
      </c>
      <c r="X119" s="119" t="n">
        <f aca="false">SUMIFS(tabela_registros[VALOR],tabela_registros[MÊS],$AE$1,tabela_registros[DIA],investirrendafixaconsolidadofev[[#Headers],[20]],tabela_registros[REGISTRO],DADOS!$N$5,tabela_registros[TIPO],DADOS!$AB$3,tabela_registros[CATEGORIA],investirrendafixaconsolidadofev[[#This Row],[ATUAL]])</f>
        <v>0</v>
      </c>
      <c r="Y119" s="119" t="n">
        <f aca="false">SUMIFS(tabela_registros[VALOR],tabela_registros[MÊS],$AE$1,tabela_registros[DIA],investirrendafixaconsolidadofev[[#Headers],[21]],tabela_registros[REGISTRO],DADOS!$N$5,tabela_registros[TIPO],DADOS!$AB$3,tabela_registros[CATEGORIA],investirrendafixaconsolidadofev[[#This Row],[ATUAL]])</f>
        <v>0</v>
      </c>
      <c r="Z119" s="119" t="n">
        <f aca="false">SUMIFS(tabela_registros[VALOR],tabela_registros[MÊS],$AE$1,tabela_registros[DIA],investirrendafixaconsolidadofev[[#Headers],[22]],tabela_registros[REGISTRO],DADOS!$N$5,tabela_registros[TIPO],DADOS!$AB$3,tabela_registros[CATEGORIA],investirrendafixaconsolidadofev[[#This Row],[ATUAL]])</f>
        <v>0</v>
      </c>
      <c r="AA119" s="119" t="n">
        <f aca="false">SUMIFS(tabela_registros[VALOR],tabela_registros[MÊS],$AE$1,tabela_registros[DIA],investirrendafixaconsolidadofev[[#Headers],[23]],tabela_registros[REGISTRO],DADOS!$N$5,tabela_registros[TIPO],DADOS!$AB$3,tabela_registros[CATEGORIA],investirrendafixaconsolidadofev[[#This Row],[ATUAL]])</f>
        <v>0</v>
      </c>
      <c r="AB119" s="119" t="n">
        <f aca="false">SUMIFS(tabela_registros[VALOR],tabela_registros[MÊS],$AE$1,tabela_registros[DIA],investirrendafixaconsolidadofev[[#Headers],[24]],tabela_registros[REGISTRO],DADOS!$N$5,tabela_registros[TIPO],DADOS!$AB$3,tabela_registros[CATEGORIA],investirrendafixaconsolidadofev[[#This Row],[ATUAL]])</f>
        <v>0</v>
      </c>
      <c r="AC119" s="119" t="n">
        <f aca="false">SUMIFS(tabela_registros[VALOR],tabela_registros[MÊS],$AE$1,tabela_registros[DIA],investirrendafixaconsolidadofev[[#Headers],[25]],tabela_registros[REGISTRO],DADOS!$N$5,tabela_registros[TIPO],DADOS!$AB$3,tabela_registros[CATEGORIA],investirrendafixaconsolidadofev[[#This Row],[ATUAL]])</f>
        <v>0</v>
      </c>
      <c r="AD119" s="119" t="n">
        <f aca="false">SUMIFS(tabela_registros[VALOR],tabela_registros[MÊS],$AE$1,tabela_registros[DIA],investirrendafixaconsolidadofev[[#Headers],[26]],tabela_registros[REGISTRO],DADOS!$N$5,tabela_registros[TIPO],DADOS!$AB$3,tabela_registros[CATEGORIA],investirrendafixaconsolidadofev[[#This Row],[ATUAL]])</f>
        <v>0</v>
      </c>
      <c r="AE119" s="119" t="n">
        <f aca="false">SUMIFS(tabela_registros[VALOR],tabela_registros[MÊS],$AE$1,tabela_registros[DIA],investirrendafixaconsolidadofev[[#Headers],[27]],tabela_registros[REGISTRO],DADOS!$N$5,tabela_registros[TIPO],DADOS!$AB$3,tabela_registros[CATEGORIA],investirrendafixaconsolidadofev[[#This Row],[ATUAL]])</f>
        <v>0</v>
      </c>
      <c r="AF119" s="119" t="n">
        <f aca="false">SUMIFS(tabela_registros[VALOR],tabela_registros[MÊS],$AE$1,tabela_registros[DIA],investirrendafixaconsolidadofev[[#Headers],[28]],tabela_registros[REGISTRO],DADOS!$N$5,tabela_registros[TIPO],DADOS!$AB$3,tabela_registros[CATEGORIA],investirrendafixaconsolidadofev[[#This Row],[ATUAL]])</f>
        <v>0</v>
      </c>
      <c r="AG119" s="119" t="n">
        <f aca="false">SUMIFS(tabela_registros[VALOR],tabela_registros[MÊS],$AE$1,tabela_registros[DIA],investirrendafixaconsolidadofev[[#Headers],[29]],tabela_registros[REGISTRO],DADOS!$N$5,tabela_registros[TIPO],DADOS!$AB$3,tabela_registros[CATEGORIA],investirrendafixaconsolidadofev[[#This Row],[ATUAL]])</f>
        <v>0</v>
      </c>
      <c r="AH119" s="119" t="n">
        <f aca="false">SUMIFS(tabela_registros[VALOR],tabela_registros[MÊS],$AE$1,tabela_registros[DIA],investirrendafixaconsolidadofev[[#Headers],[30]],tabela_registros[REGISTRO],DADOS!$N$5,tabela_registros[TIPO],DADOS!$AB$3,tabela_registros[CATEGORIA],investirrendafixaconsolidadofev[[#This Row],[ATUAL]])</f>
        <v>0</v>
      </c>
      <c r="AI119" s="217" t="n">
        <f aca="false">SUMIFS(tabela_registros[VALOR],tabela_registros[MÊS],$AE$1,tabela_registros[DIA],investirrendafixaconsolidadofev[[#Headers],[31]],tabela_registros[REGISTRO],DADOS!$N$5,tabela_registros[TIPO],DADOS!$AB$3,tabela_registros[CATEGORIA],investirrendafixaconsolidadofev[[#This Row],[ATUAL]])</f>
        <v>0</v>
      </c>
      <c r="AJ119" s="149" t="n">
        <f aca="false">SUM(investirrendafixaconsolidadofev[[#This Row],[1]:[31]])</f>
        <v>0</v>
      </c>
      <c r="AK119" s="165"/>
    </row>
    <row r="120" customFormat="false" ht="19.5" hidden="false" customHeight="true" outlineLevel="0" collapsed="false">
      <c r="B120" s="143"/>
      <c r="C120" s="144" t="str">
        <f aca="false">DADOS!$AD$10</f>
        <v>📝 LCI</v>
      </c>
      <c r="D120" s="145" t="str">
        <f aca="false">IF(investirrendafixaconsolidadofev[[#This Row],[TOTAL (R$)]]=0,"",IF(OR(investirrendafixaconsolidadofev[[#This Row],[TOTAL (R$)]]=LARGE($AJ$113:$AJ$122,1),investirrendafixaconsolidadofev[[#This Row],[TOTAL (R$)]]=LARGE($AJ$113:$AJ$122,2)),DADOS!$I$10,""))</f>
        <v/>
      </c>
      <c r="E120" s="148" t="n">
        <f aca="false">SUMIFS(tabela_registros[VALOR],tabela_registros[MÊS],$AE$1,tabela_registros[DIA],investirrendafixaconsolidadofev[[#Headers],[1]],tabela_registros[REGISTRO],DADOS!$N$5,tabela_registros[TIPO],DADOS!$AB$3,tabela_registros[CATEGORIA],investirrendafixaconsolidadofev[[#This Row],[ATUAL]])</f>
        <v>0</v>
      </c>
      <c r="F120" s="119" t="n">
        <f aca="false">SUMIFS(tabela_registros[VALOR],tabela_registros[MÊS],$AE$1,tabela_registros[DIA],investirrendafixaconsolidadofev[[#Headers],[2]],tabela_registros[REGISTRO],DADOS!$N$5,tabela_registros[TIPO],DADOS!$AB$3,tabela_registros[CATEGORIA],investirrendafixaconsolidadofev[[#This Row],[ATUAL]])</f>
        <v>0</v>
      </c>
      <c r="G120" s="119" t="n">
        <f aca="false">SUMIFS(tabela_registros[VALOR],tabela_registros[MÊS],$AE$1,tabela_registros[DIA],investirrendafixaconsolidadofev[[#Headers],[3]],tabela_registros[REGISTRO],DADOS!$N$5,tabela_registros[TIPO],DADOS!$AB$3,tabela_registros[CATEGORIA],investirrendafixaconsolidadofev[[#This Row],[ATUAL]])</f>
        <v>0</v>
      </c>
      <c r="H120" s="119" t="n">
        <f aca="false">SUMIFS(tabela_registros[VALOR],tabela_registros[MÊS],$AE$1,tabela_registros[DIA],investirrendafixaconsolidadofev[[#Headers],[4]],tabela_registros[REGISTRO],DADOS!$N$5,tabela_registros[TIPO],DADOS!$AB$3,tabela_registros[CATEGORIA],investirrendafixaconsolidadofev[[#This Row],[ATUAL]])</f>
        <v>0</v>
      </c>
      <c r="I120" s="119" t="n">
        <f aca="false">SUMIFS(tabela_registros[VALOR],tabela_registros[MÊS],$AE$1,tabela_registros[DIA],investirrendafixaconsolidadofev[[#Headers],[5]],tabela_registros[REGISTRO],DADOS!$N$5,tabela_registros[TIPO],DADOS!$AB$3,tabela_registros[CATEGORIA],investirrendafixaconsolidadofev[[#This Row],[ATUAL]])</f>
        <v>0</v>
      </c>
      <c r="J120" s="119" t="n">
        <f aca="false">SUMIFS(tabela_registros[VALOR],tabela_registros[MÊS],$AE$1,tabela_registros[DIA],investirrendafixaconsolidadofev[[#Headers],[6]],tabela_registros[REGISTRO],DADOS!$N$5,tabela_registros[TIPO],DADOS!$AB$3,tabela_registros[CATEGORIA],investirrendafixaconsolidadofev[[#This Row],[ATUAL]])</f>
        <v>0</v>
      </c>
      <c r="K120" s="119" t="n">
        <f aca="false">SUMIFS(tabela_registros[VALOR],tabela_registros[MÊS],$AE$1,tabela_registros[DIA],investirrendafixaconsolidadofev[[#Headers],[7]],tabela_registros[REGISTRO],DADOS!$N$5,tabela_registros[TIPO],DADOS!$AB$3,tabela_registros[CATEGORIA],investirrendafixaconsolidadofev[[#This Row],[ATUAL]])</f>
        <v>0</v>
      </c>
      <c r="L120" s="119" t="n">
        <f aca="false">SUMIFS(tabela_registros[VALOR],tabela_registros[MÊS],$AE$1,tabela_registros[DIA],investirrendafixaconsolidadofev[[#Headers],[8]],tabela_registros[REGISTRO],DADOS!$N$5,tabela_registros[TIPO],DADOS!$AB$3,tabela_registros[CATEGORIA],investirrendafixaconsolidadofev[[#This Row],[ATUAL]])</f>
        <v>0</v>
      </c>
      <c r="M120" s="119" t="n">
        <f aca="false">SUMIFS(tabela_registros[VALOR],tabela_registros[MÊS],$AE$1,tabela_registros[DIA],investirrendafixaconsolidadofev[[#Headers],[9]],tabela_registros[REGISTRO],DADOS!$N$5,tabela_registros[TIPO],DADOS!$AB$3,tabela_registros[CATEGORIA],investirrendafixaconsolidadofev[[#This Row],[ATUAL]])</f>
        <v>0</v>
      </c>
      <c r="N120" s="119" t="n">
        <f aca="false">SUMIFS(tabela_registros[VALOR],tabela_registros[MÊS],$AE$1,tabela_registros[DIA],investirrendafixaconsolidadofev[[#Headers],[10]],tabela_registros[REGISTRO],DADOS!$N$5,tabela_registros[TIPO],DADOS!$AB$3,tabela_registros[CATEGORIA],investirrendafixaconsolidadofev[[#This Row],[ATUAL]])</f>
        <v>0</v>
      </c>
      <c r="O120" s="119" t="n">
        <f aca="false">SUMIFS(tabela_registros[VALOR],tabela_registros[MÊS],$AE$1,tabela_registros[DIA],investirrendafixaconsolidadofev[[#Headers],[11]],tabela_registros[REGISTRO],DADOS!$N$5,tabela_registros[TIPO],DADOS!$AB$3,tabela_registros[CATEGORIA],investirrendafixaconsolidadofev[[#This Row],[ATUAL]])</f>
        <v>0</v>
      </c>
      <c r="P120" s="119" t="n">
        <f aca="false">SUMIFS(tabela_registros[VALOR],tabela_registros[MÊS],$AE$1,tabela_registros[DIA],investirrendafixaconsolidadofev[[#Headers],[12]],tabela_registros[REGISTRO],DADOS!$N$5,tabela_registros[TIPO],DADOS!$AB$3,tabela_registros[CATEGORIA],investirrendafixaconsolidadofev[[#This Row],[ATUAL]])</f>
        <v>0</v>
      </c>
      <c r="Q120" s="119" t="n">
        <f aca="false">SUMIFS(tabela_registros[VALOR],tabela_registros[MÊS],$AE$1,tabela_registros[DIA],investirrendafixaconsolidadofev[[#Headers],[13]],tabela_registros[REGISTRO],DADOS!$N$5,tabela_registros[TIPO],DADOS!$AB$3,tabela_registros[CATEGORIA],investirrendafixaconsolidadofev[[#This Row],[ATUAL]])</f>
        <v>0</v>
      </c>
      <c r="R120" s="119" t="n">
        <f aca="false">SUMIFS(tabela_registros[VALOR],tabela_registros[MÊS],$AE$1,tabela_registros[DIA],investirrendafixaconsolidadofev[[#Headers],[14]],tabela_registros[REGISTRO],DADOS!$N$5,tabela_registros[TIPO],DADOS!$AB$3,tabela_registros[CATEGORIA],investirrendafixaconsolidadofev[[#This Row],[ATUAL]])</f>
        <v>0</v>
      </c>
      <c r="S120" s="119" t="n">
        <f aca="false">SUMIFS(tabela_registros[VALOR],tabela_registros[MÊS],$AE$1,tabela_registros[DIA],investirrendafixaconsolidadofev[[#Headers],[15]],tabela_registros[REGISTRO],DADOS!$N$5,tabela_registros[TIPO],DADOS!$AB$3,tabela_registros[CATEGORIA],investirrendafixaconsolidadofev[[#This Row],[ATUAL]])</f>
        <v>0</v>
      </c>
      <c r="T120" s="119" t="n">
        <f aca="false">SUMIFS(tabela_registros[VALOR],tabela_registros[MÊS],$AE$1,tabela_registros[DIA],investirrendafixaconsolidadofev[[#Headers],[16]],tabela_registros[REGISTRO],DADOS!$N$5,tabela_registros[TIPO],DADOS!$AB$3,tabela_registros[CATEGORIA],investirrendafixaconsolidadofev[[#This Row],[ATUAL]])</f>
        <v>0</v>
      </c>
      <c r="U120" s="119" t="n">
        <f aca="false">SUMIFS(tabela_registros[VALOR],tabela_registros[MÊS],$AE$1,tabela_registros[DIA],investirrendafixaconsolidadofev[[#Headers],[17]],tabela_registros[REGISTRO],DADOS!$N$5,tabela_registros[TIPO],DADOS!$AB$3,tabela_registros[CATEGORIA],investirrendafixaconsolidadofev[[#This Row],[ATUAL]])</f>
        <v>0</v>
      </c>
      <c r="V120" s="119" t="n">
        <f aca="false">SUMIFS(tabela_registros[VALOR],tabela_registros[MÊS],$AE$1,tabela_registros[DIA],investirrendafixaconsolidadofev[[#Headers],[18]],tabela_registros[REGISTRO],DADOS!$N$5,tabela_registros[TIPO],DADOS!$AB$3,tabela_registros[CATEGORIA],investirrendafixaconsolidadofev[[#This Row],[ATUAL]])</f>
        <v>0</v>
      </c>
      <c r="W120" s="119" t="n">
        <f aca="false">SUMIFS(tabela_registros[VALOR],tabela_registros[MÊS],$AE$1,tabela_registros[DIA],investirrendafixaconsolidadofev[[#Headers],[19]],tabela_registros[REGISTRO],DADOS!$N$5,tabela_registros[TIPO],DADOS!$AB$3,tabela_registros[CATEGORIA],investirrendafixaconsolidadofev[[#This Row],[ATUAL]])</f>
        <v>0</v>
      </c>
      <c r="X120" s="119" t="n">
        <f aca="false">SUMIFS(tabela_registros[VALOR],tabela_registros[MÊS],$AE$1,tabela_registros[DIA],investirrendafixaconsolidadofev[[#Headers],[20]],tabela_registros[REGISTRO],DADOS!$N$5,tabela_registros[TIPO],DADOS!$AB$3,tabela_registros[CATEGORIA],investirrendafixaconsolidadofev[[#This Row],[ATUAL]])</f>
        <v>0</v>
      </c>
      <c r="Y120" s="119" t="n">
        <f aca="false">SUMIFS(tabela_registros[VALOR],tabela_registros[MÊS],$AE$1,tabela_registros[DIA],investirrendafixaconsolidadofev[[#Headers],[21]],tabela_registros[REGISTRO],DADOS!$N$5,tabela_registros[TIPO],DADOS!$AB$3,tabela_registros[CATEGORIA],investirrendafixaconsolidadofev[[#This Row],[ATUAL]])</f>
        <v>0</v>
      </c>
      <c r="Z120" s="119" t="n">
        <f aca="false">SUMIFS(tabela_registros[VALOR],tabela_registros[MÊS],$AE$1,tabela_registros[DIA],investirrendafixaconsolidadofev[[#Headers],[22]],tabela_registros[REGISTRO],DADOS!$N$5,tabela_registros[TIPO],DADOS!$AB$3,tabela_registros[CATEGORIA],investirrendafixaconsolidadofev[[#This Row],[ATUAL]])</f>
        <v>0</v>
      </c>
      <c r="AA120" s="119" t="n">
        <f aca="false">SUMIFS(tabela_registros[VALOR],tabela_registros[MÊS],$AE$1,tabela_registros[DIA],investirrendafixaconsolidadofev[[#Headers],[23]],tabela_registros[REGISTRO],DADOS!$N$5,tabela_registros[TIPO],DADOS!$AB$3,tabela_registros[CATEGORIA],investirrendafixaconsolidadofev[[#This Row],[ATUAL]])</f>
        <v>0</v>
      </c>
      <c r="AB120" s="119" t="n">
        <f aca="false">SUMIFS(tabela_registros[VALOR],tabela_registros[MÊS],$AE$1,tabela_registros[DIA],investirrendafixaconsolidadofev[[#Headers],[24]],tabela_registros[REGISTRO],DADOS!$N$5,tabela_registros[TIPO],DADOS!$AB$3,tabela_registros[CATEGORIA],investirrendafixaconsolidadofev[[#This Row],[ATUAL]])</f>
        <v>0</v>
      </c>
      <c r="AC120" s="119" t="n">
        <f aca="false">SUMIFS(tabela_registros[VALOR],tabela_registros[MÊS],$AE$1,tabela_registros[DIA],investirrendafixaconsolidadofev[[#Headers],[25]],tabela_registros[REGISTRO],DADOS!$N$5,tabela_registros[TIPO],DADOS!$AB$3,tabela_registros[CATEGORIA],investirrendafixaconsolidadofev[[#This Row],[ATUAL]])</f>
        <v>0</v>
      </c>
      <c r="AD120" s="119" t="n">
        <f aca="false">SUMIFS(tabela_registros[VALOR],tabela_registros[MÊS],$AE$1,tabela_registros[DIA],investirrendafixaconsolidadofev[[#Headers],[26]],tabela_registros[REGISTRO],DADOS!$N$5,tabela_registros[TIPO],DADOS!$AB$3,tabela_registros[CATEGORIA],investirrendafixaconsolidadofev[[#This Row],[ATUAL]])</f>
        <v>0</v>
      </c>
      <c r="AE120" s="119" t="n">
        <f aca="false">SUMIFS(tabela_registros[VALOR],tabela_registros[MÊS],$AE$1,tabela_registros[DIA],investirrendafixaconsolidadofev[[#Headers],[27]],tabela_registros[REGISTRO],DADOS!$N$5,tabela_registros[TIPO],DADOS!$AB$3,tabela_registros[CATEGORIA],investirrendafixaconsolidadofev[[#This Row],[ATUAL]])</f>
        <v>0</v>
      </c>
      <c r="AF120" s="119" t="n">
        <f aca="false">SUMIFS(tabela_registros[VALOR],tabela_registros[MÊS],$AE$1,tabela_registros[DIA],investirrendafixaconsolidadofev[[#Headers],[28]],tabela_registros[REGISTRO],DADOS!$N$5,tabela_registros[TIPO],DADOS!$AB$3,tabela_registros[CATEGORIA],investirrendafixaconsolidadofev[[#This Row],[ATUAL]])</f>
        <v>0</v>
      </c>
      <c r="AG120" s="119" t="n">
        <f aca="false">SUMIFS(tabela_registros[VALOR],tabela_registros[MÊS],$AE$1,tabela_registros[DIA],investirrendafixaconsolidadofev[[#Headers],[29]],tabela_registros[REGISTRO],DADOS!$N$5,tabela_registros[TIPO],DADOS!$AB$3,tabela_registros[CATEGORIA],investirrendafixaconsolidadofev[[#This Row],[ATUAL]])</f>
        <v>0</v>
      </c>
      <c r="AH120" s="119" t="n">
        <f aca="false">SUMIFS(tabela_registros[VALOR],tabela_registros[MÊS],$AE$1,tabela_registros[DIA],investirrendafixaconsolidadofev[[#Headers],[30]],tabela_registros[REGISTRO],DADOS!$N$5,tabela_registros[TIPO],DADOS!$AB$3,tabela_registros[CATEGORIA],investirrendafixaconsolidadofev[[#This Row],[ATUAL]])</f>
        <v>0</v>
      </c>
      <c r="AI120" s="217" t="n">
        <f aca="false">SUMIFS(tabela_registros[VALOR],tabela_registros[MÊS],$AE$1,tabela_registros[DIA],investirrendafixaconsolidadofev[[#Headers],[31]],tabela_registros[REGISTRO],DADOS!$N$5,tabela_registros[TIPO],DADOS!$AB$3,tabela_registros[CATEGORIA],investirrendafixaconsolidadofev[[#This Row],[ATUAL]])</f>
        <v>0</v>
      </c>
      <c r="AJ120" s="149" t="n">
        <f aca="false">SUM(investirrendafixaconsolidadofev[[#This Row],[1]:[31]])</f>
        <v>0</v>
      </c>
      <c r="AK120" s="165"/>
    </row>
    <row r="121" customFormat="false" ht="19.5" hidden="false" customHeight="true" outlineLevel="0" collapsed="false">
      <c r="B121" s="143"/>
      <c r="C121" s="144" t="str">
        <f aca="false">DADOS!$AD$11</f>
        <v>📝 TESOURO DIRETO</v>
      </c>
      <c r="D121" s="145" t="str">
        <f aca="false">IF(investirrendafixaconsolidadofev[[#This Row],[TOTAL (R$)]]=0,"",IF(OR(investirrendafixaconsolidadofev[[#This Row],[TOTAL (R$)]]=LARGE($AJ$113:$AJ$122,1),investirrendafixaconsolidadofev[[#This Row],[TOTAL (R$)]]=LARGE($AJ$113:$AJ$122,2)),DADOS!$I$10,""))</f>
        <v/>
      </c>
      <c r="E121" s="148" t="n">
        <f aca="false">SUMIFS(tabela_registros[VALOR],tabela_registros[MÊS],$AE$1,tabela_registros[DIA],investirrendafixaconsolidadofev[[#Headers],[1]],tabela_registros[REGISTRO],DADOS!$N$5,tabela_registros[TIPO],DADOS!$AB$3,tabela_registros[CATEGORIA],investirrendafixaconsolidadofev[[#This Row],[ATUAL]])</f>
        <v>0</v>
      </c>
      <c r="F121" s="119" t="n">
        <f aca="false">SUMIFS(tabela_registros[VALOR],tabela_registros[MÊS],$AE$1,tabela_registros[DIA],investirrendafixaconsolidadofev[[#Headers],[2]],tabela_registros[REGISTRO],DADOS!$N$5,tabela_registros[TIPO],DADOS!$AB$3,tabela_registros[CATEGORIA],investirrendafixaconsolidadofev[[#This Row],[ATUAL]])</f>
        <v>0</v>
      </c>
      <c r="G121" s="119" t="n">
        <f aca="false">SUMIFS(tabela_registros[VALOR],tabela_registros[MÊS],$AE$1,tabela_registros[DIA],investirrendafixaconsolidadofev[[#Headers],[3]],tabela_registros[REGISTRO],DADOS!$N$5,tabela_registros[TIPO],DADOS!$AB$3,tabela_registros[CATEGORIA],investirrendafixaconsolidadofev[[#This Row],[ATUAL]])</f>
        <v>0</v>
      </c>
      <c r="H121" s="119" t="n">
        <f aca="false">SUMIFS(tabela_registros[VALOR],tabela_registros[MÊS],$AE$1,tabela_registros[DIA],investirrendafixaconsolidadofev[[#Headers],[4]],tabela_registros[REGISTRO],DADOS!$N$5,tabela_registros[TIPO],DADOS!$AB$3,tabela_registros[CATEGORIA],investirrendafixaconsolidadofev[[#This Row],[ATUAL]])</f>
        <v>0</v>
      </c>
      <c r="I121" s="119" t="n">
        <f aca="false">SUMIFS(tabela_registros[VALOR],tabela_registros[MÊS],$AE$1,tabela_registros[DIA],investirrendafixaconsolidadofev[[#Headers],[5]],tabela_registros[REGISTRO],DADOS!$N$5,tabela_registros[TIPO],DADOS!$AB$3,tabela_registros[CATEGORIA],investirrendafixaconsolidadofev[[#This Row],[ATUAL]])</f>
        <v>0</v>
      </c>
      <c r="J121" s="119" t="n">
        <f aca="false">SUMIFS(tabela_registros[VALOR],tabela_registros[MÊS],$AE$1,tabela_registros[DIA],investirrendafixaconsolidadofev[[#Headers],[6]],tabela_registros[REGISTRO],DADOS!$N$5,tabela_registros[TIPO],DADOS!$AB$3,tabela_registros[CATEGORIA],investirrendafixaconsolidadofev[[#This Row],[ATUAL]])</f>
        <v>0</v>
      </c>
      <c r="K121" s="119" t="n">
        <f aca="false">SUMIFS(tabela_registros[VALOR],tabela_registros[MÊS],$AE$1,tabela_registros[DIA],investirrendafixaconsolidadofev[[#Headers],[7]],tabela_registros[REGISTRO],DADOS!$N$5,tabela_registros[TIPO],DADOS!$AB$3,tabela_registros[CATEGORIA],investirrendafixaconsolidadofev[[#This Row],[ATUAL]])</f>
        <v>0</v>
      </c>
      <c r="L121" s="119" t="n">
        <f aca="false">SUMIFS(tabela_registros[VALOR],tabela_registros[MÊS],$AE$1,tabela_registros[DIA],investirrendafixaconsolidadofev[[#Headers],[8]],tabela_registros[REGISTRO],DADOS!$N$5,tabela_registros[TIPO],DADOS!$AB$3,tabela_registros[CATEGORIA],investirrendafixaconsolidadofev[[#This Row],[ATUAL]])</f>
        <v>0</v>
      </c>
      <c r="M121" s="119" t="n">
        <f aca="false">SUMIFS(tabela_registros[VALOR],tabela_registros[MÊS],$AE$1,tabela_registros[DIA],investirrendafixaconsolidadofev[[#Headers],[9]],tabela_registros[REGISTRO],DADOS!$N$5,tabela_registros[TIPO],DADOS!$AB$3,tabela_registros[CATEGORIA],investirrendafixaconsolidadofev[[#This Row],[ATUAL]])</f>
        <v>0</v>
      </c>
      <c r="N121" s="119" t="n">
        <f aca="false">SUMIFS(tabela_registros[VALOR],tabela_registros[MÊS],$AE$1,tabela_registros[DIA],investirrendafixaconsolidadofev[[#Headers],[10]],tabela_registros[REGISTRO],DADOS!$N$5,tabela_registros[TIPO],DADOS!$AB$3,tabela_registros[CATEGORIA],investirrendafixaconsolidadofev[[#This Row],[ATUAL]])</f>
        <v>0</v>
      </c>
      <c r="O121" s="119" t="n">
        <f aca="false">SUMIFS(tabela_registros[VALOR],tabela_registros[MÊS],$AE$1,tabela_registros[DIA],investirrendafixaconsolidadofev[[#Headers],[11]],tabela_registros[REGISTRO],DADOS!$N$5,tabela_registros[TIPO],DADOS!$AB$3,tabela_registros[CATEGORIA],investirrendafixaconsolidadofev[[#This Row],[ATUAL]])</f>
        <v>0</v>
      </c>
      <c r="P121" s="119" t="n">
        <f aca="false">SUMIFS(tabela_registros[VALOR],tabela_registros[MÊS],$AE$1,tabela_registros[DIA],investirrendafixaconsolidadofev[[#Headers],[12]],tabela_registros[REGISTRO],DADOS!$N$5,tabela_registros[TIPO],DADOS!$AB$3,tabela_registros[CATEGORIA],investirrendafixaconsolidadofev[[#This Row],[ATUAL]])</f>
        <v>0</v>
      </c>
      <c r="Q121" s="119" t="n">
        <f aca="false">SUMIFS(tabela_registros[VALOR],tabela_registros[MÊS],$AE$1,tabela_registros[DIA],investirrendafixaconsolidadofev[[#Headers],[13]],tabela_registros[REGISTRO],DADOS!$N$5,tabela_registros[TIPO],DADOS!$AB$3,tabela_registros[CATEGORIA],investirrendafixaconsolidadofev[[#This Row],[ATUAL]])</f>
        <v>0</v>
      </c>
      <c r="R121" s="119" t="n">
        <f aca="false">SUMIFS(tabela_registros[VALOR],tabela_registros[MÊS],$AE$1,tabela_registros[DIA],investirrendafixaconsolidadofev[[#Headers],[14]],tabela_registros[REGISTRO],DADOS!$N$5,tabela_registros[TIPO],DADOS!$AB$3,tabela_registros[CATEGORIA],investirrendafixaconsolidadofev[[#This Row],[ATUAL]])</f>
        <v>0</v>
      </c>
      <c r="S121" s="119" t="n">
        <f aca="false">SUMIFS(tabela_registros[VALOR],tabela_registros[MÊS],$AE$1,tabela_registros[DIA],investirrendafixaconsolidadofev[[#Headers],[15]],tabela_registros[REGISTRO],DADOS!$N$5,tabela_registros[TIPO],DADOS!$AB$3,tabela_registros[CATEGORIA],investirrendafixaconsolidadofev[[#This Row],[ATUAL]])</f>
        <v>0</v>
      </c>
      <c r="T121" s="119" t="n">
        <f aca="false">SUMIFS(tabela_registros[VALOR],tabela_registros[MÊS],$AE$1,tabela_registros[DIA],investirrendafixaconsolidadofev[[#Headers],[16]],tabela_registros[REGISTRO],DADOS!$N$5,tabela_registros[TIPO],DADOS!$AB$3,tabela_registros[CATEGORIA],investirrendafixaconsolidadofev[[#This Row],[ATUAL]])</f>
        <v>0</v>
      </c>
      <c r="U121" s="119" t="n">
        <f aca="false">SUMIFS(tabela_registros[VALOR],tabela_registros[MÊS],$AE$1,tabela_registros[DIA],investirrendafixaconsolidadofev[[#Headers],[17]],tabela_registros[REGISTRO],DADOS!$N$5,tabela_registros[TIPO],DADOS!$AB$3,tabela_registros[CATEGORIA],investirrendafixaconsolidadofev[[#This Row],[ATUAL]])</f>
        <v>0</v>
      </c>
      <c r="V121" s="119" t="n">
        <f aca="false">SUMIFS(tabela_registros[VALOR],tabela_registros[MÊS],$AE$1,tabela_registros[DIA],investirrendafixaconsolidadofev[[#Headers],[18]],tabela_registros[REGISTRO],DADOS!$N$5,tabela_registros[TIPO],DADOS!$AB$3,tabela_registros[CATEGORIA],investirrendafixaconsolidadofev[[#This Row],[ATUAL]])</f>
        <v>0</v>
      </c>
      <c r="W121" s="119" t="n">
        <f aca="false">SUMIFS(tabela_registros[VALOR],tabela_registros[MÊS],$AE$1,tabela_registros[DIA],investirrendafixaconsolidadofev[[#Headers],[19]],tabela_registros[REGISTRO],DADOS!$N$5,tabela_registros[TIPO],DADOS!$AB$3,tabela_registros[CATEGORIA],investirrendafixaconsolidadofev[[#This Row],[ATUAL]])</f>
        <v>0</v>
      </c>
      <c r="X121" s="119" t="n">
        <f aca="false">SUMIFS(tabela_registros[VALOR],tabela_registros[MÊS],$AE$1,tabela_registros[DIA],investirrendafixaconsolidadofev[[#Headers],[20]],tabela_registros[REGISTRO],DADOS!$N$5,tabela_registros[TIPO],DADOS!$AB$3,tabela_registros[CATEGORIA],investirrendafixaconsolidadofev[[#This Row],[ATUAL]])</f>
        <v>0</v>
      </c>
      <c r="Y121" s="119" t="n">
        <f aca="false">SUMIFS(tabela_registros[VALOR],tabela_registros[MÊS],$AE$1,tabela_registros[DIA],investirrendafixaconsolidadofev[[#Headers],[21]],tabela_registros[REGISTRO],DADOS!$N$5,tabela_registros[TIPO],DADOS!$AB$3,tabela_registros[CATEGORIA],investirrendafixaconsolidadofev[[#This Row],[ATUAL]])</f>
        <v>0</v>
      </c>
      <c r="Z121" s="119" t="n">
        <f aca="false">SUMIFS(tabela_registros[VALOR],tabela_registros[MÊS],$AE$1,tabela_registros[DIA],investirrendafixaconsolidadofev[[#Headers],[22]],tabela_registros[REGISTRO],DADOS!$N$5,tabela_registros[TIPO],DADOS!$AB$3,tabela_registros[CATEGORIA],investirrendafixaconsolidadofev[[#This Row],[ATUAL]])</f>
        <v>0</v>
      </c>
      <c r="AA121" s="119" t="n">
        <f aca="false">SUMIFS(tabela_registros[VALOR],tabela_registros[MÊS],$AE$1,tabela_registros[DIA],investirrendafixaconsolidadofev[[#Headers],[23]],tabela_registros[REGISTRO],DADOS!$N$5,tabela_registros[TIPO],DADOS!$AB$3,tabela_registros[CATEGORIA],investirrendafixaconsolidadofev[[#This Row],[ATUAL]])</f>
        <v>0</v>
      </c>
      <c r="AB121" s="119" t="n">
        <f aca="false">SUMIFS(tabela_registros[VALOR],tabela_registros[MÊS],$AE$1,tabela_registros[DIA],investirrendafixaconsolidadofev[[#Headers],[24]],tabela_registros[REGISTRO],DADOS!$N$5,tabela_registros[TIPO],DADOS!$AB$3,tabela_registros[CATEGORIA],investirrendafixaconsolidadofev[[#This Row],[ATUAL]])</f>
        <v>0</v>
      </c>
      <c r="AC121" s="119" t="n">
        <f aca="false">SUMIFS(tabela_registros[VALOR],tabela_registros[MÊS],$AE$1,tabela_registros[DIA],investirrendafixaconsolidadofev[[#Headers],[25]],tabela_registros[REGISTRO],DADOS!$N$5,tabela_registros[TIPO],DADOS!$AB$3,tabela_registros[CATEGORIA],investirrendafixaconsolidadofev[[#This Row],[ATUAL]])</f>
        <v>0</v>
      </c>
      <c r="AD121" s="119" t="n">
        <f aca="false">SUMIFS(tabela_registros[VALOR],tabela_registros[MÊS],$AE$1,tabela_registros[DIA],investirrendafixaconsolidadofev[[#Headers],[26]],tabela_registros[REGISTRO],DADOS!$N$5,tabela_registros[TIPO],DADOS!$AB$3,tabela_registros[CATEGORIA],investirrendafixaconsolidadofev[[#This Row],[ATUAL]])</f>
        <v>0</v>
      </c>
      <c r="AE121" s="119" t="n">
        <f aca="false">SUMIFS(tabela_registros[VALOR],tabela_registros[MÊS],$AE$1,tabela_registros[DIA],investirrendafixaconsolidadofev[[#Headers],[27]],tabela_registros[REGISTRO],DADOS!$N$5,tabela_registros[TIPO],DADOS!$AB$3,tabela_registros[CATEGORIA],investirrendafixaconsolidadofev[[#This Row],[ATUAL]])</f>
        <v>0</v>
      </c>
      <c r="AF121" s="119" t="n">
        <f aca="false">SUMIFS(tabela_registros[VALOR],tabela_registros[MÊS],$AE$1,tabela_registros[DIA],investirrendafixaconsolidadofev[[#Headers],[28]],tabela_registros[REGISTRO],DADOS!$N$5,tabela_registros[TIPO],DADOS!$AB$3,tabela_registros[CATEGORIA],investirrendafixaconsolidadofev[[#This Row],[ATUAL]])</f>
        <v>0</v>
      </c>
      <c r="AG121" s="119" t="n">
        <f aca="false">SUMIFS(tabela_registros[VALOR],tabela_registros[MÊS],$AE$1,tabela_registros[DIA],investirrendafixaconsolidadofev[[#Headers],[29]],tabela_registros[REGISTRO],DADOS!$N$5,tabela_registros[TIPO],DADOS!$AB$3,tabela_registros[CATEGORIA],investirrendafixaconsolidadofev[[#This Row],[ATUAL]])</f>
        <v>0</v>
      </c>
      <c r="AH121" s="119" t="n">
        <f aca="false">SUMIFS(tabela_registros[VALOR],tabela_registros[MÊS],$AE$1,tabela_registros[DIA],investirrendafixaconsolidadofev[[#Headers],[30]],tabela_registros[REGISTRO],DADOS!$N$5,tabela_registros[TIPO],DADOS!$AB$3,tabela_registros[CATEGORIA],investirrendafixaconsolidadofev[[#This Row],[ATUAL]])</f>
        <v>0</v>
      </c>
      <c r="AI121" s="217" t="n">
        <f aca="false">SUMIFS(tabela_registros[VALOR],tabela_registros[MÊS],$AE$1,tabela_registros[DIA],investirrendafixaconsolidadofev[[#Headers],[31]],tabela_registros[REGISTRO],DADOS!$N$5,tabela_registros[TIPO],DADOS!$AB$3,tabela_registros[CATEGORIA],investirrendafixaconsolidadofev[[#This Row],[ATUAL]])</f>
        <v>0</v>
      </c>
      <c r="AJ121" s="149" t="n">
        <f aca="false">SUM(investirrendafixaconsolidadofev[[#This Row],[1]:[31]])</f>
        <v>0</v>
      </c>
      <c r="AK121" s="165"/>
    </row>
    <row r="122" customFormat="false" ht="19.5" hidden="false" customHeight="true" outlineLevel="0" collapsed="false">
      <c r="B122" s="143"/>
      <c r="C122" s="144" t="str">
        <f aca="false">DADOS!$AD$12</f>
        <v>📎 OUTROS</v>
      </c>
      <c r="D122" s="145" t="str">
        <f aca="false">IF(investirrendafixaconsolidadofev[[#This Row],[TOTAL (R$)]]=0,"",IF(OR(investirrendafixaconsolidadofev[[#This Row],[TOTAL (R$)]]=LARGE($AJ$113:$AJ$122,1),investirrendafixaconsolidadofev[[#This Row],[TOTAL (R$)]]=LARGE($AJ$113:$AJ$122,2)),DADOS!$I$10,""))</f>
        <v/>
      </c>
      <c r="E122" s="148" t="n">
        <f aca="false">SUMIFS(tabela_registros[VALOR],tabela_registros[MÊS],$AE$1,tabela_registros[DIA],investirrendafixaconsolidadofev[[#Headers],[1]],tabela_registros[REGISTRO],DADOS!$N$5,tabela_registros[TIPO],DADOS!$AB$3,tabela_registros[CATEGORIA],investirrendafixaconsolidadofev[[#This Row],[ATUAL]])</f>
        <v>0</v>
      </c>
      <c r="F122" s="119" t="n">
        <f aca="false">SUMIFS(tabela_registros[VALOR],tabela_registros[MÊS],$AE$1,tabela_registros[DIA],investirrendafixaconsolidadofev[[#Headers],[2]],tabela_registros[REGISTRO],DADOS!$N$5,tabela_registros[TIPO],DADOS!$AB$3,tabela_registros[CATEGORIA],investirrendafixaconsolidadofev[[#This Row],[ATUAL]])</f>
        <v>0</v>
      </c>
      <c r="G122" s="119" t="n">
        <f aca="false">SUMIFS(tabela_registros[VALOR],tabela_registros[MÊS],$AE$1,tabela_registros[DIA],investirrendafixaconsolidadofev[[#Headers],[3]],tabela_registros[REGISTRO],DADOS!$N$5,tabela_registros[TIPO],DADOS!$AB$3,tabela_registros[CATEGORIA],investirrendafixaconsolidadofev[[#This Row],[ATUAL]])</f>
        <v>0</v>
      </c>
      <c r="H122" s="119" t="n">
        <f aca="false">SUMIFS(tabela_registros[VALOR],tabela_registros[MÊS],$AE$1,tabela_registros[DIA],investirrendafixaconsolidadofev[[#Headers],[4]],tabela_registros[REGISTRO],DADOS!$N$5,tabela_registros[TIPO],DADOS!$AB$3,tabela_registros[CATEGORIA],investirrendafixaconsolidadofev[[#This Row],[ATUAL]])</f>
        <v>0</v>
      </c>
      <c r="I122" s="119" t="n">
        <f aca="false">SUMIFS(tabela_registros[VALOR],tabela_registros[MÊS],$AE$1,tabela_registros[DIA],investirrendafixaconsolidadofev[[#Headers],[5]],tabela_registros[REGISTRO],DADOS!$N$5,tabela_registros[TIPO],DADOS!$AB$3,tabela_registros[CATEGORIA],investirrendafixaconsolidadofev[[#This Row],[ATUAL]])</f>
        <v>0</v>
      </c>
      <c r="J122" s="119" t="n">
        <f aca="false">SUMIFS(tabela_registros[VALOR],tabela_registros[MÊS],$AE$1,tabela_registros[DIA],investirrendafixaconsolidadofev[[#Headers],[6]],tabela_registros[REGISTRO],DADOS!$N$5,tabela_registros[TIPO],DADOS!$AB$3,tabela_registros[CATEGORIA],investirrendafixaconsolidadofev[[#This Row],[ATUAL]])</f>
        <v>0</v>
      </c>
      <c r="K122" s="119" t="n">
        <f aca="false">SUMIFS(tabela_registros[VALOR],tabela_registros[MÊS],$AE$1,tabela_registros[DIA],investirrendafixaconsolidadofev[[#Headers],[7]],tabela_registros[REGISTRO],DADOS!$N$5,tabela_registros[TIPO],DADOS!$AB$3,tabela_registros[CATEGORIA],investirrendafixaconsolidadofev[[#This Row],[ATUAL]])</f>
        <v>0</v>
      </c>
      <c r="L122" s="119" t="n">
        <f aca="false">SUMIFS(tabela_registros[VALOR],tabela_registros[MÊS],$AE$1,tabela_registros[DIA],investirrendafixaconsolidadofev[[#Headers],[8]],tabela_registros[REGISTRO],DADOS!$N$5,tabela_registros[TIPO],DADOS!$AB$3,tabela_registros[CATEGORIA],investirrendafixaconsolidadofev[[#This Row],[ATUAL]])</f>
        <v>0</v>
      </c>
      <c r="M122" s="119" t="n">
        <f aca="false">SUMIFS(tabela_registros[VALOR],tabela_registros[MÊS],$AE$1,tabela_registros[DIA],investirrendafixaconsolidadofev[[#Headers],[9]],tabela_registros[REGISTRO],DADOS!$N$5,tabela_registros[TIPO],DADOS!$AB$3,tabela_registros[CATEGORIA],investirrendafixaconsolidadofev[[#This Row],[ATUAL]])</f>
        <v>0</v>
      </c>
      <c r="N122" s="119" t="n">
        <f aca="false">SUMIFS(tabela_registros[VALOR],tabela_registros[MÊS],$AE$1,tabela_registros[DIA],investirrendafixaconsolidadofev[[#Headers],[10]],tabela_registros[REGISTRO],DADOS!$N$5,tabela_registros[TIPO],DADOS!$AB$3,tabela_registros[CATEGORIA],investirrendafixaconsolidadofev[[#This Row],[ATUAL]])</f>
        <v>0</v>
      </c>
      <c r="O122" s="119" t="n">
        <f aca="false">SUMIFS(tabela_registros[VALOR],tabela_registros[MÊS],$AE$1,tabela_registros[DIA],investirrendafixaconsolidadofev[[#Headers],[11]],tabela_registros[REGISTRO],DADOS!$N$5,tabela_registros[TIPO],DADOS!$AB$3,tabela_registros[CATEGORIA],investirrendafixaconsolidadofev[[#This Row],[ATUAL]])</f>
        <v>0</v>
      </c>
      <c r="P122" s="119" t="n">
        <f aca="false">SUMIFS(tabela_registros[VALOR],tabela_registros[MÊS],$AE$1,tabela_registros[DIA],investirrendafixaconsolidadofev[[#Headers],[12]],tabela_registros[REGISTRO],DADOS!$N$5,tabela_registros[TIPO],DADOS!$AB$3,tabela_registros[CATEGORIA],investirrendafixaconsolidadofev[[#This Row],[ATUAL]])</f>
        <v>0</v>
      </c>
      <c r="Q122" s="119" t="n">
        <f aca="false">SUMIFS(tabela_registros[VALOR],tabela_registros[MÊS],$AE$1,tabela_registros[DIA],investirrendafixaconsolidadofev[[#Headers],[13]],tabela_registros[REGISTRO],DADOS!$N$5,tabela_registros[TIPO],DADOS!$AB$3,tabela_registros[CATEGORIA],investirrendafixaconsolidadofev[[#This Row],[ATUAL]])</f>
        <v>0</v>
      </c>
      <c r="R122" s="119" t="n">
        <f aca="false">SUMIFS(tabela_registros[VALOR],tabela_registros[MÊS],$AE$1,tabela_registros[DIA],investirrendafixaconsolidadofev[[#Headers],[14]],tabela_registros[REGISTRO],DADOS!$N$5,tabela_registros[TIPO],DADOS!$AB$3,tabela_registros[CATEGORIA],investirrendafixaconsolidadofev[[#This Row],[ATUAL]])</f>
        <v>0</v>
      </c>
      <c r="S122" s="119" t="n">
        <f aca="false">SUMIFS(tabela_registros[VALOR],tabela_registros[MÊS],$AE$1,tabela_registros[DIA],investirrendafixaconsolidadofev[[#Headers],[15]],tabela_registros[REGISTRO],DADOS!$N$5,tabela_registros[TIPO],DADOS!$AB$3,tabela_registros[CATEGORIA],investirrendafixaconsolidadofev[[#This Row],[ATUAL]])</f>
        <v>0</v>
      </c>
      <c r="T122" s="119" t="n">
        <f aca="false">SUMIFS(tabela_registros[VALOR],tabela_registros[MÊS],$AE$1,tabela_registros[DIA],investirrendafixaconsolidadofev[[#Headers],[16]],tabela_registros[REGISTRO],DADOS!$N$5,tabela_registros[TIPO],DADOS!$AB$3,tabela_registros[CATEGORIA],investirrendafixaconsolidadofev[[#This Row],[ATUAL]])</f>
        <v>0</v>
      </c>
      <c r="U122" s="119" t="n">
        <f aca="false">SUMIFS(tabela_registros[VALOR],tabela_registros[MÊS],$AE$1,tabela_registros[DIA],investirrendafixaconsolidadofev[[#Headers],[17]],tabela_registros[REGISTRO],DADOS!$N$5,tabela_registros[TIPO],DADOS!$AB$3,tabela_registros[CATEGORIA],investirrendafixaconsolidadofev[[#This Row],[ATUAL]])</f>
        <v>0</v>
      </c>
      <c r="V122" s="119" t="n">
        <f aca="false">SUMIFS(tabela_registros[VALOR],tabela_registros[MÊS],$AE$1,tabela_registros[DIA],investirrendafixaconsolidadofev[[#Headers],[18]],tabela_registros[REGISTRO],DADOS!$N$5,tabela_registros[TIPO],DADOS!$AB$3,tabela_registros[CATEGORIA],investirrendafixaconsolidadofev[[#This Row],[ATUAL]])</f>
        <v>0</v>
      </c>
      <c r="W122" s="119" t="n">
        <f aca="false">SUMIFS(tabela_registros[VALOR],tabela_registros[MÊS],$AE$1,tabela_registros[DIA],investirrendafixaconsolidadofev[[#Headers],[19]],tabela_registros[REGISTRO],DADOS!$N$5,tabela_registros[TIPO],DADOS!$AB$3,tabela_registros[CATEGORIA],investirrendafixaconsolidadofev[[#This Row],[ATUAL]])</f>
        <v>0</v>
      </c>
      <c r="X122" s="119" t="n">
        <f aca="false">SUMIFS(tabela_registros[VALOR],tabela_registros[MÊS],$AE$1,tabela_registros[DIA],investirrendafixaconsolidadofev[[#Headers],[20]],tabela_registros[REGISTRO],DADOS!$N$5,tabela_registros[TIPO],DADOS!$AB$3,tabela_registros[CATEGORIA],investirrendafixaconsolidadofev[[#This Row],[ATUAL]])</f>
        <v>0</v>
      </c>
      <c r="Y122" s="119" t="n">
        <f aca="false">SUMIFS(tabela_registros[VALOR],tabela_registros[MÊS],$AE$1,tabela_registros[DIA],investirrendafixaconsolidadofev[[#Headers],[21]],tabela_registros[REGISTRO],DADOS!$N$5,tabela_registros[TIPO],DADOS!$AB$3,tabela_registros[CATEGORIA],investirrendafixaconsolidadofev[[#This Row],[ATUAL]])</f>
        <v>0</v>
      </c>
      <c r="Z122" s="119" t="n">
        <f aca="false">SUMIFS(tabela_registros[VALOR],tabela_registros[MÊS],$AE$1,tabela_registros[DIA],investirrendafixaconsolidadofev[[#Headers],[22]],tabela_registros[REGISTRO],DADOS!$N$5,tabela_registros[TIPO],DADOS!$AB$3,tabela_registros[CATEGORIA],investirrendafixaconsolidadofev[[#This Row],[ATUAL]])</f>
        <v>0</v>
      </c>
      <c r="AA122" s="119" t="n">
        <f aca="false">SUMIFS(tabela_registros[VALOR],tabela_registros[MÊS],$AE$1,tabela_registros[DIA],investirrendafixaconsolidadofev[[#Headers],[23]],tabela_registros[REGISTRO],DADOS!$N$5,tabela_registros[TIPO],DADOS!$AB$3,tabela_registros[CATEGORIA],investirrendafixaconsolidadofev[[#This Row],[ATUAL]])</f>
        <v>0</v>
      </c>
      <c r="AB122" s="119" t="n">
        <f aca="false">SUMIFS(tabela_registros[VALOR],tabela_registros[MÊS],$AE$1,tabela_registros[DIA],investirrendafixaconsolidadofev[[#Headers],[24]],tabela_registros[REGISTRO],DADOS!$N$5,tabela_registros[TIPO],DADOS!$AB$3,tabela_registros[CATEGORIA],investirrendafixaconsolidadofev[[#This Row],[ATUAL]])</f>
        <v>0</v>
      </c>
      <c r="AC122" s="119" t="n">
        <f aca="false">SUMIFS(tabela_registros[VALOR],tabela_registros[MÊS],$AE$1,tabela_registros[DIA],investirrendafixaconsolidadofev[[#Headers],[25]],tabela_registros[REGISTRO],DADOS!$N$5,tabela_registros[TIPO],DADOS!$AB$3,tabela_registros[CATEGORIA],investirrendafixaconsolidadofev[[#This Row],[ATUAL]])</f>
        <v>0</v>
      </c>
      <c r="AD122" s="119" t="n">
        <f aca="false">SUMIFS(tabela_registros[VALOR],tabela_registros[MÊS],$AE$1,tabela_registros[DIA],investirrendafixaconsolidadofev[[#Headers],[26]],tabela_registros[REGISTRO],DADOS!$N$5,tabela_registros[TIPO],DADOS!$AB$3,tabela_registros[CATEGORIA],investirrendafixaconsolidadofev[[#This Row],[ATUAL]])</f>
        <v>0</v>
      </c>
      <c r="AE122" s="119" t="n">
        <f aca="false">SUMIFS(tabela_registros[VALOR],tabela_registros[MÊS],$AE$1,tabela_registros[DIA],investirrendafixaconsolidadofev[[#Headers],[27]],tabela_registros[REGISTRO],DADOS!$N$5,tabela_registros[TIPO],DADOS!$AB$3,tabela_registros[CATEGORIA],investirrendafixaconsolidadofev[[#This Row],[ATUAL]])</f>
        <v>0</v>
      </c>
      <c r="AF122" s="119" t="n">
        <f aca="false">SUMIFS(tabela_registros[VALOR],tabela_registros[MÊS],$AE$1,tabela_registros[DIA],investirrendafixaconsolidadofev[[#Headers],[28]],tabela_registros[REGISTRO],DADOS!$N$5,tabela_registros[TIPO],DADOS!$AB$3,tabela_registros[CATEGORIA],investirrendafixaconsolidadofev[[#This Row],[ATUAL]])</f>
        <v>0</v>
      </c>
      <c r="AG122" s="151" t="n">
        <f aca="false">SUMIFS(tabela_registros[VALOR],tabela_registros[MÊS],$AE$1,tabela_registros[DIA],investirrendafixaconsolidadofev[[#Headers],[29]],tabela_registros[REGISTRO],DADOS!$N$5,tabela_registros[TIPO],DADOS!$AB$3,tabela_registros[CATEGORIA],investirrendafixaconsolidadofev[[#This Row],[ATUAL]])</f>
        <v>0</v>
      </c>
      <c r="AH122" s="151" t="n">
        <f aca="false">SUMIFS(tabela_registros[VALOR],tabela_registros[MÊS],$AE$1,tabela_registros[DIA],investirrendafixaconsolidadofev[[#Headers],[30]],tabela_registros[REGISTRO],DADOS!$N$5,tabela_registros[TIPO],DADOS!$AB$3,tabela_registros[CATEGORIA],investirrendafixaconsolidadofev[[#This Row],[ATUAL]])</f>
        <v>0</v>
      </c>
      <c r="AI122" s="218" t="n">
        <f aca="false">SUMIFS(tabela_registros[VALOR],tabela_registros[MÊS],$AE$1,tabela_registros[DIA],investirrendafixaconsolidadofev[[#Headers],[31]],tabela_registros[REGISTRO],DADOS!$N$5,tabela_registros[TIPO],DADOS!$AB$3,tabela_registros[CATEGORIA],investirrendafixaconsolidadofev[[#This Row],[ATUAL]])</f>
        <v>0</v>
      </c>
      <c r="AJ122" s="219" t="n">
        <f aca="false">SUM(investirrendafixaconsolidadofev[[#This Row],[1]:[31]])</f>
        <v>0</v>
      </c>
      <c r="AK122" s="165"/>
    </row>
    <row r="123" s="122" customFormat="true" ht="21" hidden="false" customHeight="true" outlineLevel="0" collapsed="false">
      <c r="B123" s="152"/>
      <c r="C123" s="153" t="s">
        <v>2</v>
      </c>
      <c r="D123" s="166"/>
      <c r="E123" s="155" t="n">
        <f aca="false">SUM(E113:E122)</f>
        <v>0</v>
      </c>
      <c r="F123" s="156" t="n">
        <f aca="false">SUM(F113:F122)+investirrendafixaconsolidadofev[[#This Row],[1]]</f>
        <v>0</v>
      </c>
      <c r="G123" s="156" t="n">
        <f aca="false">SUM(G113:G122)+investirrendafixaconsolidadofev[[#This Row],[2]]</f>
        <v>0</v>
      </c>
      <c r="H123" s="156" t="n">
        <f aca="false">SUM(H113:H122)+investirrendafixaconsolidadofev[[#This Row],[3]]</f>
        <v>0</v>
      </c>
      <c r="I123" s="156" t="n">
        <f aca="false">SUM(I113:I122)+investirrendafixaconsolidadofev[[#This Row],[4]]</f>
        <v>0</v>
      </c>
      <c r="J123" s="156" t="n">
        <f aca="false">SUM(J113:J122)+investirrendafixaconsolidadofev[[#This Row],[5]]</f>
        <v>0</v>
      </c>
      <c r="K123" s="156" t="n">
        <f aca="false">SUM(K113:K122)+investirrendafixaconsolidadofev[[#This Row],[6]]</f>
        <v>0</v>
      </c>
      <c r="L123" s="156" t="n">
        <f aca="false">SUM(L113:L122)+investirrendafixaconsolidadofev[[#This Row],[7]]</f>
        <v>0</v>
      </c>
      <c r="M123" s="156" t="n">
        <f aca="false">SUM(M113:M122)+investirrendafixaconsolidadofev[[#This Row],[8]]</f>
        <v>0</v>
      </c>
      <c r="N123" s="156" t="n">
        <f aca="false">SUM(N113:N122)+investirrendafixaconsolidadofev[[#This Row],[9]]</f>
        <v>0</v>
      </c>
      <c r="O123" s="156" t="n">
        <f aca="false">SUM(O113:O122)+investirrendafixaconsolidadofev[[#This Row],[10]]</f>
        <v>0</v>
      </c>
      <c r="P123" s="156" t="n">
        <f aca="false">SUM(P113:P122)+investirrendafixaconsolidadofev[[#This Row],[11]]</f>
        <v>0</v>
      </c>
      <c r="Q123" s="156" t="n">
        <f aca="false">SUM(Q113:Q122)+investirrendafixaconsolidadofev[[#This Row],[12]]</f>
        <v>0</v>
      </c>
      <c r="R123" s="156" t="n">
        <f aca="false">SUM(R113:R122)+investirrendafixaconsolidadofev[[#This Row],[13]]</f>
        <v>0</v>
      </c>
      <c r="S123" s="156" t="n">
        <f aca="false">SUM(S113:S122)+investirrendafixaconsolidadofev[[#This Row],[14]]</f>
        <v>0</v>
      </c>
      <c r="T123" s="156" t="n">
        <f aca="false">SUM(T113:T122)+investirrendafixaconsolidadofev[[#This Row],[15]]</f>
        <v>0</v>
      </c>
      <c r="U123" s="156" t="n">
        <f aca="false">SUM(U113:U122)+investirrendafixaconsolidadofev[[#This Row],[16]]</f>
        <v>0</v>
      </c>
      <c r="V123" s="156" t="n">
        <f aca="false">SUM(V113:V122)+investirrendafixaconsolidadofev[[#This Row],[17]]</f>
        <v>0</v>
      </c>
      <c r="W123" s="156" t="n">
        <f aca="false">SUM(W113:W122)+investirrendafixaconsolidadofev[[#This Row],[18]]</f>
        <v>0</v>
      </c>
      <c r="X123" s="156" t="n">
        <f aca="false">SUM(X113:X122)+investirrendafixaconsolidadofev[[#This Row],[19]]</f>
        <v>0</v>
      </c>
      <c r="Y123" s="156" t="n">
        <f aca="false">SUM(Y113:Y122)+investirrendafixaconsolidadofev[[#This Row],[20]]</f>
        <v>0</v>
      </c>
      <c r="Z123" s="156" t="n">
        <f aca="false">SUM(Z113:Z122)+investirrendafixaconsolidadofev[[#This Row],[21]]</f>
        <v>0</v>
      </c>
      <c r="AA123" s="156" t="n">
        <f aca="false">SUM(AA113:AA122)+investirrendafixaconsolidadofev[[#This Row],[22]]</f>
        <v>0</v>
      </c>
      <c r="AB123" s="156" t="n">
        <f aca="false">SUM(AB113:AB122)+investirrendafixaconsolidadofev[[#This Row],[23]]</f>
        <v>0</v>
      </c>
      <c r="AC123" s="156" t="n">
        <f aca="false">SUM(AC113:AC122)+investirrendafixaconsolidadofev[[#This Row],[24]]</f>
        <v>0</v>
      </c>
      <c r="AD123" s="156" t="n">
        <f aca="false">SUM(AD113:AD122)+investirrendafixaconsolidadofev[[#This Row],[25]]</f>
        <v>0</v>
      </c>
      <c r="AE123" s="156" t="n">
        <f aca="false">SUM(AE113:AE122)+investirrendafixaconsolidadofev[[#This Row],[26]]</f>
        <v>0</v>
      </c>
      <c r="AF123" s="156" t="n">
        <f aca="false">SUM(AF113:AF122)+investirrendafixaconsolidadofev[[#This Row],[27]]</f>
        <v>0</v>
      </c>
      <c r="AG123" s="156" t="n">
        <f aca="false">SUM(AG113:AG122)+investirrendafixaconsolidadofev[[#This Row],[28]]</f>
        <v>0</v>
      </c>
      <c r="AH123" s="156" t="n">
        <f aca="false">SUM(AH113:AH122)+investirrendafixaconsolidadofev[[#This Row],[29]]</f>
        <v>0</v>
      </c>
      <c r="AI123" s="223" t="n">
        <f aca="false">SUM(AI113:AI122)+investirrendafixaconsolidadofev[[#This Row],[30]]</f>
        <v>0</v>
      </c>
      <c r="AJ123" s="157" t="n">
        <f aca="false">investirrendafixaconsolidadofev[[#This Row],[31]]</f>
        <v>0</v>
      </c>
      <c r="AK123" s="158"/>
    </row>
    <row r="124" customFormat="false" ht="6.75" hidden="false" customHeight="true" outlineLevel="0" collapsed="false">
      <c r="B124" s="97"/>
      <c r="C124" s="162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233"/>
      <c r="AJ124" s="164"/>
      <c r="AK124" s="244"/>
    </row>
    <row r="125" s="78" customFormat="true" ht="12.75" hidden="false" customHeight="false" outlineLevel="0" collapsed="false">
      <c r="E125" s="100"/>
    </row>
    <row r="126" s="78" customFormat="true" ht="12" hidden="false" customHeight="false" outlineLevel="0" collapsed="false"/>
    <row r="127" s="78" customFormat="true" ht="12" hidden="false" customHeight="false" outlineLevel="0" collapsed="false"/>
    <row r="128" customFormat="false" ht="39.75" hidden="false" customHeight="true" outlineLevel="0" collapsed="false">
      <c r="C128" s="101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3" t="s">
        <v>2</v>
      </c>
    </row>
    <row r="129" s="78" customFormat="true" ht="12.75" hidden="false" customHeight="false" outlineLevel="0" collapsed="false">
      <c r="B129" s="161"/>
      <c r="AJ129" s="106" t="s">
        <v>64</v>
      </c>
    </row>
    <row r="130" customFormat="false" ht="6.75" hidden="false" customHeight="true" outlineLevel="0" collapsed="false">
      <c r="B130" s="86"/>
      <c r="C130" s="162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233"/>
      <c r="AK130" s="139"/>
    </row>
    <row r="131" customFormat="false" ht="13.5" hidden="true" customHeight="false" outlineLevel="0" collapsed="false">
      <c r="B131" s="86"/>
      <c r="C131" s="109" t="s">
        <v>68</v>
      </c>
      <c r="D131" s="110" t="s">
        <v>69</v>
      </c>
      <c r="E131" s="110" t="s">
        <v>30</v>
      </c>
      <c r="F131" s="110" t="s">
        <v>31</v>
      </c>
      <c r="G131" s="110" t="s">
        <v>32</v>
      </c>
      <c r="H131" s="110" t="s">
        <v>33</v>
      </c>
      <c r="I131" s="110" t="s">
        <v>34</v>
      </c>
      <c r="J131" s="110" t="s">
        <v>35</v>
      </c>
      <c r="K131" s="110" t="s">
        <v>36</v>
      </c>
      <c r="L131" s="110" t="s">
        <v>37</v>
      </c>
      <c r="M131" s="110" t="s">
        <v>38</v>
      </c>
      <c r="N131" s="110" t="s">
        <v>39</v>
      </c>
      <c r="O131" s="110" t="s">
        <v>40</v>
      </c>
      <c r="P131" s="110" t="s">
        <v>41</v>
      </c>
      <c r="Q131" s="110" t="s">
        <v>81</v>
      </c>
      <c r="R131" s="110" t="s">
        <v>82</v>
      </c>
      <c r="S131" s="110" t="s">
        <v>83</v>
      </c>
      <c r="T131" s="110" t="s">
        <v>84</v>
      </c>
      <c r="U131" s="110" t="s">
        <v>85</v>
      </c>
      <c r="V131" s="110" t="s">
        <v>86</v>
      </c>
      <c r="W131" s="110" t="s">
        <v>87</v>
      </c>
      <c r="X131" s="110" t="s">
        <v>88</v>
      </c>
      <c r="Y131" s="110" t="s">
        <v>89</v>
      </c>
      <c r="Z131" s="110" t="s">
        <v>90</v>
      </c>
      <c r="AA131" s="110" t="s">
        <v>91</v>
      </c>
      <c r="AB131" s="110" t="s">
        <v>92</v>
      </c>
      <c r="AC131" s="110" t="s">
        <v>93</v>
      </c>
      <c r="AD131" s="110" t="s">
        <v>94</v>
      </c>
      <c r="AE131" s="110" t="s">
        <v>95</v>
      </c>
      <c r="AF131" s="110" t="s">
        <v>96</v>
      </c>
      <c r="AG131" s="110" t="s">
        <v>97</v>
      </c>
      <c r="AH131" s="110" t="s">
        <v>98</v>
      </c>
      <c r="AI131" s="110" t="s">
        <v>99</v>
      </c>
      <c r="AJ131" s="111" t="s">
        <v>70</v>
      </c>
      <c r="AK131" s="86"/>
    </row>
    <row r="132" customFormat="false" ht="19.5" hidden="false" customHeight="true" outlineLevel="0" collapsed="false">
      <c r="B132" s="143"/>
      <c r="C132" s="144" t="str">
        <f aca="false">DADOS!$AF$3</f>
        <v>📝 AÇÃO</v>
      </c>
      <c r="D132" s="145" t="str">
        <f aca="false">IF(investirrendavariávelconsolidadofev[[#This Row],[TOTAL (R$)]]=0,"",IF(OR(investirrendavariávelconsolidadofev[[#This Row],[TOTAL (R$)]]=LARGE($AJ$132:$AJ$141,1),investirrendavariávelconsolidadofev[[#This Row],[TOTAL (R$)]]=LARGE($AJ$132:$AJ$141,2)),DADOS!$I$10,""))</f>
        <v/>
      </c>
      <c r="E132" s="148" t="n">
        <f aca="false">SUMIFS(tabela_registros[VALOR],tabela_registros[MÊS],$AE$1,tabela_registros[DIA],investirrendavariávelconsolidadofev[[#Headers],[1]],tabela_registros[REGISTRO],DADOS!$N$5,tabela_registros[TIPO],DADOS!$AB$4,tabela_registros[CATEGORIA],investirrendavariávelconsolidadofev[[#This Row],[ATUAL]])</f>
        <v>0</v>
      </c>
      <c r="F132" s="119" t="n">
        <f aca="false">SUMIFS(tabela_registros[VALOR],tabela_registros[MÊS],$AE$1,tabela_registros[DIA],investirrendavariávelconsolidadofev[[#Headers],[2]],tabela_registros[REGISTRO],DADOS!$N$5,tabela_registros[TIPO],DADOS!$AB$4,tabela_registros[CATEGORIA],investirrendavariávelconsolidadofev[[#This Row],[ATUAL]])</f>
        <v>0</v>
      </c>
      <c r="G132" s="119" t="n">
        <f aca="false">SUMIFS(tabela_registros[VALOR],tabela_registros[MÊS],$AE$1,tabela_registros[DIA],investirrendavariávelconsolidadofev[[#Headers],[3]],tabela_registros[REGISTRO],DADOS!$N$5,tabela_registros[TIPO],DADOS!$AB$4,tabela_registros[CATEGORIA],investirrendavariávelconsolidadofev[[#This Row],[ATUAL]])</f>
        <v>0</v>
      </c>
      <c r="H132" s="119" t="n">
        <f aca="false">SUMIFS(tabela_registros[VALOR],tabela_registros[MÊS],$AE$1,tabela_registros[DIA],investirrendavariávelconsolidadofev[[#Headers],[4]],tabela_registros[REGISTRO],DADOS!$N$5,tabela_registros[TIPO],DADOS!$AB$4,tabela_registros[CATEGORIA],investirrendavariávelconsolidadofev[[#This Row],[ATUAL]])</f>
        <v>0</v>
      </c>
      <c r="I132" s="119" t="n">
        <f aca="false">SUMIFS(tabela_registros[VALOR],tabela_registros[MÊS],$AE$1,tabela_registros[DIA],investirrendavariávelconsolidadofev[[#Headers],[5]],tabela_registros[REGISTRO],DADOS!$N$5,tabela_registros[TIPO],DADOS!$AB$4,tabela_registros[CATEGORIA],investirrendavariávelconsolidadofev[[#This Row],[ATUAL]])</f>
        <v>0</v>
      </c>
      <c r="J132" s="119" t="n">
        <f aca="false">SUMIFS(tabela_registros[VALOR],tabela_registros[MÊS],$AE$1,tabela_registros[DIA],investirrendavariávelconsolidadofev[[#Headers],[6]],tabela_registros[REGISTRO],DADOS!$N$5,tabela_registros[TIPO],DADOS!$AB$4,tabela_registros[CATEGORIA],investirrendavariávelconsolidadofev[[#This Row],[ATUAL]])</f>
        <v>0</v>
      </c>
      <c r="K132" s="119" t="n">
        <f aca="false">SUMIFS(tabela_registros[VALOR],tabela_registros[MÊS],$AE$1,tabela_registros[DIA],investirrendavariávelconsolidadofev[[#Headers],[7]],tabela_registros[REGISTRO],DADOS!$N$5,tabela_registros[TIPO],DADOS!$AB$4,tabela_registros[CATEGORIA],investirrendavariávelconsolidadofev[[#This Row],[ATUAL]])</f>
        <v>0</v>
      </c>
      <c r="L132" s="119" t="n">
        <f aca="false">SUMIFS(tabela_registros[VALOR],tabela_registros[MÊS],$AE$1,tabela_registros[DIA],investirrendavariávelconsolidadofev[[#Headers],[8]],tabela_registros[REGISTRO],DADOS!$N$5,tabela_registros[TIPO],DADOS!$AB$4,tabela_registros[CATEGORIA],investirrendavariávelconsolidadofev[[#This Row],[ATUAL]])</f>
        <v>0</v>
      </c>
      <c r="M132" s="119" t="n">
        <f aca="false">SUMIFS(tabela_registros[VALOR],tabela_registros[MÊS],$AE$1,tabela_registros[DIA],investirrendavariávelconsolidadofev[[#Headers],[9]],tabela_registros[REGISTRO],DADOS!$N$5,tabela_registros[TIPO],DADOS!$AB$4,tabela_registros[CATEGORIA],investirrendavariávelconsolidadofev[[#This Row],[ATUAL]])</f>
        <v>0</v>
      </c>
      <c r="N132" s="119" t="n">
        <f aca="false">SUMIFS(tabela_registros[VALOR],tabela_registros[MÊS],$AE$1,tabela_registros[DIA],investirrendavariávelconsolidadofev[[#Headers],[10]],tabela_registros[REGISTRO],DADOS!$N$5,tabela_registros[TIPO],DADOS!$AB$4,tabela_registros[CATEGORIA],investirrendavariávelconsolidadofev[[#This Row],[ATUAL]])</f>
        <v>0</v>
      </c>
      <c r="O132" s="119" t="n">
        <f aca="false">SUMIFS(tabela_registros[VALOR],tabela_registros[MÊS],$AE$1,tabela_registros[DIA],investirrendavariávelconsolidadofev[[#Headers],[11]],tabela_registros[REGISTRO],DADOS!$N$5,tabela_registros[TIPO],DADOS!$AB$4,tabela_registros[CATEGORIA],investirrendavariávelconsolidadofev[[#This Row],[ATUAL]])</f>
        <v>0</v>
      </c>
      <c r="P132" s="119" t="n">
        <f aca="false">SUMIFS(tabela_registros[VALOR],tabela_registros[MÊS],$AE$1,tabela_registros[DIA],investirrendavariávelconsolidadofev[[#Headers],[12]],tabela_registros[REGISTRO],DADOS!$N$5,tabela_registros[TIPO],DADOS!$AB$4,tabela_registros[CATEGORIA],investirrendavariávelconsolidadofev[[#This Row],[ATUAL]])</f>
        <v>0</v>
      </c>
      <c r="Q132" s="119" t="n">
        <f aca="false">SUMIFS(tabela_registros[VALOR],tabela_registros[MÊS],$AE$1,tabela_registros[DIA],investirrendavariávelconsolidadofev[[#Headers],[13]],tabela_registros[REGISTRO],DADOS!$N$5,tabela_registros[TIPO],DADOS!$AB$4,tabela_registros[CATEGORIA],investirrendavariávelconsolidadofev[[#This Row],[ATUAL]])</f>
        <v>0</v>
      </c>
      <c r="R132" s="119" t="n">
        <f aca="false">SUMIFS(tabela_registros[VALOR],tabela_registros[MÊS],$AE$1,tabela_registros[DIA],investirrendavariávelconsolidadofev[[#Headers],[14]],tabela_registros[REGISTRO],DADOS!$N$5,tabela_registros[TIPO],DADOS!$AB$4,tabela_registros[CATEGORIA],investirrendavariávelconsolidadofev[[#This Row],[ATUAL]])</f>
        <v>0</v>
      </c>
      <c r="S132" s="119" t="n">
        <f aca="false">SUMIFS(tabela_registros[VALOR],tabela_registros[MÊS],$AE$1,tabela_registros[DIA],investirrendavariávelconsolidadofev[[#Headers],[15]],tabela_registros[REGISTRO],DADOS!$N$5,tabela_registros[TIPO],DADOS!$AB$4,tabela_registros[CATEGORIA],investirrendavariávelconsolidadofev[[#This Row],[ATUAL]])</f>
        <v>0</v>
      </c>
      <c r="T132" s="119" t="n">
        <f aca="false">SUMIFS(tabela_registros[VALOR],tabela_registros[MÊS],$AE$1,tabela_registros[DIA],investirrendavariávelconsolidadofev[[#Headers],[16]],tabela_registros[REGISTRO],DADOS!$N$5,tabela_registros[TIPO],DADOS!$AB$4,tabela_registros[CATEGORIA],investirrendavariávelconsolidadofev[[#This Row],[ATUAL]])</f>
        <v>0</v>
      </c>
      <c r="U132" s="119" t="n">
        <f aca="false">SUMIFS(tabela_registros[VALOR],tabela_registros[MÊS],$AE$1,tabela_registros[DIA],investirrendavariávelconsolidadofev[[#Headers],[17]],tabela_registros[REGISTRO],DADOS!$N$5,tabela_registros[TIPO],DADOS!$AB$4,tabela_registros[CATEGORIA],investirrendavariávelconsolidadofev[[#This Row],[ATUAL]])</f>
        <v>0</v>
      </c>
      <c r="V132" s="119" t="n">
        <f aca="false">SUMIFS(tabela_registros[VALOR],tabela_registros[MÊS],$AE$1,tabela_registros[DIA],investirrendavariávelconsolidadofev[[#Headers],[18]],tabela_registros[REGISTRO],DADOS!$N$5,tabela_registros[TIPO],DADOS!$AB$4,tabela_registros[CATEGORIA],investirrendavariávelconsolidadofev[[#This Row],[ATUAL]])</f>
        <v>0</v>
      </c>
      <c r="W132" s="119" t="n">
        <f aca="false">SUMIFS(tabela_registros[VALOR],tabela_registros[MÊS],$AE$1,tabela_registros[DIA],investirrendavariávelconsolidadofev[[#Headers],[19]],tabela_registros[REGISTRO],DADOS!$N$5,tabela_registros[TIPO],DADOS!$AB$4,tabela_registros[CATEGORIA],investirrendavariávelconsolidadofev[[#This Row],[ATUAL]])</f>
        <v>0</v>
      </c>
      <c r="X132" s="119" t="n">
        <f aca="false">SUMIFS(tabela_registros[VALOR],tabela_registros[MÊS],$AE$1,tabela_registros[DIA],investirrendavariávelconsolidadofev[[#Headers],[20]],tabela_registros[REGISTRO],DADOS!$N$5,tabela_registros[TIPO],DADOS!$AB$4,tabela_registros[CATEGORIA],investirrendavariávelconsolidadofev[[#This Row],[ATUAL]])</f>
        <v>0</v>
      </c>
      <c r="Y132" s="119" t="n">
        <f aca="false">SUMIFS(tabela_registros[VALOR],tabela_registros[MÊS],$AE$1,tabela_registros[DIA],investirrendavariávelconsolidadofev[[#Headers],[21]],tabela_registros[REGISTRO],DADOS!$N$5,tabela_registros[TIPO],DADOS!$AB$4,tabela_registros[CATEGORIA],investirrendavariávelconsolidadofev[[#This Row],[ATUAL]])</f>
        <v>0</v>
      </c>
      <c r="Z132" s="119" t="n">
        <f aca="false">SUMIFS(tabela_registros[VALOR],tabela_registros[MÊS],$AE$1,tabela_registros[DIA],investirrendavariávelconsolidadofev[[#Headers],[22]],tabela_registros[REGISTRO],DADOS!$N$5,tabela_registros[TIPO],DADOS!$AB$4,tabela_registros[CATEGORIA],investirrendavariávelconsolidadofev[[#This Row],[ATUAL]])</f>
        <v>0</v>
      </c>
      <c r="AA132" s="119" t="n">
        <f aca="false">SUMIFS(tabela_registros[VALOR],tabela_registros[MÊS],$AE$1,tabela_registros[DIA],investirrendavariávelconsolidadofev[[#Headers],[23]],tabela_registros[REGISTRO],DADOS!$N$5,tabela_registros[TIPO],DADOS!$AB$4,tabela_registros[CATEGORIA],investirrendavariávelconsolidadofev[[#This Row],[ATUAL]])</f>
        <v>0</v>
      </c>
      <c r="AB132" s="119" t="n">
        <f aca="false">SUMIFS(tabela_registros[VALOR],tabela_registros[MÊS],$AE$1,tabela_registros[DIA],investirrendavariávelconsolidadofev[[#Headers],[24]],tabela_registros[REGISTRO],DADOS!$N$5,tabela_registros[TIPO],DADOS!$AB$4,tabela_registros[CATEGORIA],investirrendavariávelconsolidadofev[[#This Row],[ATUAL]])</f>
        <v>0</v>
      </c>
      <c r="AC132" s="119" t="n">
        <f aca="false">SUMIFS(tabela_registros[VALOR],tabela_registros[MÊS],$AE$1,tabela_registros[DIA],investirrendavariávelconsolidadofev[[#Headers],[25]],tabela_registros[REGISTRO],DADOS!$N$5,tabela_registros[TIPO],DADOS!$AB$4,tabela_registros[CATEGORIA],investirrendavariávelconsolidadofev[[#This Row],[ATUAL]])</f>
        <v>0</v>
      </c>
      <c r="AD132" s="119" t="n">
        <f aca="false">SUMIFS(tabela_registros[VALOR],tabela_registros[MÊS],$AE$1,tabela_registros[DIA],investirrendavariávelconsolidadofev[[#Headers],[26]],tabela_registros[REGISTRO],DADOS!$N$5,tabela_registros[TIPO],DADOS!$AB$4,tabela_registros[CATEGORIA],investirrendavariávelconsolidadofev[[#This Row],[ATUAL]])</f>
        <v>0</v>
      </c>
      <c r="AE132" s="119" t="n">
        <f aca="false">SUMIFS(tabela_registros[VALOR],tabela_registros[MÊS],$AE$1,tabela_registros[DIA],investirrendavariávelconsolidadofev[[#Headers],[27]],tabela_registros[REGISTRO],DADOS!$N$5,tabela_registros[TIPO],DADOS!$AB$4,tabela_registros[CATEGORIA],investirrendavariávelconsolidadofev[[#This Row],[ATUAL]])</f>
        <v>0</v>
      </c>
      <c r="AF132" s="119" t="n">
        <f aca="false">SUMIFS(tabela_registros[VALOR],tabela_registros[MÊS],$AE$1,tabela_registros[DIA],investirrendavariávelconsolidadofev[[#Headers],[28]],tabela_registros[REGISTRO],DADOS!$N$5,tabela_registros[TIPO],DADOS!$AB$4,tabela_registros[CATEGORIA],investirrendavariávelconsolidadofev[[#This Row],[ATUAL]])</f>
        <v>0</v>
      </c>
      <c r="AG132" s="119" t="n">
        <f aca="false">SUMIFS(tabela_registros[VALOR],tabela_registros[MÊS],$AE$1,tabela_registros[DIA],investirrendavariávelconsolidadofev[[#Headers],[29]],tabela_registros[REGISTRO],DADOS!$N$5,tabela_registros[TIPO],DADOS!$AB$4,tabela_registros[CATEGORIA],investirrendavariávelconsolidadofev[[#This Row],[ATUAL]])</f>
        <v>0</v>
      </c>
      <c r="AH132" s="119" t="n">
        <f aca="false">SUMIFS(tabela_registros[VALOR],tabela_registros[MÊS],$AE$1,tabela_registros[DIA],investirrendavariávelconsolidadofev[[#Headers],[30]],tabela_registros[REGISTRO],DADOS!$N$5,tabela_registros[TIPO],DADOS!$AB$4,tabela_registros[CATEGORIA],investirrendavariávelconsolidadofev[[#This Row],[ATUAL]])</f>
        <v>0</v>
      </c>
      <c r="AI132" s="217" t="n">
        <f aca="false">SUMIFS(tabela_registros[VALOR],tabela_registros[MÊS],$AE$1,tabela_registros[DIA],investirrendavariávelconsolidadofev[[#Headers],[31]],tabela_registros[REGISTRO],DADOS!$N$5,tabela_registros[TIPO],DADOS!$AB$4,tabela_registros[CATEGORIA],investirrendavariávelconsolidadofev[[#This Row],[ATUAL]])</f>
        <v>0</v>
      </c>
      <c r="AJ132" s="149" t="n">
        <f aca="false">SUM(investirrendavariávelconsolidadofev[[#This Row],[1]:[31]])</f>
        <v>0</v>
      </c>
      <c r="AK132" s="165"/>
    </row>
    <row r="133" customFormat="false" ht="19.5" hidden="false" customHeight="true" outlineLevel="0" collapsed="false">
      <c r="B133" s="143"/>
      <c r="C133" s="144" t="str">
        <f aca="false">DADOS!$AF$4</f>
        <v>📝 COMÓDITE</v>
      </c>
      <c r="D133" s="145" t="str">
        <f aca="false">IF(investirrendavariávelconsolidadofev[[#This Row],[TOTAL (R$)]]=0,"",IF(OR(investirrendavariávelconsolidadofev[[#This Row],[TOTAL (R$)]]=LARGE($AJ$132:$AJ$141,1),investirrendavariávelconsolidadofev[[#This Row],[TOTAL (R$)]]=LARGE($AJ$132:$AJ$141,2)),DADOS!$I$10,""))</f>
        <v/>
      </c>
      <c r="E133" s="148" t="n">
        <f aca="false">SUMIFS(tabela_registros[VALOR],tabela_registros[MÊS],$AE$1,tabela_registros[DIA],investirrendavariávelconsolidadofev[[#Headers],[1]],tabela_registros[REGISTRO],DADOS!$N$5,tabela_registros[TIPO],DADOS!$AB$4,tabela_registros[CATEGORIA],investirrendavariávelconsolidadofev[[#This Row],[ATUAL]])</f>
        <v>0</v>
      </c>
      <c r="F133" s="119" t="n">
        <f aca="false">SUMIFS(tabela_registros[VALOR],tabela_registros[MÊS],$AE$1,tabela_registros[DIA],investirrendavariávelconsolidadofev[[#Headers],[2]],tabela_registros[REGISTRO],DADOS!$N$5,tabela_registros[TIPO],DADOS!$AB$4,tabela_registros[CATEGORIA],investirrendavariávelconsolidadofev[[#This Row],[ATUAL]])</f>
        <v>0</v>
      </c>
      <c r="G133" s="119" t="n">
        <f aca="false">SUMIFS(tabela_registros[VALOR],tabela_registros[MÊS],$AE$1,tabela_registros[DIA],investirrendavariávelconsolidadofev[[#Headers],[3]],tabela_registros[REGISTRO],DADOS!$N$5,tabela_registros[TIPO],DADOS!$AB$4,tabela_registros[CATEGORIA],investirrendavariávelconsolidadofev[[#This Row],[ATUAL]])</f>
        <v>0</v>
      </c>
      <c r="H133" s="119" t="n">
        <f aca="false">SUMIFS(tabela_registros[VALOR],tabela_registros[MÊS],$AE$1,tabela_registros[DIA],investirrendavariávelconsolidadofev[[#Headers],[4]],tabela_registros[REGISTRO],DADOS!$N$5,tabela_registros[TIPO],DADOS!$AB$4,tabela_registros[CATEGORIA],investirrendavariávelconsolidadofev[[#This Row],[ATUAL]])</f>
        <v>0</v>
      </c>
      <c r="I133" s="119" t="n">
        <f aca="false">SUMIFS(tabela_registros[VALOR],tabela_registros[MÊS],$AE$1,tabela_registros[DIA],investirrendavariávelconsolidadofev[[#Headers],[5]],tabela_registros[REGISTRO],DADOS!$N$5,tabela_registros[TIPO],DADOS!$AB$4,tabela_registros[CATEGORIA],investirrendavariávelconsolidadofev[[#This Row],[ATUAL]])</f>
        <v>0</v>
      </c>
      <c r="J133" s="119" t="n">
        <f aca="false">SUMIFS(tabela_registros[VALOR],tabela_registros[MÊS],$AE$1,tabela_registros[DIA],investirrendavariávelconsolidadofev[[#Headers],[6]],tabela_registros[REGISTRO],DADOS!$N$5,tabela_registros[TIPO],DADOS!$AB$4,tabela_registros[CATEGORIA],investirrendavariávelconsolidadofev[[#This Row],[ATUAL]])</f>
        <v>0</v>
      </c>
      <c r="K133" s="119" t="n">
        <f aca="false">SUMIFS(tabela_registros[VALOR],tabela_registros[MÊS],$AE$1,tabela_registros[DIA],investirrendavariávelconsolidadofev[[#Headers],[7]],tabela_registros[REGISTRO],DADOS!$N$5,tabela_registros[TIPO],DADOS!$AB$4,tabela_registros[CATEGORIA],investirrendavariávelconsolidadofev[[#This Row],[ATUAL]])</f>
        <v>0</v>
      </c>
      <c r="L133" s="119" t="n">
        <f aca="false">SUMIFS(tabela_registros[VALOR],tabela_registros[MÊS],$AE$1,tabela_registros[DIA],investirrendavariávelconsolidadofev[[#Headers],[8]],tabela_registros[REGISTRO],DADOS!$N$5,tabela_registros[TIPO],DADOS!$AB$4,tabela_registros[CATEGORIA],investirrendavariávelconsolidadofev[[#This Row],[ATUAL]])</f>
        <v>0</v>
      </c>
      <c r="M133" s="119" t="n">
        <f aca="false">SUMIFS(tabela_registros[VALOR],tabela_registros[MÊS],$AE$1,tabela_registros[DIA],investirrendavariávelconsolidadofev[[#Headers],[9]],tabela_registros[REGISTRO],DADOS!$N$5,tabela_registros[TIPO],DADOS!$AB$4,tabela_registros[CATEGORIA],investirrendavariávelconsolidadofev[[#This Row],[ATUAL]])</f>
        <v>0</v>
      </c>
      <c r="N133" s="119" t="n">
        <f aca="false">SUMIFS(tabela_registros[VALOR],tabela_registros[MÊS],$AE$1,tabela_registros[DIA],investirrendavariávelconsolidadofev[[#Headers],[10]],tabela_registros[REGISTRO],DADOS!$N$5,tabela_registros[TIPO],DADOS!$AB$4,tabela_registros[CATEGORIA],investirrendavariávelconsolidadofev[[#This Row],[ATUAL]])</f>
        <v>0</v>
      </c>
      <c r="O133" s="119" t="n">
        <f aca="false">SUMIFS(tabela_registros[VALOR],tabela_registros[MÊS],$AE$1,tabela_registros[DIA],investirrendavariávelconsolidadofev[[#Headers],[11]],tabela_registros[REGISTRO],DADOS!$N$5,tabela_registros[TIPO],DADOS!$AB$4,tabela_registros[CATEGORIA],investirrendavariávelconsolidadofev[[#This Row],[ATUAL]])</f>
        <v>0</v>
      </c>
      <c r="P133" s="119" t="n">
        <f aca="false">SUMIFS(tabela_registros[VALOR],tabela_registros[MÊS],$AE$1,tabela_registros[DIA],investirrendavariávelconsolidadofev[[#Headers],[12]],tabela_registros[REGISTRO],DADOS!$N$5,tabela_registros[TIPO],DADOS!$AB$4,tabela_registros[CATEGORIA],investirrendavariávelconsolidadofev[[#This Row],[ATUAL]])</f>
        <v>0</v>
      </c>
      <c r="Q133" s="119" t="n">
        <f aca="false">SUMIFS(tabela_registros[VALOR],tabela_registros[MÊS],$AE$1,tabela_registros[DIA],investirrendavariávelconsolidadofev[[#Headers],[13]],tabela_registros[REGISTRO],DADOS!$N$5,tabela_registros[TIPO],DADOS!$AB$4,tabela_registros[CATEGORIA],investirrendavariávelconsolidadofev[[#This Row],[ATUAL]])</f>
        <v>0</v>
      </c>
      <c r="R133" s="119" t="n">
        <f aca="false">SUMIFS(tabela_registros[VALOR],tabela_registros[MÊS],$AE$1,tabela_registros[DIA],investirrendavariávelconsolidadofev[[#Headers],[14]],tabela_registros[REGISTRO],DADOS!$N$5,tabela_registros[TIPO],DADOS!$AB$4,tabela_registros[CATEGORIA],investirrendavariávelconsolidadofev[[#This Row],[ATUAL]])</f>
        <v>0</v>
      </c>
      <c r="S133" s="119" t="n">
        <f aca="false">SUMIFS(tabela_registros[VALOR],tabela_registros[MÊS],$AE$1,tabela_registros[DIA],investirrendavariávelconsolidadofev[[#Headers],[15]],tabela_registros[REGISTRO],DADOS!$N$5,tabela_registros[TIPO],DADOS!$AB$4,tabela_registros[CATEGORIA],investirrendavariávelconsolidadofev[[#This Row],[ATUAL]])</f>
        <v>0</v>
      </c>
      <c r="T133" s="119" t="n">
        <f aca="false">SUMIFS(tabela_registros[VALOR],tabela_registros[MÊS],$AE$1,tabela_registros[DIA],investirrendavariávelconsolidadofev[[#Headers],[16]],tabela_registros[REGISTRO],DADOS!$N$5,tabela_registros[TIPO],DADOS!$AB$4,tabela_registros[CATEGORIA],investirrendavariávelconsolidadofev[[#This Row],[ATUAL]])</f>
        <v>0</v>
      </c>
      <c r="U133" s="119" t="n">
        <f aca="false">SUMIFS(tabela_registros[VALOR],tabela_registros[MÊS],$AE$1,tabela_registros[DIA],investirrendavariávelconsolidadofev[[#Headers],[17]],tabela_registros[REGISTRO],DADOS!$N$5,tabela_registros[TIPO],DADOS!$AB$4,tabela_registros[CATEGORIA],investirrendavariávelconsolidadofev[[#This Row],[ATUAL]])</f>
        <v>0</v>
      </c>
      <c r="V133" s="119" t="n">
        <f aca="false">SUMIFS(tabela_registros[VALOR],tabela_registros[MÊS],$AE$1,tabela_registros[DIA],investirrendavariávelconsolidadofev[[#Headers],[18]],tabela_registros[REGISTRO],DADOS!$N$5,tabela_registros[TIPO],DADOS!$AB$4,tabela_registros[CATEGORIA],investirrendavariávelconsolidadofev[[#This Row],[ATUAL]])</f>
        <v>0</v>
      </c>
      <c r="W133" s="119" t="n">
        <f aca="false">SUMIFS(tabela_registros[VALOR],tabela_registros[MÊS],$AE$1,tabela_registros[DIA],investirrendavariávelconsolidadofev[[#Headers],[19]],tabela_registros[REGISTRO],DADOS!$N$5,tabela_registros[TIPO],DADOS!$AB$4,tabela_registros[CATEGORIA],investirrendavariávelconsolidadofev[[#This Row],[ATUAL]])</f>
        <v>0</v>
      </c>
      <c r="X133" s="119" t="n">
        <f aca="false">SUMIFS(tabela_registros[VALOR],tabela_registros[MÊS],$AE$1,tabela_registros[DIA],investirrendavariávelconsolidadofev[[#Headers],[20]],tabela_registros[REGISTRO],DADOS!$N$5,tabela_registros[TIPO],DADOS!$AB$4,tabela_registros[CATEGORIA],investirrendavariávelconsolidadofev[[#This Row],[ATUAL]])</f>
        <v>0</v>
      </c>
      <c r="Y133" s="119" t="n">
        <f aca="false">SUMIFS(tabela_registros[VALOR],tabela_registros[MÊS],$AE$1,tabela_registros[DIA],investirrendavariávelconsolidadofev[[#Headers],[21]],tabela_registros[REGISTRO],DADOS!$N$5,tabela_registros[TIPO],DADOS!$AB$4,tabela_registros[CATEGORIA],investirrendavariávelconsolidadofev[[#This Row],[ATUAL]])</f>
        <v>0</v>
      </c>
      <c r="Z133" s="119" t="n">
        <f aca="false">SUMIFS(tabela_registros[VALOR],tabela_registros[MÊS],$AE$1,tabela_registros[DIA],investirrendavariávelconsolidadofev[[#Headers],[22]],tabela_registros[REGISTRO],DADOS!$N$5,tabela_registros[TIPO],DADOS!$AB$4,tabela_registros[CATEGORIA],investirrendavariávelconsolidadofev[[#This Row],[ATUAL]])</f>
        <v>0</v>
      </c>
      <c r="AA133" s="119" t="n">
        <f aca="false">SUMIFS(tabela_registros[VALOR],tabela_registros[MÊS],$AE$1,tabela_registros[DIA],investirrendavariávelconsolidadofev[[#Headers],[23]],tabela_registros[REGISTRO],DADOS!$N$5,tabela_registros[TIPO],DADOS!$AB$4,tabela_registros[CATEGORIA],investirrendavariávelconsolidadofev[[#This Row],[ATUAL]])</f>
        <v>0</v>
      </c>
      <c r="AB133" s="119" t="n">
        <f aca="false">SUMIFS(tabela_registros[VALOR],tabela_registros[MÊS],$AE$1,tabela_registros[DIA],investirrendavariávelconsolidadofev[[#Headers],[24]],tabela_registros[REGISTRO],DADOS!$N$5,tabela_registros[TIPO],DADOS!$AB$4,tabela_registros[CATEGORIA],investirrendavariávelconsolidadofev[[#This Row],[ATUAL]])</f>
        <v>0</v>
      </c>
      <c r="AC133" s="119" t="n">
        <f aca="false">SUMIFS(tabela_registros[VALOR],tabela_registros[MÊS],$AE$1,tabela_registros[DIA],investirrendavariávelconsolidadofev[[#Headers],[25]],tabela_registros[REGISTRO],DADOS!$N$5,tabela_registros[TIPO],DADOS!$AB$4,tabela_registros[CATEGORIA],investirrendavariávelconsolidadofev[[#This Row],[ATUAL]])</f>
        <v>0</v>
      </c>
      <c r="AD133" s="119" t="n">
        <f aca="false">SUMIFS(tabela_registros[VALOR],tabela_registros[MÊS],$AE$1,tabela_registros[DIA],investirrendavariávelconsolidadofev[[#Headers],[26]],tabela_registros[REGISTRO],DADOS!$N$5,tabela_registros[TIPO],DADOS!$AB$4,tabela_registros[CATEGORIA],investirrendavariávelconsolidadofev[[#This Row],[ATUAL]])</f>
        <v>0</v>
      </c>
      <c r="AE133" s="119" t="n">
        <f aca="false">SUMIFS(tabela_registros[VALOR],tabela_registros[MÊS],$AE$1,tabela_registros[DIA],investirrendavariávelconsolidadofev[[#Headers],[27]],tabela_registros[REGISTRO],DADOS!$N$5,tabela_registros[TIPO],DADOS!$AB$4,tabela_registros[CATEGORIA],investirrendavariávelconsolidadofev[[#This Row],[ATUAL]])</f>
        <v>0</v>
      </c>
      <c r="AF133" s="119" t="n">
        <f aca="false">SUMIFS(tabela_registros[VALOR],tabela_registros[MÊS],$AE$1,tabela_registros[DIA],investirrendavariávelconsolidadofev[[#Headers],[28]],tabela_registros[REGISTRO],DADOS!$N$5,tabela_registros[TIPO],DADOS!$AB$4,tabela_registros[CATEGORIA],investirrendavariávelconsolidadofev[[#This Row],[ATUAL]])</f>
        <v>0</v>
      </c>
      <c r="AG133" s="119" t="n">
        <f aca="false">SUMIFS(tabela_registros[VALOR],tabela_registros[MÊS],$AE$1,tabela_registros[DIA],investirrendavariávelconsolidadofev[[#Headers],[29]],tabela_registros[REGISTRO],DADOS!$N$5,tabela_registros[TIPO],DADOS!$AB$4,tabela_registros[CATEGORIA],investirrendavariávelconsolidadofev[[#This Row],[ATUAL]])</f>
        <v>0</v>
      </c>
      <c r="AH133" s="119" t="n">
        <f aca="false">SUMIFS(tabela_registros[VALOR],tabela_registros[MÊS],$AE$1,tabela_registros[DIA],investirrendavariávelconsolidadofev[[#Headers],[30]],tabela_registros[REGISTRO],DADOS!$N$5,tabela_registros[TIPO],DADOS!$AB$4,tabela_registros[CATEGORIA],investirrendavariávelconsolidadofev[[#This Row],[ATUAL]])</f>
        <v>0</v>
      </c>
      <c r="AI133" s="217" t="n">
        <f aca="false">SUMIFS(tabela_registros[VALOR],tabela_registros[MÊS],$AE$1,tabela_registros[DIA],investirrendavariávelconsolidadofev[[#Headers],[31]],tabela_registros[REGISTRO],DADOS!$N$5,tabela_registros[TIPO],DADOS!$AB$4,tabela_registros[CATEGORIA],investirrendavariávelconsolidadofev[[#This Row],[ATUAL]])</f>
        <v>0</v>
      </c>
      <c r="AJ133" s="149" t="n">
        <f aca="false">SUM(investirrendavariávelconsolidadofev[[#This Row],[1]:[31]])</f>
        <v>0</v>
      </c>
      <c r="AK133" s="165"/>
    </row>
    <row r="134" customFormat="false" ht="19.5" hidden="false" customHeight="true" outlineLevel="0" collapsed="false">
      <c r="B134" s="143"/>
      <c r="C134" s="144" t="str">
        <f aca="false">DADOS!$AF$5</f>
        <v>📝 CONTRATO DE FUTUROS</v>
      </c>
      <c r="D134" s="145" t="str">
        <f aca="false">IF(investirrendavariávelconsolidadofev[[#This Row],[TOTAL (R$)]]=0,"",IF(OR(investirrendavariávelconsolidadofev[[#This Row],[TOTAL (R$)]]=LARGE($AJ$132:$AJ$141,1),investirrendavariávelconsolidadofev[[#This Row],[TOTAL (R$)]]=LARGE($AJ$132:$AJ$141,2)),DADOS!$I$10,""))</f>
        <v/>
      </c>
      <c r="E134" s="148" t="n">
        <f aca="false">SUMIFS(tabela_registros[VALOR],tabela_registros[MÊS],$AE$1,tabela_registros[DIA],investirrendavariávelconsolidadofev[[#Headers],[1]],tabela_registros[REGISTRO],DADOS!$N$5,tabela_registros[TIPO],DADOS!$AB$4,tabela_registros[CATEGORIA],investirrendavariávelconsolidadofev[[#This Row],[ATUAL]])</f>
        <v>0</v>
      </c>
      <c r="F134" s="119" t="n">
        <f aca="false">SUMIFS(tabela_registros[VALOR],tabela_registros[MÊS],$AE$1,tabela_registros[DIA],investirrendavariávelconsolidadofev[[#Headers],[2]],tabela_registros[REGISTRO],DADOS!$N$5,tabela_registros[TIPO],DADOS!$AB$4,tabela_registros[CATEGORIA],investirrendavariávelconsolidadofev[[#This Row],[ATUAL]])</f>
        <v>0</v>
      </c>
      <c r="G134" s="119" t="n">
        <f aca="false">SUMIFS(tabela_registros[VALOR],tabela_registros[MÊS],$AE$1,tabela_registros[DIA],investirrendavariávelconsolidadofev[[#Headers],[3]],tabela_registros[REGISTRO],DADOS!$N$5,tabela_registros[TIPO],DADOS!$AB$4,tabela_registros[CATEGORIA],investirrendavariávelconsolidadofev[[#This Row],[ATUAL]])</f>
        <v>0</v>
      </c>
      <c r="H134" s="119" t="n">
        <f aca="false">SUMIFS(tabela_registros[VALOR],tabela_registros[MÊS],$AE$1,tabela_registros[DIA],investirrendavariávelconsolidadofev[[#Headers],[4]],tabela_registros[REGISTRO],DADOS!$N$5,tabela_registros[TIPO],DADOS!$AB$4,tabela_registros[CATEGORIA],investirrendavariávelconsolidadofev[[#This Row],[ATUAL]])</f>
        <v>0</v>
      </c>
      <c r="I134" s="119" t="n">
        <f aca="false">SUMIFS(tabela_registros[VALOR],tabela_registros[MÊS],$AE$1,tabela_registros[DIA],investirrendavariávelconsolidadofev[[#Headers],[5]],tabela_registros[REGISTRO],DADOS!$N$5,tabela_registros[TIPO],DADOS!$AB$4,tabela_registros[CATEGORIA],investirrendavariávelconsolidadofev[[#This Row],[ATUAL]])</f>
        <v>0</v>
      </c>
      <c r="J134" s="119" t="n">
        <f aca="false">SUMIFS(tabela_registros[VALOR],tabela_registros[MÊS],$AE$1,tabela_registros[DIA],investirrendavariávelconsolidadofev[[#Headers],[6]],tabela_registros[REGISTRO],DADOS!$N$5,tabela_registros[TIPO],DADOS!$AB$4,tabela_registros[CATEGORIA],investirrendavariávelconsolidadofev[[#This Row],[ATUAL]])</f>
        <v>0</v>
      </c>
      <c r="K134" s="119" t="n">
        <f aca="false">SUMIFS(tabela_registros[VALOR],tabela_registros[MÊS],$AE$1,tabela_registros[DIA],investirrendavariávelconsolidadofev[[#Headers],[7]],tabela_registros[REGISTRO],DADOS!$N$5,tabela_registros[TIPO],DADOS!$AB$4,tabela_registros[CATEGORIA],investirrendavariávelconsolidadofev[[#This Row],[ATUAL]])</f>
        <v>0</v>
      </c>
      <c r="L134" s="119" t="n">
        <f aca="false">SUMIFS(tabela_registros[VALOR],tabela_registros[MÊS],$AE$1,tabela_registros[DIA],investirrendavariávelconsolidadofev[[#Headers],[8]],tabela_registros[REGISTRO],DADOS!$N$5,tabela_registros[TIPO],DADOS!$AB$4,tabela_registros[CATEGORIA],investirrendavariávelconsolidadofev[[#This Row],[ATUAL]])</f>
        <v>0</v>
      </c>
      <c r="M134" s="119" t="n">
        <f aca="false">SUMIFS(tabela_registros[VALOR],tabela_registros[MÊS],$AE$1,tabela_registros[DIA],investirrendavariávelconsolidadofev[[#Headers],[9]],tabela_registros[REGISTRO],DADOS!$N$5,tabela_registros[TIPO],DADOS!$AB$4,tabela_registros[CATEGORIA],investirrendavariávelconsolidadofev[[#This Row],[ATUAL]])</f>
        <v>0</v>
      </c>
      <c r="N134" s="119" t="n">
        <f aca="false">SUMIFS(tabela_registros[VALOR],tabela_registros[MÊS],$AE$1,tabela_registros[DIA],investirrendavariávelconsolidadofev[[#Headers],[10]],tabela_registros[REGISTRO],DADOS!$N$5,tabela_registros[TIPO],DADOS!$AB$4,tabela_registros[CATEGORIA],investirrendavariávelconsolidadofev[[#This Row],[ATUAL]])</f>
        <v>0</v>
      </c>
      <c r="O134" s="119" t="n">
        <f aca="false">SUMIFS(tabela_registros[VALOR],tabela_registros[MÊS],$AE$1,tabela_registros[DIA],investirrendavariávelconsolidadofev[[#Headers],[11]],tabela_registros[REGISTRO],DADOS!$N$5,tabela_registros[TIPO],DADOS!$AB$4,tabela_registros[CATEGORIA],investirrendavariávelconsolidadofev[[#This Row],[ATUAL]])</f>
        <v>0</v>
      </c>
      <c r="P134" s="119" t="n">
        <f aca="false">SUMIFS(tabela_registros[VALOR],tabela_registros[MÊS],$AE$1,tabela_registros[DIA],investirrendavariávelconsolidadofev[[#Headers],[12]],tabela_registros[REGISTRO],DADOS!$N$5,tabela_registros[TIPO],DADOS!$AB$4,tabela_registros[CATEGORIA],investirrendavariávelconsolidadofev[[#This Row],[ATUAL]])</f>
        <v>0</v>
      </c>
      <c r="Q134" s="119" t="n">
        <f aca="false">SUMIFS(tabela_registros[VALOR],tabela_registros[MÊS],$AE$1,tabela_registros[DIA],investirrendavariávelconsolidadofev[[#Headers],[13]],tabela_registros[REGISTRO],DADOS!$N$5,tabela_registros[TIPO],DADOS!$AB$4,tabela_registros[CATEGORIA],investirrendavariávelconsolidadofev[[#This Row],[ATUAL]])</f>
        <v>0</v>
      </c>
      <c r="R134" s="119" t="n">
        <f aca="false">SUMIFS(tabela_registros[VALOR],tabela_registros[MÊS],$AE$1,tabela_registros[DIA],investirrendavariávelconsolidadofev[[#Headers],[14]],tabela_registros[REGISTRO],DADOS!$N$5,tabela_registros[TIPO],DADOS!$AB$4,tabela_registros[CATEGORIA],investirrendavariávelconsolidadofev[[#This Row],[ATUAL]])</f>
        <v>0</v>
      </c>
      <c r="S134" s="119" t="n">
        <f aca="false">SUMIFS(tabela_registros[VALOR],tabela_registros[MÊS],$AE$1,tabela_registros[DIA],investirrendavariávelconsolidadofev[[#Headers],[15]],tabela_registros[REGISTRO],DADOS!$N$5,tabela_registros[TIPO],DADOS!$AB$4,tabela_registros[CATEGORIA],investirrendavariávelconsolidadofev[[#This Row],[ATUAL]])</f>
        <v>0</v>
      </c>
      <c r="T134" s="119" t="n">
        <f aca="false">SUMIFS(tabela_registros[VALOR],tabela_registros[MÊS],$AE$1,tabela_registros[DIA],investirrendavariávelconsolidadofev[[#Headers],[16]],tabela_registros[REGISTRO],DADOS!$N$5,tabela_registros[TIPO],DADOS!$AB$4,tabela_registros[CATEGORIA],investirrendavariávelconsolidadofev[[#This Row],[ATUAL]])</f>
        <v>0</v>
      </c>
      <c r="U134" s="119" t="n">
        <f aca="false">SUMIFS(tabela_registros[VALOR],tabela_registros[MÊS],$AE$1,tabela_registros[DIA],investirrendavariávelconsolidadofev[[#Headers],[17]],tabela_registros[REGISTRO],DADOS!$N$5,tabela_registros[TIPO],DADOS!$AB$4,tabela_registros[CATEGORIA],investirrendavariávelconsolidadofev[[#This Row],[ATUAL]])</f>
        <v>0</v>
      </c>
      <c r="V134" s="119" t="n">
        <f aca="false">SUMIFS(tabela_registros[VALOR],tabela_registros[MÊS],$AE$1,tabela_registros[DIA],investirrendavariávelconsolidadofev[[#Headers],[18]],tabela_registros[REGISTRO],DADOS!$N$5,tabela_registros[TIPO],DADOS!$AB$4,tabela_registros[CATEGORIA],investirrendavariávelconsolidadofev[[#This Row],[ATUAL]])</f>
        <v>0</v>
      </c>
      <c r="W134" s="119" t="n">
        <f aca="false">SUMIFS(tabela_registros[VALOR],tabela_registros[MÊS],$AE$1,tabela_registros[DIA],investirrendavariávelconsolidadofev[[#Headers],[19]],tabela_registros[REGISTRO],DADOS!$N$5,tabela_registros[TIPO],DADOS!$AB$4,tabela_registros[CATEGORIA],investirrendavariávelconsolidadofev[[#This Row],[ATUAL]])</f>
        <v>0</v>
      </c>
      <c r="X134" s="119" t="n">
        <f aca="false">SUMIFS(tabela_registros[VALOR],tabela_registros[MÊS],$AE$1,tabela_registros[DIA],investirrendavariávelconsolidadofev[[#Headers],[20]],tabela_registros[REGISTRO],DADOS!$N$5,tabela_registros[TIPO],DADOS!$AB$4,tabela_registros[CATEGORIA],investirrendavariávelconsolidadofev[[#This Row],[ATUAL]])</f>
        <v>0</v>
      </c>
      <c r="Y134" s="119" t="n">
        <f aca="false">SUMIFS(tabela_registros[VALOR],tabela_registros[MÊS],$AE$1,tabela_registros[DIA],investirrendavariávelconsolidadofev[[#Headers],[21]],tabela_registros[REGISTRO],DADOS!$N$5,tabela_registros[TIPO],DADOS!$AB$4,tabela_registros[CATEGORIA],investirrendavariávelconsolidadofev[[#This Row],[ATUAL]])</f>
        <v>0</v>
      </c>
      <c r="Z134" s="119" t="n">
        <f aca="false">SUMIFS(tabela_registros[VALOR],tabela_registros[MÊS],$AE$1,tabela_registros[DIA],investirrendavariávelconsolidadofev[[#Headers],[22]],tabela_registros[REGISTRO],DADOS!$N$5,tabela_registros[TIPO],DADOS!$AB$4,tabela_registros[CATEGORIA],investirrendavariávelconsolidadofev[[#This Row],[ATUAL]])</f>
        <v>0</v>
      </c>
      <c r="AA134" s="119" t="n">
        <f aca="false">SUMIFS(tabela_registros[VALOR],tabela_registros[MÊS],$AE$1,tabela_registros[DIA],investirrendavariávelconsolidadofev[[#Headers],[23]],tabela_registros[REGISTRO],DADOS!$N$5,tabela_registros[TIPO],DADOS!$AB$4,tabela_registros[CATEGORIA],investirrendavariávelconsolidadofev[[#This Row],[ATUAL]])</f>
        <v>0</v>
      </c>
      <c r="AB134" s="119" t="n">
        <f aca="false">SUMIFS(tabela_registros[VALOR],tabela_registros[MÊS],$AE$1,tabela_registros[DIA],investirrendavariávelconsolidadofev[[#Headers],[24]],tabela_registros[REGISTRO],DADOS!$N$5,tabela_registros[TIPO],DADOS!$AB$4,tabela_registros[CATEGORIA],investirrendavariávelconsolidadofev[[#This Row],[ATUAL]])</f>
        <v>0</v>
      </c>
      <c r="AC134" s="119" t="n">
        <f aca="false">SUMIFS(tabela_registros[VALOR],tabela_registros[MÊS],$AE$1,tabela_registros[DIA],investirrendavariávelconsolidadofev[[#Headers],[25]],tabela_registros[REGISTRO],DADOS!$N$5,tabela_registros[TIPO],DADOS!$AB$4,tabela_registros[CATEGORIA],investirrendavariávelconsolidadofev[[#This Row],[ATUAL]])</f>
        <v>0</v>
      </c>
      <c r="AD134" s="119" t="n">
        <f aca="false">SUMIFS(tabela_registros[VALOR],tabela_registros[MÊS],$AE$1,tabela_registros[DIA],investirrendavariávelconsolidadofev[[#Headers],[26]],tabela_registros[REGISTRO],DADOS!$N$5,tabela_registros[TIPO],DADOS!$AB$4,tabela_registros[CATEGORIA],investirrendavariávelconsolidadofev[[#This Row],[ATUAL]])</f>
        <v>0</v>
      </c>
      <c r="AE134" s="119" t="n">
        <f aca="false">SUMIFS(tabela_registros[VALOR],tabela_registros[MÊS],$AE$1,tabela_registros[DIA],investirrendavariávelconsolidadofev[[#Headers],[27]],tabela_registros[REGISTRO],DADOS!$N$5,tabela_registros[TIPO],DADOS!$AB$4,tabela_registros[CATEGORIA],investirrendavariávelconsolidadofev[[#This Row],[ATUAL]])</f>
        <v>0</v>
      </c>
      <c r="AF134" s="119" t="n">
        <f aca="false">SUMIFS(tabela_registros[VALOR],tabela_registros[MÊS],$AE$1,tabela_registros[DIA],investirrendavariávelconsolidadofev[[#Headers],[28]],tabela_registros[REGISTRO],DADOS!$N$5,tabela_registros[TIPO],DADOS!$AB$4,tabela_registros[CATEGORIA],investirrendavariávelconsolidadofev[[#This Row],[ATUAL]])</f>
        <v>0</v>
      </c>
      <c r="AG134" s="119" t="n">
        <f aca="false">SUMIFS(tabela_registros[VALOR],tabela_registros[MÊS],$AE$1,tabela_registros[DIA],investirrendavariávelconsolidadofev[[#Headers],[29]],tabela_registros[REGISTRO],DADOS!$N$5,tabela_registros[TIPO],DADOS!$AB$4,tabela_registros[CATEGORIA],investirrendavariávelconsolidadofev[[#This Row],[ATUAL]])</f>
        <v>0</v>
      </c>
      <c r="AH134" s="119" t="n">
        <f aca="false">SUMIFS(tabela_registros[VALOR],tabela_registros[MÊS],$AE$1,tabela_registros[DIA],investirrendavariávelconsolidadofev[[#Headers],[30]],tabela_registros[REGISTRO],DADOS!$N$5,tabela_registros[TIPO],DADOS!$AB$4,tabela_registros[CATEGORIA],investirrendavariávelconsolidadofev[[#This Row],[ATUAL]])</f>
        <v>0</v>
      </c>
      <c r="AI134" s="217" t="n">
        <f aca="false">SUMIFS(tabela_registros[VALOR],tabela_registros[MÊS],$AE$1,tabela_registros[DIA],investirrendavariávelconsolidadofev[[#Headers],[31]],tabela_registros[REGISTRO],DADOS!$N$5,tabela_registros[TIPO],DADOS!$AB$4,tabela_registros[CATEGORIA],investirrendavariávelconsolidadofev[[#This Row],[ATUAL]])</f>
        <v>0</v>
      </c>
      <c r="AJ134" s="149" t="n">
        <f aca="false">SUM(investirrendavariávelconsolidadofev[[#This Row],[1]:[31]])</f>
        <v>0</v>
      </c>
      <c r="AK134" s="165"/>
    </row>
    <row r="135" customFormat="false" ht="19.5" hidden="false" customHeight="true" outlineLevel="0" collapsed="false">
      <c r="B135" s="143"/>
      <c r="C135" s="144" t="str">
        <f aca="false">DADOS!$AF$6</f>
        <v>📝 CONTRATO DE OPÇÕES</v>
      </c>
      <c r="D135" s="145" t="str">
        <f aca="false">IF(investirrendavariávelconsolidadofev[[#This Row],[TOTAL (R$)]]=0,"",IF(OR(investirrendavariávelconsolidadofev[[#This Row],[TOTAL (R$)]]=LARGE($AJ$132:$AJ$141,1),investirrendavariávelconsolidadofev[[#This Row],[TOTAL (R$)]]=LARGE($AJ$132:$AJ$141,2)),DADOS!$I$10,""))</f>
        <v/>
      </c>
      <c r="E135" s="148" t="n">
        <f aca="false">SUMIFS(tabela_registros[VALOR],tabela_registros[MÊS],$AE$1,tabela_registros[DIA],investirrendavariávelconsolidadofev[[#Headers],[1]],tabela_registros[REGISTRO],DADOS!$N$5,tabela_registros[TIPO],DADOS!$AB$4,tabela_registros[CATEGORIA],investirrendavariávelconsolidadofev[[#This Row],[ATUAL]])</f>
        <v>0</v>
      </c>
      <c r="F135" s="119" t="n">
        <f aca="false">SUMIFS(tabela_registros[VALOR],tabela_registros[MÊS],$AE$1,tabela_registros[DIA],investirrendavariávelconsolidadofev[[#Headers],[2]],tabela_registros[REGISTRO],DADOS!$N$5,tabela_registros[TIPO],DADOS!$AB$4,tabela_registros[CATEGORIA],investirrendavariávelconsolidadofev[[#This Row],[ATUAL]])</f>
        <v>0</v>
      </c>
      <c r="G135" s="119" t="n">
        <f aca="false">SUMIFS(tabela_registros[VALOR],tabela_registros[MÊS],$AE$1,tabela_registros[DIA],investirrendavariávelconsolidadofev[[#Headers],[3]],tabela_registros[REGISTRO],DADOS!$N$5,tabela_registros[TIPO],DADOS!$AB$4,tabela_registros[CATEGORIA],investirrendavariávelconsolidadofev[[#This Row],[ATUAL]])</f>
        <v>0</v>
      </c>
      <c r="H135" s="119" t="n">
        <f aca="false">SUMIFS(tabela_registros[VALOR],tabela_registros[MÊS],$AE$1,tabela_registros[DIA],investirrendavariávelconsolidadofev[[#Headers],[4]],tabela_registros[REGISTRO],DADOS!$N$5,tabela_registros[TIPO],DADOS!$AB$4,tabela_registros[CATEGORIA],investirrendavariávelconsolidadofev[[#This Row],[ATUAL]])</f>
        <v>0</v>
      </c>
      <c r="I135" s="119" t="n">
        <f aca="false">SUMIFS(tabela_registros[VALOR],tabela_registros[MÊS],$AE$1,tabela_registros[DIA],investirrendavariávelconsolidadofev[[#Headers],[5]],tabela_registros[REGISTRO],DADOS!$N$5,tabela_registros[TIPO],DADOS!$AB$4,tabela_registros[CATEGORIA],investirrendavariávelconsolidadofev[[#This Row],[ATUAL]])</f>
        <v>0</v>
      </c>
      <c r="J135" s="119" t="n">
        <f aca="false">SUMIFS(tabela_registros[VALOR],tabela_registros[MÊS],$AE$1,tabela_registros[DIA],investirrendavariávelconsolidadofev[[#Headers],[6]],tabela_registros[REGISTRO],DADOS!$N$5,tabela_registros[TIPO],DADOS!$AB$4,tabela_registros[CATEGORIA],investirrendavariávelconsolidadofev[[#This Row],[ATUAL]])</f>
        <v>0</v>
      </c>
      <c r="K135" s="119" t="n">
        <f aca="false">SUMIFS(tabela_registros[VALOR],tabela_registros[MÊS],$AE$1,tabela_registros[DIA],investirrendavariávelconsolidadofev[[#Headers],[7]],tabela_registros[REGISTRO],DADOS!$N$5,tabela_registros[TIPO],DADOS!$AB$4,tabela_registros[CATEGORIA],investirrendavariávelconsolidadofev[[#This Row],[ATUAL]])</f>
        <v>0</v>
      </c>
      <c r="L135" s="119" t="n">
        <f aca="false">SUMIFS(tabela_registros[VALOR],tabela_registros[MÊS],$AE$1,tabela_registros[DIA],investirrendavariávelconsolidadofev[[#Headers],[8]],tabela_registros[REGISTRO],DADOS!$N$5,tabela_registros[TIPO],DADOS!$AB$4,tabela_registros[CATEGORIA],investirrendavariávelconsolidadofev[[#This Row],[ATUAL]])</f>
        <v>0</v>
      </c>
      <c r="M135" s="119" t="n">
        <f aca="false">SUMIFS(tabela_registros[VALOR],tabela_registros[MÊS],$AE$1,tabela_registros[DIA],investirrendavariávelconsolidadofev[[#Headers],[9]],tabela_registros[REGISTRO],DADOS!$N$5,tabela_registros[TIPO],DADOS!$AB$4,tabela_registros[CATEGORIA],investirrendavariávelconsolidadofev[[#This Row],[ATUAL]])</f>
        <v>0</v>
      </c>
      <c r="N135" s="119" t="n">
        <f aca="false">SUMIFS(tabela_registros[VALOR],tabela_registros[MÊS],$AE$1,tabela_registros[DIA],investirrendavariávelconsolidadofev[[#Headers],[10]],tabela_registros[REGISTRO],DADOS!$N$5,tabela_registros[TIPO],DADOS!$AB$4,tabela_registros[CATEGORIA],investirrendavariávelconsolidadofev[[#This Row],[ATUAL]])</f>
        <v>0</v>
      </c>
      <c r="O135" s="119" t="n">
        <f aca="false">SUMIFS(tabela_registros[VALOR],tabela_registros[MÊS],$AE$1,tabela_registros[DIA],investirrendavariávelconsolidadofev[[#Headers],[11]],tabela_registros[REGISTRO],DADOS!$N$5,tabela_registros[TIPO],DADOS!$AB$4,tabela_registros[CATEGORIA],investirrendavariávelconsolidadofev[[#This Row],[ATUAL]])</f>
        <v>0</v>
      </c>
      <c r="P135" s="119" t="n">
        <f aca="false">SUMIFS(tabela_registros[VALOR],tabela_registros[MÊS],$AE$1,tabela_registros[DIA],investirrendavariávelconsolidadofev[[#Headers],[12]],tabela_registros[REGISTRO],DADOS!$N$5,tabela_registros[TIPO],DADOS!$AB$4,tabela_registros[CATEGORIA],investirrendavariávelconsolidadofev[[#This Row],[ATUAL]])</f>
        <v>0</v>
      </c>
      <c r="Q135" s="119" t="n">
        <f aca="false">SUMIFS(tabela_registros[VALOR],tabela_registros[MÊS],$AE$1,tabela_registros[DIA],investirrendavariávelconsolidadofev[[#Headers],[13]],tabela_registros[REGISTRO],DADOS!$N$5,tabela_registros[TIPO],DADOS!$AB$4,tabela_registros[CATEGORIA],investirrendavariávelconsolidadofev[[#This Row],[ATUAL]])</f>
        <v>0</v>
      </c>
      <c r="R135" s="119" t="n">
        <f aca="false">SUMIFS(tabela_registros[VALOR],tabela_registros[MÊS],$AE$1,tabela_registros[DIA],investirrendavariávelconsolidadofev[[#Headers],[14]],tabela_registros[REGISTRO],DADOS!$N$5,tabela_registros[TIPO],DADOS!$AB$4,tabela_registros[CATEGORIA],investirrendavariávelconsolidadofev[[#This Row],[ATUAL]])</f>
        <v>0</v>
      </c>
      <c r="S135" s="119" t="n">
        <f aca="false">SUMIFS(tabela_registros[VALOR],tabela_registros[MÊS],$AE$1,tabela_registros[DIA],investirrendavariávelconsolidadofev[[#Headers],[15]],tabela_registros[REGISTRO],DADOS!$N$5,tabela_registros[TIPO],DADOS!$AB$4,tabela_registros[CATEGORIA],investirrendavariávelconsolidadofev[[#This Row],[ATUAL]])</f>
        <v>0</v>
      </c>
      <c r="T135" s="119" t="n">
        <f aca="false">SUMIFS(tabela_registros[VALOR],tabela_registros[MÊS],$AE$1,tabela_registros[DIA],investirrendavariávelconsolidadofev[[#Headers],[16]],tabela_registros[REGISTRO],DADOS!$N$5,tabela_registros[TIPO],DADOS!$AB$4,tabela_registros[CATEGORIA],investirrendavariávelconsolidadofev[[#This Row],[ATUAL]])</f>
        <v>0</v>
      </c>
      <c r="U135" s="119" t="n">
        <f aca="false">SUMIFS(tabela_registros[VALOR],tabela_registros[MÊS],$AE$1,tabela_registros[DIA],investirrendavariávelconsolidadofev[[#Headers],[17]],tabela_registros[REGISTRO],DADOS!$N$5,tabela_registros[TIPO],DADOS!$AB$4,tabela_registros[CATEGORIA],investirrendavariávelconsolidadofev[[#This Row],[ATUAL]])</f>
        <v>0</v>
      </c>
      <c r="V135" s="119" t="n">
        <f aca="false">SUMIFS(tabela_registros[VALOR],tabela_registros[MÊS],$AE$1,tabela_registros[DIA],investirrendavariávelconsolidadofev[[#Headers],[18]],tabela_registros[REGISTRO],DADOS!$N$5,tabela_registros[TIPO],DADOS!$AB$4,tabela_registros[CATEGORIA],investirrendavariávelconsolidadofev[[#This Row],[ATUAL]])</f>
        <v>0</v>
      </c>
      <c r="W135" s="119" t="n">
        <f aca="false">SUMIFS(tabela_registros[VALOR],tabela_registros[MÊS],$AE$1,tabela_registros[DIA],investirrendavariávelconsolidadofev[[#Headers],[19]],tabela_registros[REGISTRO],DADOS!$N$5,tabela_registros[TIPO],DADOS!$AB$4,tabela_registros[CATEGORIA],investirrendavariávelconsolidadofev[[#This Row],[ATUAL]])</f>
        <v>0</v>
      </c>
      <c r="X135" s="119" t="n">
        <f aca="false">SUMIFS(tabela_registros[VALOR],tabela_registros[MÊS],$AE$1,tabela_registros[DIA],investirrendavariávelconsolidadofev[[#Headers],[20]],tabela_registros[REGISTRO],DADOS!$N$5,tabela_registros[TIPO],DADOS!$AB$4,tabela_registros[CATEGORIA],investirrendavariávelconsolidadofev[[#This Row],[ATUAL]])</f>
        <v>0</v>
      </c>
      <c r="Y135" s="119" t="n">
        <f aca="false">SUMIFS(tabela_registros[VALOR],tabela_registros[MÊS],$AE$1,tabela_registros[DIA],investirrendavariávelconsolidadofev[[#Headers],[21]],tabela_registros[REGISTRO],DADOS!$N$5,tabela_registros[TIPO],DADOS!$AB$4,tabela_registros[CATEGORIA],investirrendavariávelconsolidadofev[[#This Row],[ATUAL]])</f>
        <v>0</v>
      </c>
      <c r="Z135" s="119" t="n">
        <f aca="false">SUMIFS(tabela_registros[VALOR],tabela_registros[MÊS],$AE$1,tabela_registros[DIA],investirrendavariávelconsolidadofev[[#Headers],[22]],tabela_registros[REGISTRO],DADOS!$N$5,tabela_registros[TIPO],DADOS!$AB$4,tabela_registros[CATEGORIA],investirrendavariávelconsolidadofev[[#This Row],[ATUAL]])</f>
        <v>0</v>
      </c>
      <c r="AA135" s="119" t="n">
        <f aca="false">SUMIFS(tabela_registros[VALOR],tabela_registros[MÊS],$AE$1,tabela_registros[DIA],investirrendavariávelconsolidadofev[[#Headers],[23]],tabela_registros[REGISTRO],DADOS!$N$5,tabela_registros[TIPO],DADOS!$AB$4,tabela_registros[CATEGORIA],investirrendavariávelconsolidadofev[[#This Row],[ATUAL]])</f>
        <v>0</v>
      </c>
      <c r="AB135" s="119" t="n">
        <f aca="false">SUMIFS(tabela_registros[VALOR],tabela_registros[MÊS],$AE$1,tabela_registros[DIA],investirrendavariávelconsolidadofev[[#Headers],[24]],tabela_registros[REGISTRO],DADOS!$N$5,tabela_registros[TIPO],DADOS!$AB$4,tabela_registros[CATEGORIA],investirrendavariávelconsolidadofev[[#This Row],[ATUAL]])</f>
        <v>0</v>
      </c>
      <c r="AC135" s="119" t="n">
        <f aca="false">SUMIFS(tabela_registros[VALOR],tabela_registros[MÊS],$AE$1,tabela_registros[DIA],investirrendavariávelconsolidadofev[[#Headers],[25]],tabela_registros[REGISTRO],DADOS!$N$5,tabela_registros[TIPO],DADOS!$AB$4,tabela_registros[CATEGORIA],investirrendavariávelconsolidadofev[[#This Row],[ATUAL]])</f>
        <v>0</v>
      </c>
      <c r="AD135" s="119" t="n">
        <f aca="false">SUMIFS(tabela_registros[VALOR],tabela_registros[MÊS],$AE$1,tabela_registros[DIA],investirrendavariávelconsolidadofev[[#Headers],[26]],tabela_registros[REGISTRO],DADOS!$N$5,tabela_registros[TIPO],DADOS!$AB$4,tabela_registros[CATEGORIA],investirrendavariávelconsolidadofev[[#This Row],[ATUAL]])</f>
        <v>0</v>
      </c>
      <c r="AE135" s="119" t="n">
        <f aca="false">SUMIFS(tabela_registros[VALOR],tabela_registros[MÊS],$AE$1,tabela_registros[DIA],investirrendavariávelconsolidadofev[[#Headers],[27]],tabela_registros[REGISTRO],DADOS!$N$5,tabela_registros[TIPO],DADOS!$AB$4,tabela_registros[CATEGORIA],investirrendavariávelconsolidadofev[[#This Row],[ATUAL]])</f>
        <v>0</v>
      </c>
      <c r="AF135" s="119" t="n">
        <f aca="false">SUMIFS(tabela_registros[VALOR],tabela_registros[MÊS],$AE$1,tabela_registros[DIA],investirrendavariávelconsolidadofev[[#Headers],[28]],tabela_registros[REGISTRO],DADOS!$N$5,tabela_registros[TIPO],DADOS!$AB$4,tabela_registros[CATEGORIA],investirrendavariávelconsolidadofev[[#This Row],[ATUAL]])</f>
        <v>0</v>
      </c>
      <c r="AG135" s="119" t="n">
        <f aca="false">SUMIFS(tabela_registros[VALOR],tabela_registros[MÊS],$AE$1,tabela_registros[DIA],investirrendavariávelconsolidadofev[[#Headers],[29]],tabela_registros[REGISTRO],DADOS!$N$5,tabela_registros[TIPO],DADOS!$AB$4,tabela_registros[CATEGORIA],investirrendavariávelconsolidadofev[[#This Row],[ATUAL]])</f>
        <v>0</v>
      </c>
      <c r="AH135" s="119" t="n">
        <f aca="false">SUMIFS(tabela_registros[VALOR],tabela_registros[MÊS],$AE$1,tabela_registros[DIA],investirrendavariávelconsolidadofev[[#Headers],[30]],tabela_registros[REGISTRO],DADOS!$N$5,tabela_registros[TIPO],DADOS!$AB$4,tabela_registros[CATEGORIA],investirrendavariávelconsolidadofev[[#This Row],[ATUAL]])</f>
        <v>0</v>
      </c>
      <c r="AI135" s="217" t="n">
        <f aca="false">SUMIFS(tabela_registros[VALOR],tabela_registros[MÊS],$AE$1,tabela_registros[DIA],investirrendavariávelconsolidadofev[[#Headers],[31]],tabela_registros[REGISTRO],DADOS!$N$5,tabela_registros[TIPO],DADOS!$AB$4,tabela_registros[CATEGORIA],investirrendavariávelconsolidadofev[[#This Row],[ATUAL]])</f>
        <v>0</v>
      </c>
      <c r="AJ135" s="149" t="n">
        <f aca="false">SUM(investirrendavariávelconsolidadofev[[#This Row],[1]:[31]])</f>
        <v>0</v>
      </c>
      <c r="AK135" s="165"/>
    </row>
    <row r="136" customFormat="false" ht="19.5" hidden="false" customHeight="true" outlineLevel="0" collapsed="false">
      <c r="B136" s="143"/>
      <c r="C136" s="144" t="str">
        <f aca="false">DADOS!$AF$7</f>
        <v>📝 CRIPTOMOEDA</v>
      </c>
      <c r="D136" s="145" t="str">
        <f aca="false">IF(investirrendavariávelconsolidadofev[[#This Row],[TOTAL (R$)]]=0,"",IF(OR(investirrendavariávelconsolidadofev[[#This Row],[TOTAL (R$)]]=LARGE($AJ$132:$AJ$141,1),investirrendavariávelconsolidadofev[[#This Row],[TOTAL (R$)]]=LARGE($AJ$132:$AJ$141,2)),DADOS!$I$10,""))</f>
        <v/>
      </c>
      <c r="E136" s="148" t="n">
        <f aca="false">SUMIFS(tabela_registros[VALOR],tabela_registros[MÊS],$AE$1,tabela_registros[DIA],investirrendavariávelconsolidadofev[[#Headers],[1]],tabela_registros[REGISTRO],DADOS!$N$5,tabela_registros[TIPO],DADOS!$AB$4,tabela_registros[CATEGORIA],investirrendavariávelconsolidadofev[[#This Row],[ATUAL]])</f>
        <v>0</v>
      </c>
      <c r="F136" s="119" t="n">
        <f aca="false">SUMIFS(tabela_registros[VALOR],tabela_registros[MÊS],$AE$1,tabela_registros[DIA],investirrendavariávelconsolidadofev[[#Headers],[2]],tabela_registros[REGISTRO],DADOS!$N$5,tabela_registros[TIPO],DADOS!$AB$4,tabela_registros[CATEGORIA],investirrendavariávelconsolidadofev[[#This Row],[ATUAL]])</f>
        <v>0</v>
      </c>
      <c r="G136" s="119" t="n">
        <f aca="false">SUMIFS(tabela_registros[VALOR],tabela_registros[MÊS],$AE$1,tabela_registros[DIA],investirrendavariávelconsolidadofev[[#Headers],[3]],tabela_registros[REGISTRO],DADOS!$N$5,tabela_registros[TIPO],DADOS!$AB$4,tabela_registros[CATEGORIA],investirrendavariávelconsolidadofev[[#This Row],[ATUAL]])</f>
        <v>0</v>
      </c>
      <c r="H136" s="119" t="n">
        <f aca="false">SUMIFS(tabela_registros[VALOR],tabela_registros[MÊS],$AE$1,tabela_registros[DIA],investirrendavariávelconsolidadofev[[#Headers],[4]],tabela_registros[REGISTRO],DADOS!$N$5,tabela_registros[TIPO],DADOS!$AB$4,tabela_registros[CATEGORIA],investirrendavariávelconsolidadofev[[#This Row],[ATUAL]])</f>
        <v>0</v>
      </c>
      <c r="I136" s="119" t="n">
        <f aca="false">SUMIFS(tabela_registros[VALOR],tabela_registros[MÊS],$AE$1,tabela_registros[DIA],investirrendavariávelconsolidadofev[[#Headers],[5]],tabela_registros[REGISTRO],DADOS!$N$5,tabela_registros[TIPO],DADOS!$AB$4,tabela_registros[CATEGORIA],investirrendavariávelconsolidadofev[[#This Row],[ATUAL]])</f>
        <v>0</v>
      </c>
      <c r="J136" s="119" t="n">
        <f aca="false">SUMIFS(tabela_registros[VALOR],tabela_registros[MÊS],$AE$1,tabela_registros[DIA],investirrendavariávelconsolidadofev[[#Headers],[6]],tabela_registros[REGISTRO],DADOS!$N$5,tabela_registros[TIPO],DADOS!$AB$4,tabela_registros[CATEGORIA],investirrendavariávelconsolidadofev[[#This Row],[ATUAL]])</f>
        <v>0</v>
      </c>
      <c r="K136" s="119" t="n">
        <f aca="false">SUMIFS(tabela_registros[VALOR],tabela_registros[MÊS],$AE$1,tabela_registros[DIA],investirrendavariávelconsolidadofev[[#Headers],[7]],tabela_registros[REGISTRO],DADOS!$N$5,tabela_registros[TIPO],DADOS!$AB$4,tabela_registros[CATEGORIA],investirrendavariávelconsolidadofev[[#This Row],[ATUAL]])</f>
        <v>0</v>
      </c>
      <c r="L136" s="119" t="n">
        <f aca="false">SUMIFS(tabela_registros[VALOR],tabela_registros[MÊS],$AE$1,tabela_registros[DIA],investirrendavariávelconsolidadofev[[#Headers],[8]],tabela_registros[REGISTRO],DADOS!$N$5,tabela_registros[TIPO],DADOS!$AB$4,tabela_registros[CATEGORIA],investirrendavariávelconsolidadofev[[#This Row],[ATUAL]])</f>
        <v>0</v>
      </c>
      <c r="M136" s="119" t="n">
        <f aca="false">SUMIFS(tabela_registros[VALOR],tabela_registros[MÊS],$AE$1,tabela_registros[DIA],investirrendavariávelconsolidadofev[[#Headers],[9]],tabela_registros[REGISTRO],DADOS!$N$5,tabela_registros[TIPO],DADOS!$AB$4,tabela_registros[CATEGORIA],investirrendavariávelconsolidadofev[[#This Row],[ATUAL]])</f>
        <v>0</v>
      </c>
      <c r="N136" s="119" t="n">
        <f aca="false">SUMIFS(tabela_registros[VALOR],tabela_registros[MÊS],$AE$1,tabela_registros[DIA],investirrendavariávelconsolidadofev[[#Headers],[10]],tabela_registros[REGISTRO],DADOS!$N$5,tabela_registros[TIPO],DADOS!$AB$4,tabela_registros[CATEGORIA],investirrendavariávelconsolidadofev[[#This Row],[ATUAL]])</f>
        <v>0</v>
      </c>
      <c r="O136" s="119" t="n">
        <f aca="false">SUMIFS(tabela_registros[VALOR],tabela_registros[MÊS],$AE$1,tabela_registros[DIA],investirrendavariávelconsolidadofev[[#Headers],[11]],tabela_registros[REGISTRO],DADOS!$N$5,tabela_registros[TIPO],DADOS!$AB$4,tabela_registros[CATEGORIA],investirrendavariávelconsolidadofev[[#This Row],[ATUAL]])</f>
        <v>0</v>
      </c>
      <c r="P136" s="119" t="n">
        <f aca="false">SUMIFS(tabela_registros[VALOR],tabela_registros[MÊS],$AE$1,tabela_registros[DIA],investirrendavariávelconsolidadofev[[#Headers],[12]],tabela_registros[REGISTRO],DADOS!$N$5,tabela_registros[TIPO],DADOS!$AB$4,tabela_registros[CATEGORIA],investirrendavariávelconsolidadofev[[#This Row],[ATUAL]])</f>
        <v>0</v>
      </c>
      <c r="Q136" s="119" t="n">
        <f aca="false">SUMIFS(tabela_registros[VALOR],tabela_registros[MÊS],$AE$1,tabela_registros[DIA],investirrendavariávelconsolidadofev[[#Headers],[13]],tabela_registros[REGISTRO],DADOS!$N$5,tabela_registros[TIPO],DADOS!$AB$4,tabela_registros[CATEGORIA],investirrendavariávelconsolidadofev[[#This Row],[ATUAL]])</f>
        <v>0</v>
      </c>
      <c r="R136" s="119" t="n">
        <f aca="false">SUMIFS(tabela_registros[VALOR],tabela_registros[MÊS],$AE$1,tabela_registros[DIA],investirrendavariávelconsolidadofev[[#Headers],[14]],tabela_registros[REGISTRO],DADOS!$N$5,tabela_registros[TIPO],DADOS!$AB$4,tabela_registros[CATEGORIA],investirrendavariávelconsolidadofev[[#This Row],[ATUAL]])</f>
        <v>0</v>
      </c>
      <c r="S136" s="119" t="n">
        <f aca="false">SUMIFS(tabela_registros[VALOR],tabela_registros[MÊS],$AE$1,tabela_registros[DIA],investirrendavariávelconsolidadofev[[#Headers],[15]],tabela_registros[REGISTRO],DADOS!$N$5,tabela_registros[TIPO],DADOS!$AB$4,tabela_registros[CATEGORIA],investirrendavariávelconsolidadofev[[#This Row],[ATUAL]])</f>
        <v>0</v>
      </c>
      <c r="T136" s="119" t="n">
        <f aca="false">SUMIFS(tabela_registros[VALOR],tabela_registros[MÊS],$AE$1,tabela_registros[DIA],investirrendavariávelconsolidadofev[[#Headers],[16]],tabela_registros[REGISTRO],DADOS!$N$5,tabela_registros[TIPO],DADOS!$AB$4,tabela_registros[CATEGORIA],investirrendavariávelconsolidadofev[[#This Row],[ATUAL]])</f>
        <v>0</v>
      </c>
      <c r="U136" s="119" t="n">
        <f aca="false">SUMIFS(tabela_registros[VALOR],tabela_registros[MÊS],$AE$1,tabela_registros[DIA],investirrendavariávelconsolidadofev[[#Headers],[17]],tabela_registros[REGISTRO],DADOS!$N$5,tabela_registros[TIPO],DADOS!$AB$4,tabela_registros[CATEGORIA],investirrendavariávelconsolidadofev[[#This Row],[ATUAL]])</f>
        <v>0</v>
      </c>
      <c r="V136" s="119" t="n">
        <f aca="false">SUMIFS(tabela_registros[VALOR],tabela_registros[MÊS],$AE$1,tabela_registros[DIA],investirrendavariávelconsolidadofev[[#Headers],[18]],tabela_registros[REGISTRO],DADOS!$N$5,tabela_registros[TIPO],DADOS!$AB$4,tabela_registros[CATEGORIA],investirrendavariávelconsolidadofev[[#This Row],[ATUAL]])</f>
        <v>0</v>
      </c>
      <c r="W136" s="119" t="n">
        <f aca="false">SUMIFS(tabela_registros[VALOR],tabela_registros[MÊS],$AE$1,tabela_registros[DIA],investirrendavariávelconsolidadofev[[#Headers],[19]],tabela_registros[REGISTRO],DADOS!$N$5,tabela_registros[TIPO],DADOS!$AB$4,tabela_registros[CATEGORIA],investirrendavariávelconsolidadofev[[#This Row],[ATUAL]])</f>
        <v>0</v>
      </c>
      <c r="X136" s="119" t="n">
        <f aca="false">SUMIFS(tabela_registros[VALOR],tabela_registros[MÊS],$AE$1,tabela_registros[DIA],investirrendavariávelconsolidadofev[[#Headers],[20]],tabela_registros[REGISTRO],DADOS!$N$5,tabela_registros[TIPO],DADOS!$AB$4,tabela_registros[CATEGORIA],investirrendavariávelconsolidadofev[[#This Row],[ATUAL]])</f>
        <v>0</v>
      </c>
      <c r="Y136" s="119" t="n">
        <f aca="false">SUMIFS(tabela_registros[VALOR],tabela_registros[MÊS],$AE$1,tabela_registros[DIA],investirrendavariávelconsolidadofev[[#Headers],[21]],tabela_registros[REGISTRO],DADOS!$N$5,tabela_registros[TIPO],DADOS!$AB$4,tabela_registros[CATEGORIA],investirrendavariávelconsolidadofev[[#This Row],[ATUAL]])</f>
        <v>0</v>
      </c>
      <c r="Z136" s="119" t="n">
        <f aca="false">SUMIFS(tabela_registros[VALOR],tabela_registros[MÊS],$AE$1,tabela_registros[DIA],investirrendavariávelconsolidadofev[[#Headers],[22]],tabela_registros[REGISTRO],DADOS!$N$5,tabela_registros[TIPO],DADOS!$AB$4,tabela_registros[CATEGORIA],investirrendavariávelconsolidadofev[[#This Row],[ATUAL]])</f>
        <v>0</v>
      </c>
      <c r="AA136" s="119" t="n">
        <f aca="false">SUMIFS(tabela_registros[VALOR],tabela_registros[MÊS],$AE$1,tabela_registros[DIA],investirrendavariávelconsolidadofev[[#Headers],[23]],tabela_registros[REGISTRO],DADOS!$N$5,tabela_registros[TIPO],DADOS!$AB$4,tabela_registros[CATEGORIA],investirrendavariávelconsolidadofev[[#This Row],[ATUAL]])</f>
        <v>0</v>
      </c>
      <c r="AB136" s="119" t="n">
        <f aca="false">SUMIFS(tabela_registros[VALOR],tabela_registros[MÊS],$AE$1,tabela_registros[DIA],investirrendavariávelconsolidadofev[[#Headers],[24]],tabela_registros[REGISTRO],DADOS!$N$5,tabela_registros[TIPO],DADOS!$AB$4,tabela_registros[CATEGORIA],investirrendavariávelconsolidadofev[[#This Row],[ATUAL]])</f>
        <v>0</v>
      </c>
      <c r="AC136" s="119" t="n">
        <f aca="false">SUMIFS(tabela_registros[VALOR],tabela_registros[MÊS],$AE$1,tabela_registros[DIA],investirrendavariávelconsolidadofev[[#Headers],[25]],tabela_registros[REGISTRO],DADOS!$N$5,tabela_registros[TIPO],DADOS!$AB$4,tabela_registros[CATEGORIA],investirrendavariávelconsolidadofev[[#This Row],[ATUAL]])</f>
        <v>0</v>
      </c>
      <c r="AD136" s="119" t="n">
        <f aca="false">SUMIFS(tabela_registros[VALOR],tabela_registros[MÊS],$AE$1,tabela_registros[DIA],investirrendavariávelconsolidadofev[[#Headers],[26]],tabela_registros[REGISTRO],DADOS!$N$5,tabela_registros[TIPO],DADOS!$AB$4,tabela_registros[CATEGORIA],investirrendavariávelconsolidadofev[[#This Row],[ATUAL]])</f>
        <v>0</v>
      </c>
      <c r="AE136" s="119" t="n">
        <f aca="false">SUMIFS(tabela_registros[VALOR],tabela_registros[MÊS],$AE$1,tabela_registros[DIA],investirrendavariávelconsolidadofev[[#Headers],[27]],tabela_registros[REGISTRO],DADOS!$N$5,tabela_registros[TIPO],DADOS!$AB$4,tabela_registros[CATEGORIA],investirrendavariávelconsolidadofev[[#This Row],[ATUAL]])</f>
        <v>0</v>
      </c>
      <c r="AF136" s="119" t="n">
        <f aca="false">SUMIFS(tabela_registros[VALOR],tabela_registros[MÊS],$AE$1,tabela_registros[DIA],investirrendavariávelconsolidadofev[[#Headers],[28]],tabela_registros[REGISTRO],DADOS!$N$5,tabela_registros[TIPO],DADOS!$AB$4,tabela_registros[CATEGORIA],investirrendavariávelconsolidadofev[[#This Row],[ATUAL]])</f>
        <v>0</v>
      </c>
      <c r="AG136" s="119" t="n">
        <f aca="false">SUMIFS(tabela_registros[VALOR],tabela_registros[MÊS],$AE$1,tabela_registros[DIA],investirrendavariávelconsolidadofev[[#Headers],[29]],tabela_registros[REGISTRO],DADOS!$N$5,tabela_registros[TIPO],DADOS!$AB$4,tabela_registros[CATEGORIA],investirrendavariávelconsolidadofev[[#This Row],[ATUAL]])</f>
        <v>0</v>
      </c>
      <c r="AH136" s="119" t="n">
        <f aca="false">SUMIFS(tabela_registros[VALOR],tabela_registros[MÊS],$AE$1,tabela_registros[DIA],investirrendavariávelconsolidadofev[[#Headers],[30]],tabela_registros[REGISTRO],DADOS!$N$5,tabela_registros[TIPO],DADOS!$AB$4,tabela_registros[CATEGORIA],investirrendavariávelconsolidadofev[[#This Row],[ATUAL]])</f>
        <v>0</v>
      </c>
      <c r="AI136" s="217" t="n">
        <f aca="false">SUMIFS(tabela_registros[VALOR],tabela_registros[MÊS],$AE$1,tabela_registros[DIA],investirrendavariávelconsolidadofev[[#Headers],[31]],tabela_registros[REGISTRO],DADOS!$N$5,tabela_registros[TIPO],DADOS!$AB$4,tabela_registros[CATEGORIA],investirrendavariávelconsolidadofev[[#This Row],[ATUAL]])</f>
        <v>0</v>
      </c>
      <c r="AJ136" s="149" t="n">
        <f aca="false">SUM(investirrendavariávelconsolidadofev[[#This Row],[1]:[31]])</f>
        <v>0</v>
      </c>
      <c r="AK136" s="165"/>
    </row>
    <row r="137" customFormat="false" ht="19.5" hidden="false" customHeight="true" outlineLevel="0" collapsed="false">
      <c r="B137" s="143"/>
      <c r="C137" s="144" t="str">
        <f aca="false">DADOS!$AF$8</f>
        <v>📝 ETF</v>
      </c>
      <c r="D137" s="145" t="str">
        <f aca="false">IF(investirrendavariávelconsolidadofev[[#This Row],[TOTAL (R$)]]=0,"",IF(OR(investirrendavariávelconsolidadofev[[#This Row],[TOTAL (R$)]]=LARGE($AJ$132:$AJ$141,1),investirrendavariávelconsolidadofev[[#This Row],[TOTAL (R$)]]=LARGE($AJ$132:$AJ$141,2)),DADOS!$I$10,""))</f>
        <v/>
      </c>
      <c r="E137" s="148" t="n">
        <f aca="false">SUMIFS(tabela_registros[VALOR],tabela_registros[MÊS],$AE$1,tabela_registros[DIA],investirrendavariávelconsolidadofev[[#Headers],[1]],tabela_registros[REGISTRO],DADOS!$N$5,tabela_registros[TIPO],DADOS!$AB$4,tabela_registros[CATEGORIA],investirrendavariávelconsolidadofev[[#This Row],[ATUAL]])</f>
        <v>0</v>
      </c>
      <c r="F137" s="119" t="n">
        <f aca="false">SUMIFS(tabela_registros[VALOR],tabela_registros[MÊS],$AE$1,tabela_registros[DIA],investirrendavariávelconsolidadofev[[#Headers],[2]],tabela_registros[REGISTRO],DADOS!$N$5,tabela_registros[TIPO],DADOS!$AB$4,tabela_registros[CATEGORIA],investirrendavariávelconsolidadofev[[#This Row],[ATUAL]])</f>
        <v>0</v>
      </c>
      <c r="G137" s="119" t="n">
        <f aca="false">SUMIFS(tabela_registros[VALOR],tabela_registros[MÊS],$AE$1,tabela_registros[DIA],investirrendavariávelconsolidadofev[[#Headers],[3]],tabela_registros[REGISTRO],DADOS!$N$5,tabela_registros[TIPO],DADOS!$AB$4,tabela_registros[CATEGORIA],investirrendavariávelconsolidadofev[[#This Row],[ATUAL]])</f>
        <v>0</v>
      </c>
      <c r="H137" s="119" t="n">
        <f aca="false">SUMIFS(tabela_registros[VALOR],tabela_registros[MÊS],$AE$1,tabela_registros[DIA],investirrendavariávelconsolidadofev[[#Headers],[4]],tabela_registros[REGISTRO],DADOS!$N$5,tabela_registros[TIPO],DADOS!$AB$4,tabela_registros[CATEGORIA],investirrendavariávelconsolidadofev[[#This Row],[ATUAL]])</f>
        <v>0</v>
      </c>
      <c r="I137" s="119" t="n">
        <f aca="false">SUMIFS(tabela_registros[VALOR],tabela_registros[MÊS],$AE$1,tabela_registros[DIA],investirrendavariávelconsolidadofev[[#Headers],[5]],tabela_registros[REGISTRO],DADOS!$N$5,tabela_registros[TIPO],DADOS!$AB$4,tabela_registros[CATEGORIA],investirrendavariávelconsolidadofev[[#This Row],[ATUAL]])</f>
        <v>0</v>
      </c>
      <c r="J137" s="119" t="n">
        <f aca="false">SUMIFS(tabela_registros[VALOR],tabela_registros[MÊS],$AE$1,tabela_registros[DIA],investirrendavariávelconsolidadofev[[#Headers],[6]],tabela_registros[REGISTRO],DADOS!$N$5,tabela_registros[TIPO],DADOS!$AB$4,tabela_registros[CATEGORIA],investirrendavariávelconsolidadofev[[#This Row],[ATUAL]])</f>
        <v>0</v>
      </c>
      <c r="K137" s="119" t="n">
        <f aca="false">SUMIFS(tabela_registros[VALOR],tabela_registros[MÊS],$AE$1,tabela_registros[DIA],investirrendavariávelconsolidadofev[[#Headers],[7]],tabela_registros[REGISTRO],DADOS!$N$5,tabela_registros[TIPO],DADOS!$AB$4,tabela_registros[CATEGORIA],investirrendavariávelconsolidadofev[[#This Row],[ATUAL]])</f>
        <v>0</v>
      </c>
      <c r="L137" s="119" t="n">
        <f aca="false">SUMIFS(tabela_registros[VALOR],tabela_registros[MÊS],$AE$1,tabela_registros[DIA],investirrendavariávelconsolidadofev[[#Headers],[8]],tabela_registros[REGISTRO],DADOS!$N$5,tabela_registros[TIPO],DADOS!$AB$4,tabela_registros[CATEGORIA],investirrendavariávelconsolidadofev[[#This Row],[ATUAL]])</f>
        <v>0</v>
      </c>
      <c r="M137" s="119" t="n">
        <f aca="false">SUMIFS(tabela_registros[VALOR],tabela_registros[MÊS],$AE$1,tabela_registros[DIA],investirrendavariávelconsolidadofev[[#Headers],[9]],tabela_registros[REGISTRO],DADOS!$N$5,tabela_registros[TIPO],DADOS!$AB$4,tabela_registros[CATEGORIA],investirrendavariávelconsolidadofev[[#This Row],[ATUAL]])</f>
        <v>0</v>
      </c>
      <c r="N137" s="119" t="n">
        <f aca="false">SUMIFS(tabela_registros[VALOR],tabela_registros[MÊS],$AE$1,tabela_registros[DIA],investirrendavariávelconsolidadofev[[#Headers],[10]],tabela_registros[REGISTRO],DADOS!$N$5,tabela_registros[TIPO],DADOS!$AB$4,tabela_registros[CATEGORIA],investirrendavariávelconsolidadofev[[#This Row],[ATUAL]])</f>
        <v>0</v>
      </c>
      <c r="O137" s="119" t="n">
        <f aca="false">SUMIFS(tabela_registros[VALOR],tabela_registros[MÊS],$AE$1,tabela_registros[DIA],investirrendavariávelconsolidadofev[[#Headers],[11]],tabela_registros[REGISTRO],DADOS!$N$5,tabela_registros[TIPO],DADOS!$AB$4,tabela_registros[CATEGORIA],investirrendavariávelconsolidadofev[[#This Row],[ATUAL]])</f>
        <v>0</v>
      </c>
      <c r="P137" s="119" t="n">
        <f aca="false">SUMIFS(tabela_registros[VALOR],tabela_registros[MÊS],$AE$1,tabela_registros[DIA],investirrendavariávelconsolidadofev[[#Headers],[12]],tabela_registros[REGISTRO],DADOS!$N$5,tabela_registros[TIPO],DADOS!$AB$4,tabela_registros[CATEGORIA],investirrendavariávelconsolidadofev[[#This Row],[ATUAL]])</f>
        <v>0</v>
      </c>
      <c r="Q137" s="119" t="n">
        <f aca="false">SUMIFS(tabela_registros[VALOR],tabela_registros[MÊS],$AE$1,tabela_registros[DIA],investirrendavariávelconsolidadofev[[#Headers],[13]],tabela_registros[REGISTRO],DADOS!$N$5,tabela_registros[TIPO],DADOS!$AB$4,tabela_registros[CATEGORIA],investirrendavariávelconsolidadofev[[#This Row],[ATUAL]])</f>
        <v>0</v>
      </c>
      <c r="R137" s="119" t="n">
        <f aca="false">SUMIFS(tabela_registros[VALOR],tabela_registros[MÊS],$AE$1,tabela_registros[DIA],investirrendavariávelconsolidadofev[[#Headers],[14]],tabela_registros[REGISTRO],DADOS!$N$5,tabela_registros[TIPO],DADOS!$AB$4,tabela_registros[CATEGORIA],investirrendavariávelconsolidadofev[[#This Row],[ATUAL]])</f>
        <v>0</v>
      </c>
      <c r="S137" s="119" t="n">
        <f aca="false">SUMIFS(tabela_registros[VALOR],tabela_registros[MÊS],$AE$1,tabela_registros[DIA],investirrendavariávelconsolidadofev[[#Headers],[15]],tabela_registros[REGISTRO],DADOS!$N$5,tabela_registros[TIPO],DADOS!$AB$4,tabela_registros[CATEGORIA],investirrendavariávelconsolidadofev[[#This Row],[ATUAL]])</f>
        <v>0</v>
      </c>
      <c r="T137" s="119" t="n">
        <f aca="false">SUMIFS(tabela_registros[VALOR],tabela_registros[MÊS],$AE$1,tabela_registros[DIA],investirrendavariávelconsolidadofev[[#Headers],[16]],tabela_registros[REGISTRO],DADOS!$N$5,tabela_registros[TIPO],DADOS!$AB$4,tabela_registros[CATEGORIA],investirrendavariávelconsolidadofev[[#This Row],[ATUAL]])</f>
        <v>0</v>
      </c>
      <c r="U137" s="119" t="n">
        <f aca="false">SUMIFS(tabela_registros[VALOR],tabela_registros[MÊS],$AE$1,tabela_registros[DIA],investirrendavariávelconsolidadofev[[#Headers],[17]],tabela_registros[REGISTRO],DADOS!$N$5,tabela_registros[TIPO],DADOS!$AB$4,tabela_registros[CATEGORIA],investirrendavariávelconsolidadofev[[#This Row],[ATUAL]])</f>
        <v>0</v>
      </c>
      <c r="V137" s="119" t="n">
        <f aca="false">SUMIFS(tabela_registros[VALOR],tabela_registros[MÊS],$AE$1,tabela_registros[DIA],investirrendavariávelconsolidadofev[[#Headers],[18]],tabela_registros[REGISTRO],DADOS!$N$5,tabela_registros[TIPO],DADOS!$AB$4,tabela_registros[CATEGORIA],investirrendavariávelconsolidadofev[[#This Row],[ATUAL]])</f>
        <v>0</v>
      </c>
      <c r="W137" s="119" t="n">
        <f aca="false">SUMIFS(tabela_registros[VALOR],tabela_registros[MÊS],$AE$1,tabela_registros[DIA],investirrendavariávelconsolidadofev[[#Headers],[19]],tabela_registros[REGISTRO],DADOS!$N$5,tabela_registros[TIPO],DADOS!$AB$4,tabela_registros[CATEGORIA],investirrendavariávelconsolidadofev[[#This Row],[ATUAL]])</f>
        <v>0</v>
      </c>
      <c r="X137" s="119" t="n">
        <f aca="false">SUMIFS(tabela_registros[VALOR],tabela_registros[MÊS],$AE$1,tabela_registros[DIA],investirrendavariávelconsolidadofev[[#Headers],[20]],tabela_registros[REGISTRO],DADOS!$N$5,tabela_registros[TIPO],DADOS!$AB$4,tabela_registros[CATEGORIA],investirrendavariávelconsolidadofev[[#This Row],[ATUAL]])</f>
        <v>0</v>
      </c>
      <c r="Y137" s="119" t="n">
        <f aca="false">SUMIFS(tabela_registros[VALOR],tabela_registros[MÊS],$AE$1,tabela_registros[DIA],investirrendavariávelconsolidadofev[[#Headers],[21]],tabela_registros[REGISTRO],DADOS!$N$5,tabela_registros[TIPO],DADOS!$AB$4,tabela_registros[CATEGORIA],investirrendavariávelconsolidadofev[[#This Row],[ATUAL]])</f>
        <v>0</v>
      </c>
      <c r="Z137" s="119" t="n">
        <f aca="false">SUMIFS(tabela_registros[VALOR],tabela_registros[MÊS],$AE$1,tabela_registros[DIA],investirrendavariávelconsolidadofev[[#Headers],[22]],tabela_registros[REGISTRO],DADOS!$N$5,tabela_registros[TIPO],DADOS!$AB$4,tabela_registros[CATEGORIA],investirrendavariávelconsolidadofev[[#This Row],[ATUAL]])</f>
        <v>0</v>
      </c>
      <c r="AA137" s="119" t="n">
        <f aca="false">SUMIFS(tabela_registros[VALOR],tabela_registros[MÊS],$AE$1,tabela_registros[DIA],investirrendavariávelconsolidadofev[[#Headers],[23]],tabela_registros[REGISTRO],DADOS!$N$5,tabela_registros[TIPO],DADOS!$AB$4,tabela_registros[CATEGORIA],investirrendavariávelconsolidadofev[[#This Row],[ATUAL]])</f>
        <v>0</v>
      </c>
      <c r="AB137" s="119" t="n">
        <f aca="false">SUMIFS(tabela_registros[VALOR],tabela_registros[MÊS],$AE$1,tabela_registros[DIA],investirrendavariávelconsolidadofev[[#Headers],[24]],tabela_registros[REGISTRO],DADOS!$N$5,tabela_registros[TIPO],DADOS!$AB$4,tabela_registros[CATEGORIA],investirrendavariávelconsolidadofev[[#This Row],[ATUAL]])</f>
        <v>0</v>
      </c>
      <c r="AC137" s="119" t="n">
        <f aca="false">SUMIFS(tabela_registros[VALOR],tabela_registros[MÊS],$AE$1,tabela_registros[DIA],investirrendavariávelconsolidadofev[[#Headers],[25]],tabela_registros[REGISTRO],DADOS!$N$5,tabela_registros[TIPO],DADOS!$AB$4,tabela_registros[CATEGORIA],investirrendavariávelconsolidadofev[[#This Row],[ATUAL]])</f>
        <v>0</v>
      </c>
      <c r="AD137" s="119" t="n">
        <f aca="false">SUMIFS(tabela_registros[VALOR],tabela_registros[MÊS],$AE$1,tabela_registros[DIA],investirrendavariávelconsolidadofev[[#Headers],[26]],tabela_registros[REGISTRO],DADOS!$N$5,tabela_registros[TIPO],DADOS!$AB$4,tabela_registros[CATEGORIA],investirrendavariávelconsolidadofev[[#This Row],[ATUAL]])</f>
        <v>0</v>
      </c>
      <c r="AE137" s="119" t="n">
        <f aca="false">SUMIFS(tabela_registros[VALOR],tabela_registros[MÊS],$AE$1,tabela_registros[DIA],investirrendavariávelconsolidadofev[[#Headers],[27]],tabela_registros[REGISTRO],DADOS!$N$5,tabela_registros[TIPO],DADOS!$AB$4,tabela_registros[CATEGORIA],investirrendavariávelconsolidadofev[[#This Row],[ATUAL]])</f>
        <v>0</v>
      </c>
      <c r="AF137" s="119" t="n">
        <f aca="false">SUMIFS(tabela_registros[VALOR],tabela_registros[MÊS],$AE$1,tabela_registros[DIA],investirrendavariávelconsolidadofev[[#Headers],[28]],tabela_registros[REGISTRO],DADOS!$N$5,tabela_registros[TIPO],DADOS!$AB$4,tabela_registros[CATEGORIA],investirrendavariávelconsolidadofev[[#This Row],[ATUAL]])</f>
        <v>0</v>
      </c>
      <c r="AG137" s="119" t="n">
        <f aca="false">SUMIFS(tabela_registros[VALOR],tabela_registros[MÊS],$AE$1,tabela_registros[DIA],investirrendavariávelconsolidadofev[[#Headers],[29]],tabela_registros[REGISTRO],DADOS!$N$5,tabela_registros[TIPO],DADOS!$AB$4,tabela_registros[CATEGORIA],investirrendavariávelconsolidadofev[[#This Row],[ATUAL]])</f>
        <v>0</v>
      </c>
      <c r="AH137" s="119" t="n">
        <f aca="false">SUMIFS(tabela_registros[VALOR],tabela_registros[MÊS],$AE$1,tabela_registros[DIA],investirrendavariávelconsolidadofev[[#Headers],[30]],tabela_registros[REGISTRO],DADOS!$N$5,tabela_registros[TIPO],DADOS!$AB$4,tabela_registros[CATEGORIA],investirrendavariávelconsolidadofev[[#This Row],[ATUAL]])</f>
        <v>0</v>
      </c>
      <c r="AI137" s="217" t="n">
        <f aca="false">SUMIFS(tabela_registros[VALOR],tabela_registros[MÊS],$AE$1,tabela_registros[DIA],investirrendavariávelconsolidadofev[[#Headers],[31]],tabela_registros[REGISTRO],DADOS!$N$5,tabela_registros[TIPO],DADOS!$AB$4,tabela_registros[CATEGORIA],investirrendavariávelconsolidadofev[[#This Row],[ATUAL]])</f>
        <v>0</v>
      </c>
      <c r="AJ137" s="149" t="n">
        <f aca="false">SUM(investirrendavariávelconsolidadofev[[#This Row],[1]:[31]])</f>
        <v>0</v>
      </c>
      <c r="AK137" s="165"/>
    </row>
    <row r="138" customFormat="false" ht="19.5" hidden="false" customHeight="true" outlineLevel="0" collapsed="false">
      <c r="B138" s="143"/>
      <c r="C138" s="144" t="str">
        <f aca="false">DADOS!$AF$9</f>
        <v>📝 EXTERIOR</v>
      </c>
      <c r="D138" s="145" t="str">
        <f aca="false">IF(investirrendavariávelconsolidadofev[[#This Row],[TOTAL (R$)]]=0,"",IF(OR(investirrendavariávelconsolidadofev[[#This Row],[TOTAL (R$)]]=LARGE($AJ$132:$AJ$141,1),investirrendavariávelconsolidadofev[[#This Row],[TOTAL (R$)]]=LARGE($AJ$132:$AJ$141,2)),DADOS!$I$10,""))</f>
        <v/>
      </c>
      <c r="E138" s="148" t="n">
        <f aca="false">SUMIFS(tabela_registros[VALOR],tabela_registros[MÊS],$AE$1,tabela_registros[DIA],investirrendavariávelconsolidadofev[[#Headers],[1]],tabela_registros[REGISTRO],DADOS!$N$5,tabela_registros[TIPO],DADOS!$AB$4,tabela_registros[CATEGORIA],investirrendavariávelconsolidadofev[[#This Row],[ATUAL]])</f>
        <v>0</v>
      </c>
      <c r="F138" s="119" t="n">
        <f aca="false">SUMIFS(tabela_registros[VALOR],tabela_registros[MÊS],$AE$1,tabela_registros[DIA],investirrendavariávelconsolidadofev[[#Headers],[2]],tabela_registros[REGISTRO],DADOS!$N$5,tabela_registros[TIPO],DADOS!$AB$4,tabela_registros[CATEGORIA],investirrendavariávelconsolidadofev[[#This Row],[ATUAL]])</f>
        <v>0</v>
      </c>
      <c r="G138" s="119" t="n">
        <f aca="false">SUMIFS(tabela_registros[VALOR],tabela_registros[MÊS],$AE$1,tabela_registros[DIA],investirrendavariávelconsolidadofev[[#Headers],[3]],tabela_registros[REGISTRO],DADOS!$N$5,tabela_registros[TIPO],DADOS!$AB$4,tabela_registros[CATEGORIA],investirrendavariávelconsolidadofev[[#This Row],[ATUAL]])</f>
        <v>0</v>
      </c>
      <c r="H138" s="119" t="n">
        <f aca="false">SUMIFS(tabela_registros[VALOR],tabela_registros[MÊS],$AE$1,tabela_registros[DIA],investirrendavariávelconsolidadofev[[#Headers],[4]],tabela_registros[REGISTRO],DADOS!$N$5,tabela_registros[TIPO],DADOS!$AB$4,tabela_registros[CATEGORIA],investirrendavariávelconsolidadofev[[#This Row],[ATUAL]])</f>
        <v>0</v>
      </c>
      <c r="I138" s="119" t="n">
        <f aca="false">SUMIFS(tabela_registros[VALOR],tabela_registros[MÊS],$AE$1,tabela_registros[DIA],investirrendavariávelconsolidadofev[[#Headers],[5]],tabela_registros[REGISTRO],DADOS!$N$5,tabela_registros[TIPO],DADOS!$AB$4,tabela_registros[CATEGORIA],investirrendavariávelconsolidadofev[[#This Row],[ATUAL]])</f>
        <v>0</v>
      </c>
      <c r="J138" s="119" t="n">
        <f aca="false">SUMIFS(tabela_registros[VALOR],tabela_registros[MÊS],$AE$1,tabela_registros[DIA],investirrendavariávelconsolidadofev[[#Headers],[6]],tabela_registros[REGISTRO],DADOS!$N$5,tabela_registros[TIPO],DADOS!$AB$4,tabela_registros[CATEGORIA],investirrendavariávelconsolidadofev[[#This Row],[ATUAL]])</f>
        <v>0</v>
      </c>
      <c r="K138" s="119" t="n">
        <f aca="false">SUMIFS(tabela_registros[VALOR],tabela_registros[MÊS],$AE$1,tabela_registros[DIA],investirrendavariávelconsolidadofev[[#Headers],[7]],tabela_registros[REGISTRO],DADOS!$N$5,tabela_registros[TIPO],DADOS!$AB$4,tabela_registros[CATEGORIA],investirrendavariávelconsolidadofev[[#This Row],[ATUAL]])</f>
        <v>0</v>
      </c>
      <c r="L138" s="119" t="n">
        <f aca="false">SUMIFS(tabela_registros[VALOR],tabela_registros[MÊS],$AE$1,tabela_registros[DIA],investirrendavariávelconsolidadofev[[#Headers],[8]],tabela_registros[REGISTRO],DADOS!$N$5,tabela_registros[TIPO],DADOS!$AB$4,tabela_registros[CATEGORIA],investirrendavariávelconsolidadofev[[#This Row],[ATUAL]])</f>
        <v>0</v>
      </c>
      <c r="M138" s="119" t="n">
        <f aca="false">SUMIFS(tabela_registros[VALOR],tabela_registros[MÊS],$AE$1,tabela_registros[DIA],investirrendavariávelconsolidadofev[[#Headers],[9]],tabela_registros[REGISTRO],DADOS!$N$5,tabela_registros[TIPO],DADOS!$AB$4,tabela_registros[CATEGORIA],investirrendavariávelconsolidadofev[[#This Row],[ATUAL]])</f>
        <v>0</v>
      </c>
      <c r="N138" s="119" t="n">
        <f aca="false">SUMIFS(tabela_registros[VALOR],tabela_registros[MÊS],$AE$1,tabela_registros[DIA],investirrendavariávelconsolidadofev[[#Headers],[10]],tabela_registros[REGISTRO],DADOS!$N$5,tabela_registros[TIPO],DADOS!$AB$4,tabela_registros[CATEGORIA],investirrendavariávelconsolidadofev[[#This Row],[ATUAL]])</f>
        <v>0</v>
      </c>
      <c r="O138" s="119" t="n">
        <f aca="false">SUMIFS(tabela_registros[VALOR],tabela_registros[MÊS],$AE$1,tabela_registros[DIA],investirrendavariávelconsolidadofev[[#Headers],[11]],tabela_registros[REGISTRO],DADOS!$N$5,tabela_registros[TIPO],DADOS!$AB$4,tabela_registros[CATEGORIA],investirrendavariávelconsolidadofev[[#This Row],[ATUAL]])</f>
        <v>0</v>
      </c>
      <c r="P138" s="119" t="n">
        <f aca="false">SUMIFS(tabela_registros[VALOR],tabela_registros[MÊS],$AE$1,tabela_registros[DIA],investirrendavariávelconsolidadofev[[#Headers],[12]],tabela_registros[REGISTRO],DADOS!$N$5,tabela_registros[TIPO],DADOS!$AB$4,tabela_registros[CATEGORIA],investirrendavariávelconsolidadofev[[#This Row],[ATUAL]])</f>
        <v>0</v>
      </c>
      <c r="Q138" s="119" t="n">
        <f aca="false">SUMIFS(tabela_registros[VALOR],tabela_registros[MÊS],$AE$1,tabela_registros[DIA],investirrendavariávelconsolidadofev[[#Headers],[13]],tabela_registros[REGISTRO],DADOS!$N$5,tabela_registros[TIPO],DADOS!$AB$4,tabela_registros[CATEGORIA],investirrendavariávelconsolidadofev[[#This Row],[ATUAL]])</f>
        <v>0</v>
      </c>
      <c r="R138" s="119" t="n">
        <f aca="false">SUMIFS(tabela_registros[VALOR],tabela_registros[MÊS],$AE$1,tabela_registros[DIA],investirrendavariávelconsolidadofev[[#Headers],[14]],tabela_registros[REGISTRO],DADOS!$N$5,tabela_registros[TIPO],DADOS!$AB$4,tabela_registros[CATEGORIA],investirrendavariávelconsolidadofev[[#This Row],[ATUAL]])</f>
        <v>0</v>
      </c>
      <c r="S138" s="119" t="n">
        <f aca="false">SUMIFS(tabela_registros[VALOR],tabela_registros[MÊS],$AE$1,tabela_registros[DIA],investirrendavariávelconsolidadofev[[#Headers],[15]],tabela_registros[REGISTRO],DADOS!$N$5,tabela_registros[TIPO],DADOS!$AB$4,tabela_registros[CATEGORIA],investirrendavariávelconsolidadofev[[#This Row],[ATUAL]])</f>
        <v>0</v>
      </c>
      <c r="T138" s="119" t="n">
        <f aca="false">SUMIFS(tabela_registros[VALOR],tabela_registros[MÊS],$AE$1,tabela_registros[DIA],investirrendavariávelconsolidadofev[[#Headers],[16]],tabela_registros[REGISTRO],DADOS!$N$5,tabela_registros[TIPO],DADOS!$AB$4,tabela_registros[CATEGORIA],investirrendavariávelconsolidadofev[[#This Row],[ATUAL]])</f>
        <v>0</v>
      </c>
      <c r="U138" s="119" t="n">
        <f aca="false">SUMIFS(tabela_registros[VALOR],tabela_registros[MÊS],$AE$1,tabela_registros[DIA],investirrendavariávelconsolidadofev[[#Headers],[17]],tabela_registros[REGISTRO],DADOS!$N$5,tabela_registros[TIPO],DADOS!$AB$4,tabela_registros[CATEGORIA],investirrendavariávelconsolidadofev[[#This Row],[ATUAL]])</f>
        <v>0</v>
      </c>
      <c r="V138" s="119" t="n">
        <f aca="false">SUMIFS(tabela_registros[VALOR],tabela_registros[MÊS],$AE$1,tabela_registros[DIA],investirrendavariávelconsolidadofev[[#Headers],[18]],tabela_registros[REGISTRO],DADOS!$N$5,tabela_registros[TIPO],DADOS!$AB$4,tabela_registros[CATEGORIA],investirrendavariávelconsolidadofev[[#This Row],[ATUAL]])</f>
        <v>0</v>
      </c>
      <c r="W138" s="119" t="n">
        <f aca="false">SUMIFS(tabela_registros[VALOR],tabela_registros[MÊS],$AE$1,tabela_registros[DIA],investirrendavariávelconsolidadofev[[#Headers],[19]],tabela_registros[REGISTRO],DADOS!$N$5,tabela_registros[TIPO],DADOS!$AB$4,tabela_registros[CATEGORIA],investirrendavariávelconsolidadofev[[#This Row],[ATUAL]])</f>
        <v>0</v>
      </c>
      <c r="X138" s="119" t="n">
        <f aca="false">SUMIFS(tabela_registros[VALOR],tabela_registros[MÊS],$AE$1,tabela_registros[DIA],investirrendavariávelconsolidadofev[[#Headers],[20]],tabela_registros[REGISTRO],DADOS!$N$5,tabela_registros[TIPO],DADOS!$AB$4,tabela_registros[CATEGORIA],investirrendavariávelconsolidadofev[[#This Row],[ATUAL]])</f>
        <v>0</v>
      </c>
      <c r="Y138" s="119" t="n">
        <f aca="false">SUMIFS(tabela_registros[VALOR],tabela_registros[MÊS],$AE$1,tabela_registros[DIA],investirrendavariávelconsolidadofev[[#Headers],[21]],tabela_registros[REGISTRO],DADOS!$N$5,tabela_registros[TIPO],DADOS!$AB$4,tabela_registros[CATEGORIA],investirrendavariávelconsolidadofev[[#This Row],[ATUAL]])</f>
        <v>0</v>
      </c>
      <c r="Z138" s="119" t="n">
        <f aca="false">SUMIFS(tabela_registros[VALOR],tabela_registros[MÊS],$AE$1,tabela_registros[DIA],investirrendavariávelconsolidadofev[[#Headers],[22]],tabela_registros[REGISTRO],DADOS!$N$5,tabela_registros[TIPO],DADOS!$AB$4,tabela_registros[CATEGORIA],investirrendavariávelconsolidadofev[[#This Row],[ATUAL]])</f>
        <v>0</v>
      </c>
      <c r="AA138" s="119" t="n">
        <f aca="false">SUMIFS(tabela_registros[VALOR],tabela_registros[MÊS],$AE$1,tabela_registros[DIA],investirrendavariávelconsolidadofev[[#Headers],[23]],tabela_registros[REGISTRO],DADOS!$N$5,tabela_registros[TIPO],DADOS!$AB$4,tabela_registros[CATEGORIA],investirrendavariávelconsolidadofev[[#This Row],[ATUAL]])</f>
        <v>0</v>
      </c>
      <c r="AB138" s="119" t="n">
        <f aca="false">SUMIFS(tabela_registros[VALOR],tabela_registros[MÊS],$AE$1,tabela_registros[DIA],investirrendavariávelconsolidadofev[[#Headers],[24]],tabela_registros[REGISTRO],DADOS!$N$5,tabela_registros[TIPO],DADOS!$AB$4,tabela_registros[CATEGORIA],investirrendavariávelconsolidadofev[[#This Row],[ATUAL]])</f>
        <v>0</v>
      </c>
      <c r="AC138" s="119" t="n">
        <f aca="false">SUMIFS(tabela_registros[VALOR],tabela_registros[MÊS],$AE$1,tabela_registros[DIA],investirrendavariávelconsolidadofev[[#Headers],[25]],tabela_registros[REGISTRO],DADOS!$N$5,tabela_registros[TIPO],DADOS!$AB$4,tabela_registros[CATEGORIA],investirrendavariávelconsolidadofev[[#This Row],[ATUAL]])</f>
        <v>0</v>
      </c>
      <c r="AD138" s="119" t="n">
        <f aca="false">SUMIFS(tabela_registros[VALOR],tabela_registros[MÊS],$AE$1,tabela_registros[DIA],investirrendavariávelconsolidadofev[[#Headers],[26]],tabela_registros[REGISTRO],DADOS!$N$5,tabela_registros[TIPO],DADOS!$AB$4,tabela_registros[CATEGORIA],investirrendavariávelconsolidadofev[[#This Row],[ATUAL]])</f>
        <v>0</v>
      </c>
      <c r="AE138" s="119" t="n">
        <f aca="false">SUMIFS(tabela_registros[VALOR],tabela_registros[MÊS],$AE$1,tabela_registros[DIA],investirrendavariávelconsolidadofev[[#Headers],[27]],tabela_registros[REGISTRO],DADOS!$N$5,tabela_registros[TIPO],DADOS!$AB$4,tabela_registros[CATEGORIA],investirrendavariávelconsolidadofev[[#This Row],[ATUAL]])</f>
        <v>0</v>
      </c>
      <c r="AF138" s="119" t="n">
        <f aca="false">SUMIFS(tabela_registros[VALOR],tabela_registros[MÊS],$AE$1,tabela_registros[DIA],investirrendavariávelconsolidadofev[[#Headers],[28]],tabela_registros[REGISTRO],DADOS!$N$5,tabela_registros[TIPO],DADOS!$AB$4,tabela_registros[CATEGORIA],investirrendavariávelconsolidadofev[[#This Row],[ATUAL]])</f>
        <v>0</v>
      </c>
      <c r="AG138" s="119" t="n">
        <f aca="false">SUMIFS(tabela_registros[VALOR],tabela_registros[MÊS],$AE$1,tabela_registros[DIA],investirrendavariávelconsolidadofev[[#Headers],[29]],tabela_registros[REGISTRO],DADOS!$N$5,tabela_registros[TIPO],DADOS!$AB$4,tabela_registros[CATEGORIA],investirrendavariávelconsolidadofev[[#This Row],[ATUAL]])</f>
        <v>0</v>
      </c>
      <c r="AH138" s="119" t="n">
        <f aca="false">SUMIFS(tabela_registros[VALOR],tabela_registros[MÊS],$AE$1,tabela_registros[DIA],investirrendavariávelconsolidadofev[[#Headers],[30]],tabela_registros[REGISTRO],DADOS!$N$5,tabela_registros[TIPO],DADOS!$AB$4,tabela_registros[CATEGORIA],investirrendavariávelconsolidadofev[[#This Row],[ATUAL]])</f>
        <v>0</v>
      </c>
      <c r="AI138" s="217" t="n">
        <f aca="false">SUMIFS(tabela_registros[VALOR],tabela_registros[MÊS],$AE$1,tabela_registros[DIA],investirrendavariávelconsolidadofev[[#Headers],[31]],tabela_registros[REGISTRO],DADOS!$N$5,tabela_registros[TIPO],DADOS!$AB$4,tabela_registros[CATEGORIA],investirrendavariávelconsolidadofev[[#This Row],[ATUAL]])</f>
        <v>0</v>
      </c>
      <c r="AJ138" s="149" t="n">
        <f aca="false">SUM(investirrendavariávelconsolidadofev[[#This Row],[1]:[31]])</f>
        <v>0</v>
      </c>
      <c r="AK138" s="165"/>
    </row>
    <row r="139" customFormat="false" ht="19.5" hidden="false" customHeight="true" outlineLevel="0" collapsed="false">
      <c r="B139" s="143"/>
      <c r="C139" s="144" t="str">
        <f aca="false">DADOS!$AF$10</f>
        <v>📝 FII</v>
      </c>
      <c r="D139" s="145" t="str">
        <f aca="false">IF(investirrendavariávelconsolidadofev[[#This Row],[TOTAL (R$)]]=0,"",IF(OR(investirrendavariávelconsolidadofev[[#This Row],[TOTAL (R$)]]=LARGE($AJ$132:$AJ$141,1),investirrendavariávelconsolidadofev[[#This Row],[TOTAL (R$)]]=LARGE($AJ$132:$AJ$141,2)),DADOS!$I$10,""))</f>
        <v/>
      </c>
      <c r="E139" s="148" t="n">
        <f aca="false">SUMIFS(tabela_registros[VALOR],tabela_registros[MÊS],$AE$1,tabela_registros[DIA],investirrendavariávelconsolidadofev[[#Headers],[1]],tabela_registros[REGISTRO],DADOS!$N$5,tabela_registros[TIPO],DADOS!$AB$4,tabela_registros[CATEGORIA],investirrendavariávelconsolidadofev[[#This Row],[ATUAL]])</f>
        <v>0</v>
      </c>
      <c r="F139" s="119" t="n">
        <f aca="false">SUMIFS(tabela_registros[VALOR],tabela_registros[MÊS],$AE$1,tabela_registros[DIA],investirrendavariávelconsolidadofev[[#Headers],[2]],tabela_registros[REGISTRO],DADOS!$N$5,tabela_registros[TIPO],DADOS!$AB$4,tabela_registros[CATEGORIA],investirrendavariávelconsolidadofev[[#This Row],[ATUAL]])</f>
        <v>0</v>
      </c>
      <c r="G139" s="119" t="n">
        <f aca="false">SUMIFS(tabela_registros[VALOR],tabela_registros[MÊS],$AE$1,tabela_registros[DIA],investirrendavariávelconsolidadofev[[#Headers],[3]],tabela_registros[REGISTRO],DADOS!$N$5,tabela_registros[TIPO],DADOS!$AB$4,tabela_registros[CATEGORIA],investirrendavariávelconsolidadofev[[#This Row],[ATUAL]])</f>
        <v>0</v>
      </c>
      <c r="H139" s="119" t="n">
        <f aca="false">SUMIFS(tabela_registros[VALOR],tabela_registros[MÊS],$AE$1,tabela_registros[DIA],investirrendavariávelconsolidadofev[[#Headers],[4]],tabela_registros[REGISTRO],DADOS!$N$5,tabela_registros[TIPO],DADOS!$AB$4,tabela_registros[CATEGORIA],investirrendavariávelconsolidadofev[[#This Row],[ATUAL]])</f>
        <v>0</v>
      </c>
      <c r="I139" s="119" t="n">
        <f aca="false">SUMIFS(tabela_registros[VALOR],tabela_registros[MÊS],$AE$1,tabela_registros[DIA],investirrendavariávelconsolidadofev[[#Headers],[5]],tabela_registros[REGISTRO],DADOS!$N$5,tabela_registros[TIPO],DADOS!$AB$4,tabela_registros[CATEGORIA],investirrendavariávelconsolidadofev[[#This Row],[ATUAL]])</f>
        <v>0</v>
      </c>
      <c r="J139" s="119" t="n">
        <f aca="false">SUMIFS(tabela_registros[VALOR],tabela_registros[MÊS],$AE$1,tabela_registros[DIA],investirrendavariávelconsolidadofev[[#Headers],[6]],tabela_registros[REGISTRO],DADOS!$N$5,tabela_registros[TIPO],DADOS!$AB$4,tabela_registros[CATEGORIA],investirrendavariávelconsolidadofev[[#This Row],[ATUAL]])</f>
        <v>0</v>
      </c>
      <c r="K139" s="119" t="n">
        <f aca="false">SUMIFS(tabela_registros[VALOR],tabela_registros[MÊS],$AE$1,tabela_registros[DIA],investirrendavariávelconsolidadofev[[#Headers],[7]],tabela_registros[REGISTRO],DADOS!$N$5,tabela_registros[TIPO],DADOS!$AB$4,tabela_registros[CATEGORIA],investirrendavariávelconsolidadofev[[#This Row],[ATUAL]])</f>
        <v>0</v>
      </c>
      <c r="L139" s="119" t="n">
        <f aca="false">SUMIFS(tabela_registros[VALOR],tabela_registros[MÊS],$AE$1,tabela_registros[DIA],investirrendavariávelconsolidadofev[[#Headers],[8]],tabela_registros[REGISTRO],DADOS!$N$5,tabela_registros[TIPO],DADOS!$AB$4,tabela_registros[CATEGORIA],investirrendavariávelconsolidadofev[[#This Row],[ATUAL]])</f>
        <v>0</v>
      </c>
      <c r="M139" s="119" t="n">
        <f aca="false">SUMIFS(tabela_registros[VALOR],tabela_registros[MÊS],$AE$1,tabela_registros[DIA],investirrendavariávelconsolidadofev[[#Headers],[9]],tabela_registros[REGISTRO],DADOS!$N$5,tabela_registros[TIPO],DADOS!$AB$4,tabela_registros[CATEGORIA],investirrendavariávelconsolidadofev[[#This Row],[ATUAL]])</f>
        <v>0</v>
      </c>
      <c r="N139" s="119" t="n">
        <f aca="false">SUMIFS(tabela_registros[VALOR],tabela_registros[MÊS],$AE$1,tabela_registros[DIA],investirrendavariávelconsolidadofev[[#Headers],[10]],tabela_registros[REGISTRO],DADOS!$N$5,tabela_registros[TIPO],DADOS!$AB$4,tabela_registros[CATEGORIA],investirrendavariávelconsolidadofev[[#This Row],[ATUAL]])</f>
        <v>0</v>
      </c>
      <c r="O139" s="119" t="n">
        <f aca="false">SUMIFS(tabela_registros[VALOR],tabela_registros[MÊS],$AE$1,tabela_registros[DIA],investirrendavariávelconsolidadofev[[#Headers],[11]],tabela_registros[REGISTRO],DADOS!$N$5,tabela_registros[TIPO],DADOS!$AB$4,tabela_registros[CATEGORIA],investirrendavariávelconsolidadofev[[#This Row],[ATUAL]])</f>
        <v>0</v>
      </c>
      <c r="P139" s="119" t="n">
        <f aca="false">SUMIFS(tabela_registros[VALOR],tabela_registros[MÊS],$AE$1,tabela_registros[DIA],investirrendavariávelconsolidadofev[[#Headers],[12]],tabela_registros[REGISTRO],DADOS!$N$5,tabela_registros[TIPO],DADOS!$AB$4,tabela_registros[CATEGORIA],investirrendavariávelconsolidadofev[[#This Row],[ATUAL]])</f>
        <v>0</v>
      </c>
      <c r="Q139" s="119" t="n">
        <f aca="false">SUMIFS(tabela_registros[VALOR],tabela_registros[MÊS],$AE$1,tabela_registros[DIA],investirrendavariávelconsolidadofev[[#Headers],[13]],tabela_registros[REGISTRO],DADOS!$N$5,tabela_registros[TIPO],DADOS!$AB$4,tabela_registros[CATEGORIA],investirrendavariávelconsolidadofev[[#This Row],[ATUAL]])</f>
        <v>0</v>
      </c>
      <c r="R139" s="119" t="n">
        <f aca="false">SUMIFS(tabela_registros[VALOR],tabela_registros[MÊS],$AE$1,tabela_registros[DIA],investirrendavariávelconsolidadofev[[#Headers],[14]],tabela_registros[REGISTRO],DADOS!$N$5,tabela_registros[TIPO],DADOS!$AB$4,tabela_registros[CATEGORIA],investirrendavariávelconsolidadofev[[#This Row],[ATUAL]])</f>
        <v>0</v>
      </c>
      <c r="S139" s="119" t="n">
        <f aca="false">SUMIFS(tabela_registros[VALOR],tabela_registros[MÊS],$AE$1,tabela_registros[DIA],investirrendavariávelconsolidadofev[[#Headers],[15]],tabela_registros[REGISTRO],DADOS!$N$5,tabela_registros[TIPO],DADOS!$AB$4,tabela_registros[CATEGORIA],investirrendavariávelconsolidadofev[[#This Row],[ATUAL]])</f>
        <v>0</v>
      </c>
      <c r="T139" s="119" t="n">
        <f aca="false">SUMIFS(tabela_registros[VALOR],tabela_registros[MÊS],$AE$1,tabela_registros[DIA],investirrendavariávelconsolidadofev[[#Headers],[16]],tabela_registros[REGISTRO],DADOS!$N$5,tabela_registros[TIPO],DADOS!$AB$4,tabela_registros[CATEGORIA],investirrendavariávelconsolidadofev[[#This Row],[ATUAL]])</f>
        <v>0</v>
      </c>
      <c r="U139" s="119" t="n">
        <f aca="false">SUMIFS(tabela_registros[VALOR],tabela_registros[MÊS],$AE$1,tabela_registros[DIA],investirrendavariávelconsolidadofev[[#Headers],[17]],tabela_registros[REGISTRO],DADOS!$N$5,tabela_registros[TIPO],DADOS!$AB$4,tabela_registros[CATEGORIA],investirrendavariávelconsolidadofev[[#This Row],[ATUAL]])</f>
        <v>0</v>
      </c>
      <c r="V139" s="119" t="n">
        <f aca="false">SUMIFS(tabela_registros[VALOR],tabela_registros[MÊS],$AE$1,tabela_registros[DIA],investirrendavariávelconsolidadofev[[#Headers],[18]],tabela_registros[REGISTRO],DADOS!$N$5,tabela_registros[TIPO],DADOS!$AB$4,tabela_registros[CATEGORIA],investirrendavariávelconsolidadofev[[#This Row],[ATUAL]])</f>
        <v>0</v>
      </c>
      <c r="W139" s="119" t="n">
        <f aca="false">SUMIFS(tabela_registros[VALOR],tabela_registros[MÊS],$AE$1,tabela_registros[DIA],investirrendavariávelconsolidadofev[[#Headers],[19]],tabela_registros[REGISTRO],DADOS!$N$5,tabela_registros[TIPO],DADOS!$AB$4,tabela_registros[CATEGORIA],investirrendavariávelconsolidadofev[[#This Row],[ATUAL]])</f>
        <v>0</v>
      </c>
      <c r="X139" s="119" t="n">
        <f aca="false">SUMIFS(tabela_registros[VALOR],tabela_registros[MÊS],$AE$1,tabela_registros[DIA],investirrendavariávelconsolidadofev[[#Headers],[20]],tabela_registros[REGISTRO],DADOS!$N$5,tabela_registros[TIPO],DADOS!$AB$4,tabela_registros[CATEGORIA],investirrendavariávelconsolidadofev[[#This Row],[ATUAL]])</f>
        <v>0</v>
      </c>
      <c r="Y139" s="119" t="n">
        <f aca="false">SUMIFS(tabela_registros[VALOR],tabela_registros[MÊS],$AE$1,tabela_registros[DIA],investirrendavariávelconsolidadofev[[#Headers],[21]],tabela_registros[REGISTRO],DADOS!$N$5,tabela_registros[TIPO],DADOS!$AB$4,tabela_registros[CATEGORIA],investirrendavariávelconsolidadofev[[#This Row],[ATUAL]])</f>
        <v>0</v>
      </c>
      <c r="Z139" s="119" t="n">
        <f aca="false">SUMIFS(tabela_registros[VALOR],tabela_registros[MÊS],$AE$1,tabela_registros[DIA],investirrendavariávelconsolidadofev[[#Headers],[22]],tabela_registros[REGISTRO],DADOS!$N$5,tabela_registros[TIPO],DADOS!$AB$4,tabela_registros[CATEGORIA],investirrendavariávelconsolidadofev[[#This Row],[ATUAL]])</f>
        <v>0</v>
      </c>
      <c r="AA139" s="119" t="n">
        <f aca="false">SUMIFS(tabela_registros[VALOR],tabela_registros[MÊS],$AE$1,tabela_registros[DIA],investirrendavariávelconsolidadofev[[#Headers],[23]],tabela_registros[REGISTRO],DADOS!$N$5,tabela_registros[TIPO],DADOS!$AB$4,tabela_registros[CATEGORIA],investirrendavariávelconsolidadofev[[#This Row],[ATUAL]])</f>
        <v>0</v>
      </c>
      <c r="AB139" s="119" t="n">
        <f aca="false">SUMIFS(tabela_registros[VALOR],tabela_registros[MÊS],$AE$1,tabela_registros[DIA],investirrendavariávelconsolidadofev[[#Headers],[24]],tabela_registros[REGISTRO],DADOS!$N$5,tabela_registros[TIPO],DADOS!$AB$4,tabela_registros[CATEGORIA],investirrendavariávelconsolidadofev[[#This Row],[ATUAL]])</f>
        <v>0</v>
      </c>
      <c r="AC139" s="119" t="n">
        <f aca="false">SUMIFS(tabela_registros[VALOR],tabela_registros[MÊS],$AE$1,tabela_registros[DIA],investirrendavariávelconsolidadofev[[#Headers],[25]],tabela_registros[REGISTRO],DADOS!$N$5,tabela_registros[TIPO],DADOS!$AB$4,tabela_registros[CATEGORIA],investirrendavariávelconsolidadofev[[#This Row],[ATUAL]])</f>
        <v>0</v>
      </c>
      <c r="AD139" s="119" t="n">
        <f aca="false">SUMIFS(tabela_registros[VALOR],tabela_registros[MÊS],$AE$1,tabela_registros[DIA],investirrendavariávelconsolidadofev[[#Headers],[26]],tabela_registros[REGISTRO],DADOS!$N$5,tabela_registros[TIPO],DADOS!$AB$4,tabela_registros[CATEGORIA],investirrendavariávelconsolidadofev[[#This Row],[ATUAL]])</f>
        <v>0</v>
      </c>
      <c r="AE139" s="119" t="n">
        <f aca="false">SUMIFS(tabela_registros[VALOR],tabela_registros[MÊS],$AE$1,tabela_registros[DIA],investirrendavariávelconsolidadofev[[#Headers],[27]],tabela_registros[REGISTRO],DADOS!$N$5,tabela_registros[TIPO],DADOS!$AB$4,tabela_registros[CATEGORIA],investirrendavariávelconsolidadofev[[#This Row],[ATUAL]])</f>
        <v>0</v>
      </c>
      <c r="AF139" s="119" t="n">
        <f aca="false">SUMIFS(tabela_registros[VALOR],tabela_registros[MÊS],$AE$1,tabela_registros[DIA],investirrendavariávelconsolidadofev[[#Headers],[28]],tabela_registros[REGISTRO],DADOS!$N$5,tabela_registros[TIPO],DADOS!$AB$4,tabela_registros[CATEGORIA],investirrendavariávelconsolidadofev[[#This Row],[ATUAL]])</f>
        <v>0</v>
      </c>
      <c r="AG139" s="119" t="n">
        <f aca="false">SUMIFS(tabela_registros[VALOR],tabela_registros[MÊS],$AE$1,tabela_registros[DIA],investirrendavariávelconsolidadofev[[#Headers],[29]],tabela_registros[REGISTRO],DADOS!$N$5,tabela_registros[TIPO],DADOS!$AB$4,tabela_registros[CATEGORIA],investirrendavariávelconsolidadofev[[#This Row],[ATUAL]])</f>
        <v>0</v>
      </c>
      <c r="AH139" s="119" t="n">
        <f aca="false">SUMIFS(tabela_registros[VALOR],tabela_registros[MÊS],$AE$1,tabela_registros[DIA],investirrendavariávelconsolidadofev[[#Headers],[30]],tabela_registros[REGISTRO],DADOS!$N$5,tabela_registros[TIPO],DADOS!$AB$4,tabela_registros[CATEGORIA],investirrendavariávelconsolidadofev[[#This Row],[ATUAL]])</f>
        <v>0</v>
      </c>
      <c r="AI139" s="217" t="n">
        <f aca="false">SUMIFS(tabela_registros[VALOR],tabela_registros[MÊS],$AE$1,tabela_registros[DIA],investirrendavariávelconsolidadofev[[#Headers],[31]],tabela_registros[REGISTRO],DADOS!$N$5,tabela_registros[TIPO],DADOS!$AB$4,tabela_registros[CATEGORIA],investirrendavariávelconsolidadofev[[#This Row],[ATUAL]])</f>
        <v>0</v>
      </c>
      <c r="AJ139" s="149" t="n">
        <f aca="false">SUM(investirrendavariávelconsolidadofev[[#This Row],[1]:[31]])</f>
        <v>0</v>
      </c>
      <c r="AK139" s="165"/>
    </row>
    <row r="140" customFormat="false" ht="19.5" hidden="false" customHeight="true" outlineLevel="0" collapsed="false">
      <c r="B140" s="143"/>
      <c r="C140" s="144" t="str">
        <f aca="false">DADOS!$AF$11</f>
        <v>📝 MOEDA</v>
      </c>
      <c r="D140" s="145" t="str">
        <f aca="false">IF(investirrendavariávelconsolidadofev[[#This Row],[TOTAL (R$)]]=0,"",IF(OR(investirrendavariávelconsolidadofev[[#This Row],[TOTAL (R$)]]=LARGE($AJ$132:$AJ$141,1),investirrendavariávelconsolidadofev[[#This Row],[TOTAL (R$)]]=LARGE($AJ$132:$AJ$141,2)),DADOS!$I$10,""))</f>
        <v/>
      </c>
      <c r="E140" s="148" t="n">
        <f aca="false">SUMIFS(tabela_registros[VALOR],tabela_registros[MÊS],$AE$1,tabela_registros[DIA],investirrendavariávelconsolidadofev[[#Headers],[1]],tabela_registros[REGISTRO],DADOS!$N$5,tabela_registros[TIPO],DADOS!$AB$4,tabela_registros[CATEGORIA],investirrendavariávelconsolidadofev[[#This Row],[ATUAL]])</f>
        <v>0</v>
      </c>
      <c r="F140" s="119" t="n">
        <f aca="false">SUMIFS(tabela_registros[VALOR],tabela_registros[MÊS],$AE$1,tabela_registros[DIA],investirrendavariávelconsolidadofev[[#Headers],[2]],tabela_registros[REGISTRO],DADOS!$N$5,tabela_registros[TIPO],DADOS!$AB$4,tabela_registros[CATEGORIA],investirrendavariávelconsolidadofev[[#This Row],[ATUAL]])</f>
        <v>0</v>
      </c>
      <c r="G140" s="119" t="n">
        <f aca="false">SUMIFS(tabela_registros[VALOR],tabela_registros[MÊS],$AE$1,tabela_registros[DIA],investirrendavariávelconsolidadofev[[#Headers],[3]],tabela_registros[REGISTRO],DADOS!$N$5,tabela_registros[TIPO],DADOS!$AB$4,tabela_registros[CATEGORIA],investirrendavariávelconsolidadofev[[#This Row],[ATUAL]])</f>
        <v>0</v>
      </c>
      <c r="H140" s="119" t="n">
        <f aca="false">SUMIFS(tabela_registros[VALOR],tabela_registros[MÊS],$AE$1,tabela_registros[DIA],investirrendavariávelconsolidadofev[[#Headers],[4]],tabela_registros[REGISTRO],DADOS!$N$5,tabela_registros[TIPO],DADOS!$AB$4,tabela_registros[CATEGORIA],investirrendavariávelconsolidadofev[[#This Row],[ATUAL]])</f>
        <v>0</v>
      </c>
      <c r="I140" s="119" t="n">
        <f aca="false">SUMIFS(tabela_registros[VALOR],tabela_registros[MÊS],$AE$1,tabela_registros[DIA],investirrendavariávelconsolidadofev[[#Headers],[5]],tabela_registros[REGISTRO],DADOS!$N$5,tabela_registros[TIPO],DADOS!$AB$4,tabela_registros[CATEGORIA],investirrendavariávelconsolidadofev[[#This Row],[ATUAL]])</f>
        <v>0</v>
      </c>
      <c r="J140" s="119" t="n">
        <f aca="false">SUMIFS(tabela_registros[VALOR],tabela_registros[MÊS],$AE$1,tabela_registros[DIA],investirrendavariávelconsolidadofev[[#Headers],[6]],tabela_registros[REGISTRO],DADOS!$N$5,tabela_registros[TIPO],DADOS!$AB$4,tabela_registros[CATEGORIA],investirrendavariávelconsolidadofev[[#This Row],[ATUAL]])</f>
        <v>0</v>
      </c>
      <c r="K140" s="119" t="n">
        <f aca="false">SUMIFS(tabela_registros[VALOR],tabela_registros[MÊS],$AE$1,tabela_registros[DIA],investirrendavariávelconsolidadofev[[#Headers],[7]],tabela_registros[REGISTRO],DADOS!$N$5,tabela_registros[TIPO],DADOS!$AB$4,tabela_registros[CATEGORIA],investirrendavariávelconsolidadofev[[#This Row],[ATUAL]])</f>
        <v>0</v>
      </c>
      <c r="L140" s="119" t="n">
        <f aca="false">SUMIFS(tabela_registros[VALOR],tabela_registros[MÊS],$AE$1,tabela_registros[DIA],investirrendavariávelconsolidadofev[[#Headers],[8]],tabela_registros[REGISTRO],DADOS!$N$5,tabela_registros[TIPO],DADOS!$AB$4,tabela_registros[CATEGORIA],investirrendavariávelconsolidadofev[[#This Row],[ATUAL]])</f>
        <v>0</v>
      </c>
      <c r="M140" s="119" t="n">
        <f aca="false">SUMIFS(tabela_registros[VALOR],tabela_registros[MÊS],$AE$1,tabela_registros[DIA],investirrendavariávelconsolidadofev[[#Headers],[9]],tabela_registros[REGISTRO],DADOS!$N$5,tabela_registros[TIPO],DADOS!$AB$4,tabela_registros[CATEGORIA],investirrendavariávelconsolidadofev[[#This Row],[ATUAL]])</f>
        <v>0</v>
      </c>
      <c r="N140" s="119" t="n">
        <f aca="false">SUMIFS(tabela_registros[VALOR],tabela_registros[MÊS],$AE$1,tabela_registros[DIA],investirrendavariávelconsolidadofev[[#Headers],[10]],tabela_registros[REGISTRO],DADOS!$N$5,tabela_registros[TIPO],DADOS!$AB$4,tabela_registros[CATEGORIA],investirrendavariávelconsolidadofev[[#This Row],[ATUAL]])</f>
        <v>0</v>
      </c>
      <c r="O140" s="119" t="n">
        <f aca="false">SUMIFS(tabela_registros[VALOR],tabela_registros[MÊS],$AE$1,tabela_registros[DIA],investirrendavariávelconsolidadofev[[#Headers],[11]],tabela_registros[REGISTRO],DADOS!$N$5,tabela_registros[TIPO],DADOS!$AB$4,tabela_registros[CATEGORIA],investirrendavariávelconsolidadofev[[#This Row],[ATUAL]])</f>
        <v>0</v>
      </c>
      <c r="P140" s="119" t="n">
        <f aca="false">SUMIFS(tabela_registros[VALOR],tabela_registros[MÊS],$AE$1,tabela_registros[DIA],investirrendavariávelconsolidadofev[[#Headers],[12]],tabela_registros[REGISTRO],DADOS!$N$5,tabela_registros[TIPO],DADOS!$AB$4,tabela_registros[CATEGORIA],investirrendavariávelconsolidadofev[[#This Row],[ATUAL]])</f>
        <v>0</v>
      </c>
      <c r="Q140" s="119" t="n">
        <f aca="false">SUMIFS(tabela_registros[VALOR],tabela_registros[MÊS],$AE$1,tabela_registros[DIA],investirrendavariávelconsolidadofev[[#Headers],[13]],tabela_registros[REGISTRO],DADOS!$N$5,tabela_registros[TIPO],DADOS!$AB$4,tabela_registros[CATEGORIA],investirrendavariávelconsolidadofev[[#This Row],[ATUAL]])</f>
        <v>0</v>
      </c>
      <c r="R140" s="119" t="n">
        <f aca="false">SUMIFS(tabela_registros[VALOR],tabela_registros[MÊS],$AE$1,tabela_registros[DIA],investirrendavariávelconsolidadofev[[#Headers],[14]],tabela_registros[REGISTRO],DADOS!$N$5,tabela_registros[TIPO],DADOS!$AB$4,tabela_registros[CATEGORIA],investirrendavariávelconsolidadofev[[#This Row],[ATUAL]])</f>
        <v>0</v>
      </c>
      <c r="S140" s="119" t="n">
        <f aca="false">SUMIFS(tabela_registros[VALOR],tabela_registros[MÊS],$AE$1,tabela_registros[DIA],investirrendavariávelconsolidadofev[[#Headers],[15]],tabela_registros[REGISTRO],DADOS!$N$5,tabela_registros[TIPO],DADOS!$AB$4,tabela_registros[CATEGORIA],investirrendavariávelconsolidadofev[[#This Row],[ATUAL]])</f>
        <v>0</v>
      </c>
      <c r="T140" s="119" t="n">
        <f aca="false">SUMIFS(tabela_registros[VALOR],tabela_registros[MÊS],$AE$1,tabela_registros[DIA],investirrendavariávelconsolidadofev[[#Headers],[16]],tabela_registros[REGISTRO],DADOS!$N$5,tabela_registros[TIPO],DADOS!$AB$4,tabela_registros[CATEGORIA],investirrendavariávelconsolidadofev[[#This Row],[ATUAL]])</f>
        <v>0</v>
      </c>
      <c r="U140" s="119" t="n">
        <f aca="false">SUMIFS(tabela_registros[VALOR],tabela_registros[MÊS],$AE$1,tabela_registros[DIA],investirrendavariávelconsolidadofev[[#Headers],[17]],tabela_registros[REGISTRO],DADOS!$N$5,tabela_registros[TIPO],DADOS!$AB$4,tabela_registros[CATEGORIA],investirrendavariávelconsolidadofev[[#This Row],[ATUAL]])</f>
        <v>0</v>
      </c>
      <c r="V140" s="119" t="n">
        <f aca="false">SUMIFS(tabela_registros[VALOR],tabela_registros[MÊS],$AE$1,tabela_registros[DIA],investirrendavariávelconsolidadofev[[#Headers],[18]],tabela_registros[REGISTRO],DADOS!$N$5,tabela_registros[TIPO],DADOS!$AB$4,tabela_registros[CATEGORIA],investirrendavariávelconsolidadofev[[#This Row],[ATUAL]])</f>
        <v>0</v>
      </c>
      <c r="W140" s="119" t="n">
        <f aca="false">SUMIFS(tabela_registros[VALOR],tabela_registros[MÊS],$AE$1,tabela_registros[DIA],investirrendavariávelconsolidadofev[[#Headers],[19]],tabela_registros[REGISTRO],DADOS!$N$5,tabela_registros[TIPO],DADOS!$AB$4,tabela_registros[CATEGORIA],investirrendavariávelconsolidadofev[[#This Row],[ATUAL]])</f>
        <v>0</v>
      </c>
      <c r="X140" s="119" t="n">
        <f aca="false">SUMIFS(tabela_registros[VALOR],tabela_registros[MÊS],$AE$1,tabela_registros[DIA],investirrendavariávelconsolidadofev[[#Headers],[20]],tabela_registros[REGISTRO],DADOS!$N$5,tabela_registros[TIPO],DADOS!$AB$4,tabela_registros[CATEGORIA],investirrendavariávelconsolidadofev[[#This Row],[ATUAL]])</f>
        <v>0</v>
      </c>
      <c r="Y140" s="119" t="n">
        <f aca="false">SUMIFS(tabela_registros[VALOR],tabela_registros[MÊS],$AE$1,tabela_registros[DIA],investirrendavariávelconsolidadofev[[#Headers],[21]],tabela_registros[REGISTRO],DADOS!$N$5,tabela_registros[TIPO],DADOS!$AB$4,tabela_registros[CATEGORIA],investirrendavariávelconsolidadofev[[#This Row],[ATUAL]])</f>
        <v>0</v>
      </c>
      <c r="Z140" s="119" t="n">
        <f aca="false">SUMIFS(tabela_registros[VALOR],tabela_registros[MÊS],$AE$1,tabela_registros[DIA],investirrendavariávelconsolidadofev[[#Headers],[22]],tabela_registros[REGISTRO],DADOS!$N$5,tabela_registros[TIPO],DADOS!$AB$4,tabela_registros[CATEGORIA],investirrendavariávelconsolidadofev[[#This Row],[ATUAL]])</f>
        <v>0</v>
      </c>
      <c r="AA140" s="119" t="n">
        <f aca="false">SUMIFS(tabela_registros[VALOR],tabela_registros[MÊS],$AE$1,tabela_registros[DIA],investirrendavariávelconsolidadofev[[#Headers],[23]],tabela_registros[REGISTRO],DADOS!$N$5,tabela_registros[TIPO],DADOS!$AB$4,tabela_registros[CATEGORIA],investirrendavariávelconsolidadofev[[#This Row],[ATUAL]])</f>
        <v>0</v>
      </c>
      <c r="AB140" s="119" t="n">
        <f aca="false">SUMIFS(tabela_registros[VALOR],tabela_registros[MÊS],$AE$1,tabela_registros[DIA],investirrendavariávelconsolidadofev[[#Headers],[24]],tabela_registros[REGISTRO],DADOS!$N$5,tabela_registros[TIPO],DADOS!$AB$4,tabela_registros[CATEGORIA],investirrendavariávelconsolidadofev[[#This Row],[ATUAL]])</f>
        <v>0</v>
      </c>
      <c r="AC140" s="119" t="n">
        <f aca="false">SUMIFS(tabela_registros[VALOR],tabela_registros[MÊS],$AE$1,tabela_registros[DIA],investirrendavariávelconsolidadofev[[#Headers],[25]],tabela_registros[REGISTRO],DADOS!$N$5,tabela_registros[TIPO],DADOS!$AB$4,tabela_registros[CATEGORIA],investirrendavariávelconsolidadofev[[#This Row],[ATUAL]])</f>
        <v>0</v>
      </c>
      <c r="AD140" s="119" t="n">
        <f aca="false">SUMIFS(tabela_registros[VALOR],tabela_registros[MÊS],$AE$1,tabela_registros[DIA],investirrendavariávelconsolidadofev[[#Headers],[26]],tabela_registros[REGISTRO],DADOS!$N$5,tabela_registros[TIPO],DADOS!$AB$4,tabela_registros[CATEGORIA],investirrendavariávelconsolidadofev[[#This Row],[ATUAL]])</f>
        <v>0</v>
      </c>
      <c r="AE140" s="119" t="n">
        <f aca="false">SUMIFS(tabela_registros[VALOR],tabela_registros[MÊS],$AE$1,tabela_registros[DIA],investirrendavariávelconsolidadofev[[#Headers],[27]],tabela_registros[REGISTRO],DADOS!$N$5,tabela_registros[TIPO],DADOS!$AB$4,tabela_registros[CATEGORIA],investirrendavariávelconsolidadofev[[#This Row],[ATUAL]])</f>
        <v>0</v>
      </c>
      <c r="AF140" s="119" t="n">
        <f aca="false">SUMIFS(tabela_registros[VALOR],tabela_registros[MÊS],$AE$1,tabela_registros[DIA],investirrendavariávelconsolidadofev[[#Headers],[28]],tabela_registros[REGISTRO],DADOS!$N$5,tabela_registros[TIPO],DADOS!$AB$4,tabela_registros[CATEGORIA],investirrendavariávelconsolidadofev[[#This Row],[ATUAL]])</f>
        <v>0</v>
      </c>
      <c r="AG140" s="119" t="n">
        <f aca="false">SUMIFS(tabela_registros[VALOR],tabela_registros[MÊS],$AE$1,tabela_registros[DIA],investirrendavariávelconsolidadofev[[#Headers],[29]],tabela_registros[REGISTRO],DADOS!$N$5,tabela_registros[TIPO],DADOS!$AB$4,tabela_registros[CATEGORIA],investirrendavariávelconsolidadofev[[#This Row],[ATUAL]])</f>
        <v>0</v>
      </c>
      <c r="AH140" s="119" t="n">
        <f aca="false">SUMIFS(tabela_registros[VALOR],tabela_registros[MÊS],$AE$1,tabela_registros[DIA],investirrendavariávelconsolidadofev[[#Headers],[30]],tabela_registros[REGISTRO],DADOS!$N$5,tabela_registros[TIPO],DADOS!$AB$4,tabela_registros[CATEGORIA],investirrendavariávelconsolidadofev[[#This Row],[ATUAL]])</f>
        <v>0</v>
      </c>
      <c r="AI140" s="217" t="n">
        <f aca="false">SUMIFS(tabela_registros[VALOR],tabela_registros[MÊS],$AE$1,tabela_registros[DIA],investirrendavariávelconsolidadofev[[#Headers],[31]],tabela_registros[REGISTRO],DADOS!$N$5,tabela_registros[TIPO],DADOS!$AB$4,tabela_registros[CATEGORIA],investirrendavariávelconsolidadofev[[#This Row],[ATUAL]])</f>
        <v>0</v>
      </c>
      <c r="AJ140" s="149" t="n">
        <f aca="false">SUM(investirrendavariávelconsolidadofev[[#This Row],[1]:[31]])</f>
        <v>0</v>
      </c>
      <c r="AK140" s="165"/>
    </row>
    <row r="141" customFormat="false" ht="19.5" hidden="false" customHeight="true" outlineLevel="0" collapsed="false">
      <c r="B141" s="143"/>
      <c r="C141" s="144" t="str">
        <f aca="false">DADOS!$AF$12</f>
        <v>📎 OUTROS</v>
      </c>
      <c r="D141" s="145" t="str">
        <f aca="false">IF(investirrendavariávelconsolidadofev[[#This Row],[TOTAL (R$)]]=0,"",IF(OR(investirrendavariávelconsolidadofev[[#This Row],[TOTAL (R$)]]=LARGE($AJ$132:$AJ$141,1),investirrendavariávelconsolidadofev[[#This Row],[TOTAL (R$)]]=LARGE($AJ$132:$AJ$141,2)),DADOS!$I$10,""))</f>
        <v/>
      </c>
      <c r="E141" s="148" t="n">
        <f aca="false">SUMIFS(tabela_registros[VALOR],tabela_registros[MÊS],$AE$1,tabela_registros[DIA],investirrendavariávelconsolidadofev[[#Headers],[1]],tabela_registros[REGISTRO],DADOS!$N$5,tabela_registros[TIPO],DADOS!$AB$4,tabela_registros[CATEGORIA],investirrendavariávelconsolidadofev[[#This Row],[ATUAL]])</f>
        <v>0</v>
      </c>
      <c r="F141" s="119" t="n">
        <f aca="false">SUMIFS(tabela_registros[VALOR],tabela_registros[MÊS],$AE$1,tabela_registros[DIA],investirrendavariávelconsolidadofev[[#Headers],[2]],tabela_registros[REGISTRO],DADOS!$N$5,tabela_registros[TIPO],DADOS!$AB$4,tabela_registros[CATEGORIA],investirrendavariávelconsolidadofev[[#This Row],[ATUAL]])</f>
        <v>0</v>
      </c>
      <c r="G141" s="119" t="n">
        <f aca="false">SUMIFS(tabela_registros[VALOR],tabela_registros[MÊS],$AE$1,tabela_registros[DIA],investirrendavariávelconsolidadofev[[#Headers],[3]],tabela_registros[REGISTRO],DADOS!$N$5,tabela_registros[TIPO],DADOS!$AB$4,tabela_registros[CATEGORIA],investirrendavariávelconsolidadofev[[#This Row],[ATUAL]])</f>
        <v>0</v>
      </c>
      <c r="H141" s="119" t="n">
        <f aca="false">SUMIFS(tabela_registros[VALOR],tabela_registros[MÊS],$AE$1,tabela_registros[DIA],investirrendavariávelconsolidadofev[[#Headers],[4]],tabela_registros[REGISTRO],DADOS!$N$5,tabela_registros[TIPO],DADOS!$AB$4,tabela_registros[CATEGORIA],investirrendavariávelconsolidadofev[[#This Row],[ATUAL]])</f>
        <v>0</v>
      </c>
      <c r="I141" s="119" t="n">
        <f aca="false">SUMIFS(tabela_registros[VALOR],tabela_registros[MÊS],$AE$1,tabela_registros[DIA],investirrendavariávelconsolidadofev[[#Headers],[5]],tabela_registros[REGISTRO],DADOS!$N$5,tabela_registros[TIPO],DADOS!$AB$4,tabela_registros[CATEGORIA],investirrendavariávelconsolidadofev[[#This Row],[ATUAL]])</f>
        <v>0</v>
      </c>
      <c r="J141" s="119" t="n">
        <f aca="false">SUMIFS(tabela_registros[VALOR],tabela_registros[MÊS],$AE$1,tabela_registros[DIA],investirrendavariávelconsolidadofev[[#Headers],[6]],tabela_registros[REGISTRO],DADOS!$N$5,tabela_registros[TIPO],DADOS!$AB$4,tabela_registros[CATEGORIA],investirrendavariávelconsolidadofev[[#This Row],[ATUAL]])</f>
        <v>0</v>
      </c>
      <c r="K141" s="119" t="n">
        <f aca="false">SUMIFS(tabela_registros[VALOR],tabela_registros[MÊS],$AE$1,tabela_registros[DIA],investirrendavariávelconsolidadofev[[#Headers],[7]],tabela_registros[REGISTRO],DADOS!$N$5,tabela_registros[TIPO],DADOS!$AB$4,tabela_registros[CATEGORIA],investirrendavariávelconsolidadofev[[#This Row],[ATUAL]])</f>
        <v>0</v>
      </c>
      <c r="L141" s="119" t="n">
        <f aca="false">SUMIFS(tabela_registros[VALOR],tabela_registros[MÊS],$AE$1,tabela_registros[DIA],investirrendavariávelconsolidadofev[[#Headers],[8]],tabela_registros[REGISTRO],DADOS!$N$5,tabela_registros[TIPO],DADOS!$AB$4,tabela_registros[CATEGORIA],investirrendavariávelconsolidadofev[[#This Row],[ATUAL]])</f>
        <v>0</v>
      </c>
      <c r="M141" s="119" t="n">
        <f aca="false">SUMIFS(tabela_registros[VALOR],tabela_registros[MÊS],$AE$1,tabela_registros[DIA],investirrendavariávelconsolidadofev[[#Headers],[9]],tabela_registros[REGISTRO],DADOS!$N$5,tabela_registros[TIPO],DADOS!$AB$4,tabela_registros[CATEGORIA],investirrendavariávelconsolidadofev[[#This Row],[ATUAL]])</f>
        <v>0</v>
      </c>
      <c r="N141" s="119" t="n">
        <f aca="false">SUMIFS(tabela_registros[VALOR],tabela_registros[MÊS],$AE$1,tabela_registros[DIA],investirrendavariávelconsolidadofev[[#Headers],[10]],tabela_registros[REGISTRO],DADOS!$N$5,tabela_registros[TIPO],DADOS!$AB$4,tabela_registros[CATEGORIA],investirrendavariávelconsolidadofev[[#This Row],[ATUAL]])</f>
        <v>0</v>
      </c>
      <c r="O141" s="119" t="n">
        <f aca="false">SUMIFS(tabela_registros[VALOR],tabela_registros[MÊS],$AE$1,tabela_registros[DIA],investirrendavariávelconsolidadofev[[#Headers],[11]],tabela_registros[REGISTRO],DADOS!$N$5,tabela_registros[TIPO],DADOS!$AB$4,tabela_registros[CATEGORIA],investirrendavariávelconsolidadofev[[#This Row],[ATUAL]])</f>
        <v>0</v>
      </c>
      <c r="P141" s="119" t="n">
        <f aca="false">SUMIFS(tabela_registros[VALOR],tabela_registros[MÊS],$AE$1,tabela_registros[DIA],investirrendavariávelconsolidadofev[[#Headers],[12]],tabela_registros[REGISTRO],DADOS!$N$5,tabela_registros[TIPO],DADOS!$AB$4,tabela_registros[CATEGORIA],investirrendavariávelconsolidadofev[[#This Row],[ATUAL]])</f>
        <v>0</v>
      </c>
      <c r="Q141" s="119" t="n">
        <f aca="false">SUMIFS(tabela_registros[VALOR],tabela_registros[MÊS],$AE$1,tabela_registros[DIA],investirrendavariávelconsolidadofev[[#Headers],[13]],tabela_registros[REGISTRO],DADOS!$N$5,tabela_registros[TIPO],DADOS!$AB$4,tabela_registros[CATEGORIA],investirrendavariávelconsolidadofev[[#This Row],[ATUAL]])</f>
        <v>0</v>
      </c>
      <c r="R141" s="119" t="n">
        <f aca="false">SUMIFS(tabela_registros[VALOR],tabela_registros[MÊS],$AE$1,tabela_registros[DIA],investirrendavariávelconsolidadofev[[#Headers],[14]],tabela_registros[REGISTRO],DADOS!$N$5,tabela_registros[TIPO],DADOS!$AB$4,tabela_registros[CATEGORIA],investirrendavariávelconsolidadofev[[#This Row],[ATUAL]])</f>
        <v>0</v>
      </c>
      <c r="S141" s="119" t="n">
        <f aca="false">SUMIFS(tabela_registros[VALOR],tabela_registros[MÊS],$AE$1,tabela_registros[DIA],investirrendavariávelconsolidadofev[[#Headers],[15]],tabela_registros[REGISTRO],DADOS!$N$5,tabela_registros[TIPO],DADOS!$AB$4,tabela_registros[CATEGORIA],investirrendavariávelconsolidadofev[[#This Row],[ATUAL]])</f>
        <v>0</v>
      </c>
      <c r="T141" s="119" t="n">
        <f aca="false">SUMIFS(tabela_registros[VALOR],tabela_registros[MÊS],$AE$1,tabela_registros[DIA],investirrendavariávelconsolidadofev[[#Headers],[16]],tabela_registros[REGISTRO],DADOS!$N$5,tabela_registros[TIPO],DADOS!$AB$4,tabela_registros[CATEGORIA],investirrendavariávelconsolidadofev[[#This Row],[ATUAL]])</f>
        <v>0</v>
      </c>
      <c r="U141" s="119" t="n">
        <f aca="false">SUMIFS(tabela_registros[VALOR],tabela_registros[MÊS],$AE$1,tabela_registros[DIA],investirrendavariávelconsolidadofev[[#Headers],[17]],tabela_registros[REGISTRO],DADOS!$N$5,tabela_registros[TIPO],DADOS!$AB$4,tabela_registros[CATEGORIA],investirrendavariávelconsolidadofev[[#This Row],[ATUAL]])</f>
        <v>0</v>
      </c>
      <c r="V141" s="119" t="n">
        <f aca="false">SUMIFS(tabela_registros[VALOR],tabela_registros[MÊS],$AE$1,tabela_registros[DIA],investirrendavariávelconsolidadofev[[#Headers],[18]],tabela_registros[REGISTRO],DADOS!$N$5,tabela_registros[TIPO],DADOS!$AB$4,tabela_registros[CATEGORIA],investirrendavariávelconsolidadofev[[#This Row],[ATUAL]])</f>
        <v>0</v>
      </c>
      <c r="W141" s="119" t="n">
        <f aca="false">SUMIFS(tabela_registros[VALOR],tabela_registros[MÊS],$AE$1,tabela_registros[DIA],investirrendavariávelconsolidadofev[[#Headers],[19]],tabela_registros[REGISTRO],DADOS!$N$5,tabela_registros[TIPO],DADOS!$AB$4,tabela_registros[CATEGORIA],investirrendavariávelconsolidadofev[[#This Row],[ATUAL]])</f>
        <v>0</v>
      </c>
      <c r="X141" s="119" t="n">
        <f aca="false">SUMIFS(tabela_registros[VALOR],tabela_registros[MÊS],$AE$1,tabela_registros[DIA],investirrendavariávelconsolidadofev[[#Headers],[20]],tabela_registros[REGISTRO],DADOS!$N$5,tabela_registros[TIPO],DADOS!$AB$4,tabela_registros[CATEGORIA],investirrendavariávelconsolidadofev[[#This Row],[ATUAL]])</f>
        <v>0</v>
      </c>
      <c r="Y141" s="119" t="n">
        <f aca="false">SUMIFS(tabela_registros[VALOR],tabela_registros[MÊS],$AE$1,tabela_registros[DIA],investirrendavariávelconsolidadofev[[#Headers],[21]],tabela_registros[REGISTRO],DADOS!$N$5,tabela_registros[TIPO],DADOS!$AB$4,tabela_registros[CATEGORIA],investirrendavariávelconsolidadofev[[#This Row],[ATUAL]])</f>
        <v>0</v>
      </c>
      <c r="Z141" s="119" t="n">
        <f aca="false">SUMIFS(tabela_registros[VALOR],tabela_registros[MÊS],$AE$1,tabela_registros[DIA],investirrendavariávelconsolidadofev[[#Headers],[22]],tabela_registros[REGISTRO],DADOS!$N$5,tabela_registros[TIPO],DADOS!$AB$4,tabela_registros[CATEGORIA],investirrendavariávelconsolidadofev[[#This Row],[ATUAL]])</f>
        <v>0</v>
      </c>
      <c r="AA141" s="119" t="n">
        <f aca="false">SUMIFS(tabela_registros[VALOR],tabela_registros[MÊS],$AE$1,tabela_registros[DIA],investirrendavariávelconsolidadofev[[#Headers],[23]],tabela_registros[REGISTRO],DADOS!$N$5,tabela_registros[TIPO],DADOS!$AB$4,tabela_registros[CATEGORIA],investirrendavariávelconsolidadofev[[#This Row],[ATUAL]])</f>
        <v>0</v>
      </c>
      <c r="AB141" s="119" t="n">
        <f aca="false">SUMIFS(tabela_registros[VALOR],tabela_registros[MÊS],$AE$1,tabela_registros[DIA],investirrendavariávelconsolidadofev[[#Headers],[24]],tabela_registros[REGISTRO],DADOS!$N$5,tabela_registros[TIPO],DADOS!$AB$4,tabela_registros[CATEGORIA],investirrendavariávelconsolidadofev[[#This Row],[ATUAL]])</f>
        <v>0</v>
      </c>
      <c r="AC141" s="119" t="n">
        <f aca="false">SUMIFS(tabela_registros[VALOR],tabela_registros[MÊS],$AE$1,tabela_registros[DIA],investirrendavariávelconsolidadofev[[#Headers],[25]],tabela_registros[REGISTRO],DADOS!$N$5,tabela_registros[TIPO],DADOS!$AB$4,tabela_registros[CATEGORIA],investirrendavariávelconsolidadofev[[#This Row],[ATUAL]])</f>
        <v>0</v>
      </c>
      <c r="AD141" s="119" t="n">
        <f aca="false">SUMIFS(tabela_registros[VALOR],tabela_registros[MÊS],$AE$1,tabela_registros[DIA],investirrendavariávelconsolidadofev[[#Headers],[26]],tabela_registros[REGISTRO],DADOS!$N$5,tabela_registros[TIPO],DADOS!$AB$4,tabela_registros[CATEGORIA],investirrendavariávelconsolidadofev[[#This Row],[ATUAL]])</f>
        <v>0</v>
      </c>
      <c r="AE141" s="119" t="n">
        <f aca="false">SUMIFS(tabela_registros[VALOR],tabela_registros[MÊS],$AE$1,tabela_registros[DIA],investirrendavariávelconsolidadofev[[#Headers],[27]],tabela_registros[REGISTRO],DADOS!$N$5,tabela_registros[TIPO],DADOS!$AB$4,tabela_registros[CATEGORIA],investirrendavariávelconsolidadofev[[#This Row],[ATUAL]])</f>
        <v>0</v>
      </c>
      <c r="AF141" s="119" t="n">
        <f aca="false">SUMIFS(tabela_registros[VALOR],tabela_registros[MÊS],$AE$1,tabela_registros[DIA],investirrendavariávelconsolidadofev[[#Headers],[28]],tabela_registros[REGISTRO],DADOS!$N$5,tabela_registros[TIPO],DADOS!$AB$4,tabela_registros[CATEGORIA],investirrendavariávelconsolidadofev[[#This Row],[ATUAL]])</f>
        <v>0</v>
      </c>
      <c r="AG141" s="119" t="n">
        <f aca="false">SUMIFS(tabela_registros[VALOR],tabela_registros[MÊS],$AE$1,tabela_registros[DIA],investirrendavariávelconsolidadofev[[#Headers],[29]],tabela_registros[REGISTRO],DADOS!$N$5,tabela_registros[TIPO],DADOS!$AB$4,tabela_registros[CATEGORIA],investirrendavariávelconsolidadofev[[#This Row],[ATUAL]])</f>
        <v>0</v>
      </c>
      <c r="AH141" s="119" t="n">
        <f aca="false">SUMIFS(tabela_registros[VALOR],tabela_registros[MÊS],$AE$1,tabela_registros[DIA],investirrendavariávelconsolidadofev[[#Headers],[30]],tabela_registros[REGISTRO],DADOS!$N$5,tabela_registros[TIPO],DADOS!$AB$4,tabela_registros[CATEGORIA],investirrendavariávelconsolidadofev[[#This Row],[ATUAL]])</f>
        <v>0</v>
      </c>
      <c r="AI141" s="217" t="n">
        <f aca="false">SUMIFS(tabela_registros[VALOR],tabela_registros[MÊS],$AE$1,tabela_registros[DIA],investirrendavariávelconsolidadofev[[#Headers],[31]],tabela_registros[REGISTRO],DADOS!$N$5,tabela_registros[TIPO],DADOS!$AB$4,tabela_registros[CATEGORIA],investirrendavariávelconsolidadofev[[#This Row],[ATUAL]])</f>
        <v>0</v>
      </c>
      <c r="AJ141" s="149" t="n">
        <f aca="false">SUM(investirrendavariávelconsolidadofev[[#This Row],[1]:[31]])</f>
        <v>0</v>
      </c>
      <c r="AK141" s="165"/>
    </row>
    <row r="142" s="122" customFormat="true" ht="21" hidden="false" customHeight="true" outlineLevel="0" collapsed="false">
      <c r="B142" s="152"/>
      <c r="C142" s="153" t="s">
        <v>2</v>
      </c>
      <c r="D142" s="166"/>
      <c r="E142" s="155" t="n">
        <f aca="false">SUM(E132:E141)</f>
        <v>0</v>
      </c>
      <c r="F142" s="156" t="n">
        <f aca="false">SUM(F132:F141)+investirrendavariávelconsolidadofev[[#This Row],[1]]</f>
        <v>0</v>
      </c>
      <c r="G142" s="156" t="n">
        <f aca="false">SUM(G132:G141)+investirrendavariávelconsolidadofev[[#This Row],[2]]</f>
        <v>0</v>
      </c>
      <c r="H142" s="156" t="n">
        <f aca="false">SUM(H132:H141)+investirrendavariávelconsolidadofev[[#This Row],[3]]</f>
        <v>0</v>
      </c>
      <c r="I142" s="156" t="n">
        <f aca="false">SUM(I132:I141)+investirrendavariávelconsolidadofev[[#This Row],[4]]</f>
        <v>0</v>
      </c>
      <c r="J142" s="156" t="n">
        <f aca="false">SUM(J132:J141)+investirrendavariávelconsolidadofev[[#This Row],[5]]</f>
        <v>0</v>
      </c>
      <c r="K142" s="156" t="n">
        <f aca="false">SUM(K132:K141)+investirrendavariávelconsolidadofev[[#This Row],[6]]</f>
        <v>0</v>
      </c>
      <c r="L142" s="156" t="n">
        <f aca="false">SUM(L132:L141)+investirrendavariávelconsolidadofev[[#This Row],[7]]</f>
        <v>0</v>
      </c>
      <c r="M142" s="156" t="n">
        <f aca="false">SUM(M132:M141)+investirrendavariávelconsolidadofev[[#This Row],[8]]</f>
        <v>0</v>
      </c>
      <c r="N142" s="156" t="n">
        <f aca="false">SUM(N132:N141)+investirrendavariávelconsolidadofev[[#This Row],[9]]</f>
        <v>0</v>
      </c>
      <c r="O142" s="156" t="n">
        <f aca="false">SUM(O132:O141)+investirrendavariávelconsolidadofev[[#This Row],[10]]</f>
        <v>0</v>
      </c>
      <c r="P142" s="156" t="n">
        <f aca="false">SUM(P132:P141)+investirrendavariávelconsolidadofev[[#This Row],[11]]</f>
        <v>0</v>
      </c>
      <c r="Q142" s="156" t="n">
        <f aca="false">SUM(Q132:Q141)+investirrendavariávelconsolidadofev[[#This Row],[12]]</f>
        <v>0</v>
      </c>
      <c r="R142" s="156" t="n">
        <f aca="false">SUM(R132:R141)+investirrendavariávelconsolidadofev[[#This Row],[13]]</f>
        <v>0</v>
      </c>
      <c r="S142" s="156" t="n">
        <f aca="false">SUM(S132:S141)+investirrendavariávelconsolidadofev[[#This Row],[14]]</f>
        <v>0</v>
      </c>
      <c r="T142" s="156" t="n">
        <f aca="false">SUM(T132:T141)+investirrendavariávelconsolidadofev[[#This Row],[15]]</f>
        <v>0</v>
      </c>
      <c r="U142" s="156" t="n">
        <f aca="false">SUM(U132:U141)+investirrendavariávelconsolidadofev[[#This Row],[16]]</f>
        <v>0</v>
      </c>
      <c r="V142" s="156" t="n">
        <f aca="false">SUM(V132:V141)+investirrendavariávelconsolidadofev[[#This Row],[17]]</f>
        <v>0</v>
      </c>
      <c r="W142" s="156" t="n">
        <f aca="false">SUM(W132:W141)+investirrendavariávelconsolidadofev[[#This Row],[18]]</f>
        <v>0</v>
      </c>
      <c r="X142" s="156" t="n">
        <f aca="false">SUM(X132:X141)+investirrendavariávelconsolidadofev[[#This Row],[19]]</f>
        <v>0</v>
      </c>
      <c r="Y142" s="156" t="n">
        <f aca="false">SUM(Y132:Y141)+investirrendavariávelconsolidadofev[[#This Row],[20]]</f>
        <v>0</v>
      </c>
      <c r="Z142" s="156" t="n">
        <f aca="false">SUM(Z132:Z141)+investirrendavariávelconsolidadofev[[#This Row],[21]]</f>
        <v>0</v>
      </c>
      <c r="AA142" s="156" t="n">
        <f aca="false">SUM(AA132:AA141)+investirrendavariávelconsolidadofev[[#This Row],[22]]</f>
        <v>0</v>
      </c>
      <c r="AB142" s="156" t="n">
        <f aca="false">SUM(AB132:AB141)+investirrendavariávelconsolidadofev[[#This Row],[23]]</f>
        <v>0</v>
      </c>
      <c r="AC142" s="156" t="n">
        <f aca="false">SUM(AC132:AC141)+investirrendavariávelconsolidadofev[[#This Row],[24]]</f>
        <v>0</v>
      </c>
      <c r="AD142" s="156" t="n">
        <f aca="false">SUM(AD132:AD141)+investirrendavariávelconsolidadofev[[#This Row],[25]]</f>
        <v>0</v>
      </c>
      <c r="AE142" s="156" t="n">
        <f aca="false">SUM(AE132:AE141)+investirrendavariávelconsolidadofev[[#This Row],[26]]</f>
        <v>0</v>
      </c>
      <c r="AF142" s="156" t="n">
        <f aca="false">SUM(AF132:AF141)+investirrendavariávelconsolidadofev[[#This Row],[27]]</f>
        <v>0</v>
      </c>
      <c r="AG142" s="156" t="n">
        <f aca="false">SUM(AG132:AG141)+investirrendavariávelconsolidadofev[[#This Row],[28]]</f>
        <v>0</v>
      </c>
      <c r="AH142" s="156" t="n">
        <f aca="false">SUM(AH132:AH141)+investirrendavariávelconsolidadofev[[#This Row],[29]]</f>
        <v>0</v>
      </c>
      <c r="AI142" s="223" t="n">
        <f aca="false">SUM(AI132:AI141)+investirrendavariávelconsolidadofev[[#This Row],[30]]</f>
        <v>0</v>
      </c>
      <c r="AJ142" s="157" t="n">
        <f aca="false">investirrendavariávelconsolidadofev[[#This Row],[31]]</f>
        <v>0</v>
      </c>
      <c r="AK142" s="158"/>
    </row>
    <row r="143" customFormat="false" ht="6.75" hidden="false" customHeight="true" outlineLevel="0" collapsed="false">
      <c r="B143" s="97"/>
      <c r="C143" s="162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233"/>
      <c r="AJ143" s="164"/>
      <c r="AK143" s="244"/>
    </row>
    <row r="144" s="78" customFormat="true" ht="12.75" hidden="false" customHeight="false" outlineLevel="0" collapsed="false">
      <c r="E144" s="100"/>
    </row>
    <row r="145" s="78" customFormat="true" ht="12" hidden="false" customHeight="false" outlineLevel="0" collapsed="false"/>
    <row r="146" s="78" customFormat="true" ht="12" hidden="false" customHeight="false" outlineLevel="0" collapsed="false"/>
    <row r="147" customFormat="false" ht="39.75" hidden="false" customHeight="true" outlineLevel="0" collapsed="false">
      <c r="C147" s="101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3" t="s">
        <v>2</v>
      </c>
    </row>
    <row r="148" s="78" customFormat="true" ht="12.75" hidden="false" customHeight="false" outlineLevel="0" collapsed="false">
      <c r="B148" s="161"/>
      <c r="AJ148" s="106" t="s">
        <v>64</v>
      </c>
    </row>
    <row r="149" customFormat="false" ht="6.75" hidden="false" customHeight="true" outlineLevel="0" collapsed="false">
      <c r="B149" s="86"/>
      <c r="C149" s="162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233"/>
      <c r="AK149" s="139"/>
    </row>
    <row r="150" customFormat="false" ht="13.5" hidden="true" customHeight="false" outlineLevel="0" collapsed="false">
      <c r="B150" s="86"/>
      <c r="C150" s="109" t="s">
        <v>68</v>
      </c>
      <c r="D150" s="110" t="s">
        <v>69</v>
      </c>
      <c r="E150" s="110" t="s">
        <v>30</v>
      </c>
      <c r="F150" s="110" t="s">
        <v>31</v>
      </c>
      <c r="G150" s="110" t="s">
        <v>32</v>
      </c>
      <c r="H150" s="110" t="s">
        <v>33</v>
      </c>
      <c r="I150" s="110" t="s">
        <v>34</v>
      </c>
      <c r="J150" s="110" t="s">
        <v>35</v>
      </c>
      <c r="K150" s="110" t="s">
        <v>36</v>
      </c>
      <c r="L150" s="110" t="s">
        <v>37</v>
      </c>
      <c r="M150" s="110" t="s">
        <v>38</v>
      </c>
      <c r="N150" s="110" t="s">
        <v>39</v>
      </c>
      <c r="O150" s="110" t="s">
        <v>40</v>
      </c>
      <c r="P150" s="110" t="s">
        <v>41</v>
      </c>
      <c r="Q150" s="110" t="s">
        <v>81</v>
      </c>
      <c r="R150" s="110" t="s">
        <v>82</v>
      </c>
      <c r="S150" s="110" t="s">
        <v>83</v>
      </c>
      <c r="T150" s="110" t="s">
        <v>84</v>
      </c>
      <c r="U150" s="110" t="s">
        <v>85</v>
      </c>
      <c r="V150" s="110" t="s">
        <v>86</v>
      </c>
      <c r="W150" s="110" t="s">
        <v>87</v>
      </c>
      <c r="X150" s="110" t="s">
        <v>88</v>
      </c>
      <c r="Y150" s="110" t="s">
        <v>89</v>
      </c>
      <c r="Z150" s="110" t="s">
        <v>90</v>
      </c>
      <c r="AA150" s="110" t="s">
        <v>91</v>
      </c>
      <c r="AB150" s="110" t="s">
        <v>92</v>
      </c>
      <c r="AC150" s="110" t="s">
        <v>93</v>
      </c>
      <c r="AD150" s="110" t="s">
        <v>94</v>
      </c>
      <c r="AE150" s="110" t="s">
        <v>95</v>
      </c>
      <c r="AF150" s="110" t="s">
        <v>96</v>
      </c>
      <c r="AG150" s="110" t="s">
        <v>97</v>
      </c>
      <c r="AH150" s="110" t="s">
        <v>98</v>
      </c>
      <c r="AI150" s="110" t="s">
        <v>99</v>
      </c>
      <c r="AJ150" s="111" t="s">
        <v>70</v>
      </c>
      <c r="AK150" s="86"/>
    </row>
    <row r="151" customFormat="false" ht="19.5" hidden="false" customHeight="true" outlineLevel="0" collapsed="false">
      <c r="B151" s="143"/>
      <c r="C151" s="144" t="str">
        <f aca="false">DADOS!$AH$3</f>
        <v>📝 COE</v>
      </c>
      <c r="D151" s="145" t="str">
        <f aca="false">IF(investiroutrosconsolidadofev[[#This Row],[TOTAL (R$)]]=0,"",IF(OR(investiroutrosconsolidadofev[[#This Row],[TOTAL (R$)]]=LARGE($AJ$151:$AJ$158,1),investiroutrosconsolidadofev[[#This Row],[TOTAL (R$)]]=LARGE($AJ$151:$AJ$158,2)),DADOS!$I$10,""))</f>
        <v/>
      </c>
      <c r="E151" s="148" t="n">
        <f aca="false">SUMIFS(tabela_registros[VALOR],tabela_registros[MÊS],$AE$1,tabela_registros[DIA],investiroutrosconsolidadofev[[#Headers],[1]],tabela_registros[REGISTRO],DADOS!$N$5,tabela_registros[TIPO],DADOS!$AB$5,tabela_registros[CATEGORIA],investiroutrosconsolidadofev[[#This Row],[ATUAL]])</f>
        <v>0</v>
      </c>
      <c r="F151" s="119" t="n">
        <f aca="false">SUMIFS(tabela_registros[VALOR],tabela_registros[MÊS],$AE$1,tabela_registros[DIA],investiroutrosconsolidadofev[[#Headers],[2]],tabela_registros[REGISTRO],DADOS!$N$5,tabela_registros[TIPO],DADOS!$AB$5,tabela_registros[CATEGORIA],investiroutrosconsolidadofev[[#This Row],[ATUAL]])</f>
        <v>0</v>
      </c>
      <c r="G151" s="119" t="n">
        <f aca="false">SUMIFS(tabela_registros[VALOR],tabela_registros[MÊS],$AE$1,tabela_registros[DIA],investiroutrosconsolidadofev[[#Headers],[3]],tabela_registros[REGISTRO],DADOS!$N$5,tabela_registros[TIPO],DADOS!$AB$5,tabela_registros[CATEGORIA],investiroutrosconsolidadofev[[#This Row],[ATUAL]])</f>
        <v>0</v>
      </c>
      <c r="H151" s="119" t="n">
        <f aca="false">SUMIFS(tabela_registros[VALOR],tabela_registros[MÊS],$AE$1,tabela_registros[DIA],investiroutrosconsolidadofev[[#Headers],[4]],tabela_registros[REGISTRO],DADOS!$N$5,tabela_registros[TIPO],DADOS!$AB$5,tabela_registros[CATEGORIA],investiroutrosconsolidadofev[[#This Row],[ATUAL]])</f>
        <v>0</v>
      </c>
      <c r="I151" s="119" t="n">
        <f aca="false">SUMIFS(tabela_registros[VALOR],tabela_registros[MÊS],$AE$1,tabela_registros[DIA],investiroutrosconsolidadofev[[#Headers],[5]],tabela_registros[REGISTRO],DADOS!$N$5,tabela_registros[TIPO],DADOS!$AB$5,tabela_registros[CATEGORIA],investiroutrosconsolidadofev[[#This Row],[ATUAL]])</f>
        <v>0</v>
      </c>
      <c r="J151" s="119" t="n">
        <f aca="false">SUMIFS(tabela_registros[VALOR],tabela_registros[MÊS],$AE$1,tabela_registros[DIA],investiroutrosconsolidadofev[[#Headers],[6]],tabela_registros[REGISTRO],DADOS!$N$5,tabela_registros[TIPO],DADOS!$AB$5,tabela_registros[CATEGORIA],investiroutrosconsolidadofev[[#This Row],[ATUAL]])</f>
        <v>0</v>
      </c>
      <c r="K151" s="119" t="n">
        <f aca="false">SUMIFS(tabela_registros[VALOR],tabela_registros[MÊS],$AE$1,tabela_registros[DIA],investiroutrosconsolidadofev[[#Headers],[7]],tabela_registros[REGISTRO],DADOS!$N$5,tabela_registros[TIPO],DADOS!$AB$5,tabela_registros[CATEGORIA],investiroutrosconsolidadofev[[#This Row],[ATUAL]])</f>
        <v>0</v>
      </c>
      <c r="L151" s="119" t="n">
        <f aca="false">SUMIFS(tabela_registros[VALOR],tabela_registros[MÊS],$AE$1,tabela_registros[DIA],investiroutrosconsolidadofev[[#Headers],[8]],tabela_registros[REGISTRO],DADOS!$N$5,tabela_registros[TIPO],DADOS!$AB$5,tabela_registros[CATEGORIA],investiroutrosconsolidadofev[[#This Row],[ATUAL]])</f>
        <v>0</v>
      </c>
      <c r="M151" s="119" t="n">
        <f aca="false">SUMIFS(tabela_registros[VALOR],tabela_registros[MÊS],$AE$1,tabela_registros[DIA],investiroutrosconsolidadofev[[#Headers],[9]],tabela_registros[REGISTRO],DADOS!$N$5,tabela_registros[TIPO],DADOS!$AB$5,tabela_registros[CATEGORIA],investiroutrosconsolidadofev[[#This Row],[ATUAL]])</f>
        <v>0</v>
      </c>
      <c r="N151" s="119" t="n">
        <f aca="false">SUMIFS(tabela_registros[VALOR],tabela_registros[MÊS],$AE$1,tabela_registros[DIA],investiroutrosconsolidadofev[[#Headers],[10]],tabela_registros[REGISTRO],DADOS!$N$5,tabela_registros[TIPO],DADOS!$AB$5,tabela_registros[CATEGORIA],investiroutrosconsolidadofev[[#This Row],[ATUAL]])</f>
        <v>0</v>
      </c>
      <c r="O151" s="119" t="n">
        <f aca="false">SUMIFS(tabela_registros[VALOR],tabela_registros[MÊS],$AE$1,tabela_registros[DIA],investiroutrosconsolidadofev[[#Headers],[11]],tabela_registros[REGISTRO],DADOS!$N$5,tabela_registros[TIPO],DADOS!$AB$5,tabela_registros[CATEGORIA],investiroutrosconsolidadofev[[#This Row],[ATUAL]])</f>
        <v>0</v>
      </c>
      <c r="P151" s="119" t="n">
        <f aca="false">SUMIFS(tabela_registros[VALOR],tabela_registros[MÊS],$AE$1,tabela_registros[DIA],investiroutrosconsolidadofev[[#Headers],[12]],tabela_registros[REGISTRO],DADOS!$N$5,tabela_registros[TIPO],DADOS!$AB$5,tabela_registros[CATEGORIA],investiroutrosconsolidadofev[[#This Row],[ATUAL]])</f>
        <v>0</v>
      </c>
      <c r="Q151" s="119" t="n">
        <f aca="false">SUMIFS(tabela_registros[VALOR],tabela_registros[MÊS],$AE$1,tabela_registros[DIA],investiroutrosconsolidadofev[[#Headers],[13]],tabela_registros[REGISTRO],DADOS!$N$5,tabela_registros[TIPO],DADOS!$AB$5,tabela_registros[CATEGORIA],investiroutrosconsolidadofev[[#This Row],[ATUAL]])</f>
        <v>0</v>
      </c>
      <c r="R151" s="119" t="n">
        <f aca="false">SUMIFS(tabela_registros[VALOR],tabela_registros[MÊS],$AE$1,tabela_registros[DIA],investiroutrosconsolidadofev[[#Headers],[14]],tabela_registros[REGISTRO],DADOS!$N$5,tabela_registros[TIPO],DADOS!$AB$5,tabela_registros[CATEGORIA],investiroutrosconsolidadofev[[#This Row],[ATUAL]])</f>
        <v>0</v>
      </c>
      <c r="S151" s="119" t="n">
        <f aca="false">SUMIFS(tabela_registros[VALOR],tabela_registros[MÊS],$AE$1,tabela_registros[DIA],investiroutrosconsolidadofev[[#Headers],[15]],tabela_registros[REGISTRO],DADOS!$N$5,tabela_registros[TIPO],DADOS!$AB$5,tabela_registros[CATEGORIA],investiroutrosconsolidadofev[[#This Row],[ATUAL]])</f>
        <v>0</v>
      </c>
      <c r="T151" s="119" t="n">
        <f aca="false">SUMIFS(tabela_registros[VALOR],tabela_registros[MÊS],$AE$1,tabela_registros[DIA],investiroutrosconsolidadofev[[#Headers],[16]],tabela_registros[REGISTRO],DADOS!$N$5,tabela_registros[TIPO],DADOS!$AB$5,tabela_registros[CATEGORIA],investiroutrosconsolidadofev[[#This Row],[ATUAL]])</f>
        <v>0</v>
      </c>
      <c r="U151" s="119" t="n">
        <f aca="false">SUMIFS(tabela_registros[VALOR],tabela_registros[MÊS],$AE$1,tabela_registros[DIA],investiroutrosconsolidadofev[[#Headers],[17]],tabela_registros[REGISTRO],DADOS!$N$5,tabela_registros[TIPO],DADOS!$AB$5,tabela_registros[CATEGORIA],investiroutrosconsolidadofev[[#This Row],[ATUAL]])</f>
        <v>0</v>
      </c>
      <c r="V151" s="119" t="n">
        <f aca="false">SUMIFS(tabela_registros[VALOR],tabela_registros[MÊS],$AE$1,tabela_registros[DIA],investiroutrosconsolidadofev[[#Headers],[18]],tabela_registros[REGISTRO],DADOS!$N$5,tabela_registros[TIPO],DADOS!$AB$5,tabela_registros[CATEGORIA],investiroutrosconsolidadofev[[#This Row],[ATUAL]])</f>
        <v>0</v>
      </c>
      <c r="W151" s="119" t="n">
        <f aca="false">SUMIFS(tabela_registros[VALOR],tabela_registros[MÊS],$AE$1,tabela_registros[DIA],investiroutrosconsolidadofev[[#Headers],[19]],tabela_registros[REGISTRO],DADOS!$N$5,tabela_registros[TIPO],DADOS!$AB$5,tabela_registros[CATEGORIA],investiroutrosconsolidadofev[[#This Row],[ATUAL]])</f>
        <v>0</v>
      </c>
      <c r="X151" s="119" t="n">
        <f aca="false">SUMIFS(tabela_registros[VALOR],tabela_registros[MÊS],$AE$1,tabela_registros[DIA],investiroutrosconsolidadofev[[#Headers],[20]],tabela_registros[REGISTRO],DADOS!$N$5,tabela_registros[TIPO],DADOS!$AB$5,tabela_registros[CATEGORIA],investiroutrosconsolidadofev[[#This Row],[ATUAL]])</f>
        <v>0</v>
      </c>
      <c r="Y151" s="119" t="n">
        <f aca="false">SUMIFS(tabela_registros[VALOR],tabela_registros[MÊS],$AE$1,tabela_registros[DIA],investiroutrosconsolidadofev[[#Headers],[21]],tabela_registros[REGISTRO],DADOS!$N$5,tabela_registros[TIPO],DADOS!$AB$5,tabela_registros[CATEGORIA],investiroutrosconsolidadofev[[#This Row],[ATUAL]])</f>
        <v>0</v>
      </c>
      <c r="Z151" s="119" t="n">
        <f aca="false">SUMIFS(tabela_registros[VALOR],tabela_registros[MÊS],$AE$1,tabela_registros[DIA],investiroutrosconsolidadofev[[#Headers],[22]],tabela_registros[REGISTRO],DADOS!$N$5,tabela_registros[TIPO],DADOS!$AB$5,tabela_registros[CATEGORIA],investiroutrosconsolidadofev[[#This Row],[ATUAL]])</f>
        <v>0</v>
      </c>
      <c r="AA151" s="119" t="n">
        <f aca="false">SUMIFS(tabela_registros[VALOR],tabela_registros[MÊS],$AE$1,tabela_registros[DIA],investiroutrosconsolidadofev[[#Headers],[23]],tabela_registros[REGISTRO],DADOS!$N$5,tabela_registros[TIPO],DADOS!$AB$5,tabela_registros[CATEGORIA],investiroutrosconsolidadofev[[#This Row],[ATUAL]])</f>
        <v>0</v>
      </c>
      <c r="AB151" s="119" t="n">
        <f aca="false">SUMIFS(tabela_registros[VALOR],tabela_registros[MÊS],$AE$1,tabela_registros[DIA],investiroutrosconsolidadofev[[#Headers],[24]],tabela_registros[REGISTRO],DADOS!$N$5,tabela_registros[TIPO],DADOS!$AB$5,tabela_registros[CATEGORIA],investiroutrosconsolidadofev[[#This Row],[ATUAL]])</f>
        <v>0</v>
      </c>
      <c r="AC151" s="119" t="n">
        <f aca="false">SUMIFS(tabela_registros[VALOR],tabela_registros[MÊS],$AE$1,tabela_registros[DIA],investiroutrosconsolidadofev[[#Headers],[25]],tabela_registros[REGISTRO],DADOS!$N$5,tabela_registros[TIPO],DADOS!$AB$5,tabela_registros[CATEGORIA],investiroutrosconsolidadofev[[#This Row],[ATUAL]])</f>
        <v>0</v>
      </c>
      <c r="AD151" s="119" t="n">
        <f aca="false">SUMIFS(tabela_registros[VALOR],tabela_registros[MÊS],$AE$1,tabela_registros[DIA],investiroutrosconsolidadofev[[#Headers],[26]],tabela_registros[REGISTRO],DADOS!$N$5,tabela_registros[TIPO],DADOS!$AB$5,tabela_registros[CATEGORIA],investiroutrosconsolidadofev[[#This Row],[ATUAL]])</f>
        <v>0</v>
      </c>
      <c r="AE151" s="119" t="n">
        <f aca="false">SUMIFS(tabela_registros[VALOR],tabela_registros[MÊS],$AE$1,tabela_registros[DIA],investiroutrosconsolidadofev[[#Headers],[27]],tabela_registros[REGISTRO],DADOS!$N$5,tabela_registros[TIPO],DADOS!$AB$5,tabela_registros[CATEGORIA],investiroutrosconsolidadofev[[#This Row],[ATUAL]])</f>
        <v>0</v>
      </c>
      <c r="AF151" s="119" t="n">
        <f aca="false">SUMIFS(tabela_registros[VALOR],tabela_registros[MÊS],$AE$1,tabela_registros[DIA],investiroutrosconsolidadofev[[#Headers],[28]],tabela_registros[REGISTRO],DADOS!$N$5,tabela_registros[TIPO],DADOS!$AB$5,tabela_registros[CATEGORIA],investiroutrosconsolidadofev[[#This Row],[ATUAL]])</f>
        <v>0</v>
      </c>
      <c r="AG151" s="119" t="n">
        <f aca="false">SUMIFS(tabela_registros[VALOR],tabela_registros[MÊS],$AE$1,tabela_registros[DIA],investiroutrosconsolidadofev[[#Headers],[29]],tabela_registros[REGISTRO],DADOS!$N$5,tabela_registros[TIPO],DADOS!$AB$5,tabela_registros[CATEGORIA],investiroutrosconsolidadofev[[#This Row],[ATUAL]])</f>
        <v>0</v>
      </c>
      <c r="AH151" s="119" t="n">
        <f aca="false">SUMIFS(tabela_registros[VALOR],tabela_registros[MÊS],$AE$1,tabela_registros[DIA],investiroutrosconsolidadofev[[#Headers],[30]],tabela_registros[REGISTRO],DADOS!$N$5,tabela_registros[TIPO],DADOS!$AB$5,tabela_registros[CATEGORIA],investiroutrosconsolidadofev[[#This Row],[ATUAL]])</f>
        <v>0</v>
      </c>
      <c r="AI151" s="217" t="n">
        <f aca="false">SUMIFS(tabela_registros[VALOR],tabela_registros[MÊS],$AE$1,tabela_registros[DIA],investiroutrosconsolidadofev[[#Headers],[31]],tabela_registros[REGISTRO],DADOS!$N$5,tabela_registros[TIPO],DADOS!$AB$5,tabela_registros[CATEGORIA],investiroutrosconsolidadofev[[#This Row],[ATUAL]])</f>
        <v>0</v>
      </c>
      <c r="AJ151" s="149" t="n">
        <f aca="false">SUM(investiroutrosconsolidadofev[[#This Row],[1]:[31]])</f>
        <v>0</v>
      </c>
      <c r="AK151" s="165"/>
    </row>
    <row r="152" customFormat="false" ht="19.5" hidden="false" customHeight="true" outlineLevel="0" collapsed="false">
      <c r="B152" s="143"/>
      <c r="C152" s="144" t="str">
        <f aca="false">DADOS!$AH$4</f>
        <v>📝 FOREX</v>
      </c>
      <c r="D152" s="145" t="str">
        <f aca="false">IF(investiroutrosconsolidadofev[[#This Row],[TOTAL (R$)]]=0,"",IF(OR(investiroutrosconsolidadofev[[#This Row],[TOTAL (R$)]]=LARGE($AJ$151:$AJ$158,1),investiroutrosconsolidadofev[[#This Row],[TOTAL (R$)]]=LARGE($AJ$151:$AJ$158,2)),DADOS!$I$10,""))</f>
        <v/>
      </c>
      <c r="E152" s="148" t="n">
        <f aca="false">SUMIFS(tabela_registros[VALOR],tabela_registros[MÊS],$AE$1,tabela_registros[DIA],investiroutrosconsolidadofev[[#Headers],[1]],tabela_registros[REGISTRO],DADOS!$N$5,tabela_registros[TIPO],DADOS!$AB$5,tabela_registros[CATEGORIA],investiroutrosconsolidadofev[[#This Row],[ATUAL]])</f>
        <v>0</v>
      </c>
      <c r="F152" s="119" t="n">
        <f aca="false">SUMIFS(tabela_registros[VALOR],tabela_registros[MÊS],$AE$1,tabela_registros[DIA],investiroutrosconsolidadofev[[#Headers],[2]],tabela_registros[REGISTRO],DADOS!$N$5,tabela_registros[TIPO],DADOS!$AB$5,tabela_registros[CATEGORIA],investiroutrosconsolidadofev[[#This Row],[ATUAL]])</f>
        <v>0</v>
      </c>
      <c r="G152" s="119" t="n">
        <f aca="false">SUMIFS(tabela_registros[VALOR],tabela_registros[MÊS],$AE$1,tabela_registros[DIA],investiroutrosconsolidadofev[[#Headers],[3]],tabela_registros[REGISTRO],DADOS!$N$5,tabela_registros[TIPO],DADOS!$AB$5,tabela_registros[CATEGORIA],investiroutrosconsolidadofev[[#This Row],[ATUAL]])</f>
        <v>0</v>
      </c>
      <c r="H152" s="119" t="n">
        <f aca="false">SUMIFS(tabela_registros[VALOR],tabela_registros[MÊS],$AE$1,tabela_registros[DIA],investiroutrosconsolidadofev[[#Headers],[4]],tabela_registros[REGISTRO],DADOS!$N$5,tabela_registros[TIPO],DADOS!$AB$5,tabela_registros[CATEGORIA],investiroutrosconsolidadofev[[#This Row],[ATUAL]])</f>
        <v>0</v>
      </c>
      <c r="I152" s="119" t="n">
        <f aca="false">SUMIFS(tabela_registros[VALOR],tabela_registros[MÊS],$AE$1,tabela_registros[DIA],investiroutrosconsolidadofev[[#Headers],[5]],tabela_registros[REGISTRO],DADOS!$N$5,tabela_registros[TIPO],DADOS!$AB$5,tabela_registros[CATEGORIA],investiroutrosconsolidadofev[[#This Row],[ATUAL]])</f>
        <v>0</v>
      </c>
      <c r="J152" s="119" t="n">
        <f aca="false">SUMIFS(tabela_registros[VALOR],tabela_registros[MÊS],$AE$1,tabela_registros[DIA],investiroutrosconsolidadofev[[#Headers],[6]],tabela_registros[REGISTRO],DADOS!$N$5,tabela_registros[TIPO],DADOS!$AB$5,tabela_registros[CATEGORIA],investiroutrosconsolidadofev[[#This Row],[ATUAL]])</f>
        <v>0</v>
      </c>
      <c r="K152" s="119" t="n">
        <f aca="false">SUMIFS(tabela_registros[VALOR],tabela_registros[MÊS],$AE$1,tabela_registros[DIA],investiroutrosconsolidadofev[[#Headers],[7]],tabela_registros[REGISTRO],DADOS!$N$5,tabela_registros[TIPO],DADOS!$AB$5,tabela_registros[CATEGORIA],investiroutrosconsolidadofev[[#This Row],[ATUAL]])</f>
        <v>0</v>
      </c>
      <c r="L152" s="119" t="n">
        <f aca="false">SUMIFS(tabela_registros[VALOR],tabela_registros[MÊS],$AE$1,tabela_registros[DIA],investiroutrosconsolidadofev[[#Headers],[8]],tabela_registros[REGISTRO],DADOS!$N$5,tabela_registros[TIPO],DADOS!$AB$5,tabela_registros[CATEGORIA],investiroutrosconsolidadofev[[#This Row],[ATUAL]])</f>
        <v>0</v>
      </c>
      <c r="M152" s="119" t="n">
        <f aca="false">SUMIFS(tabela_registros[VALOR],tabela_registros[MÊS],$AE$1,tabela_registros[DIA],investiroutrosconsolidadofev[[#Headers],[9]],tabela_registros[REGISTRO],DADOS!$N$5,tabela_registros[TIPO],DADOS!$AB$5,tabela_registros[CATEGORIA],investiroutrosconsolidadofev[[#This Row],[ATUAL]])</f>
        <v>0</v>
      </c>
      <c r="N152" s="119" t="n">
        <f aca="false">SUMIFS(tabela_registros[VALOR],tabela_registros[MÊS],$AE$1,tabela_registros[DIA],investiroutrosconsolidadofev[[#Headers],[10]],tabela_registros[REGISTRO],DADOS!$N$5,tabela_registros[TIPO],DADOS!$AB$5,tabela_registros[CATEGORIA],investiroutrosconsolidadofev[[#This Row],[ATUAL]])</f>
        <v>0</v>
      </c>
      <c r="O152" s="119" t="n">
        <f aca="false">SUMIFS(tabela_registros[VALOR],tabela_registros[MÊS],$AE$1,tabela_registros[DIA],investiroutrosconsolidadofev[[#Headers],[11]],tabela_registros[REGISTRO],DADOS!$N$5,tabela_registros[TIPO],DADOS!$AB$5,tabela_registros[CATEGORIA],investiroutrosconsolidadofev[[#This Row],[ATUAL]])</f>
        <v>0</v>
      </c>
      <c r="P152" s="119" t="n">
        <f aca="false">SUMIFS(tabela_registros[VALOR],tabela_registros[MÊS],$AE$1,tabela_registros[DIA],investiroutrosconsolidadofev[[#Headers],[12]],tabela_registros[REGISTRO],DADOS!$N$5,tabela_registros[TIPO],DADOS!$AB$5,tabela_registros[CATEGORIA],investiroutrosconsolidadofev[[#This Row],[ATUAL]])</f>
        <v>0</v>
      </c>
      <c r="Q152" s="119" t="n">
        <f aca="false">SUMIFS(tabela_registros[VALOR],tabela_registros[MÊS],$AE$1,tabela_registros[DIA],investiroutrosconsolidadofev[[#Headers],[13]],tabela_registros[REGISTRO],DADOS!$N$5,tabela_registros[TIPO],DADOS!$AB$5,tabela_registros[CATEGORIA],investiroutrosconsolidadofev[[#This Row],[ATUAL]])</f>
        <v>0</v>
      </c>
      <c r="R152" s="119" t="n">
        <f aca="false">SUMIFS(tabela_registros[VALOR],tabela_registros[MÊS],$AE$1,tabela_registros[DIA],investiroutrosconsolidadofev[[#Headers],[14]],tabela_registros[REGISTRO],DADOS!$N$5,tabela_registros[TIPO],DADOS!$AB$5,tabela_registros[CATEGORIA],investiroutrosconsolidadofev[[#This Row],[ATUAL]])</f>
        <v>0</v>
      </c>
      <c r="S152" s="119" t="n">
        <f aca="false">SUMIFS(tabela_registros[VALOR],tabela_registros[MÊS],$AE$1,tabela_registros[DIA],investiroutrosconsolidadofev[[#Headers],[15]],tabela_registros[REGISTRO],DADOS!$N$5,tabela_registros[TIPO],DADOS!$AB$5,tabela_registros[CATEGORIA],investiroutrosconsolidadofev[[#This Row],[ATUAL]])</f>
        <v>0</v>
      </c>
      <c r="T152" s="119" t="n">
        <f aca="false">SUMIFS(tabela_registros[VALOR],tabela_registros[MÊS],$AE$1,tabela_registros[DIA],investiroutrosconsolidadofev[[#Headers],[16]],tabela_registros[REGISTRO],DADOS!$N$5,tabela_registros[TIPO],DADOS!$AB$5,tabela_registros[CATEGORIA],investiroutrosconsolidadofev[[#This Row],[ATUAL]])</f>
        <v>0</v>
      </c>
      <c r="U152" s="119" t="n">
        <f aca="false">SUMIFS(tabela_registros[VALOR],tabela_registros[MÊS],$AE$1,tabela_registros[DIA],investiroutrosconsolidadofev[[#Headers],[17]],tabela_registros[REGISTRO],DADOS!$N$5,tabela_registros[TIPO],DADOS!$AB$5,tabela_registros[CATEGORIA],investiroutrosconsolidadofev[[#This Row],[ATUAL]])</f>
        <v>0</v>
      </c>
      <c r="V152" s="119" t="n">
        <f aca="false">SUMIFS(tabela_registros[VALOR],tabela_registros[MÊS],$AE$1,tabela_registros[DIA],investiroutrosconsolidadofev[[#Headers],[18]],tabela_registros[REGISTRO],DADOS!$N$5,tabela_registros[TIPO],DADOS!$AB$5,tabela_registros[CATEGORIA],investiroutrosconsolidadofev[[#This Row],[ATUAL]])</f>
        <v>0</v>
      </c>
      <c r="W152" s="119" t="n">
        <f aca="false">SUMIFS(tabela_registros[VALOR],tabela_registros[MÊS],$AE$1,tabela_registros[DIA],investiroutrosconsolidadofev[[#Headers],[19]],tabela_registros[REGISTRO],DADOS!$N$5,tabela_registros[TIPO],DADOS!$AB$5,tabela_registros[CATEGORIA],investiroutrosconsolidadofev[[#This Row],[ATUAL]])</f>
        <v>0</v>
      </c>
      <c r="X152" s="119" t="n">
        <f aca="false">SUMIFS(tabela_registros[VALOR],tabela_registros[MÊS],$AE$1,tabela_registros[DIA],investiroutrosconsolidadofev[[#Headers],[20]],tabela_registros[REGISTRO],DADOS!$N$5,tabela_registros[TIPO],DADOS!$AB$5,tabela_registros[CATEGORIA],investiroutrosconsolidadofev[[#This Row],[ATUAL]])</f>
        <v>0</v>
      </c>
      <c r="Y152" s="119" t="n">
        <f aca="false">SUMIFS(tabela_registros[VALOR],tabela_registros[MÊS],$AE$1,tabela_registros[DIA],investiroutrosconsolidadofev[[#Headers],[21]],tabela_registros[REGISTRO],DADOS!$N$5,tabela_registros[TIPO],DADOS!$AB$5,tabela_registros[CATEGORIA],investiroutrosconsolidadofev[[#This Row],[ATUAL]])</f>
        <v>0</v>
      </c>
      <c r="Z152" s="119" t="n">
        <f aca="false">SUMIFS(tabela_registros[VALOR],tabela_registros[MÊS],$AE$1,tabela_registros[DIA],investiroutrosconsolidadofev[[#Headers],[22]],tabela_registros[REGISTRO],DADOS!$N$5,tabela_registros[TIPO],DADOS!$AB$5,tabela_registros[CATEGORIA],investiroutrosconsolidadofev[[#This Row],[ATUAL]])</f>
        <v>0</v>
      </c>
      <c r="AA152" s="119" t="n">
        <f aca="false">SUMIFS(tabela_registros[VALOR],tabela_registros[MÊS],$AE$1,tabela_registros[DIA],investiroutrosconsolidadofev[[#Headers],[23]],tabela_registros[REGISTRO],DADOS!$N$5,tabela_registros[TIPO],DADOS!$AB$5,tabela_registros[CATEGORIA],investiroutrosconsolidadofev[[#This Row],[ATUAL]])</f>
        <v>0</v>
      </c>
      <c r="AB152" s="119" t="n">
        <f aca="false">SUMIFS(tabela_registros[VALOR],tabela_registros[MÊS],$AE$1,tabela_registros[DIA],investiroutrosconsolidadofev[[#Headers],[24]],tabela_registros[REGISTRO],DADOS!$N$5,tabela_registros[TIPO],DADOS!$AB$5,tabela_registros[CATEGORIA],investiroutrosconsolidadofev[[#This Row],[ATUAL]])</f>
        <v>0</v>
      </c>
      <c r="AC152" s="119" t="n">
        <f aca="false">SUMIFS(tabela_registros[VALOR],tabela_registros[MÊS],$AE$1,tabela_registros[DIA],investiroutrosconsolidadofev[[#Headers],[25]],tabela_registros[REGISTRO],DADOS!$N$5,tabela_registros[TIPO],DADOS!$AB$5,tabela_registros[CATEGORIA],investiroutrosconsolidadofev[[#This Row],[ATUAL]])</f>
        <v>0</v>
      </c>
      <c r="AD152" s="119" t="n">
        <f aca="false">SUMIFS(tabela_registros[VALOR],tabela_registros[MÊS],$AE$1,tabela_registros[DIA],investiroutrosconsolidadofev[[#Headers],[26]],tabela_registros[REGISTRO],DADOS!$N$5,tabela_registros[TIPO],DADOS!$AB$5,tabela_registros[CATEGORIA],investiroutrosconsolidadofev[[#This Row],[ATUAL]])</f>
        <v>0</v>
      </c>
      <c r="AE152" s="119" t="n">
        <f aca="false">SUMIFS(tabela_registros[VALOR],tabela_registros[MÊS],$AE$1,tabela_registros[DIA],investiroutrosconsolidadofev[[#Headers],[27]],tabela_registros[REGISTRO],DADOS!$N$5,tabela_registros[TIPO],DADOS!$AB$5,tabela_registros[CATEGORIA],investiroutrosconsolidadofev[[#This Row],[ATUAL]])</f>
        <v>0</v>
      </c>
      <c r="AF152" s="119" t="n">
        <f aca="false">SUMIFS(tabela_registros[VALOR],tabela_registros[MÊS],$AE$1,tabela_registros[DIA],investiroutrosconsolidadofev[[#Headers],[28]],tabela_registros[REGISTRO],DADOS!$N$5,tabela_registros[TIPO],DADOS!$AB$5,tabela_registros[CATEGORIA],investiroutrosconsolidadofev[[#This Row],[ATUAL]])</f>
        <v>0</v>
      </c>
      <c r="AG152" s="119" t="n">
        <f aca="false">SUMIFS(tabela_registros[VALOR],tabela_registros[MÊS],$AE$1,tabela_registros[DIA],investiroutrosconsolidadofev[[#Headers],[29]],tabela_registros[REGISTRO],DADOS!$N$5,tabela_registros[TIPO],DADOS!$AB$5,tabela_registros[CATEGORIA],investiroutrosconsolidadofev[[#This Row],[ATUAL]])</f>
        <v>0</v>
      </c>
      <c r="AH152" s="119" t="n">
        <f aca="false">SUMIFS(tabela_registros[VALOR],tabela_registros[MÊS],$AE$1,tabela_registros[DIA],investiroutrosconsolidadofev[[#Headers],[30]],tabela_registros[REGISTRO],DADOS!$N$5,tabela_registros[TIPO],DADOS!$AB$5,tabela_registros[CATEGORIA],investiroutrosconsolidadofev[[#This Row],[ATUAL]])</f>
        <v>0</v>
      </c>
      <c r="AI152" s="217" t="n">
        <f aca="false">SUMIFS(tabela_registros[VALOR],tabela_registros[MÊS],$AE$1,tabela_registros[DIA],investiroutrosconsolidadofev[[#Headers],[31]],tabela_registros[REGISTRO],DADOS!$N$5,tabela_registros[TIPO],DADOS!$AB$5,tabela_registros[CATEGORIA],investiroutrosconsolidadofev[[#This Row],[ATUAL]])</f>
        <v>0</v>
      </c>
      <c r="AJ152" s="149" t="n">
        <f aca="false">SUM(investiroutrosconsolidadofev[[#This Row],[1]:[31]])</f>
        <v>0</v>
      </c>
      <c r="AK152" s="165"/>
    </row>
    <row r="153" customFormat="false" ht="19.5" hidden="false" customHeight="true" outlineLevel="0" collapsed="false">
      <c r="B153" s="143"/>
      <c r="C153" s="144" t="str">
        <f aca="false">DADOS!$AH$5</f>
        <v>📝 FUNDO DE INVESTIMENTO</v>
      </c>
      <c r="D153" s="145" t="str">
        <f aca="false">IF(investiroutrosconsolidadofev[[#This Row],[TOTAL (R$)]]=0,"",IF(OR(investiroutrosconsolidadofev[[#This Row],[TOTAL (R$)]]=LARGE($AJ$151:$AJ$158,1),investiroutrosconsolidadofev[[#This Row],[TOTAL (R$)]]=LARGE($AJ$151:$AJ$158,2)),DADOS!$I$10,""))</f>
        <v/>
      </c>
      <c r="E153" s="148" t="n">
        <f aca="false">SUMIFS(tabela_registros[VALOR],tabela_registros[MÊS],$AE$1,tabela_registros[DIA],investiroutrosconsolidadofev[[#Headers],[1]],tabela_registros[REGISTRO],DADOS!$N$5,tabela_registros[TIPO],DADOS!$AB$5,tabela_registros[CATEGORIA],investiroutrosconsolidadofev[[#This Row],[ATUAL]])</f>
        <v>0</v>
      </c>
      <c r="F153" s="119" t="n">
        <f aca="false">SUMIFS(tabela_registros[VALOR],tabela_registros[MÊS],$AE$1,tabela_registros[DIA],investiroutrosconsolidadofev[[#Headers],[2]],tabela_registros[REGISTRO],DADOS!$N$5,tabela_registros[TIPO],DADOS!$AB$5,tabela_registros[CATEGORIA],investiroutrosconsolidadofev[[#This Row],[ATUAL]])</f>
        <v>0</v>
      </c>
      <c r="G153" s="119" t="n">
        <f aca="false">SUMIFS(tabela_registros[VALOR],tabela_registros[MÊS],$AE$1,tabela_registros[DIA],investiroutrosconsolidadofev[[#Headers],[3]],tabela_registros[REGISTRO],DADOS!$N$5,tabela_registros[TIPO],DADOS!$AB$5,tabela_registros[CATEGORIA],investiroutrosconsolidadofev[[#This Row],[ATUAL]])</f>
        <v>0</v>
      </c>
      <c r="H153" s="119" t="n">
        <f aca="false">SUMIFS(tabela_registros[VALOR],tabela_registros[MÊS],$AE$1,tabela_registros[DIA],investiroutrosconsolidadofev[[#Headers],[4]],tabela_registros[REGISTRO],DADOS!$N$5,tabela_registros[TIPO],DADOS!$AB$5,tabela_registros[CATEGORIA],investiroutrosconsolidadofev[[#This Row],[ATUAL]])</f>
        <v>0</v>
      </c>
      <c r="I153" s="119" t="n">
        <f aca="false">SUMIFS(tabela_registros[VALOR],tabela_registros[MÊS],$AE$1,tabela_registros[DIA],investiroutrosconsolidadofev[[#Headers],[5]],tabela_registros[REGISTRO],DADOS!$N$5,tabela_registros[TIPO],DADOS!$AB$5,tabela_registros[CATEGORIA],investiroutrosconsolidadofev[[#This Row],[ATUAL]])</f>
        <v>0</v>
      </c>
      <c r="J153" s="119" t="n">
        <f aca="false">SUMIFS(tabela_registros[VALOR],tabela_registros[MÊS],$AE$1,tabela_registros[DIA],investiroutrosconsolidadofev[[#Headers],[6]],tabela_registros[REGISTRO],DADOS!$N$5,tabela_registros[TIPO],DADOS!$AB$5,tabela_registros[CATEGORIA],investiroutrosconsolidadofev[[#This Row],[ATUAL]])</f>
        <v>0</v>
      </c>
      <c r="K153" s="119" t="n">
        <f aca="false">SUMIFS(tabela_registros[VALOR],tabela_registros[MÊS],$AE$1,tabela_registros[DIA],investiroutrosconsolidadofev[[#Headers],[7]],tabela_registros[REGISTRO],DADOS!$N$5,tabela_registros[TIPO],DADOS!$AB$5,tabela_registros[CATEGORIA],investiroutrosconsolidadofev[[#This Row],[ATUAL]])</f>
        <v>0</v>
      </c>
      <c r="L153" s="119" t="n">
        <f aca="false">SUMIFS(tabela_registros[VALOR],tabela_registros[MÊS],$AE$1,tabela_registros[DIA],investiroutrosconsolidadofev[[#Headers],[8]],tabela_registros[REGISTRO],DADOS!$N$5,tabela_registros[TIPO],DADOS!$AB$5,tabela_registros[CATEGORIA],investiroutrosconsolidadofev[[#This Row],[ATUAL]])</f>
        <v>0</v>
      </c>
      <c r="M153" s="119" t="n">
        <f aca="false">SUMIFS(tabela_registros[VALOR],tabela_registros[MÊS],$AE$1,tabela_registros[DIA],investiroutrosconsolidadofev[[#Headers],[9]],tabela_registros[REGISTRO],DADOS!$N$5,tabela_registros[TIPO],DADOS!$AB$5,tabela_registros[CATEGORIA],investiroutrosconsolidadofev[[#This Row],[ATUAL]])</f>
        <v>0</v>
      </c>
      <c r="N153" s="119" t="n">
        <f aca="false">SUMIFS(tabela_registros[VALOR],tabela_registros[MÊS],$AE$1,tabela_registros[DIA],investiroutrosconsolidadofev[[#Headers],[10]],tabela_registros[REGISTRO],DADOS!$N$5,tabela_registros[TIPO],DADOS!$AB$5,tabela_registros[CATEGORIA],investiroutrosconsolidadofev[[#This Row],[ATUAL]])</f>
        <v>0</v>
      </c>
      <c r="O153" s="119" t="n">
        <f aca="false">SUMIFS(tabela_registros[VALOR],tabela_registros[MÊS],$AE$1,tabela_registros[DIA],investiroutrosconsolidadofev[[#Headers],[11]],tabela_registros[REGISTRO],DADOS!$N$5,tabela_registros[TIPO],DADOS!$AB$5,tabela_registros[CATEGORIA],investiroutrosconsolidadofev[[#This Row],[ATUAL]])</f>
        <v>0</v>
      </c>
      <c r="P153" s="119" t="n">
        <f aca="false">SUMIFS(tabela_registros[VALOR],tabela_registros[MÊS],$AE$1,tabela_registros[DIA],investiroutrosconsolidadofev[[#Headers],[12]],tabela_registros[REGISTRO],DADOS!$N$5,tabela_registros[TIPO],DADOS!$AB$5,tabela_registros[CATEGORIA],investiroutrosconsolidadofev[[#This Row],[ATUAL]])</f>
        <v>0</v>
      </c>
      <c r="Q153" s="119" t="n">
        <f aca="false">SUMIFS(tabela_registros[VALOR],tabela_registros[MÊS],$AE$1,tabela_registros[DIA],investiroutrosconsolidadofev[[#Headers],[13]],tabela_registros[REGISTRO],DADOS!$N$5,tabela_registros[TIPO],DADOS!$AB$5,tabela_registros[CATEGORIA],investiroutrosconsolidadofev[[#This Row],[ATUAL]])</f>
        <v>0</v>
      </c>
      <c r="R153" s="119" t="n">
        <f aca="false">SUMIFS(tabela_registros[VALOR],tabela_registros[MÊS],$AE$1,tabela_registros[DIA],investiroutrosconsolidadofev[[#Headers],[14]],tabela_registros[REGISTRO],DADOS!$N$5,tabela_registros[TIPO],DADOS!$AB$5,tabela_registros[CATEGORIA],investiroutrosconsolidadofev[[#This Row],[ATUAL]])</f>
        <v>0</v>
      </c>
      <c r="S153" s="119" t="n">
        <f aca="false">SUMIFS(tabela_registros[VALOR],tabela_registros[MÊS],$AE$1,tabela_registros[DIA],investiroutrosconsolidadofev[[#Headers],[15]],tabela_registros[REGISTRO],DADOS!$N$5,tabela_registros[TIPO],DADOS!$AB$5,tabela_registros[CATEGORIA],investiroutrosconsolidadofev[[#This Row],[ATUAL]])</f>
        <v>0</v>
      </c>
      <c r="T153" s="119" t="n">
        <f aca="false">SUMIFS(tabela_registros[VALOR],tabela_registros[MÊS],$AE$1,tabela_registros[DIA],investiroutrosconsolidadofev[[#Headers],[16]],tabela_registros[REGISTRO],DADOS!$N$5,tabela_registros[TIPO],DADOS!$AB$5,tabela_registros[CATEGORIA],investiroutrosconsolidadofev[[#This Row],[ATUAL]])</f>
        <v>0</v>
      </c>
      <c r="U153" s="119" t="n">
        <f aca="false">SUMIFS(tabela_registros[VALOR],tabela_registros[MÊS],$AE$1,tabela_registros[DIA],investiroutrosconsolidadofev[[#Headers],[17]],tabela_registros[REGISTRO],DADOS!$N$5,tabela_registros[TIPO],DADOS!$AB$5,tabela_registros[CATEGORIA],investiroutrosconsolidadofev[[#This Row],[ATUAL]])</f>
        <v>0</v>
      </c>
      <c r="V153" s="119" t="n">
        <f aca="false">SUMIFS(tabela_registros[VALOR],tabela_registros[MÊS],$AE$1,tabela_registros[DIA],investiroutrosconsolidadofev[[#Headers],[18]],tabela_registros[REGISTRO],DADOS!$N$5,tabela_registros[TIPO],DADOS!$AB$5,tabela_registros[CATEGORIA],investiroutrosconsolidadofev[[#This Row],[ATUAL]])</f>
        <v>0</v>
      </c>
      <c r="W153" s="119" t="n">
        <f aca="false">SUMIFS(tabela_registros[VALOR],tabela_registros[MÊS],$AE$1,tabela_registros[DIA],investiroutrosconsolidadofev[[#Headers],[19]],tabela_registros[REGISTRO],DADOS!$N$5,tabela_registros[TIPO],DADOS!$AB$5,tabela_registros[CATEGORIA],investiroutrosconsolidadofev[[#This Row],[ATUAL]])</f>
        <v>0</v>
      </c>
      <c r="X153" s="119" t="n">
        <f aca="false">SUMIFS(tabela_registros[VALOR],tabela_registros[MÊS],$AE$1,tabela_registros[DIA],investiroutrosconsolidadofev[[#Headers],[20]],tabela_registros[REGISTRO],DADOS!$N$5,tabela_registros[TIPO],DADOS!$AB$5,tabela_registros[CATEGORIA],investiroutrosconsolidadofev[[#This Row],[ATUAL]])</f>
        <v>0</v>
      </c>
      <c r="Y153" s="119" t="n">
        <f aca="false">SUMIFS(tabela_registros[VALOR],tabela_registros[MÊS],$AE$1,tabela_registros[DIA],investiroutrosconsolidadofev[[#Headers],[21]],tabela_registros[REGISTRO],DADOS!$N$5,tabela_registros[TIPO],DADOS!$AB$5,tabela_registros[CATEGORIA],investiroutrosconsolidadofev[[#This Row],[ATUAL]])</f>
        <v>0</v>
      </c>
      <c r="Z153" s="119" t="n">
        <f aca="false">SUMIFS(tabela_registros[VALOR],tabela_registros[MÊS],$AE$1,tabela_registros[DIA],investiroutrosconsolidadofev[[#Headers],[22]],tabela_registros[REGISTRO],DADOS!$N$5,tabela_registros[TIPO],DADOS!$AB$5,tabela_registros[CATEGORIA],investiroutrosconsolidadofev[[#This Row],[ATUAL]])</f>
        <v>0</v>
      </c>
      <c r="AA153" s="119" t="n">
        <f aca="false">SUMIFS(tabela_registros[VALOR],tabela_registros[MÊS],$AE$1,tabela_registros[DIA],investiroutrosconsolidadofev[[#Headers],[23]],tabela_registros[REGISTRO],DADOS!$N$5,tabela_registros[TIPO],DADOS!$AB$5,tabela_registros[CATEGORIA],investiroutrosconsolidadofev[[#This Row],[ATUAL]])</f>
        <v>0</v>
      </c>
      <c r="AB153" s="119" t="n">
        <f aca="false">SUMIFS(tabela_registros[VALOR],tabela_registros[MÊS],$AE$1,tabela_registros[DIA],investiroutrosconsolidadofev[[#Headers],[24]],tabela_registros[REGISTRO],DADOS!$N$5,tabela_registros[TIPO],DADOS!$AB$5,tabela_registros[CATEGORIA],investiroutrosconsolidadofev[[#This Row],[ATUAL]])</f>
        <v>0</v>
      </c>
      <c r="AC153" s="119" t="n">
        <f aca="false">SUMIFS(tabela_registros[VALOR],tabela_registros[MÊS],$AE$1,tabela_registros[DIA],investiroutrosconsolidadofev[[#Headers],[25]],tabela_registros[REGISTRO],DADOS!$N$5,tabela_registros[TIPO],DADOS!$AB$5,tabela_registros[CATEGORIA],investiroutrosconsolidadofev[[#This Row],[ATUAL]])</f>
        <v>0</v>
      </c>
      <c r="AD153" s="119" t="n">
        <f aca="false">SUMIFS(tabela_registros[VALOR],tabela_registros[MÊS],$AE$1,tabela_registros[DIA],investiroutrosconsolidadofev[[#Headers],[26]],tabela_registros[REGISTRO],DADOS!$N$5,tabela_registros[TIPO],DADOS!$AB$5,tabela_registros[CATEGORIA],investiroutrosconsolidadofev[[#This Row],[ATUAL]])</f>
        <v>0</v>
      </c>
      <c r="AE153" s="119" t="n">
        <f aca="false">SUMIFS(tabela_registros[VALOR],tabela_registros[MÊS],$AE$1,tabela_registros[DIA],investiroutrosconsolidadofev[[#Headers],[27]],tabela_registros[REGISTRO],DADOS!$N$5,tabela_registros[TIPO],DADOS!$AB$5,tabela_registros[CATEGORIA],investiroutrosconsolidadofev[[#This Row],[ATUAL]])</f>
        <v>0</v>
      </c>
      <c r="AF153" s="119" t="n">
        <f aca="false">SUMIFS(tabela_registros[VALOR],tabela_registros[MÊS],$AE$1,tabela_registros[DIA],investiroutrosconsolidadofev[[#Headers],[28]],tabela_registros[REGISTRO],DADOS!$N$5,tabela_registros[TIPO],DADOS!$AB$5,tabela_registros[CATEGORIA],investiroutrosconsolidadofev[[#This Row],[ATUAL]])</f>
        <v>0</v>
      </c>
      <c r="AG153" s="119" t="n">
        <f aca="false">SUMIFS(tabela_registros[VALOR],tabela_registros[MÊS],$AE$1,tabela_registros[DIA],investiroutrosconsolidadofev[[#Headers],[29]],tabela_registros[REGISTRO],DADOS!$N$5,tabela_registros[TIPO],DADOS!$AB$5,tabela_registros[CATEGORIA],investiroutrosconsolidadofev[[#This Row],[ATUAL]])</f>
        <v>0</v>
      </c>
      <c r="AH153" s="119" t="n">
        <f aca="false">SUMIFS(tabela_registros[VALOR],tabela_registros[MÊS],$AE$1,tabela_registros[DIA],investiroutrosconsolidadofev[[#Headers],[30]],tabela_registros[REGISTRO],DADOS!$N$5,tabela_registros[TIPO],DADOS!$AB$5,tabela_registros[CATEGORIA],investiroutrosconsolidadofev[[#This Row],[ATUAL]])</f>
        <v>0</v>
      </c>
      <c r="AI153" s="217" t="n">
        <f aca="false">SUMIFS(tabela_registros[VALOR],tabela_registros[MÊS],$AE$1,tabela_registros[DIA],investiroutrosconsolidadofev[[#Headers],[31]],tabela_registros[REGISTRO],DADOS!$N$5,tabela_registros[TIPO],DADOS!$AB$5,tabela_registros[CATEGORIA],investiroutrosconsolidadofev[[#This Row],[ATUAL]])</f>
        <v>0</v>
      </c>
      <c r="AJ153" s="149" t="n">
        <f aca="false">SUM(investiroutrosconsolidadofev[[#This Row],[1]:[31]])</f>
        <v>0</v>
      </c>
      <c r="AK153" s="165"/>
    </row>
    <row r="154" customFormat="false" ht="19.5" hidden="false" customHeight="true" outlineLevel="0" collapsed="false">
      <c r="B154" s="143"/>
      <c r="C154" s="144" t="str">
        <f aca="false">DADOS!$AH$6</f>
        <v>📝 NOVA EMPRESA</v>
      </c>
      <c r="D154" s="145" t="str">
        <f aca="false">IF(investiroutrosconsolidadofev[[#This Row],[TOTAL (R$)]]=0,"",IF(OR(investiroutrosconsolidadofev[[#This Row],[TOTAL (R$)]]=LARGE($AJ$151:$AJ$158,1),investiroutrosconsolidadofev[[#This Row],[TOTAL (R$)]]=LARGE($AJ$151:$AJ$158,2)),DADOS!$I$10,""))</f>
        <v/>
      </c>
      <c r="E154" s="148" t="n">
        <f aca="false">SUMIFS(tabela_registros[VALOR],tabela_registros[MÊS],$AE$1,tabela_registros[DIA],investiroutrosconsolidadofev[[#Headers],[1]],tabela_registros[REGISTRO],DADOS!$N$5,tabela_registros[TIPO],DADOS!$AB$5,tabela_registros[CATEGORIA],investiroutrosconsolidadofev[[#This Row],[ATUAL]])</f>
        <v>0</v>
      </c>
      <c r="F154" s="119" t="n">
        <f aca="false">SUMIFS(tabela_registros[VALOR],tabela_registros[MÊS],$AE$1,tabela_registros[DIA],investiroutrosconsolidadofev[[#Headers],[2]],tabela_registros[REGISTRO],DADOS!$N$5,tabela_registros[TIPO],DADOS!$AB$5,tabela_registros[CATEGORIA],investiroutrosconsolidadofev[[#This Row],[ATUAL]])</f>
        <v>0</v>
      </c>
      <c r="G154" s="119" t="n">
        <f aca="false">SUMIFS(tabela_registros[VALOR],tabela_registros[MÊS],$AE$1,tabela_registros[DIA],investiroutrosconsolidadofev[[#Headers],[3]],tabela_registros[REGISTRO],DADOS!$N$5,tabela_registros[TIPO],DADOS!$AB$5,tabela_registros[CATEGORIA],investiroutrosconsolidadofev[[#This Row],[ATUAL]])</f>
        <v>0</v>
      </c>
      <c r="H154" s="119" t="n">
        <f aca="false">SUMIFS(tabela_registros[VALOR],tabela_registros[MÊS],$AE$1,tabela_registros[DIA],investiroutrosconsolidadofev[[#Headers],[4]],tabela_registros[REGISTRO],DADOS!$N$5,tabela_registros[TIPO],DADOS!$AB$5,tabela_registros[CATEGORIA],investiroutrosconsolidadofev[[#This Row],[ATUAL]])</f>
        <v>0</v>
      </c>
      <c r="I154" s="119" t="n">
        <f aca="false">SUMIFS(tabela_registros[VALOR],tabela_registros[MÊS],$AE$1,tabela_registros[DIA],investiroutrosconsolidadofev[[#Headers],[5]],tabela_registros[REGISTRO],DADOS!$N$5,tabela_registros[TIPO],DADOS!$AB$5,tabela_registros[CATEGORIA],investiroutrosconsolidadofev[[#This Row],[ATUAL]])</f>
        <v>0</v>
      </c>
      <c r="J154" s="119" t="n">
        <f aca="false">SUMIFS(tabela_registros[VALOR],tabela_registros[MÊS],$AE$1,tabela_registros[DIA],investiroutrosconsolidadofev[[#Headers],[6]],tabela_registros[REGISTRO],DADOS!$N$5,tabela_registros[TIPO],DADOS!$AB$5,tabela_registros[CATEGORIA],investiroutrosconsolidadofev[[#This Row],[ATUAL]])</f>
        <v>0</v>
      </c>
      <c r="K154" s="119" t="n">
        <f aca="false">SUMIFS(tabela_registros[VALOR],tabela_registros[MÊS],$AE$1,tabela_registros[DIA],investiroutrosconsolidadofev[[#Headers],[7]],tabela_registros[REGISTRO],DADOS!$N$5,tabela_registros[TIPO],DADOS!$AB$5,tabela_registros[CATEGORIA],investiroutrosconsolidadofev[[#This Row],[ATUAL]])</f>
        <v>0</v>
      </c>
      <c r="L154" s="119" t="n">
        <f aca="false">SUMIFS(tabela_registros[VALOR],tabela_registros[MÊS],$AE$1,tabela_registros[DIA],investiroutrosconsolidadofev[[#Headers],[8]],tabela_registros[REGISTRO],DADOS!$N$5,tabela_registros[TIPO],DADOS!$AB$5,tabela_registros[CATEGORIA],investiroutrosconsolidadofev[[#This Row],[ATUAL]])</f>
        <v>0</v>
      </c>
      <c r="M154" s="119" t="n">
        <f aca="false">SUMIFS(tabela_registros[VALOR],tabela_registros[MÊS],$AE$1,tabela_registros[DIA],investiroutrosconsolidadofev[[#Headers],[9]],tabela_registros[REGISTRO],DADOS!$N$5,tabela_registros[TIPO],DADOS!$AB$5,tabela_registros[CATEGORIA],investiroutrosconsolidadofev[[#This Row],[ATUAL]])</f>
        <v>0</v>
      </c>
      <c r="N154" s="119" t="n">
        <f aca="false">SUMIFS(tabela_registros[VALOR],tabela_registros[MÊS],$AE$1,tabela_registros[DIA],investiroutrosconsolidadofev[[#Headers],[10]],tabela_registros[REGISTRO],DADOS!$N$5,tabela_registros[TIPO],DADOS!$AB$5,tabela_registros[CATEGORIA],investiroutrosconsolidadofev[[#This Row],[ATUAL]])</f>
        <v>0</v>
      </c>
      <c r="O154" s="119" t="n">
        <f aca="false">SUMIFS(tabela_registros[VALOR],tabela_registros[MÊS],$AE$1,tabela_registros[DIA],investiroutrosconsolidadofev[[#Headers],[11]],tabela_registros[REGISTRO],DADOS!$N$5,tabela_registros[TIPO],DADOS!$AB$5,tabela_registros[CATEGORIA],investiroutrosconsolidadofev[[#This Row],[ATUAL]])</f>
        <v>0</v>
      </c>
      <c r="P154" s="119" t="n">
        <f aca="false">SUMIFS(tabela_registros[VALOR],tabela_registros[MÊS],$AE$1,tabela_registros[DIA],investiroutrosconsolidadofev[[#Headers],[12]],tabela_registros[REGISTRO],DADOS!$N$5,tabela_registros[TIPO],DADOS!$AB$5,tabela_registros[CATEGORIA],investiroutrosconsolidadofev[[#This Row],[ATUAL]])</f>
        <v>0</v>
      </c>
      <c r="Q154" s="119" t="n">
        <f aca="false">SUMIFS(tabela_registros[VALOR],tabela_registros[MÊS],$AE$1,tabela_registros[DIA],investiroutrosconsolidadofev[[#Headers],[13]],tabela_registros[REGISTRO],DADOS!$N$5,tabela_registros[TIPO],DADOS!$AB$5,tabela_registros[CATEGORIA],investiroutrosconsolidadofev[[#This Row],[ATUAL]])</f>
        <v>0</v>
      </c>
      <c r="R154" s="119" t="n">
        <f aca="false">SUMIFS(tabela_registros[VALOR],tabela_registros[MÊS],$AE$1,tabela_registros[DIA],investiroutrosconsolidadofev[[#Headers],[14]],tabela_registros[REGISTRO],DADOS!$N$5,tabela_registros[TIPO],DADOS!$AB$5,tabela_registros[CATEGORIA],investiroutrosconsolidadofev[[#This Row],[ATUAL]])</f>
        <v>0</v>
      </c>
      <c r="S154" s="119" t="n">
        <f aca="false">SUMIFS(tabela_registros[VALOR],tabela_registros[MÊS],$AE$1,tabela_registros[DIA],investiroutrosconsolidadofev[[#Headers],[15]],tabela_registros[REGISTRO],DADOS!$N$5,tabela_registros[TIPO],DADOS!$AB$5,tabela_registros[CATEGORIA],investiroutrosconsolidadofev[[#This Row],[ATUAL]])</f>
        <v>0</v>
      </c>
      <c r="T154" s="119" t="n">
        <f aca="false">SUMIFS(tabela_registros[VALOR],tabela_registros[MÊS],$AE$1,tabela_registros[DIA],investiroutrosconsolidadofev[[#Headers],[16]],tabela_registros[REGISTRO],DADOS!$N$5,tabela_registros[TIPO],DADOS!$AB$5,tabela_registros[CATEGORIA],investiroutrosconsolidadofev[[#This Row],[ATUAL]])</f>
        <v>0</v>
      </c>
      <c r="U154" s="119" t="n">
        <f aca="false">SUMIFS(tabela_registros[VALOR],tabela_registros[MÊS],$AE$1,tabela_registros[DIA],investiroutrosconsolidadofev[[#Headers],[17]],tabela_registros[REGISTRO],DADOS!$N$5,tabela_registros[TIPO],DADOS!$AB$5,tabela_registros[CATEGORIA],investiroutrosconsolidadofev[[#This Row],[ATUAL]])</f>
        <v>0</v>
      </c>
      <c r="V154" s="119" t="n">
        <f aca="false">SUMIFS(tabela_registros[VALOR],tabela_registros[MÊS],$AE$1,tabela_registros[DIA],investiroutrosconsolidadofev[[#Headers],[18]],tabela_registros[REGISTRO],DADOS!$N$5,tabela_registros[TIPO],DADOS!$AB$5,tabela_registros[CATEGORIA],investiroutrosconsolidadofev[[#This Row],[ATUAL]])</f>
        <v>0</v>
      </c>
      <c r="W154" s="119" t="n">
        <f aca="false">SUMIFS(tabela_registros[VALOR],tabela_registros[MÊS],$AE$1,tabela_registros[DIA],investiroutrosconsolidadofev[[#Headers],[19]],tabela_registros[REGISTRO],DADOS!$N$5,tabela_registros[TIPO],DADOS!$AB$5,tabela_registros[CATEGORIA],investiroutrosconsolidadofev[[#This Row],[ATUAL]])</f>
        <v>0</v>
      </c>
      <c r="X154" s="119" t="n">
        <f aca="false">SUMIFS(tabela_registros[VALOR],tabela_registros[MÊS],$AE$1,tabela_registros[DIA],investiroutrosconsolidadofev[[#Headers],[20]],tabela_registros[REGISTRO],DADOS!$N$5,tabela_registros[TIPO],DADOS!$AB$5,tabela_registros[CATEGORIA],investiroutrosconsolidadofev[[#This Row],[ATUAL]])</f>
        <v>0</v>
      </c>
      <c r="Y154" s="119" t="n">
        <f aca="false">SUMIFS(tabela_registros[VALOR],tabela_registros[MÊS],$AE$1,tabela_registros[DIA],investiroutrosconsolidadofev[[#Headers],[21]],tabela_registros[REGISTRO],DADOS!$N$5,tabela_registros[TIPO],DADOS!$AB$5,tabela_registros[CATEGORIA],investiroutrosconsolidadofev[[#This Row],[ATUAL]])</f>
        <v>0</v>
      </c>
      <c r="Z154" s="119" t="n">
        <f aca="false">SUMIFS(tabela_registros[VALOR],tabela_registros[MÊS],$AE$1,tabela_registros[DIA],investiroutrosconsolidadofev[[#Headers],[22]],tabela_registros[REGISTRO],DADOS!$N$5,tabela_registros[TIPO],DADOS!$AB$5,tabela_registros[CATEGORIA],investiroutrosconsolidadofev[[#This Row],[ATUAL]])</f>
        <v>0</v>
      </c>
      <c r="AA154" s="119" t="n">
        <f aca="false">SUMIFS(tabela_registros[VALOR],tabela_registros[MÊS],$AE$1,tabela_registros[DIA],investiroutrosconsolidadofev[[#Headers],[23]],tabela_registros[REGISTRO],DADOS!$N$5,tabela_registros[TIPO],DADOS!$AB$5,tabela_registros[CATEGORIA],investiroutrosconsolidadofev[[#This Row],[ATUAL]])</f>
        <v>0</v>
      </c>
      <c r="AB154" s="119" t="n">
        <f aca="false">SUMIFS(tabela_registros[VALOR],tabela_registros[MÊS],$AE$1,tabela_registros[DIA],investiroutrosconsolidadofev[[#Headers],[24]],tabela_registros[REGISTRO],DADOS!$N$5,tabela_registros[TIPO],DADOS!$AB$5,tabela_registros[CATEGORIA],investiroutrosconsolidadofev[[#This Row],[ATUAL]])</f>
        <v>0</v>
      </c>
      <c r="AC154" s="119" t="n">
        <f aca="false">SUMIFS(tabela_registros[VALOR],tabela_registros[MÊS],$AE$1,tabela_registros[DIA],investiroutrosconsolidadofev[[#Headers],[25]],tabela_registros[REGISTRO],DADOS!$N$5,tabela_registros[TIPO],DADOS!$AB$5,tabela_registros[CATEGORIA],investiroutrosconsolidadofev[[#This Row],[ATUAL]])</f>
        <v>0</v>
      </c>
      <c r="AD154" s="119" t="n">
        <f aca="false">SUMIFS(tabela_registros[VALOR],tabela_registros[MÊS],$AE$1,tabela_registros[DIA],investiroutrosconsolidadofev[[#Headers],[26]],tabela_registros[REGISTRO],DADOS!$N$5,tabela_registros[TIPO],DADOS!$AB$5,tabela_registros[CATEGORIA],investiroutrosconsolidadofev[[#This Row],[ATUAL]])</f>
        <v>0</v>
      </c>
      <c r="AE154" s="119" t="n">
        <f aca="false">SUMIFS(tabela_registros[VALOR],tabela_registros[MÊS],$AE$1,tabela_registros[DIA],investiroutrosconsolidadofev[[#Headers],[27]],tabela_registros[REGISTRO],DADOS!$N$5,tabela_registros[TIPO],DADOS!$AB$5,tabela_registros[CATEGORIA],investiroutrosconsolidadofev[[#This Row],[ATUAL]])</f>
        <v>0</v>
      </c>
      <c r="AF154" s="119" t="n">
        <f aca="false">SUMIFS(tabela_registros[VALOR],tabela_registros[MÊS],$AE$1,tabela_registros[DIA],investiroutrosconsolidadofev[[#Headers],[28]],tabela_registros[REGISTRO],DADOS!$N$5,tabela_registros[TIPO],DADOS!$AB$5,tabela_registros[CATEGORIA],investiroutrosconsolidadofev[[#This Row],[ATUAL]])</f>
        <v>0</v>
      </c>
      <c r="AG154" s="119" t="n">
        <f aca="false">SUMIFS(tabela_registros[VALOR],tabela_registros[MÊS],$AE$1,tabela_registros[DIA],investiroutrosconsolidadofev[[#Headers],[29]],tabela_registros[REGISTRO],DADOS!$N$5,tabela_registros[TIPO],DADOS!$AB$5,tabela_registros[CATEGORIA],investiroutrosconsolidadofev[[#This Row],[ATUAL]])</f>
        <v>0</v>
      </c>
      <c r="AH154" s="119" t="n">
        <f aca="false">SUMIFS(tabela_registros[VALOR],tabela_registros[MÊS],$AE$1,tabela_registros[DIA],investiroutrosconsolidadofev[[#Headers],[30]],tabela_registros[REGISTRO],DADOS!$N$5,tabela_registros[TIPO],DADOS!$AB$5,tabela_registros[CATEGORIA],investiroutrosconsolidadofev[[#This Row],[ATUAL]])</f>
        <v>0</v>
      </c>
      <c r="AI154" s="217" t="n">
        <f aca="false">SUMIFS(tabela_registros[VALOR],tabela_registros[MÊS],$AE$1,tabela_registros[DIA],investiroutrosconsolidadofev[[#Headers],[31]],tabela_registros[REGISTRO],DADOS!$N$5,tabela_registros[TIPO],DADOS!$AB$5,tabela_registros[CATEGORIA],investiroutrosconsolidadofev[[#This Row],[ATUAL]])</f>
        <v>0</v>
      </c>
      <c r="AJ154" s="149" t="n">
        <f aca="false">SUM(investiroutrosconsolidadofev[[#This Row],[1]:[31]])</f>
        <v>0</v>
      </c>
      <c r="AK154" s="165"/>
    </row>
    <row r="155" customFormat="false" ht="19.5" hidden="false" customHeight="true" outlineLevel="0" collapsed="false">
      <c r="B155" s="143"/>
      <c r="C155" s="144" t="str">
        <f aca="false">DADOS!$AH$7</f>
        <v>📝 PEER TO COMPANY</v>
      </c>
      <c r="D155" s="145" t="str">
        <f aca="false">IF(investiroutrosconsolidadofev[[#This Row],[TOTAL (R$)]]=0,"",IF(OR(investiroutrosconsolidadofev[[#This Row],[TOTAL (R$)]]=LARGE($AJ$151:$AJ$158,1),investiroutrosconsolidadofev[[#This Row],[TOTAL (R$)]]=LARGE($AJ$151:$AJ$158,2)),DADOS!$I$10,""))</f>
        <v/>
      </c>
      <c r="E155" s="148" t="n">
        <f aca="false">SUMIFS(tabela_registros[VALOR],tabela_registros[MÊS],$AE$1,tabela_registros[DIA],investiroutrosconsolidadofev[[#Headers],[1]],tabela_registros[REGISTRO],DADOS!$N$5,tabela_registros[TIPO],DADOS!$AB$5,tabela_registros[CATEGORIA],investiroutrosconsolidadofev[[#This Row],[ATUAL]])</f>
        <v>0</v>
      </c>
      <c r="F155" s="119" t="n">
        <f aca="false">SUMIFS(tabela_registros[VALOR],tabela_registros[MÊS],$AE$1,tabela_registros[DIA],investiroutrosconsolidadofev[[#Headers],[2]],tabela_registros[REGISTRO],DADOS!$N$5,tabela_registros[TIPO],DADOS!$AB$5,tabela_registros[CATEGORIA],investiroutrosconsolidadofev[[#This Row],[ATUAL]])</f>
        <v>0</v>
      </c>
      <c r="G155" s="119" t="n">
        <f aca="false">SUMIFS(tabela_registros[VALOR],tabela_registros[MÊS],$AE$1,tabela_registros[DIA],investiroutrosconsolidadofev[[#Headers],[3]],tabela_registros[REGISTRO],DADOS!$N$5,tabela_registros[TIPO],DADOS!$AB$5,tabela_registros[CATEGORIA],investiroutrosconsolidadofev[[#This Row],[ATUAL]])</f>
        <v>0</v>
      </c>
      <c r="H155" s="119" t="n">
        <f aca="false">SUMIFS(tabela_registros[VALOR],tabela_registros[MÊS],$AE$1,tabela_registros[DIA],investiroutrosconsolidadofev[[#Headers],[4]],tabela_registros[REGISTRO],DADOS!$N$5,tabela_registros[TIPO],DADOS!$AB$5,tabela_registros[CATEGORIA],investiroutrosconsolidadofev[[#This Row],[ATUAL]])</f>
        <v>0</v>
      </c>
      <c r="I155" s="119" t="n">
        <f aca="false">SUMIFS(tabela_registros[VALOR],tabela_registros[MÊS],$AE$1,tabela_registros[DIA],investiroutrosconsolidadofev[[#Headers],[5]],tabela_registros[REGISTRO],DADOS!$N$5,tabela_registros[TIPO],DADOS!$AB$5,tabela_registros[CATEGORIA],investiroutrosconsolidadofev[[#This Row],[ATUAL]])</f>
        <v>0</v>
      </c>
      <c r="J155" s="119" t="n">
        <f aca="false">SUMIFS(tabela_registros[VALOR],tabela_registros[MÊS],$AE$1,tabela_registros[DIA],investiroutrosconsolidadofev[[#Headers],[6]],tabela_registros[REGISTRO],DADOS!$N$5,tabela_registros[TIPO],DADOS!$AB$5,tabela_registros[CATEGORIA],investiroutrosconsolidadofev[[#This Row],[ATUAL]])</f>
        <v>0</v>
      </c>
      <c r="K155" s="119" t="n">
        <f aca="false">SUMIFS(tabela_registros[VALOR],tabela_registros[MÊS],$AE$1,tabela_registros[DIA],investiroutrosconsolidadofev[[#Headers],[7]],tabela_registros[REGISTRO],DADOS!$N$5,tabela_registros[TIPO],DADOS!$AB$5,tabela_registros[CATEGORIA],investiroutrosconsolidadofev[[#This Row],[ATUAL]])</f>
        <v>0</v>
      </c>
      <c r="L155" s="119" t="n">
        <f aca="false">SUMIFS(tabela_registros[VALOR],tabela_registros[MÊS],$AE$1,tabela_registros[DIA],investiroutrosconsolidadofev[[#Headers],[8]],tabela_registros[REGISTRO],DADOS!$N$5,tabela_registros[TIPO],DADOS!$AB$5,tabela_registros[CATEGORIA],investiroutrosconsolidadofev[[#This Row],[ATUAL]])</f>
        <v>0</v>
      </c>
      <c r="M155" s="119" t="n">
        <f aca="false">SUMIFS(tabela_registros[VALOR],tabela_registros[MÊS],$AE$1,tabela_registros[DIA],investiroutrosconsolidadofev[[#Headers],[9]],tabela_registros[REGISTRO],DADOS!$N$5,tabela_registros[TIPO],DADOS!$AB$5,tabela_registros[CATEGORIA],investiroutrosconsolidadofev[[#This Row],[ATUAL]])</f>
        <v>0</v>
      </c>
      <c r="N155" s="119" t="n">
        <f aca="false">SUMIFS(tabela_registros[VALOR],tabela_registros[MÊS],$AE$1,tabela_registros[DIA],investiroutrosconsolidadofev[[#Headers],[10]],tabela_registros[REGISTRO],DADOS!$N$5,tabela_registros[TIPO],DADOS!$AB$5,tabela_registros[CATEGORIA],investiroutrosconsolidadofev[[#This Row],[ATUAL]])</f>
        <v>0</v>
      </c>
      <c r="O155" s="119" t="n">
        <f aca="false">SUMIFS(tabela_registros[VALOR],tabela_registros[MÊS],$AE$1,tabela_registros[DIA],investiroutrosconsolidadofev[[#Headers],[11]],tabela_registros[REGISTRO],DADOS!$N$5,tabela_registros[TIPO],DADOS!$AB$5,tabela_registros[CATEGORIA],investiroutrosconsolidadofev[[#This Row],[ATUAL]])</f>
        <v>0</v>
      </c>
      <c r="P155" s="119" t="n">
        <f aca="false">SUMIFS(tabela_registros[VALOR],tabela_registros[MÊS],$AE$1,tabela_registros[DIA],investiroutrosconsolidadofev[[#Headers],[12]],tabela_registros[REGISTRO],DADOS!$N$5,tabela_registros[TIPO],DADOS!$AB$5,tabela_registros[CATEGORIA],investiroutrosconsolidadofev[[#This Row],[ATUAL]])</f>
        <v>0</v>
      </c>
      <c r="Q155" s="119" t="n">
        <f aca="false">SUMIFS(tabela_registros[VALOR],tabela_registros[MÊS],$AE$1,tabela_registros[DIA],investiroutrosconsolidadofev[[#Headers],[13]],tabela_registros[REGISTRO],DADOS!$N$5,tabela_registros[TIPO],DADOS!$AB$5,tabela_registros[CATEGORIA],investiroutrosconsolidadofev[[#This Row],[ATUAL]])</f>
        <v>0</v>
      </c>
      <c r="R155" s="119" t="n">
        <f aca="false">SUMIFS(tabela_registros[VALOR],tabela_registros[MÊS],$AE$1,tabela_registros[DIA],investiroutrosconsolidadofev[[#Headers],[14]],tabela_registros[REGISTRO],DADOS!$N$5,tabela_registros[TIPO],DADOS!$AB$5,tabela_registros[CATEGORIA],investiroutrosconsolidadofev[[#This Row],[ATUAL]])</f>
        <v>0</v>
      </c>
      <c r="S155" s="119" t="n">
        <f aca="false">SUMIFS(tabela_registros[VALOR],tabela_registros[MÊS],$AE$1,tabela_registros[DIA],investiroutrosconsolidadofev[[#Headers],[15]],tabela_registros[REGISTRO],DADOS!$N$5,tabela_registros[TIPO],DADOS!$AB$5,tabela_registros[CATEGORIA],investiroutrosconsolidadofev[[#This Row],[ATUAL]])</f>
        <v>0</v>
      </c>
      <c r="T155" s="119" t="n">
        <f aca="false">SUMIFS(tabela_registros[VALOR],tabela_registros[MÊS],$AE$1,tabela_registros[DIA],investiroutrosconsolidadofev[[#Headers],[16]],tabela_registros[REGISTRO],DADOS!$N$5,tabela_registros[TIPO],DADOS!$AB$5,tabela_registros[CATEGORIA],investiroutrosconsolidadofev[[#This Row],[ATUAL]])</f>
        <v>0</v>
      </c>
      <c r="U155" s="119" t="n">
        <f aca="false">SUMIFS(tabela_registros[VALOR],tabela_registros[MÊS],$AE$1,tabela_registros[DIA],investiroutrosconsolidadofev[[#Headers],[17]],tabela_registros[REGISTRO],DADOS!$N$5,tabela_registros[TIPO],DADOS!$AB$5,tabela_registros[CATEGORIA],investiroutrosconsolidadofev[[#This Row],[ATUAL]])</f>
        <v>0</v>
      </c>
      <c r="V155" s="119" t="n">
        <f aca="false">SUMIFS(tabela_registros[VALOR],tabela_registros[MÊS],$AE$1,tabela_registros[DIA],investiroutrosconsolidadofev[[#Headers],[18]],tabela_registros[REGISTRO],DADOS!$N$5,tabela_registros[TIPO],DADOS!$AB$5,tabela_registros[CATEGORIA],investiroutrosconsolidadofev[[#This Row],[ATUAL]])</f>
        <v>0</v>
      </c>
      <c r="W155" s="119" t="n">
        <f aca="false">SUMIFS(tabela_registros[VALOR],tabela_registros[MÊS],$AE$1,tabela_registros[DIA],investiroutrosconsolidadofev[[#Headers],[19]],tabela_registros[REGISTRO],DADOS!$N$5,tabela_registros[TIPO],DADOS!$AB$5,tabela_registros[CATEGORIA],investiroutrosconsolidadofev[[#This Row],[ATUAL]])</f>
        <v>0</v>
      </c>
      <c r="X155" s="119" t="n">
        <f aca="false">SUMIFS(tabela_registros[VALOR],tabela_registros[MÊS],$AE$1,tabela_registros[DIA],investiroutrosconsolidadofev[[#Headers],[20]],tabela_registros[REGISTRO],DADOS!$N$5,tabela_registros[TIPO],DADOS!$AB$5,tabela_registros[CATEGORIA],investiroutrosconsolidadofev[[#This Row],[ATUAL]])</f>
        <v>0</v>
      </c>
      <c r="Y155" s="119" t="n">
        <f aca="false">SUMIFS(tabela_registros[VALOR],tabela_registros[MÊS],$AE$1,tabela_registros[DIA],investiroutrosconsolidadofev[[#Headers],[21]],tabela_registros[REGISTRO],DADOS!$N$5,tabela_registros[TIPO],DADOS!$AB$5,tabela_registros[CATEGORIA],investiroutrosconsolidadofev[[#This Row],[ATUAL]])</f>
        <v>0</v>
      </c>
      <c r="Z155" s="119" t="n">
        <f aca="false">SUMIFS(tabela_registros[VALOR],tabela_registros[MÊS],$AE$1,tabela_registros[DIA],investiroutrosconsolidadofev[[#Headers],[22]],tabela_registros[REGISTRO],DADOS!$N$5,tabela_registros[TIPO],DADOS!$AB$5,tabela_registros[CATEGORIA],investiroutrosconsolidadofev[[#This Row],[ATUAL]])</f>
        <v>0</v>
      </c>
      <c r="AA155" s="119" t="n">
        <f aca="false">SUMIFS(tabela_registros[VALOR],tabela_registros[MÊS],$AE$1,tabela_registros[DIA],investiroutrosconsolidadofev[[#Headers],[23]],tabela_registros[REGISTRO],DADOS!$N$5,tabela_registros[TIPO],DADOS!$AB$5,tabela_registros[CATEGORIA],investiroutrosconsolidadofev[[#This Row],[ATUAL]])</f>
        <v>0</v>
      </c>
      <c r="AB155" s="119" t="n">
        <f aca="false">SUMIFS(tabela_registros[VALOR],tabela_registros[MÊS],$AE$1,tabela_registros[DIA],investiroutrosconsolidadofev[[#Headers],[24]],tabela_registros[REGISTRO],DADOS!$N$5,tabela_registros[TIPO],DADOS!$AB$5,tabela_registros[CATEGORIA],investiroutrosconsolidadofev[[#This Row],[ATUAL]])</f>
        <v>0</v>
      </c>
      <c r="AC155" s="119" t="n">
        <f aca="false">SUMIFS(tabela_registros[VALOR],tabela_registros[MÊS],$AE$1,tabela_registros[DIA],investiroutrosconsolidadofev[[#Headers],[25]],tabela_registros[REGISTRO],DADOS!$N$5,tabela_registros[TIPO],DADOS!$AB$5,tabela_registros[CATEGORIA],investiroutrosconsolidadofev[[#This Row],[ATUAL]])</f>
        <v>0</v>
      </c>
      <c r="AD155" s="119" t="n">
        <f aca="false">SUMIFS(tabela_registros[VALOR],tabela_registros[MÊS],$AE$1,tabela_registros[DIA],investiroutrosconsolidadofev[[#Headers],[26]],tabela_registros[REGISTRO],DADOS!$N$5,tabela_registros[TIPO],DADOS!$AB$5,tabela_registros[CATEGORIA],investiroutrosconsolidadofev[[#This Row],[ATUAL]])</f>
        <v>0</v>
      </c>
      <c r="AE155" s="119" t="n">
        <f aca="false">SUMIFS(tabela_registros[VALOR],tabela_registros[MÊS],$AE$1,tabela_registros[DIA],investiroutrosconsolidadofev[[#Headers],[27]],tabela_registros[REGISTRO],DADOS!$N$5,tabela_registros[TIPO],DADOS!$AB$5,tabela_registros[CATEGORIA],investiroutrosconsolidadofev[[#This Row],[ATUAL]])</f>
        <v>0</v>
      </c>
      <c r="AF155" s="119" t="n">
        <f aca="false">SUMIFS(tabela_registros[VALOR],tabela_registros[MÊS],$AE$1,tabela_registros[DIA],investiroutrosconsolidadofev[[#Headers],[28]],tabela_registros[REGISTRO],DADOS!$N$5,tabela_registros[TIPO],DADOS!$AB$5,tabela_registros[CATEGORIA],investiroutrosconsolidadofev[[#This Row],[ATUAL]])</f>
        <v>0</v>
      </c>
      <c r="AG155" s="119" t="n">
        <f aca="false">SUMIFS(tabela_registros[VALOR],tabela_registros[MÊS],$AE$1,tabela_registros[DIA],investiroutrosconsolidadofev[[#Headers],[29]],tabela_registros[REGISTRO],DADOS!$N$5,tabela_registros[TIPO],DADOS!$AB$5,tabela_registros[CATEGORIA],investiroutrosconsolidadofev[[#This Row],[ATUAL]])</f>
        <v>0</v>
      </c>
      <c r="AH155" s="119" t="n">
        <f aca="false">SUMIFS(tabela_registros[VALOR],tabela_registros[MÊS],$AE$1,tabela_registros[DIA],investiroutrosconsolidadofev[[#Headers],[30]],tabela_registros[REGISTRO],DADOS!$N$5,tabela_registros[TIPO],DADOS!$AB$5,tabela_registros[CATEGORIA],investiroutrosconsolidadofev[[#This Row],[ATUAL]])</f>
        <v>0</v>
      </c>
      <c r="AI155" s="217" t="n">
        <f aca="false">SUMIFS(tabela_registros[VALOR],tabela_registros[MÊS],$AE$1,tabela_registros[DIA],investiroutrosconsolidadofev[[#Headers],[31]],tabela_registros[REGISTRO],DADOS!$N$5,tabela_registros[TIPO],DADOS!$AB$5,tabela_registros[CATEGORIA],investiroutrosconsolidadofev[[#This Row],[ATUAL]])</f>
        <v>0</v>
      </c>
      <c r="AJ155" s="149" t="n">
        <f aca="false">SUM(investiroutrosconsolidadofev[[#This Row],[1]:[31]])</f>
        <v>0</v>
      </c>
      <c r="AK155" s="165"/>
    </row>
    <row r="156" customFormat="false" ht="19.5" hidden="false" customHeight="true" outlineLevel="0" collapsed="false">
      <c r="B156" s="143"/>
      <c r="C156" s="144" t="str">
        <f aca="false">DADOS!$AH$8</f>
        <v>📝 PEER TO PEER</v>
      </c>
      <c r="D156" s="145" t="str">
        <f aca="false">IF(investiroutrosconsolidadofev[[#This Row],[TOTAL (R$)]]=0,"",IF(OR(investiroutrosconsolidadofev[[#This Row],[TOTAL (R$)]]=LARGE($AJ$151:$AJ$158,1),investiroutrosconsolidadofev[[#This Row],[TOTAL (R$)]]=LARGE($AJ$151:$AJ$158,2)),DADOS!$I$10,""))</f>
        <v/>
      </c>
      <c r="E156" s="148" t="n">
        <f aca="false">SUMIFS(tabela_registros[VALOR],tabela_registros[MÊS],$AE$1,tabela_registros[DIA],investiroutrosconsolidadofev[[#Headers],[1]],tabela_registros[REGISTRO],DADOS!$N$5,tabela_registros[TIPO],DADOS!$AB$5,tabela_registros[CATEGORIA],investiroutrosconsolidadofev[[#This Row],[ATUAL]])</f>
        <v>0</v>
      </c>
      <c r="F156" s="119" t="n">
        <f aca="false">SUMIFS(tabela_registros[VALOR],tabela_registros[MÊS],$AE$1,tabela_registros[DIA],investiroutrosconsolidadofev[[#Headers],[2]],tabela_registros[REGISTRO],DADOS!$N$5,tabela_registros[TIPO],DADOS!$AB$5,tabela_registros[CATEGORIA],investiroutrosconsolidadofev[[#This Row],[ATUAL]])</f>
        <v>0</v>
      </c>
      <c r="G156" s="119" t="n">
        <f aca="false">SUMIFS(tabela_registros[VALOR],tabela_registros[MÊS],$AE$1,tabela_registros[DIA],investiroutrosconsolidadofev[[#Headers],[3]],tabela_registros[REGISTRO],DADOS!$N$5,tabela_registros[TIPO],DADOS!$AB$5,tabela_registros[CATEGORIA],investiroutrosconsolidadofev[[#This Row],[ATUAL]])</f>
        <v>0</v>
      </c>
      <c r="H156" s="119" t="n">
        <f aca="false">SUMIFS(tabela_registros[VALOR],tabela_registros[MÊS],$AE$1,tabela_registros[DIA],investiroutrosconsolidadofev[[#Headers],[4]],tabela_registros[REGISTRO],DADOS!$N$5,tabela_registros[TIPO],DADOS!$AB$5,tabela_registros[CATEGORIA],investiroutrosconsolidadofev[[#This Row],[ATUAL]])</f>
        <v>0</v>
      </c>
      <c r="I156" s="119" t="n">
        <f aca="false">SUMIFS(tabela_registros[VALOR],tabela_registros[MÊS],$AE$1,tabela_registros[DIA],investiroutrosconsolidadofev[[#Headers],[5]],tabela_registros[REGISTRO],DADOS!$N$5,tabela_registros[TIPO],DADOS!$AB$5,tabela_registros[CATEGORIA],investiroutrosconsolidadofev[[#This Row],[ATUAL]])</f>
        <v>0</v>
      </c>
      <c r="J156" s="119" t="n">
        <f aca="false">SUMIFS(tabela_registros[VALOR],tabela_registros[MÊS],$AE$1,tabela_registros[DIA],investiroutrosconsolidadofev[[#Headers],[6]],tabela_registros[REGISTRO],DADOS!$N$5,tabela_registros[TIPO],DADOS!$AB$5,tabela_registros[CATEGORIA],investiroutrosconsolidadofev[[#This Row],[ATUAL]])</f>
        <v>0</v>
      </c>
      <c r="K156" s="119" t="n">
        <f aca="false">SUMIFS(tabela_registros[VALOR],tabela_registros[MÊS],$AE$1,tabela_registros[DIA],investiroutrosconsolidadofev[[#Headers],[7]],tabela_registros[REGISTRO],DADOS!$N$5,tabela_registros[TIPO],DADOS!$AB$5,tabela_registros[CATEGORIA],investiroutrosconsolidadofev[[#This Row],[ATUAL]])</f>
        <v>0</v>
      </c>
      <c r="L156" s="119" t="n">
        <f aca="false">SUMIFS(tabela_registros[VALOR],tabela_registros[MÊS],$AE$1,tabela_registros[DIA],investiroutrosconsolidadofev[[#Headers],[8]],tabela_registros[REGISTRO],DADOS!$N$5,tabela_registros[TIPO],DADOS!$AB$5,tabela_registros[CATEGORIA],investiroutrosconsolidadofev[[#This Row],[ATUAL]])</f>
        <v>0</v>
      </c>
      <c r="M156" s="119" t="n">
        <f aca="false">SUMIFS(tabela_registros[VALOR],tabela_registros[MÊS],$AE$1,tabela_registros[DIA],investiroutrosconsolidadofev[[#Headers],[9]],tabela_registros[REGISTRO],DADOS!$N$5,tabela_registros[TIPO],DADOS!$AB$5,tabela_registros[CATEGORIA],investiroutrosconsolidadofev[[#This Row],[ATUAL]])</f>
        <v>0</v>
      </c>
      <c r="N156" s="119" t="n">
        <f aca="false">SUMIFS(tabela_registros[VALOR],tabela_registros[MÊS],$AE$1,tabela_registros[DIA],investiroutrosconsolidadofev[[#Headers],[10]],tabela_registros[REGISTRO],DADOS!$N$5,tabela_registros[TIPO],DADOS!$AB$5,tabela_registros[CATEGORIA],investiroutrosconsolidadofev[[#This Row],[ATUAL]])</f>
        <v>0</v>
      </c>
      <c r="O156" s="119" t="n">
        <f aca="false">SUMIFS(tabela_registros[VALOR],tabela_registros[MÊS],$AE$1,tabela_registros[DIA],investiroutrosconsolidadofev[[#Headers],[11]],tabela_registros[REGISTRO],DADOS!$N$5,tabela_registros[TIPO],DADOS!$AB$5,tabela_registros[CATEGORIA],investiroutrosconsolidadofev[[#This Row],[ATUAL]])</f>
        <v>0</v>
      </c>
      <c r="P156" s="119" t="n">
        <f aca="false">SUMIFS(tabela_registros[VALOR],tabela_registros[MÊS],$AE$1,tabela_registros[DIA],investiroutrosconsolidadofev[[#Headers],[12]],tabela_registros[REGISTRO],DADOS!$N$5,tabela_registros[TIPO],DADOS!$AB$5,tabela_registros[CATEGORIA],investiroutrosconsolidadofev[[#This Row],[ATUAL]])</f>
        <v>0</v>
      </c>
      <c r="Q156" s="119" t="n">
        <f aca="false">SUMIFS(tabela_registros[VALOR],tabela_registros[MÊS],$AE$1,tabela_registros[DIA],investiroutrosconsolidadofev[[#Headers],[13]],tabela_registros[REGISTRO],DADOS!$N$5,tabela_registros[TIPO],DADOS!$AB$5,tabela_registros[CATEGORIA],investiroutrosconsolidadofev[[#This Row],[ATUAL]])</f>
        <v>0</v>
      </c>
      <c r="R156" s="119" t="n">
        <f aca="false">SUMIFS(tabela_registros[VALOR],tabela_registros[MÊS],$AE$1,tabela_registros[DIA],investiroutrosconsolidadofev[[#Headers],[14]],tabela_registros[REGISTRO],DADOS!$N$5,tabela_registros[TIPO],DADOS!$AB$5,tabela_registros[CATEGORIA],investiroutrosconsolidadofev[[#This Row],[ATUAL]])</f>
        <v>0</v>
      </c>
      <c r="S156" s="119" t="n">
        <f aca="false">SUMIFS(tabela_registros[VALOR],tabela_registros[MÊS],$AE$1,tabela_registros[DIA],investiroutrosconsolidadofev[[#Headers],[15]],tabela_registros[REGISTRO],DADOS!$N$5,tabela_registros[TIPO],DADOS!$AB$5,tabela_registros[CATEGORIA],investiroutrosconsolidadofev[[#This Row],[ATUAL]])</f>
        <v>0</v>
      </c>
      <c r="T156" s="119" t="n">
        <f aca="false">SUMIFS(tabela_registros[VALOR],tabela_registros[MÊS],$AE$1,tabela_registros[DIA],investiroutrosconsolidadofev[[#Headers],[16]],tabela_registros[REGISTRO],DADOS!$N$5,tabela_registros[TIPO],DADOS!$AB$5,tabela_registros[CATEGORIA],investiroutrosconsolidadofev[[#This Row],[ATUAL]])</f>
        <v>0</v>
      </c>
      <c r="U156" s="119" t="n">
        <f aca="false">SUMIFS(tabela_registros[VALOR],tabela_registros[MÊS],$AE$1,tabela_registros[DIA],investiroutrosconsolidadofev[[#Headers],[17]],tabela_registros[REGISTRO],DADOS!$N$5,tabela_registros[TIPO],DADOS!$AB$5,tabela_registros[CATEGORIA],investiroutrosconsolidadofev[[#This Row],[ATUAL]])</f>
        <v>0</v>
      </c>
      <c r="V156" s="119" t="n">
        <f aca="false">SUMIFS(tabela_registros[VALOR],tabela_registros[MÊS],$AE$1,tabela_registros[DIA],investiroutrosconsolidadofev[[#Headers],[18]],tabela_registros[REGISTRO],DADOS!$N$5,tabela_registros[TIPO],DADOS!$AB$5,tabela_registros[CATEGORIA],investiroutrosconsolidadofev[[#This Row],[ATUAL]])</f>
        <v>0</v>
      </c>
      <c r="W156" s="119" t="n">
        <f aca="false">SUMIFS(tabela_registros[VALOR],tabela_registros[MÊS],$AE$1,tabela_registros[DIA],investiroutrosconsolidadofev[[#Headers],[19]],tabela_registros[REGISTRO],DADOS!$N$5,tabela_registros[TIPO],DADOS!$AB$5,tabela_registros[CATEGORIA],investiroutrosconsolidadofev[[#This Row],[ATUAL]])</f>
        <v>0</v>
      </c>
      <c r="X156" s="119" t="n">
        <f aca="false">SUMIFS(tabela_registros[VALOR],tabela_registros[MÊS],$AE$1,tabela_registros[DIA],investiroutrosconsolidadofev[[#Headers],[20]],tabela_registros[REGISTRO],DADOS!$N$5,tabela_registros[TIPO],DADOS!$AB$5,tabela_registros[CATEGORIA],investiroutrosconsolidadofev[[#This Row],[ATUAL]])</f>
        <v>0</v>
      </c>
      <c r="Y156" s="119" t="n">
        <f aca="false">SUMIFS(tabela_registros[VALOR],tabela_registros[MÊS],$AE$1,tabela_registros[DIA],investiroutrosconsolidadofev[[#Headers],[21]],tabela_registros[REGISTRO],DADOS!$N$5,tabela_registros[TIPO],DADOS!$AB$5,tabela_registros[CATEGORIA],investiroutrosconsolidadofev[[#This Row],[ATUAL]])</f>
        <v>0</v>
      </c>
      <c r="Z156" s="119" t="n">
        <f aca="false">SUMIFS(tabela_registros[VALOR],tabela_registros[MÊS],$AE$1,tabela_registros[DIA],investiroutrosconsolidadofev[[#Headers],[22]],tabela_registros[REGISTRO],DADOS!$N$5,tabela_registros[TIPO],DADOS!$AB$5,tabela_registros[CATEGORIA],investiroutrosconsolidadofev[[#This Row],[ATUAL]])</f>
        <v>0</v>
      </c>
      <c r="AA156" s="119" t="n">
        <f aca="false">SUMIFS(tabela_registros[VALOR],tabela_registros[MÊS],$AE$1,tabela_registros[DIA],investiroutrosconsolidadofev[[#Headers],[23]],tabela_registros[REGISTRO],DADOS!$N$5,tabela_registros[TIPO],DADOS!$AB$5,tabela_registros[CATEGORIA],investiroutrosconsolidadofev[[#This Row],[ATUAL]])</f>
        <v>0</v>
      </c>
      <c r="AB156" s="119" t="n">
        <f aca="false">SUMIFS(tabela_registros[VALOR],tabela_registros[MÊS],$AE$1,tabela_registros[DIA],investiroutrosconsolidadofev[[#Headers],[24]],tabela_registros[REGISTRO],DADOS!$N$5,tabela_registros[TIPO],DADOS!$AB$5,tabela_registros[CATEGORIA],investiroutrosconsolidadofev[[#This Row],[ATUAL]])</f>
        <v>0</v>
      </c>
      <c r="AC156" s="119" t="n">
        <f aca="false">SUMIFS(tabela_registros[VALOR],tabela_registros[MÊS],$AE$1,tabela_registros[DIA],investiroutrosconsolidadofev[[#Headers],[25]],tabela_registros[REGISTRO],DADOS!$N$5,tabela_registros[TIPO],DADOS!$AB$5,tabela_registros[CATEGORIA],investiroutrosconsolidadofev[[#This Row],[ATUAL]])</f>
        <v>0</v>
      </c>
      <c r="AD156" s="119" t="n">
        <f aca="false">SUMIFS(tabela_registros[VALOR],tabela_registros[MÊS],$AE$1,tabela_registros[DIA],investiroutrosconsolidadofev[[#Headers],[26]],tabela_registros[REGISTRO],DADOS!$N$5,tabela_registros[TIPO],DADOS!$AB$5,tabela_registros[CATEGORIA],investiroutrosconsolidadofev[[#This Row],[ATUAL]])</f>
        <v>0</v>
      </c>
      <c r="AE156" s="119" t="n">
        <f aca="false">SUMIFS(tabela_registros[VALOR],tabela_registros[MÊS],$AE$1,tabela_registros[DIA],investiroutrosconsolidadofev[[#Headers],[27]],tabela_registros[REGISTRO],DADOS!$N$5,tabela_registros[TIPO],DADOS!$AB$5,tabela_registros[CATEGORIA],investiroutrosconsolidadofev[[#This Row],[ATUAL]])</f>
        <v>0</v>
      </c>
      <c r="AF156" s="119" t="n">
        <f aca="false">SUMIFS(tabela_registros[VALOR],tabela_registros[MÊS],$AE$1,tabela_registros[DIA],investiroutrosconsolidadofev[[#Headers],[28]],tabela_registros[REGISTRO],DADOS!$N$5,tabela_registros[TIPO],DADOS!$AB$5,tabela_registros[CATEGORIA],investiroutrosconsolidadofev[[#This Row],[ATUAL]])</f>
        <v>0</v>
      </c>
      <c r="AG156" s="119" t="n">
        <f aca="false">SUMIFS(tabela_registros[VALOR],tabela_registros[MÊS],$AE$1,tabela_registros[DIA],investiroutrosconsolidadofev[[#Headers],[29]],tabela_registros[REGISTRO],DADOS!$N$5,tabela_registros[TIPO],DADOS!$AB$5,tabela_registros[CATEGORIA],investiroutrosconsolidadofev[[#This Row],[ATUAL]])</f>
        <v>0</v>
      </c>
      <c r="AH156" s="119" t="n">
        <f aca="false">SUMIFS(tabela_registros[VALOR],tabela_registros[MÊS],$AE$1,tabela_registros[DIA],investiroutrosconsolidadofev[[#Headers],[30]],tabela_registros[REGISTRO],DADOS!$N$5,tabela_registros[TIPO],DADOS!$AB$5,tabela_registros[CATEGORIA],investiroutrosconsolidadofev[[#This Row],[ATUAL]])</f>
        <v>0</v>
      </c>
      <c r="AI156" s="217" t="n">
        <f aca="false">SUMIFS(tabela_registros[VALOR],tabela_registros[MÊS],$AE$1,tabela_registros[DIA],investiroutrosconsolidadofev[[#Headers],[31]],tabela_registros[REGISTRO],DADOS!$N$5,tabela_registros[TIPO],DADOS!$AB$5,tabela_registros[CATEGORIA],investiroutrosconsolidadofev[[#This Row],[ATUAL]])</f>
        <v>0</v>
      </c>
      <c r="AJ156" s="149" t="n">
        <f aca="false">SUM(investiroutrosconsolidadofev[[#This Row],[1]:[31]])</f>
        <v>0</v>
      </c>
      <c r="AK156" s="165"/>
    </row>
    <row r="157" customFormat="false" ht="19.5" hidden="false" customHeight="true" outlineLevel="0" collapsed="false">
      <c r="B157" s="143"/>
      <c r="C157" s="144" t="str">
        <f aca="false">DADOS!$AH$9</f>
        <v>📝 PREVIDÊNCIA PRIVADA</v>
      </c>
      <c r="D157" s="145" t="str">
        <f aca="false">IF(investiroutrosconsolidadofev[[#This Row],[TOTAL (R$)]]=0,"",IF(OR(investiroutrosconsolidadofev[[#This Row],[TOTAL (R$)]]=LARGE($AJ$151:$AJ$158,1),investiroutrosconsolidadofev[[#This Row],[TOTAL (R$)]]=LARGE($AJ$151:$AJ$158,2)),DADOS!$I$10,""))</f>
        <v/>
      </c>
      <c r="E157" s="148" t="n">
        <f aca="false">SUMIFS(tabela_registros[VALOR],tabela_registros[MÊS],$AE$1,tabela_registros[DIA],investiroutrosconsolidadofev[[#Headers],[1]],tabela_registros[REGISTRO],DADOS!$N$5,tabela_registros[TIPO],DADOS!$AB$5,tabela_registros[CATEGORIA],investiroutrosconsolidadofev[[#This Row],[ATUAL]])</f>
        <v>0</v>
      </c>
      <c r="F157" s="119" t="n">
        <f aca="false">SUMIFS(tabela_registros[VALOR],tabela_registros[MÊS],$AE$1,tabela_registros[DIA],investiroutrosconsolidadofev[[#Headers],[2]],tabela_registros[REGISTRO],DADOS!$N$5,tabela_registros[TIPO],DADOS!$AB$5,tabela_registros[CATEGORIA],investiroutrosconsolidadofev[[#This Row],[ATUAL]])</f>
        <v>0</v>
      </c>
      <c r="G157" s="119" t="n">
        <f aca="false">SUMIFS(tabela_registros[VALOR],tabela_registros[MÊS],$AE$1,tabela_registros[DIA],investiroutrosconsolidadofev[[#Headers],[3]],tabela_registros[REGISTRO],DADOS!$N$5,tabela_registros[TIPO],DADOS!$AB$5,tabela_registros[CATEGORIA],investiroutrosconsolidadofev[[#This Row],[ATUAL]])</f>
        <v>0</v>
      </c>
      <c r="H157" s="119" t="n">
        <f aca="false">SUMIFS(tabela_registros[VALOR],tabela_registros[MÊS],$AE$1,tabela_registros[DIA],investiroutrosconsolidadofev[[#Headers],[4]],tabela_registros[REGISTRO],DADOS!$N$5,tabela_registros[TIPO],DADOS!$AB$5,tabela_registros[CATEGORIA],investiroutrosconsolidadofev[[#This Row],[ATUAL]])</f>
        <v>0</v>
      </c>
      <c r="I157" s="119" t="n">
        <f aca="false">SUMIFS(tabela_registros[VALOR],tabela_registros[MÊS],$AE$1,tabela_registros[DIA],investiroutrosconsolidadofev[[#Headers],[5]],tabela_registros[REGISTRO],DADOS!$N$5,tabela_registros[TIPO],DADOS!$AB$5,tabela_registros[CATEGORIA],investiroutrosconsolidadofev[[#This Row],[ATUAL]])</f>
        <v>0</v>
      </c>
      <c r="J157" s="119" t="n">
        <f aca="false">SUMIFS(tabela_registros[VALOR],tabela_registros[MÊS],$AE$1,tabela_registros[DIA],investiroutrosconsolidadofev[[#Headers],[6]],tabela_registros[REGISTRO],DADOS!$N$5,tabela_registros[TIPO],DADOS!$AB$5,tabela_registros[CATEGORIA],investiroutrosconsolidadofev[[#This Row],[ATUAL]])</f>
        <v>0</v>
      </c>
      <c r="K157" s="119" t="n">
        <f aca="false">SUMIFS(tabela_registros[VALOR],tabela_registros[MÊS],$AE$1,tabela_registros[DIA],investiroutrosconsolidadofev[[#Headers],[7]],tabela_registros[REGISTRO],DADOS!$N$5,tabela_registros[TIPO],DADOS!$AB$5,tabela_registros[CATEGORIA],investiroutrosconsolidadofev[[#This Row],[ATUAL]])</f>
        <v>0</v>
      </c>
      <c r="L157" s="119" t="n">
        <f aca="false">SUMIFS(tabela_registros[VALOR],tabela_registros[MÊS],$AE$1,tabela_registros[DIA],investiroutrosconsolidadofev[[#Headers],[8]],tabela_registros[REGISTRO],DADOS!$N$5,tabela_registros[TIPO],DADOS!$AB$5,tabela_registros[CATEGORIA],investiroutrosconsolidadofev[[#This Row],[ATUAL]])</f>
        <v>0</v>
      </c>
      <c r="M157" s="119" t="n">
        <f aca="false">SUMIFS(tabela_registros[VALOR],tabela_registros[MÊS],$AE$1,tabela_registros[DIA],investiroutrosconsolidadofev[[#Headers],[9]],tabela_registros[REGISTRO],DADOS!$N$5,tabela_registros[TIPO],DADOS!$AB$5,tabela_registros[CATEGORIA],investiroutrosconsolidadofev[[#This Row],[ATUAL]])</f>
        <v>0</v>
      </c>
      <c r="N157" s="119" t="n">
        <f aca="false">SUMIFS(tabela_registros[VALOR],tabela_registros[MÊS],$AE$1,tabela_registros[DIA],investiroutrosconsolidadofev[[#Headers],[10]],tabela_registros[REGISTRO],DADOS!$N$5,tabela_registros[TIPO],DADOS!$AB$5,tabela_registros[CATEGORIA],investiroutrosconsolidadofev[[#This Row],[ATUAL]])</f>
        <v>0</v>
      </c>
      <c r="O157" s="119" t="n">
        <f aca="false">SUMIFS(tabela_registros[VALOR],tabela_registros[MÊS],$AE$1,tabela_registros[DIA],investiroutrosconsolidadofev[[#Headers],[11]],tabela_registros[REGISTRO],DADOS!$N$5,tabela_registros[TIPO],DADOS!$AB$5,tabela_registros[CATEGORIA],investiroutrosconsolidadofev[[#This Row],[ATUAL]])</f>
        <v>0</v>
      </c>
      <c r="P157" s="119" t="n">
        <f aca="false">SUMIFS(tabela_registros[VALOR],tabela_registros[MÊS],$AE$1,tabela_registros[DIA],investiroutrosconsolidadofev[[#Headers],[12]],tabela_registros[REGISTRO],DADOS!$N$5,tabela_registros[TIPO],DADOS!$AB$5,tabela_registros[CATEGORIA],investiroutrosconsolidadofev[[#This Row],[ATUAL]])</f>
        <v>0</v>
      </c>
      <c r="Q157" s="119" t="n">
        <f aca="false">SUMIFS(tabela_registros[VALOR],tabela_registros[MÊS],$AE$1,tabela_registros[DIA],investiroutrosconsolidadofev[[#Headers],[13]],tabela_registros[REGISTRO],DADOS!$N$5,tabela_registros[TIPO],DADOS!$AB$5,tabela_registros[CATEGORIA],investiroutrosconsolidadofev[[#This Row],[ATUAL]])</f>
        <v>0</v>
      </c>
      <c r="R157" s="119" t="n">
        <f aca="false">SUMIFS(tabela_registros[VALOR],tabela_registros[MÊS],$AE$1,tabela_registros[DIA],investiroutrosconsolidadofev[[#Headers],[14]],tabela_registros[REGISTRO],DADOS!$N$5,tabela_registros[TIPO],DADOS!$AB$5,tabela_registros[CATEGORIA],investiroutrosconsolidadofev[[#This Row],[ATUAL]])</f>
        <v>0</v>
      </c>
      <c r="S157" s="119" t="n">
        <f aca="false">SUMIFS(tabela_registros[VALOR],tabela_registros[MÊS],$AE$1,tabela_registros[DIA],investiroutrosconsolidadofev[[#Headers],[15]],tabela_registros[REGISTRO],DADOS!$N$5,tabela_registros[TIPO],DADOS!$AB$5,tabela_registros[CATEGORIA],investiroutrosconsolidadofev[[#This Row],[ATUAL]])</f>
        <v>0</v>
      </c>
      <c r="T157" s="119" t="n">
        <f aca="false">SUMIFS(tabela_registros[VALOR],tabela_registros[MÊS],$AE$1,tabela_registros[DIA],investiroutrosconsolidadofev[[#Headers],[16]],tabela_registros[REGISTRO],DADOS!$N$5,tabela_registros[TIPO],DADOS!$AB$5,tabela_registros[CATEGORIA],investiroutrosconsolidadofev[[#This Row],[ATUAL]])</f>
        <v>0</v>
      </c>
      <c r="U157" s="119" t="n">
        <f aca="false">SUMIFS(tabela_registros[VALOR],tabela_registros[MÊS],$AE$1,tabela_registros[DIA],investiroutrosconsolidadofev[[#Headers],[17]],tabela_registros[REGISTRO],DADOS!$N$5,tabela_registros[TIPO],DADOS!$AB$5,tabela_registros[CATEGORIA],investiroutrosconsolidadofev[[#This Row],[ATUAL]])</f>
        <v>0</v>
      </c>
      <c r="V157" s="119" t="n">
        <f aca="false">SUMIFS(tabela_registros[VALOR],tabela_registros[MÊS],$AE$1,tabela_registros[DIA],investiroutrosconsolidadofev[[#Headers],[18]],tabela_registros[REGISTRO],DADOS!$N$5,tabela_registros[TIPO],DADOS!$AB$5,tabela_registros[CATEGORIA],investiroutrosconsolidadofev[[#This Row],[ATUAL]])</f>
        <v>0</v>
      </c>
      <c r="W157" s="119" t="n">
        <f aca="false">SUMIFS(tabela_registros[VALOR],tabela_registros[MÊS],$AE$1,tabela_registros[DIA],investiroutrosconsolidadofev[[#Headers],[19]],tabela_registros[REGISTRO],DADOS!$N$5,tabela_registros[TIPO],DADOS!$AB$5,tabela_registros[CATEGORIA],investiroutrosconsolidadofev[[#This Row],[ATUAL]])</f>
        <v>0</v>
      </c>
      <c r="X157" s="119" t="n">
        <f aca="false">SUMIFS(tabela_registros[VALOR],tabela_registros[MÊS],$AE$1,tabela_registros[DIA],investiroutrosconsolidadofev[[#Headers],[20]],tabela_registros[REGISTRO],DADOS!$N$5,tabela_registros[TIPO],DADOS!$AB$5,tabela_registros[CATEGORIA],investiroutrosconsolidadofev[[#This Row],[ATUAL]])</f>
        <v>0</v>
      </c>
      <c r="Y157" s="119" t="n">
        <f aca="false">SUMIFS(tabela_registros[VALOR],tabela_registros[MÊS],$AE$1,tabela_registros[DIA],investiroutrosconsolidadofev[[#Headers],[21]],tabela_registros[REGISTRO],DADOS!$N$5,tabela_registros[TIPO],DADOS!$AB$5,tabela_registros[CATEGORIA],investiroutrosconsolidadofev[[#This Row],[ATUAL]])</f>
        <v>0</v>
      </c>
      <c r="Z157" s="119" t="n">
        <f aca="false">SUMIFS(tabela_registros[VALOR],tabela_registros[MÊS],$AE$1,tabela_registros[DIA],investiroutrosconsolidadofev[[#Headers],[22]],tabela_registros[REGISTRO],DADOS!$N$5,tabela_registros[TIPO],DADOS!$AB$5,tabela_registros[CATEGORIA],investiroutrosconsolidadofev[[#This Row],[ATUAL]])</f>
        <v>0</v>
      </c>
      <c r="AA157" s="119" t="n">
        <f aca="false">SUMIFS(tabela_registros[VALOR],tabela_registros[MÊS],$AE$1,tabela_registros[DIA],investiroutrosconsolidadofev[[#Headers],[23]],tabela_registros[REGISTRO],DADOS!$N$5,tabela_registros[TIPO],DADOS!$AB$5,tabela_registros[CATEGORIA],investiroutrosconsolidadofev[[#This Row],[ATUAL]])</f>
        <v>0</v>
      </c>
      <c r="AB157" s="119" t="n">
        <f aca="false">SUMIFS(tabela_registros[VALOR],tabela_registros[MÊS],$AE$1,tabela_registros[DIA],investiroutrosconsolidadofev[[#Headers],[24]],tabela_registros[REGISTRO],DADOS!$N$5,tabela_registros[TIPO],DADOS!$AB$5,tabela_registros[CATEGORIA],investiroutrosconsolidadofev[[#This Row],[ATUAL]])</f>
        <v>0</v>
      </c>
      <c r="AC157" s="119" t="n">
        <f aca="false">SUMIFS(tabela_registros[VALOR],tabela_registros[MÊS],$AE$1,tabela_registros[DIA],investiroutrosconsolidadofev[[#Headers],[25]],tabela_registros[REGISTRO],DADOS!$N$5,tabela_registros[TIPO],DADOS!$AB$5,tabela_registros[CATEGORIA],investiroutrosconsolidadofev[[#This Row],[ATUAL]])</f>
        <v>0</v>
      </c>
      <c r="AD157" s="119" t="n">
        <f aca="false">SUMIFS(tabela_registros[VALOR],tabela_registros[MÊS],$AE$1,tabela_registros[DIA],investiroutrosconsolidadofev[[#Headers],[26]],tabela_registros[REGISTRO],DADOS!$N$5,tabela_registros[TIPO],DADOS!$AB$5,tabela_registros[CATEGORIA],investiroutrosconsolidadofev[[#This Row],[ATUAL]])</f>
        <v>0</v>
      </c>
      <c r="AE157" s="119" t="n">
        <f aca="false">SUMIFS(tabela_registros[VALOR],tabela_registros[MÊS],$AE$1,tabela_registros[DIA],investiroutrosconsolidadofev[[#Headers],[27]],tabela_registros[REGISTRO],DADOS!$N$5,tabela_registros[TIPO],DADOS!$AB$5,tabela_registros[CATEGORIA],investiroutrosconsolidadofev[[#This Row],[ATUAL]])</f>
        <v>0</v>
      </c>
      <c r="AF157" s="119" t="n">
        <f aca="false">SUMIFS(tabela_registros[VALOR],tabela_registros[MÊS],$AE$1,tabela_registros[DIA],investiroutrosconsolidadofev[[#Headers],[28]],tabela_registros[REGISTRO],DADOS!$N$5,tabela_registros[TIPO],DADOS!$AB$5,tabela_registros[CATEGORIA],investiroutrosconsolidadofev[[#This Row],[ATUAL]])</f>
        <v>0</v>
      </c>
      <c r="AG157" s="119" t="n">
        <f aca="false">SUMIFS(tabela_registros[VALOR],tabela_registros[MÊS],$AE$1,tabela_registros[DIA],investiroutrosconsolidadofev[[#Headers],[29]],tabela_registros[REGISTRO],DADOS!$N$5,tabela_registros[TIPO],DADOS!$AB$5,tabela_registros[CATEGORIA],investiroutrosconsolidadofev[[#This Row],[ATUAL]])</f>
        <v>0</v>
      </c>
      <c r="AH157" s="119" t="n">
        <f aca="false">SUMIFS(tabela_registros[VALOR],tabela_registros[MÊS],$AE$1,tabela_registros[DIA],investiroutrosconsolidadofev[[#Headers],[30]],tabela_registros[REGISTRO],DADOS!$N$5,tabela_registros[TIPO],DADOS!$AB$5,tabela_registros[CATEGORIA],investiroutrosconsolidadofev[[#This Row],[ATUAL]])</f>
        <v>0</v>
      </c>
      <c r="AI157" s="217" t="n">
        <f aca="false">SUMIFS(tabela_registros[VALOR],tabela_registros[MÊS],$AE$1,tabela_registros[DIA],investiroutrosconsolidadofev[[#Headers],[31]],tabela_registros[REGISTRO],DADOS!$N$5,tabela_registros[TIPO],DADOS!$AB$5,tabela_registros[CATEGORIA],investiroutrosconsolidadofev[[#This Row],[ATUAL]])</f>
        <v>0</v>
      </c>
      <c r="AJ157" s="149" t="n">
        <f aca="false">SUM(investiroutrosconsolidadofev[[#This Row],[1]:[31]])</f>
        <v>0</v>
      </c>
      <c r="AK157" s="165"/>
    </row>
    <row r="158" customFormat="false" ht="19.5" hidden="false" customHeight="true" outlineLevel="0" collapsed="false">
      <c r="B158" s="143"/>
      <c r="C158" s="144" t="str">
        <f aca="false">DADOS!$AH$10</f>
        <v>📎 OUTROS</v>
      </c>
      <c r="D158" s="145" t="str">
        <f aca="false">IF(investiroutrosconsolidadofev[[#This Row],[TOTAL (R$)]]=0,"",IF(OR(investiroutrosconsolidadofev[[#This Row],[TOTAL (R$)]]=LARGE($AJ$151:$AJ$158,1),investiroutrosconsolidadofev[[#This Row],[TOTAL (R$)]]=LARGE($AJ$151:$AJ$158,2)),DADOS!$I$10,""))</f>
        <v/>
      </c>
      <c r="E158" s="148" t="n">
        <f aca="false">SUMIFS(tabela_registros[VALOR],tabela_registros[MÊS],$AE$1,tabela_registros[DIA],investiroutrosconsolidadofev[[#Headers],[1]],tabela_registros[REGISTRO],DADOS!$N$5,tabela_registros[TIPO],DADOS!$AB$5,tabela_registros[CATEGORIA],investiroutrosconsolidadofev[[#This Row],[ATUAL]])</f>
        <v>0</v>
      </c>
      <c r="F158" s="119" t="n">
        <f aca="false">SUMIFS(tabela_registros[VALOR],tabela_registros[MÊS],$AE$1,tabela_registros[DIA],investiroutrosconsolidadofev[[#Headers],[2]],tabela_registros[REGISTRO],DADOS!$N$5,tabela_registros[TIPO],DADOS!$AB$5,tabela_registros[CATEGORIA],investiroutrosconsolidadofev[[#This Row],[ATUAL]])</f>
        <v>0</v>
      </c>
      <c r="G158" s="119" t="n">
        <f aca="false">SUMIFS(tabela_registros[VALOR],tabela_registros[MÊS],$AE$1,tabela_registros[DIA],investiroutrosconsolidadofev[[#Headers],[3]],tabela_registros[REGISTRO],DADOS!$N$5,tabela_registros[TIPO],DADOS!$AB$5,tabela_registros[CATEGORIA],investiroutrosconsolidadofev[[#This Row],[ATUAL]])</f>
        <v>0</v>
      </c>
      <c r="H158" s="119" t="n">
        <f aca="false">SUMIFS(tabela_registros[VALOR],tabela_registros[MÊS],$AE$1,tabela_registros[DIA],investiroutrosconsolidadofev[[#Headers],[4]],tabela_registros[REGISTRO],DADOS!$N$5,tabela_registros[TIPO],DADOS!$AB$5,tabela_registros[CATEGORIA],investiroutrosconsolidadofev[[#This Row],[ATUAL]])</f>
        <v>0</v>
      </c>
      <c r="I158" s="119" t="n">
        <f aca="false">SUMIFS(tabela_registros[VALOR],tabela_registros[MÊS],$AE$1,tabela_registros[DIA],investiroutrosconsolidadofev[[#Headers],[5]],tabela_registros[REGISTRO],DADOS!$N$5,tabela_registros[TIPO],DADOS!$AB$5,tabela_registros[CATEGORIA],investiroutrosconsolidadofev[[#This Row],[ATUAL]])</f>
        <v>0</v>
      </c>
      <c r="J158" s="119" t="n">
        <f aca="false">SUMIFS(tabela_registros[VALOR],tabela_registros[MÊS],$AE$1,tabela_registros[DIA],investiroutrosconsolidadofev[[#Headers],[6]],tabela_registros[REGISTRO],DADOS!$N$5,tabela_registros[TIPO],DADOS!$AB$5,tabela_registros[CATEGORIA],investiroutrosconsolidadofev[[#This Row],[ATUAL]])</f>
        <v>0</v>
      </c>
      <c r="K158" s="119" t="n">
        <f aca="false">SUMIFS(tabela_registros[VALOR],tabela_registros[MÊS],$AE$1,tabela_registros[DIA],investiroutrosconsolidadofev[[#Headers],[7]],tabela_registros[REGISTRO],DADOS!$N$5,tabela_registros[TIPO],DADOS!$AB$5,tabela_registros[CATEGORIA],investiroutrosconsolidadofev[[#This Row],[ATUAL]])</f>
        <v>0</v>
      </c>
      <c r="L158" s="119" t="n">
        <f aca="false">SUMIFS(tabela_registros[VALOR],tabela_registros[MÊS],$AE$1,tabela_registros[DIA],investiroutrosconsolidadofev[[#Headers],[8]],tabela_registros[REGISTRO],DADOS!$N$5,tabela_registros[TIPO],DADOS!$AB$5,tabela_registros[CATEGORIA],investiroutrosconsolidadofev[[#This Row],[ATUAL]])</f>
        <v>0</v>
      </c>
      <c r="M158" s="119" t="n">
        <f aca="false">SUMIFS(tabela_registros[VALOR],tabela_registros[MÊS],$AE$1,tabela_registros[DIA],investiroutrosconsolidadofev[[#Headers],[9]],tabela_registros[REGISTRO],DADOS!$N$5,tabela_registros[TIPO],DADOS!$AB$5,tabela_registros[CATEGORIA],investiroutrosconsolidadofev[[#This Row],[ATUAL]])</f>
        <v>0</v>
      </c>
      <c r="N158" s="119" t="n">
        <f aca="false">SUMIFS(tabela_registros[VALOR],tabela_registros[MÊS],$AE$1,tabela_registros[DIA],investiroutrosconsolidadofev[[#Headers],[10]],tabela_registros[REGISTRO],DADOS!$N$5,tabela_registros[TIPO],DADOS!$AB$5,tabela_registros[CATEGORIA],investiroutrosconsolidadofev[[#This Row],[ATUAL]])</f>
        <v>0</v>
      </c>
      <c r="O158" s="119" t="n">
        <f aca="false">SUMIFS(tabela_registros[VALOR],tabela_registros[MÊS],$AE$1,tabela_registros[DIA],investiroutrosconsolidadofev[[#Headers],[11]],tabela_registros[REGISTRO],DADOS!$N$5,tabela_registros[TIPO],DADOS!$AB$5,tabela_registros[CATEGORIA],investiroutrosconsolidadofev[[#This Row],[ATUAL]])</f>
        <v>0</v>
      </c>
      <c r="P158" s="119" t="n">
        <f aca="false">SUMIFS(tabela_registros[VALOR],tabela_registros[MÊS],$AE$1,tabela_registros[DIA],investiroutrosconsolidadofev[[#Headers],[12]],tabela_registros[REGISTRO],DADOS!$N$5,tabela_registros[TIPO],DADOS!$AB$5,tabela_registros[CATEGORIA],investiroutrosconsolidadofev[[#This Row],[ATUAL]])</f>
        <v>0</v>
      </c>
      <c r="Q158" s="119" t="n">
        <f aca="false">SUMIFS(tabela_registros[VALOR],tabela_registros[MÊS],$AE$1,tabela_registros[DIA],investiroutrosconsolidadofev[[#Headers],[13]],tabela_registros[REGISTRO],DADOS!$N$5,tabela_registros[TIPO],DADOS!$AB$5,tabela_registros[CATEGORIA],investiroutrosconsolidadofev[[#This Row],[ATUAL]])</f>
        <v>0</v>
      </c>
      <c r="R158" s="119" t="n">
        <f aca="false">SUMIFS(tabela_registros[VALOR],tabela_registros[MÊS],$AE$1,tabela_registros[DIA],investiroutrosconsolidadofev[[#Headers],[14]],tabela_registros[REGISTRO],DADOS!$N$5,tabela_registros[TIPO],DADOS!$AB$5,tabela_registros[CATEGORIA],investiroutrosconsolidadofev[[#This Row],[ATUAL]])</f>
        <v>0</v>
      </c>
      <c r="S158" s="119" t="n">
        <f aca="false">SUMIFS(tabela_registros[VALOR],tabela_registros[MÊS],$AE$1,tabela_registros[DIA],investiroutrosconsolidadofev[[#Headers],[15]],tabela_registros[REGISTRO],DADOS!$N$5,tabela_registros[TIPO],DADOS!$AB$5,tabela_registros[CATEGORIA],investiroutrosconsolidadofev[[#This Row],[ATUAL]])</f>
        <v>0</v>
      </c>
      <c r="T158" s="119" t="n">
        <f aca="false">SUMIFS(tabela_registros[VALOR],tabela_registros[MÊS],$AE$1,tabela_registros[DIA],investiroutrosconsolidadofev[[#Headers],[16]],tabela_registros[REGISTRO],DADOS!$N$5,tabela_registros[TIPO],DADOS!$AB$5,tabela_registros[CATEGORIA],investiroutrosconsolidadofev[[#This Row],[ATUAL]])</f>
        <v>0</v>
      </c>
      <c r="U158" s="119" t="n">
        <f aca="false">SUMIFS(tabela_registros[VALOR],tabela_registros[MÊS],$AE$1,tabela_registros[DIA],investiroutrosconsolidadofev[[#Headers],[17]],tabela_registros[REGISTRO],DADOS!$N$5,tabela_registros[TIPO],DADOS!$AB$5,tabela_registros[CATEGORIA],investiroutrosconsolidadofev[[#This Row],[ATUAL]])</f>
        <v>0</v>
      </c>
      <c r="V158" s="119" t="n">
        <f aca="false">SUMIFS(tabela_registros[VALOR],tabela_registros[MÊS],$AE$1,tabela_registros[DIA],investiroutrosconsolidadofev[[#Headers],[18]],tabela_registros[REGISTRO],DADOS!$N$5,tabela_registros[TIPO],DADOS!$AB$5,tabela_registros[CATEGORIA],investiroutrosconsolidadofev[[#This Row],[ATUAL]])</f>
        <v>0</v>
      </c>
      <c r="W158" s="119" t="n">
        <f aca="false">SUMIFS(tabela_registros[VALOR],tabela_registros[MÊS],$AE$1,tabela_registros[DIA],investiroutrosconsolidadofev[[#Headers],[19]],tabela_registros[REGISTRO],DADOS!$N$5,tabela_registros[TIPO],DADOS!$AB$5,tabela_registros[CATEGORIA],investiroutrosconsolidadofev[[#This Row],[ATUAL]])</f>
        <v>0</v>
      </c>
      <c r="X158" s="119" t="n">
        <f aca="false">SUMIFS(tabela_registros[VALOR],tabela_registros[MÊS],$AE$1,tabela_registros[DIA],investiroutrosconsolidadofev[[#Headers],[20]],tabela_registros[REGISTRO],DADOS!$N$5,tabela_registros[TIPO],DADOS!$AB$5,tabela_registros[CATEGORIA],investiroutrosconsolidadofev[[#This Row],[ATUAL]])</f>
        <v>0</v>
      </c>
      <c r="Y158" s="119" t="n">
        <f aca="false">SUMIFS(tabela_registros[VALOR],tabela_registros[MÊS],$AE$1,tabela_registros[DIA],investiroutrosconsolidadofev[[#Headers],[21]],tabela_registros[REGISTRO],DADOS!$N$5,tabela_registros[TIPO],DADOS!$AB$5,tabela_registros[CATEGORIA],investiroutrosconsolidadofev[[#This Row],[ATUAL]])</f>
        <v>0</v>
      </c>
      <c r="Z158" s="119" t="n">
        <f aca="false">SUMIFS(tabela_registros[VALOR],tabela_registros[MÊS],$AE$1,tabela_registros[DIA],investiroutrosconsolidadofev[[#Headers],[22]],tabela_registros[REGISTRO],DADOS!$N$5,tabela_registros[TIPO],DADOS!$AB$5,tabela_registros[CATEGORIA],investiroutrosconsolidadofev[[#This Row],[ATUAL]])</f>
        <v>0</v>
      </c>
      <c r="AA158" s="119" t="n">
        <f aca="false">SUMIFS(tabela_registros[VALOR],tabela_registros[MÊS],$AE$1,tabela_registros[DIA],investiroutrosconsolidadofev[[#Headers],[23]],tabela_registros[REGISTRO],DADOS!$N$5,tabela_registros[TIPO],DADOS!$AB$5,tabela_registros[CATEGORIA],investiroutrosconsolidadofev[[#This Row],[ATUAL]])</f>
        <v>0</v>
      </c>
      <c r="AB158" s="119" t="n">
        <f aca="false">SUMIFS(tabela_registros[VALOR],tabela_registros[MÊS],$AE$1,tabela_registros[DIA],investiroutrosconsolidadofev[[#Headers],[24]],tabela_registros[REGISTRO],DADOS!$N$5,tabela_registros[TIPO],DADOS!$AB$5,tabela_registros[CATEGORIA],investiroutrosconsolidadofev[[#This Row],[ATUAL]])</f>
        <v>0</v>
      </c>
      <c r="AC158" s="119" t="n">
        <f aca="false">SUMIFS(tabela_registros[VALOR],tabela_registros[MÊS],$AE$1,tabela_registros[DIA],investiroutrosconsolidadofev[[#Headers],[25]],tabela_registros[REGISTRO],DADOS!$N$5,tabela_registros[TIPO],DADOS!$AB$5,tabela_registros[CATEGORIA],investiroutrosconsolidadofev[[#This Row],[ATUAL]])</f>
        <v>0</v>
      </c>
      <c r="AD158" s="119" t="n">
        <f aca="false">SUMIFS(tabela_registros[VALOR],tabela_registros[MÊS],$AE$1,tabela_registros[DIA],investiroutrosconsolidadofev[[#Headers],[26]],tabela_registros[REGISTRO],DADOS!$N$5,tabela_registros[TIPO],DADOS!$AB$5,tabela_registros[CATEGORIA],investiroutrosconsolidadofev[[#This Row],[ATUAL]])</f>
        <v>0</v>
      </c>
      <c r="AE158" s="119" t="n">
        <f aca="false">SUMIFS(tabela_registros[VALOR],tabela_registros[MÊS],$AE$1,tabela_registros[DIA],investiroutrosconsolidadofev[[#Headers],[27]],tabela_registros[REGISTRO],DADOS!$N$5,tabela_registros[TIPO],DADOS!$AB$5,tabela_registros[CATEGORIA],investiroutrosconsolidadofev[[#This Row],[ATUAL]])</f>
        <v>0</v>
      </c>
      <c r="AF158" s="119" t="n">
        <f aca="false">SUMIFS(tabela_registros[VALOR],tabela_registros[MÊS],$AE$1,tabela_registros[DIA],investiroutrosconsolidadofev[[#Headers],[28]],tabela_registros[REGISTRO],DADOS!$N$5,tabela_registros[TIPO],DADOS!$AB$5,tabela_registros[CATEGORIA],investiroutrosconsolidadofev[[#This Row],[ATUAL]])</f>
        <v>0</v>
      </c>
      <c r="AG158" s="119" t="n">
        <f aca="false">SUMIFS(tabela_registros[VALOR],tabela_registros[MÊS],$AE$1,tabela_registros[DIA],investiroutrosconsolidadofev[[#Headers],[29]],tabela_registros[REGISTRO],DADOS!$N$5,tabela_registros[TIPO],DADOS!$AB$5,tabela_registros[CATEGORIA],investiroutrosconsolidadofev[[#This Row],[ATUAL]])</f>
        <v>0</v>
      </c>
      <c r="AH158" s="119" t="n">
        <f aca="false">SUMIFS(tabela_registros[VALOR],tabela_registros[MÊS],$AE$1,tabela_registros[DIA],investiroutrosconsolidadofev[[#Headers],[30]],tabela_registros[REGISTRO],DADOS!$N$5,tabela_registros[TIPO],DADOS!$AB$5,tabela_registros[CATEGORIA],investiroutrosconsolidadofev[[#This Row],[ATUAL]])</f>
        <v>0</v>
      </c>
      <c r="AI158" s="217" t="n">
        <f aca="false">SUMIFS(tabela_registros[VALOR],tabela_registros[MÊS],$AE$1,tabela_registros[DIA],investiroutrosconsolidadofev[[#Headers],[31]],tabela_registros[REGISTRO],DADOS!$N$5,tabela_registros[TIPO],DADOS!$AB$5,tabela_registros[CATEGORIA],investiroutrosconsolidadofev[[#This Row],[ATUAL]])</f>
        <v>0</v>
      </c>
      <c r="AJ158" s="149" t="n">
        <f aca="false">SUM(investiroutrosconsolidadofev[[#This Row],[1]:[31]])</f>
        <v>0</v>
      </c>
      <c r="AK158" s="165"/>
    </row>
    <row r="159" s="122" customFormat="true" ht="21" hidden="false" customHeight="true" outlineLevel="0" collapsed="false">
      <c r="B159" s="152"/>
      <c r="C159" s="153" t="s">
        <v>2</v>
      </c>
      <c r="D159" s="166"/>
      <c r="E159" s="155" t="n">
        <f aca="false">SUM(E151:E158)</f>
        <v>0</v>
      </c>
      <c r="F159" s="156" t="n">
        <f aca="false">SUM(F151:F158)+investiroutrosconsolidadofev[[#This Row],[1]]</f>
        <v>0</v>
      </c>
      <c r="G159" s="156" t="n">
        <f aca="false">SUM(G151:G158)+investiroutrosconsolidadofev[[#This Row],[2]]</f>
        <v>0</v>
      </c>
      <c r="H159" s="156" t="n">
        <f aca="false">SUM(H151:H158)+investiroutrosconsolidadofev[[#This Row],[3]]</f>
        <v>0</v>
      </c>
      <c r="I159" s="156" t="n">
        <f aca="false">SUM(I151:I158)+investiroutrosconsolidadofev[[#This Row],[4]]</f>
        <v>0</v>
      </c>
      <c r="J159" s="156" t="n">
        <f aca="false">SUM(J151:J158)+investiroutrosconsolidadofev[[#This Row],[5]]</f>
        <v>0</v>
      </c>
      <c r="K159" s="156" t="n">
        <f aca="false">SUM(K151:K158)+investiroutrosconsolidadofev[[#This Row],[6]]</f>
        <v>0</v>
      </c>
      <c r="L159" s="156" t="n">
        <f aca="false">SUM(L151:L158)+investiroutrosconsolidadofev[[#This Row],[7]]</f>
        <v>0</v>
      </c>
      <c r="M159" s="156" t="n">
        <f aca="false">SUM(M151:M158)+investiroutrosconsolidadofev[[#This Row],[8]]</f>
        <v>0</v>
      </c>
      <c r="N159" s="156" t="n">
        <f aca="false">SUM(N151:N158)+investiroutrosconsolidadofev[[#This Row],[9]]</f>
        <v>0</v>
      </c>
      <c r="O159" s="156" t="n">
        <f aca="false">SUM(O151:O158)+investiroutrosconsolidadofev[[#This Row],[10]]</f>
        <v>0</v>
      </c>
      <c r="P159" s="156" t="n">
        <f aca="false">SUM(P151:P158)+investiroutrosconsolidadofev[[#This Row],[11]]</f>
        <v>0</v>
      </c>
      <c r="Q159" s="156" t="n">
        <f aca="false">SUM(Q151:Q158)+investiroutrosconsolidadofev[[#This Row],[12]]</f>
        <v>0</v>
      </c>
      <c r="R159" s="156" t="n">
        <f aca="false">SUM(R151:R158)+investiroutrosconsolidadofev[[#This Row],[13]]</f>
        <v>0</v>
      </c>
      <c r="S159" s="156" t="n">
        <f aca="false">SUM(S151:S158)+investiroutrosconsolidadofev[[#This Row],[14]]</f>
        <v>0</v>
      </c>
      <c r="T159" s="156" t="n">
        <f aca="false">SUM(T151:T158)+investiroutrosconsolidadofev[[#This Row],[15]]</f>
        <v>0</v>
      </c>
      <c r="U159" s="156" t="n">
        <f aca="false">SUM(U151:U158)+investiroutrosconsolidadofev[[#This Row],[16]]</f>
        <v>0</v>
      </c>
      <c r="V159" s="156" t="n">
        <f aca="false">SUM(V151:V158)+investiroutrosconsolidadofev[[#This Row],[17]]</f>
        <v>0</v>
      </c>
      <c r="W159" s="156" t="n">
        <f aca="false">SUM(W151:W158)+investiroutrosconsolidadofev[[#This Row],[18]]</f>
        <v>0</v>
      </c>
      <c r="X159" s="156" t="n">
        <f aca="false">SUM(X151:X158)+investiroutrosconsolidadofev[[#This Row],[19]]</f>
        <v>0</v>
      </c>
      <c r="Y159" s="156" t="n">
        <f aca="false">SUM(Y151:Y158)+investiroutrosconsolidadofev[[#This Row],[20]]</f>
        <v>0</v>
      </c>
      <c r="Z159" s="156" t="n">
        <f aca="false">SUM(Z151:Z158)+investiroutrosconsolidadofev[[#This Row],[21]]</f>
        <v>0</v>
      </c>
      <c r="AA159" s="156" t="n">
        <f aca="false">SUM(AA151:AA158)+investiroutrosconsolidadofev[[#This Row],[22]]</f>
        <v>0</v>
      </c>
      <c r="AB159" s="156" t="n">
        <f aca="false">SUM(AB151:AB158)+investiroutrosconsolidadofev[[#This Row],[23]]</f>
        <v>0</v>
      </c>
      <c r="AC159" s="156" t="n">
        <f aca="false">SUM(AC151:AC158)+investiroutrosconsolidadofev[[#This Row],[24]]</f>
        <v>0</v>
      </c>
      <c r="AD159" s="156" t="n">
        <f aca="false">SUM(AD151:AD158)+investiroutrosconsolidadofev[[#This Row],[25]]</f>
        <v>0</v>
      </c>
      <c r="AE159" s="156" t="n">
        <f aca="false">SUM(AE151:AE158)+investiroutrosconsolidadofev[[#This Row],[26]]</f>
        <v>0</v>
      </c>
      <c r="AF159" s="156" t="n">
        <f aca="false">SUM(AF151:AF158)+investiroutrosconsolidadofev[[#This Row],[27]]</f>
        <v>0</v>
      </c>
      <c r="AG159" s="156" t="n">
        <f aca="false">SUM(AG151:AG158)+investiroutrosconsolidadofev[[#This Row],[28]]</f>
        <v>0</v>
      </c>
      <c r="AH159" s="156" t="n">
        <f aca="false">SUM(AH151:AH158)+investiroutrosconsolidadofev[[#This Row],[29]]</f>
        <v>0</v>
      </c>
      <c r="AI159" s="223" t="n">
        <f aca="false">SUM(AI151:AI158)+investiroutrosconsolidadofev[[#This Row],[30]]</f>
        <v>0</v>
      </c>
      <c r="AJ159" s="157" t="n">
        <f aca="false">investiroutrosconsolidadofev[[#This Row],[31]]</f>
        <v>0</v>
      </c>
      <c r="AK159" s="158"/>
    </row>
    <row r="160" customFormat="false" ht="6.75" hidden="false" customHeight="true" outlineLevel="0" collapsed="false">
      <c r="B160" s="97"/>
      <c r="C160" s="162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233"/>
      <c r="AJ160" s="164"/>
      <c r="AK160" s="244"/>
    </row>
    <row r="161" s="78" customFormat="true" ht="12.75" hidden="false" customHeight="false" outlineLevel="0" collapsed="false">
      <c r="E161" s="100"/>
    </row>
    <row r="162" s="78" customFormat="true" ht="12" hidden="false" customHeight="false" outlineLevel="0" collapsed="false"/>
    <row r="163" s="78" customFormat="true" ht="12" hidden="false" customHeight="false" outlineLevel="0" collapsed="false"/>
    <row r="164" customFormat="false" ht="39.75" hidden="false" customHeight="true" outlineLevel="0" collapsed="false">
      <c r="C164" s="101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3" t="s">
        <v>2</v>
      </c>
    </row>
    <row r="165" s="78" customFormat="true" ht="12.75" hidden="false" customHeight="false" outlineLevel="0" collapsed="false">
      <c r="B165" s="161"/>
      <c r="AJ165" s="106" t="s">
        <v>64</v>
      </c>
    </row>
    <row r="166" customFormat="false" ht="6.75" hidden="false" customHeight="true" outlineLevel="0" collapsed="false">
      <c r="B166" s="86"/>
      <c r="C166" s="162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233"/>
      <c r="AK166" s="139"/>
    </row>
    <row r="167" customFormat="false" ht="13.5" hidden="true" customHeight="false" outlineLevel="0" collapsed="false">
      <c r="B167" s="86"/>
      <c r="C167" s="109" t="s">
        <v>68</v>
      </c>
      <c r="D167" s="110" t="s">
        <v>69</v>
      </c>
      <c r="E167" s="110" t="s">
        <v>30</v>
      </c>
      <c r="F167" s="110" t="s">
        <v>31</v>
      </c>
      <c r="G167" s="110" t="s">
        <v>32</v>
      </c>
      <c r="H167" s="110" t="s">
        <v>33</v>
      </c>
      <c r="I167" s="110" t="s">
        <v>34</v>
      </c>
      <c r="J167" s="110" t="s">
        <v>35</v>
      </c>
      <c r="K167" s="110" t="s">
        <v>36</v>
      </c>
      <c r="L167" s="110" t="s">
        <v>37</v>
      </c>
      <c r="M167" s="110" t="s">
        <v>38</v>
      </c>
      <c r="N167" s="110" t="s">
        <v>39</v>
      </c>
      <c r="O167" s="110" t="s">
        <v>40</v>
      </c>
      <c r="P167" s="110" t="s">
        <v>41</v>
      </c>
      <c r="Q167" s="110" t="s">
        <v>81</v>
      </c>
      <c r="R167" s="110" t="s">
        <v>82</v>
      </c>
      <c r="S167" s="110" t="s">
        <v>83</v>
      </c>
      <c r="T167" s="110" t="s">
        <v>84</v>
      </c>
      <c r="U167" s="110" t="s">
        <v>85</v>
      </c>
      <c r="V167" s="110" t="s">
        <v>86</v>
      </c>
      <c r="W167" s="110" t="s">
        <v>87</v>
      </c>
      <c r="X167" s="110" t="s">
        <v>88</v>
      </c>
      <c r="Y167" s="110" t="s">
        <v>89</v>
      </c>
      <c r="Z167" s="110" t="s">
        <v>90</v>
      </c>
      <c r="AA167" s="110" t="s">
        <v>91</v>
      </c>
      <c r="AB167" s="110" t="s">
        <v>92</v>
      </c>
      <c r="AC167" s="110" t="s">
        <v>93</v>
      </c>
      <c r="AD167" s="110" t="s">
        <v>94</v>
      </c>
      <c r="AE167" s="110" t="s">
        <v>95</v>
      </c>
      <c r="AF167" s="110" t="s">
        <v>96</v>
      </c>
      <c r="AG167" s="110" t="s">
        <v>97</v>
      </c>
      <c r="AH167" s="110" t="s">
        <v>98</v>
      </c>
      <c r="AI167" s="110" t="s">
        <v>99</v>
      </c>
      <c r="AJ167" s="111" t="s">
        <v>70</v>
      </c>
      <c r="AK167" s="86"/>
    </row>
    <row r="168" customFormat="false" ht="19.5" hidden="false" customHeight="true" outlineLevel="0" collapsed="false">
      <c r="B168" s="143"/>
      <c r="C168" s="144" t="str">
        <f aca="false">DADOS!$AL$3</f>
        <v>📝 CDB</v>
      </c>
      <c r="D168" s="145" t="str">
        <f aca="false">IF(reservafixaconsolidadofev[[#This Row],[TOTAL (R$)]]=0,"",IF(OR(reservafixaconsolidadofev[[#This Row],[TOTAL (R$)]]=LARGE($AJ$168:$AJ$177,1),reservafixaconsolidadofev[[#This Row],[TOTAL (R$)]]=LARGE($AJ$168:$AJ$177,2)),DADOS!$I$11,""))</f>
        <v/>
      </c>
      <c r="E168" s="148" t="n">
        <f aca="false">SUMIFS(tabela_registros[VALOR],tabela_registros[MÊS],$AE$1,tabela_registros[DIA],reservafixaconsolidadofev[[#Headers],[1]],tabela_registros[REGISTRO],DADOS!$N$6,tabela_registros[TIPO],DADOS!$AJ$3,tabela_registros[CATEGORIA],reservafixaconsolidadofev[[#This Row],[ATUAL]])</f>
        <v>0</v>
      </c>
      <c r="F168" s="119" t="n">
        <f aca="false">SUMIFS(tabela_registros[VALOR],tabela_registros[MÊS],$AE$1,tabela_registros[DIA],reservafixaconsolidadofev[[#Headers],[2]],tabela_registros[REGISTRO],DADOS!$N$6,tabela_registros[TIPO],DADOS!$AJ$3,tabela_registros[CATEGORIA],reservafixaconsolidadofev[[#This Row],[ATUAL]])</f>
        <v>0</v>
      </c>
      <c r="G168" s="119" t="n">
        <f aca="false">SUMIFS(tabela_registros[VALOR],tabela_registros[MÊS],$AE$1,tabela_registros[DIA],reservafixaconsolidadofev[[#Headers],[3]],tabela_registros[REGISTRO],DADOS!$N$6,tabela_registros[TIPO],DADOS!$AJ$3,tabela_registros[CATEGORIA],reservafixaconsolidadofev[[#This Row],[ATUAL]])</f>
        <v>0</v>
      </c>
      <c r="H168" s="119" t="n">
        <f aca="false">SUMIFS(tabela_registros[VALOR],tabela_registros[MÊS],$AE$1,tabela_registros[DIA],reservafixaconsolidadofev[[#Headers],[4]],tabela_registros[REGISTRO],DADOS!$N$6,tabela_registros[TIPO],DADOS!$AJ$3,tabela_registros[CATEGORIA],reservafixaconsolidadofev[[#This Row],[ATUAL]])</f>
        <v>0</v>
      </c>
      <c r="I168" s="119" t="n">
        <f aca="false">SUMIFS(tabela_registros[VALOR],tabela_registros[MÊS],$AE$1,tabela_registros[DIA],reservafixaconsolidadofev[[#Headers],[5]],tabela_registros[REGISTRO],DADOS!$N$6,tabela_registros[TIPO],DADOS!$AJ$3,tabela_registros[CATEGORIA],reservafixaconsolidadofev[[#This Row],[ATUAL]])</f>
        <v>0</v>
      </c>
      <c r="J168" s="119" t="n">
        <f aca="false">SUMIFS(tabela_registros[VALOR],tabela_registros[MÊS],$AE$1,tabela_registros[DIA],reservafixaconsolidadofev[[#Headers],[6]],tabela_registros[REGISTRO],DADOS!$N$6,tabela_registros[TIPO],DADOS!$AJ$3,tabela_registros[CATEGORIA],reservafixaconsolidadofev[[#This Row],[ATUAL]])</f>
        <v>0</v>
      </c>
      <c r="K168" s="119" t="n">
        <f aca="false">SUMIFS(tabela_registros[VALOR],tabela_registros[MÊS],$AE$1,tabela_registros[DIA],reservafixaconsolidadofev[[#Headers],[7]],tabela_registros[REGISTRO],DADOS!$N$6,tabela_registros[TIPO],DADOS!$AJ$3,tabela_registros[CATEGORIA],reservafixaconsolidadofev[[#This Row],[ATUAL]])</f>
        <v>0</v>
      </c>
      <c r="L168" s="119" t="n">
        <f aca="false">SUMIFS(tabela_registros[VALOR],tabela_registros[MÊS],$AE$1,tabela_registros[DIA],reservafixaconsolidadofev[[#Headers],[8]],tabela_registros[REGISTRO],DADOS!$N$6,tabela_registros[TIPO],DADOS!$AJ$3,tabela_registros[CATEGORIA],reservafixaconsolidadofev[[#This Row],[ATUAL]])</f>
        <v>0</v>
      </c>
      <c r="M168" s="119" t="n">
        <f aca="false">SUMIFS(tabela_registros[VALOR],tabela_registros[MÊS],$AE$1,tabela_registros[DIA],reservafixaconsolidadofev[[#Headers],[9]],tabela_registros[REGISTRO],DADOS!$N$6,tabela_registros[TIPO],DADOS!$AJ$3,tabela_registros[CATEGORIA],reservafixaconsolidadofev[[#This Row],[ATUAL]])</f>
        <v>0</v>
      </c>
      <c r="N168" s="119" t="n">
        <f aca="false">SUMIFS(tabela_registros[VALOR],tabela_registros[MÊS],$AE$1,tabela_registros[DIA],reservafixaconsolidadofev[[#Headers],[10]],tabela_registros[REGISTRO],DADOS!$N$6,tabela_registros[TIPO],DADOS!$AJ$3,tabela_registros[CATEGORIA],reservafixaconsolidadofev[[#This Row],[ATUAL]])</f>
        <v>0</v>
      </c>
      <c r="O168" s="119" t="n">
        <f aca="false">SUMIFS(tabela_registros[VALOR],tabela_registros[MÊS],$AE$1,tabela_registros[DIA],reservafixaconsolidadofev[[#Headers],[11]],tabela_registros[REGISTRO],DADOS!$N$6,tabela_registros[TIPO],DADOS!$AJ$3,tabela_registros[CATEGORIA],reservafixaconsolidadofev[[#This Row],[ATUAL]])</f>
        <v>0</v>
      </c>
      <c r="P168" s="119" t="n">
        <f aca="false">SUMIFS(tabela_registros[VALOR],tabela_registros[MÊS],$AE$1,tabela_registros[DIA],reservafixaconsolidadofev[[#Headers],[12]],tabela_registros[REGISTRO],DADOS!$N$6,tabela_registros[TIPO],DADOS!$AJ$3,tabela_registros[CATEGORIA],reservafixaconsolidadofev[[#This Row],[ATUAL]])</f>
        <v>0</v>
      </c>
      <c r="Q168" s="119" t="n">
        <f aca="false">SUMIFS(tabela_registros[VALOR],tabela_registros[MÊS],$AE$1,tabela_registros[DIA],reservafixaconsolidadofev[[#Headers],[13]],tabela_registros[REGISTRO],DADOS!$N$6,tabela_registros[TIPO],DADOS!$AJ$3,tabela_registros[CATEGORIA],reservafixaconsolidadofev[[#This Row],[ATUAL]])</f>
        <v>0</v>
      </c>
      <c r="R168" s="119" t="n">
        <f aca="false">SUMIFS(tabela_registros[VALOR],tabela_registros[MÊS],$AE$1,tabela_registros[DIA],reservafixaconsolidadofev[[#Headers],[14]],tabela_registros[REGISTRO],DADOS!$N$6,tabela_registros[TIPO],DADOS!$AJ$3,tabela_registros[CATEGORIA],reservafixaconsolidadofev[[#This Row],[ATUAL]])</f>
        <v>0</v>
      </c>
      <c r="S168" s="119" t="n">
        <f aca="false">SUMIFS(tabela_registros[VALOR],tabela_registros[MÊS],$AE$1,tabela_registros[DIA],reservafixaconsolidadofev[[#Headers],[15]],tabela_registros[REGISTRO],DADOS!$N$6,tabela_registros[TIPO],DADOS!$AJ$3,tabela_registros[CATEGORIA],reservafixaconsolidadofev[[#This Row],[ATUAL]])</f>
        <v>0</v>
      </c>
      <c r="T168" s="119" t="n">
        <f aca="false">SUMIFS(tabela_registros[VALOR],tabela_registros[MÊS],$AE$1,tabela_registros[DIA],reservafixaconsolidadofev[[#Headers],[16]],tabela_registros[REGISTRO],DADOS!$N$6,tabela_registros[TIPO],DADOS!$AJ$3,tabela_registros[CATEGORIA],reservafixaconsolidadofev[[#This Row],[ATUAL]])</f>
        <v>0</v>
      </c>
      <c r="U168" s="119" t="n">
        <f aca="false">SUMIFS(tabela_registros[VALOR],tabela_registros[MÊS],$AE$1,tabela_registros[DIA],reservafixaconsolidadofev[[#Headers],[17]],tabela_registros[REGISTRO],DADOS!$N$6,tabela_registros[TIPO],DADOS!$AJ$3,tabela_registros[CATEGORIA],reservafixaconsolidadofev[[#This Row],[ATUAL]])</f>
        <v>0</v>
      </c>
      <c r="V168" s="119" t="n">
        <f aca="false">SUMIFS(tabela_registros[VALOR],tabela_registros[MÊS],$AE$1,tabela_registros[DIA],reservafixaconsolidadofev[[#Headers],[18]],tabela_registros[REGISTRO],DADOS!$N$6,tabela_registros[TIPO],DADOS!$AJ$3,tabela_registros[CATEGORIA],reservafixaconsolidadofev[[#This Row],[ATUAL]])</f>
        <v>0</v>
      </c>
      <c r="W168" s="119" t="n">
        <f aca="false">SUMIFS(tabela_registros[VALOR],tabela_registros[MÊS],$AE$1,tabela_registros[DIA],reservafixaconsolidadofev[[#Headers],[19]],tabela_registros[REGISTRO],DADOS!$N$6,tabela_registros[TIPO],DADOS!$AJ$3,tabela_registros[CATEGORIA],reservafixaconsolidadofev[[#This Row],[ATUAL]])</f>
        <v>0</v>
      </c>
      <c r="X168" s="119" t="n">
        <f aca="false">SUMIFS(tabela_registros[VALOR],tabela_registros[MÊS],$AE$1,tabela_registros[DIA],reservafixaconsolidadofev[[#Headers],[20]],tabela_registros[REGISTRO],DADOS!$N$6,tabela_registros[TIPO],DADOS!$AJ$3,tabela_registros[CATEGORIA],reservafixaconsolidadofev[[#This Row],[ATUAL]])</f>
        <v>0</v>
      </c>
      <c r="Y168" s="119" t="n">
        <f aca="false">SUMIFS(tabela_registros[VALOR],tabela_registros[MÊS],$AE$1,tabela_registros[DIA],reservafixaconsolidadofev[[#Headers],[21]],tabela_registros[REGISTRO],DADOS!$N$6,tabela_registros[TIPO],DADOS!$AJ$3,tabela_registros[CATEGORIA],reservafixaconsolidadofev[[#This Row],[ATUAL]])</f>
        <v>0</v>
      </c>
      <c r="Z168" s="119" t="n">
        <f aca="false">SUMIFS(tabela_registros[VALOR],tabela_registros[MÊS],$AE$1,tabela_registros[DIA],reservafixaconsolidadofev[[#Headers],[22]],tabela_registros[REGISTRO],DADOS!$N$6,tabela_registros[TIPO],DADOS!$AJ$3,tabela_registros[CATEGORIA],reservafixaconsolidadofev[[#This Row],[ATUAL]])</f>
        <v>0</v>
      </c>
      <c r="AA168" s="119" t="n">
        <f aca="false">SUMIFS(tabela_registros[VALOR],tabela_registros[MÊS],$AE$1,tabela_registros[DIA],reservafixaconsolidadofev[[#Headers],[23]],tabela_registros[REGISTRO],DADOS!$N$6,tabela_registros[TIPO],DADOS!$AJ$3,tabela_registros[CATEGORIA],reservafixaconsolidadofev[[#This Row],[ATUAL]])</f>
        <v>0</v>
      </c>
      <c r="AB168" s="119" t="n">
        <f aca="false">SUMIFS(tabela_registros[VALOR],tabela_registros[MÊS],$AE$1,tabela_registros[DIA],reservafixaconsolidadofev[[#Headers],[24]],tabela_registros[REGISTRO],DADOS!$N$6,tabela_registros[TIPO],DADOS!$AJ$3,tabela_registros[CATEGORIA],reservafixaconsolidadofev[[#This Row],[ATUAL]])</f>
        <v>0</v>
      </c>
      <c r="AC168" s="119" t="n">
        <f aca="false">SUMIFS(tabela_registros[VALOR],tabela_registros[MÊS],$AE$1,tabela_registros[DIA],reservafixaconsolidadofev[[#Headers],[25]],tabela_registros[REGISTRO],DADOS!$N$6,tabela_registros[TIPO],DADOS!$AJ$3,tabela_registros[CATEGORIA],reservafixaconsolidadofev[[#This Row],[ATUAL]])</f>
        <v>0</v>
      </c>
      <c r="AD168" s="119" t="n">
        <f aca="false">SUMIFS(tabela_registros[VALOR],tabela_registros[MÊS],$AE$1,tabela_registros[DIA],reservafixaconsolidadofev[[#Headers],[26]],tabela_registros[REGISTRO],DADOS!$N$6,tabela_registros[TIPO],DADOS!$AJ$3,tabela_registros[CATEGORIA],reservafixaconsolidadofev[[#This Row],[ATUAL]])</f>
        <v>0</v>
      </c>
      <c r="AE168" s="119" t="n">
        <f aca="false">SUMIFS(tabela_registros[VALOR],tabela_registros[MÊS],$AE$1,tabela_registros[DIA],reservafixaconsolidadofev[[#Headers],[27]],tabela_registros[REGISTRO],DADOS!$N$6,tabela_registros[TIPO],DADOS!$AJ$3,tabela_registros[CATEGORIA],reservafixaconsolidadofev[[#This Row],[ATUAL]])</f>
        <v>0</v>
      </c>
      <c r="AF168" s="119" t="n">
        <f aca="false">SUMIFS(tabela_registros[VALOR],tabela_registros[MÊS],$AE$1,tabela_registros[DIA],reservafixaconsolidadofev[[#Headers],[28]],tabela_registros[REGISTRO],DADOS!$N$6,tabela_registros[TIPO],DADOS!$AJ$3,tabela_registros[CATEGORIA],reservafixaconsolidadofev[[#This Row],[ATUAL]])</f>
        <v>0</v>
      </c>
      <c r="AG168" s="119" t="n">
        <f aca="false">SUMIFS(tabela_registros[VALOR],tabela_registros[MÊS],$AE$1,tabela_registros[DIA],reservafixaconsolidadofev[[#Headers],[29]],tabela_registros[REGISTRO],DADOS!$N$6,tabela_registros[TIPO],DADOS!$AJ$3,tabela_registros[CATEGORIA],reservafixaconsolidadofev[[#This Row],[ATUAL]])</f>
        <v>0</v>
      </c>
      <c r="AH168" s="119" t="n">
        <f aca="false">SUMIFS(tabela_registros[VALOR],tabela_registros[MÊS],$AE$1,tabela_registros[DIA],reservafixaconsolidadofev[[#Headers],[30]],tabela_registros[REGISTRO],DADOS!$N$6,tabela_registros[TIPO],DADOS!$AJ$3,tabela_registros[CATEGORIA],reservafixaconsolidadofev[[#This Row],[ATUAL]])</f>
        <v>0</v>
      </c>
      <c r="AI168" s="217" t="n">
        <f aca="false">SUMIFS(tabela_registros[VALOR],tabela_registros[MÊS],$AE$1,tabela_registros[DIA],reservafixaconsolidadofev[[#Headers],[31]],tabela_registros[REGISTRO],DADOS!$N$6,tabela_registros[TIPO],DADOS!$AJ$3,tabela_registros[CATEGORIA],reservafixaconsolidadofev[[#This Row],[ATUAL]])</f>
        <v>0</v>
      </c>
      <c r="AJ168" s="149" t="n">
        <f aca="false">SUM(reservafixaconsolidadofev[[#This Row],[1]:[31]])</f>
        <v>0</v>
      </c>
      <c r="AK168" s="165"/>
    </row>
    <row r="169" customFormat="false" ht="19.5" hidden="false" customHeight="true" outlineLevel="0" collapsed="false">
      <c r="B169" s="143"/>
      <c r="C169" s="144" t="str">
        <f aca="false">DADOS!$AL$4</f>
        <v>📝 CRA</v>
      </c>
      <c r="D169" s="145" t="str">
        <f aca="false">IF(reservafixaconsolidadofev[[#This Row],[TOTAL (R$)]]=0,"",IF(OR(reservafixaconsolidadofev[[#This Row],[TOTAL (R$)]]=LARGE($AJ$168:$AJ$177,1),reservafixaconsolidadofev[[#This Row],[TOTAL (R$)]]=LARGE($AJ$168:$AJ$177,2)),DADOS!$I$11,""))</f>
        <v/>
      </c>
      <c r="E169" s="148" t="n">
        <f aca="false">SUMIFS(tabela_registros[VALOR],tabela_registros[MÊS],$AE$1,tabela_registros[DIA],reservafixaconsolidadofev[[#Headers],[1]],tabela_registros[REGISTRO],DADOS!$N$6,tabela_registros[TIPO],DADOS!$AJ$3,tabela_registros[CATEGORIA],reservafixaconsolidadofev[[#This Row],[ATUAL]])</f>
        <v>0</v>
      </c>
      <c r="F169" s="119" t="n">
        <f aca="false">SUMIFS(tabela_registros[VALOR],tabela_registros[MÊS],$AE$1,tabela_registros[DIA],reservafixaconsolidadofev[[#Headers],[2]],tabela_registros[REGISTRO],DADOS!$N$6,tabela_registros[TIPO],DADOS!$AJ$3,tabela_registros[CATEGORIA],reservafixaconsolidadofev[[#This Row],[ATUAL]])</f>
        <v>0</v>
      </c>
      <c r="G169" s="119" t="n">
        <f aca="false">SUMIFS(tabela_registros[VALOR],tabela_registros[MÊS],$AE$1,tabela_registros[DIA],reservafixaconsolidadofev[[#Headers],[3]],tabela_registros[REGISTRO],DADOS!$N$6,tabela_registros[TIPO],DADOS!$AJ$3,tabela_registros[CATEGORIA],reservafixaconsolidadofev[[#This Row],[ATUAL]])</f>
        <v>0</v>
      </c>
      <c r="H169" s="119" t="n">
        <f aca="false">SUMIFS(tabela_registros[VALOR],tabela_registros[MÊS],$AE$1,tabela_registros[DIA],reservafixaconsolidadofev[[#Headers],[4]],tabela_registros[REGISTRO],DADOS!$N$6,tabela_registros[TIPO],DADOS!$AJ$3,tabela_registros[CATEGORIA],reservafixaconsolidadofev[[#This Row],[ATUAL]])</f>
        <v>0</v>
      </c>
      <c r="I169" s="119" t="n">
        <f aca="false">SUMIFS(tabela_registros[VALOR],tabela_registros[MÊS],$AE$1,tabela_registros[DIA],reservafixaconsolidadofev[[#Headers],[5]],tabela_registros[REGISTRO],DADOS!$N$6,tabela_registros[TIPO],DADOS!$AJ$3,tabela_registros[CATEGORIA],reservafixaconsolidadofev[[#This Row],[ATUAL]])</f>
        <v>0</v>
      </c>
      <c r="J169" s="119" t="n">
        <f aca="false">SUMIFS(tabela_registros[VALOR],tabela_registros[MÊS],$AE$1,tabela_registros[DIA],reservafixaconsolidadofev[[#Headers],[6]],tabela_registros[REGISTRO],DADOS!$N$6,tabela_registros[TIPO],DADOS!$AJ$3,tabela_registros[CATEGORIA],reservafixaconsolidadofev[[#This Row],[ATUAL]])</f>
        <v>0</v>
      </c>
      <c r="K169" s="119" t="n">
        <f aca="false">SUMIFS(tabela_registros[VALOR],tabela_registros[MÊS],$AE$1,tabela_registros[DIA],reservafixaconsolidadofev[[#Headers],[7]],tabela_registros[REGISTRO],DADOS!$N$6,tabela_registros[TIPO],DADOS!$AJ$3,tabela_registros[CATEGORIA],reservafixaconsolidadofev[[#This Row],[ATUAL]])</f>
        <v>0</v>
      </c>
      <c r="L169" s="119" t="n">
        <f aca="false">SUMIFS(tabela_registros[VALOR],tabela_registros[MÊS],$AE$1,tabela_registros[DIA],reservafixaconsolidadofev[[#Headers],[8]],tabela_registros[REGISTRO],DADOS!$N$6,tabela_registros[TIPO],DADOS!$AJ$3,tabela_registros[CATEGORIA],reservafixaconsolidadofev[[#This Row],[ATUAL]])</f>
        <v>0</v>
      </c>
      <c r="M169" s="119" t="n">
        <f aca="false">SUMIFS(tabela_registros[VALOR],tabela_registros[MÊS],$AE$1,tabela_registros[DIA],reservafixaconsolidadofev[[#Headers],[9]],tabela_registros[REGISTRO],DADOS!$N$6,tabela_registros[TIPO],DADOS!$AJ$3,tabela_registros[CATEGORIA],reservafixaconsolidadofev[[#This Row],[ATUAL]])</f>
        <v>0</v>
      </c>
      <c r="N169" s="119" t="n">
        <f aca="false">SUMIFS(tabela_registros[VALOR],tabela_registros[MÊS],$AE$1,tabela_registros[DIA],reservafixaconsolidadofev[[#Headers],[10]],tabela_registros[REGISTRO],DADOS!$N$6,tabela_registros[TIPO],DADOS!$AJ$3,tabela_registros[CATEGORIA],reservafixaconsolidadofev[[#This Row],[ATUAL]])</f>
        <v>0</v>
      </c>
      <c r="O169" s="119" t="n">
        <f aca="false">SUMIFS(tabela_registros[VALOR],tabela_registros[MÊS],$AE$1,tabela_registros[DIA],reservafixaconsolidadofev[[#Headers],[11]],tabela_registros[REGISTRO],DADOS!$N$6,tabela_registros[TIPO],DADOS!$AJ$3,tabela_registros[CATEGORIA],reservafixaconsolidadofev[[#This Row],[ATUAL]])</f>
        <v>0</v>
      </c>
      <c r="P169" s="119" t="n">
        <f aca="false">SUMIFS(tabela_registros[VALOR],tabela_registros[MÊS],$AE$1,tabela_registros[DIA],reservafixaconsolidadofev[[#Headers],[12]],tabela_registros[REGISTRO],DADOS!$N$6,tabela_registros[TIPO],DADOS!$AJ$3,tabela_registros[CATEGORIA],reservafixaconsolidadofev[[#This Row],[ATUAL]])</f>
        <v>0</v>
      </c>
      <c r="Q169" s="119" t="n">
        <f aca="false">SUMIFS(tabela_registros[VALOR],tabela_registros[MÊS],$AE$1,tabela_registros[DIA],reservafixaconsolidadofev[[#Headers],[13]],tabela_registros[REGISTRO],DADOS!$N$6,tabela_registros[TIPO],DADOS!$AJ$3,tabela_registros[CATEGORIA],reservafixaconsolidadofev[[#This Row],[ATUAL]])</f>
        <v>0</v>
      </c>
      <c r="R169" s="119" t="n">
        <f aca="false">SUMIFS(tabela_registros[VALOR],tabela_registros[MÊS],$AE$1,tabela_registros[DIA],reservafixaconsolidadofev[[#Headers],[14]],tabela_registros[REGISTRO],DADOS!$N$6,tabela_registros[TIPO],DADOS!$AJ$3,tabela_registros[CATEGORIA],reservafixaconsolidadofev[[#This Row],[ATUAL]])</f>
        <v>0</v>
      </c>
      <c r="S169" s="119" t="n">
        <f aca="false">SUMIFS(tabela_registros[VALOR],tabela_registros[MÊS],$AE$1,tabela_registros[DIA],reservafixaconsolidadofev[[#Headers],[15]],tabela_registros[REGISTRO],DADOS!$N$6,tabela_registros[TIPO],DADOS!$AJ$3,tabela_registros[CATEGORIA],reservafixaconsolidadofev[[#This Row],[ATUAL]])</f>
        <v>0</v>
      </c>
      <c r="T169" s="119" t="n">
        <f aca="false">SUMIFS(tabela_registros[VALOR],tabela_registros[MÊS],$AE$1,tabela_registros[DIA],reservafixaconsolidadofev[[#Headers],[16]],tabela_registros[REGISTRO],DADOS!$N$6,tabela_registros[TIPO],DADOS!$AJ$3,tabela_registros[CATEGORIA],reservafixaconsolidadofev[[#This Row],[ATUAL]])</f>
        <v>0</v>
      </c>
      <c r="U169" s="119" t="n">
        <f aca="false">SUMIFS(tabela_registros[VALOR],tabela_registros[MÊS],$AE$1,tabela_registros[DIA],reservafixaconsolidadofev[[#Headers],[17]],tabela_registros[REGISTRO],DADOS!$N$6,tabela_registros[TIPO],DADOS!$AJ$3,tabela_registros[CATEGORIA],reservafixaconsolidadofev[[#This Row],[ATUAL]])</f>
        <v>0</v>
      </c>
      <c r="V169" s="119" t="n">
        <f aca="false">SUMIFS(tabela_registros[VALOR],tabela_registros[MÊS],$AE$1,tabela_registros[DIA],reservafixaconsolidadofev[[#Headers],[18]],tabela_registros[REGISTRO],DADOS!$N$6,tabela_registros[TIPO],DADOS!$AJ$3,tabela_registros[CATEGORIA],reservafixaconsolidadofev[[#This Row],[ATUAL]])</f>
        <v>0</v>
      </c>
      <c r="W169" s="119" t="n">
        <f aca="false">SUMIFS(tabela_registros[VALOR],tabela_registros[MÊS],$AE$1,tabela_registros[DIA],reservafixaconsolidadofev[[#Headers],[19]],tabela_registros[REGISTRO],DADOS!$N$6,tabela_registros[TIPO],DADOS!$AJ$3,tabela_registros[CATEGORIA],reservafixaconsolidadofev[[#This Row],[ATUAL]])</f>
        <v>0</v>
      </c>
      <c r="X169" s="119" t="n">
        <f aca="false">SUMIFS(tabela_registros[VALOR],tabela_registros[MÊS],$AE$1,tabela_registros[DIA],reservafixaconsolidadofev[[#Headers],[20]],tabela_registros[REGISTRO],DADOS!$N$6,tabela_registros[TIPO],DADOS!$AJ$3,tabela_registros[CATEGORIA],reservafixaconsolidadofev[[#This Row],[ATUAL]])</f>
        <v>0</v>
      </c>
      <c r="Y169" s="119" t="n">
        <f aca="false">SUMIFS(tabela_registros[VALOR],tabela_registros[MÊS],$AE$1,tabela_registros[DIA],reservafixaconsolidadofev[[#Headers],[21]],tabela_registros[REGISTRO],DADOS!$N$6,tabela_registros[TIPO],DADOS!$AJ$3,tabela_registros[CATEGORIA],reservafixaconsolidadofev[[#This Row],[ATUAL]])</f>
        <v>0</v>
      </c>
      <c r="Z169" s="119" t="n">
        <f aca="false">SUMIFS(tabela_registros[VALOR],tabela_registros[MÊS],$AE$1,tabela_registros[DIA],reservafixaconsolidadofev[[#Headers],[22]],tabela_registros[REGISTRO],DADOS!$N$6,tabela_registros[TIPO],DADOS!$AJ$3,tabela_registros[CATEGORIA],reservafixaconsolidadofev[[#This Row],[ATUAL]])</f>
        <v>0</v>
      </c>
      <c r="AA169" s="119" t="n">
        <f aca="false">SUMIFS(tabela_registros[VALOR],tabela_registros[MÊS],$AE$1,tabela_registros[DIA],reservafixaconsolidadofev[[#Headers],[23]],tabela_registros[REGISTRO],DADOS!$N$6,tabela_registros[TIPO],DADOS!$AJ$3,tabela_registros[CATEGORIA],reservafixaconsolidadofev[[#This Row],[ATUAL]])</f>
        <v>0</v>
      </c>
      <c r="AB169" s="119" t="n">
        <f aca="false">SUMIFS(tabela_registros[VALOR],tabela_registros[MÊS],$AE$1,tabela_registros[DIA],reservafixaconsolidadofev[[#Headers],[24]],tabela_registros[REGISTRO],DADOS!$N$6,tabela_registros[TIPO],DADOS!$AJ$3,tabela_registros[CATEGORIA],reservafixaconsolidadofev[[#This Row],[ATUAL]])</f>
        <v>0</v>
      </c>
      <c r="AC169" s="119" t="n">
        <f aca="false">SUMIFS(tabela_registros[VALOR],tabela_registros[MÊS],$AE$1,tabela_registros[DIA],reservafixaconsolidadofev[[#Headers],[25]],tabela_registros[REGISTRO],DADOS!$N$6,tabela_registros[TIPO],DADOS!$AJ$3,tabela_registros[CATEGORIA],reservafixaconsolidadofev[[#This Row],[ATUAL]])</f>
        <v>0</v>
      </c>
      <c r="AD169" s="119" t="n">
        <f aca="false">SUMIFS(tabela_registros[VALOR],tabela_registros[MÊS],$AE$1,tabela_registros[DIA],reservafixaconsolidadofev[[#Headers],[26]],tabela_registros[REGISTRO],DADOS!$N$6,tabela_registros[TIPO],DADOS!$AJ$3,tabela_registros[CATEGORIA],reservafixaconsolidadofev[[#This Row],[ATUAL]])</f>
        <v>0</v>
      </c>
      <c r="AE169" s="119" t="n">
        <f aca="false">SUMIFS(tabela_registros[VALOR],tabela_registros[MÊS],$AE$1,tabela_registros[DIA],reservafixaconsolidadofev[[#Headers],[27]],tabela_registros[REGISTRO],DADOS!$N$6,tabela_registros[TIPO],DADOS!$AJ$3,tabela_registros[CATEGORIA],reservafixaconsolidadofev[[#This Row],[ATUAL]])</f>
        <v>0</v>
      </c>
      <c r="AF169" s="119" t="n">
        <f aca="false">SUMIFS(tabela_registros[VALOR],tabela_registros[MÊS],$AE$1,tabela_registros[DIA],reservafixaconsolidadofev[[#Headers],[28]],tabela_registros[REGISTRO],DADOS!$N$6,tabela_registros[TIPO],DADOS!$AJ$3,tabela_registros[CATEGORIA],reservafixaconsolidadofev[[#This Row],[ATUAL]])</f>
        <v>0</v>
      </c>
      <c r="AG169" s="119" t="n">
        <f aca="false">SUMIFS(tabela_registros[VALOR],tabela_registros[MÊS],$AE$1,tabela_registros[DIA],reservafixaconsolidadofev[[#Headers],[29]],tabela_registros[REGISTRO],DADOS!$N$6,tabela_registros[TIPO],DADOS!$AJ$3,tabela_registros[CATEGORIA],reservafixaconsolidadofev[[#This Row],[ATUAL]])</f>
        <v>0</v>
      </c>
      <c r="AH169" s="119" t="n">
        <f aca="false">SUMIFS(tabela_registros[VALOR],tabela_registros[MÊS],$AE$1,tabela_registros[DIA],reservafixaconsolidadofev[[#Headers],[30]],tabela_registros[REGISTRO],DADOS!$N$6,tabela_registros[TIPO],DADOS!$AJ$3,tabela_registros[CATEGORIA],reservafixaconsolidadofev[[#This Row],[ATUAL]])</f>
        <v>0</v>
      </c>
      <c r="AI169" s="217" t="n">
        <f aca="false">SUMIFS(tabela_registros[VALOR],tabela_registros[MÊS],$AE$1,tabela_registros[DIA],reservafixaconsolidadofev[[#Headers],[31]],tabela_registros[REGISTRO],DADOS!$N$6,tabela_registros[TIPO],DADOS!$AJ$3,tabela_registros[CATEGORIA],reservafixaconsolidadofev[[#This Row],[ATUAL]])</f>
        <v>0</v>
      </c>
      <c r="AJ169" s="149" t="n">
        <f aca="false">SUM(reservafixaconsolidadofev[[#This Row],[1]:[31]])</f>
        <v>0</v>
      </c>
      <c r="AK169" s="165"/>
    </row>
    <row r="170" customFormat="false" ht="19.5" hidden="false" customHeight="true" outlineLevel="0" collapsed="false">
      <c r="B170" s="143"/>
      <c r="C170" s="144" t="str">
        <f aca="false">DADOS!$AL$5</f>
        <v>📝 CRI</v>
      </c>
      <c r="D170" s="145" t="str">
        <f aca="false">IF(reservafixaconsolidadofev[[#This Row],[TOTAL (R$)]]=0,"",IF(OR(reservafixaconsolidadofev[[#This Row],[TOTAL (R$)]]=LARGE($AJ$168:$AJ$177,1),reservafixaconsolidadofev[[#This Row],[TOTAL (R$)]]=LARGE($AJ$168:$AJ$177,2)),DADOS!$I$11,""))</f>
        <v/>
      </c>
      <c r="E170" s="148" t="n">
        <f aca="false">SUMIFS(tabela_registros[VALOR],tabela_registros[MÊS],$AE$1,tabela_registros[DIA],reservafixaconsolidadofev[[#Headers],[1]],tabela_registros[REGISTRO],DADOS!$N$6,tabela_registros[TIPO],DADOS!$AJ$3,tabela_registros[CATEGORIA],reservafixaconsolidadofev[[#This Row],[ATUAL]])</f>
        <v>0</v>
      </c>
      <c r="F170" s="119" t="n">
        <f aca="false">SUMIFS(tabela_registros[VALOR],tabela_registros[MÊS],$AE$1,tabela_registros[DIA],reservafixaconsolidadofev[[#Headers],[2]],tabela_registros[REGISTRO],DADOS!$N$6,tabela_registros[TIPO],DADOS!$AJ$3,tabela_registros[CATEGORIA],reservafixaconsolidadofev[[#This Row],[ATUAL]])</f>
        <v>0</v>
      </c>
      <c r="G170" s="119" t="n">
        <f aca="false">SUMIFS(tabela_registros[VALOR],tabela_registros[MÊS],$AE$1,tabela_registros[DIA],reservafixaconsolidadofev[[#Headers],[3]],tabela_registros[REGISTRO],DADOS!$N$6,tabela_registros[TIPO],DADOS!$AJ$3,tabela_registros[CATEGORIA],reservafixaconsolidadofev[[#This Row],[ATUAL]])</f>
        <v>0</v>
      </c>
      <c r="H170" s="119" t="n">
        <f aca="false">SUMIFS(tabela_registros[VALOR],tabela_registros[MÊS],$AE$1,tabela_registros[DIA],reservafixaconsolidadofev[[#Headers],[4]],tabela_registros[REGISTRO],DADOS!$N$6,tabela_registros[TIPO],DADOS!$AJ$3,tabela_registros[CATEGORIA],reservafixaconsolidadofev[[#This Row],[ATUAL]])</f>
        <v>0</v>
      </c>
      <c r="I170" s="119" t="n">
        <f aca="false">SUMIFS(tabela_registros[VALOR],tabela_registros[MÊS],$AE$1,tabela_registros[DIA],reservafixaconsolidadofev[[#Headers],[5]],tabela_registros[REGISTRO],DADOS!$N$6,tabela_registros[TIPO],DADOS!$AJ$3,tabela_registros[CATEGORIA],reservafixaconsolidadofev[[#This Row],[ATUAL]])</f>
        <v>0</v>
      </c>
      <c r="J170" s="119" t="n">
        <f aca="false">SUMIFS(tabela_registros[VALOR],tabela_registros[MÊS],$AE$1,tabela_registros[DIA],reservafixaconsolidadofev[[#Headers],[6]],tabela_registros[REGISTRO],DADOS!$N$6,tabela_registros[TIPO],DADOS!$AJ$3,tabela_registros[CATEGORIA],reservafixaconsolidadofev[[#This Row],[ATUAL]])</f>
        <v>0</v>
      </c>
      <c r="K170" s="119" t="n">
        <f aca="false">SUMIFS(tabela_registros[VALOR],tabela_registros[MÊS],$AE$1,tabela_registros[DIA],reservafixaconsolidadofev[[#Headers],[7]],tabela_registros[REGISTRO],DADOS!$N$6,tabela_registros[TIPO],DADOS!$AJ$3,tabela_registros[CATEGORIA],reservafixaconsolidadofev[[#This Row],[ATUAL]])</f>
        <v>0</v>
      </c>
      <c r="L170" s="119" t="n">
        <f aca="false">SUMIFS(tabela_registros[VALOR],tabela_registros[MÊS],$AE$1,tabela_registros[DIA],reservafixaconsolidadofev[[#Headers],[8]],tabela_registros[REGISTRO],DADOS!$N$6,tabela_registros[TIPO],DADOS!$AJ$3,tabela_registros[CATEGORIA],reservafixaconsolidadofev[[#This Row],[ATUAL]])</f>
        <v>0</v>
      </c>
      <c r="M170" s="119" t="n">
        <f aca="false">SUMIFS(tabela_registros[VALOR],tabela_registros[MÊS],$AE$1,tabela_registros[DIA],reservafixaconsolidadofev[[#Headers],[9]],tabela_registros[REGISTRO],DADOS!$N$6,tabela_registros[TIPO],DADOS!$AJ$3,tabela_registros[CATEGORIA],reservafixaconsolidadofev[[#This Row],[ATUAL]])</f>
        <v>0</v>
      </c>
      <c r="N170" s="119" t="n">
        <f aca="false">SUMIFS(tabela_registros[VALOR],tabela_registros[MÊS],$AE$1,tabela_registros[DIA],reservafixaconsolidadofev[[#Headers],[10]],tabela_registros[REGISTRO],DADOS!$N$6,tabela_registros[TIPO],DADOS!$AJ$3,tabela_registros[CATEGORIA],reservafixaconsolidadofev[[#This Row],[ATUAL]])</f>
        <v>0</v>
      </c>
      <c r="O170" s="119" t="n">
        <f aca="false">SUMIFS(tabela_registros[VALOR],tabela_registros[MÊS],$AE$1,tabela_registros[DIA],reservafixaconsolidadofev[[#Headers],[11]],tabela_registros[REGISTRO],DADOS!$N$6,tabela_registros[TIPO],DADOS!$AJ$3,tabela_registros[CATEGORIA],reservafixaconsolidadofev[[#This Row],[ATUAL]])</f>
        <v>0</v>
      </c>
      <c r="P170" s="119" t="n">
        <f aca="false">SUMIFS(tabela_registros[VALOR],tabela_registros[MÊS],$AE$1,tabela_registros[DIA],reservafixaconsolidadofev[[#Headers],[12]],tabela_registros[REGISTRO],DADOS!$N$6,tabela_registros[TIPO],DADOS!$AJ$3,tabela_registros[CATEGORIA],reservafixaconsolidadofev[[#This Row],[ATUAL]])</f>
        <v>0</v>
      </c>
      <c r="Q170" s="119" t="n">
        <f aca="false">SUMIFS(tabela_registros[VALOR],tabela_registros[MÊS],$AE$1,tabela_registros[DIA],reservafixaconsolidadofev[[#Headers],[13]],tabela_registros[REGISTRO],DADOS!$N$6,tabela_registros[TIPO],DADOS!$AJ$3,tabela_registros[CATEGORIA],reservafixaconsolidadofev[[#This Row],[ATUAL]])</f>
        <v>0</v>
      </c>
      <c r="R170" s="119" t="n">
        <f aca="false">SUMIFS(tabela_registros[VALOR],tabela_registros[MÊS],$AE$1,tabela_registros[DIA],reservafixaconsolidadofev[[#Headers],[14]],tabela_registros[REGISTRO],DADOS!$N$6,tabela_registros[TIPO],DADOS!$AJ$3,tabela_registros[CATEGORIA],reservafixaconsolidadofev[[#This Row],[ATUAL]])</f>
        <v>0</v>
      </c>
      <c r="S170" s="119" t="n">
        <f aca="false">SUMIFS(tabela_registros[VALOR],tabela_registros[MÊS],$AE$1,tabela_registros[DIA],reservafixaconsolidadofev[[#Headers],[15]],tabela_registros[REGISTRO],DADOS!$N$6,tabela_registros[TIPO],DADOS!$AJ$3,tabela_registros[CATEGORIA],reservafixaconsolidadofev[[#This Row],[ATUAL]])</f>
        <v>0</v>
      </c>
      <c r="T170" s="119" t="n">
        <f aca="false">SUMIFS(tabela_registros[VALOR],tabela_registros[MÊS],$AE$1,tabela_registros[DIA],reservafixaconsolidadofev[[#Headers],[16]],tabela_registros[REGISTRO],DADOS!$N$6,tabela_registros[TIPO],DADOS!$AJ$3,tabela_registros[CATEGORIA],reservafixaconsolidadofev[[#This Row],[ATUAL]])</f>
        <v>0</v>
      </c>
      <c r="U170" s="119" t="n">
        <f aca="false">SUMIFS(tabela_registros[VALOR],tabela_registros[MÊS],$AE$1,tabela_registros[DIA],reservafixaconsolidadofev[[#Headers],[17]],tabela_registros[REGISTRO],DADOS!$N$6,tabela_registros[TIPO],DADOS!$AJ$3,tabela_registros[CATEGORIA],reservafixaconsolidadofev[[#This Row],[ATUAL]])</f>
        <v>0</v>
      </c>
      <c r="V170" s="119" t="n">
        <f aca="false">SUMIFS(tabela_registros[VALOR],tabela_registros[MÊS],$AE$1,tabela_registros[DIA],reservafixaconsolidadofev[[#Headers],[18]],tabela_registros[REGISTRO],DADOS!$N$6,tabela_registros[TIPO],DADOS!$AJ$3,tabela_registros[CATEGORIA],reservafixaconsolidadofev[[#This Row],[ATUAL]])</f>
        <v>0</v>
      </c>
      <c r="W170" s="119" t="n">
        <f aca="false">SUMIFS(tabela_registros[VALOR],tabela_registros[MÊS],$AE$1,tabela_registros[DIA],reservafixaconsolidadofev[[#Headers],[19]],tabela_registros[REGISTRO],DADOS!$N$6,tabela_registros[TIPO],DADOS!$AJ$3,tabela_registros[CATEGORIA],reservafixaconsolidadofev[[#This Row],[ATUAL]])</f>
        <v>0</v>
      </c>
      <c r="X170" s="119" t="n">
        <f aca="false">SUMIFS(tabela_registros[VALOR],tabela_registros[MÊS],$AE$1,tabela_registros[DIA],reservafixaconsolidadofev[[#Headers],[20]],tabela_registros[REGISTRO],DADOS!$N$6,tabela_registros[TIPO],DADOS!$AJ$3,tabela_registros[CATEGORIA],reservafixaconsolidadofev[[#This Row],[ATUAL]])</f>
        <v>0</v>
      </c>
      <c r="Y170" s="119" t="n">
        <f aca="false">SUMIFS(tabela_registros[VALOR],tabela_registros[MÊS],$AE$1,tabela_registros[DIA],reservafixaconsolidadofev[[#Headers],[21]],tabela_registros[REGISTRO],DADOS!$N$6,tabela_registros[TIPO],DADOS!$AJ$3,tabela_registros[CATEGORIA],reservafixaconsolidadofev[[#This Row],[ATUAL]])</f>
        <v>0</v>
      </c>
      <c r="Z170" s="119" t="n">
        <f aca="false">SUMIFS(tabela_registros[VALOR],tabela_registros[MÊS],$AE$1,tabela_registros[DIA],reservafixaconsolidadofev[[#Headers],[22]],tabela_registros[REGISTRO],DADOS!$N$6,tabela_registros[TIPO],DADOS!$AJ$3,tabela_registros[CATEGORIA],reservafixaconsolidadofev[[#This Row],[ATUAL]])</f>
        <v>0</v>
      </c>
      <c r="AA170" s="119" t="n">
        <f aca="false">SUMIFS(tabela_registros[VALOR],tabela_registros[MÊS],$AE$1,tabela_registros[DIA],reservafixaconsolidadofev[[#Headers],[23]],tabela_registros[REGISTRO],DADOS!$N$6,tabela_registros[TIPO],DADOS!$AJ$3,tabela_registros[CATEGORIA],reservafixaconsolidadofev[[#This Row],[ATUAL]])</f>
        <v>0</v>
      </c>
      <c r="AB170" s="119" t="n">
        <f aca="false">SUMIFS(tabela_registros[VALOR],tabela_registros[MÊS],$AE$1,tabela_registros[DIA],reservafixaconsolidadofev[[#Headers],[24]],tabela_registros[REGISTRO],DADOS!$N$6,tabela_registros[TIPO],DADOS!$AJ$3,tabela_registros[CATEGORIA],reservafixaconsolidadofev[[#This Row],[ATUAL]])</f>
        <v>0</v>
      </c>
      <c r="AC170" s="119" t="n">
        <f aca="false">SUMIFS(tabela_registros[VALOR],tabela_registros[MÊS],$AE$1,tabela_registros[DIA],reservafixaconsolidadofev[[#Headers],[25]],tabela_registros[REGISTRO],DADOS!$N$6,tabela_registros[TIPO],DADOS!$AJ$3,tabela_registros[CATEGORIA],reservafixaconsolidadofev[[#This Row],[ATUAL]])</f>
        <v>0</v>
      </c>
      <c r="AD170" s="119" t="n">
        <f aca="false">SUMIFS(tabela_registros[VALOR],tabela_registros[MÊS],$AE$1,tabela_registros[DIA],reservafixaconsolidadofev[[#Headers],[26]],tabela_registros[REGISTRO],DADOS!$N$6,tabela_registros[TIPO],DADOS!$AJ$3,tabela_registros[CATEGORIA],reservafixaconsolidadofev[[#This Row],[ATUAL]])</f>
        <v>0</v>
      </c>
      <c r="AE170" s="119" t="n">
        <f aca="false">SUMIFS(tabela_registros[VALOR],tabela_registros[MÊS],$AE$1,tabela_registros[DIA],reservafixaconsolidadofev[[#Headers],[27]],tabela_registros[REGISTRO],DADOS!$N$6,tabela_registros[TIPO],DADOS!$AJ$3,tabela_registros[CATEGORIA],reservafixaconsolidadofev[[#This Row],[ATUAL]])</f>
        <v>0</v>
      </c>
      <c r="AF170" s="119" t="n">
        <f aca="false">SUMIFS(tabela_registros[VALOR],tabela_registros[MÊS],$AE$1,tabela_registros[DIA],reservafixaconsolidadofev[[#Headers],[28]],tabela_registros[REGISTRO],DADOS!$N$6,tabela_registros[TIPO],DADOS!$AJ$3,tabela_registros[CATEGORIA],reservafixaconsolidadofev[[#This Row],[ATUAL]])</f>
        <v>0</v>
      </c>
      <c r="AG170" s="119" t="n">
        <f aca="false">SUMIFS(tabela_registros[VALOR],tabela_registros[MÊS],$AE$1,tabela_registros[DIA],reservafixaconsolidadofev[[#Headers],[29]],tabela_registros[REGISTRO],DADOS!$N$6,tabela_registros[TIPO],DADOS!$AJ$3,tabela_registros[CATEGORIA],reservafixaconsolidadofev[[#This Row],[ATUAL]])</f>
        <v>0</v>
      </c>
      <c r="AH170" s="119" t="n">
        <f aca="false">SUMIFS(tabela_registros[VALOR],tabela_registros[MÊS],$AE$1,tabela_registros[DIA],reservafixaconsolidadofev[[#Headers],[30]],tabela_registros[REGISTRO],DADOS!$N$6,tabela_registros[TIPO],DADOS!$AJ$3,tabela_registros[CATEGORIA],reservafixaconsolidadofev[[#This Row],[ATUAL]])</f>
        <v>0</v>
      </c>
      <c r="AI170" s="217" t="n">
        <f aca="false">SUMIFS(tabela_registros[VALOR],tabela_registros[MÊS],$AE$1,tabela_registros[DIA],reservafixaconsolidadofev[[#Headers],[31]],tabela_registros[REGISTRO],DADOS!$N$6,tabela_registros[TIPO],DADOS!$AJ$3,tabela_registros[CATEGORIA],reservafixaconsolidadofev[[#This Row],[ATUAL]])</f>
        <v>0</v>
      </c>
      <c r="AJ170" s="149" t="n">
        <f aca="false">SUM(reservafixaconsolidadofev[[#This Row],[1]:[31]])</f>
        <v>0</v>
      </c>
      <c r="AK170" s="165"/>
    </row>
    <row r="171" customFormat="false" ht="19.5" hidden="false" customHeight="true" outlineLevel="0" collapsed="false">
      <c r="B171" s="143"/>
      <c r="C171" s="144" t="str">
        <f aca="false">DADOS!$AL$6</f>
        <v>📝 DEBÊNTURE</v>
      </c>
      <c r="D171" s="145" t="str">
        <f aca="false">IF(reservafixaconsolidadofev[[#This Row],[TOTAL (R$)]]=0,"",IF(OR(reservafixaconsolidadofev[[#This Row],[TOTAL (R$)]]=LARGE($AJ$168:$AJ$177,1),reservafixaconsolidadofev[[#This Row],[TOTAL (R$)]]=LARGE($AJ$168:$AJ$177,2)),DADOS!$I$11,""))</f>
        <v/>
      </c>
      <c r="E171" s="148" t="n">
        <f aca="false">SUMIFS(tabela_registros[VALOR],tabela_registros[MÊS],$AE$1,tabela_registros[DIA],reservafixaconsolidadofev[[#Headers],[1]],tabela_registros[REGISTRO],DADOS!$N$6,tabela_registros[TIPO],DADOS!$AJ$3,tabela_registros[CATEGORIA],reservafixaconsolidadofev[[#This Row],[ATUAL]])</f>
        <v>0</v>
      </c>
      <c r="F171" s="119" t="n">
        <f aca="false">SUMIFS(tabela_registros[VALOR],tabela_registros[MÊS],$AE$1,tabela_registros[DIA],reservafixaconsolidadofev[[#Headers],[2]],tabela_registros[REGISTRO],DADOS!$N$6,tabela_registros[TIPO],DADOS!$AJ$3,tabela_registros[CATEGORIA],reservafixaconsolidadofev[[#This Row],[ATUAL]])</f>
        <v>0</v>
      </c>
      <c r="G171" s="119" t="n">
        <f aca="false">SUMIFS(tabela_registros[VALOR],tabela_registros[MÊS],$AE$1,tabela_registros[DIA],reservafixaconsolidadofev[[#Headers],[3]],tabela_registros[REGISTRO],DADOS!$N$6,tabela_registros[TIPO],DADOS!$AJ$3,tabela_registros[CATEGORIA],reservafixaconsolidadofev[[#This Row],[ATUAL]])</f>
        <v>0</v>
      </c>
      <c r="H171" s="119" t="n">
        <f aca="false">SUMIFS(tabela_registros[VALOR],tabela_registros[MÊS],$AE$1,tabela_registros[DIA],reservafixaconsolidadofev[[#Headers],[4]],tabela_registros[REGISTRO],DADOS!$N$6,tabela_registros[TIPO],DADOS!$AJ$3,tabela_registros[CATEGORIA],reservafixaconsolidadofev[[#This Row],[ATUAL]])</f>
        <v>0</v>
      </c>
      <c r="I171" s="119" t="n">
        <f aca="false">SUMIFS(tabela_registros[VALOR],tabela_registros[MÊS],$AE$1,tabela_registros[DIA],reservafixaconsolidadofev[[#Headers],[5]],tabela_registros[REGISTRO],DADOS!$N$6,tabela_registros[TIPO],DADOS!$AJ$3,tabela_registros[CATEGORIA],reservafixaconsolidadofev[[#This Row],[ATUAL]])</f>
        <v>0</v>
      </c>
      <c r="J171" s="119" t="n">
        <f aca="false">SUMIFS(tabela_registros[VALOR],tabela_registros[MÊS],$AE$1,tabela_registros[DIA],reservafixaconsolidadofev[[#Headers],[6]],tabela_registros[REGISTRO],DADOS!$N$6,tabela_registros[TIPO],DADOS!$AJ$3,tabela_registros[CATEGORIA],reservafixaconsolidadofev[[#This Row],[ATUAL]])</f>
        <v>0</v>
      </c>
      <c r="K171" s="119" t="n">
        <f aca="false">SUMIFS(tabela_registros[VALOR],tabela_registros[MÊS],$AE$1,tabela_registros[DIA],reservafixaconsolidadofev[[#Headers],[7]],tabela_registros[REGISTRO],DADOS!$N$6,tabela_registros[TIPO],DADOS!$AJ$3,tabela_registros[CATEGORIA],reservafixaconsolidadofev[[#This Row],[ATUAL]])</f>
        <v>0</v>
      </c>
      <c r="L171" s="119" t="n">
        <f aca="false">SUMIFS(tabela_registros[VALOR],tabela_registros[MÊS],$AE$1,tabela_registros[DIA],reservafixaconsolidadofev[[#Headers],[8]],tabela_registros[REGISTRO],DADOS!$N$6,tabela_registros[TIPO],DADOS!$AJ$3,tabela_registros[CATEGORIA],reservafixaconsolidadofev[[#This Row],[ATUAL]])</f>
        <v>0</v>
      </c>
      <c r="M171" s="119" t="n">
        <f aca="false">SUMIFS(tabela_registros[VALOR],tabela_registros[MÊS],$AE$1,tabela_registros[DIA],reservafixaconsolidadofev[[#Headers],[9]],tabela_registros[REGISTRO],DADOS!$N$6,tabela_registros[TIPO],DADOS!$AJ$3,tabela_registros[CATEGORIA],reservafixaconsolidadofev[[#This Row],[ATUAL]])</f>
        <v>0</v>
      </c>
      <c r="N171" s="119" t="n">
        <f aca="false">SUMIFS(tabela_registros[VALOR],tabela_registros[MÊS],$AE$1,tabela_registros[DIA],reservafixaconsolidadofev[[#Headers],[10]],tabela_registros[REGISTRO],DADOS!$N$6,tabela_registros[TIPO],DADOS!$AJ$3,tabela_registros[CATEGORIA],reservafixaconsolidadofev[[#This Row],[ATUAL]])</f>
        <v>0</v>
      </c>
      <c r="O171" s="119" t="n">
        <f aca="false">SUMIFS(tabela_registros[VALOR],tabela_registros[MÊS],$AE$1,tabela_registros[DIA],reservafixaconsolidadofev[[#Headers],[11]],tabela_registros[REGISTRO],DADOS!$N$6,tabela_registros[TIPO],DADOS!$AJ$3,tabela_registros[CATEGORIA],reservafixaconsolidadofev[[#This Row],[ATUAL]])</f>
        <v>0</v>
      </c>
      <c r="P171" s="119" t="n">
        <f aca="false">SUMIFS(tabela_registros[VALOR],tabela_registros[MÊS],$AE$1,tabela_registros[DIA],reservafixaconsolidadofev[[#Headers],[12]],tabela_registros[REGISTRO],DADOS!$N$6,tabela_registros[TIPO],DADOS!$AJ$3,tabela_registros[CATEGORIA],reservafixaconsolidadofev[[#This Row],[ATUAL]])</f>
        <v>0</v>
      </c>
      <c r="Q171" s="119" t="n">
        <f aca="false">SUMIFS(tabela_registros[VALOR],tabela_registros[MÊS],$AE$1,tabela_registros[DIA],reservafixaconsolidadofev[[#Headers],[13]],tabela_registros[REGISTRO],DADOS!$N$6,tabela_registros[TIPO],DADOS!$AJ$3,tabela_registros[CATEGORIA],reservafixaconsolidadofev[[#This Row],[ATUAL]])</f>
        <v>0</v>
      </c>
      <c r="R171" s="119" t="n">
        <f aca="false">SUMIFS(tabela_registros[VALOR],tabela_registros[MÊS],$AE$1,tabela_registros[DIA],reservafixaconsolidadofev[[#Headers],[14]],tabela_registros[REGISTRO],DADOS!$N$6,tabela_registros[TIPO],DADOS!$AJ$3,tabela_registros[CATEGORIA],reservafixaconsolidadofev[[#This Row],[ATUAL]])</f>
        <v>0</v>
      </c>
      <c r="S171" s="119" t="n">
        <f aca="false">SUMIFS(tabela_registros[VALOR],tabela_registros[MÊS],$AE$1,tabela_registros[DIA],reservafixaconsolidadofev[[#Headers],[15]],tabela_registros[REGISTRO],DADOS!$N$6,tabela_registros[TIPO],DADOS!$AJ$3,tabela_registros[CATEGORIA],reservafixaconsolidadofev[[#This Row],[ATUAL]])</f>
        <v>0</v>
      </c>
      <c r="T171" s="119" t="n">
        <f aca="false">SUMIFS(tabela_registros[VALOR],tabela_registros[MÊS],$AE$1,tabela_registros[DIA],reservafixaconsolidadofev[[#Headers],[16]],tabela_registros[REGISTRO],DADOS!$N$6,tabela_registros[TIPO],DADOS!$AJ$3,tabela_registros[CATEGORIA],reservafixaconsolidadofev[[#This Row],[ATUAL]])</f>
        <v>0</v>
      </c>
      <c r="U171" s="119" t="n">
        <f aca="false">SUMIFS(tabela_registros[VALOR],tabela_registros[MÊS],$AE$1,tabela_registros[DIA],reservafixaconsolidadofev[[#Headers],[17]],tabela_registros[REGISTRO],DADOS!$N$6,tabela_registros[TIPO],DADOS!$AJ$3,tabela_registros[CATEGORIA],reservafixaconsolidadofev[[#This Row],[ATUAL]])</f>
        <v>0</v>
      </c>
      <c r="V171" s="119" t="n">
        <f aca="false">SUMIFS(tabela_registros[VALOR],tabela_registros[MÊS],$AE$1,tabela_registros[DIA],reservafixaconsolidadofev[[#Headers],[18]],tabela_registros[REGISTRO],DADOS!$N$6,tabela_registros[TIPO],DADOS!$AJ$3,tabela_registros[CATEGORIA],reservafixaconsolidadofev[[#This Row],[ATUAL]])</f>
        <v>0</v>
      </c>
      <c r="W171" s="119" t="n">
        <f aca="false">SUMIFS(tabela_registros[VALOR],tabela_registros[MÊS],$AE$1,tabela_registros[DIA],reservafixaconsolidadofev[[#Headers],[19]],tabela_registros[REGISTRO],DADOS!$N$6,tabela_registros[TIPO],DADOS!$AJ$3,tabela_registros[CATEGORIA],reservafixaconsolidadofev[[#This Row],[ATUAL]])</f>
        <v>0</v>
      </c>
      <c r="X171" s="119" t="n">
        <f aca="false">SUMIFS(tabela_registros[VALOR],tabela_registros[MÊS],$AE$1,tabela_registros[DIA],reservafixaconsolidadofev[[#Headers],[20]],tabela_registros[REGISTRO],DADOS!$N$6,tabela_registros[TIPO],DADOS!$AJ$3,tabela_registros[CATEGORIA],reservafixaconsolidadofev[[#This Row],[ATUAL]])</f>
        <v>0</v>
      </c>
      <c r="Y171" s="119" t="n">
        <f aca="false">SUMIFS(tabela_registros[VALOR],tabela_registros[MÊS],$AE$1,tabela_registros[DIA],reservafixaconsolidadofev[[#Headers],[21]],tabela_registros[REGISTRO],DADOS!$N$6,tabela_registros[TIPO],DADOS!$AJ$3,tabela_registros[CATEGORIA],reservafixaconsolidadofev[[#This Row],[ATUAL]])</f>
        <v>0</v>
      </c>
      <c r="Z171" s="119" t="n">
        <f aca="false">SUMIFS(tabela_registros[VALOR],tabela_registros[MÊS],$AE$1,tabela_registros[DIA],reservafixaconsolidadofev[[#Headers],[22]],tabela_registros[REGISTRO],DADOS!$N$6,tabela_registros[TIPO],DADOS!$AJ$3,tabela_registros[CATEGORIA],reservafixaconsolidadofev[[#This Row],[ATUAL]])</f>
        <v>0</v>
      </c>
      <c r="AA171" s="119" t="n">
        <f aca="false">SUMIFS(tabela_registros[VALOR],tabela_registros[MÊS],$AE$1,tabela_registros[DIA],reservafixaconsolidadofev[[#Headers],[23]],tabela_registros[REGISTRO],DADOS!$N$6,tabela_registros[TIPO],DADOS!$AJ$3,tabela_registros[CATEGORIA],reservafixaconsolidadofev[[#This Row],[ATUAL]])</f>
        <v>0</v>
      </c>
      <c r="AB171" s="119" t="n">
        <f aca="false">SUMIFS(tabela_registros[VALOR],tabela_registros[MÊS],$AE$1,tabela_registros[DIA],reservafixaconsolidadofev[[#Headers],[24]],tabela_registros[REGISTRO],DADOS!$N$6,tabela_registros[TIPO],DADOS!$AJ$3,tabela_registros[CATEGORIA],reservafixaconsolidadofev[[#This Row],[ATUAL]])</f>
        <v>0</v>
      </c>
      <c r="AC171" s="119" t="n">
        <f aca="false">SUMIFS(tabela_registros[VALOR],tabela_registros[MÊS],$AE$1,tabela_registros[DIA],reservafixaconsolidadofev[[#Headers],[25]],tabela_registros[REGISTRO],DADOS!$N$6,tabela_registros[TIPO],DADOS!$AJ$3,tabela_registros[CATEGORIA],reservafixaconsolidadofev[[#This Row],[ATUAL]])</f>
        <v>0</v>
      </c>
      <c r="AD171" s="119" t="n">
        <f aca="false">SUMIFS(tabela_registros[VALOR],tabela_registros[MÊS],$AE$1,tabela_registros[DIA],reservafixaconsolidadofev[[#Headers],[26]],tabela_registros[REGISTRO],DADOS!$N$6,tabela_registros[TIPO],DADOS!$AJ$3,tabela_registros[CATEGORIA],reservafixaconsolidadofev[[#This Row],[ATUAL]])</f>
        <v>0</v>
      </c>
      <c r="AE171" s="119" t="n">
        <f aca="false">SUMIFS(tabela_registros[VALOR],tabela_registros[MÊS],$AE$1,tabela_registros[DIA],reservafixaconsolidadofev[[#Headers],[27]],tabela_registros[REGISTRO],DADOS!$N$6,tabela_registros[TIPO],DADOS!$AJ$3,tabela_registros[CATEGORIA],reservafixaconsolidadofev[[#This Row],[ATUAL]])</f>
        <v>0</v>
      </c>
      <c r="AF171" s="119" t="n">
        <f aca="false">SUMIFS(tabela_registros[VALOR],tabela_registros[MÊS],$AE$1,tabela_registros[DIA],reservafixaconsolidadofev[[#Headers],[28]],tabela_registros[REGISTRO],DADOS!$N$6,tabela_registros[TIPO],DADOS!$AJ$3,tabela_registros[CATEGORIA],reservafixaconsolidadofev[[#This Row],[ATUAL]])</f>
        <v>0</v>
      </c>
      <c r="AG171" s="119" t="n">
        <f aca="false">SUMIFS(tabela_registros[VALOR],tabela_registros[MÊS],$AE$1,tabela_registros[DIA],reservafixaconsolidadofev[[#Headers],[29]],tabela_registros[REGISTRO],DADOS!$N$6,tabela_registros[TIPO],DADOS!$AJ$3,tabela_registros[CATEGORIA],reservafixaconsolidadofev[[#This Row],[ATUAL]])</f>
        <v>0</v>
      </c>
      <c r="AH171" s="119" t="n">
        <f aca="false">SUMIFS(tabela_registros[VALOR],tabela_registros[MÊS],$AE$1,tabela_registros[DIA],reservafixaconsolidadofev[[#Headers],[30]],tabela_registros[REGISTRO],DADOS!$N$6,tabela_registros[TIPO],DADOS!$AJ$3,tabela_registros[CATEGORIA],reservafixaconsolidadofev[[#This Row],[ATUAL]])</f>
        <v>0</v>
      </c>
      <c r="AI171" s="217" t="n">
        <f aca="false">SUMIFS(tabela_registros[VALOR],tabela_registros[MÊS],$AE$1,tabela_registros[DIA],reservafixaconsolidadofev[[#Headers],[31]],tabela_registros[REGISTRO],DADOS!$N$6,tabela_registros[TIPO],DADOS!$AJ$3,tabela_registros[CATEGORIA],reservafixaconsolidadofev[[#This Row],[ATUAL]])</f>
        <v>0</v>
      </c>
      <c r="AJ171" s="149" t="n">
        <f aca="false">SUM(reservafixaconsolidadofev[[#This Row],[1]:[31]])</f>
        <v>0</v>
      </c>
      <c r="AK171" s="165"/>
    </row>
    <row r="172" customFormat="false" ht="19.5" hidden="false" customHeight="true" outlineLevel="0" collapsed="false">
      <c r="B172" s="143"/>
      <c r="C172" s="144" t="str">
        <f aca="false">DADOS!$AL$7</f>
        <v>📝 EXTERIOR</v>
      </c>
      <c r="D172" s="145" t="str">
        <f aca="false">IF(reservafixaconsolidadofev[[#This Row],[TOTAL (R$)]]=0,"",IF(OR(reservafixaconsolidadofev[[#This Row],[TOTAL (R$)]]=LARGE($AJ$168:$AJ$177,1),reservafixaconsolidadofev[[#This Row],[TOTAL (R$)]]=LARGE($AJ$168:$AJ$177,2)),DADOS!$I$11,""))</f>
        <v/>
      </c>
      <c r="E172" s="148" t="n">
        <f aca="false">SUMIFS(tabela_registros[VALOR],tabela_registros[MÊS],$AE$1,tabela_registros[DIA],reservafixaconsolidadofev[[#Headers],[1]],tabela_registros[REGISTRO],DADOS!$N$6,tabela_registros[TIPO],DADOS!$AJ$3,tabela_registros[CATEGORIA],reservafixaconsolidadofev[[#This Row],[ATUAL]])</f>
        <v>0</v>
      </c>
      <c r="F172" s="119" t="n">
        <f aca="false">SUMIFS(tabela_registros[VALOR],tabela_registros[MÊS],$AE$1,tabela_registros[DIA],reservafixaconsolidadofev[[#Headers],[2]],tabela_registros[REGISTRO],DADOS!$N$6,tabela_registros[TIPO],DADOS!$AJ$3,tabela_registros[CATEGORIA],reservafixaconsolidadofev[[#This Row],[ATUAL]])</f>
        <v>0</v>
      </c>
      <c r="G172" s="119" t="n">
        <f aca="false">SUMIFS(tabela_registros[VALOR],tabela_registros[MÊS],$AE$1,tabela_registros[DIA],reservafixaconsolidadofev[[#Headers],[3]],tabela_registros[REGISTRO],DADOS!$N$6,tabela_registros[TIPO],DADOS!$AJ$3,tabela_registros[CATEGORIA],reservafixaconsolidadofev[[#This Row],[ATUAL]])</f>
        <v>0</v>
      </c>
      <c r="H172" s="119" t="n">
        <f aca="false">SUMIFS(tabela_registros[VALOR],tabela_registros[MÊS],$AE$1,tabela_registros[DIA],reservafixaconsolidadofev[[#Headers],[4]],tabela_registros[REGISTRO],DADOS!$N$6,tabela_registros[TIPO],DADOS!$AJ$3,tabela_registros[CATEGORIA],reservafixaconsolidadofev[[#This Row],[ATUAL]])</f>
        <v>0</v>
      </c>
      <c r="I172" s="119" t="n">
        <f aca="false">SUMIFS(tabela_registros[VALOR],tabela_registros[MÊS],$AE$1,tabela_registros[DIA],reservafixaconsolidadofev[[#Headers],[5]],tabela_registros[REGISTRO],DADOS!$N$6,tabela_registros[TIPO],DADOS!$AJ$3,tabela_registros[CATEGORIA],reservafixaconsolidadofev[[#This Row],[ATUAL]])</f>
        <v>0</v>
      </c>
      <c r="J172" s="119" t="n">
        <f aca="false">SUMIFS(tabela_registros[VALOR],tabela_registros[MÊS],$AE$1,tabela_registros[DIA],reservafixaconsolidadofev[[#Headers],[6]],tabela_registros[REGISTRO],DADOS!$N$6,tabela_registros[TIPO],DADOS!$AJ$3,tabela_registros[CATEGORIA],reservafixaconsolidadofev[[#This Row],[ATUAL]])</f>
        <v>0</v>
      </c>
      <c r="K172" s="119" t="n">
        <f aca="false">SUMIFS(tabela_registros[VALOR],tabela_registros[MÊS],$AE$1,tabela_registros[DIA],reservafixaconsolidadofev[[#Headers],[7]],tabela_registros[REGISTRO],DADOS!$N$6,tabela_registros[TIPO],DADOS!$AJ$3,tabela_registros[CATEGORIA],reservafixaconsolidadofev[[#This Row],[ATUAL]])</f>
        <v>0</v>
      </c>
      <c r="L172" s="119" t="n">
        <f aca="false">SUMIFS(tabela_registros[VALOR],tabela_registros[MÊS],$AE$1,tabela_registros[DIA],reservafixaconsolidadofev[[#Headers],[8]],tabela_registros[REGISTRO],DADOS!$N$6,tabela_registros[TIPO],DADOS!$AJ$3,tabela_registros[CATEGORIA],reservafixaconsolidadofev[[#This Row],[ATUAL]])</f>
        <v>0</v>
      </c>
      <c r="M172" s="119" t="n">
        <f aca="false">SUMIFS(tabela_registros[VALOR],tabela_registros[MÊS],$AE$1,tabela_registros[DIA],reservafixaconsolidadofev[[#Headers],[9]],tabela_registros[REGISTRO],DADOS!$N$6,tabela_registros[TIPO],DADOS!$AJ$3,tabela_registros[CATEGORIA],reservafixaconsolidadofev[[#This Row],[ATUAL]])</f>
        <v>0</v>
      </c>
      <c r="N172" s="119" t="n">
        <f aca="false">SUMIFS(tabela_registros[VALOR],tabela_registros[MÊS],$AE$1,tabela_registros[DIA],reservafixaconsolidadofev[[#Headers],[10]],tabela_registros[REGISTRO],DADOS!$N$6,tabela_registros[TIPO],DADOS!$AJ$3,tabela_registros[CATEGORIA],reservafixaconsolidadofev[[#This Row],[ATUAL]])</f>
        <v>0</v>
      </c>
      <c r="O172" s="119" t="n">
        <f aca="false">SUMIFS(tabela_registros[VALOR],tabela_registros[MÊS],$AE$1,tabela_registros[DIA],reservafixaconsolidadofev[[#Headers],[11]],tabela_registros[REGISTRO],DADOS!$N$6,tabela_registros[TIPO],DADOS!$AJ$3,tabela_registros[CATEGORIA],reservafixaconsolidadofev[[#This Row],[ATUAL]])</f>
        <v>0</v>
      </c>
      <c r="P172" s="119" t="n">
        <f aca="false">SUMIFS(tabela_registros[VALOR],tabela_registros[MÊS],$AE$1,tabela_registros[DIA],reservafixaconsolidadofev[[#Headers],[12]],tabela_registros[REGISTRO],DADOS!$N$6,tabela_registros[TIPO],DADOS!$AJ$3,tabela_registros[CATEGORIA],reservafixaconsolidadofev[[#This Row],[ATUAL]])</f>
        <v>0</v>
      </c>
      <c r="Q172" s="119" t="n">
        <f aca="false">SUMIFS(tabela_registros[VALOR],tabela_registros[MÊS],$AE$1,tabela_registros[DIA],reservafixaconsolidadofev[[#Headers],[13]],tabela_registros[REGISTRO],DADOS!$N$6,tabela_registros[TIPO],DADOS!$AJ$3,tabela_registros[CATEGORIA],reservafixaconsolidadofev[[#This Row],[ATUAL]])</f>
        <v>0</v>
      </c>
      <c r="R172" s="119" t="n">
        <f aca="false">SUMIFS(tabela_registros[VALOR],tabela_registros[MÊS],$AE$1,tabela_registros[DIA],reservafixaconsolidadofev[[#Headers],[14]],tabela_registros[REGISTRO],DADOS!$N$6,tabela_registros[TIPO],DADOS!$AJ$3,tabela_registros[CATEGORIA],reservafixaconsolidadofev[[#This Row],[ATUAL]])</f>
        <v>0</v>
      </c>
      <c r="S172" s="119" t="n">
        <f aca="false">SUMIFS(tabela_registros[VALOR],tabela_registros[MÊS],$AE$1,tabela_registros[DIA],reservafixaconsolidadofev[[#Headers],[15]],tabela_registros[REGISTRO],DADOS!$N$6,tabela_registros[TIPO],DADOS!$AJ$3,tabela_registros[CATEGORIA],reservafixaconsolidadofev[[#This Row],[ATUAL]])</f>
        <v>0</v>
      </c>
      <c r="T172" s="119" t="n">
        <f aca="false">SUMIFS(tabela_registros[VALOR],tabela_registros[MÊS],$AE$1,tabela_registros[DIA],reservafixaconsolidadofev[[#Headers],[16]],tabela_registros[REGISTRO],DADOS!$N$6,tabela_registros[TIPO],DADOS!$AJ$3,tabela_registros[CATEGORIA],reservafixaconsolidadofev[[#This Row],[ATUAL]])</f>
        <v>0</v>
      </c>
      <c r="U172" s="119" t="n">
        <f aca="false">SUMIFS(tabela_registros[VALOR],tabela_registros[MÊS],$AE$1,tabela_registros[DIA],reservafixaconsolidadofev[[#Headers],[17]],tabela_registros[REGISTRO],DADOS!$N$6,tabela_registros[TIPO],DADOS!$AJ$3,tabela_registros[CATEGORIA],reservafixaconsolidadofev[[#This Row],[ATUAL]])</f>
        <v>0</v>
      </c>
      <c r="V172" s="119" t="n">
        <f aca="false">SUMIFS(tabela_registros[VALOR],tabela_registros[MÊS],$AE$1,tabela_registros[DIA],reservafixaconsolidadofev[[#Headers],[18]],tabela_registros[REGISTRO],DADOS!$N$6,tabela_registros[TIPO],DADOS!$AJ$3,tabela_registros[CATEGORIA],reservafixaconsolidadofev[[#This Row],[ATUAL]])</f>
        <v>0</v>
      </c>
      <c r="W172" s="119" t="n">
        <f aca="false">SUMIFS(tabela_registros[VALOR],tabela_registros[MÊS],$AE$1,tabela_registros[DIA],reservafixaconsolidadofev[[#Headers],[19]],tabela_registros[REGISTRO],DADOS!$N$6,tabela_registros[TIPO],DADOS!$AJ$3,tabela_registros[CATEGORIA],reservafixaconsolidadofev[[#This Row],[ATUAL]])</f>
        <v>0</v>
      </c>
      <c r="X172" s="119" t="n">
        <f aca="false">SUMIFS(tabela_registros[VALOR],tabela_registros[MÊS],$AE$1,tabela_registros[DIA],reservafixaconsolidadofev[[#Headers],[20]],tabela_registros[REGISTRO],DADOS!$N$6,tabela_registros[TIPO],DADOS!$AJ$3,tabela_registros[CATEGORIA],reservafixaconsolidadofev[[#This Row],[ATUAL]])</f>
        <v>0</v>
      </c>
      <c r="Y172" s="119" t="n">
        <f aca="false">SUMIFS(tabela_registros[VALOR],tabela_registros[MÊS],$AE$1,tabela_registros[DIA],reservafixaconsolidadofev[[#Headers],[21]],tabela_registros[REGISTRO],DADOS!$N$6,tabela_registros[TIPO],DADOS!$AJ$3,tabela_registros[CATEGORIA],reservafixaconsolidadofev[[#This Row],[ATUAL]])</f>
        <v>0</v>
      </c>
      <c r="Z172" s="119" t="n">
        <f aca="false">SUMIFS(tabela_registros[VALOR],tabela_registros[MÊS],$AE$1,tabela_registros[DIA],reservafixaconsolidadofev[[#Headers],[22]],tabela_registros[REGISTRO],DADOS!$N$6,tabela_registros[TIPO],DADOS!$AJ$3,tabela_registros[CATEGORIA],reservafixaconsolidadofev[[#This Row],[ATUAL]])</f>
        <v>0</v>
      </c>
      <c r="AA172" s="119" t="n">
        <f aca="false">SUMIFS(tabela_registros[VALOR],tabela_registros[MÊS],$AE$1,tabela_registros[DIA],reservafixaconsolidadofev[[#Headers],[23]],tabela_registros[REGISTRO],DADOS!$N$6,tabela_registros[TIPO],DADOS!$AJ$3,tabela_registros[CATEGORIA],reservafixaconsolidadofev[[#This Row],[ATUAL]])</f>
        <v>0</v>
      </c>
      <c r="AB172" s="119" t="n">
        <f aca="false">SUMIFS(tabela_registros[VALOR],tabela_registros[MÊS],$AE$1,tabela_registros[DIA],reservafixaconsolidadofev[[#Headers],[24]],tabela_registros[REGISTRO],DADOS!$N$6,tabela_registros[TIPO],DADOS!$AJ$3,tabela_registros[CATEGORIA],reservafixaconsolidadofev[[#This Row],[ATUAL]])</f>
        <v>0</v>
      </c>
      <c r="AC172" s="119" t="n">
        <f aca="false">SUMIFS(tabela_registros[VALOR],tabela_registros[MÊS],$AE$1,tabela_registros[DIA],reservafixaconsolidadofev[[#Headers],[25]],tabela_registros[REGISTRO],DADOS!$N$6,tabela_registros[TIPO],DADOS!$AJ$3,tabela_registros[CATEGORIA],reservafixaconsolidadofev[[#This Row],[ATUAL]])</f>
        <v>0</v>
      </c>
      <c r="AD172" s="119" t="n">
        <f aca="false">SUMIFS(tabela_registros[VALOR],tabela_registros[MÊS],$AE$1,tabela_registros[DIA],reservafixaconsolidadofev[[#Headers],[26]],tabela_registros[REGISTRO],DADOS!$N$6,tabela_registros[TIPO],DADOS!$AJ$3,tabela_registros[CATEGORIA],reservafixaconsolidadofev[[#This Row],[ATUAL]])</f>
        <v>0</v>
      </c>
      <c r="AE172" s="119" t="n">
        <f aca="false">SUMIFS(tabela_registros[VALOR],tabela_registros[MÊS],$AE$1,tabela_registros[DIA],reservafixaconsolidadofev[[#Headers],[27]],tabela_registros[REGISTRO],DADOS!$N$6,tabela_registros[TIPO],DADOS!$AJ$3,tabela_registros[CATEGORIA],reservafixaconsolidadofev[[#This Row],[ATUAL]])</f>
        <v>0</v>
      </c>
      <c r="AF172" s="119" t="n">
        <f aca="false">SUMIFS(tabela_registros[VALOR],tabela_registros[MÊS],$AE$1,tabela_registros[DIA],reservafixaconsolidadofev[[#Headers],[28]],tabela_registros[REGISTRO],DADOS!$N$6,tabela_registros[TIPO],DADOS!$AJ$3,tabela_registros[CATEGORIA],reservafixaconsolidadofev[[#This Row],[ATUAL]])</f>
        <v>0</v>
      </c>
      <c r="AG172" s="119" t="n">
        <f aca="false">SUMIFS(tabela_registros[VALOR],tabela_registros[MÊS],$AE$1,tabela_registros[DIA],reservafixaconsolidadofev[[#Headers],[29]],tabela_registros[REGISTRO],DADOS!$N$6,tabela_registros[TIPO],DADOS!$AJ$3,tabela_registros[CATEGORIA],reservafixaconsolidadofev[[#This Row],[ATUAL]])</f>
        <v>0</v>
      </c>
      <c r="AH172" s="119" t="n">
        <f aca="false">SUMIFS(tabela_registros[VALOR],tabela_registros[MÊS],$AE$1,tabela_registros[DIA],reservafixaconsolidadofev[[#Headers],[30]],tabela_registros[REGISTRO],DADOS!$N$6,tabela_registros[TIPO],DADOS!$AJ$3,tabela_registros[CATEGORIA],reservafixaconsolidadofev[[#This Row],[ATUAL]])</f>
        <v>0</v>
      </c>
      <c r="AI172" s="217" t="n">
        <f aca="false">SUMIFS(tabela_registros[VALOR],tabela_registros[MÊS],$AE$1,tabela_registros[DIA],reservafixaconsolidadofev[[#Headers],[31]],tabela_registros[REGISTRO],DADOS!$N$6,tabela_registros[TIPO],DADOS!$AJ$3,tabela_registros[CATEGORIA],reservafixaconsolidadofev[[#This Row],[ATUAL]])</f>
        <v>0</v>
      </c>
      <c r="AJ172" s="149" t="n">
        <f aca="false">SUM(reservafixaconsolidadofev[[#This Row],[1]:[31]])</f>
        <v>0</v>
      </c>
      <c r="AK172" s="165"/>
    </row>
    <row r="173" customFormat="false" ht="19.5" hidden="false" customHeight="true" outlineLevel="0" collapsed="false">
      <c r="B173" s="143"/>
      <c r="C173" s="144" t="str">
        <f aca="false">DADOS!$AL$8</f>
        <v>📝 LC</v>
      </c>
      <c r="D173" s="145" t="str">
        <f aca="false">IF(reservafixaconsolidadofev[[#This Row],[TOTAL (R$)]]=0,"",IF(OR(reservafixaconsolidadofev[[#This Row],[TOTAL (R$)]]=LARGE($AJ$168:$AJ$177,1),reservafixaconsolidadofev[[#This Row],[TOTAL (R$)]]=LARGE($AJ$168:$AJ$177,2)),DADOS!$I$11,""))</f>
        <v/>
      </c>
      <c r="E173" s="148" t="n">
        <f aca="false">SUMIFS(tabela_registros[VALOR],tabela_registros[MÊS],$AE$1,tabela_registros[DIA],reservafixaconsolidadofev[[#Headers],[1]],tabela_registros[REGISTRO],DADOS!$N$6,tabela_registros[TIPO],DADOS!$AJ$3,tabela_registros[CATEGORIA],reservafixaconsolidadofev[[#This Row],[ATUAL]])</f>
        <v>0</v>
      </c>
      <c r="F173" s="119" t="n">
        <f aca="false">SUMIFS(tabela_registros[VALOR],tabela_registros[MÊS],$AE$1,tabela_registros[DIA],reservafixaconsolidadofev[[#Headers],[2]],tabela_registros[REGISTRO],DADOS!$N$6,tabela_registros[TIPO],DADOS!$AJ$3,tabela_registros[CATEGORIA],reservafixaconsolidadofev[[#This Row],[ATUAL]])</f>
        <v>0</v>
      </c>
      <c r="G173" s="119" t="n">
        <f aca="false">SUMIFS(tabela_registros[VALOR],tabela_registros[MÊS],$AE$1,tabela_registros[DIA],reservafixaconsolidadofev[[#Headers],[3]],tabela_registros[REGISTRO],DADOS!$N$6,tabela_registros[TIPO],DADOS!$AJ$3,tabela_registros[CATEGORIA],reservafixaconsolidadofev[[#This Row],[ATUAL]])</f>
        <v>0</v>
      </c>
      <c r="H173" s="119" t="n">
        <f aca="false">SUMIFS(tabela_registros[VALOR],tabela_registros[MÊS],$AE$1,tabela_registros[DIA],reservafixaconsolidadofev[[#Headers],[4]],tabela_registros[REGISTRO],DADOS!$N$6,tabela_registros[TIPO],DADOS!$AJ$3,tabela_registros[CATEGORIA],reservafixaconsolidadofev[[#This Row],[ATUAL]])</f>
        <v>0</v>
      </c>
      <c r="I173" s="119" t="n">
        <f aca="false">SUMIFS(tabela_registros[VALOR],tabela_registros[MÊS],$AE$1,tabela_registros[DIA],reservafixaconsolidadofev[[#Headers],[5]],tabela_registros[REGISTRO],DADOS!$N$6,tabela_registros[TIPO],DADOS!$AJ$3,tabela_registros[CATEGORIA],reservafixaconsolidadofev[[#This Row],[ATUAL]])</f>
        <v>0</v>
      </c>
      <c r="J173" s="119" t="n">
        <f aca="false">SUMIFS(tabela_registros[VALOR],tabela_registros[MÊS],$AE$1,tabela_registros[DIA],reservafixaconsolidadofev[[#Headers],[6]],tabela_registros[REGISTRO],DADOS!$N$6,tabela_registros[TIPO],DADOS!$AJ$3,tabela_registros[CATEGORIA],reservafixaconsolidadofev[[#This Row],[ATUAL]])</f>
        <v>0</v>
      </c>
      <c r="K173" s="119" t="n">
        <f aca="false">SUMIFS(tabela_registros[VALOR],tabela_registros[MÊS],$AE$1,tabela_registros[DIA],reservafixaconsolidadofev[[#Headers],[7]],tabela_registros[REGISTRO],DADOS!$N$6,tabela_registros[TIPO],DADOS!$AJ$3,tabela_registros[CATEGORIA],reservafixaconsolidadofev[[#This Row],[ATUAL]])</f>
        <v>0</v>
      </c>
      <c r="L173" s="119" t="n">
        <f aca="false">SUMIFS(tabela_registros[VALOR],tabela_registros[MÊS],$AE$1,tabela_registros[DIA],reservafixaconsolidadofev[[#Headers],[8]],tabela_registros[REGISTRO],DADOS!$N$6,tabela_registros[TIPO],DADOS!$AJ$3,tabela_registros[CATEGORIA],reservafixaconsolidadofev[[#This Row],[ATUAL]])</f>
        <v>0</v>
      </c>
      <c r="M173" s="119" t="n">
        <f aca="false">SUMIFS(tabela_registros[VALOR],tabela_registros[MÊS],$AE$1,tabela_registros[DIA],reservafixaconsolidadofev[[#Headers],[9]],tabela_registros[REGISTRO],DADOS!$N$6,tabela_registros[TIPO],DADOS!$AJ$3,tabela_registros[CATEGORIA],reservafixaconsolidadofev[[#This Row],[ATUAL]])</f>
        <v>0</v>
      </c>
      <c r="N173" s="119" t="n">
        <f aca="false">SUMIFS(tabela_registros[VALOR],tabela_registros[MÊS],$AE$1,tabela_registros[DIA],reservafixaconsolidadofev[[#Headers],[10]],tabela_registros[REGISTRO],DADOS!$N$6,tabela_registros[TIPO],DADOS!$AJ$3,tabela_registros[CATEGORIA],reservafixaconsolidadofev[[#This Row],[ATUAL]])</f>
        <v>0</v>
      </c>
      <c r="O173" s="119" t="n">
        <f aca="false">SUMIFS(tabela_registros[VALOR],tabela_registros[MÊS],$AE$1,tabela_registros[DIA],reservafixaconsolidadofev[[#Headers],[11]],tabela_registros[REGISTRO],DADOS!$N$6,tabela_registros[TIPO],DADOS!$AJ$3,tabela_registros[CATEGORIA],reservafixaconsolidadofev[[#This Row],[ATUAL]])</f>
        <v>0</v>
      </c>
      <c r="P173" s="119" t="n">
        <f aca="false">SUMIFS(tabela_registros[VALOR],tabela_registros[MÊS],$AE$1,tabela_registros[DIA],reservafixaconsolidadofev[[#Headers],[12]],tabela_registros[REGISTRO],DADOS!$N$6,tabela_registros[TIPO],DADOS!$AJ$3,tabela_registros[CATEGORIA],reservafixaconsolidadofev[[#This Row],[ATUAL]])</f>
        <v>0</v>
      </c>
      <c r="Q173" s="119" t="n">
        <f aca="false">SUMIFS(tabela_registros[VALOR],tabela_registros[MÊS],$AE$1,tabela_registros[DIA],reservafixaconsolidadofev[[#Headers],[13]],tabela_registros[REGISTRO],DADOS!$N$6,tabela_registros[TIPO],DADOS!$AJ$3,tabela_registros[CATEGORIA],reservafixaconsolidadofev[[#This Row],[ATUAL]])</f>
        <v>0</v>
      </c>
      <c r="R173" s="119" t="n">
        <f aca="false">SUMIFS(tabela_registros[VALOR],tabela_registros[MÊS],$AE$1,tabela_registros[DIA],reservafixaconsolidadofev[[#Headers],[14]],tabela_registros[REGISTRO],DADOS!$N$6,tabela_registros[TIPO],DADOS!$AJ$3,tabela_registros[CATEGORIA],reservafixaconsolidadofev[[#This Row],[ATUAL]])</f>
        <v>0</v>
      </c>
      <c r="S173" s="119" t="n">
        <f aca="false">SUMIFS(tabela_registros[VALOR],tabela_registros[MÊS],$AE$1,tabela_registros[DIA],reservafixaconsolidadofev[[#Headers],[15]],tabela_registros[REGISTRO],DADOS!$N$6,tabela_registros[TIPO],DADOS!$AJ$3,tabela_registros[CATEGORIA],reservafixaconsolidadofev[[#This Row],[ATUAL]])</f>
        <v>0</v>
      </c>
      <c r="T173" s="119" t="n">
        <f aca="false">SUMIFS(tabela_registros[VALOR],tabela_registros[MÊS],$AE$1,tabela_registros[DIA],reservafixaconsolidadofev[[#Headers],[16]],tabela_registros[REGISTRO],DADOS!$N$6,tabela_registros[TIPO],DADOS!$AJ$3,tabela_registros[CATEGORIA],reservafixaconsolidadofev[[#This Row],[ATUAL]])</f>
        <v>0</v>
      </c>
      <c r="U173" s="119" t="n">
        <f aca="false">SUMIFS(tabela_registros[VALOR],tabela_registros[MÊS],$AE$1,tabela_registros[DIA],reservafixaconsolidadofev[[#Headers],[17]],tabela_registros[REGISTRO],DADOS!$N$6,tabela_registros[TIPO],DADOS!$AJ$3,tabela_registros[CATEGORIA],reservafixaconsolidadofev[[#This Row],[ATUAL]])</f>
        <v>0</v>
      </c>
      <c r="V173" s="119" t="n">
        <f aca="false">SUMIFS(tabela_registros[VALOR],tabela_registros[MÊS],$AE$1,tabela_registros[DIA],reservafixaconsolidadofev[[#Headers],[18]],tabela_registros[REGISTRO],DADOS!$N$6,tabela_registros[TIPO],DADOS!$AJ$3,tabela_registros[CATEGORIA],reservafixaconsolidadofev[[#This Row],[ATUAL]])</f>
        <v>0</v>
      </c>
      <c r="W173" s="119" t="n">
        <f aca="false">SUMIFS(tabela_registros[VALOR],tabela_registros[MÊS],$AE$1,tabela_registros[DIA],reservafixaconsolidadofev[[#Headers],[19]],tabela_registros[REGISTRO],DADOS!$N$6,tabela_registros[TIPO],DADOS!$AJ$3,tabela_registros[CATEGORIA],reservafixaconsolidadofev[[#This Row],[ATUAL]])</f>
        <v>0</v>
      </c>
      <c r="X173" s="119" t="n">
        <f aca="false">SUMIFS(tabela_registros[VALOR],tabela_registros[MÊS],$AE$1,tabela_registros[DIA],reservafixaconsolidadofev[[#Headers],[20]],tabela_registros[REGISTRO],DADOS!$N$6,tabela_registros[TIPO],DADOS!$AJ$3,tabela_registros[CATEGORIA],reservafixaconsolidadofev[[#This Row],[ATUAL]])</f>
        <v>0</v>
      </c>
      <c r="Y173" s="119" t="n">
        <f aca="false">SUMIFS(tabela_registros[VALOR],tabela_registros[MÊS],$AE$1,tabela_registros[DIA],reservafixaconsolidadofev[[#Headers],[21]],tabela_registros[REGISTRO],DADOS!$N$6,tabela_registros[TIPO],DADOS!$AJ$3,tabela_registros[CATEGORIA],reservafixaconsolidadofev[[#This Row],[ATUAL]])</f>
        <v>0</v>
      </c>
      <c r="Z173" s="119" t="n">
        <f aca="false">SUMIFS(tabela_registros[VALOR],tabela_registros[MÊS],$AE$1,tabela_registros[DIA],reservafixaconsolidadofev[[#Headers],[22]],tabela_registros[REGISTRO],DADOS!$N$6,tabela_registros[TIPO],DADOS!$AJ$3,tabela_registros[CATEGORIA],reservafixaconsolidadofev[[#This Row],[ATUAL]])</f>
        <v>0</v>
      </c>
      <c r="AA173" s="119" t="n">
        <f aca="false">SUMIFS(tabela_registros[VALOR],tabela_registros[MÊS],$AE$1,tabela_registros[DIA],reservafixaconsolidadofev[[#Headers],[23]],tabela_registros[REGISTRO],DADOS!$N$6,tabela_registros[TIPO],DADOS!$AJ$3,tabela_registros[CATEGORIA],reservafixaconsolidadofev[[#This Row],[ATUAL]])</f>
        <v>0</v>
      </c>
      <c r="AB173" s="119" t="n">
        <f aca="false">SUMIFS(tabela_registros[VALOR],tabela_registros[MÊS],$AE$1,tabela_registros[DIA],reservafixaconsolidadofev[[#Headers],[24]],tabela_registros[REGISTRO],DADOS!$N$6,tabela_registros[TIPO],DADOS!$AJ$3,tabela_registros[CATEGORIA],reservafixaconsolidadofev[[#This Row],[ATUAL]])</f>
        <v>0</v>
      </c>
      <c r="AC173" s="119" t="n">
        <f aca="false">SUMIFS(tabela_registros[VALOR],tabela_registros[MÊS],$AE$1,tabela_registros[DIA],reservafixaconsolidadofev[[#Headers],[25]],tabela_registros[REGISTRO],DADOS!$N$6,tabela_registros[TIPO],DADOS!$AJ$3,tabela_registros[CATEGORIA],reservafixaconsolidadofev[[#This Row],[ATUAL]])</f>
        <v>0</v>
      </c>
      <c r="AD173" s="119" t="n">
        <f aca="false">SUMIFS(tabela_registros[VALOR],tabela_registros[MÊS],$AE$1,tabela_registros[DIA],reservafixaconsolidadofev[[#Headers],[26]],tabela_registros[REGISTRO],DADOS!$N$6,tabela_registros[TIPO],DADOS!$AJ$3,tabela_registros[CATEGORIA],reservafixaconsolidadofev[[#This Row],[ATUAL]])</f>
        <v>0</v>
      </c>
      <c r="AE173" s="119" t="n">
        <f aca="false">SUMIFS(tabela_registros[VALOR],tabela_registros[MÊS],$AE$1,tabela_registros[DIA],reservafixaconsolidadofev[[#Headers],[27]],tabela_registros[REGISTRO],DADOS!$N$6,tabela_registros[TIPO],DADOS!$AJ$3,tabela_registros[CATEGORIA],reservafixaconsolidadofev[[#This Row],[ATUAL]])</f>
        <v>0</v>
      </c>
      <c r="AF173" s="119" t="n">
        <f aca="false">SUMIFS(tabela_registros[VALOR],tabela_registros[MÊS],$AE$1,tabela_registros[DIA],reservafixaconsolidadofev[[#Headers],[28]],tabela_registros[REGISTRO],DADOS!$N$6,tabela_registros[TIPO],DADOS!$AJ$3,tabela_registros[CATEGORIA],reservafixaconsolidadofev[[#This Row],[ATUAL]])</f>
        <v>0</v>
      </c>
      <c r="AG173" s="119" t="n">
        <f aca="false">SUMIFS(tabela_registros[VALOR],tabela_registros[MÊS],$AE$1,tabela_registros[DIA],reservafixaconsolidadofev[[#Headers],[29]],tabela_registros[REGISTRO],DADOS!$N$6,tabela_registros[TIPO],DADOS!$AJ$3,tabela_registros[CATEGORIA],reservafixaconsolidadofev[[#This Row],[ATUAL]])</f>
        <v>0</v>
      </c>
      <c r="AH173" s="119" t="n">
        <f aca="false">SUMIFS(tabela_registros[VALOR],tabela_registros[MÊS],$AE$1,tabela_registros[DIA],reservafixaconsolidadofev[[#Headers],[30]],tabela_registros[REGISTRO],DADOS!$N$6,tabela_registros[TIPO],DADOS!$AJ$3,tabela_registros[CATEGORIA],reservafixaconsolidadofev[[#This Row],[ATUAL]])</f>
        <v>0</v>
      </c>
      <c r="AI173" s="217" t="n">
        <f aca="false">SUMIFS(tabela_registros[VALOR],tabela_registros[MÊS],$AE$1,tabela_registros[DIA],reservafixaconsolidadofev[[#Headers],[31]],tabela_registros[REGISTRO],DADOS!$N$6,tabela_registros[TIPO],DADOS!$AJ$3,tabela_registros[CATEGORIA],reservafixaconsolidadofev[[#This Row],[ATUAL]])</f>
        <v>0</v>
      </c>
      <c r="AJ173" s="149" t="n">
        <f aca="false">SUM(reservafixaconsolidadofev[[#This Row],[1]:[31]])</f>
        <v>0</v>
      </c>
      <c r="AK173" s="165"/>
    </row>
    <row r="174" customFormat="false" ht="19.5" hidden="false" customHeight="true" outlineLevel="0" collapsed="false">
      <c r="B174" s="143"/>
      <c r="C174" s="144" t="str">
        <f aca="false">DADOS!$AL$9</f>
        <v>📝 LCA</v>
      </c>
      <c r="D174" s="145" t="str">
        <f aca="false">IF(reservafixaconsolidadofev[[#This Row],[TOTAL (R$)]]=0,"",IF(OR(reservafixaconsolidadofev[[#This Row],[TOTAL (R$)]]=LARGE($AJ$168:$AJ$177,1),reservafixaconsolidadofev[[#This Row],[TOTAL (R$)]]=LARGE($AJ$168:$AJ$177,2)),DADOS!$I$11,""))</f>
        <v/>
      </c>
      <c r="E174" s="148" t="n">
        <f aca="false">SUMIFS(tabela_registros[VALOR],tabela_registros[MÊS],$AE$1,tabela_registros[DIA],reservafixaconsolidadofev[[#Headers],[1]],tabela_registros[REGISTRO],DADOS!$N$6,tabela_registros[TIPO],DADOS!$AJ$3,tabela_registros[CATEGORIA],reservafixaconsolidadofev[[#This Row],[ATUAL]])</f>
        <v>0</v>
      </c>
      <c r="F174" s="119" t="n">
        <f aca="false">SUMIFS(tabela_registros[VALOR],tabela_registros[MÊS],$AE$1,tabela_registros[DIA],reservafixaconsolidadofev[[#Headers],[2]],tabela_registros[REGISTRO],DADOS!$N$6,tabela_registros[TIPO],DADOS!$AJ$3,tabela_registros[CATEGORIA],reservafixaconsolidadofev[[#This Row],[ATUAL]])</f>
        <v>0</v>
      </c>
      <c r="G174" s="119" t="n">
        <f aca="false">SUMIFS(tabela_registros[VALOR],tabela_registros[MÊS],$AE$1,tabela_registros[DIA],reservafixaconsolidadofev[[#Headers],[3]],tabela_registros[REGISTRO],DADOS!$N$6,tabela_registros[TIPO],DADOS!$AJ$3,tabela_registros[CATEGORIA],reservafixaconsolidadofev[[#This Row],[ATUAL]])</f>
        <v>0</v>
      </c>
      <c r="H174" s="119" t="n">
        <f aca="false">SUMIFS(tabela_registros[VALOR],tabela_registros[MÊS],$AE$1,tabela_registros[DIA],reservafixaconsolidadofev[[#Headers],[4]],tabela_registros[REGISTRO],DADOS!$N$6,tabela_registros[TIPO],DADOS!$AJ$3,tabela_registros[CATEGORIA],reservafixaconsolidadofev[[#This Row],[ATUAL]])</f>
        <v>0</v>
      </c>
      <c r="I174" s="119" t="n">
        <f aca="false">SUMIFS(tabela_registros[VALOR],tabela_registros[MÊS],$AE$1,tabela_registros[DIA],reservafixaconsolidadofev[[#Headers],[5]],tabela_registros[REGISTRO],DADOS!$N$6,tabela_registros[TIPO],DADOS!$AJ$3,tabela_registros[CATEGORIA],reservafixaconsolidadofev[[#This Row],[ATUAL]])</f>
        <v>0</v>
      </c>
      <c r="J174" s="119" t="n">
        <f aca="false">SUMIFS(tabela_registros[VALOR],tabela_registros[MÊS],$AE$1,tabela_registros[DIA],reservafixaconsolidadofev[[#Headers],[6]],tabela_registros[REGISTRO],DADOS!$N$6,tabela_registros[TIPO],DADOS!$AJ$3,tabela_registros[CATEGORIA],reservafixaconsolidadofev[[#This Row],[ATUAL]])</f>
        <v>0</v>
      </c>
      <c r="K174" s="119" t="n">
        <f aca="false">SUMIFS(tabela_registros[VALOR],tabela_registros[MÊS],$AE$1,tabela_registros[DIA],reservafixaconsolidadofev[[#Headers],[7]],tabela_registros[REGISTRO],DADOS!$N$6,tabela_registros[TIPO],DADOS!$AJ$3,tabela_registros[CATEGORIA],reservafixaconsolidadofev[[#This Row],[ATUAL]])</f>
        <v>0</v>
      </c>
      <c r="L174" s="119" t="n">
        <f aca="false">SUMIFS(tabela_registros[VALOR],tabela_registros[MÊS],$AE$1,tabela_registros[DIA],reservafixaconsolidadofev[[#Headers],[8]],tabela_registros[REGISTRO],DADOS!$N$6,tabela_registros[TIPO],DADOS!$AJ$3,tabela_registros[CATEGORIA],reservafixaconsolidadofev[[#This Row],[ATUAL]])</f>
        <v>0</v>
      </c>
      <c r="M174" s="119" t="n">
        <f aca="false">SUMIFS(tabela_registros[VALOR],tabela_registros[MÊS],$AE$1,tabela_registros[DIA],reservafixaconsolidadofev[[#Headers],[9]],tabela_registros[REGISTRO],DADOS!$N$6,tabela_registros[TIPO],DADOS!$AJ$3,tabela_registros[CATEGORIA],reservafixaconsolidadofev[[#This Row],[ATUAL]])</f>
        <v>0</v>
      </c>
      <c r="N174" s="119" t="n">
        <f aca="false">SUMIFS(tabela_registros[VALOR],tabela_registros[MÊS],$AE$1,tabela_registros[DIA],reservafixaconsolidadofev[[#Headers],[10]],tabela_registros[REGISTRO],DADOS!$N$6,tabela_registros[TIPO],DADOS!$AJ$3,tabela_registros[CATEGORIA],reservafixaconsolidadofev[[#This Row],[ATUAL]])</f>
        <v>0</v>
      </c>
      <c r="O174" s="119" t="n">
        <f aca="false">SUMIFS(tabela_registros[VALOR],tabela_registros[MÊS],$AE$1,tabela_registros[DIA],reservafixaconsolidadofev[[#Headers],[11]],tabela_registros[REGISTRO],DADOS!$N$6,tabela_registros[TIPO],DADOS!$AJ$3,tabela_registros[CATEGORIA],reservafixaconsolidadofev[[#This Row],[ATUAL]])</f>
        <v>0</v>
      </c>
      <c r="P174" s="119" t="n">
        <f aca="false">SUMIFS(tabela_registros[VALOR],tabela_registros[MÊS],$AE$1,tabela_registros[DIA],reservafixaconsolidadofev[[#Headers],[12]],tabela_registros[REGISTRO],DADOS!$N$6,tabela_registros[TIPO],DADOS!$AJ$3,tabela_registros[CATEGORIA],reservafixaconsolidadofev[[#This Row],[ATUAL]])</f>
        <v>0</v>
      </c>
      <c r="Q174" s="119" t="n">
        <f aca="false">SUMIFS(tabela_registros[VALOR],tabela_registros[MÊS],$AE$1,tabela_registros[DIA],reservafixaconsolidadofev[[#Headers],[13]],tabela_registros[REGISTRO],DADOS!$N$6,tabela_registros[TIPO],DADOS!$AJ$3,tabela_registros[CATEGORIA],reservafixaconsolidadofev[[#This Row],[ATUAL]])</f>
        <v>0</v>
      </c>
      <c r="R174" s="119" t="n">
        <f aca="false">SUMIFS(tabela_registros[VALOR],tabela_registros[MÊS],$AE$1,tabela_registros[DIA],reservafixaconsolidadofev[[#Headers],[14]],tabela_registros[REGISTRO],DADOS!$N$6,tabela_registros[TIPO],DADOS!$AJ$3,tabela_registros[CATEGORIA],reservafixaconsolidadofev[[#This Row],[ATUAL]])</f>
        <v>0</v>
      </c>
      <c r="S174" s="119" t="n">
        <f aca="false">SUMIFS(tabela_registros[VALOR],tabela_registros[MÊS],$AE$1,tabela_registros[DIA],reservafixaconsolidadofev[[#Headers],[15]],tabela_registros[REGISTRO],DADOS!$N$6,tabela_registros[TIPO],DADOS!$AJ$3,tabela_registros[CATEGORIA],reservafixaconsolidadofev[[#This Row],[ATUAL]])</f>
        <v>0</v>
      </c>
      <c r="T174" s="119" t="n">
        <f aca="false">SUMIFS(tabela_registros[VALOR],tabela_registros[MÊS],$AE$1,tabela_registros[DIA],reservafixaconsolidadofev[[#Headers],[16]],tabela_registros[REGISTRO],DADOS!$N$6,tabela_registros[TIPO],DADOS!$AJ$3,tabela_registros[CATEGORIA],reservafixaconsolidadofev[[#This Row],[ATUAL]])</f>
        <v>0</v>
      </c>
      <c r="U174" s="119" t="n">
        <f aca="false">SUMIFS(tabela_registros[VALOR],tabela_registros[MÊS],$AE$1,tabela_registros[DIA],reservafixaconsolidadofev[[#Headers],[17]],tabela_registros[REGISTRO],DADOS!$N$6,tabela_registros[TIPO],DADOS!$AJ$3,tabela_registros[CATEGORIA],reservafixaconsolidadofev[[#This Row],[ATUAL]])</f>
        <v>0</v>
      </c>
      <c r="V174" s="119" t="n">
        <f aca="false">SUMIFS(tabela_registros[VALOR],tabela_registros[MÊS],$AE$1,tabela_registros[DIA],reservafixaconsolidadofev[[#Headers],[18]],tabela_registros[REGISTRO],DADOS!$N$6,tabela_registros[TIPO],DADOS!$AJ$3,tabela_registros[CATEGORIA],reservafixaconsolidadofev[[#This Row],[ATUAL]])</f>
        <v>0</v>
      </c>
      <c r="W174" s="119" t="n">
        <f aca="false">SUMIFS(tabela_registros[VALOR],tabela_registros[MÊS],$AE$1,tabela_registros[DIA],reservafixaconsolidadofev[[#Headers],[19]],tabela_registros[REGISTRO],DADOS!$N$6,tabela_registros[TIPO],DADOS!$AJ$3,tabela_registros[CATEGORIA],reservafixaconsolidadofev[[#This Row],[ATUAL]])</f>
        <v>0</v>
      </c>
      <c r="X174" s="119" t="n">
        <f aca="false">SUMIFS(tabela_registros[VALOR],tabela_registros[MÊS],$AE$1,tabela_registros[DIA],reservafixaconsolidadofev[[#Headers],[20]],tabela_registros[REGISTRO],DADOS!$N$6,tabela_registros[TIPO],DADOS!$AJ$3,tabela_registros[CATEGORIA],reservafixaconsolidadofev[[#This Row],[ATUAL]])</f>
        <v>0</v>
      </c>
      <c r="Y174" s="119" t="n">
        <f aca="false">SUMIFS(tabela_registros[VALOR],tabela_registros[MÊS],$AE$1,tabela_registros[DIA],reservafixaconsolidadofev[[#Headers],[21]],tabela_registros[REGISTRO],DADOS!$N$6,tabela_registros[TIPO],DADOS!$AJ$3,tabela_registros[CATEGORIA],reservafixaconsolidadofev[[#This Row],[ATUAL]])</f>
        <v>0</v>
      </c>
      <c r="Z174" s="119" t="n">
        <f aca="false">SUMIFS(tabela_registros[VALOR],tabela_registros[MÊS],$AE$1,tabela_registros[DIA],reservafixaconsolidadofev[[#Headers],[22]],tabela_registros[REGISTRO],DADOS!$N$6,tabela_registros[TIPO],DADOS!$AJ$3,tabela_registros[CATEGORIA],reservafixaconsolidadofev[[#This Row],[ATUAL]])</f>
        <v>0</v>
      </c>
      <c r="AA174" s="119" t="n">
        <f aca="false">SUMIFS(tabela_registros[VALOR],tabela_registros[MÊS],$AE$1,tabela_registros[DIA],reservafixaconsolidadofev[[#Headers],[23]],tabela_registros[REGISTRO],DADOS!$N$6,tabela_registros[TIPO],DADOS!$AJ$3,tabela_registros[CATEGORIA],reservafixaconsolidadofev[[#This Row],[ATUAL]])</f>
        <v>0</v>
      </c>
      <c r="AB174" s="119" t="n">
        <f aca="false">SUMIFS(tabela_registros[VALOR],tabela_registros[MÊS],$AE$1,tabela_registros[DIA],reservafixaconsolidadofev[[#Headers],[24]],tabela_registros[REGISTRO],DADOS!$N$6,tabela_registros[TIPO],DADOS!$AJ$3,tabela_registros[CATEGORIA],reservafixaconsolidadofev[[#This Row],[ATUAL]])</f>
        <v>0</v>
      </c>
      <c r="AC174" s="119" t="n">
        <f aca="false">SUMIFS(tabela_registros[VALOR],tabela_registros[MÊS],$AE$1,tabela_registros[DIA],reservafixaconsolidadofev[[#Headers],[25]],tabela_registros[REGISTRO],DADOS!$N$6,tabela_registros[TIPO],DADOS!$AJ$3,tabela_registros[CATEGORIA],reservafixaconsolidadofev[[#This Row],[ATUAL]])</f>
        <v>0</v>
      </c>
      <c r="AD174" s="119" t="n">
        <f aca="false">SUMIFS(tabela_registros[VALOR],tabela_registros[MÊS],$AE$1,tabela_registros[DIA],reservafixaconsolidadofev[[#Headers],[26]],tabela_registros[REGISTRO],DADOS!$N$6,tabela_registros[TIPO],DADOS!$AJ$3,tabela_registros[CATEGORIA],reservafixaconsolidadofev[[#This Row],[ATUAL]])</f>
        <v>0</v>
      </c>
      <c r="AE174" s="119" t="n">
        <f aca="false">SUMIFS(tabela_registros[VALOR],tabela_registros[MÊS],$AE$1,tabela_registros[DIA],reservafixaconsolidadofev[[#Headers],[27]],tabela_registros[REGISTRO],DADOS!$N$6,tabela_registros[TIPO],DADOS!$AJ$3,tabela_registros[CATEGORIA],reservafixaconsolidadofev[[#This Row],[ATUAL]])</f>
        <v>0</v>
      </c>
      <c r="AF174" s="119" t="n">
        <f aca="false">SUMIFS(tabela_registros[VALOR],tabela_registros[MÊS],$AE$1,tabela_registros[DIA],reservafixaconsolidadofev[[#Headers],[28]],tabela_registros[REGISTRO],DADOS!$N$6,tabela_registros[TIPO],DADOS!$AJ$3,tabela_registros[CATEGORIA],reservafixaconsolidadofev[[#This Row],[ATUAL]])</f>
        <v>0</v>
      </c>
      <c r="AG174" s="119" t="n">
        <f aca="false">SUMIFS(tabela_registros[VALOR],tabela_registros[MÊS],$AE$1,tabela_registros[DIA],reservafixaconsolidadofev[[#Headers],[29]],tabela_registros[REGISTRO],DADOS!$N$6,tabela_registros[TIPO],DADOS!$AJ$3,tabela_registros[CATEGORIA],reservafixaconsolidadofev[[#This Row],[ATUAL]])</f>
        <v>0</v>
      </c>
      <c r="AH174" s="119" t="n">
        <f aca="false">SUMIFS(tabela_registros[VALOR],tabela_registros[MÊS],$AE$1,tabela_registros[DIA],reservafixaconsolidadofev[[#Headers],[30]],tabela_registros[REGISTRO],DADOS!$N$6,tabela_registros[TIPO],DADOS!$AJ$3,tabela_registros[CATEGORIA],reservafixaconsolidadofev[[#This Row],[ATUAL]])</f>
        <v>0</v>
      </c>
      <c r="AI174" s="217" t="n">
        <f aca="false">SUMIFS(tabela_registros[VALOR],tabela_registros[MÊS],$AE$1,tabela_registros[DIA],reservafixaconsolidadofev[[#Headers],[31]],tabela_registros[REGISTRO],DADOS!$N$6,tabela_registros[TIPO],DADOS!$AJ$3,tabela_registros[CATEGORIA],reservafixaconsolidadofev[[#This Row],[ATUAL]])</f>
        <v>0</v>
      </c>
      <c r="AJ174" s="149" t="n">
        <f aca="false">SUM(reservafixaconsolidadofev[[#This Row],[1]:[31]])</f>
        <v>0</v>
      </c>
      <c r="AK174" s="165"/>
    </row>
    <row r="175" customFormat="false" ht="19.5" hidden="false" customHeight="true" outlineLevel="0" collapsed="false">
      <c r="B175" s="143"/>
      <c r="C175" s="144" t="str">
        <f aca="false">DADOS!$AL$10</f>
        <v>📝 LCI</v>
      </c>
      <c r="D175" s="145" t="str">
        <f aca="false">IF(reservafixaconsolidadofev[[#This Row],[TOTAL (R$)]]=0,"",IF(OR(reservafixaconsolidadofev[[#This Row],[TOTAL (R$)]]=LARGE($AJ$168:$AJ$177,1),reservafixaconsolidadofev[[#This Row],[TOTAL (R$)]]=LARGE($AJ$168:$AJ$177,2)),DADOS!$I$11,""))</f>
        <v/>
      </c>
      <c r="E175" s="148" t="n">
        <f aca="false">SUMIFS(tabela_registros[VALOR],tabela_registros[MÊS],$AE$1,tabela_registros[DIA],reservafixaconsolidadofev[[#Headers],[1]],tabela_registros[REGISTRO],DADOS!$N$6,tabela_registros[TIPO],DADOS!$AJ$3,tabela_registros[CATEGORIA],reservafixaconsolidadofev[[#This Row],[ATUAL]])</f>
        <v>0</v>
      </c>
      <c r="F175" s="119" t="n">
        <f aca="false">SUMIFS(tabela_registros[VALOR],tabela_registros[MÊS],$AE$1,tabela_registros[DIA],reservafixaconsolidadofev[[#Headers],[2]],tabela_registros[REGISTRO],DADOS!$N$6,tabela_registros[TIPO],DADOS!$AJ$3,tabela_registros[CATEGORIA],reservafixaconsolidadofev[[#This Row],[ATUAL]])</f>
        <v>0</v>
      </c>
      <c r="G175" s="119" t="n">
        <f aca="false">SUMIFS(tabela_registros[VALOR],tabela_registros[MÊS],$AE$1,tabela_registros[DIA],reservafixaconsolidadofev[[#Headers],[3]],tabela_registros[REGISTRO],DADOS!$N$6,tabela_registros[TIPO],DADOS!$AJ$3,tabela_registros[CATEGORIA],reservafixaconsolidadofev[[#This Row],[ATUAL]])</f>
        <v>0</v>
      </c>
      <c r="H175" s="119" t="n">
        <f aca="false">SUMIFS(tabela_registros[VALOR],tabela_registros[MÊS],$AE$1,tabela_registros[DIA],reservafixaconsolidadofev[[#Headers],[4]],tabela_registros[REGISTRO],DADOS!$N$6,tabela_registros[TIPO],DADOS!$AJ$3,tabela_registros[CATEGORIA],reservafixaconsolidadofev[[#This Row],[ATUAL]])</f>
        <v>0</v>
      </c>
      <c r="I175" s="119" t="n">
        <f aca="false">SUMIFS(tabela_registros[VALOR],tabela_registros[MÊS],$AE$1,tabela_registros[DIA],reservafixaconsolidadofev[[#Headers],[5]],tabela_registros[REGISTRO],DADOS!$N$6,tabela_registros[TIPO],DADOS!$AJ$3,tabela_registros[CATEGORIA],reservafixaconsolidadofev[[#This Row],[ATUAL]])</f>
        <v>0</v>
      </c>
      <c r="J175" s="119" t="n">
        <f aca="false">SUMIFS(tabela_registros[VALOR],tabela_registros[MÊS],$AE$1,tabela_registros[DIA],reservafixaconsolidadofev[[#Headers],[6]],tabela_registros[REGISTRO],DADOS!$N$6,tabela_registros[TIPO],DADOS!$AJ$3,tabela_registros[CATEGORIA],reservafixaconsolidadofev[[#This Row],[ATUAL]])</f>
        <v>0</v>
      </c>
      <c r="K175" s="119" t="n">
        <f aca="false">SUMIFS(tabela_registros[VALOR],tabela_registros[MÊS],$AE$1,tabela_registros[DIA],reservafixaconsolidadofev[[#Headers],[7]],tabela_registros[REGISTRO],DADOS!$N$6,tabela_registros[TIPO],DADOS!$AJ$3,tabela_registros[CATEGORIA],reservafixaconsolidadofev[[#This Row],[ATUAL]])</f>
        <v>0</v>
      </c>
      <c r="L175" s="119" t="n">
        <f aca="false">SUMIFS(tabela_registros[VALOR],tabela_registros[MÊS],$AE$1,tabela_registros[DIA],reservafixaconsolidadofev[[#Headers],[8]],tabela_registros[REGISTRO],DADOS!$N$6,tabela_registros[TIPO],DADOS!$AJ$3,tabela_registros[CATEGORIA],reservafixaconsolidadofev[[#This Row],[ATUAL]])</f>
        <v>0</v>
      </c>
      <c r="M175" s="119" t="n">
        <f aca="false">SUMIFS(tabela_registros[VALOR],tabela_registros[MÊS],$AE$1,tabela_registros[DIA],reservafixaconsolidadofev[[#Headers],[9]],tabela_registros[REGISTRO],DADOS!$N$6,tabela_registros[TIPO],DADOS!$AJ$3,tabela_registros[CATEGORIA],reservafixaconsolidadofev[[#This Row],[ATUAL]])</f>
        <v>0</v>
      </c>
      <c r="N175" s="119" t="n">
        <f aca="false">SUMIFS(tabela_registros[VALOR],tabela_registros[MÊS],$AE$1,tabela_registros[DIA],reservafixaconsolidadofev[[#Headers],[10]],tabela_registros[REGISTRO],DADOS!$N$6,tabela_registros[TIPO],DADOS!$AJ$3,tabela_registros[CATEGORIA],reservafixaconsolidadofev[[#This Row],[ATUAL]])</f>
        <v>0</v>
      </c>
      <c r="O175" s="119" t="n">
        <f aca="false">SUMIFS(tabela_registros[VALOR],tabela_registros[MÊS],$AE$1,tabela_registros[DIA],reservafixaconsolidadofev[[#Headers],[11]],tabela_registros[REGISTRO],DADOS!$N$6,tabela_registros[TIPO],DADOS!$AJ$3,tabela_registros[CATEGORIA],reservafixaconsolidadofev[[#This Row],[ATUAL]])</f>
        <v>0</v>
      </c>
      <c r="P175" s="119" t="n">
        <f aca="false">SUMIFS(tabela_registros[VALOR],tabela_registros[MÊS],$AE$1,tabela_registros[DIA],reservafixaconsolidadofev[[#Headers],[12]],tabela_registros[REGISTRO],DADOS!$N$6,tabela_registros[TIPO],DADOS!$AJ$3,tabela_registros[CATEGORIA],reservafixaconsolidadofev[[#This Row],[ATUAL]])</f>
        <v>0</v>
      </c>
      <c r="Q175" s="119" t="n">
        <f aca="false">SUMIFS(tabela_registros[VALOR],tabela_registros[MÊS],$AE$1,tabela_registros[DIA],reservafixaconsolidadofev[[#Headers],[13]],tabela_registros[REGISTRO],DADOS!$N$6,tabela_registros[TIPO],DADOS!$AJ$3,tabela_registros[CATEGORIA],reservafixaconsolidadofev[[#This Row],[ATUAL]])</f>
        <v>0</v>
      </c>
      <c r="R175" s="119" t="n">
        <f aca="false">SUMIFS(tabela_registros[VALOR],tabela_registros[MÊS],$AE$1,tabela_registros[DIA],reservafixaconsolidadofev[[#Headers],[14]],tabela_registros[REGISTRO],DADOS!$N$6,tabela_registros[TIPO],DADOS!$AJ$3,tabela_registros[CATEGORIA],reservafixaconsolidadofev[[#This Row],[ATUAL]])</f>
        <v>0</v>
      </c>
      <c r="S175" s="119" t="n">
        <f aca="false">SUMIFS(tabela_registros[VALOR],tabela_registros[MÊS],$AE$1,tabela_registros[DIA],reservafixaconsolidadofev[[#Headers],[15]],tabela_registros[REGISTRO],DADOS!$N$6,tabela_registros[TIPO],DADOS!$AJ$3,tabela_registros[CATEGORIA],reservafixaconsolidadofev[[#This Row],[ATUAL]])</f>
        <v>0</v>
      </c>
      <c r="T175" s="119" t="n">
        <f aca="false">SUMIFS(tabela_registros[VALOR],tabela_registros[MÊS],$AE$1,tabela_registros[DIA],reservafixaconsolidadofev[[#Headers],[16]],tabela_registros[REGISTRO],DADOS!$N$6,tabela_registros[TIPO],DADOS!$AJ$3,tabela_registros[CATEGORIA],reservafixaconsolidadofev[[#This Row],[ATUAL]])</f>
        <v>0</v>
      </c>
      <c r="U175" s="119" t="n">
        <f aca="false">SUMIFS(tabela_registros[VALOR],tabela_registros[MÊS],$AE$1,tabela_registros[DIA],reservafixaconsolidadofev[[#Headers],[17]],tabela_registros[REGISTRO],DADOS!$N$6,tabela_registros[TIPO],DADOS!$AJ$3,tabela_registros[CATEGORIA],reservafixaconsolidadofev[[#This Row],[ATUAL]])</f>
        <v>0</v>
      </c>
      <c r="V175" s="119" t="n">
        <f aca="false">SUMIFS(tabela_registros[VALOR],tabela_registros[MÊS],$AE$1,tabela_registros[DIA],reservafixaconsolidadofev[[#Headers],[18]],tabela_registros[REGISTRO],DADOS!$N$6,tabela_registros[TIPO],DADOS!$AJ$3,tabela_registros[CATEGORIA],reservafixaconsolidadofev[[#This Row],[ATUAL]])</f>
        <v>0</v>
      </c>
      <c r="W175" s="119" t="n">
        <f aca="false">SUMIFS(tabela_registros[VALOR],tabela_registros[MÊS],$AE$1,tabela_registros[DIA],reservafixaconsolidadofev[[#Headers],[19]],tabela_registros[REGISTRO],DADOS!$N$6,tabela_registros[TIPO],DADOS!$AJ$3,tabela_registros[CATEGORIA],reservafixaconsolidadofev[[#This Row],[ATUAL]])</f>
        <v>0</v>
      </c>
      <c r="X175" s="119" t="n">
        <f aca="false">SUMIFS(tabela_registros[VALOR],tabela_registros[MÊS],$AE$1,tabela_registros[DIA],reservafixaconsolidadofev[[#Headers],[20]],tabela_registros[REGISTRO],DADOS!$N$6,tabela_registros[TIPO],DADOS!$AJ$3,tabela_registros[CATEGORIA],reservafixaconsolidadofev[[#This Row],[ATUAL]])</f>
        <v>0</v>
      </c>
      <c r="Y175" s="119" t="n">
        <f aca="false">SUMIFS(tabela_registros[VALOR],tabela_registros[MÊS],$AE$1,tabela_registros[DIA],reservafixaconsolidadofev[[#Headers],[21]],tabela_registros[REGISTRO],DADOS!$N$6,tabela_registros[TIPO],DADOS!$AJ$3,tabela_registros[CATEGORIA],reservafixaconsolidadofev[[#This Row],[ATUAL]])</f>
        <v>0</v>
      </c>
      <c r="Z175" s="119" t="n">
        <f aca="false">SUMIFS(tabela_registros[VALOR],tabela_registros[MÊS],$AE$1,tabela_registros[DIA],reservafixaconsolidadofev[[#Headers],[22]],tabela_registros[REGISTRO],DADOS!$N$6,tabela_registros[TIPO],DADOS!$AJ$3,tabela_registros[CATEGORIA],reservafixaconsolidadofev[[#This Row],[ATUAL]])</f>
        <v>0</v>
      </c>
      <c r="AA175" s="119" t="n">
        <f aca="false">SUMIFS(tabela_registros[VALOR],tabela_registros[MÊS],$AE$1,tabela_registros[DIA],reservafixaconsolidadofev[[#Headers],[23]],tabela_registros[REGISTRO],DADOS!$N$6,tabela_registros[TIPO],DADOS!$AJ$3,tabela_registros[CATEGORIA],reservafixaconsolidadofev[[#This Row],[ATUAL]])</f>
        <v>0</v>
      </c>
      <c r="AB175" s="119" t="n">
        <f aca="false">SUMIFS(tabela_registros[VALOR],tabela_registros[MÊS],$AE$1,tabela_registros[DIA],reservafixaconsolidadofev[[#Headers],[24]],tabela_registros[REGISTRO],DADOS!$N$6,tabela_registros[TIPO],DADOS!$AJ$3,tabela_registros[CATEGORIA],reservafixaconsolidadofev[[#This Row],[ATUAL]])</f>
        <v>0</v>
      </c>
      <c r="AC175" s="119" t="n">
        <f aca="false">SUMIFS(tabela_registros[VALOR],tabela_registros[MÊS],$AE$1,tabela_registros[DIA],reservafixaconsolidadofev[[#Headers],[25]],tabela_registros[REGISTRO],DADOS!$N$6,tabela_registros[TIPO],DADOS!$AJ$3,tabela_registros[CATEGORIA],reservafixaconsolidadofev[[#This Row],[ATUAL]])</f>
        <v>0</v>
      </c>
      <c r="AD175" s="119" t="n">
        <f aca="false">SUMIFS(tabela_registros[VALOR],tabela_registros[MÊS],$AE$1,tabela_registros[DIA],reservafixaconsolidadofev[[#Headers],[26]],tabela_registros[REGISTRO],DADOS!$N$6,tabela_registros[TIPO],DADOS!$AJ$3,tabela_registros[CATEGORIA],reservafixaconsolidadofev[[#This Row],[ATUAL]])</f>
        <v>0</v>
      </c>
      <c r="AE175" s="119" t="n">
        <f aca="false">SUMIFS(tabela_registros[VALOR],tabela_registros[MÊS],$AE$1,tabela_registros[DIA],reservafixaconsolidadofev[[#Headers],[27]],tabela_registros[REGISTRO],DADOS!$N$6,tabela_registros[TIPO],DADOS!$AJ$3,tabela_registros[CATEGORIA],reservafixaconsolidadofev[[#This Row],[ATUAL]])</f>
        <v>0</v>
      </c>
      <c r="AF175" s="119" t="n">
        <f aca="false">SUMIFS(tabela_registros[VALOR],tabela_registros[MÊS],$AE$1,tabela_registros[DIA],reservafixaconsolidadofev[[#Headers],[28]],tabela_registros[REGISTRO],DADOS!$N$6,tabela_registros[TIPO],DADOS!$AJ$3,tabela_registros[CATEGORIA],reservafixaconsolidadofev[[#This Row],[ATUAL]])</f>
        <v>0</v>
      </c>
      <c r="AG175" s="119" t="n">
        <f aca="false">SUMIFS(tabela_registros[VALOR],tabela_registros[MÊS],$AE$1,tabela_registros[DIA],reservafixaconsolidadofev[[#Headers],[29]],tabela_registros[REGISTRO],DADOS!$N$6,tabela_registros[TIPO],DADOS!$AJ$3,tabela_registros[CATEGORIA],reservafixaconsolidadofev[[#This Row],[ATUAL]])</f>
        <v>0</v>
      </c>
      <c r="AH175" s="119" t="n">
        <f aca="false">SUMIFS(tabela_registros[VALOR],tabela_registros[MÊS],$AE$1,tabela_registros[DIA],reservafixaconsolidadofev[[#Headers],[30]],tabela_registros[REGISTRO],DADOS!$N$6,tabela_registros[TIPO],DADOS!$AJ$3,tabela_registros[CATEGORIA],reservafixaconsolidadofev[[#This Row],[ATUAL]])</f>
        <v>0</v>
      </c>
      <c r="AI175" s="217" t="n">
        <f aca="false">SUMIFS(tabela_registros[VALOR],tabela_registros[MÊS],$AE$1,tabela_registros[DIA],reservafixaconsolidadofev[[#Headers],[31]],tabela_registros[REGISTRO],DADOS!$N$6,tabela_registros[TIPO],DADOS!$AJ$3,tabela_registros[CATEGORIA],reservafixaconsolidadofev[[#This Row],[ATUAL]])</f>
        <v>0</v>
      </c>
      <c r="AJ175" s="149" t="n">
        <f aca="false">SUM(reservafixaconsolidadofev[[#This Row],[1]:[31]])</f>
        <v>0</v>
      </c>
      <c r="AK175" s="165"/>
    </row>
    <row r="176" customFormat="false" ht="19.5" hidden="false" customHeight="true" outlineLevel="0" collapsed="false">
      <c r="B176" s="143"/>
      <c r="C176" s="144" t="str">
        <f aca="false">DADOS!$AL$11</f>
        <v>📝 TESOURO DIRETO</v>
      </c>
      <c r="D176" s="145" t="str">
        <f aca="false">IF(reservafixaconsolidadofev[[#This Row],[TOTAL (R$)]]=0,"",IF(OR(reservafixaconsolidadofev[[#This Row],[TOTAL (R$)]]=LARGE($AJ$168:$AJ$177,1),reservafixaconsolidadofev[[#This Row],[TOTAL (R$)]]=LARGE($AJ$168:$AJ$177,2)),DADOS!$I$11,""))</f>
        <v/>
      </c>
      <c r="E176" s="148" t="n">
        <f aca="false">SUMIFS(tabela_registros[VALOR],tabela_registros[MÊS],$AE$1,tabela_registros[DIA],reservafixaconsolidadofev[[#Headers],[1]],tabela_registros[REGISTRO],DADOS!$N$6,tabela_registros[TIPO],DADOS!$AJ$3,tabela_registros[CATEGORIA],reservafixaconsolidadofev[[#This Row],[ATUAL]])</f>
        <v>0</v>
      </c>
      <c r="F176" s="119" t="n">
        <f aca="false">SUMIFS(tabela_registros[VALOR],tabela_registros[MÊS],$AE$1,tabela_registros[DIA],reservafixaconsolidadofev[[#Headers],[2]],tabela_registros[REGISTRO],DADOS!$N$6,tabela_registros[TIPO],DADOS!$AJ$3,tabela_registros[CATEGORIA],reservafixaconsolidadofev[[#This Row],[ATUAL]])</f>
        <v>0</v>
      </c>
      <c r="G176" s="119" t="n">
        <f aca="false">SUMIFS(tabela_registros[VALOR],tabela_registros[MÊS],$AE$1,tabela_registros[DIA],reservafixaconsolidadofev[[#Headers],[3]],tabela_registros[REGISTRO],DADOS!$N$6,tabela_registros[TIPO],DADOS!$AJ$3,tabela_registros[CATEGORIA],reservafixaconsolidadofev[[#This Row],[ATUAL]])</f>
        <v>0</v>
      </c>
      <c r="H176" s="119" t="n">
        <f aca="false">SUMIFS(tabela_registros[VALOR],tabela_registros[MÊS],$AE$1,tabela_registros[DIA],reservafixaconsolidadofev[[#Headers],[4]],tabela_registros[REGISTRO],DADOS!$N$6,tabela_registros[TIPO],DADOS!$AJ$3,tabela_registros[CATEGORIA],reservafixaconsolidadofev[[#This Row],[ATUAL]])</f>
        <v>0</v>
      </c>
      <c r="I176" s="119" t="n">
        <f aca="false">SUMIFS(tabela_registros[VALOR],tabela_registros[MÊS],$AE$1,tabela_registros[DIA],reservafixaconsolidadofev[[#Headers],[5]],tabela_registros[REGISTRO],DADOS!$N$6,tabela_registros[TIPO],DADOS!$AJ$3,tabela_registros[CATEGORIA],reservafixaconsolidadofev[[#This Row],[ATUAL]])</f>
        <v>0</v>
      </c>
      <c r="J176" s="119" t="n">
        <f aca="false">SUMIFS(tabela_registros[VALOR],tabela_registros[MÊS],$AE$1,tabela_registros[DIA],reservafixaconsolidadofev[[#Headers],[6]],tabela_registros[REGISTRO],DADOS!$N$6,tabela_registros[TIPO],DADOS!$AJ$3,tabela_registros[CATEGORIA],reservafixaconsolidadofev[[#This Row],[ATUAL]])</f>
        <v>0</v>
      </c>
      <c r="K176" s="119" t="n">
        <f aca="false">SUMIFS(tabela_registros[VALOR],tabela_registros[MÊS],$AE$1,tabela_registros[DIA],reservafixaconsolidadofev[[#Headers],[7]],tabela_registros[REGISTRO],DADOS!$N$6,tabela_registros[TIPO],DADOS!$AJ$3,tabela_registros[CATEGORIA],reservafixaconsolidadofev[[#This Row],[ATUAL]])</f>
        <v>0</v>
      </c>
      <c r="L176" s="119" t="n">
        <f aca="false">SUMIFS(tabela_registros[VALOR],tabela_registros[MÊS],$AE$1,tabela_registros[DIA],reservafixaconsolidadofev[[#Headers],[8]],tabela_registros[REGISTRO],DADOS!$N$6,tabela_registros[TIPO],DADOS!$AJ$3,tabela_registros[CATEGORIA],reservafixaconsolidadofev[[#This Row],[ATUAL]])</f>
        <v>0</v>
      </c>
      <c r="M176" s="119" t="n">
        <f aca="false">SUMIFS(tabela_registros[VALOR],tabela_registros[MÊS],$AE$1,tabela_registros[DIA],reservafixaconsolidadofev[[#Headers],[9]],tabela_registros[REGISTRO],DADOS!$N$6,tabela_registros[TIPO],DADOS!$AJ$3,tabela_registros[CATEGORIA],reservafixaconsolidadofev[[#This Row],[ATUAL]])</f>
        <v>0</v>
      </c>
      <c r="N176" s="119" t="n">
        <f aca="false">SUMIFS(tabela_registros[VALOR],tabela_registros[MÊS],$AE$1,tabela_registros[DIA],reservafixaconsolidadofev[[#Headers],[10]],tabela_registros[REGISTRO],DADOS!$N$6,tabela_registros[TIPO],DADOS!$AJ$3,tabela_registros[CATEGORIA],reservafixaconsolidadofev[[#This Row],[ATUAL]])</f>
        <v>0</v>
      </c>
      <c r="O176" s="119" t="n">
        <f aca="false">SUMIFS(tabela_registros[VALOR],tabela_registros[MÊS],$AE$1,tabela_registros[DIA],reservafixaconsolidadofev[[#Headers],[11]],tabela_registros[REGISTRO],DADOS!$N$6,tabela_registros[TIPO],DADOS!$AJ$3,tabela_registros[CATEGORIA],reservafixaconsolidadofev[[#This Row],[ATUAL]])</f>
        <v>0</v>
      </c>
      <c r="P176" s="119" t="n">
        <f aca="false">SUMIFS(tabela_registros[VALOR],tabela_registros[MÊS],$AE$1,tabela_registros[DIA],reservafixaconsolidadofev[[#Headers],[12]],tabela_registros[REGISTRO],DADOS!$N$6,tabela_registros[TIPO],DADOS!$AJ$3,tabela_registros[CATEGORIA],reservafixaconsolidadofev[[#This Row],[ATUAL]])</f>
        <v>0</v>
      </c>
      <c r="Q176" s="119" t="n">
        <f aca="false">SUMIFS(tabela_registros[VALOR],tabela_registros[MÊS],$AE$1,tabela_registros[DIA],reservafixaconsolidadofev[[#Headers],[13]],tabela_registros[REGISTRO],DADOS!$N$6,tabela_registros[TIPO],DADOS!$AJ$3,tabela_registros[CATEGORIA],reservafixaconsolidadofev[[#This Row],[ATUAL]])</f>
        <v>0</v>
      </c>
      <c r="R176" s="119" t="n">
        <f aca="false">SUMIFS(tabela_registros[VALOR],tabela_registros[MÊS],$AE$1,tabela_registros[DIA],reservafixaconsolidadofev[[#Headers],[14]],tabela_registros[REGISTRO],DADOS!$N$6,tabela_registros[TIPO],DADOS!$AJ$3,tabela_registros[CATEGORIA],reservafixaconsolidadofev[[#This Row],[ATUAL]])</f>
        <v>0</v>
      </c>
      <c r="S176" s="119" t="n">
        <f aca="false">SUMIFS(tabela_registros[VALOR],tabela_registros[MÊS],$AE$1,tabela_registros[DIA],reservafixaconsolidadofev[[#Headers],[15]],tabela_registros[REGISTRO],DADOS!$N$6,tabela_registros[TIPO],DADOS!$AJ$3,tabela_registros[CATEGORIA],reservafixaconsolidadofev[[#This Row],[ATUAL]])</f>
        <v>0</v>
      </c>
      <c r="T176" s="119" t="n">
        <f aca="false">SUMIFS(tabela_registros[VALOR],tabela_registros[MÊS],$AE$1,tabela_registros[DIA],reservafixaconsolidadofev[[#Headers],[16]],tabela_registros[REGISTRO],DADOS!$N$6,tabela_registros[TIPO],DADOS!$AJ$3,tabela_registros[CATEGORIA],reservafixaconsolidadofev[[#This Row],[ATUAL]])</f>
        <v>0</v>
      </c>
      <c r="U176" s="119" t="n">
        <f aca="false">SUMIFS(tabela_registros[VALOR],tabela_registros[MÊS],$AE$1,tabela_registros[DIA],reservafixaconsolidadofev[[#Headers],[17]],tabela_registros[REGISTRO],DADOS!$N$6,tabela_registros[TIPO],DADOS!$AJ$3,tabela_registros[CATEGORIA],reservafixaconsolidadofev[[#This Row],[ATUAL]])</f>
        <v>0</v>
      </c>
      <c r="V176" s="119" t="n">
        <f aca="false">SUMIFS(tabela_registros[VALOR],tabela_registros[MÊS],$AE$1,tabela_registros[DIA],reservafixaconsolidadofev[[#Headers],[18]],tabela_registros[REGISTRO],DADOS!$N$6,tabela_registros[TIPO],DADOS!$AJ$3,tabela_registros[CATEGORIA],reservafixaconsolidadofev[[#This Row],[ATUAL]])</f>
        <v>0</v>
      </c>
      <c r="W176" s="119" t="n">
        <f aca="false">SUMIFS(tabela_registros[VALOR],tabela_registros[MÊS],$AE$1,tabela_registros[DIA],reservafixaconsolidadofev[[#Headers],[19]],tabela_registros[REGISTRO],DADOS!$N$6,tabela_registros[TIPO],DADOS!$AJ$3,tabela_registros[CATEGORIA],reservafixaconsolidadofev[[#This Row],[ATUAL]])</f>
        <v>0</v>
      </c>
      <c r="X176" s="119" t="n">
        <f aca="false">SUMIFS(tabela_registros[VALOR],tabela_registros[MÊS],$AE$1,tabela_registros[DIA],reservafixaconsolidadofev[[#Headers],[20]],tabela_registros[REGISTRO],DADOS!$N$6,tabela_registros[TIPO],DADOS!$AJ$3,tabela_registros[CATEGORIA],reservafixaconsolidadofev[[#This Row],[ATUAL]])</f>
        <v>0</v>
      </c>
      <c r="Y176" s="119" t="n">
        <f aca="false">SUMIFS(tabela_registros[VALOR],tabela_registros[MÊS],$AE$1,tabela_registros[DIA],reservafixaconsolidadofev[[#Headers],[21]],tabela_registros[REGISTRO],DADOS!$N$6,tabela_registros[TIPO],DADOS!$AJ$3,tabela_registros[CATEGORIA],reservafixaconsolidadofev[[#This Row],[ATUAL]])</f>
        <v>0</v>
      </c>
      <c r="Z176" s="119" t="n">
        <f aca="false">SUMIFS(tabela_registros[VALOR],tabela_registros[MÊS],$AE$1,tabela_registros[DIA],reservafixaconsolidadofev[[#Headers],[22]],tabela_registros[REGISTRO],DADOS!$N$6,tabela_registros[TIPO],DADOS!$AJ$3,tabela_registros[CATEGORIA],reservafixaconsolidadofev[[#This Row],[ATUAL]])</f>
        <v>0</v>
      </c>
      <c r="AA176" s="119" t="n">
        <f aca="false">SUMIFS(tabela_registros[VALOR],tabela_registros[MÊS],$AE$1,tabela_registros[DIA],reservafixaconsolidadofev[[#Headers],[23]],tabela_registros[REGISTRO],DADOS!$N$6,tabela_registros[TIPO],DADOS!$AJ$3,tabela_registros[CATEGORIA],reservafixaconsolidadofev[[#This Row],[ATUAL]])</f>
        <v>0</v>
      </c>
      <c r="AB176" s="119" t="n">
        <f aca="false">SUMIFS(tabela_registros[VALOR],tabela_registros[MÊS],$AE$1,tabela_registros[DIA],reservafixaconsolidadofev[[#Headers],[24]],tabela_registros[REGISTRO],DADOS!$N$6,tabela_registros[TIPO],DADOS!$AJ$3,tabela_registros[CATEGORIA],reservafixaconsolidadofev[[#This Row],[ATUAL]])</f>
        <v>0</v>
      </c>
      <c r="AC176" s="119" t="n">
        <f aca="false">SUMIFS(tabela_registros[VALOR],tabela_registros[MÊS],$AE$1,tabela_registros[DIA],reservafixaconsolidadofev[[#Headers],[25]],tabela_registros[REGISTRO],DADOS!$N$6,tabela_registros[TIPO],DADOS!$AJ$3,tabela_registros[CATEGORIA],reservafixaconsolidadofev[[#This Row],[ATUAL]])</f>
        <v>0</v>
      </c>
      <c r="AD176" s="119" t="n">
        <f aca="false">SUMIFS(tabela_registros[VALOR],tabela_registros[MÊS],$AE$1,tabela_registros[DIA],reservafixaconsolidadofev[[#Headers],[26]],tabela_registros[REGISTRO],DADOS!$N$6,tabela_registros[TIPO],DADOS!$AJ$3,tabela_registros[CATEGORIA],reservafixaconsolidadofev[[#This Row],[ATUAL]])</f>
        <v>0</v>
      </c>
      <c r="AE176" s="119" t="n">
        <f aca="false">SUMIFS(tabela_registros[VALOR],tabela_registros[MÊS],$AE$1,tabela_registros[DIA],reservafixaconsolidadofev[[#Headers],[27]],tabela_registros[REGISTRO],DADOS!$N$6,tabela_registros[TIPO],DADOS!$AJ$3,tabela_registros[CATEGORIA],reservafixaconsolidadofev[[#This Row],[ATUAL]])</f>
        <v>0</v>
      </c>
      <c r="AF176" s="119" t="n">
        <f aca="false">SUMIFS(tabela_registros[VALOR],tabela_registros[MÊS],$AE$1,tabela_registros[DIA],reservafixaconsolidadofev[[#Headers],[28]],tabela_registros[REGISTRO],DADOS!$N$6,tabela_registros[TIPO],DADOS!$AJ$3,tabela_registros[CATEGORIA],reservafixaconsolidadofev[[#This Row],[ATUAL]])</f>
        <v>0</v>
      </c>
      <c r="AG176" s="119" t="n">
        <f aca="false">SUMIFS(tabela_registros[VALOR],tabela_registros[MÊS],$AE$1,tabela_registros[DIA],reservafixaconsolidadofev[[#Headers],[29]],tabela_registros[REGISTRO],DADOS!$N$6,tabela_registros[TIPO],DADOS!$AJ$3,tabela_registros[CATEGORIA],reservafixaconsolidadofev[[#This Row],[ATUAL]])</f>
        <v>0</v>
      </c>
      <c r="AH176" s="119" t="n">
        <f aca="false">SUMIFS(tabela_registros[VALOR],tabela_registros[MÊS],$AE$1,tabela_registros[DIA],reservafixaconsolidadofev[[#Headers],[30]],tabela_registros[REGISTRO],DADOS!$N$6,tabela_registros[TIPO],DADOS!$AJ$3,tabela_registros[CATEGORIA],reservafixaconsolidadofev[[#This Row],[ATUAL]])</f>
        <v>0</v>
      </c>
      <c r="AI176" s="217" t="n">
        <f aca="false">SUMIFS(tabela_registros[VALOR],tabela_registros[MÊS],$AE$1,tabela_registros[DIA],reservafixaconsolidadofev[[#Headers],[31]],tabela_registros[REGISTRO],DADOS!$N$6,tabela_registros[TIPO],DADOS!$AJ$3,tabela_registros[CATEGORIA],reservafixaconsolidadofev[[#This Row],[ATUAL]])</f>
        <v>0</v>
      </c>
      <c r="AJ176" s="149" t="n">
        <f aca="false">SUM(reservafixaconsolidadofev[[#This Row],[1]:[31]])</f>
        <v>0</v>
      </c>
      <c r="AK176" s="165"/>
    </row>
    <row r="177" customFormat="false" ht="19.5" hidden="false" customHeight="true" outlineLevel="0" collapsed="false">
      <c r="B177" s="143"/>
      <c r="C177" s="144" t="str">
        <f aca="false">DADOS!$AL$12</f>
        <v>📎 OUTROS</v>
      </c>
      <c r="D177" s="145" t="str">
        <f aca="false">IF(reservafixaconsolidadofev[[#This Row],[TOTAL (R$)]]=0,"",IF(OR(reservafixaconsolidadofev[[#This Row],[TOTAL (R$)]]=LARGE($AJ$168:$AJ$177,1),reservafixaconsolidadofev[[#This Row],[TOTAL (R$)]]=LARGE($AJ$168:$AJ$177,2)),DADOS!$I$11,""))</f>
        <v/>
      </c>
      <c r="E177" s="148" t="n">
        <f aca="false">SUMIFS(tabela_registros[VALOR],tabela_registros[MÊS],$AE$1,tabela_registros[DIA],reservafixaconsolidadofev[[#Headers],[1]],tabela_registros[REGISTRO],DADOS!$N$6,tabela_registros[TIPO],DADOS!$AJ$3,tabela_registros[CATEGORIA],reservafixaconsolidadofev[[#This Row],[ATUAL]])</f>
        <v>0</v>
      </c>
      <c r="F177" s="119" t="n">
        <f aca="false">SUMIFS(tabela_registros[VALOR],tabela_registros[MÊS],$AE$1,tabela_registros[DIA],reservafixaconsolidadofev[[#Headers],[2]],tabela_registros[REGISTRO],DADOS!$N$6,tabela_registros[TIPO],DADOS!$AJ$3,tabela_registros[CATEGORIA],reservafixaconsolidadofev[[#This Row],[ATUAL]])</f>
        <v>0</v>
      </c>
      <c r="G177" s="119" t="n">
        <f aca="false">SUMIFS(tabela_registros[VALOR],tabela_registros[MÊS],$AE$1,tabela_registros[DIA],reservafixaconsolidadofev[[#Headers],[3]],tabela_registros[REGISTRO],DADOS!$N$6,tabela_registros[TIPO],DADOS!$AJ$3,tabela_registros[CATEGORIA],reservafixaconsolidadofev[[#This Row],[ATUAL]])</f>
        <v>0</v>
      </c>
      <c r="H177" s="119" t="n">
        <f aca="false">SUMIFS(tabela_registros[VALOR],tabela_registros[MÊS],$AE$1,tabela_registros[DIA],reservafixaconsolidadofev[[#Headers],[4]],tabela_registros[REGISTRO],DADOS!$N$6,tabela_registros[TIPO],DADOS!$AJ$3,tabela_registros[CATEGORIA],reservafixaconsolidadofev[[#This Row],[ATUAL]])</f>
        <v>0</v>
      </c>
      <c r="I177" s="119" t="n">
        <f aca="false">SUMIFS(tabela_registros[VALOR],tabela_registros[MÊS],$AE$1,tabela_registros[DIA],reservafixaconsolidadofev[[#Headers],[5]],tabela_registros[REGISTRO],DADOS!$N$6,tabela_registros[TIPO],DADOS!$AJ$3,tabela_registros[CATEGORIA],reservafixaconsolidadofev[[#This Row],[ATUAL]])</f>
        <v>0</v>
      </c>
      <c r="J177" s="119" t="n">
        <f aca="false">SUMIFS(tabela_registros[VALOR],tabela_registros[MÊS],$AE$1,tabela_registros[DIA],reservafixaconsolidadofev[[#Headers],[6]],tabela_registros[REGISTRO],DADOS!$N$6,tabela_registros[TIPO],DADOS!$AJ$3,tabela_registros[CATEGORIA],reservafixaconsolidadofev[[#This Row],[ATUAL]])</f>
        <v>0</v>
      </c>
      <c r="K177" s="119" t="n">
        <f aca="false">SUMIFS(tabela_registros[VALOR],tabela_registros[MÊS],$AE$1,tabela_registros[DIA],reservafixaconsolidadofev[[#Headers],[7]],tabela_registros[REGISTRO],DADOS!$N$6,tabela_registros[TIPO],DADOS!$AJ$3,tabela_registros[CATEGORIA],reservafixaconsolidadofev[[#This Row],[ATUAL]])</f>
        <v>0</v>
      </c>
      <c r="L177" s="119" t="n">
        <f aca="false">SUMIFS(tabela_registros[VALOR],tabela_registros[MÊS],$AE$1,tabela_registros[DIA],reservafixaconsolidadofev[[#Headers],[8]],tabela_registros[REGISTRO],DADOS!$N$6,tabela_registros[TIPO],DADOS!$AJ$3,tabela_registros[CATEGORIA],reservafixaconsolidadofev[[#This Row],[ATUAL]])</f>
        <v>0</v>
      </c>
      <c r="M177" s="119" t="n">
        <f aca="false">SUMIFS(tabela_registros[VALOR],tabela_registros[MÊS],$AE$1,tabela_registros[DIA],reservafixaconsolidadofev[[#Headers],[9]],tabela_registros[REGISTRO],DADOS!$N$6,tabela_registros[TIPO],DADOS!$AJ$3,tabela_registros[CATEGORIA],reservafixaconsolidadofev[[#This Row],[ATUAL]])</f>
        <v>0</v>
      </c>
      <c r="N177" s="119" t="n">
        <f aca="false">SUMIFS(tabela_registros[VALOR],tabela_registros[MÊS],$AE$1,tabela_registros[DIA],reservafixaconsolidadofev[[#Headers],[10]],tabela_registros[REGISTRO],DADOS!$N$6,tabela_registros[TIPO],DADOS!$AJ$3,tabela_registros[CATEGORIA],reservafixaconsolidadofev[[#This Row],[ATUAL]])</f>
        <v>0</v>
      </c>
      <c r="O177" s="119" t="n">
        <f aca="false">SUMIFS(tabela_registros[VALOR],tabela_registros[MÊS],$AE$1,tabela_registros[DIA],reservafixaconsolidadofev[[#Headers],[11]],tabela_registros[REGISTRO],DADOS!$N$6,tabela_registros[TIPO],DADOS!$AJ$3,tabela_registros[CATEGORIA],reservafixaconsolidadofev[[#This Row],[ATUAL]])</f>
        <v>0</v>
      </c>
      <c r="P177" s="119" t="n">
        <f aca="false">SUMIFS(tabela_registros[VALOR],tabela_registros[MÊS],$AE$1,tabela_registros[DIA],reservafixaconsolidadofev[[#Headers],[12]],tabela_registros[REGISTRO],DADOS!$N$6,tabela_registros[TIPO],DADOS!$AJ$3,tabela_registros[CATEGORIA],reservafixaconsolidadofev[[#This Row],[ATUAL]])</f>
        <v>0</v>
      </c>
      <c r="Q177" s="119" t="n">
        <f aca="false">SUMIFS(tabela_registros[VALOR],tabela_registros[MÊS],$AE$1,tabela_registros[DIA],reservafixaconsolidadofev[[#Headers],[13]],tabela_registros[REGISTRO],DADOS!$N$6,tabela_registros[TIPO],DADOS!$AJ$3,tabela_registros[CATEGORIA],reservafixaconsolidadofev[[#This Row],[ATUAL]])</f>
        <v>0</v>
      </c>
      <c r="R177" s="119" t="n">
        <f aca="false">SUMIFS(tabela_registros[VALOR],tabela_registros[MÊS],$AE$1,tabela_registros[DIA],reservafixaconsolidadofev[[#Headers],[14]],tabela_registros[REGISTRO],DADOS!$N$6,tabela_registros[TIPO],DADOS!$AJ$3,tabela_registros[CATEGORIA],reservafixaconsolidadofev[[#This Row],[ATUAL]])</f>
        <v>0</v>
      </c>
      <c r="S177" s="119" t="n">
        <f aca="false">SUMIFS(tabela_registros[VALOR],tabela_registros[MÊS],$AE$1,tabela_registros[DIA],reservafixaconsolidadofev[[#Headers],[15]],tabela_registros[REGISTRO],DADOS!$N$6,tabela_registros[TIPO],DADOS!$AJ$3,tabela_registros[CATEGORIA],reservafixaconsolidadofev[[#This Row],[ATUAL]])</f>
        <v>0</v>
      </c>
      <c r="T177" s="119" t="n">
        <f aca="false">SUMIFS(tabela_registros[VALOR],tabela_registros[MÊS],$AE$1,tabela_registros[DIA],reservafixaconsolidadofev[[#Headers],[16]],tabela_registros[REGISTRO],DADOS!$N$6,tabela_registros[TIPO],DADOS!$AJ$3,tabela_registros[CATEGORIA],reservafixaconsolidadofev[[#This Row],[ATUAL]])</f>
        <v>0</v>
      </c>
      <c r="U177" s="119" t="n">
        <f aca="false">SUMIFS(tabela_registros[VALOR],tabela_registros[MÊS],$AE$1,tabela_registros[DIA],reservafixaconsolidadofev[[#Headers],[17]],tabela_registros[REGISTRO],DADOS!$N$6,tabela_registros[TIPO],DADOS!$AJ$3,tabela_registros[CATEGORIA],reservafixaconsolidadofev[[#This Row],[ATUAL]])</f>
        <v>0</v>
      </c>
      <c r="V177" s="119" t="n">
        <f aca="false">SUMIFS(tabela_registros[VALOR],tabela_registros[MÊS],$AE$1,tabela_registros[DIA],reservafixaconsolidadofev[[#Headers],[18]],tabela_registros[REGISTRO],DADOS!$N$6,tabela_registros[TIPO],DADOS!$AJ$3,tabela_registros[CATEGORIA],reservafixaconsolidadofev[[#This Row],[ATUAL]])</f>
        <v>0</v>
      </c>
      <c r="W177" s="119" t="n">
        <f aca="false">SUMIFS(tabela_registros[VALOR],tabela_registros[MÊS],$AE$1,tabela_registros[DIA],reservafixaconsolidadofev[[#Headers],[19]],tabela_registros[REGISTRO],DADOS!$N$6,tabela_registros[TIPO],DADOS!$AJ$3,tabela_registros[CATEGORIA],reservafixaconsolidadofev[[#This Row],[ATUAL]])</f>
        <v>0</v>
      </c>
      <c r="X177" s="119" t="n">
        <f aca="false">SUMIFS(tabela_registros[VALOR],tabela_registros[MÊS],$AE$1,tabela_registros[DIA],reservafixaconsolidadofev[[#Headers],[20]],tabela_registros[REGISTRO],DADOS!$N$6,tabela_registros[TIPO],DADOS!$AJ$3,tabela_registros[CATEGORIA],reservafixaconsolidadofev[[#This Row],[ATUAL]])</f>
        <v>0</v>
      </c>
      <c r="Y177" s="119" t="n">
        <f aca="false">SUMIFS(tabela_registros[VALOR],tabela_registros[MÊS],$AE$1,tabela_registros[DIA],reservafixaconsolidadofev[[#Headers],[21]],tabela_registros[REGISTRO],DADOS!$N$6,tabela_registros[TIPO],DADOS!$AJ$3,tabela_registros[CATEGORIA],reservafixaconsolidadofev[[#This Row],[ATUAL]])</f>
        <v>0</v>
      </c>
      <c r="Z177" s="119" t="n">
        <f aca="false">SUMIFS(tabela_registros[VALOR],tabela_registros[MÊS],$AE$1,tabela_registros[DIA],reservafixaconsolidadofev[[#Headers],[22]],tabela_registros[REGISTRO],DADOS!$N$6,tabela_registros[TIPO],DADOS!$AJ$3,tabela_registros[CATEGORIA],reservafixaconsolidadofev[[#This Row],[ATUAL]])</f>
        <v>0</v>
      </c>
      <c r="AA177" s="119" t="n">
        <f aca="false">SUMIFS(tabela_registros[VALOR],tabela_registros[MÊS],$AE$1,tabela_registros[DIA],reservafixaconsolidadofev[[#Headers],[23]],tabela_registros[REGISTRO],DADOS!$N$6,tabela_registros[TIPO],DADOS!$AJ$3,tabela_registros[CATEGORIA],reservafixaconsolidadofev[[#This Row],[ATUAL]])</f>
        <v>0</v>
      </c>
      <c r="AB177" s="119" t="n">
        <f aca="false">SUMIFS(tabela_registros[VALOR],tabela_registros[MÊS],$AE$1,tabela_registros[DIA],reservafixaconsolidadofev[[#Headers],[24]],tabela_registros[REGISTRO],DADOS!$N$6,tabela_registros[TIPO],DADOS!$AJ$3,tabela_registros[CATEGORIA],reservafixaconsolidadofev[[#This Row],[ATUAL]])</f>
        <v>0</v>
      </c>
      <c r="AC177" s="119" t="n">
        <f aca="false">SUMIFS(tabela_registros[VALOR],tabela_registros[MÊS],$AE$1,tabela_registros[DIA],reservafixaconsolidadofev[[#Headers],[25]],tabela_registros[REGISTRO],DADOS!$N$6,tabela_registros[TIPO],DADOS!$AJ$3,tabela_registros[CATEGORIA],reservafixaconsolidadofev[[#This Row],[ATUAL]])</f>
        <v>0</v>
      </c>
      <c r="AD177" s="119" t="n">
        <f aca="false">SUMIFS(tabela_registros[VALOR],tabela_registros[MÊS],$AE$1,tabela_registros[DIA],reservafixaconsolidadofev[[#Headers],[26]],tabela_registros[REGISTRO],DADOS!$N$6,tabela_registros[TIPO],DADOS!$AJ$3,tabela_registros[CATEGORIA],reservafixaconsolidadofev[[#This Row],[ATUAL]])</f>
        <v>0</v>
      </c>
      <c r="AE177" s="119" t="n">
        <f aca="false">SUMIFS(tabela_registros[VALOR],tabela_registros[MÊS],$AE$1,tabela_registros[DIA],reservafixaconsolidadofev[[#Headers],[27]],tabela_registros[REGISTRO],DADOS!$N$6,tabela_registros[TIPO],DADOS!$AJ$3,tabela_registros[CATEGORIA],reservafixaconsolidadofev[[#This Row],[ATUAL]])</f>
        <v>0</v>
      </c>
      <c r="AF177" s="119" t="n">
        <f aca="false">SUMIFS(tabela_registros[VALOR],tabela_registros[MÊS],$AE$1,tabela_registros[DIA],reservafixaconsolidadofev[[#Headers],[28]],tabela_registros[REGISTRO],DADOS!$N$6,tabela_registros[TIPO],DADOS!$AJ$3,tabela_registros[CATEGORIA],reservafixaconsolidadofev[[#This Row],[ATUAL]])</f>
        <v>0</v>
      </c>
      <c r="AG177" s="119" t="n">
        <f aca="false">SUMIFS(tabela_registros[VALOR],tabela_registros[MÊS],$AE$1,tabela_registros[DIA],reservafixaconsolidadofev[[#Headers],[29]],tabela_registros[REGISTRO],DADOS!$N$6,tabela_registros[TIPO],DADOS!$AJ$3,tabela_registros[CATEGORIA],reservafixaconsolidadofev[[#This Row],[ATUAL]])</f>
        <v>0</v>
      </c>
      <c r="AH177" s="119" t="n">
        <f aca="false">SUMIFS(tabela_registros[VALOR],tabela_registros[MÊS],$AE$1,tabela_registros[DIA],reservafixaconsolidadofev[[#Headers],[30]],tabela_registros[REGISTRO],DADOS!$N$6,tabela_registros[TIPO],DADOS!$AJ$3,tabela_registros[CATEGORIA],reservafixaconsolidadofev[[#This Row],[ATUAL]])</f>
        <v>0</v>
      </c>
      <c r="AI177" s="217" t="n">
        <f aca="false">SUMIFS(tabela_registros[VALOR],tabela_registros[MÊS],$AE$1,tabela_registros[DIA],reservafixaconsolidadofev[[#Headers],[31]],tabela_registros[REGISTRO],DADOS!$N$6,tabela_registros[TIPO],DADOS!$AJ$3,tabela_registros[CATEGORIA],reservafixaconsolidadofev[[#This Row],[ATUAL]])</f>
        <v>0</v>
      </c>
      <c r="AJ177" s="149" t="n">
        <f aca="false">SUM(reservafixaconsolidadofev[[#This Row],[1]:[31]])</f>
        <v>0</v>
      </c>
      <c r="AK177" s="165"/>
    </row>
    <row r="178" s="122" customFormat="true" ht="21" hidden="false" customHeight="true" outlineLevel="0" collapsed="false">
      <c r="B178" s="152"/>
      <c r="C178" s="153" t="s">
        <v>2</v>
      </c>
      <c r="D178" s="166"/>
      <c r="E178" s="155" t="n">
        <f aca="false">SUM(E168:E177)</f>
        <v>0</v>
      </c>
      <c r="F178" s="156" t="n">
        <f aca="false">SUM(F168:F177)+reservafixaconsolidadofev[[#This Row],[1]]</f>
        <v>0</v>
      </c>
      <c r="G178" s="156" t="n">
        <f aca="false">SUM(G168:G177)+reservafixaconsolidadofev[[#This Row],[2]]</f>
        <v>0</v>
      </c>
      <c r="H178" s="156" t="n">
        <f aca="false">SUM(H168:H177)+reservafixaconsolidadofev[[#This Row],[3]]</f>
        <v>0</v>
      </c>
      <c r="I178" s="156" t="n">
        <f aca="false">SUM(I168:I177)+reservafixaconsolidadofev[[#This Row],[4]]</f>
        <v>0</v>
      </c>
      <c r="J178" s="156" t="n">
        <f aca="false">SUM(J168:J177)+reservafixaconsolidadofev[[#This Row],[5]]</f>
        <v>0</v>
      </c>
      <c r="K178" s="156" t="n">
        <f aca="false">SUM(K168:K177)+reservafixaconsolidadofev[[#This Row],[6]]</f>
        <v>0</v>
      </c>
      <c r="L178" s="156" t="n">
        <f aca="false">SUM(L168:L177)+reservafixaconsolidadofev[[#This Row],[7]]</f>
        <v>0</v>
      </c>
      <c r="M178" s="156" t="n">
        <f aca="false">SUM(M168:M177)+reservafixaconsolidadofev[[#This Row],[8]]</f>
        <v>0</v>
      </c>
      <c r="N178" s="156" t="n">
        <f aca="false">SUM(N168:N177)+reservafixaconsolidadofev[[#This Row],[9]]</f>
        <v>0</v>
      </c>
      <c r="O178" s="156" t="n">
        <f aca="false">SUM(O168:O177)+reservafixaconsolidadofev[[#This Row],[10]]</f>
        <v>0</v>
      </c>
      <c r="P178" s="156" t="n">
        <f aca="false">SUM(P168:P177)+reservafixaconsolidadofev[[#This Row],[11]]</f>
        <v>0</v>
      </c>
      <c r="Q178" s="156" t="n">
        <f aca="false">SUM(Q168:Q177)+reservafixaconsolidadofev[[#This Row],[12]]</f>
        <v>0</v>
      </c>
      <c r="R178" s="156" t="n">
        <f aca="false">SUM(R168:R177)+reservafixaconsolidadofev[[#This Row],[13]]</f>
        <v>0</v>
      </c>
      <c r="S178" s="156" t="n">
        <f aca="false">SUM(S168:S177)+reservafixaconsolidadofev[[#This Row],[14]]</f>
        <v>0</v>
      </c>
      <c r="T178" s="156" t="n">
        <f aca="false">SUM(T168:T177)+reservafixaconsolidadofev[[#This Row],[15]]</f>
        <v>0</v>
      </c>
      <c r="U178" s="156" t="n">
        <f aca="false">SUM(U168:U177)+reservafixaconsolidadofev[[#This Row],[16]]</f>
        <v>0</v>
      </c>
      <c r="V178" s="156" t="n">
        <f aca="false">SUM(V168:V177)+reservafixaconsolidadofev[[#This Row],[17]]</f>
        <v>0</v>
      </c>
      <c r="W178" s="156" t="n">
        <f aca="false">SUM(W168:W177)+reservafixaconsolidadofev[[#This Row],[18]]</f>
        <v>0</v>
      </c>
      <c r="X178" s="156" t="n">
        <f aca="false">SUM(X168:X177)+reservafixaconsolidadofev[[#This Row],[19]]</f>
        <v>0</v>
      </c>
      <c r="Y178" s="156" t="n">
        <f aca="false">SUM(Y168:Y177)+reservafixaconsolidadofev[[#This Row],[20]]</f>
        <v>0</v>
      </c>
      <c r="Z178" s="156" t="n">
        <f aca="false">SUM(Z168:Z177)+reservafixaconsolidadofev[[#This Row],[21]]</f>
        <v>0</v>
      </c>
      <c r="AA178" s="156" t="n">
        <f aca="false">SUM(AA168:AA177)+reservafixaconsolidadofev[[#This Row],[22]]</f>
        <v>0</v>
      </c>
      <c r="AB178" s="156" t="n">
        <f aca="false">SUM(AB168:AB177)+reservafixaconsolidadofev[[#This Row],[23]]</f>
        <v>0</v>
      </c>
      <c r="AC178" s="156" t="n">
        <f aca="false">SUM(AC168:AC177)+reservafixaconsolidadofev[[#This Row],[24]]</f>
        <v>0</v>
      </c>
      <c r="AD178" s="156" t="n">
        <f aca="false">SUM(AD168:AD177)+reservafixaconsolidadofev[[#This Row],[25]]</f>
        <v>0</v>
      </c>
      <c r="AE178" s="156" t="n">
        <f aca="false">SUM(AE168:AE177)+reservafixaconsolidadofev[[#This Row],[26]]</f>
        <v>0</v>
      </c>
      <c r="AF178" s="156" t="n">
        <f aca="false">SUM(AF168:AF177)+reservafixaconsolidadofev[[#This Row],[27]]</f>
        <v>0</v>
      </c>
      <c r="AG178" s="156" t="n">
        <f aca="false">SUM(AG168:AG177)+reservafixaconsolidadofev[[#This Row],[28]]</f>
        <v>0</v>
      </c>
      <c r="AH178" s="156" t="n">
        <f aca="false">SUM(AH168:AH177)+reservafixaconsolidadofev[[#This Row],[29]]</f>
        <v>0</v>
      </c>
      <c r="AI178" s="223" t="n">
        <f aca="false">SUM(AI168:AI177)+reservafixaconsolidadofev[[#This Row],[30]]</f>
        <v>0</v>
      </c>
      <c r="AJ178" s="157" t="n">
        <f aca="false">reservafixaconsolidadofev[[#This Row],[31]]</f>
        <v>0</v>
      </c>
      <c r="AK178" s="158"/>
    </row>
    <row r="179" customFormat="false" ht="6.75" hidden="false" customHeight="true" outlineLevel="0" collapsed="false">
      <c r="B179" s="97"/>
      <c r="C179" s="162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233"/>
      <c r="AJ179" s="164"/>
      <c r="AK179" s="244"/>
    </row>
    <row r="180" s="78" customFormat="true" ht="12.75" hidden="false" customHeight="false" outlineLevel="0" collapsed="false">
      <c r="E180" s="100"/>
    </row>
    <row r="181" s="78" customFormat="true" ht="12" hidden="false" customHeight="false" outlineLevel="0" collapsed="false"/>
    <row r="182" s="78" customFormat="true" ht="12" hidden="false" customHeight="false" outlineLevel="0" collapsed="false"/>
    <row r="183" customFormat="false" ht="39.75" hidden="false" customHeight="true" outlineLevel="0" collapsed="false">
      <c r="C183" s="101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3" t="s">
        <v>2</v>
      </c>
    </row>
    <row r="184" s="78" customFormat="true" ht="12.75" hidden="false" customHeight="false" outlineLevel="0" collapsed="false">
      <c r="B184" s="161"/>
      <c r="AJ184" s="106" t="s">
        <v>64</v>
      </c>
    </row>
    <row r="185" customFormat="false" ht="6.75" hidden="false" customHeight="true" outlineLevel="0" collapsed="false">
      <c r="B185" s="86"/>
      <c r="C185" s="162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233"/>
      <c r="AK185" s="139"/>
    </row>
    <row r="186" customFormat="false" ht="13.5" hidden="true" customHeight="false" outlineLevel="0" collapsed="false">
      <c r="B186" s="86"/>
      <c r="C186" s="109" t="s">
        <v>68</v>
      </c>
      <c r="D186" s="110" t="s">
        <v>69</v>
      </c>
      <c r="E186" s="110" t="s">
        <v>30</v>
      </c>
      <c r="F186" s="110" t="s">
        <v>31</v>
      </c>
      <c r="G186" s="110" t="s">
        <v>32</v>
      </c>
      <c r="H186" s="110" t="s">
        <v>33</v>
      </c>
      <c r="I186" s="110" t="s">
        <v>34</v>
      </c>
      <c r="J186" s="110" t="s">
        <v>35</v>
      </c>
      <c r="K186" s="110" t="s">
        <v>36</v>
      </c>
      <c r="L186" s="110" t="s">
        <v>37</v>
      </c>
      <c r="M186" s="110" t="s">
        <v>38</v>
      </c>
      <c r="N186" s="110" t="s">
        <v>39</v>
      </c>
      <c r="O186" s="110" t="s">
        <v>40</v>
      </c>
      <c r="P186" s="110" t="s">
        <v>41</v>
      </c>
      <c r="Q186" s="110" t="s">
        <v>81</v>
      </c>
      <c r="R186" s="110" t="s">
        <v>82</v>
      </c>
      <c r="S186" s="110" t="s">
        <v>83</v>
      </c>
      <c r="T186" s="110" t="s">
        <v>84</v>
      </c>
      <c r="U186" s="110" t="s">
        <v>85</v>
      </c>
      <c r="V186" s="110" t="s">
        <v>86</v>
      </c>
      <c r="W186" s="110" t="s">
        <v>87</v>
      </c>
      <c r="X186" s="110" t="s">
        <v>88</v>
      </c>
      <c r="Y186" s="110" t="s">
        <v>89</v>
      </c>
      <c r="Z186" s="110" t="s">
        <v>90</v>
      </c>
      <c r="AA186" s="110" t="s">
        <v>91</v>
      </c>
      <c r="AB186" s="110" t="s">
        <v>92</v>
      </c>
      <c r="AC186" s="110" t="s">
        <v>93</v>
      </c>
      <c r="AD186" s="110" t="s">
        <v>94</v>
      </c>
      <c r="AE186" s="110" t="s">
        <v>95</v>
      </c>
      <c r="AF186" s="110" t="s">
        <v>96</v>
      </c>
      <c r="AG186" s="110" t="s">
        <v>97</v>
      </c>
      <c r="AH186" s="110" t="s">
        <v>98</v>
      </c>
      <c r="AI186" s="110" t="s">
        <v>99</v>
      </c>
      <c r="AJ186" s="111" t="s">
        <v>70</v>
      </c>
      <c r="AK186" s="86"/>
    </row>
    <row r="187" customFormat="false" ht="19.5" hidden="false" customHeight="true" outlineLevel="0" collapsed="false">
      <c r="B187" s="143"/>
      <c r="C187" s="144" t="str">
        <f aca="false">DADOS!$AN$3</f>
        <v>📝 AÇÃO</v>
      </c>
      <c r="D187" s="145" t="str">
        <f aca="false">IF(reservavariáveisconsolidadofev[[#This Row],[TOTAL (R$)]]=0,"",IF(OR(reservavariáveisconsolidadofev[[#This Row],[TOTAL (R$)]]=LARGE($AJ$187:$AJ$196,1),reservavariáveisconsolidadofev[[#This Row],[TOTAL (R$)]]=LARGE($AJ$187:$AJ$196,2)),DADOS!$I$11,""))</f>
        <v/>
      </c>
      <c r="E187" s="148" t="n">
        <f aca="false">SUMIFS(tabela_registros[VALOR],tabela_registros[MÊS],$AE$1,tabela_registros[DIA],reservavariáveisconsolidadofev[[#Headers],[1]],tabela_registros[REGISTRO],DADOS!$N$6,tabela_registros[TIPO],DADOS!$AJ$4,tabela_registros[CATEGORIA],reservavariáveisconsolidadofev[[#This Row],[ATUAL]])</f>
        <v>0</v>
      </c>
      <c r="F187" s="119" t="n">
        <f aca="false">SUMIFS(tabela_registros[VALOR],tabela_registros[MÊS],$AE$1,tabela_registros[DIA],reservavariáveisconsolidadofev[[#Headers],[2]],tabela_registros[REGISTRO],DADOS!$N$6,tabela_registros[TIPO],DADOS!$AJ$4,tabela_registros[CATEGORIA],reservavariáveisconsolidadofev[[#This Row],[ATUAL]])</f>
        <v>0</v>
      </c>
      <c r="G187" s="119" t="n">
        <f aca="false">SUMIFS(tabela_registros[VALOR],tabela_registros[MÊS],$AE$1,tabela_registros[DIA],reservavariáveisconsolidadofev[[#Headers],[3]],tabela_registros[REGISTRO],DADOS!$N$6,tabela_registros[TIPO],DADOS!$AJ$4,tabela_registros[CATEGORIA],reservavariáveisconsolidadofev[[#This Row],[ATUAL]])</f>
        <v>0</v>
      </c>
      <c r="H187" s="119" t="n">
        <f aca="false">SUMIFS(tabela_registros[VALOR],tabela_registros[MÊS],$AE$1,tabela_registros[DIA],reservavariáveisconsolidadofev[[#Headers],[4]],tabela_registros[REGISTRO],DADOS!$N$6,tabela_registros[TIPO],DADOS!$AJ$4,tabela_registros[CATEGORIA],reservavariáveisconsolidadofev[[#This Row],[ATUAL]])</f>
        <v>0</v>
      </c>
      <c r="I187" s="119" t="n">
        <f aca="false">SUMIFS(tabela_registros[VALOR],tabela_registros[MÊS],$AE$1,tabela_registros[DIA],reservavariáveisconsolidadofev[[#Headers],[5]],tabela_registros[REGISTRO],DADOS!$N$6,tabela_registros[TIPO],DADOS!$AJ$4,tabela_registros[CATEGORIA],reservavariáveisconsolidadofev[[#This Row],[ATUAL]])</f>
        <v>0</v>
      </c>
      <c r="J187" s="119" t="n">
        <f aca="false">SUMIFS(tabela_registros[VALOR],tabela_registros[MÊS],$AE$1,tabela_registros[DIA],reservavariáveisconsolidadofev[[#Headers],[6]],tabela_registros[REGISTRO],DADOS!$N$6,tabela_registros[TIPO],DADOS!$AJ$4,tabela_registros[CATEGORIA],reservavariáveisconsolidadofev[[#This Row],[ATUAL]])</f>
        <v>0</v>
      </c>
      <c r="K187" s="119" t="n">
        <f aca="false">SUMIFS(tabela_registros[VALOR],tabela_registros[MÊS],$AE$1,tabela_registros[DIA],reservavariáveisconsolidadofev[[#Headers],[7]],tabela_registros[REGISTRO],DADOS!$N$6,tabela_registros[TIPO],DADOS!$AJ$4,tabela_registros[CATEGORIA],reservavariáveisconsolidadofev[[#This Row],[ATUAL]])</f>
        <v>0</v>
      </c>
      <c r="L187" s="119" t="n">
        <f aca="false">SUMIFS(tabela_registros[VALOR],tabela_registros[MÊS],$AE$1,tabela_registros[DIA],reservavariáveisconsolidadofev[[#Headers],[8]],tabela_registros[REGISTRO],DADOS!$N$6,tabela_registros[TIPO],DADOS!$AJ$4,tabela_registros[CATEGORIA],reservavariáveisconsolidadofev[[#This Row],[ATUAL]])</f>
        <v>0</v>
      </c>
      <c r="M187" s="119" t="n">
        <f aca="false">SUMIFS(tabela_registros[VALOR],tabela_registros[MÊS],$AE$1,tabela_registros[DIA],reservavariáveisconsolidadofev[[#Headers],[9]],tabela_registros[REGISTRO],DADOS!$N$6,tabela_registros[TIPO],DADOS!$AJ$4,tabela_registros[CATEGORIA],reservavariáveisconsolidadofev[[#This Row],[ATUAL]])</f>
        <v>0</v>
      </c>
      <c r="N187" s="119" t="n">
        <f aca="false">SUMIFS(tabela_registros[VALOR],tabela_registros[MÊS],$AE$1,tabela_registros[DIA],reservavariáveisconsolidadofev[[#Headers],[10]],tabela_registros[REGISTRO],DADOS!$N$6,tabela_registros[TIPO],DADOS!$AJ$4,tabela_registros[CATEGORIA],reservavariáveisconsolidadofev[[#This Row],[ATUAL]])</f>
        <v>0</v>
      </c>
      <c r="O187" s="119" t="n">
        <f aca="false">SUMIFS(tabela_registros[VALOR],tabela_registros[MÊS],$AE$1,tabela_registros[DIA],reservavariáveisconsolidadofev[[#Headers],[11]],tabela_registros[REGISTRO],DADOS!$N$6,tabela_registros[TIPO],DADOS!$AJ$4,tabela_registros[CATEGORIA],reservavariáveisconsolidadofev[[#This Row],[ATUAL]])</f>
        <v>0</v>
      </c>
      <c r="P187" s="119" t="n">
        <f aca="false">SUMIFS(tabela_registros[VALOR],tabela_registros[MÊS],$AE$1,tabela_registros[DIA],reservavariáveisconsolidadofev[[#Headers],[12]],tabela_registros[REGISTRO],DADOS!$N$6,tabela_registros[TIPO],DADOS!$AJ$4,tabela_registros[CATEGORIA],reservavariáveisconsolidadofev[[#This Row],[ATUAL]])</f>
        <v>0</v>
      </c>
      <c r="Q187" s="119" t="n">
        <f aca="false">SUMIFS(tabela_registros[VALOR],tabela_registros[MÊS],$AE$1,tabela_registros[DIA],reservavariáveisconsolidadofev[[#Headers],[13]],tabela_registros[REGISTRO],DADOS!$N$6,tabela_registros[TIPO],DADOS!$AJ$4,tabela_registros[CATEGORIA],reservavariáveisconsolidadofev[[#This Row],[ATUAL]])</f>
        <v>0</v>
      </c>
      <c r="R187" s="119" t="n">
        <f aca="false">SUMIFS(tabela_registros[VALOR],tabela_registros[MÊS],$AE$1,tabela_registros[DIA],reservavariáveisconsolidadofev[[#Headers],[14]],tabela_registros[REGISTRO],DADOS!$N$6,tabela_registros[TIPO],DADOS!$AJ$4,tabela_registros[CATEGORIA],reservavariáveisconsolidadofev[[#This Row],[ATUAL]])</f>
        <v>0</v>
      </c>
      <c r="S187" s="119" t="n">
        <f aca="false">SUMIFS(tabela_registros[VALOR],tabela_registros[MÊS],$AE$1,tabela_registros[DIA],reservavariáveisconsolidadofev[[#Headers],[15]],tabela_registros[REGISTRO],DADOS!$N$6,tabela_registros[TIPO],DADOS!$AJ$4,tabela_registros[CATEGORIA],reservavariáveisconsolidadofev[[#This Row],[ATUAL]])</f>
        <v>0</v>
      </c>
      <c r="T187" s="119" t="n">
        <f aca="false">SUMIFS(tabela_registros[VALOR],tabela_registros[MÊS],$AE$1,tabela_registros[DIA],reservavariáveisconsolidadofev[[#Headers],[16]],tabela_registros[REGISTRO],DADOS!$N$6,tabela_registros[TIPO],DADOS!$AJ$4,tabela_registros[CATEGORIA],reservavariáveisconsolidadofev[[#This Row],[ATUAL]])</f>
        <v>0</v>
      </c>
      <c r="U187" s="119" t="n">
        <f aca="false">SUMIFS(tabela_registros[VALOR],tabela_registros[MÊS],$AE$1,tabela_registros[DIA],reservavariáveisconsolidadofev[[#Headers],[17]],tabela_registros[REGISTRO],DADOS!$N$6,tabela_registros[TIPO],DADOS!$AJ$4,tabela_registros[CATEGORIA],reservavariáveisconsolidadofev[[#This Row],[ATUAL]])</f>
        <v>0</v>
      </c>
      <c r="V187" s="119" t="n">
        <f aca="false">SUMIFS(tabela_registros[VALOR],tabela_registros[MÊS],$AE$1,tabela_registros[DIA],reservavariáveisconsolidadofev[[#Headers],[18]],tabela_registros[REGISTRO],DADOS!$N$6,tabela_registros[TIPO],DADOS!$AJ$4,tabela_registros[CATEGORIA],reservavariáveisconsolidadofev[[#This Row],[ATUAL]])</f>
        <v>0</v>
      </c>
      <c r="W187" s="119" t="n">
        <f aca="false">SUMIFS(tabela_registros[VALOR],tabela_registros[MÊS],$AE$1,tabela_registros[DIA],reservavariáveisconsolidadofev[[#Headers],[19]],tabela_registros[REGISTRO],DADOS!$N$6,tabela_registros[TIPO],DADOS!$AJ$4,tabela_registros[CATEGORIA],reservavariáveisconsolidadofev[[#This Row],[ATUAL]])</f>
        <v>0</v>
      </c>
      <c r="X187" s="119" t="n">
        <f aca="false">SUMIFS(tabela_registros[VALOR],tabela_registros[MÊS],$AE$1,tabela_registros[DIA],reservavariáveisconsolidadofev[[#Headers],[20]],tabela_registros[REGISTRO],DADOS!$N$6,tabela_registros[TIPO],DADOS!$AJ$4,tabela_registros[CATEGORIA],reservavariáveisconsolidadofev[[#This Row],[ATUAL]])</f>
        <v>0</v>
      </c>
      <c r="Y187" s="119" t="n">
        <f aca="false">SUMIFS(tabela_registros[VALOR],tabela_registros[MÊS],$AE$1,tabela_registros[DIA],reservavariáveisconsolidadofev[[#Headers],[21]],tabela_registros[REGISTRO],DADOS!$N$6,tabela_registros[TIPO],DADOS!$AJ$4,tabela_registros[CATEGORIA],reservavariáveisconsolidadofev[[#This Row],[ATUAL]])</f>
        <v>0</v>
      </c>
      <c r="Z187" s="119" t="n">
        <f aca="false">SUMIFS(tabela_registros[VALOR],tabela_registros[MÊS],$AE$1,tabela_registros[DIA],reservavariáveisconsolidadofev[[#Headers],[22]],tabela_registros[REGISTRO],DADOS!$N$6,tabela_registros[TIPO],DADOS!$AJ$4,tabela_registros[CATEGORIA],reservavariáveisconsolidadofev[[#This Row],[ATUAL]])</f>
        <v>0</v>
      </c>
      <c r="AA187" s="119" t="n">
        <f aca="false">SUMIFS(tabela_registros[VALOR],tabela_registros[MÊS],$AE$1,tabela_registros[DIA],reservavariáveisconsolidadofev[[#Headers],[23]],tabela_registros[REGISTRO],DADOS!$N$6,tabela_registros[TIPO],DADOS!$AJ$4,tabela_registros[CATEGORIA],reservavariáveisconsolidadofev[[#This Row],[ATUAL]])</f>
        <v>0</v>
      </c>
      <c r="AB187" s="119" t="n">
        <f aca="false">SUMIFS(tabela_registros[VALOR],tabela_registros[MÊS],$AE$1,tabela_registros[DIA],reservavariáveisconsolidadofev[[#Headers],[24]],tabela_registros[REGISTRO],DADOS!$N$6,tabela_registros[TIPO],DADOS!$AJ$4,tabela_registros[CATEGORIA],reservavariáveisconsolidadofev[[#This Row],[ATUAL]])</f>
        <v>0</v>
      </c>
      <c r="AC187" s="119" t="n">
        <f aca="false">SUMIFS(tabela_registros[VALOR],tabela_registros[MÊS],$AE$1,tabela_registros[DIA],reservavariáveisconsolidadofev[[#Headers],[25]],tabela_registros[REGISTRO],DADOS!$N$6,tabela_registros[TIPO],DADOS!$AJ$4,tabela_registros[CATEGORIA],reservavariáveisconsolidadofev[[#This Row],[ATUAL]])</f>
        <v>0</v>
      </c>
      <c r="AD187" s="119" t="n">
        <f aca="false">SUMIFS(tabela_registros[VALOR],tabela_registros[MÊS],$AE$1,tabela_registros[DIA],reservavariáveisconsolidadofev[[#Headers],[26]],tabela_registros[REGISTRO],DADOS!$N$6,tabela_registros[TIPO],DADOS!$AJ$4,tabela_registros[CATEGORIA],reservavariáveisconsolidadofev[[#This Row],[ATUAL]])</f>
        <v>0</v>
      </c>
      <c r="AE187" s="119" t="n">
        <f aca="false">SUMIFS(tabela_registros[VALOR],tabela_registros[MÊS],$AE$1,tabela_registros[DIA],reservavariáveisconsolidadofev[[#Headers],[27]],tabela_registros[REGISTRO],DADOS!$N$6,tabela_registros[TIPO],DADOS!$AJ$4,tabela_registros[CATEGORIA],reservavariáveisconsolidadofev[[#This Row],[ATUAL]])</f>
        <v>0</v>
      </c>
      <c r="AF187" s="119" t="n">
        <f aca="false">SUMIFS(tabela_registros[VALOR],tabela_registros[MÊS],$AE$1,tabela_registros[DIA],reservavariáveisconsolidadofev[[#Headers],[28]],tabela_registros[REGISTRO],DADOS!$N$6,tabela_registros[TIPO],DADOS!$AJ$4,tabela_registros[CATEGORIA],reservavariáveisconsolidadofev[[#This Row],[ATUAL]])</f>
        <v>0</v>
      </c>
      <c r="AG187" s="119" t="n">
        <f aca="false">SUMIFS(tabela_registros[VALOR],tabela_registros[MÊS],$AE$1,tabela_registros[DIA],reservavariáveisconsolidadofev[[#Headers],[29]],tabela_registros[REGISTRO],DADOS!$N$6,tabela_registros[TIPO],DADOS!$AJ$4,tabela_registros[CATEGORIA],reservavariáveisconsolidadofev[[#This Row],[ATUAL]])</f>
        <v>0</v>
      </c>
      <c r="AH187" s="119" t="n">
        <f aca="false">SUMIFS(tabela_registros[VALOR],tabela_registros[MÊS],$AE$1,tabela_registros[DIA],reservavariáveisconsolidadofev[[#Headers],[30]],tabela_registros[REGISTRO],DADOS!$N$6,tabela_registros[TIPO],DADOS!$AJ$4,tabela_registros[CATEGORIA],reservavariáveisconsolidadofev[[#This Row],[ATUAL]])</f>
        <v>0</v>
      </c>
      <c r="AI187" s="217" t="n">
        <f aca="false">SUMIFS(tabela_registros[VALOR],tabela_registros[MÊS],$AE$1,tabela_registros[DIA],reservavariáveisconsolidadofev[[#Headers],[31]],tabela_registros[REGISTRO],DADOS!$N$6,tabela_registros[TIPO],DADOS!$AJ$4,tabela_registros[CATEGORIA],reservavariáveisconsolidadofev[[#This Row],[ATUAL]])</f>
        <v>0</v>
      </c>
      <c r="AJ187" s="149" t="n">
        <f aca="false">SUM(reservavariáveisconsolidadofev[[#This Row],[1]:[31]])</f>
        <v>0</v>
      </c>
      <c r="AK187" s="165"/>
    </row>
    <row r="188" customFormat="false" ht="19.5" hidden="false" customHeight="true" outlineLevel="0" collapsed="false">
      <c r="B188" s="143"/>
      <c r="C188" s="144" t="str">
        <f aca="false">DADOS!$AN$4</f>
        <v>📝 COMÓDITE</v>
      </c>
      <c r="D188" s="145" t="str">
        <f aca="false">IF(reservavariáveisconsolidadofev[[#This Row],[TOTAL (R$)]]=0,"",IF(OR(reservavariáveisconsolidadofev[[#This Row],[TOTAL (R$)]]=LARGE($AJ$187:$AJ$196,1),reservavariáveisconsolidadofev[[#This Row],[TOTAL (R$)]]=LARGE($AJ$187:$AJ$196,2)),DADOS!$I$11,""))</f>
        <v/>
      </c>
      <c r="E188" s="148" t="n">
        <f aca="false">SUMIFS(tabela_registros[VALOR],tabela_registros[MÊS],$AE$1,tabela_registros[DIA],reservavariáveisconsolidadofev[[#Headers],[1]],tabela_registros[REGISTRO],DADOS!$N$6,tabela_registros[TIPO],DADOS!$AJ$4,tabela_registros[CATEGORIA],reservavariáveisconsolidadofev[[#This Row],[ATUAL]])</f>
        <v>0</v>
      </c>
      <c r="F188" s="119" t="n">
        <f aca="false">SUMIFS(tabela_registros[VALOR],tabela_registros[MÊS],$AE$1,tabela_registros[DIA],reservavariáveisconsolidadofev[[#Headers],[2]],tabela_registros[REGISTRO],DADOS!$N$6,tabela_registros[TIPO],DADOS!$AJ$4,tabela_registros[CATEGORIA],reservavariáveisconsolidadofev[[#This Row],[ATUAL]])</f>
        <v>0</v>
      </c>
      <c r="G188" s="119" t="n">
        <f aca="false">SUMIFS(tabela_registros[VALOR],tabela_registros[MÊS],$AE$1,tabela_registros[DIA],reservavariáveisconsolidadofev[[#Headers],[3]],tabela_registros[REGISTRO],DADOS!$N$6,tabela_registros[TIPO],DADOS!$AJ$4,tabela_registros[CATEGORIA],reservavariáveisconsolidadofev[[#This Row],[ATUAL]])</f>
        <v>0</v>
      </c>
      <c r="H188" s="119" t="n">
        <f aca="false">SUMIFS(tabela_registros[VALOR],tabela_registros[MÊS],$AE$1,tabela_registros[DIA],reservavariáveisconsolidadofev[[#Headers],[4]],tabela_registros[REGISTRO],DADOS!$N$6,tabela_registros[TIPO],DADOS!$AJ$4,tabela_registros[CATEGORIA],reservavariáveisconsolidadofev[[#This Row],[ATUAL]])</f>
        <v>0</v>
      </c>
      <c r="I188" s="119" t="n">
        <f aca="false">SUMIFS(tabela_registros[VALOR],tabela_registros[MÊS],$AE$1,tabela_registros[DIA],reservavariáveisconsolidadofev[[#Headers],[5]],tabela_registros[REGISTRO],DADOS!$N$6,tabela_registros[TIPO],DADOS!$AJ$4,tabela_registros[CATEGORIA],reservavariáveisconsolidadofev[[#This Row],[ATUAL]])</f>
        <v>0</v>
      </c>
      <c r="J188" s="119" t="n">
        <f aca="false">SUMIFS(tabela_registros[VALOR],tabela_registros[MÊS],$AE$1,tabela_registros[DIA],reservavariáveisconsolidadofev[[#Headers],[6]],tabela_registros[REGISTRO],DADOS!$N$6,tabela_registros[TIPO],DADOS!$AJ$4,tabela_registros[CATEGORIA],reservavariáveisconsolidadofev[[#This Row],[ATUAL]])</f>
        <v>0</v>
      </c>
      <c r="K188" s="119" t="n">
        <f aca="false">SUMIFS(tabela_registros[VALOR],tabela_registros[MÊS],$AE$1,tabela_registros[DIA],reservavariáveisconsolidadofev[[#Headers],[7]],tabela_registros[REGISTRO],DADOS!$N$6,tabela_registros[TIPO],DADOS!$AJ$4,tabela_registros[CATEGORIA],reservavariáveisconsolidadofev[[#This Row],[ATUAL]])</f>
        <v>0</v>
      </c>
      <c r="L188" s="119" t="n">
        <f aca="false">SUMIFS(tabela_registros[VALOR],tabela_registros[MÊS],$AE$1,tabela_registros[DIA],reservavariáveisconsolidadofev[[#Headers],[8]],tabela_registros[REGISTRO],DADOS!$N$6,tabela_registros[TIPO],DADOS!$AJ$4,tabela_registros[CATEGORIA],reservavariáveisconsolidadofev[[#This Row],[ATUAL]])</f>
        <v>0</v>
      </c>
      <c r="M188" s="119" t="n">
        <f aca="false">SUMIFS(tabela_registros[VALOR],tabela_registros[MÊS],$AE$1,tabela_registros[DIA],reservavariáveisconsolidadofev[[#Headers],[9]],tabela_registros[REGISTRO],DADOS!$N$6,tabela_registros[TIPO],DADOS!$AJ$4,tabela_registros[CATEGORIA],reservavariáveisconsolidadofev[[#This Row],[ATUAL]])</f>
        <v>0</v>
      </c>
      <c r="N188" s="119" t="n">
        <f aca="false">SUMIFS(tabela_registros[VALOR],tabela_registros[MÊS],$AE$1,tabela_registros[DIA],reservavariáveisconsolidadofev[[#Headers],[10]],tabela_registros[REGISTRO],DADOS!$N$6,tabela_registros[TIPO],DADOS!$AJ$4,tabela_registros[CATEGORIA],reservavariáveisconsolidadofev[[#This Row],[ATUAL]])</f>
        <v>0</v>
      </c>
      <c r="O188" s="119" t="n">
        <f aca="false">SUMIFS(tabela_registros[VALOR],tabela_registros[MÊS],$AE$1,tabela_registros[DIA],reservavariáveisconsolidadofev[[#Headers],[11]],tabela_registros[REGISTRO],DADOS!$N$6,tabela_registros[TIPO],DADOS!$AJ$4,tabela_registros[CATEGORIA],reservavariáveisconsolidadofev[[#This Row],[ATUAL]])</f>
        <v>0</v>
      </c>
      <c r="P188" s="119" t="n">
        <f aca="false">SUMIFS(tabela_registros[VALOR],tabela_registros[MÊS],$AE$1,tabela_registros[DIA],reservavariáveisconsolidadofev[[#Headers],[12]],tabela_registros[REGISTRO],DADOS!$N$6,tabela_registros[TIPO],DADOS!$AJ$4,tabela_registros[CATEGORIA],reservavariáveisconsolidadofev[[#This Row],[ATUAL]])</f>
        <v>0</v>
      </c>
      <c r="Q188" s="119" t="n">
        <f aca="false">SUMIFS(tabela_registros[VALOR],tabela_registros[MÊS],$AE$1,tabela_registros[DIA],reservavariáveisconsolidadofev[[#Headers],[13]],tabela_registros[REGISTRO],DADOS!$N$6,tabela_registros[TIPO],DADOS!$AJ$4,tabela_registros[CATEGORIA],reservavariáveisconsolidadofev[[#This Row],[ATUAL]])</f>
        <v>0</v>
      </c>
      <c r="R188" s="119" t="n">
        <f aca="false">SUMIFS(tabela_registros[VALOR],tabela_registros[MÊS],$AE$1,tabela_registros[DIA],reservavariáveisconsolidadofev[[#Headers],[14]],tabela_registros[REGISTRO],DADOS!$N$6,tabela_registros[TIPO],DADOS!$AJ$4,tabela_registros[CATEGORIA],reservavariáveisconsolidadofev[[#This Row],[ATUAL]])</f>
        <v>0</v>
      </c>
      <c r="S188" s="119" t="n">
        <f aca="false">SUMIFS(tabela_registros[VALOR],tabela_registros[MÊS],$AE$1,tabela_registros[DIA],reservavariáveisconsolidadofev[[#Headers],[15]],tabela_registros[REGISTRO],DADOS!$N$6,tabela_registros[TIPO],DADOS!$AJ$4,tabela_registros[CATEGORIA],reservavariáveisconsolidadofev[[#This Row],[ATUAL]])</f>
        <v>0</v>
      </c>
      <c r="T188" s="119" t="n">
        <f aca="false">SUMIFS(tabela_registros[VALOR],tabela_registros[MÊS],$AE$1,tabela_registros[DIA],reservavariáveisconsolidadofev[[#Headers],[16]],tabela_registros[REGISTRO],DADOS!$N$6,tabela_registros[TIPO],DADOS!$AJ$4,tabela_registros[CATEGORIA],reservavariáveisconsolidadofev[[#This Row],[ATUAL]])</f>
        <v>0</v>
      </c>
      <c r="U188" s="119" t="n">
        <f aca="false">SUMIFS(tabela_registros[VALOR],tabela_registros[MÊS],$AE$1,tabela_registros[DIA],reservavariáveisconsolidadofev[[#Headers],[17]],tabela_registros[REGISTRO],DADOS!$N$6,tabela_registros[TIPO],DADOS!$AJ$4,tabela_registros[CATEGORIA],reservavariáveisconsolidadofev[[#This Row],[ATUAL]])</f>
        <v>0</v>
      </c>
      <c r="V188" s="119" t="n">
        <f aca="false">SUMIFS(tabela_registros[VALOR],tabela_registros[MÊS],$AE$1,tabela_registros[DIA],reservavariáveisconsolidadofev[[#Headers],[18]],tabela_registros[REGISTRO],DADOS!$N$6,tabela_registros[TIPO],DADOS!$AJ$4,tabela_registros[CATEGORIA],reservavariáveisconsolidadofev[[#This Row],[ATUAL]])</f>
        <v>0</v>
      </c>
      <c r="W188" s="119" t="n">
        <f aca="false">SUMIFS(tabela_registros[VALOR],tabela_registros[MÊS],$AE$1,tabela_registros[DIA],reservavariáveisconsolidadofev[[#Headers],[19]],tabela_registros[REGISTRO],DADOS!$N$6,tabela_registros[TIPO],DADOS!$AJ$4,tabela_registros[CATEGORIA],reservavariáveisconsolidadofev[[#This Row],[ATUAL]])</f>
        <v>0</v>
      </c>
      <c r="X188" s="119" t="n">
        <f aca="false">SUMIFS(tabela_registros[VALOR],tabela_registros[MÊS],$AE$1,tabela_registros[DIA],reservavariáveisconsolidadofev[[#Headers],[20]],tabela_registros[REGISTRO],DADOS!$N$6,tabela_registros[TIPO],DADOS!$AJ$4,tabela_registros[CATEGORIA],reservavariáveisconsolidadofev[[#This Row],[ATUAL]])</f>
        <v>0</v>
      </c>
      <c r="Y188" s="119" t="n">
        <f aca="false">SUMIFS(tabela_registros[VALOR],tabela_registros[MÊS],$AE$1,tabela_registros[DIA],reservavariáveisconsolidadofev[[#Headers],[21]],tabela_registros[REGISTRO],DADOS!$N$6,tabela_registros[TIPO],DADOS!$AJ$4,tabela_registros[CATEGORIA],reservavariáveisconsolidadofev[[#This Row],[ATUAL]])</f>
        <v>0</v>
      </c>
      <c r="Z188" s="119" t="n">
        <f aca="false">SUMIFS(tabela_registros[VALOR],tabela_registros[MÊS],$AE$1,tabela_registros[DIA],reservavariáveisconsolidadofev[[#Headers],[22]],tabela_registros[REGISTRO],DADOS!$N$6,tabela_registros[TIPO],DADOS!$AJ$4,tabela_registros[CATEGORIA],reservavariáveisconsolidadofev[[#This Row],[ATUAL]])</f>
        <v>0</v>
      </c>
      <c r="AA188" s="119" t="n">
        <f aca="false">SUMIFS(tabela_registros[VALOR],tabela_registros[MÊS],$AE$1,tabela_registros[DIA],reservavariáveisconsolidadofev[[#Headers],[23]],tabela_registros[REGISTRO],DADOS!$N$6,tabela_registros[TIPO],DADOS!$AJ$4,tabela_registros[CATEGORIA],reservavariáveisconsolidadofev[[#This Row],[ATUAL]])</f>
        <v>0</v>
      </c>
      <c r="AB188" s="119" t="n">
        <f aca="false">SUMIFS(tabela_registros[VALOR],tabela_registros[MÊS],$AE$1,tabela_registros[DIA],reservavariáveisconsolidadofev[[#Headers],[24]],tabela_registros[REGISTRO],DADOS!$N$6,tabela_registros[TIPO],DADOS!$AJ$4,tabela_registros[CATEGORIA],reservavariáveisconsolidadofev[[#This Row],[ATUAL]])</f>
        <v>0</v>
      </c>
      <c r="AC188" s="119" t="n">
        <f aca="false">SUMIFS(tabela_registros[VALOR],tabela_registros[MÊS],$AE$1,tabela_registros[DIA],reservavariáveisconsolidadofev[[#Headers],[25]],tabela_registros[REGISTRO],DADOS!$N$6,tabela_registros[TIPO],DADOS!$AJ$4,tabela_registros[CATEGORIA],reservavariáveisconsolidadofev[[#This Row],[ATUAL]])</f>
        <v>0</v>
      </c>
      <c r="AD188" s="119" t="n">
        <f aca="false">SUMIFS(tabela_registros[VALOR],tabela_registros[MÊS],$AE$1,tabela_registros[DIA],reservavariáveisconsolidadofev[[#Headers],[26]],tabela_registros[REGISTRO],DADOS!$N$6,tabela_registros[TIPO],DADOS!$AJ$4,tabela_registros[CATEGORIA],reservavariáveisconsolidadofev[[#This Row],[ATUAL]])</f>
        <v>0</v>
      </c>
      <c r="AE188" s="119" t="n">
        <f aca="false">SUMIFS(tabela_registros[VALOR],tabela_registros[MÊS],$AE$1,tabela_registros[DIA],reservavariáveisconsolidadofev[[#Headers],[27]],tabela_registros[REGISTRO],DADOS!$N$6,tabela_registros[TIPO],DADOS!$AJ$4,tabela_registros[CATEGORIA],reservavariáveisconsolidadofev[[#This Row],[ATUAL]])</f>
        <v>0</v>
      </c>
      <c r="AF188" s="119" t="n">
        <f aca="false">SUMIFS(tabela_registros[VALOR],tabela_registros[MÊS],$AE$1,tabela_registros[DIA],reservavariáveisconsolidadofev[[#Headers],[28]],tabela_registros[REGISTRO],DADOS!$N$6,tabela_registros[TIPO],DADOS!$AJ$4,tabela_registros[CATEGORIA],reservavariáveisconsolidadofev[[#This Row],[ATUAL]])</f>
        <v>0</v>
      </c>
      <c r="AG188" s="119" t="n">
        <f aca="false">SUMIFS(tabela_registros[VALOR],tabela_registros[MÊS],$AE$1,tabela_registros[DIA],reservavariáveisconsolidadofev[[#Headers],[29]],tabela_registros[REGISTRO],DADOS!$N$6,tabela_registros[TIPO],DADOS!$AJ$4,tabela_registros[CATEGORIA],reservavariáveisconsolidadofev[[#This Row],[ATUAL]])</f>
        <v>0</v>
      </c>
      <c r="AH188" s="119" t="n">
        <f aca="false">SUMIFS(tabela_registros[VALOR],tabela_registros[MÊS],$AE$1,tabela_registros[DIA],reservavariáveisconsolidadofev[[#Headers],[30]],tabela_registros[REGISTRO],DADOS!$N$6,tabela_registros[TIPO],DADOS!$AJ$4,tabela_registros[CATEGORIA],reservavariáveisconsolidadofev[[#This Row],[ATUAL]])</f>
        <v>0</v>
      </c>
      <c r="AI188" s="217" t="n">
        <f aca="false">SUMIFS(tabela_registros[VALOR],tabela_registros[MÊS],$AE$1,tabela_registros[DIA],reservavariáveisconsolidadofev[[#Headers],[31]],tabela_registros[REGISTRO],DADOS!$N$6,tabela_registros[TIPO],DADOS!$AJ$4,tabela_registros[CATEGORIA],reservavariáveisconsolidadofev[[#This Row],[ATUAL]])</f>
        <v>0</v>
      </c>
      <c r="AJ188" s="149" t="n">
        <f aca="false">SUM(reservavariáveisconsolidadofev[[#This Row],[1]:[31]])</f>
        <v>0</v>
      </c>
      <c r="AK188" s="165"/>
    </row>
    <row r="189" customFormat="false" ht="19.5" hidden="false" customHeight="true" outlineLevel="0" collapsed="false">
      <c r="B189" s="143"/>
      <c r="C189" s="144" t="str">
        <f aca="false">DADOS!$AN$5</f>
        <v>📝 CONTRATO DE FUTUROS</v>
      </c>
      <c r="D189" s="145" t="str">
        <f aca="false">IF(reservavariáveisconsolidadofev[[#This Row],[TOTAL (R$)]]=0,"",IF(OR(reservavariáveisconsolidadofev[[#This Row],[TOTAL (R$)]]=LARGE($AJ$187:$AJ$196,1),reservavariáveisconsolidadofev[[#This Row],[TOTAL (R$)]]=LARGE($AJ$187:$AJ$196,2)),DADOS!$I$11,""))</f>
        <v/>
      </c>
      <c r="E189" s="148" t="n">
        <f aca="false">SUMIFS(tabela_registros[VALOR],tabela_registros[MÊS],$AE$1,tabela_registros[DIA],reservavariáveisconsolidadofev[[#Headers],[1]],tabela_registros[REGISTRO],DADOS!$N$6,tabela_registros[TIPO],DADOS!$AJ$4,tabela_registros[CATEGORIA],reservavariáveisconsolidadofev[[#This Row],[ATUAL]])</f>
        <v>0</v>
      </c>
      <c r="F189" s="119" t="n">
        <f aca="false">SUMIFS(tabela_registros[VALOR],tabela_registros[MÊS],$AE$1,tabela_registros[DIA],reservavariáveisconsolidadofev[[#Headers],[2]],tabela_registros[REGISTRO],DADOS!$N$6,tabela_registros[TIPO],DADOS!$AJ$4,tabela_registros[CATEGORIA],reservavariáveisconsolidadofev[[#This Row],[ATUAL]])</f>
        <v>0</v>
      </c>
      <c r="G189" s="119" t="n">
        <f aca="false">SUMIFS(tabela_registros[VALOR],tabela_registros[MÊS],$AE$1,tabela_registros[DIA],reservavariáveisconsolidadofev[[#Headers],[3]],tabela_registros[REGISTRO],DADOS!$N$6,tabela_registros[TIPO],DADOS!$AJ$4,tabela_registros[CATEGORIA],reservavariáveisconsolidadofev[[#This Row],[ATUAL]])</f>
        <v>0</v>
      </c>
      <c r="H189" s="119" t="n">
        <f aca="false">SUMIFS(tabela_registros[VALOR],tabela_registros[MÊS],$AE$1,tabela_registros[DIA],reservavariáveisconsolidadofev[[#Headers],[4]],tabela_registros[REGISTRO],DADOS!$N$6,tabela_registros[TIPO],DADOS!$AJ$4,tabela_registros[CATEGORIA],reservavariáveisconsolidadofev[[#This Row],[ATUAL]])</f>
        <v>0</v>
      </c>
      <c r="I189" s="119" t="n">
        <f aca="false">SUMIFS(tabela_registros[VALOR],tabela_registros[MÊS],$AE$1,tabela_registros[DIA],reservavariáveisconsolidadofev[[#Headers],[5]],tabela_registros[REGISTRO],DADOS!$N$6,tabela_registros[TIPO],DADOS!$AJ$4,tabela_registros[CATEGORIA],reservavariáveisconsolidadofev[[#This Row],[ATUAL]])</f>
        <v>0</v>
      </c>
      <c r="J189" s="119" t="n">
        <f aca="false">SUMIFS(tabela_registros[VALOR],tabela_registros[MÊS],$AE$1,tabela_registros[DIA],reservavariáveisconsolidadofev[[#Headers],[6]],tabela_registros[REGISTRO],DADOS!$N$6,tabela_registros[TIPO],DADOS!$AJ$4,tabela_registros[CATEGORIA],reservavariáveisconsolidadofev[[#This Row],[ATUAL]])</f>
        <v>0</v>
      </c>
      <c r="K189" s="119" t="n">
        <f aca="false">SUMIFS(tabela_registros[VALOR],tabela_registros[MÊS],$AE$1,tabela_registros[DIA],reservavariáveisconsolidadofev[[#Headers],[7]],tabela_registros[REGISTRO],DADOS!$N$6,tabela_registros[TIPO],DADOS!$AJ$4,tabela_registros[CATEGORIA],reservavariáveisconsolidadofev[[#This Row],[ATUAL]])</f>
        <v>0</v>
      </c>
      <c r="L189" s="119" t="n">
        <f aca="false">SUMIFS(tabela_registros[VALOR],tabela_registros[MÊS],$AE$1,tabela_registros[DIA],reservavariáveisconsolidadofev[[#Headers],[8]],tabela_registros[REGISTRO],DADOS!$N$6,tabela_registros[TIPO],DADOS!$AJ$4,tabela_registros[CATEGORIA],reservavariáveisconsolidadofev[[#This Row],[ATUAL]])</f>
        <v>0</v>
      </c>
      <c r="M189" s="119" t="n">
        <f aca="false">SUMIFS(tabela_registros[VALOR],tabela_registros[MÊS],$AE$1,tabela_registros[DIA],reservavariáveisconsolidadofev[[#Headers],[9]],tabela_registros[REGISTRO],DADOS!$N$6,tabela_registros[TIPO],DADOS!$AJ$4,tabela_registros[CATEGORIA],reservavariáveisconsolidadofev[[#This Row],[ATUAL]])</f>
        <v>0</v>
      </c>
      <c r="N189" s="119" t="n">
        <f aca="false">SUMIFS(tabela_registros[VALOR],tabela_registros[MÊS],$AE$1,tabela_registros[DIA],reservavariáveisconsolidadofev[[#Headers],[10]],tabela_registros[REGISTRO],DADOS!$N$6,tabela_registros[TIPO],DADOS!$AJ$4,tabela_registros[CATEGORIA],reservavariáveisconsolidadofev[[#This Row],[ATUAL]])</f>
        <v>0</v>
      </c>
      <c r="O189" s="119" t="n">
        <f aca="false">SUMIFS(tabela_registros[VALOR],tabela_registros[MÊS],$AE$1,tabela_registros[DIA],reservavariáveisconsolidadofev[[#Headers],[11]],tabela_registros[REGISTRO],DADOS!$N$6,tabela_registros[TIPO],DADOS!$AJ$4,tabela_registros[CATEGORIA],reservavariáveisconsolidadofev[[#This Row],[ATUAL]])</f>
        <v>0</v>
      </c>
      <c r="P189" s="119" t="n">
        <f aca="false">SUMIFS(tabela_registros[VALOR],tabela_registros[MÊS],$AE$1,tabela_registros[DIA],reservavariáveisconsolidadofev[[#Headers],[12]],tabela_registros[REGISTRO],DADOS!$N$6,tabela_registros[TIPO],DADOS!$AJ$4,tabela_registros[CATEGORIA],reservavariáveisconsolidadofev[[#This Row],[ATUAL]])</f>
        <v>0</v>
      </c>
      <c r="Q189" s="119" t="n">
        <f aca="false">SUMIFS(tabela_registros[VALOR],tabela_registros[MÊS],$AE$1,tabela_registros[DIA],reservavariáveisconsolidadofev[[#Headers],[13]],tabela_registros[REGISTRO],DADOS!$N$6,tabela_registros[TIPO],DADOS!$AJ$4,tabela_registros[CATEGORIA],reservavariáveisconsolidadofev[[#This Row],[ATUAL]])</f>
        <v>0</v>
      </c>
      <c r="R189" s="119" t="n">
        <f aca="false">SUMIFS(tabela_registros[VALOR],tabela_registros[MÊS],$AE$1,tabela_registros[DIA],reservavariáveisconsolidadofev[[#Headers],[14]],tabela_registros[REGISTRO],DADOS!$N$6,tabela_registros[TIPO],DADOS!$AJ$4,tabela_registros[CATEGORIA],reservavariáveisconsolidadofev[[#This Row],[ATUAL]])</f>
        <v>0</v>
      </c>
      <c r="S189" s="119" t="n">
        <f aca="false">SUMIFS(tabela_registros[VALOR],tabela_registros[MÊS],$AE$1,tabela_registros[DIA],reservavariáveisconsolidadofev[[#Headers],[15]],tabela_registros[REGISTRO],DADOS!$N$6,tabela_registros[TIPO],DADOS!$AJ$4,tabela_registros[CATEGORIA],reservavariáveisconsolidadofev[[#This Row],[ATUAL]])</f>
        <v>0</v>
      </c>
      <c r="T189" s="119" t="n">
        <f aca="false">SUMIFS(tabela_registros[VALOR],tabela_registros[MÊS],$AE$1,tabela_registros[DIA],reservavariáveisconsolidadofev[[#Headers],[16]],tabela_registros[REGISTRO],DADOS!$N$6,tabela_registros[TIPO],DADOS!$AJ$4,tabela_registros[CATEGORIA],reservavariáveisconsolidadofev[[#This Row],[ATUAL]])</f>
        <v>0</v>
      </c>
      <c r="U189" s="119" t="n">
        <f aca="false">SUMIFS(tabela_registros[VALOR],tabela_registros[MÊS],$AE$1,tabela_registros[DIA],reservavariáveisconsolidadofev[[#Headers],[17]],tabela_registros[REGISTRO],DADOS!$N$6,tabela_registros[TIPO],DADOS!$AJ$4,tabela_registros[CATEGORIA],reservavariáveisconsolidadofev[[#This Row],[ATUAL]])</f>
        <v>0</v>
      </c>
      <c r="V189" s="119" t="n">
        <f aca="false">SUMIFS(tabela_registros[VALOR],tabela_registros[MÊS],$AE$1,tabela_registros[DIA],reservavariáveisconsolidadofev[[#Headers],[18]],tabela_registros[REGISTRO],DADOS!$N$6,tabela_registros[TIPO],DADOS!$AJ$4,tabela_registros[CATEGORIA],reservavariáveisconsolidadofev[[#This Row],[ATUAL]])</f>
        <v>0</v>
      </c>
      <c r="W189" s="119" t="n">
        <f aca="false">SUMIFS(tabela_registros[VALOR],tabela_registros[MÊS],$AE$1,tabela_registros[DIA],reservavariáveisconsolidadofev[[#Headers],[19]],tabela_registros[REGISTRO],DADOS!$N$6,tabela_registros[TIPO],DADOS!$AJ$4,tabela_registros[CATEGORIA],reservavariáveisconsolidadofev[[#This Row],[ATUAL]])</f>
        <v>0</v>
      </c>
      <c r="X189" s="119" t="n">
        <f aca="false">SUMIFS(tabela_registros[VALOR],tabela_registros[MÊS],$AE$1,tabela_registros[DIA],reservavariáveisconsolidadofev[[#Headers],[20]],tabela_registros[REGISTRO],DADOS!$N$6,tabela_registros[TIPO],DADOS!$AJ$4,tabela_registros[CATEGORIA],reservavariáveisconsolidadofev[[#This Row],[ATUAL]])</f>
        <v>0</v>
      </c>
      <c r="Y189" s="119" t="n">
        <f aca="false">SUMIFS(tabela_registros[VALOR],tabela_registros[MÊS],$AE$1,tabela_registros[DIA],reservavariáveisconsolidadofev[[#Headers],[21]],tabela_registros[REGISTRO],DADOS!$N$6,tabela_registros[TIPO],DADOS!$AJ$4,tabela_registros[CATEGORIA],reservavariáveisconsolidadofev[[#This Row],[ATUAL]])</f>
        <v>0</v>
      </c>
      <c r="Z189" s="119" t="n">
        <f aca="false">SUMIFS(tabela_registros[VALOR],tabela_registros[MÊS],$AE$1,tabela_registros[DIA],reservavariáveisconsolidadofev[[#Headers],[22]],tabela_registros[REGISTRO],DADOS!$N$6,tabela_registros[TIPO],DADOS!$AJ$4,tabela_registros[CATEGORIA],reservavariáveisconsolidadofev[[#This Row],[ATUAL]])</f>
        <v>0</v>
      </c>
      <c r="AA189" s="119" t="n">
        <f aca="false">SUMIFS(tabela_registros[VALOR],tabela_registros[MÊS],$AE$1,tabela_registros[DIA],reservavariáveisconsolidadofev[[#Headers],[23]],tabela_registros[REGISTRO],DADOS!$N$6,tabela_registros[TIPO],DADOS!$AJ$4,tabela_registros[CATEGORIA],reservavariáveisconsolidadofev[[#This Row],[ATUAL]])</f>
        <v>0</v>
      </c>
      <c r="AB189" s="119" t="n">
        <f aca="false">SUMIFS(tabela_registros[VALOR],tabela_registros[MÊS],$AE$1,tabela_registros[DIA],reservavariáveisconsolidadofev[[#Headers],[24]],tabela_registros[REGISTRO],DADOS!$N$6,tabela_registros[TIPO],DADOS!$AJ$4,tabela_registros[CATEGORIA],reservavariáveisconsolidadofev[[#This Row],[ATUAL]])</f>
        <v>0</v>
      </c>
      <c r="AC189" s="119" t="n">
        <f aca="false">SUMIFS(tabela_registros[VALOR],tabela_registros[MÊS],$AE$1,tabela_registros[DIA],reservavariáveisconsolidadofev[[#Headers],[25]],tabela_registros[REGISTRO],DADOS!$N$6,tabela_registros[TIPO],DADOS!$AJ$4,tabela_registros[CATEGORIA],reservavariáveisconsolidadofev[[#This Row],[ATUAL]])</f>
        <v>0</v>
      </c>
      <c r="AD189" s="119" t="n">
        <f aca="false">SUMIFS(tabela_registros[VALOR],tabela_registros[MÊS],$AE$1,tabela_registros[DIA],reservavariáveisconsolidadofev[[#Headers],[26]],tabela_registros[REGISTRO],DADOS!$N$6,tabela_registros[TIPO],DADOS!$AJ$4,tabela_registros[CATEGORIA],reservavariáveisconsolidadofev[[#This Row],[ATUAL]])</f>
        <v>0</v>
      </c>
      <c r="AE189" s="119" t="n">
        <f aca="false">SUMIFS(tabela_registros[VALOR],tabela_registros[MÊS],$AE$1,tabela_registros[DIA],reservavariáveisconsolidadofev[[#Headers],[27]],tabela_registros[REGISTRO],DADOS!$N$6,tabela_registros[TIPO],DADOS!$AJ$4,tabela_registros[CATEGORIA],reservavariáveisconsolidadofev[[#This Row],[ATUAL]])</f>
        <v>0</v>
      </c>
      <c r="AF189" s="119" t="n">
        <f aca="false">SUMIFS(tabela_registros[VALOR],tabela_registros[MÊS],$AE$1,tabela_registros[DIA],reservavariáveisconsolidadofev[[#Headers],[28]],tabela_registros[REGISTRO],DADOS!$N$6,tabela_registros[TIPO],DADOS!$AJ$4,tabela_registros[CATEGORIA],reservavariáveisconsolidadofev[[#This Row],[ATUAL]])</f>
        <v>0</v>
      </c>
      <c r="AG189" s="119" t="n">
        <f aca="false">SUMIFS(tabela_registros[VALOR],tabela_registros[MÊS],$AE$1,tabela_registros[DIA],reservavariáveisconsolidadofev[[#Headers],[29]],tabela_registros[REGISTRO],DADOS!$N$6,tabela_registros[TIPO],DADOS!$AJ$4,tabela_registros[CATEGORIA],reservavariáveisconsolidadofev[[#This Row],[ATUAL]])</f>
        <v>0</v>
      </c>
      <c r="AH189" s="119" t="n">
        <f aca="false">SUMIFS(tabela_registros[VALOR],tabela_registros[MÊS],$AE$1,tabela_registros[DIA],reservavariáveisconsolidadofev[[#Headers],[30]],tabela_registros[REGISTRO],DADOS!$N$6,tabela_registros[TIPO],DADOS!$AJ$4,tabela_registros[CATEGORIA],reservavariáveisconsolidadofev[[#This Row],[ATUAL]])</f>
        <v>0</v>
      </c>
      <c r="AI189" s="217" t="n">
        <f aca="false">SUMIFS(tabela_registros[VALOR],tabela_registros[MÊS],$AE$1,tabela_registros[DIA],reservavariáveisconsolidadofev[[#Headers],[31]],tabela_registros[REGISTRO],DADOS!$N$6,tabela_registros[TIPO],DADOS!$AJ$4,tabela_registros[CATEGORIA],reservavariáveisconsolidadofev[[#This Row],[ATUAL]])</f>
        <v>0</v>
      </c>
      <c r="AJ189" s="149" t="n">
        <f aca="false">SUM(reservavariáveisconsolidadofev[[#This Row],[1]:[31]])</f>
        <v>0</v>
      </c>
      <c r="AK189" s="165"/>
    </row>
    <row r="190" customFormat="false" ht="19.5" hidden="false" customHeight="true" outlineLevel="0" collapsed="false">
      <c r="B190" s="143"/>
      <c r="C190" s="144" t="str">
        <f aca="false">DADOS!$AN$6</f>
        <v>📝 CONTRATO DE OPÇÕES</v>
      </c>
      <c r="D190" s="145" t="str">
        <f aca="false">IF(reservavariáveisconsolidadofev[[#This Row],[TOTAL (R$)]]=0,"",IF(OR(reservavariáveisconsolidadofev[[#This Row],[TOTAL (R$)]]=LARGE($AJ$187:$AJ$196,1),reservavariáveisconsolidadofev[[#This Row],[TOTAL (R$)]]=LARGE($AJ$187:$AJ$196,2)),DADOS!$I$11,""))</f>
        <v/>
      </c>
      <c r="E190" s="148" t="n">
        <f aca="false">SUMIFS(tabela_registros[VALOR],tabela_registros[MÊS],$AE$1,tabela_registros[DIA],reservavariáveisconsolidadofev[[#Headers],[1]],tabela_registros[REGISTRO],DADOS!$N$6,tabela_registros[TIPO],DADOS!$AJ$4,tabela_registros[CATEGORIA],reservavariáveisconsolidadofev[[#This Row],[ATUAL]])</f>
        <v>0</v>
      </c>
      <c r="F190" s="119" t="n">
        <f aca="false">SUMIFS(tabela_registros[VALOR],tabela_registros[MÊS],$AE$1,tabela_registros[DIA],reservavariáveisconsolidadofev[[#Headers],[2]],tabela_registros[REGISTRO],DADOS!$N$6,tabela_registros[TIPO],DADOS!$AJ$4,tabela_registros[CATEGORIA],reservavariáveisconsolidadofev[[#This Row],[ATUAL]])</f>
        <v>0</v>
      </c>
      <c r="G190" s="119" t="n">
        <f aca="false">SUMIFS(tabela_registros[VALOR],tabela_registros[MÊS],$AE$1,tabela_registros[DIA],reservavariáveisconsolidadofev[[#Headers],[3]],tabela_registros[REGISTRO],DADOS!$N$6,tabela_registros[TIPO],DADOS!$AJ$4,tabela_registros[CATEGORIA],reservavariáveisconsolidadofev[[#This Row],[ATUAL]])</f>
        <v>0</v>
      </c>
      <c r="H190" s="119" t="n">
        <f aca="false">SUMIFS(tabela_registros[VALOR],tabela_registros[MÊS],$AE$1,tabela_registros[DIA],reservavariáveisconsolidadofev[[#Headers],[4]],tabela_registros[REGISTRO],DADOS!$N$6,tabela_registros[TIPO],DADOS!$AJ$4,tabela_registros[CATEGORIA],reservavariáveisconsolidadofev[[#This Row],[ATUAL]])</f>
        <v>0</v>
      </c>
      <c r="I190" s="119" t="n">
        <f aca="false">SUMIFS(tabela_registros[VALOR],tabela_registros[MÊS],$AE$1,tabela_registros[DIA],reservavariáveisconsolidadofev[[#Headers],[5]],tabela_registros[REGISTRO],DADOS!$N$6,tabela_registros[TIPO],DADOS!$AJ$4,tabela_registros[CATEGORIA],reservavariáveisconsolidadofev[[#This Row],[ATUAL]])</f>
        <v>0</v>
      </c>
      <c r="J190" s="119" t="n">
        <f aca="false">SUMIFS(tabela_registros[VALOR],tabela_registros[MÊS],$AE$1,tabela_registros[DIA],reservavariáveisconsolidadofev[[#Headers],[6]],tabela_registros[REGISTRO],DADOS!$N$6,tabela_registros[TIPO],DADOS!$AJ$4,tabela_registros[CATEGORIA],reservavariáveisconsolidadofev[[#This Row],[ATUAL]])</f>
        <v>0</v>
      </c>
      <c r="K190" s="119" t="n">
        <f aca="false">SUMIFS(tabela_registros[VALOR],tabela_registros[MÊS],$AE$1,tabela_registros[DIA],reservavariáveisconsolidadofev[[#Headers],[7]],tabela_registros[REGISTRO],DADOS!$N$6,tabela_registros[TIPO],DADOS!$AJ$4,tabela_registros[CATEGORIA],reservavariáveisconsolidadofev[[#This Row],[ATUAL]])</f>
        <v>0</v>
      </c>
      <c r="L190" s="119" t="n">
        <f aca="false">SUMIFS(tabela_registros[VALOR],tabela_registros[MÊS],$AE$1,tabela_registros[DIA],reservavariáveisconsolidadofev[[#Headers],[8]],tabela_registros[REGISTRO],DADOS!$N$6,tabela_registros[TIPO],DADOS!$AJ$4,tabela_registros[CATEGORIA],reservavariáveisconsolidadofev[[#This Row],[ATUAL]])</f>
        <v>0</v>
      </c>
      <c r="M190" s="119" t="n">
        <f aca="false">SUMIFS(tabela_registros[VALOR],tabela_registros[MÊS],$AE$1,tabela_registros[DIA],reservavariáveisconsolidadofev[[#Headers],[9]],tabela_registros[REGISTRO],DADOS!$N$6,tabela_registros[TIPO],DADOS!$AJ$4,tabela_registros[CATEGORIA],reservavariáveisconsolidadofev[[#This Row],[ATUAL]])</f>
        <v>0</v>
      </c>
      <c r="N190" s="119" t="n">
        <f aca="false">SUMIFS(tabela_registros[VALOR],tabela_registros[MÊS],$AE$1,tabela_registros[DIA],reservavariáveisconsolidadofev[[#Headers],[10]],tabela_registros[REGISTRO],DADOS!$N$6,tabela_registros[TIPO],DADOS!$AJ$4,tabela_registros[CATEGORIA],reservavariáveisconsolidadofev[[#This Row],[ATUAL]])</f>
        <v>0</v>
      </c>
      <c r="O190" s="119" t="n">
        <f aca="false">SUMIFS(tabela_registros[VALOR],tabela_registros[MÊS],$AE$1,tabela_registros[DIA],reservavariáveisconsolidadofev[[#Headers],[11]],tabela_registros[REGISTRO],DADOS!$N$6,tabela_registros[TIPO],DADOS!$AJ$4,tabela_registros[CATEGORIA],reservavariáveisconsolidadofev[[#This Row],[ATUAL]])</f>
        <v>0</v>
      </c>
      <c r="P190" s="119" t="n">
        <f aca="false">SUMIFS(tabela_registros[VALOR],tabela_registros[MÊS],$AE$1,tabela_registros[DIA],reservavariáveisconsolidadofev[[#Headers],[12]],tabela_registros[REGISTRO],DADOS!$N$6,tabela_registros[TIPO],DADOS!$AJ$4,tabela_registros[CATEGORIA],reservavariáveisconsolidadofev[[#This Row],[ATUAL]])</f>
        <v>0</v>
      </c>
      <c r="Q190" s="119" t="n">
        <f aca="false">SUMIFS(tabela_registros[VALOR],tabela_registros[MÊS],$AE$1,tabela_registros[DIA],reservavariáveisconsolidadofev[[#Headers],[13]],tabela_registros[REGISTRO],DADOS!$N$6,tabela_registros[TIPO],DADOS!$AJ$4,tabela_registros[CATEGORIA],reservavariáveisconsolidadofev[[#This Row],[ATUAL]])</f>
        <v>0</v>
      </c>
      <c r="R190" s="119" t="n">
        <f aca="false">SUMIFS(tabela_registros[VALOR],tabela_registros[MÊS],$AE$1,tabela_registros[DIA],reservavariáveisconsolidadofev[[#Headers],[14]],tabela_registros[REGISTRO],DADOS!$N$6,tabela_registros[TIPO],DADOS!$AJ$4,tabela_registros[CATEGORIA],reservavariáveisconsolidadofev[[#This Row],[ATUAL]])</f>
        <v>0</v>
      </c>
      <c r="S190" s="119" t="n">
        <f aca="false">SUMIFS(tabela_registros[VALOR],tabela_registros[MÊS],$AE$1,tabela_registros[DIA],reservavariáveisconsolidadofev[[#Headers],[15]],tabela_registros[REGISTRO],DADOS!$N$6,tabela_registros[TIPO],DADOS!$AJ$4,tabela_registros[CATEGORIA],reservavariáveisconsolidadofev[[#This Row],[ATUAL]])</f>
        <v>0</v>
      </c>
      <c r="T190" s="119" t="n">
        <f aca="false">SUMIFS(tabela_registros[VALOR],tabela_registros[MÊS],$AE$1,tabela_registros[DIA],reservavariáveisconsolidadofev[[#Headers],[16]],tabela_registros[REGISTRO],DADOS!$N$6,tabela_registros[TIPO],DADOS!$AJ$4,tabela_registros[CATEGORIA],reservavariáveisconsolidadofev[[#This Row],[ATUAL]])</f>
        <v>0</v>
      </c>
      <c r="U190" s="119" t="n">
        <f aca="false">SUMIFS(tabela_registros[VALOR],tabela_registros[MÊS],$AE$1,tabela_registros[DIA],reservavariáveisconsolidadofev[[#Headers],[17]],tabela_registros[REGISTRO],DADOS!$N$6,tabela_registros[TIPO],DADOS!$AJ$4,tabela_registros[CATEGORIA],reservavariáveisconsolidadofev[[#This Row],[ATUAL]])</f>
        <v>0</v>
      </c>
      <c r="V190" s="119" t="n">
        <f aca="false">SUMIFS(tabela_registros[VALOR],tabela_registros[MÊS],$AE$1,tabela_registros[DIA],reservavariáveisconsolidadofev[[#Headers],[18]],tabela_registros[REGISTRO],DADOS!$N$6,tabela_registros[TIPO],DADOS!$AJ$4,tabela_registros[CATEGORIA],reservavariáveisconsolidadofev[[#This Row],[ATUAL]])</f>
        <v>0</v>
      </c>
      <c r="W190" s="119" t="n">
        <f aca="false">SUMIFS(tabela_registros[VALOR],tabela_registros[MÊS],$AE$1,tabela_registros[DIA],reservavariáveisconsolidadofev[[#Headers],[19]],tabela_registros[REGISTRO],DADOS!$N$6,tabela_registros[TIPO],DADOS!$AJ$4,tabela_registros[CATEGORIA],reservavariáveisconsolidadofev[[#This Row],[ATUAL]])</f>
        <v>0</v>
      </c>
      <c r="X190" s="119" t="n">
        <f aca="false">SUMIFS(tabela_registros[VALOR],tabela_registros[MÊS],$AE$1,tabela_registros[DIA],reservavariáveisconsolidadofev[[#Headers],[20]],tabela_registros[REGISTRO],DADOS!$N$6,tabela_registros[TIPO],DADOS!$AJ$4,tabela_registros[CATEGORIA],reservavariáveisconsolidadofev[[#This Row],[ATUAL]])</f>
        <v>0</v>
      </c>
      <c r="Y190" s="119" t="n">
        <f aca="false">SUMIFS(tabela_registros[VALOR],tabela_registros[MÊS],$AE$1,tabela_registros[DIA],reservavariáveisconsolidadofev[[#Headers],[21]],tabela_registros[REGISTRO],DADOS!$N$6,tabela_registros[TIPO],DADOS!$AJ$4,tabela_registros[CATEGORIA],reservavariáveisconsolidadofev[[#This Row],[ATUAL]])</f>
        <v>0</v>
      </c>
      <c r="Z190" s="119" t="n">
        <f aca="false">SUMIFS(tabela_registros[VALOR],tabela_registros[MÊS],$AE$1,tabela_registros[DIA],reservavariáveisconsolidadofev[[#Headers],[22]],tabela_registros[REGISTRO],DADOS!$N$6,tabela_registros[TIPO],DADOS!$AJ$4,tabela_registros[CATEGORIA],reservavariáveisconsolidadofev[[#This Row],[ATUAL]])</f>
        <v>0</v>
      </c>
      <c r="AA190" s="119" t="n">
        <f aca="false">SUMIFS(tabela_registros[VALOR],tabela_registros[MÊS],$AE$1,tabela_registros[DIA],reservavariáveisconsolidadofev[[#Headers],[23]],tabela_registros[REGISTRO],DADOS!$N$6,tabela_registros[TIPO],DADOS!$AJ$4,tabela_registros[CATEGORIA],reservavariáveisconsolidadofev[[#This Row],[ATUAL]])</f>
        <v>0</v>
      </c>
      <c r="AB190" s="119" t="n">
        <f aca="false">SUMIFS(tabela_registros[VALOR],tabela_registros[MÊS],$AE$1,tabela_registros[DIA],reservavariáveisconsolidadofev[[#Headers],[24]],tabela_registros[REGISTRO],DADOS!$N$6,tabela_registros[TIPO],DADOS!$AJ$4,tabela_registros[CATEGORIA],reservavariáveisconsolidadofev[[#This Row],[ATUAL]])</f>
        <v>0</v>
      </c>
      <c r="AC190" s="119" t="n">
        <f aca="false">SUMIFS(tabela_registros[VALOR],tabela_registros[MÊS],$AE$1,tabela_registros[DIA],reservavariáveisconsolidadofev[[#Headers],[25]],tabela_registros[REGISTRO],DADOS!$N$6,tabela_registros[TIPO],DADOS!$AJ$4,tabela_registros[CATEGORIA],reservavariáveisconsolidadofev[[#This Row],[ATUAL]])</f>
        <v>0</v>
      </c>
      <c r="AD190" s="119" t="n">
        <f aca="false">SUMIFS(tabela_registros[VALOR],tabela_registros[MÊS],$AE$1,tabela_registros[DIA],reservavariáveisconsolidadofev[[#Headers],[26]],tabela_registros[REGISTRO],DADOS!$N$6,tabela_registros[TIPO],DADOS!$AJ$4,tabela_registros[CATEGORIA],reservavariáveisconsolidadofev[[#This Row],[ATUAL]])</f>
        <v>0</v>
      </c>
      <c r="AE190" s="119" t="n">
        <f aca="false">SUMIFS(tabela_registros[VALOR],tabela_registros[MÊS],$AE$1,tabela_registros[DIA],reservavariáveisconsolidadofev[[#Headers],[27]],tabela_registros[REGISTRO],DADOS!$N$6,tabela_registros[TIPO],DADOS!$AJ$4,tabela_registros[CATEGORIA],reservavariáveisconsolidadofev[[#This Row],[ATUAL]])</f>
        <v>0</v>
      </c>
      <c r="AF190" s="119" t="n">
        <f aca="false">SUMIFS(tabela_registros[VALOR],tabela_registros[MÊS],$AE$1,tabela_registros[DIA],reservavariáveisconsolidadofev[[#Headers],[28]],tabela_registros[REGISTRO],DADOS!$N$6,tabela_registros[TIPO],DADOS!$AJ$4,tabela_registros[CATEGORIA],reservavariáveisconsolidadofev[[#This Row],[ATUAL]])</f>
        <v>0</v>
      </c>
      <c r="AG190" s="119" t="n">
        <f aca="false">SUMIFS(tabela_registros[VALOR],tabela_registros[MÊS],$AE$1,tabela_registros[DIA],reservavariáveisconsolidadofev[[#Headers],[29]],tabela_registros[REGISTRO],DADOS!$N$6,tabela_registros[TIPO],DADOS!$AJ$4,tabela_registros[CATEGORIA],reservavariáveisconsolidadofev[[#This Row],[ATUAL]])</f>
        <v>0</v>
      </c>
      <c r="AH190" s="119" t="n">
        <f aca="false">SUMIFS(tabela_registros[VALOR],tabela_registros[MÊS],$AE$1,tabela_registros[DIA],reservavariáveisconsolidadofev[[#Headers],[30]],tabela_registros[REGISTRO],DADOS!$N$6,tabela_registros[TIPO],DADOS!$AJ$4,tabela_registros[CATEGORIA],reservavariáveisconsolidadofev[[#This Row],[ATUAL]])</f>
        <v>0</v>
      </c>
      <c r="AI190" s="217" t="n">
        <f aca="false">SUMIFS(tabela_registros[VALOR],tabela_registros[MÊS],$AE$1,tabela_registros[DIA],reservavariáveisconsolidadofev[[#Headers],[31]],tabela_registros[REGISTRO],DADOS!$N$6,tabela_registros[TIPO],DADOS!$AJ$4,tabela_registros[CATEGORIA],reservavariáveisconsolidadofev[[#This Row],[ATUAL]])</f>
        <v>0</v>
      </c>
      <c r="AJ190" s="149" t="n">
        <f aca="false">SUM(reservavariáveisconsolidadofev[[#This Row],[1]:[31]])</f>
        <v>0</v>
      </c>
      <c r="AK190" s="165"/>
    </row>
    <row r="191" customFormat="false" ht="19.5" hidden="false" customHeight="true" outlineLevel="0" collapsed="false">
      <c r="B191" s="143"/>
      <c r="C191" s="144" t="str">
        <f aca="false">DADOS!$AN$7</f>
        <v>📝 CRIPTOMOEDA</v>
      </c>
      <c r="D191" s="145" t="str">
        <f aca="false">IF(reservavariáveisconsolidadofev[[#This Row],[TOTAL (R$)]]=0,"",IF(OR(reservavariáveisconsolidadofev[[#This Row],[TOTAL (R$)]]=LARGE($AJ$187:$AJ$196,1),reservavariáveisconsolidadofev[[#This Row],[TOTAL (R$)]]=LARGE($AJ$187:$AJ$196,2)),DADOS!$I$11,""))</f>
        <v/>
      </c>
      <c r="E191" s="148" t="n">
        <f aca="false">SUMIFS(tabela_registros[VALOR],tabela_registros[MÊS],$AE$1,tabela_registros[DIA],reservavariáveisconsolidadofev[[#Headers],[1]],tabela_registros[REGISTRO],DADOS!$N$6,tabela_registros[TIPO],DADOS!$AJ$4,tabela_registros[CATEGORIA],reservavariáveisconsolidadofev[[#This Row],[ATUAL]])</f>
        <v>0</v>
      </c>
      <c r="F191" s="119" t="n">
        <f aca="false">SUMIFS(tabela_registros[VALOR],tabela_registros[MÊS],$AE$1,tabela_registros[DIA],reservavariáveisconsolidadofev[[#Headers],[2]],tabela_registros[REGISTRO],DADOS!$N$6,tabela_registros[TIPO],DADOS!$AJ$4,tabela_registros[CATEGORIA],reservavariáveisconsolidadofev[[#This Row],[ATUAL]])</f>
        <v>0</v>
      </c>
      <c r="G191" s="119" t="n">
        <f aca="false">SUMIFS(tabela_registros[VALOR],tabela_registros[MÊS],$AE$1,tabela_registros[DIA],reservavariáveisconsolidadofev[[#Headers],[3]],tabela_registros[REGISTRO],DADOS!$N$6,tabela_registros[TIPO],DADOS!$AJ$4,tabela_registros[CATEGORIA],reservavariáveisconsolidadofev[[#This Row],[ATUAL]])</f>
        <v>0</v>
      </c>
      <c r="H191" s="119" t="n">
        <f aca="false">SUMIFS(tabela_registros[VALOR],tabela_registros[MÊS],$AE$1,tabela_registros[DIA],reservavariáveisconsolidadofev[[#Headers],[4]],tabela_registros[REGISTRO],DADOS!$N$6,tabela_registros[TIPO],DADOS!$AJ$4,tabela_registros[CATEGORIA],reservavariáveisconsolidadofev[[#This Row],[ATUAL]])</f>
        <v>0</v>
      </c>
      <c r="I191" s="119" t="n">
        <f aca="false">SUMIFS(tabela_registros[VALOR],tabela_registros[MÊS],$AE$1,tabela_registros[DIA],reservavariáveisconsolidadofev[[#Headers],[5]],tabela_registros[REGISTRO],DADOS!$N$6,tabela_registros[TIPO],DADOS!$AJ$4,tabela_registros[CATEGORIA],reservavariáveisconsolidadofev[[#This Row],[ATUAL]])</f>
        <v>0</v>
      </c>
      <c r="J191" s="119" t="n">
        <f aca="false">SUMIFS(tabela_registros[VALOR],tabela_registros[MÊS],$AE$1,tabela_registros[DIA],reservavariáveisconsolidadofev[[#Headers],[6]],tabela_registros[REGISTRO],DADOS!$N$6,tabela_registros[TIPO],DADOS!$AJ$4,tabela_registros[CATEGORIA],reservavariáveisconsolidadofev[[#This Row],[ATUAL]])</f>
        <v>0</v>
      </c>
      <c r="K191" s="119" t="n">
        <f aca="false">SUMIFS(tabela_registros[VALOR],tabela_registros[MÊS],$AE$1,tabela_registros[DIA],reservavariáveisconsolidadofev[[#Headers],[7]],tabela_registros[REGISTRO],DADOS!$N$6,tabela_registros[TIPO],DADOS!$AJ$4,tabela_registros[CATEGORIA],reservavariáveisconsolidadofev[[#This Row],[ATUAL]])</f>
        <v>0</v>
      </c>
      <c r="L191" s="119" t="n">
        <f aca="false">SUMIFS(tabela_registros[VALOR],tabela_registros[MÊS],$AE$1,tabela_registros[DIA],reservavariáveisconsolidadofev[[#Headers],[8]],tabela_registros[REGISTRO],DADOS!$N$6,tabela_registros[TIPO],DADOS!$AJ$4,tabela_registros[CATEGORIA],reservavariáveisconsolidadofev[[#This Row],[ATUAL]])</f>
        <v>0</v>
      </c>
      <c r="M191" s="119" t="n">
        <f aca="false">SUMIFS(tabela_registros[VALOR],tabela_registros[MÊS],$AE$1,tabela_registros[DIA],reservavariáveisconsolidadofev[[#Headers],[9]],tabela_registros[REGISTRO],DADOS!$N$6,tabela_registros[TIPO],DADOS!$AJ$4,tabela_registros[CATEGORIA],reservavariáveisconsolidadofev[[#This Row],[ATUAL]])</f>
        <v>0</v>
      </c>
      <c r="N191" s="119" t="n">
        <f aca="false">SUMIFS(tabela_registros[VALOR],tabela_registros[MÊS],$AE$1,tabela_registros[DIA],reservavariáveisconsolidadofev[[#Headers],[10]],tabela_registros[REGISTRO],DADOS!$N$6,tabela_registros[TIPO],DADOS!$AJ$4,tabela_registros[CATEGORIA],reservavariáveisconsolidadofev[[#This Row],[ATUAL]])</f>
        <v>0</v>
      </c>
      <c r="O191" s="119" t="n">
        <f aca="false">SUMIFS(tabela_registros[VALOR],tabela_registros[MÊS],$AE$1,tabela_registros[DIA],reservavariáveisconsolidadofev[[#Headers],[11]],tabela_registros[REGISTRO],DADOS!$N$6,tabela_registros[TIPO],DADOS!$AJ$4,tabela_registros[CATEGORIA],reservavariáveisconsolidadofev[[#This Row],[ATUAL]])</f>
        <v>0</v>
      </c>
      <c r="P191" s="119" t="n">
        <f aca="false">SUMIFS(tabela_registros[VALOR],tabela_registros[MÊS],$AE$1,tabela_registros[DIA],reservavariáveisconsolidadofev[[#Headers],[12]],tabela_registros[REGISTRO],DADOS!$N$6,tabela_registros[TIPO],DADOS!$AJ$4,tabela_registros[CATEGORIA],reservavariáveisconsolidadofev[[#This Row],[ATUAL]])</f>
        <v>0</v>
      </c>
      <c r="Q191" s="119" t="n">
        <f aca="false">SUMIFS(tabela_registros[VALOR],tabela_registros[MÊS],$AE$1,tabela_registros[DIA],reservavariáveisconsolidadofev[[#Headers],[13]],tabela_registros[REGISTRO],DADOS!$N$6,tabela_registros[TIPO],DADOS!$AJ$4,tabela_registros[CATEGORIA],reservavariáveisconsolidadofev[[#This Row],[ATUAL]])</f>
        <v>0</v>
      </c>
      <c r="R191" s="119" t="n">
        <f aca="false">SUMIFS(tabela_registros[VALOR],tabela_registros[MÊS],$AE$1,tabela_registros[DIA],reservavariáveisconsolidadofev[[#Headers],[14]],tabela_registros[REGISTRO],DADOS!$N$6,tabela_registros[TIPO],DADOS!$AJ$4,tabela_registros[CATEGORIA],reservavariáveisconsolidadofev[[#This Row],[ATUAL]])</f>
        <v>0</v>
      </c>
      <c r="S191" s="119" t="n">
        <f aca="false">SUMIFS(tabela_registros[VALOR],tabela_registros[MÊS],$AE$1,tabela_registros[DIA],reservavariáveisconsolidadofev[[#Headers],[15]],tabela_registros[REGISTRO],DADOS!$N$6,tabela_registros[TIPO],DADOS!$AJ$4,tabela_registros[CATEGORIA],reservavariáveisconsolidadofev[[#This Row],[ATUAL]])</f>
        <v>0</v>
      </c>
      <c r="T191" s="119" t="n">
        <f aca="false">SUMIFS(tabela_registros[VALOR],tabela_registros[MÊS],$AE$1,tabela_registros[DIA],reservavariáveisconsolidadofev[[#Headers],[16]],tabela_registros[REGISTRO],DADOS!$N$6,tabela_registros[TIPO],DADOS!$AJ$4,tabela_registros[CATEGORIA],reservavariáveisconsolidadofev[[#This Row],[ATUAL]])</f>
        <v>0</v>
      </c>
      <c r="U191" s="119" t="n">
        <f aca="false">SUMIFS(tabela_registros[VALOR],tabela_registros[MÊS],$AE$1,tabela_registros[DIA],reservavariáveisconsolidadofev[[#Headers],[17]],tabela_registros[REGISTRO],DADOS!$N$6,tabela_registros[TIPO],DADOS!$AJ$4,tabela_registros[CATEGORIA],reservavariáveisconsolidadofev[[#This Row],[ATUAL]])</f>
        <v>0</v>
      </c>
      <c r="V191" s="119" t="n">
        <f aca="false">SUMIFS(tabela_registros[VALOR],tabela_registros[MÊS],$AE$1,tabela_registros[DIA],reservavariáveisconsolidadofev[[#Headers],[18]],tabela_registros[REGISTRO],DADOS!$N$6,tabela_registros[TIPO],DADOS!$AJ$4,tabela_registros[CATEGORIA],reservavariáveisconsolidadofev[[#This Row],[ATUAL]])</f>
        <v>0</v>
      </c>
      <c r="W191" s="119" t="n">
        <f aca="false">SUMIFS(tabela_registros[VALOR],tabela_registros[MÊS],$AE$1,tabela_registros[DIA],reservavariáveisconsolidadofev[[#Headers],[19]],tabela_registros[REGISTRO],DADOS!$N$6,tabela_registros[TIPO],DADOS!$AJ$4,tabela_registros[CATEGORIA],reservavariáveisconsolidadofev[[#This Row],[ATUAL]])</f>
        <v>0</v>
      </c>
      <c r="X191" s="119" t="n">
        <f aca="false">SUMIFS(tabela_registros[VALOR],tabela_registros[MÊS],$AE$1,tabela_registros[DIA],reservavariáveisconsolidadofev[[#Headers],[20]],tabela_registros[REGISTRO],DADOS!$N$6,tabela_registros[TIPO],DADOS!$AJ$4,tabela_registros[CATEGORIA],reservavariáveisconsolidadofev[[#This Row],[ATUAL]])</f>
        <v>0</v>
      </c>
      <c r="Y191" s="119" t="n">
        <f aca="false">SUMIFS(tabela_registros[VALOR],tabela_registros[MÊS],$AE$1,tabela_registros[DIA],reservavariáveisconsolidadofev[[#Headers],[21]],tabela_registros[REGISTRO],DADOS!$N$6,tabela_registros[TIPO],DADOS!$AJ$4,tabela_registros[CATEGORIA],reservavariáveisconsolidadofev[[#This Row],[ATUAL]])</f>
        <v>0</v>
      </c>
      <c r="Z191" s="119" t="n">
        <f aca="false">SUMIFS(tabela_registros[VALOR],tabela_registros[MÊS],$AE$1,tabela_registros[DIA],reservavariáveisconsolidadofev[[#Headers],[22]],tabela_registros[REGISTRO],DADOS!$N$6,tabela_registros[TIPO],DADOS!$AJ$4,tabela_registros[CATEGORIA],reservavariáveisconsolidadofev[[#This Row],[ATUAL]])</f>
        <v>0</v>
      </c>
      <c r="AA191" s="119" t="n">
        <f aca="false">SUMIFS(tabela_registros[VALOR],tabela_registros[MÊS],$AE$1,tabela_registros[DIA],reservavariáveisconsolidadofev[[#Headers],[23]],tabela_registros[REGISTRO],DADOS!$N$6,tabela_registros[TIPO],DADOS!$AJ$4,tabela_registros[CATEGORIA],reservavariáveisconsolidadofev[[#This Row],[ATUAL]])</f>
        <v>0</v>
      </c>
      <c r="AB191" s="119" t="n">
        <f aca="false">SUMIFS(tabela_registros[VALOR],tabela_registros[MÊS],$AE$1,tabela_registros[DIA],reservavariáveisconsolidadofev[[#Headers],[24]],tabela_registros[REGISTRO],DADOS!$N$6,tabela_registros[TIPO],DADOS!$AJ$4,tabela_registros[CATEGORIA],reservavariáveisconsolidadofev[[#This Row],[ATUAL]])</f>
        <v>0</v>
      </c>
      <c r="AC191" s="119" t="n">
        <f aca="false">SUMIFS(tabela_registros[VALOR],tabela_registros[MÊS],$AE$1,tabela_registros[DIA],reservavariáveisconsolidadofev[[#Headers],[25]],tabela_registros[REGISTRO],DADOS!$N$6,tabela_registros[TIPO],DADOS!$AJ$4,tabela_registros[CATEGORIA],reservavariáveisconsolidadofev[[#This Row],[ATUAL]])</f>
        <v>0</v>
      </c>
      <c r="AD191" s="119" t="n">
        <f aca="false">SUMIFS(tabela_registros[VALOR],tabela_registros[MÊS],$AE$1,tabela_registros[DIA],reservavariáveisconsolidadofev[[#Headers],[26]],tabela_registros[REGISTRO],DADOS!$N$6,tabela_registros[TIPO],DADOS!$AJ$4,tabela_registros[CATEGORIA],reservavariáveisconsolidadofev[[#This Row],[ATUAL]])</f>
        <v>0</v>
      </c>
      <c r="AE191" s="119" t="n">
        <f aca="false">SUMIFS(tabela_registros[VALOR],tabela_registros[MÊS],$AE$1,tabela_registros[DIA],reservavariáveisconsolidadofev[[#Headers],[27]],tabela_registros[REGISTRO],DADOS!$N$6,tabela_registros[TIPO],DADOS!$AJ$4,tabela_registros[CATEGORIA],reservavariáveisconsolidadofev[[#This Row],[ATUAL]])</f>
        <v>0</v>
      </c>
      <c r="AF191" s="119" t="n">
        <f aca="false">SUMIFS(tabela_registros[VALOR],tabela_registros[MÊS],$AE$1,tabela_registros[DIA],reservavariáveisconsolidadofev[[#Headers],[28]],tabela_registros[REGISTRO],DADOS!$N$6,tabela_registros[TIPO],DADOS!$AJ$4,tabela_registros[CATEGORIA],reservavariáveisconsolidadofev[[#This Row],[ATUAL]])</f>
        <v>0</v>
      </c>
      <c r="AG191" s="119" t="n">
        <f aca="false">SUMIFS(tabela_registros[VALOR],tabela_registros[MÊS],$AE$1,tabela_registros[DIA],reservavariáveisconsolidadofev[[#Headers],[29]],tabela_registros[REGISTRO],DADOS!$N$6,tabela_registros[TIPO],DADOS!$AJ$4,tabela_registros[CATEGORIA],reservavariáveisconsolidadofev[[#This Row],[ATUAL]])</f>
        <v>0</v>
      </c>
      <c r="AH191" s="119" t="n">
        <f aca="false">SUMIFS(tabela_registros[VALOR],tabela_registros[MÊS],$AE$1,tabela_registros[DIA],reservavariáveisconsolidadofev[[#Headers],[30]],tabela_registros[REGISTRO],DADOS!$N$6,tabela_registros[TIPO],DADOS!$AJ$4,tabela_registros[CATEGORIA],reservavariáveisconsolidadofev[[#This Row],[ATUAL]])</f>
        <v>0</v>
      </c>
      <c r="AI191" s="217" t="n">
        <f aca="false">SUMIFS(tabela_registros[VALOR],tabela_registros[MÊS],$AE$1,tabela_registros[DIA],reservavariáveisconsolidadofev[[#Headers],[31]],tabela_registros[REGISTRO],DADOS!$N$6,tabela_registros[TIPO],DADOS!$AJ$4,tabela_registros[CATEGORIA],reservavariáveisconsolidadofev[[#This Row],[ATUAL]])</f>
        <v>0</v>
      </c>
      <c r="AJ191" s="149" t="n">
        <f aca="false">SUM(reservavariáveisconsolidadofev[[#This Row],[1]:[31]])</f>
        <v>0</v>
      </c>
      <c r="AK191" s="165"/>
    </row>
    <row r="192" customFormat="false" ht="19.5" hidden="false" customHeight="true" outlineLevel="0" collapsed="false">
      <c r="B192" s="143"/>
      <c r="C192" s="144" t="str">
        <f aca="false">DADOS!$AN$8</f>
        <v>📝 ETF</v>
      </c>
      <c r="D192" s="145" t="str">
        <f aca="false">IF(reservavariáveisconsolidadofev[[#This Row],[TOTAL (R$)]]=0,"",IF(OR(reservavariáveisconsolidadofev[[#This Row],[TOTAL (R$)]]=LARGE($AJ$187:$AJ$196,1),reservavariáveisconsolidadofev[[#This Row],[TOTAL (R$)]]=LARGE($AJ$187:$AJ$196,2)),DADOS!$I$11,""))</f>
        <v/>
      </c>
      <c r="E192" s="148" t="n">
        <f aca="false">SUMIFS(tabela_registros[VALOR],tabela_registros[MÊS],$AE$1,tabela_registros[DIA],reservavariáveisconsolidadofev[[#Headers],[1]],tabela_registros[REGISTRO],DADOS!$N$6,tabela_registros[TIPO],DADOS!$AJ$4,tabela_registros[CATEGORIA],reservavariáveisconsolidadofev[[#This Row],[ATUAL]])</f>
        <v>0</v>
      </c>
      <c r="F192" s="119" t="n">
        <f aca="false">SUMIFS(tabela_registros[VALOR],tabela_registros[MÊS],$AE$1,tabela_registros[DIA],reservavariáveisconsolidadofev[[#Headers],[2]],tabela_registros[REGISTRO],DADOS!$N$6,tabela_registros[TIPO],DADOS!$AJ$4,tabela_registros[CATEGORIA],reservavariáveisconsolidadofev[[#This Row],[ATUAL]])</f>
        <v>0</v>
      </c>
      <c r="G192" s="119" t="n">
        <f aca="false">SUMIFS(tabela_registros[VALOR],tabela_registros[MÊS],$AE$1,tabela_registros[DIA],reservavariáveisconsolidadofev[[#Headers],[3]],tabela_registros[REGISTRO],DADOS!$N$6,tabela_registros[TIPO],DADOS!$AJ$4,tabela_registros[CATEGORIA],reservavariáveisconsolidadofev[[#This Row],[ATUAL]])</f>
        <v>0</v>
      </c>
      <c r="H192" s="119" t="n">
        <f aca="false">SUMIFS(tabela_registros[VALOR],tabela_registros[MÊS],$AE$1,tabela_registros[DIA],reservavariáveisconsolidadofev[[#Headers],[4]],tabela_registros[REGISTRO],DADOS!$N$6,tabela_registros[TIPO],DADOS!$AJ$4,tabela_registros[CATEGORIA],reservavariáveisconsolidadofev[[#This Row],[ATUAL]])</f>
        <v>0</v>
      </c>
      <c r="I192" s="119" t="n">
        <f aca="false">SUMIFS(tabela_registros[VALOR],tabela_registros[MÊS],$AE$1,tabela_registros[DIA],reservavariáveisconsolidadofev[[#Headers],[5]],tabela_registros[REGISTRO],DADOS!$N$6,tabela_registros[TIPO],DADOS!$AJ$4,tabela_registros[CATEGORIA],reservavariáveisconsolidadofev[[#This Row],[ATUAL]])</f>
        <v>0</v>
      </c>
      <c r="J192" s="119" t="n">
        <f aca="false">SUMIFS(tabela_registros[VALOR],tabela_registros[MÊS],$AE$1,tabela_registros[DIA],reservavariáveisconsolidadofev[[#Headers],[6]],tabela_registros[REGISTRO],DADOS!$N$6,tabela_registros[TIPO],DADOS!$AJ$4,tabela_registros[CATEGORIA],reservavariáveisconsolidadofev[[#This Row],[ATUAL]])</f>
        <v>0</v>
      </c>
      <c r="K192" s="119" t="n">
        <f aca="false">SUMIFS(tabela_registros[VALOR],tabela_registros[MÊS],$AE$1,tabela_registros[DIA],reservavariáveisconsolidadofev[[#Headers],[7]],tabela_registros[REGISTRO],DADOS!$N$6,tabela_registros[TIPO],DADOS!$AJ$4,tabela_registros[CATEGORIA],reservavariáveisconsolidadofev[[#This Row],[ATUAL]])</f>
        <v>0</v>
      </c>
      <c r="L192" s="119" t="n">
        <f aca="false">SUMIFS(tabela_registros[VALOR],tabela_registros[MÊS],$AE$1,tabela_registros[DIA],reservavariáveisconsolidadofev[[#Headers],[8]],tabela_registros[REGISTRO],DADOS!$N$6,tabela_registros[TIPO],DADOS!$AJ$4,tabela_registros[CATEGORIA],reservavariáveisconsolidadofev[[#This Row],[ATUAL]])</f>
        <v>0</v>
      </c>
      <c r="M192" s="119" t="n">
        <f aca="false">SUMIFS(tabela_registros[VALOR],tabela_registros[MÊS],$AE$1,tabela_registros[DIA],reservavariáveisconsolidadofev[[#Headers],[9]],tabela_registros[REGISTRO],DADOS!$N$6,tabela_registros[TIPO],DADOS!$AJ$4,tabela_registros[CATEGORIA],reservavariáveisconsolidadofev[[#This Row],[ATUAL]])</f>
        <v>0</v>
      </c>
      <c r="N192" s="119" t="n">
        <f aca="false">SUMIFS(tabela_registros[VALOR],tabela_registros[MÊS],$AE$1,tabela_registros[DIA],reservavariáveisconsolidadofev[[#Headers],[10]],tabela_registros[REGISTRO],DADOS!$N$6,tabela_registros[TIPO],DADOS!$AJ$4,tabela_registros[CATEGORIA],reservavariáveisconsolidadofev[[#This Row],[ATUAL]])</f>
        <v>0</v>
      </c>
      <c r="O192" s="119" t="n">
        <f aca="false">SUMIFS(tabela_registros[VALOR],tabela_registros[MÊS],$AE$1,tabela_registros[DIA],reservavariáveisconsolidadofev[[#Headers],[11]],tabela_registros[REGISTRO],DADOS!$N$6,tabela_registros[TIPO],DADOS!$AJ$4,tabela_registros[CATEGORIA],reservavariáveisconsolidadofev[[#This Row],[ATUAL]])</f>
        <v>0</v>
      </c>
      <c r="P192" s="119" t="n">
        <f aca="false">SUMIFS(tabela_registros[VALOR],tabela_registros[MÊS],$AE$1,tabela_registros[DIA],reservavariáveisconsolidadofev[[#Headers],[12]],tabela_registros[REGISTRO],DADOS!$N$6,tabela_registros[TIPO],DADOS!$AJ$4,tabela_registros[CATEGORIA],reservavariáveisconsolidadofev[[#This Row],[ATUAL]])</f>
        <v>0</v>
      </c>
      <c r="Q192" s="119" t="n">
        <f aca="false">SUMIFS(tabela_registros[VALOR],tabela_registros[MÊS],$AE$1,tabela_registros[DIA],reservavariáveisconsolidadofev[[#Headers],[13]],tabela_registros[REGISTRO],DADOS!$N$6,tabela_registros[TIPO],DADOS!$AJ$4,tabela_registros[CATEGORIA],reservavariáveisconsolidadofev[[#This Row],[ATUAL]])</f>
        <v>0</v>
      </c>
      <c r="R192" s="119" t="n">
        <f aca="false">SUMIFS(tabela_registros[VALOR],tabela_registros[MÊS],$AE$1,tabela_registros[DIA],reservavariáveisconsolidadofev[[#Headers],[14]],tabela_registros[REGISTRO],DADOS!$N$6,tabela_registros[TIPO],DADOS!$AJ$4,tabela_registros[CATEGORIA],reservavariáveisconsolidadofev[[#This Row],[ATUAL]])</f>
        <v>0</v>
      </c>
      <c r="S192" s="119" t="n">
        <f aca="false">SUMIFS(tabela_registros[VALOR],tabela_registros[MÊS],$AE$1,tabela_registros[DIA],reservavariáveisconsolidadofev[[#Headers],[15]],tabela_registros[REGISTRO],DADOS!$N$6,tabela_registros[TIPO],DADOS!$AJ$4,tabela_registros[CATEGORIA],reservavariáveisconsolidadofev[[#This Row],[ATUAL]])</f>
        <v>0</v>
      </c>
      <c r="T192" s="119" t="n">
        <f aca="false">SUMIFS(tabela_registros[VALOR],tabela_registros[MÊS],$AE$1,tabela_registros[DIA],reservavariáveisconsolidadofev[[#Headers],[16]],tabela_registros[REGISTRO],DADOS!$N$6,tabela_registros[TIPO],DADOS!$AJ$4,tabela_registros[CATEGORIA],reservavariáveisconsolidadofev[[#This Row],[ATUAL]])</f>
        <v>0</v>
      </c>
      <c r="U192" s="119" t="n">
        <f aca="false">SUMIFS(tabela_registros[VALOR],tabela_registros[MÊS],$AE$1,tabela_registros[DIA],reservavariáveisconsolidadofev[[#Headers],[17]],tabela_registros[REGISTRO],DADOS!$N$6,tabela_registros[TIPO],DADOS!$AJ$4,tabela_registros[CATEGORIA],reservavariáveisconsolidadofev[[#This Row],[ATUAL]])</f>
        <v>0</v>
      </c>
      <c r="V192" s="119" t="n">
        <f aca="false">SUMIFS(tabela_registros[VALOR],tabela_registros[MÊS],$AE$1,tabela_registros[DIA],reservavariáveisconsolidadofev[[#Headers],[18]],tabela_registros[REGISTRO],DADOS!$N$6,tabela_registros[TIPO],DADOS!$AJ$4,tabela_registros[CATEGORIA],reservavariáveisconsolidadofev[[#This Row],[ATUAL]])</f>
        <v>0</v>
      </c>
      <c r="W192" s="119" t="n">
        <f aca="false">SUMIFS(tabela_registros[VALOR],tabela_registros[MÊS],$AE$1,tabela_registros[DIA],reservavariáveisconsolidadofev[[#Headers],[19]],tabela_registros[REGISTRO],DADOS!$N$6,tabela_registros[TIPO],DADOS!$AJ$4,tabela_registros[CATEGORIA],reservavariáveisconsolidadofev[[#This Row],[ATUAL]])</f>
        <v>0</v>
      </c>
      <c r="X192" s="119" t="n">
        <f aca="false">SUMIFS(tabela_registros[VALOR],tabela_registros[MÊS],$AE$1,tabela_registros[DIA],reservavariáveisconsolidadofev[[#Headers],[20]],tabela_registros[REGISTRO],DADOS!$N$6,tabela_registros[TIPO],DADOS!$AJ$4,tabela_registros[CATEGORIA],reservavariáveisconsolidadofev[[#This Row],[ATUAL]])</f>
        <v>0</v>
      </c>
      <c r="Y192" s="119" t="n">
        <f aca="false">SUMIFS(tabela_registros[VALOR],tabela_registros[MÊS],$AE$1,tabela_registros[DIA],reservavariáveisconsolidadofev[[#Headers],[21]],tabela_registros[REGISTRO],DADOS!$N$6,tabela_registros[TIPO],DADOS!$AJ$4,tabela_registros[CATEGORIA],reservavariáveisconsolidadofev[[#This Row],[ATUAL]])</f>
        <v>0</v>
      </c>
      <c r="Z192" s="119" t="n">
        <f aca="false">SUMIFS(tabela_registros[VALOR],tabela_registros[MÊS],$AE$1,tabela_registros[DIA],reservavariáveisconsolidadofev[[#Headers],[22]],tabela_registros[REGISTRO],DADOS!$N$6,tabela_registros[TIPO],DADOS!$AJ$4,tabela_registros[CATEGORIA],reservavariáveisconsolidadofev[[#This Row],[ATUAL]])</f>
        <v>0</v>
      </c>
      <c r="AA192" s="119" t="n">
        <f aca="false">SUMIFS(tabela_registros[VALOR],tabela_registros[MÊS],$AE$1,tabela_registros[DIA],reservavariáveisconsolidadofev[[#Headers],[23]],tabela_registros[REGISTRO],DADOS!$N$6,tabela_registros[TIPO],DADOS!$AJ$4,tabela_registros[CATEGORIA],reservavariáveisconsolidadofev[[#This Row],[ATUAL]])</f>
        <v>0</v>
      </c>
      <c r="AB192" s="119" t="n">
        <f aca="false">SUMIFS(tabela_registros[VALOR],tabela_registros[MÊS],$AE$1,tabela_registros[DIA],reservavariáveisconsolidadofev[[#Headers],[24]],tabela_registros[REGISTRO],DADOS!$N$6,tabela_registros[TIPO],DADOS!$AJ$4,tabela_registros[CATEGORIA],reservavariáveisconsolidadofev[[#This Row],[ATUAL]])</f>
        <v>0</v>
      </c>
      <c r="AC192" s="119" t="n">
        <f aca="false">SUMIFS(tabela_registros[VALOR],tabela_registros[MÊS],$AE$1,tabela_registros[DIA],reservavariáveisconsolidadofev[[#Headers],[25]],tabela_registros[REGISTRO],DADOS!$N$6,tabela_registros[TIPO],DADOS!$AJ$4,tabela_registros[CATEGORIA],reservavariáveisconsolidadofev[[#This Row],[ATUAL]])</f>
        <v>0</v>
      </c>
      <c r="AD192" s="119" t="n">
        <f aca="false">SUMIFS(tabela_registros[VALOR],tabela_registros[MÊS],$AE$1,tabela_registros[DIA],reservavariáveisconsolidadofev[[#Headers],[26]],tabela_registros[REGISTRO],DADOS!$N$6,tabela_registros[TIPO],DADOS!$AJ$4,tabela_registros[CATEGORIA],reservavariáveisconsolidadofev[[#This Row],[ATUAL]])</f>
        <v>0</v>
      </c>
      <c r="AE192" s="119" t="n">
        <f aca="false">SUMIFS(tabela_registros[VALOR],tabela_registros[MÊS],$AE$1,tabela_registros[DIA],reservavariáveisconsolidadofev[[#Headers],[27]],tabela_registros[REGISTRO],DADOS!$N$6,tabela_registros[TIPO],DADOS!$AJ$4,tabela_registros[CATEGORIA],reservavariáveisconsolidadofev[[#This Row],[ATUAL]])</f>
        <v>0</v>
      </c>
      <c r="AF192" s="119" t="n">
        <f aca="false">SUMIFS(tabela_registros[VALOR],tabela_registros[MÊS],$AE$1,tabela_registros[DIA],reservavariáveisconsolidadofev[[#Headers],[28]],tabela_registros[REGISTRO],DADOS!$N$6,tabela_registros[TIPO],DADOS!$AJ$4,tabela_registros[CATEGORIA],reservavariáveisconsolidadofev[[#This Row],[ATUAL]])</f>
        <v>0</v>
      </c>
      <c r="AG192" s="119" t="n">
        <f aca="false">SUMIFS(tabela_registros[VALOR],tabela_registros[MÊS],$AE$1,tabela_registros[DIA],reservavariáveisconsolidadofev[[#Headers],[29]],tabela_registros[REGISTRO],DADOS!$N$6,tabela_registros[TIPO],DADOS!$AJ$4,tabela_registros[CATEGORIA],reservavariáveisconsolidadofev[[#This Row],[ATUAL]])</f>
        <v>0</v>
      </c>
      <c r="AH192" s="119" t="n">
        <f aca="false">SUMIFS(tabela_registros[VALOR],tabela_registros[MÊS],$AE$1,tabela_registros[DIA],reservavariáveisconsolidadofev[[#Headers],[30]],tabela_registros[REGISTRO],DADOS!$N$6,tabela_registros[TIPO],DADOS!$AJ$4,tabela_registros[CATEGORIA],reservavariáveisconsolidadofev[[#This Row],[ATUAL]])</f>
        <v>0</v>
      </c>
      <c r="AI192" s="217" t="n">
        <f aca="false">SUMIFS(tabela_registros[VALOR],tabela_registros[MÊS],$AE$1,tabela_registros[DIA],reservavariáveisconsolidadofev[[#Headers],[31]],tabela_registros[REGISTRO],DADOS!$N$6,tabela_registros[TIPO],DADOS!$AJ$4,tabela_registros[CATEGORIA],reservavariáveisconsolidadofev[[#This Row],[ATUAL]])</f>
        <v>0</v>
      </c>
      <c r="AJ192" s="149" t="n">
        <f aca="false">SUM(reservavariáveisconsolidadofev[[#This Row],[1]:[31]])</f>
        <v>0</v>
      </c>
      <c r="AK192" s="165"/>
    </row>
    <row r="193" customFormat="false" ht="19.5" hidden="false" customHeight="true" outlineLevel="0" collapsed="false">
      <c r="B193" s="143"/>
      <c r="C193" s="144" t="str">
        <f aca="false">DADOS!$AN$9</f>
        <v>📝 EXTERIOR</v>
      </c>
      <c r="D193" s="145" t="str">
        <f aca="false">IF(reservavariáveisconsolidadofev[[#This Row],[TOTAL (R$)]]=0,"",IF(OR(reservavariáveisconsolidadofev[[#This Row],[TOTAL (R$)]]=LARGE($AJ$187:$AJ$196,1),reservavariáveisconsolidadofev[[#This Row],[TOTAL (R$)]]=LARGE($AJ$187:$AJ$196,2)),DADOS!$I$11,""))</f>
        <v/>
      </c>
      <c r="E193" s="148" t="n">
        <f aca="false">SUMIFS(tabela_registros[VALOR],tabela_registros[MÊS],$AE$1,tabela_registros[DIA],reservavariáveisconsolidadofev[[#Headers],[1]],tabela_registros[REGISTRO],DADOS!$N$6,tabela_registros[TIPO],DADOS!$AJ$4,tabela_registros[CATEGORIA],reservavariáveisconsolidadofev[[#This Row],[ATUAL]])</f>
        <v>0</v>
      </c>
      <c r="F193" s="119" t="n">
        <f aca="false">SUMIFS(tabela_registros[VALOR],tabela_registros[MÊS],$AE$1,tabela_registros[DIA],reservavariáveisconsolidadofev[[#Headers],[2]],tabela_registros[REGISTRO],DADOS!$N$6,tabela_registros[TIPO],DADOS!$AJ$4,tabela_registros[CATEGORIA],reservavariáveisconsolidadofev[[#This Row],[ATUAL]])</f>
        <v>0</v>
      </c>
      <c r="G193" s="119" t="n">
        <f aca="false">SUMIFS(tabela_registros[VALOR],tabela_registros[MÊS],$AE$1,tabela_registros[DIA],reservavariáveisconsolidadofev[[#Headers],[3]],tabela_registros[REGISTRO],DADOS!$N$6,tabela_registros[TIPO],DADOS!$AJ$4,tabela_registros[CATEGORIA],reservavariáveisconsolidadofev[[#This Row],[ATUAL]])</f>
        <v>0</v>
      </c>
      <c r="H193" s="119" t="n">
        <f aca="false">SUMIFS(tabela_registros[VALOR],tabela_registros[MÊS],$AE$1,tabela_registros[DIA],reservavariáveisconsolidadofev[[#Headers],[4]],tabela_registros[REGISTRO],DADOS!$N$6,tabela_registros[TIPO],DADOS!$AJ$4,tabela_registros[CATEGORIA],reservavariáveisconsolidadofev[[#This Row],[ATUAL]])</f>
        <v>0</v>
      </c>
      <c r="I193" s="119" t="n">
        <f aca="false">SUMIFS(tabela_registros[VALOR],tabela_registros[MÊS],$AE$1,tabela_registros[DIA],reservavariáveisconsolidadofev[[#Headers],[5]],tabela_registros[REGISTRO],DADOS!$N$6,tabela_registros[TIPO],DADOS!$AJ$4,tabela_registros[CATEGORIA],reservavariáveisconsolidadofev[[#This Row],[ATUAL]])</f>
        <v>0</v>
      </c>
      <c r="J193" s="119" t="n">
        <f aca="false">SUMIFS(tabela_registros[VALOR],tabela_registros[MÊS],$AE$1,tabela_registros[DIA],reservavariáveisconsolidadofev[[#Headers],[6]],tabela_registros[REGISTRO],DADOS!$N$6,tabela_registros[TIPO],DADOS!$AJ$4,tabela_registros[CATEGORIA],reservavariáveisconsolidadofev[[#This Row],[ATUAL]])</f>
        <v>0</v>
      </c>
      <c r="K193" s="119" t="n">
        <f aca="false">SUMIFS(tabela_registros[VALOR],tabela_registros[MÊS],$AE$1,tabela_registros[DIA],reservavariáveisconsolidadofev[[#Headers],[7]],tabela_registros[REGISTRO],DADOS!$N$6,tabela_registros[TIPO],DADOS!$AJ$4,tabela_registros[CATEGORIA],reservavariáveisconsolidadofev[[#This Row],[ATUAL]])</f>
        <v>0</v>
      </c>
      <c r="L193" s="119" t="n">
        <f aca="false">SUMIFS(tabela_registros[VALOR],tabela_registros[MÊS],$AE$1,tabela_registros[DIA],reservavariáveisconsolidadofev[[#Headers],[8]],tabela_registros[REGISTRO],DADOS!$N$6,tabela_registros[TIPO],DADOS!$AJ$4,tabela_registros[CATEGORIA],reservavariáveisconsolidadofev[[#This Row],[ATUAL]])</f>
        <v>0</v>
      </c>
      <c r="M193" s="119" t="n">
        <f aca="false">SUMIFS(tabela_registros[VALOR],tabela_registros[MÊS],$AE$1,tabela_registros[DIA],reservavariáveisconsolidadofev[[#Headers],[9]],tabela_registros[REGISTRO],DADOS!$N$6,tabela_registros[TIPO],DADOS!$AJ$4,tabela_registros[CATEGORIA],reservavariáveisconsolidadofev[[#This Row],[ATUAL]])</f>
        <v>0</v>
      </c>
      <c r="N193" s="119" t="n">
        <f aca="false">SUMIFS(tabela_registros[VALOR],tabela_registros[MÊS],$AE$1,tabela_registros[DIA],reservavariáveisconsolidadofev[[#Headers],[10]],tabela_registros[REGISTRO],DADOS!$N$6,tabela_registros[TIPO],DADOS!$AJ$4,tabela_registros[CATEGORIA],reservavariáveisconsolidadofev[[#This Row],[ATUAL]])</f>
        <v>0</v>
      </c>
      <c r="O193" s="119" t="n">
        <f aca="false">SUMIFS(tabela_registros[VALOR],tabela_registros[MÊS],$AE$1,tabela_registros[DIA],reservavariáveisconsolidadofev[[#Headers],[11]],tabela_registros[REGISTRO],DADOS!$N$6,tabela_registros[TIPO],DADOS!$AJ$4,tabela_registros[CATEGORIA],reservavariáveisconsolidadofev[[#This Row],[ATUAL]])</f>
        <v>0</v>
      </c>
      <c r="P193" s="119" t="n">
        <f aca="false">SUMIFS(tabela_registros[VALOR],tabela_registros[MÊS],$AE$1,tabela_registros[DIA],reservavariáveisconsolidadofev[[#Headers],[12]],tabela_registros[REGISTRO],DADOS!$N$6,tabela_registros[TIPO],DADOS!$AJ$4,tabela_registros[CATEGORIA],reservavariáveisconsolidadofev[[#This Row],[ATUAL]])</f>
        <v>0</v>
      </c>
      <c r="Q193" s="119" t="n">
        <f aca="false">SUMIFS(tabela_registros[VALOR],tabela_registros[MÊS],$AE$1,tabela_registros[DIA],reservavariáveisconsolidadofev[[#Headers],[13]],tabela_registros[REGISTRO],DADOS!$N$6,tabela_registros[TIPO],DADOS!$AJ$4,tabela_registros[CATEGORIA],reservavariáveisconsolidadofev[[#This Row],[ATUAL]])</f>
        <v>0</v>
      </c>
      <c r="R193" s="119" t="n">
        <f aca="false">SUMIFS(tabela_registros[VALOR],tabela_registros[MÊS],$AE$1,tabela_registros[DIA],reservavariáveisconsolidadofev[[#Headers],[14]],tabela_registros[REGISTRO],DADOS!$N$6,tabela_registros[TIPO],DADOS!$AJ$4,tabela_registros[CATEGORIA],reservavariáveisconsolidadofev[[#This Row],[ATUAL]])</f>
        <v>0</v>
      </c>
      <c r="S193" s="119" t="n">
        <f aca="false">SUMIFS(tabela_registros[VALOR],tabela_registros[MÊS],$AE$1,tabela_registros[DIA],reservavariáveisconsolidadofev[[#Headers],[15]],tabela_registros[REGISTRO],DADOS!$N$6,tabela_registros[TIPO],DADOS!$AJ$4,tabela_registros[CATEGORIA],reservavariáveisconsolidadofev[[#This Row],[ATUAL]])</f>
        <v>0</v>
      </c>
      <c r="T193" s="119" t="n">
        <f aca="false">SUMIFS(tabela_registros[VALOR],tabela_registros[MÊS],$AE$1,tabela_registros[DIA],reservavariáveisconsolidadofev[[#Headers],[16]],tabela_registros[REGISTRO],DADOS!$N$6,tabela_registros[TIPO],DADOS!$AJ$4,tabela_registros[CATEGORIA],reservavariáveisconsolidadofev[[#This Row],[ATUAL]])</f>
        <v>0</v>
      </c>
      <c r="U193" s="119" t="n">
        <f aca="false">SUMIFS(tabela_registros[VALOR],tabela_registros[MÊS],$AE$1,tabela_registros[DIA],reservavariáveisconsolidadofev[[#Headers],[17]],tabela_registros[REGISTRO],DADOS!$N$6,tabela_registros[TIPO],DADOS!$AJ$4,tabela_registros[CATEGORIA],reservavariáveisconsolidadofev[[#This Row],[ATUAL]])</f>
        <v>0</v>
      </c>
      <c r="V193" s="119" t="n">
        <f aca="false">SUMIFS(tabela_registros[VALOR],tabela_registros[MÊS],$AE$1,tabela_registros[DIA],reservavariáveisconsolidadofev[[#Headers],[18]],tabela_registros[REGISTRO],DADOS!$N$6,tabela_registros[TIPO],DADOS!$AJ$4,tabela_registros[CATEGORIA],reservavariáveisconsolidadofev[[#This Row],[ATUAL]])</f>
        <v>0</v>
      </c>
      <c r="W193" s="119" t="n">
        <f aca="false">SUMIFS(tabela_registros[VALOR],tabela_registros[MÊS],$AE$1,tabela_registros[DIA],reservavariáveisconsolidadofev[[#Headers],[19]],tabela_registros[REGISTRO],DADOS!$N$6,tabela_registros[TIPO],DADOS!$AJ$4,tabela_registros[CATEGORIA],reservavariáveisconsolidadofev[[#This Row],[ATUAL]])</f>
        <v>0</v>
      </c>
      <c r="X193" s="119" t="n">
        <f aca="false">SUMIFS(tabela_registros[VALOR],tabela_registros[MÊS],$AE$1,tabela_registros[DIA],reservavariáveisconsolidadofev[[#Headers],[20]],tabela_registros[REGISTRO],DADOS!$N$6,tabela_registros[TIPO],DADOS!$AJ$4,tabela_registros[CATEGORIA],reservavariáveisconsolidadofev[[#This Row],[ATUAL]])</f>
        <v>0</v>
      </c>
      <c r="Y193" s="119" t="n">
        <f aca="false">SUMIFS(tabela_registros[VALOR],tabela_registros[MÊS],$AE$1,tabela_registros[DIA],reservavariáveisconsolidadofev[[#Headers],[21]],tabela_registros[REGISTRO],DADOS!$N$6,tabela_registros[TIPO],DADOS!$AJ$4,tabela_registros[CATEGORIA],reservavariáveisconsolidadofev[[#This Row],[ATUAL]])</f>
        <v>0</v>
      </c>
      <c r="Z193" s="119" t="n">
        <f aca="false">SUMIFS(tabela_registros[VALOR],tabela_registros[MÊS],$AE$1,tabela_registros[DIA],reservavariáveisconsolidadofev[[#Headers],[22]],tabela_registros[REGISTRO],DADOS!$N$6,tabela_registros[TIPO],DADOS!$AJ$4,tabela_registros[CATEGORIA],reservavariáveisconsolidadofev[[#This Row],[ATUAL]])</f>
        <v>0</v>
      </c>
      <c r="AA193" s="119" t="n">
        <f aca="false">SUMIFS(tabela_registros[VALOR],tabela_registros[MÊS],$AE$1,tabela_registros[DIA],reservavariáveisconsolidadofev[[#Headers],[23]],tabela_registros[REGISTRO],DADOS!$N$6,tabela_registros[TIPO],DADOS!$AJ$4,tabela_registros[CATEGORIA],reservavariáveisconsolidadofev[[#This Row],[ATUAL]])</f>
        <v>0</v>
      </c>
      <c r="AB193" s="119" t="n">
        <f aca="false">SUMIFS(tabela_registros[VALOR],tabela_registros[MÊS],$AE$1,tabela_registros[DIA],reservavariáveisconsolidadofev[[#Headers],[24]],tabela_registros[REGISTRO],DADOS!$N$6,tabela_registros[TIPO],DADOS!$AJ$4,tabela_registros[CATEGORIA],reservavariáveisconsolidadofev[[#This Row],[ATUAL]])</f>
        <v>0</v>
      </c>
      <c r="AC193" s="119" t="n">
        <f aca="false">SUMIFS(tabela_registros[VALOR],tabela_registros[MÊS],$AE$1,tabela_registros[DIA],reservavariáveisconsolidadofev[[#Headers],[25]],tabela_registros[REGISTRO],DADOS!$N$6,tabela_registros[TIPO],DADOS!$AJ$4,tabela_registros[CATEGORIA],reservavariáveisconsolidadofev[[#This Row],[ATUAL]])</f>
        <v>0</v>
      </c>
      <c r="AD193" s="119" t="n">
        <f aca="false">SUMIFS(tabela_registros[VALOR],tabela_registros[MÊS],$AE$1,tabela_registros[DIA],reservavariáveisconsolidadofev[[#Headers],[26]],tabela_registros[REGISTRO],DADOS!$N$6,tabela_registros[TIPO],DADOS!$AJ$4,tabela_registros[CATEGORIA],reservavariáveisconsolidadofev[[#This Row],[ATUAL]])</f>
        <v>0</v>
      </c>
      <c r="AE193" s="119" t="n">
        <f aca="false">SUMIFS(tabela_registros[VALOR],tabela_registros[MÊS],$AE$1,tabela_registros[DIA],reservavariáveisconsolidadofev[[#Headers],[27]],tabela_registros[REGISTRO],DADOS!$N$6,tabela_registros[TIPO],DADOS!$AJ$4,tabela_registros[CATEGORIA],reservavariáveisconsolidadofev[[#This Row],[ATUAL]])</f>
        <v>0</v>
      </c>
      <c r="AF193" s="119" t="n">
        <f aca="false">SUMIFS(tabela_registros[VALOR],tabela_registros[MÊS],$AE$1,tabela_registros[DIA],reservavariáveisconsolidadofev[[#Headers],[28]],tabela_registros[REGISTRO],DADOS!$N$6,tabela_registros[TIPO],DADOS!$AJ$4,tabela_registros[CATEGORIA],reservavariáveisconsolidadofev[[#This Row],[ATUAL]])</f>
        <v>0</v>
      </c>
      <c r="AG193" s="119" t="n">
        <f aca="false">SUMIFS(tabela_registros[VALOR],tabela_registros[MÊS],$AE$1,tabela_registros[DIA],reservavariáveisconsolidadofev[[#Headers],[29]],tabela_registros[REGISTRO],DADOS!$N$6,tabela_registros[TIPO],DADOS!$AJ$4,tabela_registros[CATEGORIA],reservavariáveisconsolidadofev[[#This Row],[ATUAL]])</f>
        <v>0</v>
      </c>
      <c r="AH193" s="119" t="n">
        <f aca="false">SUMIFS(tabela_registros[VALOR],tabela_registros[MÊS],$AE$1,tabela_registros[DIA],reservavariáveisconsolidadofev[[#Headers],[30]],tabela_registros[REGISTRO],DADOS!$N$6,tabela_registros[TIPO],DADOS!$AJ$4,tabela_registros[CATEGORIA],reservavariáveisconsolidadofev[[#This Row],[ATUAL]])</f>
        <v>0</v>
      </c>
      <c r="AI193" s="217" t="n">
        <f aca="false">SUMIFS(tabela_registros[VALOR],tabela_registros[MÊS],$AE$1,tabela_registros[DIA],reservavariáveisconsolidadofev[[#Headers],[31]],tabela_registros[REGISTRO],DADOS!$N$6,tabela_registros[TIPO],DADOS!$AJ$4,tabela_registros[CATEGORIA],reservavariáveisconsolidadofev[[#This Row],[ATUAL]])</f>
        <v>0</v>
      </c>
      <c r="AJ193" s="149" t="n">
        <f aca="false">SUM(reservavariáveisconsolidadofev[[#This Row],[1]:[31]])</f>
        <v>0</v>
      </c>
      <c r="AK193" s="165"/>
    </row>
    <row r="194" customFormat="false" ht="19.5" hidden="false" customHeight="true" outlineLevel="0" collapsed="false">
      <c r="B194" s="143"/>
      <c r="C194" s="144" t="str">
        <f aca="false">DADOS!$AN$10</f>
        <v>📝 FII</v>
      </c>
      <c r="D194" s="145" t="str">
        <f aca="false">IF(reservavariáveisconsolidadofev[[#This Row],[TOTAL (R$)]]=0,"",IF(OR(reservavariáveisconsolidadofev[[#This Row],[TOTAL (R$)]]=LARGE($AJ$187:$AJ$196,1),reservavariáveisconsolidadofev[[#This Row],[TOTAL (R$)]]=LARGE($AJ$187:$AJ$196,2)),DADOS!$I$11,""))</f>
        <v/>
      </c>
      <c r="E194" s="148" t="n">
        <f aca="false">SUMIFS(tabela_registros[VALOR],tabela_registros[MÊS],$AE$1,tabela_registros[DIA],reservavariáveisconsolidadofev[[#Headers],[1]],tabela_registros[REGISTRO],DADOS!$N$6,tabela_registros[TIPO],DADOS!$AJ$4,tabela_registros[CATEGORIA],reservavariáveisconsolidadofev[[#This Row],[ATUAL]])</f>
        <v>0</v>
      </c>
      <c r="F194" s="119" t="n">
        <f aca="false">SUMIFS(tabela_registros[VALOR],tabela_registros[MÊS],$AE$1,tabela_registros[DIA],reservavariáveisconsolidadofev[[#Headers],[2]],tabela_registros[REGISTRO],DADOS!$N$6,tabela_registros[TIPO],DADOS!$AJ$4,tabela_registros[CATEGORIA],reservavariáveisconsolidadofev[[#This Row],[ATUAL]])</f>
        <v>0</v>
      </c>
      <c r="G194" s="119" t="n">
        <f aca="false">SUMIFS(tabela_registros[VALOR],tabela_registros[MÊS],$AE$1,tabela_registros[DIA],reservavariáveisconsolidadofev[[#Headers],[3]],tabela_registros[REGISTRO],DADOS!$N$6,tabela_registros[TIPO],DADOS!$AJ$4,tabela_registros[CATEGORIA],reservavariáveisconsolidadofev[[#This Row],[ATUAL]])</f>
        <v>0</v>
      </c>
      <c r="H194" s="119" t="n">
        <f aca="false">SUMIFS(tabela_registros[VALOR],tabela_registros[MÊS],$AE$1,tabela_registros[DIA],reservavariáveisconsolidadofev[[#Headers],[4]],tabela_registros[REGISTRO],DADOS!$N$6,tabela_registros[TIPO],DADOS!$AJ$4,tabela_registros[CATEGORIA],reservavariáveisconsolidadofev[[#This Row],[ATUAL]])</f>
        <v>0</v>
      </c>
      <c r="I194" s="119" t="n">
        <f aca="false">SUMIFS(tabela_registros[VALOR],tabela_registros[MÊS],$AE$1,tabela_registros[DIA],reservavariáveisconsolidadofev[[#Headers],[5]],tabela_registros[REGISTRO],DADOS!$N$6,tabela_registros[TIPO],DADOS!$AJ$4,tabela_registros[CATEGORIA],reservavariáveisconsolidadofev[[#This Row],[ATUAL]])</f>
        <v>0</v>
      </c>
      <c r="J194" s="119" t="n">
        <f aca="false">SUMIFS(tabela_registros[VALOR],tabela_registros[MÊS],$AE$1,tabela_registros[DIA],reservavariáveisconsolidadofev[[#Headers],[6]],tabela_registros[REGISTRO],DADOS!$N$6,tabela_registros[TIPO],DADOS!$AJ$4,tabela_registros[CATEGORIA],reservavariáveisconsolidadofev[[#This Row],[ATUAL]])</f>
        <v>0</v>
      </c>
      <c r="K194" s="119" t="n">
        <f aca="false">SUMIFS(tabela_registros[VALOR],tabela_registros[MÊS],$AE$1,tabela_registros[DIA],reservavariáveisconsolidadofev[[#Headers],[7]],tabela_registros[REGISTRO],DADOS!$N$6,tabela_registros[TIPO],DADOS!$AJ$4,tabela_registros[CATEGORIA],reservavariáveisconsolidadofev[[#This Row],[ATUAL]])</f>
        <v>0</v>
      </c>
      <c r="L194" s="119" t="n">
        <f aca="false">SUMIFS(tabela_registros[VALOR],tabela_registros[MÊS],$AE$1,tabela_registros[DIA],reservavariáveisconsolidadofev[[#Headers],[8]],tabela_registros[REGISTRO],DADOS!$N$6,tabela_registros[TIPO],DADOS!$AJ$4,tabela_registros[CATEGORIA],reservavariáveisconsolidadofev[[#This Row],[ATUAL]])</f>
        <v>0</v>
      </c>
      <c r="M194" s="119" t="n">
        <f aca="false">SUMIFS(tabela_registros[VALOR],tabela_registros[MÊS],$AE$1,tabela_registros[DIA],reservavariáveisconsolidadofev[[#Headers],[9]],tabela_registros[REGISTRO],DADOS!$N$6,tabela_registros[TIPO],DADOS!$AJ$4,tabela_registros[CATEGORIA],reservavariáveisconsolidadofev[[#This Row],[ATUAL]])</f>
        <v>0</v>
      </c>
      <c r="N194" s="119" t="n">
        <f aca="false">SUMIFS(tabela_registros[VALOR],tabela_registros[MÊS],$AE$1,tabela_registros[DIA],reservavariáveisconsolidadofev[[#Headers],[10]],tabela_registros[REGISTRO],DADOS!$N$6,tabela_registros[TIPO],DADOS!$AJ$4,tabela_registros[CATEGORIA],reservavariáveisconsolidadofev[[#This Row],[ATUAL]])</f>
        <v>0</v>
      </c>
      <c r="O194" s="119" t="n">
        <f aca="false">SUMIFS(tabela_registros[VALOR],tabela_registros[MÊS],$AE$1,tabela_registros[DIA],reservavariáveisconsolidadofev[[#Headers],[11]],tabela_registros[REGISTRO],DADOS!$N$6,tabela_registros[TIPO],DADOS!$AJ$4,tabela_registros[CATEGORIA],reservavariáveisconsolidadofev[[#This Row],[ATUAL]])</f>
        <v>0</v>
      </c>
      <c r="P194" s="119" t="n">
        <f aca="false">SUMIFS(tabela_registros[VALOR],tabela_registros[MÊS],$AE$1,tabela_registros[DIA],reservavariáveisconsolidadofev[[#Headers],[12]],tabela_registros[REGISTRO],DADOS!$N$6,tabela_registros[TIPO],DADOS!$AJ$4,tabela_registros[CATEGORIA],reservavariáveisconsolidadofev[[#This Row],[ATUAL]])</f>
        <v>0</v>
      </c>
      <c r="Q194" s="119" t="n">
        <f aca="false">SUMIFS(tabela_registros[VALOR],tabela_registros[MÊS],$AE$1,tabela_registros[DIA],reservavariáveisconsolidadofev[[#Headers],[13]],tabela_registros[REGISTRO],DADOS!$N$6,tabela_registros[TIPO],DADOS!$AJ$4,tabela_registros[CATEGORIA],reservavariáveisconsolidadofev[[#This Row],[ATUAL]])</f>
        <v>0</v>
      </c>
      <c r="R194" s="119" t="n">
        <f aca="false">SUMIFS(tabela_registros[VALOR],tabela_registros[MÊS],$AE$1,tabela_registros[DIA],reservavariáveisconsolidadofev[[#Headers],[14]],tabela_registros[REGISTRO],DADOS!$N$6,tabela_registros[TIPO],DADOS!$AJ$4,tabela_registros[CATEGORIA],reservavariáveisconsolidadofev[[#This Row],[ATUAL]])</f>
        <v>0</v>
      </c>
      <c r="S194" s="119" t="n">
        <f aca="false">SUMIFS(tabela_registros[VALOR],tabela_registros[MÊS],$AE$1,tabela_registros[DIA],reservavariáveisconsolidadofev[[#Headers],[15]],tabela_registros[REGISTRO],DADOS!$N$6,tabela_registros[TIPO],DADOS!$AJ$4,tabela_registros[CATEGORIA],reservavariáveisconsolidadofev[[#This Row],[ATUAL]])</f>
        <v>0</v>
      </c>
      <c r="T194" s="119" t="n">
        <f aca="false">SUMIFS(tabela_registros[VALOR],tabela_registros[MÊS],$AE$1,tabela_registros[DIA],reservavariáveisconsolidadofev[[#Headers],[16]],tabela_registros[REGISTRO],DADOS!$N$6,tabela_registros[TIPO],DADOS!$AJ$4,tabela_registros[CATEGORIA],reservavariáveisconsolidadofev[[#This Row],[ATUAL]])</f>
        <v>0</v>
      </c>
      <c r="U194" s="119" t="n">
        <f aca="false">SUMIFS(tabela_registros[VALOR],tabela_registros[MÊS],$AE$1,tabela_registros[DIA],reservavariáveisconsolidadofev[[#Headers],[17]],tabela_registros[REGISTRO],DADOS!$N$6,tabela_registros[TIPO],DADOS!$AJ$4,tabela_registros[CATEGORIA],reservavariáveisconsolidadofev[[#This Row],[ATUAL]])</f>
        <v>0</v>
      </c>
      <c r="V194" s="119" t="n">
        <f aca="false">SUMIFS(tabela_registros[VALOR],tabela_registros[MÊS],$AE$1,tabela_registros[DIA],reservavariáveisconsolidadofev[[#Headers],[18]],tabela_registros[REGISTRO],DADOS!$N$6,tabela_registros[TIPO],DADOS!$AJ$4,tabela_registros[CATEGORIA],reservavariáveisconsolidadofev[[#This Row],[ATUAL]])</f>
        <v>0</v>
      </c>
      <c r="W194" s="119" t="n">
        <f aca="false">SUMIFS(tabela_registros[VALOR],tabela_registros[MÊS],$AE$1,tabela_registros[DIA],reservavariáveisconsolidadofev[[#Headers],[19]],tabela_registros[REGISTRO],DADOS!$N$6,tabela_registros[TIPO],DADOS!$AJ$4,tabela_registros[CATEGORIA],reservavariáveisconsolidadofev[[#This Row],[ATUAL]])</f>
        <v>0</v>
      </c>
      <c r="X194" s="119" t="n">
        <f aca="false">SUMIFS(tabela_registros[VALOR],tabela_registros[MÊS],$AE$1,tabela_registros[DIA],reservavariáveisconsolidadofev[[#Headers],[20]],tabela_registros[REGISTRO],DADOS!$N$6,tabela_registros[TIPO],DADOS!$AJ$4,tabela_registros[CATEGORIA],reservavariáveisconsolidadofev[[#This Row],[ATUAL]])</f>
        <v>0</v>
      </c>
      <c r="Y194" s="119" t="n">
        <f aca="false">SUMIFS(tabela_registros[VALOR],tabela_registros[MÊS],$AE$1,tabela_registros[DIA],reservavariáveisconsolidadofev[[#Headers],[21]],tabela_registros[REGISTRO],DADOS!$N$6,tabela_registros[TIPO],DADOS!$AJ$4,tabela_registros[CATEGORIA],reservavariáveisconsolidadofev[[#This Row],[ATUAL]])</f>
        <v>0</v>
      </c>
      <c r="Z194" s="119" t="n">
        <f aca="false">SUMIFS(tabela_registros[VALOR],tabela_registros[MÊS],$AE$1,tabela_registros[DIA],reservavariáveisconsolidadofev[[#Headers],[22]],tabela_registros[REGISTRO],DADOS!$N$6,tabela_registros[TIPO],DADOS!$AJ$4,tabela_registros[CATEGORIA],reservavariáveisconsolidadofev[[#This Row],[ATUAL]])</f>
        <v>0</v>
      </c>
      <c r="AA194" s="119" t="n">
        <f aca="false">SUMIFS(tabela_registros[VALOR],tabela_registros[MÊS],$AE$1,tabela_registros[DIA],reservavariáveisconsolidadofev[[#Headers],[23]],tabela_registros[REGISTRO],DADOS!$N$6,tabela_registros[TIPO],DADOS!$AJ$4,tabela_registros[CATEGORIA],reservavariáveisconsolidadofev[[#This Row],[ATUAL]])</f>
        <v>0</v>
      </c>
      <c r="AB194" s="119" t="n">
        <f aca="false">SUMIFS(tabela_registros[VALOR],tabela_registros[MÊS],$AE$1,tabela_registros[DIA],reservavariáveisconsolidadofev[[#Headers],[24]],tabela_registros[REGISTRO],DADOS!$N$6,tabela_registros[TIPO],DADOS!$AJ$4,tabela_registros[CATEGORIA],reservavariáveisconsolidadofev[[#This Row],[ATUAL]])</f>
        <v>0</v>
      </c>
      <c r="AC194" s="119" t="n">
        <f aca="false">SUMIFS(tabela_registros[VALOR],tabela_registros[MÊS],$AE$1,tabela_registros[DIA],reservavariáveisconsolidadofev[[#Headers],[25]],tabela_registros[REGISTRO],DADOS!$N$6,tabela_registros[TIPO],DADOS!$AJ$4,tabela_registros[CATEGORIA],reservavariáveisconsolidadofev[[#This Row],[ATUAL]])</f>
        <v>0</v>
      </c>
      <c r="AD194" s="119" t="n">
        <f aca="false">SUMIFS(tabela_registros[VALOR],tabela_registros[MÊS],$AE$1,tabela_registros[DIA],reservavariáveisconsolidadofev[[#Headers],[26]],tabela_registros[REGISTRO],DADOS!$N$6,tabela_registros[TIPO],DADOS!$AJ$4,tabela_registros[CATEGORIA],reservavariáveisconsolidadofev[[#This Row],[ATUAL]])</f>
        <v>0</v>
      </c>
      <c r="AE194" s="119" t="n">
        <f aca="false">SUMIFS(tabela_registros[VALOR],tabela_registros[MÊS],$AE$1,tabela_registros[DIA],reservavariáveisconsolidadofev[[#Headers],[27]],tabela_registros[REGISTRO],DADOS!$N$6,tabela_registros[TIPO],DADOS!$AJ$4,tabela_registros[CATEGORIA],reservavariáveisconsolidadofev[[#This Row],[ATUAL]])</f>
        <v>0</v>
      </c>
      <c r="AF194" s="119" t="n">
        <f aca="false">SUMIFS(tabela_registros[VALOR],tabela_registros[MÊS],$AE$1,tabela_registros[DIA],reservavariáveisconsolidadofev[[#Headers],[28]],tabela_registros[REGISTRO],DADOS!$N$6,tabela_registros[TIPO],DADOS!$AJ$4,tabela_registros[CATEGORIA],reservavariáveisconsolidadofev[[#This Row],[ATUAL]])</f>
        <v>0</v>
      </c>
      <c r="AG194" s="119" t="n">
        <f aca="false">SUMIFS(tabela_registros[VALOR],tabela_registros[MÊS],$AE$1,tabela_registros[DIA],reservavariáveisconsolidadofev[[#Headers],[29]],tabela_registros[REGISTRO],DADOS!$N$6,tabela_registros[TIPO],DADOS!$AJ$4,tabela_registros[CATEGORIA],reservavariáveisconsolidadofev[[#This Row],[ATUAL]])</f>
        <v>0</v>
      </c>
      <c r="AH194" s="119" t="n">
        <f aca="false">SUMIFS(tabela_registros[VALOR],tabela_registros[MÊS],$AE$1,tabela_registros[DIA],reservavariáveisconsolidadofev[[#Headers],[30]],tabela_registros[REGISTRO],DADOS!$N$6,tabela_registros[TIPO],DADOS!$AJ$4,tabela_registros[CATEGORIA],reservavariáveisconsolidadofev[[#This Row],[ATUAL]])</f>
        <v>0</v>
      </c>
      <c r="AI194" s="217" t="n">
        <f aca="false">SUMIFS(tabela_registros[VALOR],tabela_registros[MÊS],$AE$1,tabela_registros[DIA],reservavariáveisconsolidadofev[[#Headers],[31]],tabela_registros[REGISTRO],DADOS!$N$6,tabela_registros[TIPO],DADOS!$AJ$4,tabela_registros[CATEGORIA],reservavariáveisconsolidadofev[[#This Row],[ATUAL]])</f>
        <v>0</v>
      </c>
      <c r="AJ194" s="149" t="n">
        <f aca="false">SUM(reservavariáveisconsolidadofev[[#This Row],[1]:[31]])</f>
        <v>0</v>
      </c>
      <c r="AK194" s="165"/>
    </row>
    <row r="195" customFormat="false" ht="19.5" hidden="false" customHeight="true" outlineLevel="0" collapsed="false">
      <c r="B195" s="143"/>
      <c r="C195" s="144" t="str">
        <f aca="false">DADOS!$AN$11</f>
        <v>📝 MOEDA</v>
      </c>
      <c r="D195" s="145" t="str">
        <f aca="false">IF(reservavariáveisconsolidadofev[[#This Row],[TOTAL (R$)]]=0,"",IF(OR(reservavariáveisconsolidadofev[[#This Row],[TOTAL (R$)]]=LARGE($AJ$187:$AJ$196,1),reservavariáveisconsolidadofev[[#This Row],[TOTAL (R$)]]=LARGE($AJ$187:$AJ$196,2)),DADOS!$I$11,""))</f>
        <v/>
      </c>
      <c r="E195" s="148" t="n">
        <f aca="false">SUMIFS(tabela_registros[VALOR],tabela_registros[MÊS],$AE$1,tabela_registros[DIA],reservavariáveisconsolidadofev[[#Headers],[1]],tabela_registros[REGISTRO],DADOS!$N$6,tabela_registros[TIPO],DADOS!$AJ$4,tabela_registros[CATEGORIA],reservavariáveisconsolidadofev[[#This Row],[ATUAL]])</f>
        <v>0</v>
      </c>
      <c r="F195" s="119" t="n">
        <f aca="false">SUMIFS(tabela_registros[VALOR],tabela_registros[MÊS],$AE$1,tabela_registros[DIA],reservavariáveisconsolidadofev[[#Headers],[2]],tabela_registros[REGISTRO],DADOS!$N$6,tabela_registros[TIPO],DADOS!$AJ$4,tabela_registros[CATEGORIA],reservavariáveisconsolidadofev[[#This Row],[ATUAL]])</f>
        <v>0</v>
      </c>
      <c r="G195" s="119" t="n">
        <f aca="false">SUMIFS(tabela_registros[VALOR],tabela_registros[MÊS],$AE$1,tabela_registros[DIA],reservavariáveisconsolidadofev[[#Headers],[3]],tabela_registros[REGISTRO],DADOS!$N$6,tabela_registros[TIPO],DADOS!$AJ$4,tabela_registros[CATEGORIA],reservavariáveisconsolidadofev[[#This Row],[ATUAL]])</f>
        <v>0</v>
      </c>
      <c r="H195" s="119" t="n">
        <f aca="false">SUMIFS(tabela_registros[VALOR],tabela_registros[MÊS],$AE$1,tabela_registros[DIA],reservavariáveisconsolidadofev[[#Headers],[4]],tabela_registros[REGISTRO],DADOS!$N$6,tabela_registros[TIPO],DADOS!$AJ$4,tabela_registros[CATEGORIA],reservavariáveisconsolidadofev[[#This Row],[ATUAL]])</f>
        <v>0</v>
      </c>
      <c r="I195" s="119" t="n">
        <f aca="false">SUMIFS(tabela_registros[VALOR],tabela_registros[MÊS],$AE$1,tabela_registros[DIA],reservavariáveisconsolidadofev[[#Headers],[5]],tabela_registros[REGISTRO],DADOS!$N$6,tabela_registros[TIPO],DADOS!$AJ$4,tabela_registros[CATEGORIA],reservavariáveisconsolidadofev[[#This Row],[ATUAL]])</f>
        <v>0</v>
      </c>
      <c r="J195" s="119" t="n">
        <f aca="false">SUMIFS(tabela_registros[VALOR],tabela_registros[MÊS],$AE$1,tabela_registros[DIA],reservavariáveisconsolidadofev[[#Headers],[6]],tabela_registros[REGISTRO],DADOS!$N$6,tabela_registros[TIPO],DADOS!$AJ$4,tabela_registros[CATEGORIA],reservavariáveisconsolidadofev[[#This Row],[ATUAL]])</f>
        <v>0</v>
      </c>
      <c r="K195" s="119" t="n">
        <f aca="false">SUMIFS(tabela_registros[VALOR],tabela_registros[MÊS],$AE$1,tabela_registros[DIA],reservavariáveisconsolidadofev[[#Headers],[7]],tabela_registros[REGISTRO],DADOS!$N$6,tabela_registros[TIPO],DADOS!$AJ$4,tabela_registros[CATEGORIA],reservavariáveisconsolidadofev[[#This Row],[ATUAL]])</f>
        <v>0</v>
      </c>
      <c r="L195" s="119" t="n">
        <f aca="false">SUMIFS(tabela_registros[VALOR],tabela_registros[MÊS],$AE$1,tabela_registros[DIA],reservavariáveisconsolidadofev[[#Headers],[8]],tabela_registros[REGISTRO],DADOS!$N$6,tabela_registros[TIPO],DADOS!$AJ$4,tabela_registros[CATEGORIA],reservavariáveisconsolidadofev[[#This Row],[ATUAL]])</f>
        <v>0</v>
      </c>
      <c r="M195" s="119" t="n">
        <f aca="false">SUMIFS(tabela_registros[VALOR],tabela_registros[MÊS],$AE$1,tabela_registros[DIA],reservavariáveisconsolidadofev[[#Headers],[9]],tabela_registros[REGISTRO],DADOS!$N$6,tabela_registros[TIPO],DADOS!$AJ$4,tabela_registros[CATEGORIA],reservavariáveisconsolidadofev[[#This Row],[ATUAL]])</f>
        <v>0</v>
      </c>
      <c r="N195" s="119" t="n">
        <f aca="false">SUMIFS(tabela_registros[VALOR],tabela_registros[MÊS],$AE$1,tabela_registros[DIA],reservavariáveisconsolidadofev[[#Headers],[10]],tabela_registros[REGISTRO],DADOS!$N$6,tabela_registros[TIPO],DADOS!$AJ$4,tabela_registros[CATEGORIA],reservavariáveisconsolidadofev[[#This Row],[ATUAL]])</f>
        <v>0</v>
      </c>
      <c r="O195" s="119" t="n">
        <f aca="false">SUMIFS(tabela_registros[VALOR],tabela_registros[MÊS],$AE$1,tabela_registros[DIA],reservavariáveisconsolidadofev[[#Headers],[11]],tabela_registros[REGISTRO],DADOS!$N$6,tabela_registros[TIPO],DADOS!$AJ$4,tabela_registros[CATEGORIA],reservavariáveisconsolidadofev[[#This Row],[ATUAL]])</f>
        <v>0</v>
      </c>
      <c r="P195" s="119" t="n">
        <f aca="false">SUMIFS(tabela_registros[VALOR],tabela_registros[MÊS],$AE$1,tabela_registros[DIA],reservavariáveisconsolidadofev[[#Headers],[12]],tabela_registros[REGISTRO],DADOS!$N$6,tabela_registros[TIPO],DADOS!$AJ$4,tabela_registros[CATEGORIA],reservavariáveisconsolidadofev[[#This Row],[ATUAL]])</f>
        <v>0</v>
      </c>
      <c r="Q195" s="119" t="n">
        <f aca="false">SUMIFS(tabela_registros[VALOR],tabela_registros[MÊS],$AE$1,tabela_registros[DIA],reservavariáveisconsolidadofev[[#Headers],[13]],tabela_registros[REGISTRO],DADOS!$N$6,tabela_registros[TIPO],DADOS!$AJ$4,tabela_registros[CATEGORIA],reservavariáveisconsolidadofev[[#This Row],[ATUAL]])</f>
        <v>0</v>
      </c>
      <c r="R195" s="119" t="n">
        <f aca="false">SUMIFS(tabela_registros[VALOR],tabela_registros[MÊS],$AE$1,tabela_registros[DIA],reservavariáveisconsolidadofev[[#Headers],[14]],tabela_registros[REGISTRO],DADOS!$N$6,tabela_registros[TIPO],DADOS!$AJ$4,tabela_registros[CATEGORIA],reservavariáveisconsolidadofev[[#This Row],[ATUAL]])</f>
        <v>0</v>
      </c>
      <c r="S195" s="119" t="n">
        <f aca="false">SUMIFS(tabela_registros[VALOR],tabela_registros[MÊS],$AE$1,tabela_registros[DIA],reservavariáveisconsolidadofev[[#Headers],[15]],tabela_registros[REGISTRO],DADOS!$N$6,tabela_registros[TIPO],DADOS!$AJ$4,tabela_registros[CATEGORIA],reservavariáveisconsolidadofev[[#This Row],[ATUAL]])</f>
        <v>0</v>
      </c>
      <c r="T195" s="119" t="n">
        <f aca="false">SUMIFS(tabela_registros[VALOR],tabela_registros[MÊS],$AE$1,tabela_registros[DIA],reservavariáveisconsolidadofev[[#Headers],[16]],tabela_registros[REGISTRO],DADOS!$N$6,tabela_registros[TIPO],DADOS!$AJ$4,tabela_registros[CATEGORIA],reservavariáveisconsolidadofev[[#This Row],[ATUAL]])</f>
        <v>0</v>
      </c>
      <c r="U195" s="119" t="n">
        <f aca="false">SUMIFS(tabela_registros[VALOR],tabela_registros[MÊS],$AE$1,tabela_registros[DIA],reservavariáveisconsolidadofev[[#Headers],[17]],tabela_registros[REGISTRO],DADOS!$N$6,tabela_registros[TIPO],DADOS!$AJ$4,tabela_registros[CATEGORIA],reservavariáveisconsolidadofev[[#This Row],[ATUAL]])</f>
        <v>0</v>
      </c>
      <c r="V195" s="119" t="n">
        <f aca="false">SUMIFS(tabela_registros[VALOR],tabela_registros[MÊS],$AE$1,tabela_registros[DIA],reservavariáveisconsolidadofev[[#Headers],[18]],tabela_registros[REGISTRO],DADOS!$N$6,tabela_registros[TIPO],DADOS!$AJ$4,tabela_registros[CATEGORIA],reservavariáveisconsolidadofev[[#This Row],[ATUAL]])</f>
        <v>0</v>
      </c>
      <c r="W195" s="119" t="n">
        <f aca="false">SUMIFS(tabela_registros[VALOR],tabela_registros[MÊS],$AE$1,tabela_registros[DIA],reservavariáveisconsolidadofev[[#Headers],[19]],tabela_registros[REGISTRO],DADOS!$N$6,tabela_registros[TIPO],DADOS!$AJ$4,tabela_registros[CATEGORIA],reservavariáveisconsolidadofev[[#This Row],[ATUAL]])</f>
        <v>0</v>
      </c>
      <c r="X195" s="119" t="n">
        <f aca="false">SUMIFS(tabela_registros[VALOR],tabela_registros[MÊS],$AE$1,tabela_registros[DIA],reservavariáveisconsolidadofev[[#Headers],[20]],tabela_registros[REGISTRO],DADOS!$N$6,tabela_registros[TIPO],DADOS!$AJ$4,tabela_registros[CATEGORIA],reservavariáveisconsolidadofev[[#This Row],[ATUAL]])</f>
        <v>0</v>
      </c>
      <c r="Y195" s="119" t="n">
        <f aca="false">SUMIFS(tabela_registros[VALOR],tabela_registros[MÊS],$AE$1,tabela_registros[DIA],reservavariáveisconsolidadofev[[#Headers],[21]],tabela_registros[REGISTRO],DADOS!$N$6,tabela_registros[TIPO],DADOS!$AJ$4,tabela_registros[CATEGORIA],reservavariáveisconsolidadofev[[#This Row],[ATUAL]])</f>
        <v>0</v>
      </c>
      <c r="Z195" s="119" t="n">
        <f aca="false">SUMIFS(tabela_registros[VALOR],tabela_registros[MÊS],$AE$1,tabela_registros[DIA],reservavariáveisconsolidadofev[[#Headers],[22]],tabela_registros[REGISTRO],DADOS!$N$6,tabela_registros[TIPO],DADOS!$AJ$4,tabela_registros[CATEGORIA],reservavariáveisconsolidadofev[[#This Row],[ATUAL]])</f>
        <v>0</v>
      </c>
      <c r="AA195" s="119" t="n">
        <f aca="false">SUMIFS(tabela_registros[VALOR],tabela_registros[MÊS],$AE$1,tabela_registros[DIA],reservavariáveisconsolidadofev[[#Headers],[23]],tabela_registros[REGISTRO],DADOS!$N$6,tabela_registros[TIPO],DADOS!$AJ$4,tabela_registros[CATEGORIA],reservavariáveisconsolidadofev[[#This Row],[ATUAL]])</f>
        <v>0</v>
      </c>
      <c r="AB195" s="119" t="n">
        <f aca="false">SUMIFS(tabela_registros[VALOR],tabela_registros[MÊS],$AE$1,tabela_registros[DIA],reservavariáveisconsolidadofev[[#Headers],[24]],tabela_registros[REGISTRO],DADOS!$N$6,tabela_registros[TIPO],DADOS!$AJ$4,tabela_registros[CATEGORIA],reservavariáveisconsolidadofev[[#This Row],[ATUAL]])</f>
        <v>0</v>
      </c>
      <c r="AC195" s="119" t="n">
        <f aca="false">SUMIFS(tabela_registros[VALOR],tabela_registros[MÊS],$AE$1,tabela_registros[DIA],reservavariáveisconsolidadofev[[#Headers],[25]],tabela_registros[REGISTRO],DADOS!$N$6,tabela_registros[TIPO],DADOS!$AJ$4,tabela_registros[CATEGORIA],reservavariáveisconsolidadofev[[#This Row],[ATUAL]])</f>
        <v>0</v>
      </c>
      <c r="AD195" s="119" t="n">
        <f aca="false">SUMIFS(tabela_registros[VALOR],tabela_registros[MÊS],$AE$1,tabela_registros[DIA],reservavariáveisconsolidadofev[[#Headers],[26]],tabela_registros[REGISTRO],DADOS!$N$6,tabela_registros[TIPO],DADOS!$AJ$4,tabela_registros[CATEGORIA],reservavariáveisconsolidadofev[[#This Row],[ATUAL]])</f>
        <v>0</v>
      </c>
      <c r="AE195" s="119" t="n">
        <f aca="false">SUMIFS(tabela_registros[VALOR],tabela_registros[MÊS],$AE$1,tabela_registros[DIA],reservavariáveisconsolidadofev[[#Headers],[27]],tabela_registros[REGISTRO],DADOS!$N$6,tabela_registros[TIPO],DADOS!$AJ$4,tabela_registros[CATEGORIA],reservavariáveisconsolidadofev[[#This Row],[ATUAL]])</f>
        <v>0</v>
      </c>
      <c r="AF195" s="119" t="n">
        <f aca="false">SUMIFS(tabela_registros[VALOR],tabela_registros[MÊS],$AE$1,tabela_registros[DIA],reservavariáveisconsolidadofev[[#Headers],[28]],tabela_registros[REGISTRO],DADOS!$N$6,tabela_registros[TIPO],DADOS!$AJ$4,tabela_registros[CATEGORIA],reservavariáveisconsolidadofev[[#This Row],[ATUAL]])</f>
        <v>0</v>
      </c>
      <c r="AG195" s="119" t="n">
        <f aca="false">SUMIFS(tabela_registros[VALOR],tabela_registros[MÊS],$AE$1,tabela_registros[DIA],reservavariáveisconsolidadofev[[#Headers],[29]],tabela_registros[REGISTRO],DADOS!$N$6,tabela_registros[TIPO],DADOS!$AJ$4,tabela_registros[CATEGORIA],reservavariáveisconsolidadofev[[#This Row],[ATUAL]])</f>
        <v>0</v>
      </c>
      <c r="AH195" s="119" t="n">
        <f aca="false">SUMIFS(tabela_registros[VALOR],tabela_registros[MÊS],$AE$1,tabela_registros[DIA],reservavariáveisconsolidadofev[[#Headers],[30]],tabela_registros[REGISTRO],DADOS!$N$6,tabela_registros[TIPO],DADOS!$AJ$4,tabela_registros[CATEGORIA],reservavariáveisconsolidadofev[[#This Row],[ATUAL]])</f>
        <v>0</v>
      </c>
      <c r="AI195" s="217" t="n">
        <f aca="false">SUMIFS(tabela_registros[VALOR],tabela_registros[MÊS],$AE$1,tabela_registros[DIA],reservavariáveisconsolidadofev[[#Headers],[31]],tabela_registros[REGISTRO],DADOS!$N$6,tabela_registros[TIPO],DADOS!$AJ$4,tabela_registros[CATEGORIA],reservavariáveisconsolidadofev[[#This Row],[ATUAL]])</f>
        <v>0</v>
      </c>
      <c r="AJ195" s="149" t="n">
        <f aca="false">SUM(reservavariáveisconsolidadofev[[#This Row],[1]:[31]])</f>
        <v>0</v>
      </c>
      <c r="AK195" s="165"/>
    </row>
    <row r="196" customFormat="false" ht="19.5" hidden="false" customHeight="true" outlineLevel="0" collapsed="false">
      <c r="B196" s="143"/>
      <c r="C196" s="144" t="str">
        <f aca="false">DADOS!$AN$12</f>
        <v>📎 OUTROS</v>
      </c>
      <c r="D196" s="145" t="str">
        <f aca="false">IF(reservavariáveisconsolidadofev[[#This Row],[TOTAL (R$)]]=0,"",IF(OR(reservavariáveisconsolidadofev[[#This Row],[TOTAL (R$)]]=LARGE($AJ$187:$AJ$196,1),reservavariáveisconsolidadofev[[#This Row],[TOTAL (R$)]]=LARGE($AJ$187:$AJ$196,2)),DADOS!$I$11,""))</f>
        <v/>
      </c>
      <c r="E196" s="148" t="n">
        <f aca="false">SUMIFS(tabela_registros[VALOR],tabela_registros[MÊS],$AE$1,tabela_registros[DIA],reservavariáveisconsolidadofev[[#Headers],[1]],tabela_registros[REGISTRO],DADOS!$N$6,tabela_registros[TIPO],DADOS!$AJ$4,tabela_registros[CATEGORIA],reservavariáveisconsolidadofev[[#This Row],[ATUAL]])</f>
        <v>0</v>
      </c>
      <c r="F196" s="119" t="n">
        <f aca="false">SUMIFS(tabela_registros[VALOR],tabela_registros[MÊS],$AE$1,tabela_registros[DIA],reservavariáveisconsolidadofev[[#Headers],[2]],tabela_registros[REGISTRO],DADOS!$N$6,tabela_registros[TIPO],DADOS!$AJ$4,tabela_registros[CATEGORIA],reservavariáveisconsolidadofev[[#This Row],[ATUAL]])</f>
        <v>0</v>
      </c>
      <c r="G196" s="119" t="n">
        <f aca="false">SUMIFS(tabela_registros[VALOR],tabela_registros[MÊS],$AE$1,tabela_registros[DIA],reservavariáveisconsolidadofev[[#Headers],[3]],tabela_registros[REGISTRO],DADOS!$N$6,tabela_registros[TIPO],DADOS!$AJ$4,tabela_registros[CATEGORIA],reservavariáveisconsolidadofev[[#This Row],[ATUAL]])</f>
        <v>0</v>
      </c>
      <c r="H196" s="119" t="n">
        <f aca="false">SUMIFS(tabela_registros[VALOR],tabela_registros[MÊS],$AE$1,tabela_registros[DIA],reservavariáveisconsolidadofev[[#Headers],[4]],tabela_registros[REGISTRO],DADOS!$N$6,tabela_registros[TIPO],DADOS!$AJ$4,tabela_registros[CATEGORIA],reservavariáveisconsolidadofev[[#This Row],[ATUAL]])</f>
        <v>0</v>
      </c>
      <c r="I196" s="119" t="n">
        <f aca="false">SUMIFS(tabela_registros[VALOR],tabela_registros[MÊS],$AE$1,tabela_registros[DIA],reservavariáveisconsolidadofev[[#Headers],[5]],tabela_registros[REGISTRO],DADOS!$N$6,tabela_registros[TIPO],DADOS!$AJ$4,tabela_registros[CATEGORIA],reservavariáveisconsolidadofev[[#This Row],[ATUAL]])</f>
        <v>0</v>
      </c>
      <c r="J196" s="119" t="n">
        <f aca="false">SUMIFS(tabela_registros[VALOR],tabela_registros[MÊS],$AE$1,tabela_registros[DIA],reservavariáveisconsolidadofev[[#Headers],[6]],tabela_registros[REGISTRO],DADOS!$N$6,tabela_registros[TIPO],DADOS!$AJ$4,tabela_registros[CATEGORIA],reservavariáveisconsolidadofev[[#This Row],[ATUAL]])</f>
        <v>0</v>
      </c>
      <c r="K196" s="119" t="n">
        <f aca="false">SUMIFS(tabela_registros[VALOR],tabela_registros[MÊS],$AE$1,tabela_registros[DIA],reservavariáveisconsolidadofev[[#Headers],[7]],tabela_registros[REGISTRO],DADOS!$N$6,tabela_registros[TIPO],DADOS!$AJ$4,tabela_registros[CATEGORIA],reservavariáveisconsolidadofev[[#This Row],[ATUAL]])</f>
        <v>0</v>
      </c>
      <c r="L196" s="119" t="n">
        <f aca="false">SUMIFS(tabela_registros[VALOR],tabela_registros[MÊS],$AE$1,tabela_registros[DIA],reservavariáveisconsolidadofev[[#Headers],[8]],tabela_registros[REGISTRO],DADOS!$N$6,tabela_registros[TIPO],DADOS!$AJ$4,tabela_registros[CATEGORIA],reservavariáveisconsolidadofev[[#This Row],[ATUAL]])</f>
        <v>0</v>
      </c>
      <c r="M196" s="119" t="n">
        <f aca="false">SUMIFS(tabela_registros[VALOR],tabela_registros[MÊS],$AE$1,tabela_registros[DIA],reservavariáveisconsolidadofev[[#Headers],[9]],tabela_registros[REGISTRO],DADOS!$N$6,tabela_registros[TIPO],DADOS!$AJ$4,tabela_registros[CATEGORIA],reservavariáveisconsolidadofev[[#This Row],[ATUAL]])</f>
        <v>0</v>
      </c>
      <c r="N196" s="119" t="n">
        <f aca="false">SUMIFS(tabela_registros[VALOR],tabela_registros[MÊS],$AE$1,tabela_registros[DIA],reservavariáveisconsolidadofev[[#Headers],[10]],tabela_registros[REGISTRO],DADOS!$N$6,tabela_registros[TIPO],DADOS!$AJ$4,tabela_registros[CATEGORIA],reservavariáveisconsolidadofev[[#This Row],[ATUAL]])</f>
        <v>0</v>
      </c>
      <c r="O196" s="119" t="n">
        <f aca="false">SUMIFS(tabela_registros[VALOR],tabela_registros[MÊS],$AE$1,tabela_registros[DIA],reservavariáveisconsolidadofev[[#Headers],[11]],tabela_registros[REGISTRO],DADOS!$N$6,tabela_registros[TIPO],DADOS!$AJ$4,tabela_registros[CATEGORIA],reservavariáveisconsolidadofev[[#This Row],[ATUAL]])</f>
        <v>0</v>
      </c>
      <c r="P196" s="119" t="n">
        <f aca="false">SUMIFS(tabela_registros[VALOR],tabela_registros[MÊS],$AE$1,tabela_registros[DIA],reservavariáveisconsolidadofev[[#Headers],[12]],tabela_registros[REGISTRO],DADOS!$N$6,tabela_registros[TIPO],DADOS!$AJ$4,tabela_registros[CATEGORIA],reservavariáveisconsolidadofev[[#This Row],[ATUAL]])</f>
        <v>0</v>
      </c>
      <c r="Q196" s="119" t="n">
        <f aca="false">SUMIFS(tabela_registros[VALOR],tabela_registros[MÊS],$AE$1,tabela_registros[DIA],reservavariáveisconsolidadofev[[#Headers],[13]],tabela_registros[REGISTRO],DADOS!$N$6,tabela_registros[TIPO],DADOS!$AJ$4,tabela_registros[CATEGORIA],reservavariáveisconsolidadofev[[#This Row],[ATUAL]])</f>
        <v>0</v>
      </c>
      <c r="R196" s="119" t="n">
        <f aca="false">SUMIFS(tabela_registros[VALOR],tabela_registros[MÊS],$AE$1,tabela_registros[DIA],reservavariáveisconsolidadofev[[#Headers],[14]],tabela_registros[REGISTRO],DADOS!$N$6,tabela_registros[TIPO],DADOS!$AJ$4,tabela_registros[CATEGORIA],reservavariáveisconsolidadofev[[#This Row],[ATUAL]])</f>
        <v>0</v>
      </c>
      <c r="S196" s="119" t="n">
        <f aca="false">SUMIFS(tabela_registros[VALOR],tabela_registros[MÊS],$AE$1,tabela_registros[DIA],reservavariáveisconsolidadofev[[#Headers],[15]],tabela_registros[REGISTRO],DADOS!$N$6,tabela_registros[TIPO],DADOS!$AJ$4,tabela_registros[CATEGORIA],reservavariáveisconsolidadofev[[#This Row],[ATUAL]])</f>
        <v>0</v>
      </c>
      <c r="T196" s="119" t="n">
        <f aca="false">SUMIFS(tabela_registros[VALOR],tabela_registros[MÊS],$AE$1,tabela_registros[DIA],reservavariáveisconsolidadofev[[#Headers],[16]],tabela_registros[REGISTRO],DADOS!$N$6,tabela_registros[TIPO],DADOS!$AJ$4,tabela_registros[CATEGORIA],reservavariáveisconsolidadofev[[#This Row],[ATUAL]])</f>
        <v>0</v>
      </c>
      <c r="U196" s="119" t="n">
        <f aca="false">SUMIFS(tabela_registros[VALOR],tabela_registros[MÊS],$AE$1,tabela_registros[DIA],reservavariáveisconsolidadofev[[#Headers],[17]],tabela_registros[REGISTRO],DADOS!$N$6,tabela_registros[TIPO],DADOS!$AJ$4,tabela_registros[CATEGORIA],reservavariáveisconsolidadofev[[#This Row],[ATUAL]])</f>
        <v>0</v>
      </c>
      <c r="V196" s="119" t="n">
        <f aca="false">SUMIFS(tabela_registros[VALOR],tabela_registros[MÊS],$AE$1,tabela_registros[DIA],reservavariáveisconsolidadofev[[#Headers],[18]],tabela_registros[REGISTRO],DADOS!$N$6,tabela_registros[TIPO],DADOS!$AJ$4,tabela_registros[CATEGORIA],reservavariáveisconsolidadofev[[#This Row],[ATUAL]])</f>
        <v>0</v>
      </c>
      <c r="W196" s="119" t="n">
        <f aca="false">SUMIFS(tabela_registros[VALOR],tabela_registros[MÊS],$AE$1,tabela_registros[DIA],reservavariáveisconsolidadofev[[#Headers],[19]],tabela_registros[REGISTRO],DADOS!$N$6,tabela_registros[TIPO],DADOS!$AJ$4,tabela_registros[CATEGORIA],reservavariáveisconsolidadofev[[#This Row],[ATUAL]])</f>
        <v>0</v>
      </c>
      <c r="X196" s="119" t="n">
        <f aca="false">SUMIFS(tabela_registros[VALOR],tabela_registros[MÊS],$AE$1,tabela_registros[DIA],reservavariáveisconsolidadofev[[#Headers],[20]],tabela_registros[REGISTRO],DADOS!$N$6,tabela_registros[TIPO],DADOS!$AJ$4,tabela_registros[CATEGORIA],reservavariáveisconsolidadofev[[#This Row],[ATUAL]])</f>
        <v>0</v>
      </c>
      <c r="Y196" s="119" t="n">
        <f aca="false">SUMIFS(tabela_registros[VALOR],tabela_registros[MÊS],$AE$1,tabela_registros[DIA],reservavariáveisconsolidadofev[[#Headers],[21]],tabela_registros[REGISTRO],DADOS!$N$6,tabela_registros[TIPO],DADOS!$AJ$4,tabela_registros[CATEGORIA],reservavariáveisconsolidadofev[[#This Row],[ATUAL]])</f>
        <v>0</v>
      </c>
      <c r="Z196" s="119" t="n">
        <f aca="false">SUMIFS(tabela_registros[VALOR],tabela_registros[MÊS],$AE$1,tabela_registros[DIA],reservavariáveisconsolidadofev[[#Headers],[22]],tabela_registros[REGISTRO],DADOS!$N$6,tabela_registros[TIPO],DADOS!$AJ$4,tabela_registros[CATEGORIA],reservavariáveisconsolidadofev[[#This Row],[ATUAL]])</f>
        <v>0</v>
      </c>
      <c r="AA196" s="119" t="n">
        <f aca="false">SUMIFS(tabela_registros[VALOR],tabela_registros[MÊS],$AE$1,tabela_registros[DIA],reservavariáveisconsolidadofev[[#Headers],[23]],tabela_registros[REGISTRO],DADOS!$N$6,tabela_registros[TIPO],DADOS!$AJ$4,tabela_registros[CATEGORIA],reservavariáveisconsolidadofev[[#This Row],[ATUAL]])</f>
        <v>0</v>
      </c>
      <c r="AB196" s="119" t="n">
        <f aca="false">SUMIFS(tabela_registros[VALOR],tabela_registros[MÊS],$AE$1,tabela_registros[DIA],reservavariáveisconsolidadofev[[#Headers],[24]],tabela_registros[REGISTRO],DADOS!$N$6,tabela_registros[TIPO],DADOS!$AJ$4,tabela_registros[CATEGORIA],reservavariáveisconsolidadofev[[#This Row],[ATUAL]])</f>
        <v>0</v>
      </c>
      <c r="AC196" s="119" t="n">
        <f aca="false">SUMIFS(tabela_registros[VALOR],tabela_registros[MÊS],$AE$1,tabela_registros[DIA],reservavariáveisconsolidadofev[[#Headers],[25]],tabela_registros[REGISTRO],DADOS!$N$6,tabela_registros[TIPO],DADOS!$AJ$4,tabela_registros[CATEGORIA],reservavariáveisconsolidadofev[[#This Row],[ATUAL]])</f>
        <v>0</v>
      </c>
      <c r="AD196" s="119" t="n">
        <f aca="false">SUMIFS(tabela_registros[VALOR],tabela_registros[MÊS],$AE$1,tabela_registros[DIA],reservavariáveisconsolidadofev[[#Headers],[26]],tabela_registros[REGISTRO],DADOS!$N$6,tabela_registros[TIPO],DADOS!$AJ$4,tabela_registros[CATEGORIA],reservavariáveisconsolidadofev[[#This Row],[ATUAL]])</f>
        <v>0</v>
      </c>
      <c r="AE196" s="119" t="n">
        <f aca="false">SUMIFS(tabela_registros[VALOR],tabela_registros[MÊS],$AE$1,tabela_registros[DIA],reservavariáveisconsolidadofev[[#Headers],[27]],tabela_registros[REGISTRO],DADOS!$N$6,tabela_registros[TIPO],DADOS!$AJ$4,tabela_registros[CATEGORIA],reservavariáveisconsolidadofev[[#This Row],[ATUAL]])</f>
        <v>0</v>
      </c>
      <c r="AF196" s="119" t="n">
        <f aca="false">SUMIFS(tabela_registros[VALOR],tabela_registros[MÊS],$AE$1,tabela_registros[DIA],reservavariáveisconsolidadofev[[#Headers],[28]],tabela_registros[REGISTRO],DADOS!$N$6,tabela_registros[TIPO],DADOS!$AJ$4,tabela_registros[CATEGORIA],reservavariáveisconsolidadofev[[#This Row],[ATUAL]])</f>
        <v>0</v>
      </c>
      <c r="AG196" s="119" t="n">
        <f aca="false">SUMIFS(tabela_registros[VALOR],tabela_registros[MÊS],$AE$1,tabela_registros[DIA],reservavariáveisconsolidadofev[[#Headers],[29]],tabela_registros[REGISTRO],DADOS!$N$6,tabela_registros[TIPO],DADOS!$AJ$4,tabela_registros[CATEGORIA],reservavariáveisconsolidadofev[[#This Row],[ATUAL]])</f>
        <v>0</v>
      </c>
      <c r="AH196" s="119" t="n">
        <f aca="false">SUMIFS(tabela_registros[VALOR],tabela_registros[MÊS],$AE$1,tabela_registros[DIA],reservavariáveisconsolidadofev[[#Headers],[30]],tabela_registros[REGISTRO],DADOS!$N$6,tabela_registros[TIPO],DADOS!$AJ$4,tabela_registros[CATEGORIA],reservavariáveisconsolidadofev[[#This Row],[ATUAL]])</f>
        <v>0</v>
      </c>
      <c r="AI196" s="217" t="n">
        <f aca="false">SUMIFS(tabela_registros[VALOR],tabela_registros[MÊS],$AE$1,tabela_registros[DIA],reservavariáveisconsolidadofev[[#Headers],[31]],tabela_registros[REGISTRO],DADOS!$N$6,tabela_registros[TIPO],DADOS!$AJ$4,tabela_registros[CATEGORIA],reservavariáveisconsolidadofev[[#This Row],[ATUAL]])</f>
        <v>0</v>
      </c>
      <c r="AJ196" s="149" t="n">
        <f aca="false">SUM(reservavariáveisconsolidadofev[[#This Row],[1]:[31]])</f>
        <v>0</v>
      </c>
      <c r="AK196" s="165"/>
    </row>
    <row r="197" s="122" customFormat="true" ht="21" hidden="false" customHeight="true" outlineLevel="0" collapsed="false">
      <c r="B197" s="152"/>
      <c r="C197" s="153" t="s">
        <v>2</v>
      </c>
      <c r="D197" s="166"/>
      <c r="E197" s="155" t="n">
        <f aca="false">SUM(E187:E196)</f>
        <v>0</v>
      </c>
      <c r="F197" s="156" t="n">
        <f aca="false">SUM(F187:F196)+reservavariáveisconsolidadofev[[#This Row],[1]]</f>
        <v>0</v>
      </c>
      <c r="G197" s="156" t="n">
        <f aca="false">SUM(G187:G196)+reservavariáveisconsolidadofev[[#This Row],[2]]</f>
        <v>0</v>
      </c>
      <c r="H197" s="156" t="n">
        <f aca="false">SUM(H187:H196)+reservavariáveisconsolidadofev[[#This Row],[3]]</f>
        <v>0</v>
      </c>
      <c r="I197" s="156" t="n">
        <f aca="false">SUM(I187:I196)+reservavariáveisconsolidadofev[[#This Row],[4]]</f>
        <v>0</v>
      </c>
      <c r="J197" s="156" t="n">
        <f aca="false">SUM(J187:J196)+reservavariáveisconsolidadofev[[#This Row],[5]]</f>
        <v>0</v>
      </c>
      <c r="K197" s="156" t="n">
        <f aca="false">SUM(K187:K196)+reservavariáveisconsolidadofev[[#This Row],[6]]</f>
        <v>0</v>
      </c>
      <c r="L197" s="156" t="n">
        <f aca="false">SUM(L187:L196)+reservavariáveisconsolidadofev[[#This Row],[7]]</f>
        <v>0</v>
      </c>
      <c r="M197" s="156" t="n">
        <f aca="false">SUM(M187:M196)+reservavariáveisconsolidadofev[[#This Row],[8]]</f>
        <v>0</v>
      </c>
      <c r="N197" s="156" t="n">
        <f aca="false">SUM(N187:N196)+reservavariáveisconsolidadofev[[#This Row],[9]]</f>
        <v>0</v>
      </c>
      <c r="O197" s="156" t="n">
        <f aca="false">SUM(O187:O196)+reservavariáveisconsolidadofev[[#This Row],[10]]</f>
        <v>0</v>
      </c>
      <c r="P197" s="156" t="n">
        <f aca="false">SUM(P187:P196)+reservavariáveisconsolidadofev[[#This Row],[11]]</f>
        <v>0</v>
      </c>
      <c r="Q197" s="156" t="n">
        <f aca="false">SUM(Q187:Q196)+reservavariáveisconsolidadofev[[#This Row],[12]]</f>
        <v>0</v>
      </c>
      <c r="R197" s="156" t="n">
        <f aca="false">SUM(R187:R196)+reservavariáveisconsolidadofev[[#This Row],[13]]</f>
        <v>0</v>
      </c>
      <c r="S197" s="156" t="n">
        <f aca="false">SUM(S187:S196)+reservavariáveisconsolidadofev[[#This Row],[14]]</f>
        <v>0</v>
      </c>
      <c r="T197" s="156" t="n">
        <f aca="false">SUM(T187:T196)+reservavariáveisconsolidadofev[[#This Row],[15]]</f>
        <v>0</v>
      </c>
      <c r="U197" s="156" t="n">
        <f aca="false">SUM(U187:U196)+reservavariáveisconsolidadofev[[#This Row],[16]]</f>
        <v>0</v>
      </c>
      <c r="V197" s="156" t="n">
        <f aca="false">SUM(V187:V196)+reservavariáveisconsolidadofev[[#This Row],[17]]</f>
        <v>0</v>
      </c>
      <c r="W197" s="156" t="n">
        <f aca="false">SUM(W187:W196)+reservavariáveisconsolidadofev[[#This Row],[18]]</f>
        <v>0</v>
      </c>
      <c r="X197" s="156" t="n">
        <f aca="false">SUM(X187:X196)+reservavariáveisconsolidadofev[[#This Row],[19]]</f>
        <v>0</v>
      </c>
      <c r="Y197" s="156" t="n">
        <f aca="false">SUM(Y187:Y196)+reservavariáveisconsolidadofev[[#This Row],[20]]</f>
        <v>0</v>
      </c>
      <c r="Z197" s="156" t="n">
        <f aca="false">SUM(Z187:Z196)+reservavariáveisconsolidadofev[[#This Row],[21]]</f>
        <v>0</v>
      </c>
      <c r="AA197" s="156" t="n">
        <f aca="false">SUM(AA187:AA196)+reservavariáveisconsolidadofev[[#This Row],[22]]</f>
        <v>0</v>
      </c>
      <c r="AB197" s="156" t="n">
        <f aca="false">SUM(AB187:AB196)+reservavariáveisconsolidadofev[[#This Row],[23]]</f>
        <v>0</v>
      </c>
      <c r="AC197" s="156" t="n">
        <f aca="false">SUM(AC187:AC196)+reservavariáveisconsolidadofev[[#This Row],[24]]</f>
        <v>0</v>
      </c>
      <c r="AD197" s="156" t="n">
        <f aca="false">SUM(AD187:AD196)+reservavariáveisconsolidadofev[[#This Row],[25]]</f>
        <v>0</v>
      </c>
      <c r="AE197" s="156" t="n">
        <f aca="false">SUM(AE187:AE196)+reservavariáveisconsolidadofev[[#This Row],[26]]</f>
        <v>0</v>
      </c>
      <c r="AF197" s="156" t="n">
        <f aca="false">SUM(AF187:AF196)+reservavariáveisconsolidadofev[[#This Row],[27]]</f>
        <v>0</v>
      </c>
      <c r="AG197" s="156" t="n">
        <f aca="false">SUM(AG187:AG196)+reservavariáveisconsolidadofev[[#This Row],[28]]</f>
        <v>0</v>
      </c>
      <c r="AH197" s="156" t="n">
        <f aca="false">SUM(AH187:AH196)+reservavariáveisconsolidadofev[[#This Row],[29]]</f>
        <v>0</v>
      </c>
      <c r="AI197" s="223" t="n">
        <f aca="false">SUM(AI187:AI196)+reservavariáveisconsolidadofev[[#This Row],[30]]</f>
        <v>0</v>
      </c>
      <c r="AJ197" s="157" t="n">
        <f aca="false">reservavariáveisconsolidadofev[[#This Row],[31]]</f>
        <v>0</v>
      </c>
      <c r="AK197" s="158"/>
    </row>
    <row r="198" customFormat="false" ht="6.75" hidden="false" customHeight="true" outlineLevel="0" collapsed="false">
      <c r="B198" s="97"/>
      <c r="C198" s="162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233"/>
      <c r="AJ198" s="164"/>
      <c r="AK198" s="244"/>
    </row>
    <row r="199" s="78" customFormat="true" ht="12.75" hidden="false" customHeight="false" outlineLevel="0" collapsed="false">
      <c r="E199" s="100"/>
    </row>
    <row r="200" s="78" customFormat="true" ht="12" hidden="false" customHeight="false" outlineLevel="0" collapsed="false"/>
    <row r="201" s="78" customFormat="true" ht="12" hidden="false" customHeight="false" outlineLevel="0" collapsed="false"/>
    <row r="202" customFormat="false" ht="39.75" hidden="false" customHeight="true" outlineLevel="0" collapsed="false">
      <c r="C202" s="101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3" t="s">
        <v>2</v>
      </c>
    </row>
    <row r="203" s="78" customFormat="true" ht="12.75" hidden="false" customHeight="false" outlineLevel="0" collapsed="false">
      <c r="B203" s="161"/>
      <c r="AJ203" s="106" t="s">
        <v>64</v>
      </c>
    </row>
    <row r="204" customFormat="false" ht="6.75" hidden="false" customHeight="true" outlineLevel="0" collapsed="false">
      <c r="B204" s="86"/>
      <c r="C204" s="162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233"/>
      <c r="AK204" s="139"/>
    </row>
    <row r="205" customFormat="false" ht="13.5" hidden="true" customHeight="false" outlineLevel="0" collapsed="false">
      <c r="B205" s="86"/>
      <c r="C205" s="109" t="s">
        <v>68</v>
      </c>
      <c r="D205" s="110" t="s">
        <v>69</v>
      </c>
      <c r="E205" s="110" t="s">
        <v>30</v>
      </c>
      <c r="F205" s="110" t="s">
        <v>31</v>
      </c>
      <c r="G205" s="110" t="s">
        <v>32</v>
      </c>
      <c r="H205" s="110" t="s">
        <v>33</v>
      </c>
      <c r="I205" s="110" t="s">
        <v>34</v>
      </c>
      <c r="J205" s="110" t="s">
        <v>35</v>
      </c>
      <c r="K205" s="110" t="s">
        <v>36</v>
      </c>
      <c r="L205" s="110" t="s">
        <v>37</v>
      </c>
      <c r="M205" s="110" t="s">
        <v>38</v>
      </c>
      <c r="N205" s="110" t="s">
        <v>39</v>
      </c>
      <c r="O205" s="110" t="s">
        <v>40</v>
      </c>
      <c r="P205" s="110" t="s">
        <v>41</v>
      </c>
      <c r="Q205" s="110" t="s">
        <v>81</v>
      </c>
      <c r="R205" s="110" t="s">
        <v>82</v>
      </c>
      <c r="S205" s="110" t="s">
        <v>83</v>
      </c>
      <c r="T205" s="110" t="s">
        <v>84</v>
      </c>
      <c r="U205" s="110" t="s">
        <v>85</v>
      </c>
      <c r="V205" s="110" t="s">
        <v>86</v>
      </c>
      <c r="W205" s="110" t="s">
        <v>87</v>
      </c>
      <c r="X205" s="110" t="s">
        <v>88</v>
      </c>
      <c r="Y205" s="110" t="s">
        <v>89</v>
      </c>
      <c r="Z205" s="110" t="s">
        <v>90</v>
      </c>
      <c r="AA205" s="110" t="s">
        <v>91</v>
      </c>
      <c r="AB205" s="110" t="s">
        <v>92</v>
      </c>
      <c r="AC205" s="110" t="s">
        <v>93</v>
      </c>
      <c r="AD205" s="110" t="s">
        <v>94</v>
      </c>
      <c r="AE205" s="110" t="s">
        <v>95</v>
      </c>
      <c r="AF205" s="110" t="s">
        <v>96</v>
      </c>
      <c r="AG205" s="110" t="s">
        <v>97</v>
      </c>
      <c r="AH205" s="110" t="s">
        <v>98</v>
      </c>
      <c r="AI205" s="110" t="s">
        <v>99</v>
      </c>
      <c r="AJ205" s="111" t="s">
        <v>70</v>
      </c>
      <c r="AK205" s="86"/>
    </row>
    <row r="206" customFormat="false" ht="19.5" hidden="false" customHeight="true" outlineLevel="0" collapsed="false">
      <c r="B206" s="143"/>
      <c r="C206" s="144" t="str">
        <f aca="false">DADOS!$AP$3</f>
        <v>📝 COE</v>
      </c>
      <c r="D206" s="145" t="str">
        <f aca="false">IF(reservaoutrosconsolidadofev[[#This Row],[TOTAL (R$)]]=0,"",IF(OR(reservaoutrosconsolidadofev[[#This Row],[TOTAL (R$)]]=LARGE($AJ$206:$AJ$213,1),reservaoutrosconsolidadofev[[#This Row],[TOTAL (R$)]]=LARGE($AJ$206:$AJ$213,2)),DADOS!$I$11,""))</f>
        <v/>
      </c>
      <c r="E206" s="148" t="n">
        <f aca="false">SUMIFS(tabela_registros[VALOR],tabela_registros[MÊS],$AE$1,tabela_registros[DIA],reservaoutrosconsolidadofev[[#Headers],[1]],tabela_registros[REGISTRO],DADOS!$N$6,tabela_registros[TIPO],DADOS!$AJ$5,tabela_registros[CATEGORIA],reservaoutrosconsolidadofev[[#This Row],[ATUAL]])</f>
        <v>0</v>
      </c>
      <c r="F206" s="119" t="n">
        <f aca="false">SUMIFS(tabela_registros[VALOR],tabela_registros[MÊS],$AE$1,tabela_registros[DIA],reservaoutrosconsolidadofev[[#Headers],[2]],tabela_registros[REGISTRO],DADOS!$N$6,tabela_registros[TIPO],DADOS!$AJ$5,tabela_registros[CATEGORIA],reservaoutrosconsolidadofev[[#This Row],[ATUAL]])</f>
        <v>0</v>
      </c>
      <c r="G206" s="119" t="n">
        <f aca="false">SUMIFS(tabela_registros[VALOR],tabela_registros[MÊS],$AE$1,tabela_registros[DIA],reservaoutrosconsolidadofev[[#Headers],[3]],tabela_registros[REGISTRO],DADOS!$N$6,tabela_registros[TIPO],DADOS!$AJ$5,tabela_registros[CATEGORIA],reservaoutrosconsolidadofev[[#This Row],[ATUAL]])</f>
        <v>0</v>
      </c>
      <c r="H206" s="119" t="n">
        <f aca="false">SUMIFS(tabela_registros[VALOR],tabela_registros[MÊS],$AE$1,tabela_registros[DIA],reservaoutrosconsolidadofev[[#Headers],[4]],tabela_registros[REGISTRO],DADOS!$N$6,tabela_registros[TIPO],DADOS!$AJ$5,tabela_registros[CATEGORIA],reservaoutrosconsolidadofev[[#This Row],[ATUAL]])</f>
        <v>0</v>
      </c>
      <c r="I206" s="119" t="n">
        <f aca="false">SUMIFS(tabela_registros[VALOR],tabela_registros[MÊS],$AE$1,tabela_registros[DIA],reservaoutrosconsolidadofev[[#Headers],[5]],tabela_registros[REGISTRO],DADOS!$N$6,tabela_registros[TIPO],DADOS!$AJ$5,tabela_registros[CATEGORIA],reservaoutrosconsolidadofev[[#This Row],[ATUAL]])</f>
        <v>0</v>
      </c>
      <c r="J206" s="119" t="n">
        <f aca="false">SUMIFS(tabela_registros[VALOR],tabela_registros[MÊS],$AE$1,tabela_registros[DIA],reservaoutrosconsolidadofev[[#Headers],[6]],tabela_registros[REGISTRO],DADOS!$N$6,tabela_registros[TIPO],DADOS!$AJ$5,tabela_registros[CATEGORIA],reservaoutrosconsolidadofev[[#This Row],[ATUAL]])</f>
        <v>0</v>
      </c>
      <c r="K206" s="119" t="n">
        <f aca="false">SUMIFS(tabela_registros[VALOR],tabela_registros[MÊS],$AE$1,tabela_registros[DIA],reservaoutrosconsolidadofev[[#Headers],[7]],tabela_registros[REGISTRO],DADOS!$N$6,tabela_registros[TIPO],DADOS!$AJ$5,tabela_registros[CATEGORIA],reservaoutrosconsolidadofev[[#This Row],[ATUAL]])</f>
        <v>0</v>
      </c>
      <c r="L206" s="119" t="n">
        <f aca="false">SUMIFS(tabela_registros[VALOR],tabela_registros[MÊS],$AE$1,tabela_registros[DIA],reservaoutrosconsolidadofev[[#Headers],[8]],tabela_registros[REGISTRO],DADOS!$N$6,tabela_registros[TIPO],DADOS!$AJ$5,tabela_registros[CATEGORIA],reservaoutrosconsolidadofev[[#This Row],[ATUAL]])</f>
        <v>0</v>
      </c>
      <c r="M206" s="119" t="n">
        <f aca="false">SUMIFS(tabela_registros[VALOR],tabela_registros[MÊS],$AE$1,tabela_registros[DIA],reservaoutrosconsolidadofev[[#Headers],[9]],tabela_registros[REGISTRO],DADOS!$N$6,tabela_registros[TIPO],DADOS!$AJ$5,tabela_registros[CATEGORIA],reservaoutrosconsolidadofev[[#This Row],[ATUAL]])</f>
        <v>0</v>
      </c>
      <c r="N206" s="119" t="n">
        <f aca="false">SUMIFS(tabela_registros[VALOR],tabela_registros[MÊS],$AE$1,tabela_registros[DIA],reservaoutrosconsolidadofev[[#Headers],[10]],tabela_registros[REGISTRO],DADOS!$N$6,tabela_registros[TIPO],DADOS!$AJ$5,tabela_registros[CATEGORIA],reservaoutrosconsolidadofev[[#This Row],[ATUAL]])</f>
        <v>0</v>
      </c>
      <c r="O206" s="119" t="n">
        <f aca="false">SUMIFS(tabela_registros[VALOR],tabela_registros[MÊS],$AE$1,tabela_registros[DIA],reservaoutrosconsolidadofev[[#Headers],[11]],tabela_registros[REGISTRO],DADOS!$N$6,tabela_registros[TIPO],DADOS!$AJ$5,tabela_registros[CATEGORIA],reservaoutrosconsolidadofev[[#This Row],[ATUAL]])</f>
        <v>0</v>
      </c>
      <c r="P206" s="119" t="n">
        <f aca="false">SUMIFS(tabela_registros[VALOR],tabela_registros[MÊS],$AE$1,tabela_registros[DIA],reservaoutrosconsolidadofev[[#Headers],[12]],tabela_registros[REGISTRO],DADOS!$N$6,tabela_registros[TIPO],DADOS!$AJ$5,tabela_registros[CATEGORIA],reservaoutrosconsolidadofev[[#This Row],[ATUAL]])</f>
        <v>0</v>
      </c>
      <c r="Q206" s="119" t="n">
        <f aca="false">SUMIFS(tabela_registros[VALOR],tabela_registros[MÊS],$AE$1,tabela_registros[DIA],reservaoutrosconsolidadofev[[#Headers],[13]],tabela_registros[REGISTRO],DADOS!$N$6,tabela_registros[TIPO],DADOS!$AJ$5,tabela_registros[CATEGORIA],reservaoutrosconsolidadofev[[#This Row],[ATUAL]])</f>
        <v>0</v>
      </c>
      <c r="R206" s="119" t="n">
        <f aca="false">SUMIFS(tabela_registros[VALOR],tabela_registros[MÊS],$AE$1,tabela_registros[DIA],reservaoutrosconsolidadofev[[#Headers],[14]],tabela_registros[REGISTRO],DADOS!$N$6,tabela_registros[TIPO],DADOS!$AJ$5,tabela_registros[CATEGORIA],reservaoutrosconsolidadofev[[#This Row],[ATUAL]])</f>
        <v>0</v>
      </c>
      <c r="S206" s="119" t="n">
        <f aca="false">SUMIFS(tabela_registros[VALOR],tabela_registros[MÊS],$AE$1,tabela_registros[DIA],reservaoutrosconsolidadofev[[#Headers],[15]],tabela_registros[REGISTRO],DADOS!$N$6,tabela_registros[TIPO],DADOS!$AJ$5,tabela_registros[CATEGORIA],reservaoutrosconsolidadofev[[#This Row],[ATUAL]])</f>
        <v>0</v>
      </c>
      <c r="T206" s="119" t="n">
        <f aca="false">SUMIFS(tabela_registros[VALOR],tabela_registros[MÊS],$AE$1,tabela_registros[DIA],reservaoutrosconsolidadofev[[#Headers],[16]],tabela_registros[REGISTRO],DADOS!$N$6,tabela_registros[TIPO],DADOS!$AJ$5,tabela_registros[CATEGORIA],reservaoutrosconsolidadofev[[#This Row],[ATUAL]])</f>
        <v>0</v>
      </c>
      <c r="U206" s="119" t="n">
        <f aca="false">SUMIFS(tabela_registros[VALOR],tabela_registros[MÊS],$AE$1,tabela_registros[DIA],reservaoutrosconsolidadofev[[#Headers],[17]],tabela_registros[REGISTRO],DADOS!$N$6,tabela_registros[TIPO],DADOS!$AJ$5,tabela_registros[CATEGORIA],reservaoutrosconsolidadofev[[#This Row],[ATUAL]])</f>
        <v>0</v>
      </c>
      <c r="V206" s="119" t="n">
        <f aca="false">SUMIFS(tabela_registros[VALOR],tabela_registros[MÊS],$AE$1,tabela_registros[DIA],reservaoutrosconsolidadofev[[#Headers],[18]],tabela_registros[REGISTRO],DADOS!$N$6,tabela_registros[TIPO],DADOS!$AJ$5,tabela_registros[CATEGORIA],reservaoutrosconsolidadofev[[#This Row],[ATUAL]])</f>
        <v>0</v>
      </c>
      <c r="W206" s="119" t="n">
        <f aca="false">SUMIFS(tabela_registros[VALOR],tabela_registros[MÊS],$AE$1,tabela_registros[DIA],reservaoutrosconsolidadofev[[#Headers],[19]],tabela_registros[REGISTRO],DADOS!$N$6,tabela_registros[TIPO],DADOS!$AJ$5,tabela_registros[CATEGORIA],reservaoutrosconsolidadofev[[#This Row],[ATUAL]])</f>
        <v>0</v>
      </c>
      <c r="X206" s="119" t="n">
        <f aca="false">SUMIFS(tabela_registros[VALOR],tabela_registros[MÊS],$AE$1,tabela_registros[DIA],reservaoutrosconsolidadofev[[#Headers],[20]],tabela_registros[REGISTRO],DADOS!$N$6,tabela_registros[TIPO],DADOS!$AJ$5,tabela_registros[CATEGORIA],reservaoutrosconsolidadofev[[#This Row],[ATUAL]])</f>
        <v>0</v>
      </c>
      <c r="Y206" s="119" t="n">
        <f aca="false">SUMIFS(tabela_registros[VALOR],tabela_registros[MÊS],$AE$1,tabela_registros[DIA],reservaoutrosconsolidadofev[[#Headers],[21]],tabela_registros[REGISTRO],DADOS!$N$6,tabela_registros[TIPO],DADOS!$AJ$5,tabela_registros[CATEGORIA],reservaoutrosconsolidadofev[[#This Row],[ATUAL]])</f>
        <v>0</v>
      </c>
      <c r="Z206" s="119" t="n">
        <f aca="false">SUMIFS(tabela_registros[VALOR],tabela_registros[MÊS],$AE$1,tabela_registros[DIA],reservaoutrosconsolidadofev[[#Headers],[22]],tabela_registros[REGISTRO],DADOS!$N$6,tabela_registros[TIPO],DADOS!$AJ$5,tabela_registros[CATEGORIA],reservaoutrosconsolidadofev[[#This Row],[ATUAL]])</f>
        <v>0</v>
      </c>
      <c r="AA206" s="119" t="n">
        <f aca="false">SUMIFS(tabela_registros[VALOR],tabela_registros[MÊS],$AE$1,tabela_registros[DIA],reservaoutrosconsolidadofev[[#Headers],[23]],tabela_registros[REGISTRO],DADOS!$N$6,tabela_registros[TIPO],DADOS!$AJ$5,tabela_registros[CATEGORIA],reservaoutrosconsolidadofev[[#This Row],[ATUAL]])</f>
        <v>0</v>
      </c>
      <c r="AB206" s="119" t="n">
        <f aca="false">SUMIFS(tabela_registros[VALOR],tabela_registros[MÊS],$AE$1,tabela_registros[DIA],reservaoutrosconsolidadofev[[#Headers],[24]],tabela_registros[REGISTRO],DADOS!$N$6,tabela_registros[TIPO],DADOS!$AJ$5,tabela_registros[CATEGORIA],reservaoutrosconsolidadofev[[#This Row],[ATUAL]])</f>
        <v>0</v>
      </c>
      <c r="AC206" s="119" t="n">
        <f aca="false">SUMIFS(tabela_registros[VALOR],tabela_registros[MÊS],$AE$1,tabela_registros[DIA],reservaoutrosconsolidadofev[[#Headers],[25]],tabela_registros[REGISTRO],DADOS!$N$6,tabela_registros[TIPO],DADOS!$AJ$5,tabela_registros[CATEGORIA],reservaoutrosconsolidadofev[[#This Row],[ATUAL]])</f>
        <v>0</v>
      </c>
      <c r="AD206" s="119" t="n">
        <f aca="false">SUMIFS(tabela_registros[VALOR],tabela_registros[MÊS],$AE$1,tabela_registros[DIA],reservaoutrosconsolidadofev[[#Headers],[26]],tabela_registros[REGISTRO],DADOS!$N$6,tabela_registros[TIPO],DADOS!$AJ$5,tabela_registros[CATEGORIA],reservaoutrosconsolidadofev[[#This Row],[ATUAL]])</f>
        <v>0</v>
      </c>
      <c r="AE206" s="119" t="n">
        <f aca="false">SUMIFS(tabela_registros[VALOR],tabela_registros[MÊS],$AE$1,tabela_registros[DIA],reservaoutrosconsolidadofev[[#Headers],[27]],tabela_registros[REGISTRO],DADOS!$N$6,tabela_registros[TIPO],DADOS!$AJ$5,tabela_registros[CATEGORIA],reservaoutrosconsolidadofev[[#This Row],[ATUAL]])</f>
        <v>0</v>
      </c>
      <c r="AF206" s="119" t="n">
        <f aca="false">SUMIFS(tabela_registros[VALOR],tabela_registros[MÊS],$AE$1,tabela_registros[DIA],reservaoutrosconsolidadofev[[#Headers],[28]],tabela_registros[REGISTRO],DADOS!$N$6,tabela_registros[TIPO],DADOS!$AJ$5,tabela_registros[CATEGORIA],reservaoutrosconsolidadofev[[#This Row],[ATUAL]])</f>
        <v>0</v>
      </c>
      <c r="AG206" s="119" t="n">
        <f aca="false">SUMIFS(tabela_registros[VALOR],tabela_registros[MÊS],$AE$1,tabela_registros[DIA],reservaoutrosconsolidadofev[[#Headers],[29]],tabela_registros[REGISTRO],DADOS!$N$6,tabela_registros[TIPO],DADOS!$AJ$5,tabela_registros[CATEGORIA],reservaoutrosconsolidadofev[[#This Row],[ATUAL]])</f>
        <v>0</v>
      </c>
      <c r="AH206" s="119" t="n">
        <f aca="false">SUMIFS(tabela_registros[VALOR],tabela_registros[MÊS],$AE$1,tabela_registros[DIA],reservaoutrosconsolidadofev[[#Headers],[30]],tabela_registros[REGISTRO],DADOS!$N$6,tabela_registros[TIPO],DADOS!$AJ$5,tabela_registros[CATEGORIA],reservaoutrosconsolidadofev[[#This Row],[ATUAL]])</f>
        <v>0</v>
      </c>
      <c r="AI206" s="217" t="n">
        <f aca="false">SUMIFS(tabela_registros[VALOR],tabela_registros[MÊS],$AE$1,tabela_registros[DIA],reservaoutrosconsolidadofev[[#Headers],[31]],tabela_registros[REGISTRO],DADOS!$N$6,tabela_registros[TIPO],DADOS!$AJ$5,tabela_registros[CATEGORIA],reservaoutrosconsolidadofev[[#This Row],[ATUAL]])</f>
        <v>0</v>
      </c>
      <c r="AJ206" s="149" t="n">
        <f aca="false">SUM(reservaoutrosconsolidadofev[[#This Row],[1]:[31]])</f>
        <v>0</v>
      </c>
      <c r="AK206" s="165"/>
    </row>
    <row r="207" customFormat="false" ht="19.5" hidden="false" customHeight="true" outlineLevel="0" collapsed="false">
      <c r="B207" s="143"/>
      <c r="C207" s="144" t="str">
        <f aca="false">DADOS!$AP$4</f>
        <v>📝 FOREX</v>
      </c>
      <c r="D207" s="145" t="str">
        <f aca="false">IF(reservaoutrosconsolidadofev[[#This Row],[TOTAL (R$)]]=0,"",IF(OR(reservaoutrosconsolidadofev[[#This Row],[TOTAL (R$)]]=LARGE($AJ$206:$AJ$213,1),reservaoutrosconsolidadofev[[#This Row],[TOTAL (R$)]]=LARGE($AJ$206:$AJ$213,2)),DADOS!$I$11,""))</f>
        <v/>
      </c>
      <c r="E207" s="148" t="n">
        <f aca="false">SUMIFS(tabela_registros[VALOR],tabela_registros[MÊS],$AE$1,tabela_registros[DIA],reservaoutrosconsolidadofev[[#Headers],[1]],tabela_registros[REGISTRO],DADOS!$N$6,tabela_registros[TIPO],DADOS!$AJ$5,tabela_registros[CATEGORIA],reservaoutrosconsolidadofev[[#This Row],[ATUAL]])</f>
        <v>0</v>
      </c>
      <c r="F207" s="119" t="n">
        <f aca="false">SUMIFS(tabela_registros[VALOR],tabela_registros[MÊS],$AE$1,tabela_registros[DIA],reservaoutrosconsolidadofev[[#Headers],[2]],tabela_registros[REGISTRO],DADOS!$N$6,tabela_registros[TIPO],DADOS!$AJ$5,tabela_registros[CATEGORIA],reservaoutrosconsolidadofev[[#This Row],[ATUAL]])</f>
        <v>0</v>
      </c>
      <c r="G207" s="119" t="n">
        <f aca="false">SUMIFS(tabela_registros[VALOR],tabela_registros[MÊS],$AE$1,tabela_registros[DIA],reservaoutrosconsolidadofev[[#Headers],[3]],tabela_registros[REGISTRO],DADOS!$N$6,tabela_registros[TIPO],DADOS!$AJ$5,tabela_registros[CATEGORIA],reservaoutrosconsolidadofev[[#This Row],[ATUAL]])</f>
        <v>0</v>
      </c>
      <c r="H207" s="119" t="n">
        <f aca="false">SUMIFS(tabela_registros[VALOR],tabela_registros[MÊS],$AE$1,tabela_registros[DIA],reservaoutrosconsolidadofev[[#Headers],[4]],tabela_registros[REGISTRO],DADOS!$N$6,tabela_registros[TIPO],DADOS!$AJ$5,tabela_registros[CATEGORIA],reservaoutrosconsolidadofev[[#This Row],[ATUAL]])</f>
        <v>0</v>
      </c>
      <c r="I207" s="119" t="n">
        <f aca="false">SUMIFS(tabela_registros[VALOR],tabela_registros[MÊS],$AE$1,tabela_registros[DIA],reservaoutrosconsolidadofev[[#Headers],[5]],tabela_registros[REGISTRO],DADOS!$N$6,tabela_registros[TIPO],DADOS!$AJ$5,tabela_registros[CATEGORIA],reservaoutrosconsolidadofev[[#This Row],[ATUAL]])</f>
        <v>0</v>
      </c>
      <c r="J207" s="119" t="n">
        <f aca="false">SUMIFS(tabela_registros[VALOR],tabela_registros[MÊS],$AE$1,tabela_registros[DIA],reservaoutrosconsolidadofev[[#Headers],[6]],tabela_registros[REGISTRO],DADOS!$N$6,tabela_registros[TIPO],DADOS!$AJ$5,tabela_registros[CATEGORIA],reservaoutrosconsolidadofev[[#This Row],[ATUAL]])</f>
        <v>0</v>
      </c>
      <c r="K207" s="119" t="n">
        <f aca="false">SUMIFS(tabela_registros[VALOR],tabela_registros[MÊS],$AE$1,tabela_registros[DIA],reservaoutrosconsolidadofev[[#Headers],[7]],tabela_registros[REGISTRO],DADOS!$N$6,tabela_registros[TIPO],DADOS!$AJ$5,tabela_registros[CATEGORIA],reservaoutrosconsolidadofev[[#This Row],[ATUAL]])</f>
        <v>0</v>
      </c>
      <c r="L207" s="119" t="n">
        <f aca="false">SUMIFS(tabela_registros[VALOR],tabela_registros[MÊS],$AE$1,tabela_registros[DIA],reservaoutrosconsolidadofev[[#Headers],[8]],tabela_registros[REGISTRO],DADOS!$N$6,tabela_registros[TIPO],DADOS!$AJ$5,tabela_registros[CATEGORIA],reservaoutrosconsolidadofev[[#This Row],[ATUAL]])</f>
        <v>0</v>
      </c>
      <c r="M207" s="119" t="n">
        <f aca="false">SUMIFS(tabela_registros[VALOR],tabela_registros[MÊS],$AE$1,tabela_registros[DIA],reservaoutrosconsolidadofev[[#Headers],[9]],tabela_registros[REGISTRO],DADOS!$N$6,tabela_registros[TIPO],DADOS!$AJ$5,tabela_registros[CATEGORIA],reservaoutrosconsolidadofev[[#This Row],[ATUAL]])</f>
        <v>0</v>
      </c>
      <c r="N207" s="119" t="n">
        <f aca="false">SUMIFS(tabela_registros[VALOR],tabela_registros[MÊS],$AE$1,tabela_registros[DIA],reservaoutrosconsolidadofev[[#Headers],[10]],tabela_registros[REGISTRO],DADOS!$N$6,tabela_registros[TIPO],DADOS!$AJ$5,tabela_registros[CATEGORIA],reservaoutrosconsolidadofev[[#This Row],[ATUAL]])</f>
        <v>0</v>
      </c>
      <c r="O207" s="119" t="n">
        <f aca="false">SUMIFS(tabela_registros[VALOR],tabela_registros[MÊS],$AE$1,tabela_registros[DIA],reservaoutrosconsolidadofev[[#Headers],[11]],tabela_registros[REGISTRO],DADOS!$N$6,tabela_registros[TIPO],DADOS!$AJ$5,tabela_registros[CATEGORIA],reservaoutrosconsolidadofev[[#This Row],[ATUAL]])</f>
        <v>0</v>
      </c>
      <c r="P207" s="119" t="n">
        <f aca="false">SUMIFS(tabela_registros[VALOR],tabela_registros[MÊS],$AE$1,tabela_registros[DIA],reservaoutrosconsolidadofev[[#Headers],[12]],tabela_registros[REGISTRO],DADOS!$N$6,tabela_registros[TIPO],DADOS!$AJ$5,tabela_registros[CATEGORIA],reservaoutrosconsolidadofev[[#This Row],[ATUAL]])</f>
        <v>0</v>
      </c>
      <c r="Q207" s="119" t="n">
        <f aca="false">SUMIFS(tabela_registros[VALOR],tabela_registros[MÊS],$AE$1,tabela_registros[DIA],reservaoutrosconsolidadofev[[#Headers],[13]],tabela_registros[REGISTRO],DADOS!$N$6,tabela_registros[TIPO],DADOS!$AJ$5,tabela_registros[CATEGORIA],reservaoutrosconsolidadofev[[#This Row],[ATUAL]])</f>
        <v>0</v>
      </c>
      <c r="R207" s="119" t="n">
        <f aca="false">SUMIFS(tabela_registros[VALOR],tabela_registros[MÊS],$AE$1,tabela_registros[DIA],reservaoutrosconsolidadofev[[#Headers],[14]],tabela_registros[REGISTRO],DADOS!$N$6,tabela_registros[TIPO],DADOS!$AJ$5,tabela_registros[CATEGORIA],reservaoutrosconsolidadofev[[#This Row],[ATUAL]])</f>
        <v>0</v>
      </c>
      <c r="S207" s="119" t="n">
        <f aca="false">SUMIFS(tabela_registros[VALOR],tabela_registros[MÊS],$AE$1,tabela_registros[DIA],reservaoutrosconsolidadofev[[#Headers],[15]],tabela_registros[REGISTRO],DADOS!$N$6,tabela_registros[TIPO],DADOS!$AJ$5,tabela_registros[CATEGORIA],reservaoutrosconsolidadofev[[#This Row],[ATUAL]])</f>
        <v>0</v>
      </c>
      <c r="T207" s="119" t="n">
        <f aca="false">SUMIFS(tabela_registros[VALOR],tabela_registros[MÊS],$AE$1,tabela_registros[DIA],reservaoutrosconsolidadofev[[#Headers],[16]],tabela_registros[REGISTRO],DADOS!$N$6,tabela_registros[TIPO],DADOS!$AJ$5,tabela_registros[CATEGORIA],reservaoutrosconsolidadofev[[#This Row],[ATUAL]])</f>
        <v>0</v>
      </c>
      <c r="U207" s="119" t="n">
        <f aca="false">SUMIFS(tabela_registros[VALOR],tabela_registros[MÊS],$AE$1,tabela_registros[DIA],reservaoutrosconsolidadofev[[#Headers],[17]],tabela_registros[REGISTRO],DADOS!$N$6,tabela_registros[TIPO],DADOS!$AJ$5,tabela_registros[CATEGORIA],reservaoutrosconsolidadofev[[#This Row],[ATUAL]])</f>
        <v>0</v>
      </c>
      <c r="V207" s="119" t="n">
        <f aca="false">SUMIFS(tabela_registros[VALOR],tabela_registros[MÊS],$AE$1,tabela_registros[DIA],reservaoutrosconsolidadofev[[#Headers],[18]],tabela_registros[REGISTRO],DADOS!$N$6,tabela_registros[TIPO],DADOS!$AJ$5,tabela_registros[CATEGORIA],reservaoutrosconsolidadofev[[#This Row],[ATUAL]])</f>
        <v>0</v>
      </c>
      <c r="W207" s="119" t="n">
        <f aca="false">SUMIFS(tabela_registros[VALOR],tabela_registros[MÊS],$AE$1,tabela_registros[DIA],reservaoutrosconsolidadofev[[#Headers],[19]],tabela_registros[REGISTRO],DADOS!$N$6,tabela_registros[TIPO],DADOS!$AJ$5,tabela_registros[CATEGORIA],reservaoutrosconsolidadofev[[#This Row],[ATUAL]])</f>
        <v>0</v>
      </c>
      <c r="X207" s="119" t="n">
        <f aca="false">SUMIFS(tabela_registros[VALOR],tabela_registros[MÊS],$AE$1,tabela_registros[DIA],reservaoutrosconsolidadofev[[#Headers],[20]],tabela_registros[REGISTRO],DADOS!$N$6,tabela_registros[TIPO],DADOS!$AJ$5,tabela_registros[CATEGORIA],reservaoutrosconsolidadofev[[#This Row],[ATUAL]])</f>
        <v>0</v>
      </c>
      <c r="Y207" s="119" t="n">
        <f aca="false">SUMIFS(tabela_registros[VALOR],tabela_registros[MÊS],$AE$1,tabela_registros[DIA],reservaoutrosconsolidadofev[[#Headers],[21]],tabela_registros[REGISTRO],DADOS!$N$6,tabela_registros[TIPO],DADOS!$AJ$5,tabela_registros[CATEGORIA],reservaoutrosconsolidadofev[[#This Row],[ATUAL]])</f>
        <v>0</v>
      </c>
      <c r="Z207" s="119" t="n">
        <f aca="false">SUMIFS(tabela_registros[VALOR],tabela_registros[MÊS],$AE$1,tabela_registros[DIA],reservaoutrosconsolidadofev[[#Headers],[22]],tabela_registros[REGISTRO],DADOS!$N$6,tabela_registros[TIPO],DADOS!$AJ$5,tabela_registros[CATEGORIA],reservaoutrosconsolidadofev[[#This Row],[ATUAL]])</f>
        <v>0</v>
      </c>
      <c r="AA207" s="119" t="n">
        <f aca="false">SUMIFS(tabela_registros[VALOR],tabela_registros[MÊS],$AE$1,tabela_registros[DIA],reservaoutrosconsolidadofev[[#Headers],[23]],tabela_registros[REGISTRO],DADOS!$N$6,tabela_registros[TIPO],DADOS!$AJ$5,tabela_registros[CATEGORIA],reservaoutrosconsolidadofev[[#This Row],[ATUAL]])</f>
        <v>0</v>
      </c>
      <c r="AB207" s="119" t="n">
        <f aca="false">SUMIFS(tabela_registros[VALOR],tabela_registros[MÊS],$AE$1,tabela_registros[DIA],reservaoutrosconsolidadofev[[#Headers],[24]],tabela_registros[REGISTRO],DADOS!$N$6,tabela_registros[TIPO],DADOS!$AJ$5,tabela_registros[CATEGORIA],reservaoutrosconsolidadofev[[#This Row],[ATUAL]])</f>
        <v>0</v>
      </c>
      <c r="AC207" s="119" t="n">
        <f aca="false">SUMIFS(tabela_registros[VALOR],tabela_registros[MÊS],$AE$1,tabela_registros[DIA],reservaoutrosconsolidadofev[[#Headers],[25]],tabela_registros[REGISTRO],DADOS!$N$6,tabela_registros[TIPO],DADOS!$AJ$5,tabela_registros[CATEGORIA],reservaoutrosconsolidadofev[[#This Row],[ATUAL]])</f>
        <v>0</v>
      </c>
      <c r="AD207" s="119" t="n">
        <f aca="false">SUMIFS(tabela_registros[VALOR],tabela_registros[MÊS],$AE$1,tabela_registros[DIA],reservaoutrosconsolidadofev[[#Headers],[26]],tabela_registros[REGISTRO],DADOS!$N$6,tabela_registros[TIPO],DADOS!$AJ$5,tabela_registros[CATEGORIA],reservaoutrosconsolidadofev[[#This Row],[ATUAL]])</f>
        <v>0</v>
      </c>
      <c r="AE207" s="119" t="n">
        <f aca="false">SUMIFS(tabela_registros[VALOR],tabela_registros[MÊS],$AE$1,tabela_registros[DIA],reservaoutrosconsolidadofev[[#Headers],[27]],tabela_registros[REGISTRO],DADOS!$N$6,tabela_registros[TIPO],DADOS!$AJ$5,tabela_registros[CATEGORIA],reservaoutrosconsolidadofev[[#This Row],[ATUAL]])</f>
        <v>0</v>
      </c>
      <c r="AF207" s="119" t="n">
        <f aca="false">SUMIFS(tabela_registros[VALOR],tabela_registros[MÊS],$AE$1,tabela_registros[DIA],reservaoutrosconsolidadofev[[#Headers],[28]],tabela_registros[REGISTRO],DADOS!$N$6,tabela_registros[TIPO],DADOS!$AJ$5,tabela_registros[CATEGORIA],reservaoutrosconsolidadofev[[#This Row],[ATUAL]])</f>
        <v>0</v>
      </c>
      <c r="AG207" s="119" t="n">
        <f aca="false">SUMIFS(tabela_registros[VALOR],tabela_registros[MÊS],$AE$1,tabela_registros[DIA],reservaoutrosconsolidadofev[[#Headers],[29]],tabela_registros[REGISTRO],DADOS!$N$6,tabela_registros[TIPO],DADOS!$AJ$5,tabela_registros[CATEGORIA],reservaoutrosconsolidadofev[[#This Row],[ATUAL]])</f>
        <v>0</v>
      </c>
      <c r="AH207" s="119" t="n">
        <f aca="false">SUMIFS(tabela_registros[VALOR],tabela_registros[MÊS],$AE$1,tabela_registros[DIA],reservaoutrosconsolidadofev[[#Headers],[30]],tabela_registros[REGISTRO],DADOS!$N$6,tabela_registros[TIPO],DADOS!$AJ$5,tabela_registros[CATEGORIA],reservaoutrosconsolidadofev[[#This Row],[ATUAL]])</f>
        <v>0</v>
      </c>
      <c r="AI207" s="217" t="n">
        <f aca="false">SUMIFS(tabela_registros[VALOR],tabela_registros[MÊS],$AE$1,tabela_registros[DIA],reservaoutrosconsolidadofev[[#Headers],[31]],tabela_registros[REGISTRO],DADOS!$N$6,tabela_registros[TIPO],DADOS!$AJ$5,tabela_registros[CATEGORIA],reservaoutrosconsolidadofev[[#This Row],[ATUAL]])</f>
        <v>0</v>
      </c>
      <c r="AJ207" s="149" t="n">
        <f aca="false">SUM(reservaoutrosconsolidadofev[[#This Row],[1]:[31]])</f>
        <v>0</v>
      </c>
      <c r="AK207" s="165"/>
    </row>
    <row r="208" customFormat="false" ht="19.5" hidden="false" customHeight="true" outlineLevel="0" collapsed="false">
      <c r="B208" s="143"/>
      <c r="C208" s="144" t="str">
        <f aca="false">DADOS!$AP$5</f>
        <v>📝 FUNDO DE INVESTIMENTO</v>
      </c>
      <c r="D208" s="145" t="str">
        <f aca="false">IF(reservaoutrosconsolidadofev[[#This Row],[TOTAL (R$)]]=0,"",IF(OR(reservaoutrosconsolidadofev[[#This Row],[TOTAL (R$)]]=LARGE($AJ$206:$AJ$213,1),reservaoutrosconsolidadofev[[#This Row],[TOTAL (R$)]]=LARGE($AJ$206:$AJ$213,2)),DADOS!$I$11,""))</f>
        <v/>
      </c>
      <c r="E208" s="148" t="n">
        <f aca="false">SUMIFS(tabela_registros[VALOR],tabela_registros[MÊS],$AE$1,tabela_registros[DIA],reservaoutrosconsolidadofev[[#Headers],[1]],tabela_registros[REGISTRO],DADOS!$N$6,tabela_registros[TIPO],DADOS!$AJ$5,tabela_registros[CATEGORIA],reservaoutrosconsolidadofev[[#This Row],[ATUAL]])</f>
        <v>0</v>
      </c>
      <c r="F208" s="119" t="n">
        <f aca="false">SUMIFS(tabela_registros[VALOR],tabela_registros[MÊS],$AE$1,tabela_registros[DIA],reservaoutrosconsolidadofev[[#Headers],[2]],tabela_registros[REGISTRO],DADOS!$N$6,tabela_registros[TIPO],DADOS!$AJ$5,tabela_registros[CATEGORIA],reservaoutrosconsolidadofev[[#This Row],[ATUAL]])</f>
        <v>0</v>
      </c>
      <c r="G208" s="119" t="n">
        <f aca="false">SUMIFS(tabela_registros[VALOR],tabela_registros[MÊS],$AE$1,tabela_registros[DIA],reservaoutrosconsolidadofev[[#Headers],[3]],tabela_registros[REGISTRO],DADOS!$N$6,tabela_registros[TIPO],DADOS!$AJ$5,tabela_registros[CATEGORIA],reservaoutrosconsolidadofev[[#This Row],[ATUAL]])</f>
        <v>0</v>
      </c>
      <c r="H208" s="119" t="n">
        <f aca="false">SUMIFS(tabela_registros[VALOR],tabela_registros[MÊS],$AE$1,tabela_registros[DIA],reservaoutrosconsolidadofev[[#Headers],[4]],tabela_registros[REGISTRO],DADOS!$N$6,tabela_registros[TIPO],DADOS!$AJ$5,tabela_registros[CATEGORIA],reservaoutrosconsolidadofev[[#This Row],[ATUAL]])</f>
        <v>0</v>
      </c>
      <c r="I208" s="119" t="n">
        <f aca="false">SUMIFS(tabela_registros[VALOR],tabela_registros[MÊS],$AE$1,tabela_registros[DIA],reservaoutrosconsolidadofev[[#Headers],[5]],tabela_registros[REGISTRO],DADOS!$N$6,tabela_registros[TIPO],DADOS!$AJ$5,tabela_registros[CATEGORIA],reservaoutrosconsolidadofev[[#This Row],[ATUAL]])</f>
        <v>0</v>
      </c>
      <c r="J208" s="119" t="n">
        <f aca="false">SUMIFS(tabela_registros[VALOR],tabela_registros[MÊS],$AE$1,tabela_registros[DIA],reservaoutrosconsolidadofev[[#Headers],[6]],tabela_registros[REGISTRO],DADOS!$N$6,tabela_registros[TIPO],DADOS!$AJ$5,tabela_registros[CATEGORIA],reservaoutrosconsolidadofev[[#This Row],[ATUAL]])</f>
        <v>0</v>
      </c>
      <c r="K208" s="119" t="n">
        <f aca="false">SUMIFS(tabela_registros[VALOR],tabela_registros[MÊS],$AE$1,tabela_registros[DIA],reservaoutrosconsolidadofev[[#Headers],[7]],tabela_registros[REGISTRO],DADOS!$N$6,tabela_registros[TIPO],DADOS!$AJ$5,tabela_registros[CATEGORIA],reservaoutrosconsolidadofev[[#This Row],[ATUAL]])</f>
        <v>0</v>
      </c>
      <c r="L208" s="119" t="n">
        <f aca="false">SUMIFS(tabela_registros[VALOR],tabela_registros[MÊS],$AE$1,tabela_registros[DIA],reservaoutrosconsolidadofev[[#Headers],[8]],tabela_registros[REGISTRO],DADOS!$N$6,tabela_registros[TIPO],DADOS!$AJ$5,tabela_registros[CATEGORIA],reservaoutrosconsolidadofev[[#This Row],[ATUAL]])</f>
        <v>0</v>
      </c>
      <c r="M208" s="119" t="n">
        <f aca="false">SUMIFS(tabela_registros[VALOR],tabela_registros[MÊS],$AE$1,tabela_registros[DIA],reservaoutrosconsolidadofev[[#Headers],[9]],tabela_registros[REGISTRO],DADOS!$N$6,tabela_registros[TIPO],DADOS!$AJ$5,tabela_registros[CATEGORIA],reservaoutrosconsolidadofev[[#This Row],[ATUAL]])</f>
        <v>0</v>
      </c>
      <c r="N208" s="119" t="n">
        <f aca="false">SUMIFS(tabela_registros[VALOR],tabela_registros[MÊS],$AE$1,tabela_registros[DIA],reservaoutrosconsolidadofev[[#Headers],[10]],tabela_registros[REGISTRO],DADOS!$N$6,tabela_registros[TIPO],DADOS!$AJ$5,tabela_registros[CATEGORIA],reservaoutrosconsolidadofev[[#This Row],[ATUAL]])</f>
        <v>0</v>
      </c>
      <c r="O208" s="119" t="n">
        <f aca="false">SUMIFS(tabela_registros[VALOR],tabela_registros[MÊS],$AE$1,tabela_registros[DIA],reservaoutrosconsolidadofev[[#Headers],[11]],tabela_registros[REGISTRO],DADOS!$N$6,tabela_registros[TIPO],DADOS!$AJ$5,tabela_registros[CATEGORIA],reservaoutrosconsolidadofev[[#This Row],[ATUAL]])</f>
        <v>0</v>
      </c>
      <c r="P208" s="119" t="n">
        <f aca="false">SUMIFS(tabela_registros[VALOR],tabela_registros[MÊS],$AE$1,tabela_registros[DIA],reservaoutrosconsolidadofev[[#Headers],[12]],tabela_registros[REGISTRO],DADOS!$N$6,tabela_registros[TIPO],DADOS!$AJ$5,tabela_registros[CATEGORIA],reservaoutrosconsolidadofev[[#This Row],[ATUAL]])</f>
        <v>0</v>
      </c>
      <c r="Q208" s="119" t="n">
        <f aca="false">SUMIFS(tabela_registros[VALOR],tabela_registros[MÊS],$AE$1,tabela_registros[DIA],reservaoutrosconsolidadofev[[#Headers],[13]],tabela_registros[REGISTRO],DADOS!$N$6,tabela_registros[TIPO],DADOS!$AJ$5,tabela_registros[CATEGORIA],reservaoutrosconsolidadofev[[#This Row],[ATUAL]])</f>
        <v>0</v>
      </c>
      <c r="R208" s="119" t="n">
        <f aca="false">SUMIFS(tabela_registros[VALOR],tabela_registros[MÊS],$AE$1,tabela_registros[DIA],reservaoutrosconsolidadofev[[#Headers],[14]],tabela_registros[REGISTRO],DADOS!$N$6,tabela_registros[TIPO],DADOS!$AJ$5,tabela_registros[CATEGORIA],reservaoutrosconsolidadofev[[#This Row],[ATUAL]])</f>
        <v>0</v>
      </c>
      <c r="S208" s="119" t="n">
        <f aca="false">SUMIFS(tabela_registros[VALOR],tabela_registros[MÊS],$AE$1,tabela_registros[DIA],reservaoutrosconsolidadofev[[#Headers],[15]],tabela_registros[REGISTRO],DADOS!$N$6,tabela_registros[TIPO],DADOS!$AJ$5,tabela_registros[CATEGORIA],reservaoutrosconsolidadofev[[#This Row],[ATUAL]])</f>
        <v>0</v>
      </c>
      <c r="T208" s="119" t="n">
        <f aca="false">SUMIFS(tabela_registros[VALOR],tabela_registros[MÊS],$AE$1,tabela_registros[DIA],reservaoutrosconsolidadofev[[#Headers],[16]],tabela_registros[REGISTRO],DADOS!$N$6,tabela_registros[TIPO],DADOS!$AJ$5,tabela_registros[CATEGORIA],reservaoutrosconsolidadofev[[#This Row],[ATUAL]])</f>
        <v>0</v>
      </c>
      <c r="U208" s="119" t="n">
        <f aca="false">SUMIFS(tabela_registros[VALOR],tabela_registros[MÊS],$AE$1,tabela_registros[DIA],reservaoutrosconsolidadofev[[#Headers],[17]],tabela_registros[REGISTRO],DADOS!$N$6,tabela_registros[TIPO],DADOS!$AJ$5,tabela_registros[CATEGORIA],reservaoutrosconsolidadofev[[#This Row],[ATUAL]])</f>
        <v>0</v>
      </c>
      <c r="V208" s="119" t="n">
        <f aca="false">SUMIFS(tabela_registros[VALOR],tabela_registros[MÊS],$AE$1,tabela_registros[DIA],reservaoutrosconsolidadofev[[#Headers],[18]],tabela_registros[REGISTRO],DADOS!$N$6,tabela_registros[TIPO],DADOS!$AJ$5,tabela_registros[CATEGORIA],reservaoutrosconsolidadofev[[#This Row],[ATUAL]])</f>
        <v>0</v>
      </c>
      <c r="W208" s="119" t="n">
        <f aca="false">SUMIFS(tabela_registros[VALOR],tabela_registros[MÊS],$AE$1,tabela_registros[DIA],reservaoutrosconsolidadofev[[#Headers],[19]],tabela_registros[REGISTRO],DADOS!$N$6,tabela_registros[TIPO],DADOS!$AJ$5,tabela_registros[CATEGORIA],reservaoutrosconsolidadofev[[#This Row],[ATUAL]])</f>
        <v>0</v>
      </c>
      <c r="X208" s="119" t="n">
        <f aca="false">SUMIFS(tabela_registros[VALOR],tabela_registros[MÊS],$AE$1,tabela_registros[DIA],reservaoutrosconsolidadofev[[#Headers],[20]],tabela_registros[REGISTRO],DADOS!$N$6,tabela_registros[TIPO],DADOS!$AJ$5,tabela_registros[CATEGORIA],reservaoutrosconsolidadofev[[#This Row],[ATUAL]])</f>
        <v>0</v>
      </c>
      <c r="Y208" s="119" t="n">
        <f aca="false">SUMIFS(tabela_registros[VALOR],tabela_registros[MÊS],$AE$1,tabela_registros[DIA],reservaoutrosconsolidadofev[[#Headers],[21]],tabela_registros[REGISTRO],DADOS!$N$6,tabela_registros[TIPO],DADOS!$AJ$5,tabela_registros[CATEGORIA],reservaoutrosconsolidadofev[[#This Row],[ATUAL]])</f>
        <v>0</v>
      </c>
      <c r="Z208" s="119" t="n">
        <f aca="false">SUMIFS(tabela_registros[VALOR],tabela_registros[MÊS],$AE$1,tabela_registros[DIA],reservaoutrosconsolidadofev[[#Headers],[22]],tabela_registros[REGISTRO],DADOS!$N$6,tabela_registros[TIPO],DADOS!$AJ$5,tabela_registros[CATEGORIA],reservaoutrosconsolidadofev[[#This Row],[ATUAL]])</f>
        <v>0</v>
      </c>
      <c r="AA208" s="119" t="n">
        <f aca="false">SUMIFS(tabela_registros[VALOR],tabela_registros[MÊS],$AE$1,tabela_registros[DIA],reservaoutrosconsolidadofev[[#Headers],[23]],tabela_registros[REGISTRO],DADOS!$N$6,tabela_registros[TIPO],DADOS!$AJ$5,tabela_registros[CATEGORIA],reservaoutrosconsolidadofev[[#This Row],[ATUAL]])</f>
        <v>0</v>
      </c>
      <c r="AB208" s="119" t="n">
        <f aca="false">SUMIFS(tabela_registros[VALOR],tabela_registros[MÊS],$AE$1,tabela_registros[DIA],reservaoutrosconsolidadofev[[#Headers],[24]],tabela_registros[REGISTRO],DADOS!$N$6,tabela_registros[TIPO],DADOS!$AJ$5,tabela_registros[CATEGORIA],reservaoutrosconsolidadofev[[#This Row],[ATUAL]])</f>
        <v>0</v>
      </c>
      <c r="AC208" s="119" t="n">
        <f aca="false">SUMIFS(tabela_registros[VALOR],tabela_registros[MÊS],$AE$1,tabela_registros[DIA],reservaoutrosconsolidadofev[[#Headers],[25]],tabela_registros[REGISTRO],DADOS!$N$6,tabela_registros[TIPO],DADOS!$AJ$5,tabela_registros[CATEGORIA],reservaoutrosconsolidadofev[[#This Row],[ATUAL]])</f>
        <v>0</v>
      </c>
      <c r="AD208" s="119" t="n">
        <f aca="false">SUMIFS(tabela_registros[VALOR],tabela_registros[MÊS],$AE$1,tabela_registros[DIA],reservaoutrosconsolidadofev[[#Headers],[26]],tabela_registros[REGISTRO],DADOS!$N$6,tabela_registros[TIPO],DADOS!$AJ$5,tabela_registros[CATEGORIA],reservaoutrosconsolidadofev[[#This Row],[ATUAL]])</f>
        <v>0</v>
      </c>
      <c r="AE208" s="119" t="n">
        <f aca="false">SUMIFS(tabela_registros[VALOR],tabela_registros[MÊS],$AE$1,tabela_registros[DIA],reservaoutrosconsolidadofev[[#Headers],[27]],tabela_registros[REGISTRO],DADOS!$N$6,tabela_registros[TIPO],DADOS!$AJ$5,tabela_registros[CATEGORIA],reservaoutrosconsolidadofev[[#This Row],[ATUAL]])</f>
        <v>0</v>
      </c>
      <c r="AF208" s="119" t="n">
        <f aca="false">SUMIFS(tabela_registros[VALOR],tabela_registros[MÊS],$AE$1,tabela_registros[DIA],reservaoutrosconsolidadofev[[#Headers],[28]],tabela_registros[REGISTRO],DADOS!$N$6,tabela_registros[TIPO],DADOS!$AJ$5,tabela_registros[CATEGORIA],reservaoutrosconsolidadofev[[#This Row],[ATUAL]])</f>
        <v>0</v>
      </c>
      <c r="AG208" s="119" t="n">
        <f aca="false">SUMIFS(tabela_registros[VALOR],tabela_registros[MÊS],$AE$1,tabela_registros[DIA],reservaoutrosconsolidadofev[[#Headers],[29]],tabela_registros[REGISTRO],DADOS!$N$6,tabela_registros[TIPO],DADOS!$AJ$5,tabela_registros[CATEGORIA],reservaoutrosconsolidadofev[[#This Row],[ATUAL]])</f>
        <v>0</v>
      </c>
      <c r="AH208" s="119" t="n">
        <f aca="false">SUMIFS(tabela_registros[VALOR],tabela_registros[MÊS],$AE$1,tabela_registros[DIA],reservaoutrosconsolidadofev[[#Headers],[30]],tabela_registros[REGISTRO],DADOS!$N$6,tabela_registros[TIPO],DADOS!$AJ$5,tabela_registros[CATEGORIA],reservaoutrosconsolidadofev[[#This Row],[ATUAL]])</f>
        <v>0</v>
      </c>
      <c r="AI208" s="217" t="n">
        <f aca="false">SUMIFS(tabela_registros[VALOR],tabela_registros[MÊS],$AE$1,tabela_registros[DIA],reservaoutrosconsolidadofev[[#Headers],[31]],tabela_registros[REGISTRO],DADOS!$N$6,tabela_registros[TIPO],DADOS!$AJ$5,tabela_registros[CATEGORIA],reservaoutrosconsolidadofev[[#This Row],[ATUAL]])</f>
        <v>0</v>
      </c>
      <c r="AJ208" s="149" t="n">
        <f aca="false">SUM(reservaoutrosconsolidadofev[[#This Row],[1]:[31]])</f>
        <v>0</v>
      </c>
      <c r="AK208" s="165"/>
    </row>
    <row r="209" customFormat="false" ht="19.5" hidden="false" customHeight="true" outlineLevel="0" collapsed="false">
      <c r="B209" s="143"/>
      <c r="C209" s="144" t="str">
        <f aca="false">DADOS!$AP$6</f>
        <v>📝 NOVA EMPRESA</v>
      </c>
      <c r="D209" s="145" t="str">
        <f aca="false">IF(reservaoutrosconsolidadofev[[#This Row],[TOTAL (R$)]]=0,"",IF(OR(reservaoutrosconsolidadofev[[#This Row],[TOTAL (R$)]]=LARGE($AJ$206:$AJ$213,1),reservaoutrosconsolidadofev[[#This Row],[TOTAL (R$)]]=LARGE($AJ$206:$AJ$213,2)),DADOS!$I$11,""))</f>
        <v/>
      </c>
      <c r="E209" s="148" t="n">
        <f aca="false">SUMIFS(tabela_registros[VALOR],tabela_registros[MÊS],$AE$1,tabela_registros[DIA],reservaoutrosconsolidadofev[[#Headers],[1]],tabela_registros[REGISTRO],DADOS!$N$6,tabela_registros[TIPO],DADOS!$AJ$5,tabela_registros[CATEGORIA],reservaoutrosconsolidadofev[[#This Row],[ATUAL]])</f>
        <v>0</v>
      </c>
      <c r="F209" s="119" t="n">
        <f aca="false">SUMIFS(tabela_registros[VALOR],tabela_registros[MÊS],$AE$1,tabela_registros[DIA],reservaoutrosconsolidadofev[[#Headers],[2]],tabela_registros[REGISTRO],DADOS!$N$6,tabela_registros[TIPO],DADOS!$AJ$5,tabela_registros[CATEGORIA],reservaoutrosconsolidadofev[[#This Row],[ATUAL]])</f>
        <v>0</v>
      </c>
      <c r="G209" s="119" t="n">
        <f aca="false">SUMIFS(tabela_registros[VALOR],tabela_registros[MÊS],$AE$1,tabela_registros[DIA],reservaoutrosconsolidadofev[[#Headers],[3]],tabela_registros[REGISTRO],DADOS!$N$6,tabela_registros[TIPO],DADOS!$AJ$5,tabela_registros[CATEGORIA],reservaoutrosconsolidadofev[[#This Row],[ATUAL]])</f>
        <v>0</v>
      </c>
      <c r="H209" s="119" t="n">
        <f aca="false">SUMIFS(tabela_registros[VALOR],tabela_registros[MÊS],$AE$1,tabela_registros[DIA],reservaoutrosconsolidadofev[[#Headers],[4]],tabela_registros[REGISTRO],DADOS!$N$6,tabela_registros[TIPO],DADOS!$AJ$5,tabela_registros[CATEGORIA],reservaoutrosconsolidadofev[[#This Row],[ATUAL]])</f>
        <v>0</v>
      </c>
      <c r="I209" s="119" t="n">
        <f aca="false">SUMIFS(tabela_registros[VALOR],tabela_registros[MÊS],$AE$1,tabela_registros[DIA],reservaoutrosconsolidadofev[[#Headers],[5]],tabela_registros[REGISTRO],DADOS!$N$6,tabela_registros[TIPO],DADOS!$AJ$5,tabela_registros[CATEGORIA],reservaoutrosconsolidadofev[[#This Row],[ATUAL]])</f>
        <v>0</v>
      </c>
      <c r="J209" s="119" t="n">
        <f aca="false">SUMIFS(tabela_registros[VALOR],tabela_registros[MÊS],$AE$1,tabela_registros[DIA],reservaoutrosconsolidadofev[[#Headers],[6]],tabela_registros[REGISTRO],DADOS!$N$6,tabela_registros[TIPO],DADOS!$AJ$5,tabela_registros[CATEGORIA],reservaoutrosconsolidadofev[[#This Row],[ATUAL]])</f>
        <v>0</v>
      </c>
      <c r="K209" s="119" t="n">
        <f aca="false">SUMIFS(tabela_registros[VALOR],tabela_registros[MÊS],$AE$1,tabela_registros[DIA],reservaoutrosconsolidadofev[[#Headers],[7]],tabela_registros[REGISTRO],DADOS!$N$6,tabela_registros[TIPO],DADOS!$AJ$5,tabela_registros[CATEGORIA],reservaoutrosconsolidadofev[[#This Row],[ATUAL]])</f>
        <v>0</v>
      </c>
      <c r="L209" s="119" t="n">
        <f aca="false">SUMIFS(tabela_registros[VALOR],tabela_registros[MÊS],$AE$1,tabela_registros[DIA],reservaoutrosconsolidadofev[[#Headers],[8]],tabela_registros[REGISTRO],DADOS!$N$6,tabela_registros[TIPO],DADOS!$AJ$5,tabela_registros[CATEGORIA],reservaoutrosconsolidadofev[[#This Row],[ATUAL]])</f>
        <v>0</v>
      </c>
      <c r="M209" s="119" t="n">
        <f aca="false">SUMIFS(tabela_registros[VALOR],tabela_registros[MÊS],$AE$1,tabela_registros[DIA],reservaoutrosconsolidadofev[[#Headers],[9]],tabela_registros[REGISTRO],DADOS!$N$6,tabela_registros[TIPO],DADOS!$AJ$5,tabela_registros[CATEGORIA],reservaoutrosconsolidadofev[[#This Row],[ATUAL]])</f>
        <v>0</v>
      </c>
      <c r="N209" s="119" t="n">
        <f aca="false">SUMIFS(tabela_registros[VALOR],tabela_registros[MÊS],$AE$1,tabela_registros[DIA],reservaoutrosconsolidadofev[[#Headers],[10]],tabela_registros[REGISTRO],DADOS!$N$6,tabela_registros[TIPO],DADOS!$AJ$5,tabela_registros[CATEGORIA],reservaoutrosconsolidadofev[[#This Row],[ATUAL]])</f>
        <v>0</v>
      </c>
      <c r="O209" s="119" t="n">
        <f aca="false">SUMIFS(tabela_registros[VALOR],tabela_registros[MÊS],$AE$1,tabela_registros[DIA],reservaoutrosconsolidadofev[[#Headers],[11]],tabela_registros[REGISTRO],DADOS!$N$6,tabela_registros[TIPO],DADOS!$AJ$5,tabela_registros[CATEGORIA],reservaoutrosconsolidadofev[[#This Row],[ATUAL]])</f>
        <v>0</v>
      </c>
      <c r="P209" s="119" t="n">
        <f aca="false">SUMIFS(tabela_registros[VALOR],tabela_registros[MÊS],$AE$1,tabela_registros[DIA],reservaoutrosconsolidadofev[[#Headers],[12]],tabela_registros[REGISTRO],DADOS!$N$6,tabela_registros[TIPO],DADOS!$AJ$5,tabela_registros[CATEGORIA],reservaoutrosconsolidadofev[[#This Row],[ATUAL]])</f>
        <v>0</v>
      </c>
      <c r="Q209" s="119" t="n">
        <f aca="false">SUMIFS(tabela_registros[VALOR],tabela_registros[MÊS],$AE$1,tabela_registros[DIA],reservaoutrosconsolidadofev[[#Headers],[13]],tabela_registros[REGISTRO],DADOS!$N$6,tabela_registros[TIPO],DADOS!$AJ$5,tabela_registros[CATEGORIA],reservaoutrosconsolidadofev[[#This Row],[ATUAL]])</f>
        <v>0</v>
      </c>
      <c r="R209" s="119" t="n">
        <f aca="false">SUMIFS(tabela_registros[VALOR],tabela_registros[MÊS],$AE$1,tabela_registros[DIA],reservaoutrosconsolidadofev[[#Headers],[14]],tabela_registros[REGISTRO],DADOS!$N$6,tabela_registros[TIPO],DADOS!$AJ$5,tabela_registros[CATEGORIA],reservaoutrosconsolidadofev[[#This Row],[ATUAL]])</f>
        <v>0</v>
      </c>
      <c r="S209" s="119" t="n">
        <f aca="false">SUMIFS(tabela_registros[VALOR],tabela_registros[MÊS],$AE$1,tabela_registros[DIA],reservaoutrosconsolidadofev[[#Headers],[15]],tabela_registros[REGISTRO],DADOS!$N$6,tabela_registros[TIPO],DADOS!$AJ$5,tabela_registros[CATEGORIA],reservaoutrosconsolidadofev[[#This Row],[ATUAL]])</f>
        <v>0</v>
      </c>
      <c r="T209" s="119" t="n">
        <f aca="false">SUMIFS(tabela_registros[VALOR],tabela_registros[MÊS],$AE$1,tabela_registros[DIA],reservaoutrosconsolidadofev[[#Headers],[16]],tabela_registros[REGISTRO],DADOS!$N$6,tabela_registros[TIPO],DADOS!$AJ$5,tabela_registros[CATEGORIA],reservaoutrosconsolidadofev[[#This Row],[ATUAL]])</f>
        <v>0</v>
      </c>
      <c r="U209" s="119" t="n">
        <f aca="false">SUMIFS(tabela_registros[VALOR],tabela_registros[MÊS],$AE$1,tabela_registros[DIA],reservaoutrosconsolidadofev[[#Headers],[17]],tabela_registros[REGISTRO],DADOS!$N$6,tabela_registros[TIPO],DADOS!$AJ$5,tabela_registros[CATEGORIA],reservaoutrosconsolidadofev[[#This Row],[ATUAL]])</f>
        <v>0</v>
      </c>
      <c r="V209" s="119" t="n">
        <f aca="false">SUMIFS(tabela_registros[VALOR],tabela_registros[MÊS],$AE$1,tabela_registros[DIA],reservaoutrosconsolidadofev[[#Headers],[18]],tabela_registros[REGISTRO],DADOS!$N$6,tabela_registros[TIPO],DADOS!$AJ$5,tabela_registros[CATEGORIA],reservaoutrosconsolidadofev[[#This Row],[ATUAL]])</f>
        <v>0</v>
      </c>
      <c r="W209" s="119" t="n">
        <f aca="false">SUMIFS(tabela_registros[VALOR],tabela_registros[MÊS],$AE$1,tabela_registros[DIA],reservaoutrosconsolidadofev[[#Headers],[19]],tabela_registros[REGISTRO],DADOS!$N$6,tabela_registros[TIPO],DADOS!$AJ$5,tabela_registros[CATEGORIA],reservaoutrosconsolidadofev[[#This Row],[ATUAL]])</f>
        <v>0</v>
      </c>
      <c r="X209" s="119" t="n">
        <f aca="false">SUMIFS(tabela_registros[VALOR],tabela_registros[MÊS],$AE$1,tabela_registros[DIA],reservaoutrosconsolidadofev[[#Headers],[20]],tabela_registros[REGISTRO],DADOS!$N$6,tabela_registros[TIPO],DADOS!$AJ$5,tabela_registros[CATEGORIA],reservaoutrosconsolidadofev[[#This Row],[ATUAL]])</f>
        <v>0</v>
      </c>
      <c r="Y209" s="119" t="n">
        <f aca="false">SUMIFS(tabela_registros[VALOR],tabela_registros[MÊS],$AE$1,tabela_registros[DIA],reservaoutrosconsolidadofev[[#Headers],[21]],tabela_registros[REGISTRO],DADOS!$N$6,tabela_registros[TIPO],DADOS!$AJ$5,tabela_registros[CATEGORIA],reservaoutrosconsolidadofev[[#This Row],[ATUAL]])</f>
        <v>0</v>
      </c>
      <c r="Z209" s="119" t="n">
        <f aca="false">SUMIFS(tabela_registros[VALOR],tabela_registros[MÊS],$AE$1,tabela_registros[DIA],reservaoutrosconsolidadofev[[#Headers],[22]],tabela_registros[REGISTRO],DADOS!$N$6,tabela_registros[TIPO],DADOS!$AJ$5,tabela_registros[CATEGORIA],reservaoutrosconsolidadofev[[#This Row],[ATUAL]])</f>
        <v>0</v>
      </c>
      <c r="AA209" s="119" t="n">
        <f aca="false">SUMIFS(tabela_registros[VALOR],tabela_registros[MÊS],$AE$1,tabela_registros[DIA],reservaoutrosconsolidadofev[[#Headers],[23]],tabela_registros[REGISTRO],DADOS!$N$6,tabela_registros[TIPO],DADOS!$AJ$5,tabela_registros[CATEGORIA],reservaoutrosconsolidadofev[[#This Row],[ATUAL]])</f>
        <v>0</v>
      </c>
      <c r="AB209" s="119" t="n">
        <f aca="false">SUMIFS(tabela_registros[VALOR],tabela_registros[MÊS],$AE$1,tabela_registros[DIA],reservaoutrosconsolidadofev[[#Headers],[24]],tabela_registros[REGISTRO],DADOS!$N$6,tabela_registros[TIPO],DADOS!$AJ$5,tabela_registros[CATEGORIA],reservaoutrosconsolidadofev[[#This Row],[ATUAL]])</f>
        <v>0</v>
      </c>
      <c r="AC209" s="119" t="n">
        <f aca="false">SUMIFS(tabela_registros[VALOR],tabela_registros[MÊS],$AE$1,tabela_registros[DIA],reservaoutrosconsolidadofev[[#Headers],[25]],tabela_registros[REGISTRO],DADOS!$N$6,tabela_registros[TIPO],DADOS!$AJ$5,tabela_registros[CATEGORIA],reservaoutrosconsolidadofev[[#This Row],[ATUAL]])</f>
        <v>0</v>
      </c>
      <c r="AD209" s="119" t="n">
        <f aca="false">SUMIFS(tabela_registros[VALOR],tabela_registros[MÊS],$AE$1,tabela_registros[DIA],reservaoutrosconsolidadofev[[#Headers],[26]],tabela_registros[REGISTRO],DADOS!$N$6,tabela_registros[TIPO],DADOS!$AJ$5,tabela_registros[CATEGORIA],reservaoutrosconsolidadofev[[#This Row],[ATUAL]])</f>
        <v>0</v>
      </c>
      <c r="AE209" s="119" t="n">
        <f aca="false">SUMIFS(tabela_registros[VALOR],tabela_registros[MÊS],$AE$1,tabela_registros[DIA],reservaoutrosconsolidadofev[[#Headers],[27]],tabela_registros[REGISTRO],DADOS!$N$6,tabela_registros[TIPO],DADOS!$AJ$5,tabela_registros[CATEGORIA],reservaoutrosconsolidadofev[[#This Row],[ATUAL]])</f>
        <v>0</v>
      </c>
      <c r="AF209" s="119" t="n">
        <f aca="false">SUMIFS(tabela_registros[VALOR],tabela_registros[MÊS],$AE$1,tabela_registros[DIA],reservaoutrosconsolidadofev[[#Headers],[28]],tabela_registros[REGISTRO],DADOS!$N$6,tabela_registros[TIPO],DADOS!$AJ$5,tabela_registros[CATEGORIA],reservaoutrosconsolidadofev[[#This Row],[ATUAL]])</f>
        <v>0</v>
      </c>
      <c r="AG209" s="119" t="n">
        <f aca="false">SUMIFS(tabela_registros[VALOR],tabela_registros[MÊS],$AE$1,tabela_registros[DIA],reservaoutrosconsolidadofev[[#Headers],[29]],tabela_registros[REGISTRO],DADOS!$N$6,tabela_registros[TIPO],DADOS!$AJ$5,tabela_registros[CATEGORIA],reservaoutrosconsolidadofev[[#This Row],[ATUAL]])</f>
        <v>0</v>
      </c>
      <c r="AH209" s="119" t="n">
        <f aca="false">SUMIFS(tabela_registros[VALOR],tabela_registros[MÊS],$AE$1,tabela_registros[DIA],reservaoutrosconsolidadofev[[#Headers],[30]],tabela_registros[REGISTRO],DADOS!$N$6,tabela_registros[TIPO],DADOS!$AJ$5,tabela_registros[CATEGORIA],reservaoutrosconsolidadofev[[#This Row],[ATUAL]])</f>
        <v>0</v>
      </c>
      <c r="AI209" s="217" t="n">
        <f aca="false">SUMIFS(tabela_registros[VALOR],tabela_registros[MÊS],$AE$1,tabela_registros[DIA],reservaoutrosconsolidadofev[[#Headers],[31]],tabela_registros[REGISTRO],DADOS!$N$6,tabela_registros[TIPO],DADOS!$AJ$5,tabela_registros[CATEGORIA],reservaoutrosconsolidadofev[[#This Row],[ATUAL]])</f>
        <v>0</v>
      </c>
      <c r="AJ209" s="149" t="n">
        <f aca="false">SUM(reservaoutrosconsolidadofev[[#This Row],[1]:[31]])</f>
        <v>0</v>
      </c>
      <c r="AK209" s="165"/>
    </row>
    <row r="210" customFormat="false" ht="19.5" hidden="false" customHeight="true" outlineLevel="0" collapsed="false">
      <c r="B210" s="143"/>
      <c r="C210" s="144" t="str">
        <f aca="false">DADOS!$AP$7</f>
        <v>📝 PEER TO COMPANY</v>
      </c>
      <c r="D210" s="145" t="str">
        <f aca="false">IF(reservaoutrosconsolidadofev[[#This Row],[TOTAL (R$)]]=0,"",IF(OR(reservaoutrosconsolidadofev[[#This Row],[TOTAL (R$)]]=LARGE($AJ$206:$AJ$213,1),reservaoutrosconsolidadofev[[#This Row],[TOTAL (R$)]]=LARGE($AJ$206:$AJ$213,2)),DADOS!$I$11,""))</f>
        <v/>
      </c>
      <c r="E210" s="148" t="n">
        <f aca="false">SUMIFS(tabela_registros[VALOR],tabela_registros[MÊS],$AE$1,tabela_registros[DIA],reservaoutrosconsolidadofev[[#Headers],[1]],tabela_registros[REGISTRO],DADOS!$N$6,tabela_registros[TIPO],DADOS!$AJ$5,tabela_registros[CATEGORIA],reservaoutrosconsolidadofev[[#This Row],[ATUAL]])</f>
        <v>0</v>
      </c>
      <c r="F210" s="119" t="n">
        <f aca="false">SUMIFS(tabela_registros[VALOR],tabela_registros[MÊS],$AE$1,tabela_registros[DIA],reservaoutrosconsolidadofev[[#Headers],[2]],tabela_registros[REGISTRO],DADOS!$N$6,tabela_registros[TIPO],DADOS!$AJ$5,tabela_registros[CATEGORIA],reservaoutrosconsolidadofev[[#This Row],[ATUAL]])</f>
        <v>0</v>
      </c>
      <c r="G210" s="119" t="n">
        <f aca="false">SUMIFS(tabela_registros[VALOR],tabela_registros[MÊS],$AE$1,tabela_registros[DIA],reservaoutrosconsolidadofev[[#Headers],[3]],tabela_registros[REGISTRO],DADOS!$N$6,tabela_registros[TIPO],DADOS!$AJ$5,tabela_registros[CATEGORIA],reservaoutrosconsolidadofev[[#This Row],[ATUAL]])</f>
        <v>0</v>
      </c>
      <c r="H210" s="119" t="n">
        <f aca="false">SUMIFS(tabela_registros[VALOR],tabela_registros[MÊS],$AE$1,tabela_registros[DIA],reservaoutrosconsolidadofev[[#Headers],[4]],tabela_registros[REGISTRO],DADOS!$N$6,tabela_registros[TIPO],DADOS!$AJ$5,tabela_registros[CATEGORIA],reservaoutrosconsolidadofev[[#This Row],[ATUAL]])</f>
        <v>0</v>
      </c>
      <c r="I210" s="119" t="n">
        <f aca="false">SUMIFS(tabela_registros[VALOR],tabela_registros[MÊS],$AE$1,tabela_registros[DIA],reservaoutrosconsolidadofev[[#Headers],[5]],tabela_registros[REGISTRO],DADOS!$N$6,tabela_registros[TIPO],DADOS!$AJ$5,tabela_registros[CATEGORIA],reservaoutrosconsolidadofev[[#This Row],[ATUAL]])</f>
        <v>0</v>
      </c>
      <c r="J210" s="119" t="n">
        <f aca="false">SUMIFS(tabela_registros[VALOR],tabela_registros[MÊS],$AE$1,tabela_registros[DIA],reservaoutrosconsolidadofev[[#Headers],[6]],tabela_registros[REGISTRO],DADOS!$N$6,tabela_registros[TIPO],DADOS!$AJ$5,tabela_registros[CATEGORIA],reservaoutrosconsolidadofev[[#This Row],[ATUAL]])</f>
        <v>0</v>
      </c>
      <c r="K210" s="119" t="n">
        <f aca="false">SUMIFS(tabela_registros[VALOR],tabela_registros[MÊS],$AE$1,tabela_registros[DIA],reservaoutrosconsolidadofev[[#Headers],[7]],tabela_registros[REGISTRO],DADOS!$N$6,tabela_registros[TIPO],DADOS!$AJ$5,tabela_registros[CATEGORIA],reservaoutrosconsolidadofev[[#This Row],[ATUAL]])</f>
        <v>0</v>
      </c>
      <c r="L210" s="119" t="n">
        <f aca="false">SUMIFS(tabela_registros[VALOR],tabela_registros[MÊS],$AE$1,tabela_registros[DIA],reservaoutrosconsolidadofev[[#Headers],[8]],tabela_registros[REGISTRO],DADOS!$N$6,tabela_registros[TIPO],DADOS!$AJ$5,tabela_registros[CATEGORIA],reservaoutrosconsolidadofev[[#This Row],[ATUAL]])</f>
        <v>0</v>
      </c>
      <c r="M210" s="119" t="n">
        <f aca="false">SUMIFS(tabela_registros[VALOR],tabela_registros[MÊS],$AE$1,tabela_registros[DIA],reservaoutrosconsolidadofev[[#Headers],[9]],tabela_registros[REGISTRO],DADOS!$N$6,tabela_registros[TIPO],DADOS!$AJ$5,tabela_registros[CATEGORIA],reservaoutrosconsolidadofev[[#This Row],[ATUAL]])</f>
        <v>0</v>
      </c>
      <c r="N210" s="119" t="n">
        <f aca="false">SUMIFS(tabela_registros[VALOR],tabela_registros[MÊS],$AE$1,tabela_registros[DIA],reservaoutrosconsolidadofev[[#Headers],[10]],tabela_registros[REGISTRO],DADOS!$N$6,tabela_registros[TIPO],DADOS!$AJ$5,tabela_registros[CATEGORIA],reservaoutrosconsolidadofev[[#This Row],[ATUAL]])</f>
        <v>0</v>
      </c>
      <c r="O210" s="119" t="n">
        <f aca="false">SUMIFS(tabela_registros[VALOR],tabela_registros[MÊS],$AE$1,tabela_registros[DIA],reservaoutrosconsolidadofev[[#Headers],[11]],tabela_registros[REGISTRO],DADOS!$N$6,tabela_registros[TIPO],DADOS!$AJ$5,tabela_registros[CATEGORIA],reservaoutrosconsolidadofev[[#This Row],[ATUAL]])</f>
        <v>0</v>
      </c>
      <c r="P210" s="119" t="n">
        <f aca="false">SUMIFS(tabela_registros[VALOR],tabela_registros[MÊS],$AE$1,tabela_registros[DIA],reservaoutrosconsolidadofev[[#Headers],[12]],tabela_registros[REGISTRO],DADOS!$N$6,tabela_registros[TIPO],DADOS!$AJ$5,tabela_registros[CATEGORIA],reservaoutrosconsolidadofev[[#This Row],[ATUAL]])</f>
        <v>0</v>
      </c>
      <c r="Q210" s="119" t="n">
        <f aca="false">SUMIFS(tabela_registros[VALOR],tabela_registros[MÊS],$AE$1,tabela_registros[DIA],reservaoutrosconsolidadofev[[#Headers],[13]],tabela_registros[REGISTRO],DADOS!$N$6,tabela_registros[TIPO],DADOS!$AJ$5,tabela_registros[CATEGORIA],reservaoutrosconsolidadofev[[#This Row],[ATUAL]])</f>
        <v>0</v>
      </c>
      <c r="R210" s="119" t="n">
        <f aca="false">SUMIFS(tabela_registros[VALOR],tabela_registros[MÊS],$AE$1,tabela_registros[DIA],reservaoutrosconsolidadofev[[#Headers],[14]],tabela_registros[REGISTRO],DADOS!$N$6,tabela_registros[TIPO],DADOS!$AJ$5,tabela_registros[CATEGORIA],reservaoutrosconsolidadofev[[#This Row],[ATUAL]])</f>
        <v>0</v>
      </c>
      <c r="S210" s="119" t="n">
        <f aca="false">SUMIFS(tabela_registros[VALOR],tabela_registros[MÊS],$AE$1,tabela_registros[DIA],reservaoutrosconsolidadofev[[#Headers],[15]],tabela_registros[REGISTRO],DADOS!$N$6,tabela_registros[TIPO],DADOS!$AJ$5,tabela_registros[CATEGORIA],reservaoutrosconsolidadofev[[#This Row],[ATUAL]])</f>
        <v>0</v>
      </c>
      <c r="T210" s="119" t="n">
        <f aca="false">SUMIFS(tabela_registros[VALOR],tabela_registros[MÊS],$AE$1,tabela_registros[DIA],reservaoutrosconsolidadofev[[#Headers],[16]],tabela_registros[REGISTRO],DADOS!$N$6,tabela_registros[TIPO],DADOS!$AJ$5,tabela_registros[CATEGORIA],reservaoutrosconsolidadofev[[#This Row],[ATUAL]])</f>
        <v>0</v>
      </c>
      <c r="U210" s="119" t="n">
        <f aca="false">SUMIFS(tabela_registros[VALOR],tabela_registros[MÊS],$AE$1,tabela_registros[DIA],reservaoutrosconsolidadofev[[#Headers],[17]],tabela_registros[REGISTRO],DADOS!$N$6,tabela_registros[TIPO],DADOS!$AJ$5,tabela_registros[CATEGORIA],reservaoutrosconsolidadofev[[#This Row],[ATUAL]])</f>
        <v>0</v>
      </c>
      <c r="V210" s="119" t="n">
        <f aca="false">SUMIFS(tabela_registros[VALOR],tabela_registros[MÊS],$AE$1,tabela_registros[DIA],reservaoutrosconsolidadofev[[#Headers],[18]],tabela_registros[REGISTRO],DADOS!$N$6,tabela_registros[TIPO],DADOS!$AJ$5,tabela_registros[CATEGORIA],reservaoutrosconsolidadofev[[#This Row],[ATUAL]])</f>
        <v>0</v>
      </c>
      <c r="W210" s="119" t="n">
        <f aca="false">SUMIFS(tabela_registros[VALOR],tabela_registros[MÊS],$AE$1,tabela_registros[DIA],reservaoutrosconsolidadofev[[#Headers],[19]],tabela_registros[REGISTRO],DADOS!$N$6,tabela_registros[TIPO],DADOS!$AJ$5,tabela_registros[CATEGORIA],reservaoutrosconsolidadofev[[#This Row],[ATUAL]])</f>
        <v>0</v>
      </c>
      <c r="X210" s="119" t="n">
        <f aca="false">SUMIFS(tabela_registros[VALOR],tabela_registros[MÊS],$AE$1,tabela_registros[DIA],reservaoutrosconsolidadofev[[#Headers],[20]],tabela_registros[REGISTRO],DADOS!$N$6,tabela_registros[TIPO],DADOS!$AJ$5,tabela_registros[CATEGORIA],reservaoutrosconsolidadofev[[#This Row],[ATUAL]])</f>
        <v>0</v>
      </c>
      <c r="Y210" s="119" t="n">
        <f aca="false">SUMIFS(tabela_registros[VALOR],tabela_registros[MÊS],$AE$1,tabela_registros[DIA],reservaoutrosconsolidadofev[[#Headers],[21]],tabela_registros[REGISTRO],DADOS!$N$6,tabela_registros[TIPO],DADOS!$AJ$5,tabela_registros[CATEGORIA],reservaoutrosconsolidadofev[[#This Row],[ATUAL]])</f>
        <v>0</v>
      </c>
      <c r="Z210" s="119" t="n">
        <f aca="false">SUMIFS(tabela_registros[VALOR],tabela_registros[MÊS],$AE$1,tabela_registros[DIA],reservaoutrosconsolidadofev[[#Headers],[22]],tabela_registros[REGISTRO],DADOS!$N$6,tabela_registros[TIPO],DADOS!$AJ$5,tabela_registros[CATEGORIA],reservaoutrosconsolidadofev[[#This Row],[ATUAL]])</f>
        <v>0</v>
      </c>
      <c r="AA210" s="119" t="n">
        <f aca="false">SUMIFS(tabela_registros[VALOR],tabela_registros[MÊS],$AE$1,tabela_registros[DIA],reservaoutrosconsolidadofev[[#Headers],[23]],tabela_registros[REGISTRO],DADOS!$N$6,tabela_registros[TIPO],DADOS!$AJ$5,tabela_registros[CATEGORIA],reservaoutrosconsolidadofev[[#This Row],[ATUAL]])</f>
        <v>0</v>
      </c>
      <c r="AB210" s="119" t="n">
        <f aca="false">SUMIFS(tabela_registros[VALOR],tabela_registros[MÊS],$AE$1,tabela_registros[DIA],reservaoutrosconsolidadofev[[#Headers],[24]],tabela_registros[REGISTRO],DADOS!$N$6,tabela_registros[TIPO],DADOS!$AJ$5,tabela_registros[CATEGORIA],reservaoutrosconsolidadofev[[#This Row],[ATUAL]])</f>
        <v>0</v>
      </c>
      <c r="AC210" s="119" t="n">
        <f aca="false">SUMIFS(tabela_registros[VALOR],tabela_registros[MÊS],$AE$1,tabela_registros[DIA],reservaoutrosconsolidadofev[[#Headers],[25]],tabela_registros[REGISTRO],DADOS!$N$6,tabela_registros[TIPO],DADOS!$AJ$5,tabela_registros[CATEGORIA],reservaoutrosconsolidadofev[[#This Row],[ATUAL]])</f>
        <v>0</v>
      </c>
      <c r="AD210" s="119" t="n">
        <f aca="false">SUMIFS(tabela_registros[VALOR],tabela_registros[MÊS],$AE$1,tabela_registros[DIA],reservaoutrosconsolidadofev[[#Headers],[26]],tabela_registros[REGISTRO],DADOS!$N$6,tabela_registros[TIPO],DADOS!$AJ$5,tabela_registros[CATEGORIA],reservaoutrosconsolidadofev[[#This Row],[ATUAL]])</f>
        <v>0</v>
      </c>
      <c r="AE210" s="119" t="n">
        <f aca="false">SUMIFS(tabela_registros[VALOR],tabela_registros[MÊS],$AE$1,tabela_registros[DIA],reservaoutrosconsolidadofev[[#Headers],[27]],tabela_registros[REGISTRO],DADOS!$N$6,tabela_registros[TIPO],DADOS!$AJ$5,tabela_registros[CATEGORIA],reservaoutrosconsolidadofev[[#This Row],[ATUAL]])</f>
        <v>0</v>
      </c>
      <c r="AF210" s="119" t="n">
        <f aca="false">SUMIFS(tabela_registros[VALOR],tabela_registros[MÊS],$AE$1,tabela_registros[DIA],reservaoutrosconsolidadofev[[#Headers],[28]],tabela_registros[REGISTRO],DADOS!$N$6,tabela_registros[TIPO],DADOS!$AJ$5,tabela_registros[CATEGORIA],reservaoutrosconsolidadofev[[#This Row],[ATUAL]])</f>
        <v>0</v>
      </c>
      <c r="AG210" s="119" t="n">
        <f aca="false">SUMIFS(tabela_registros[VALOR],tabela_registros[MÊS],$AE$1,tabela_registros[DIA],reservaoutrosconsolidadofev[[#Headers],[29]],tabela_registros[REGISTRO],DADOS!$N$6,tabela_registros[TIPO],DADOS!$AJ$5,tabela_registros[CATEGORIA],reservaoutrosconsolidadofev[[#This Row],[ATUAL]])</f>
        <v>0</v>
      </c>
      <c r="AH210" s="119" t="n">
        <f aca="false">SUMIFS(tabela_registros[VALOR],tabela_registros[MÊS],$AE$1,tabela_registros[DIA],reservaoutrosconsolidadofev[[#Headers],[30]],tabela_registros[REGISTRO],DADOS!$N$6,tabela_registros[TIPO],DADOS!$AJ$5,tabela_registros[CATEGORIA],reservaoutrosconsolidadofev[[#This Row],[ATUAL]])</f>
        <v>0</v>
      </c>
      <c r="AI210" s="217" t="n">
        <f aca="false">SUMIFS(tabela_registros[VALOR],tabela_registros[MÊS],$AE$1,tabela_registros[DIA],reservaoutrosconsolidadofev[[#Headers],[31]],tabela_registros[REGISTRO],DADOS!$N$6,tabela_registros[TIPO],DADOS!$AJ$5,tabela_registros[CATEGORIA],reservaoutrosconsolidadofev[[#This Row],[ATUAL]])</f>
        <v>0</v>
      </c>
      <c r="AJ210" s="149" t="n">
        <f aca="false">SUM(reservaoutrosconsolidadofev[[#This Row],[1]:[31]])</f>
        <v>0</v>
      </c>
      <c r="AK210" s="165"/>
    </row>
    <row r="211" customFormat="false" ht="19.5" hidden="false" customHeight="true" outlineLevel="0" collapsed="false">
      <c r="B211" s="143"/>
      <c r="C211" s="144" t="str">
        <f aca="false">DADOS!$AP$8</f>
        <v>📝 PEER TO PEER</v>
      </c>
      <c r="D211" s="145" t="str">
        <f aca="false">IF(reservaoutrosconsolidadofev[[#This Row],[TOTAL (R$)]]=0,"",IF(OR(reservaoutrosconsolidadofev[[#This Row],[TOTAL (R$)]]=LARGE($AJ$206:$AJ$213,1),reservaoutrosconsolidadofev[[#This Row],[TOTAL (R$)]]=LARGE($AJ$206:$AJ$213,2)),DADOS!$I$11,""))</f>
        <v/>
      </c>
      <c r="E211" s="148" t="n">
        <f aca="false">SUMIFS(tabela_registros[VALOR],tabela_registros[MÊS],$AE$1,tabela_registros[DIA],reservaoutrosconsolidadofev[[#Headers],[1]],tabela_registros[REGISTRO],DADOS!$N$6,tabela_registros[TIPO],DADOS!$AJ$5,tabela_registros[CATEGORIA],reservaoutrosconsolidadofev[[#This Row],[ATUAL]])</f>
        <v>0</v>
      </c>
      <c r="F211" s="119" t="n">
        <f aca="false">SUMIFS(tabela_registros[VALOR],tabela_registros[MÊS],$AE$1,tabela_registros[DIA],reservaoutrosconsolidadofev[[#Headers],[2]],tabela_registros[REGISTRO],DADOS!$N$6,tabela_registros[TIPO],DADOS!$AJ$5,tabela_registros[CATEGORIA],reservaoutrosconsolidadofev[[#This Row],[ATUAL]])</f>
        <v>0</v>
      </c>
      <c r="G211" s="119" t="n">
        <f aca="false">SUMIFS(tabela_registros[VALOR],tabela_registros[MÊS],$AE$1,tabela_registros[DIA],reservaoutrosconsolidadofev[[#Headers],[3]],tabela_registros[REGISTRO],DADOS!$N$6,tabela_registros[TIPO],DADOS!$AJ$5,tabela_registros[CATEGORIA],reservaoutrosconsolidadofev[[#This Row],[ATUAL]])</f>
        <v>0</v>
      </c>
      <c r="H211" s="119" t="n">
        <f aca="false">SUMIFS(tabela_registros[VALOR],tabela_registros[MÊS],$AE$1,tabela_registros[DIA],reservaoutrosconsolidadofev[[#Headers],[4]],tabela_registros[REGISTRO],DADOS!$N$6,tabela_registros[TIPO],DADOS!$AJ$5,tabela_registros[CATEGORIA],reservaoutrosconsolidadofev[[#This Row],[ATUAL]])</f>
        <v>0</v>
      </c>
      <c r="I211" s="119" t="n">
        <f aca="false">SUMIFS(tabela_registros[VALOR],tabela_registros[MÊS],$AE$1,tabela_registros[DIA],reservaoutrosconsolidadofev[[#Headers],[5]],tabela_registros[REGISTRO],DADOS!$N$6,tabela_registros[TIPO],DADOS!$AJ$5,tabela_registros[CATEGORIA],reservaoutrosconsolidadofev[[#This Row],[ATUAL]])</f>
        <v>0</v>
      </c>
      <c r="J211" s="119" t="n">
        <f aca="false">SUMIFS(tabela_registros[VALOR],tabela_registros[MÊS],$AE$1,tabela_registros[DIA],reservaoutrosconsolidadofev[[#Headers],[6]],tabela_registros[REGISTRO],DADOS!$N$6,tabela_registros[TIPO],DADOS!$AJ$5,tabela_registros[CATEGORIA],reservaoutrosconsolidadofev[[#This Row],[ATUAL]])</f>
        <v>0</v>
      </c>
      <c r="K211" s="119" t="n">
        <f aca="false">SUMIFS(tabela_registros[VALOR],tabela_registros[MÊS],$AE$1,tabela_registros[DIA],reservaoutrosconsolidadofev[[#Headers],[7]],tabela_registros[REGISTRO],DADOS!$N$6,tabela_registros[TIPO],DADOS!$AJ$5,tabela_registros[CATEGORIA],reservaoutrosconsolidadofev[[#This Row],[ATUAL]])</f>
        <v>0</v>
      </c>
      <c r="L211" s="119" t="n">
        <f aca="false">SUMIFS(tabela_registros[VALOR],tabela_registros[MÊS],$AE$1,tabela_registros[DIA],reservaoutrosconsolidadofev[[#Headers],[8]],tabela_registros[REGISTRO],DADOS!$N$6,tabela_registros[TIPO],DADOS!$AJ$5,tabela_registros[CATEGORIA],reservaoutrosconsolidadofev[[#This Row],[ATUAL]])</f>
        <v>0</v>
      </c>
      <c r="M211" s="119" t="n">
        <f aca="false">SUMIFS(tabela_registros[VALOR],tabela_registros[MÊS],$AE$1,tabela_registros[DIA],reservaoutrosconsolidadofev[[#Headers],[9]],tabela_registros[REGISTRO],DADOS!$N$6,tabela_registros[TIPO],DADOS!$AJ$5,tabela_registros[CATEGORIA],reservaoutrosconsolidadofev[[#This Row],[ATUAL]])</f>
        <v>0</v>
      </c>
      <c r="N211" s="119" t="n">
        <f aca="false">SUMIFS(tabela_registros[VALOR],tabela_registros[MÊS],$AE$1,tabela_registros[DIA],reservaoutrosconsolidadofev[[#Headers],[10]],tabela_registros[REGISTRO],DADOS!$N$6,tabela_registros[TIPO],DADOS!$AJ$5,tabela_registros[CATEGORIA],reservaoutrosconsolidadofev[[#This Row],[ATUAL]])</f>
        <v>0</v>
      </c>
      <c r="O211" s="119" t="n">
        <f aca="false">SUMIFS(tabela_registros[VALOR],tabela_registros[MÊS],$AE$1,tabela_registros[DIA],reservaoutrosconsolidadofev[[#Headers],[11]],tabela_registros[REGISTRO],DADOS!$N$6,tabela_registros[TIPO],DADOS!$AJ$5,tabela_registros[CATEGORIA],reservaoutrosconsolidadofev[[#This Row],[ATUAL]])</f>
        <v>0</v>
      </c>
      <c r="P211" s="119" t="n">
        <f aca="false">SUMIFS(tabela_registros[VALOR],tabela_registros[MÊS],$AE$1,tabela_registros[DIA],reservaoutrosconsolidadofev[[#Headers],[12]],tabela_registros[REGISTRO],DADOS!$N$6,tabela_registros[TIPO],DADOS!$AJ$5,tabela_registros[CATEGORIA],reservaoutrosconsolidadofev[[#This Row],[ATUAL]])</f>
        <v>0</v>
      </c>
      <c r="Q211" s="119" t="n">
        <f aca="false">SUMIFS(tabela_registros[VALOR],tabela_registros[MÊS],$AE$1,tabela_registros[DIA],reservaoutrosconsolidadofev[[#Headers],[13]],tabela_registros[REGISTRO],DADOS!$N$6,tabela_registros[TIPO],DADOS!$AJ$5,tabela_registros[CATEGORIA],reservaoutrosconsolidadofev[[#This Row],[ATUAL]])</f>
        <v>0</v>
      </c>
      <c r="R211" s="119" t="n">
        <f aca="false">SUMIFS(tabela_registros[VALOR],tabela_registros[MÊS],$AE$1,tabela_registros[DIA],reservaoutrosconsolidadofev[[#Headers],[14]],tabela_registros[REGISTRO],DADOS!$N$6,tabela_registros[TIPO],DADOS!$AJ$5,tabela_registros[CATEGORIA],reservaoutrosconsolidadofev[[#This Row],[ATUAL]])</f>
        <v>0</v>
      </c>
      <c r="S211" s="119" t="n">
        <f aca="false">SUMIFS(tabela_registros[VALOR],tabela_registros[MÊS],$AE$1,tabela_registros[DIA],reservaoutrosconsolidadofev[[#Headers],[15]],tabela_registros[REGISTRO],DADOS!$N$6,tabela_registros[TIPO],DADOS!$AJ$5,tabela_registros[CATEGORIA],reservaoutrosconsolidadofev[[#This Row],[ATUAL]])</f>
        <v>0</v>
      </c>
      <c r="T211" s="119" t="n">
        <f aca="false">SUMIFS(tabela_registros[VALOR],tabela_registros[MÊS],$AE$1,tabela_registros[DIA],reservaoutrosconsolidadofev[[#Headers],[16]],tabela_registros[REGISTRO],DADOS!$N$6,tabela_registros[TIPO],DADOS!$AJ$5,tabela_registros[CATEGORIA],reservaoutrosconsolidadofev[[#This Row],[ATUAL]])</f>
        <v>0</v>
      </c>
      <c r="U211" s="119" t="n">
        <f aca="false">SUMIFS(tabela_registros[VALOR],tabela_registros[MÊS],$AE$1,tabela_registros[DIA],reservaoutrosconsolidadofev[[#Headers],[17]],tabela_registros[REGISTRO],DADOS!$N$6,tabela_registros[TIPO],DADOS!$AJ$5,tabela_registros[CATEGORIA],reservaoutrosconsolidadofev[[#This Row],[ATUAL]])</f>
        <v>0</v>
      </c>
      <c r="V211" s="119" t="n">
        <f aca="false">SUMIFS(tabela_registros[VALOR],tabela_registros[MÊS],$AE$1,tabela_registros[DIA],reservaoutrosconsolidadofev[[#Headers],[18]],tabela_registros[REGISTRO],DADOS!$N$6,tabela_registros[TIPO],DADOS!$AJ$5,tabela_registros[CATEGORIA],reservaoutrosconsolidadofev[[#This Row],[ATUAL]])</f>
        <v>0</v>
      </c>
      <c r="W211" s="119" t="n">
        <f aca="false">SUMIFS(tabela_registros[VALOR],tabela_registros[MÊS],$AE$1,tabela_registros[DIA],reservaoutrosconsolidadofev[[#Headers],[19]],tabela_registros[REGISTRO],DADOS!$N$6,tabela_registros[TIPO],DADOS!$AJ$5,tabela_registros[CATEGORIA],reservaoutrosconsolidadofev[[#This Row],[ATUAL]])</f>
        <v>0</v>
      </c>
      <c r="X211" s="119" t="n">
        <f aca="false">SUMIFS(tabela_registros[VALOR],tabela_registros[MÊS],$AE$1,tabela_registros[DIA],reservaoutrosconsolidadofev[[#Headers],[20]],tabela_registros[REGISTRO],DADOS!$N$6,tabela_registros[TIPO],DADOS!$AJ$5,tabela_registros[CATEGORIA],reservaoutrosconsolidadofev[[#This Row],[ATUAL]])</f>
        <v>0</v>
      </c>
      <c r="Y211" s="119" t="n">
        <f aca="false">SUMIFS(tabela_registros[VALOR],tabela_registros[MÊS],$AE$1,tabela_registros[DIA],reservaoutrosconsolidadofev[[#Headers],[21]],tabela_registros[REGISTRO],DADOS!$N$6,tabela_registros[TIPO],DADOS!$AJ$5,tabela_registros[CATEGORIA],reservaoutrosconsolidadofev[[#This Row],[ATUAL]])</f>
        <v>0</v>
      </c>
      <c r="Z211" s="119" t="n">
        <f aca="false">SUMIFS(tabela_registros[VALOR],tabela_registros[MÊS],$AE$1,tabela_registros[DIA],reservaoutrosconsolidadofev[[#Headers],[22]],tabela_registros[REGISTRO],DADOS!$N$6,tabela_registros[TIPO],DADOS!$AJ$5,tabela_registros[CATEGORIA],reservaoutrosconsolidadofev[[#This Row],[ATUAL]])</f>
        <v>0</v>
      </c>
      <c r="AA211" s="119" t="n">
        <f aca="false">SUMIFS(tabela_registros[VALOR],tabela_registros[MÊS],$AE$1,tabela_registros[DIA],reservaoutrosconsolidadofev[[#Headers],[23]],tabela_registros[REGISTRO],DADOS!$N$6,tabela_registros[TIPO],DADOS!$AJ$5,tabela_registros[CATEGORIA],reservaoutrosconsolidadofev[[#This Row],[ATUAL]])</f>
        <v>0</v>
      </c>
      <c r="AB211" s="119" t="n">
        <f aca="false">SUMIFS(tabela_registros[VALOR],tabela_registros[MÊS],$AE$1,tabela_registros[DIA],reservaoutrosconsolidadofev[[#Headers],[24]],tabela_registros[REGISTRO],DADOS!$N$6,tabela_registros[TIPO],DADOS!$AJ$5,tabela_registros[CATEGORIA],reservaoutrosconsolidadofev[[#This Row],[ATUAL]])</f>
        <v>0</v>
      </c>
      <c r="AC211" s="119" t="n">
        <f aca="false">SUMIFS(tabela_registros[VALOR],tabela_registros[MÊS],$AE$1,tabela_registros[DIA],reservaoutrosconsolidadofev[[#Headers],[25]],tabela_registros[REGISTRO],DADOS!$N$6,tabela_registros[TIPO],DADOS!$AJ$5,tabela_registros[CATEGORIA],reservaoutrosconsolidadofev[[#This Row],[ATUAL]])</f>
        <v>0</v>
      </c>
      <c r="AD211" s="119" t="n">
        <f aca="false">SUMIFS(tabela_registros[VALOR],tabela_registros[MÊS],$AE$1,tabela_registros[DIA],reservaoutrosconsolidadofev[[#Headers],[26]],tabela_registros[REGISTRO],DADOS!$N$6,tabela_registros[TIPO],DADOS!$AJ$5,tabela_registros[CATEGORIA],reservaoutrosconsolidadofev[[#This Row],[ATUAL]])</f>
        <v>0</v>
      </c>
      <c r="AE211" s="119" t="n">
        <f aca="false">SUMIFS(tabela_registros[VALOR],tabela_registros[MÊS],$AE$1,tabela_registros[DIA],reservaoutrosconsolidadofev[[#Headers],[27]],tabela_registros[REGISTRO],DADOS!$N$6,tabela_registros[TIPO],DADOS!$AJ$5,tabela_registros[CATEGORIA],reservaoutrosconsolidadofev[[#This Row],[ATUAL]])</f>
        <v>0</v>
      </c>
      <c r="AF211" s="119" t="n">
        <f aca="false">SUMIFS(tabela_registros[VALOR],tabela_registros[MÊS],$AE$1,tabela_registros[DIA],reservaoutrosconsolidadofev[[#Headers],[28]],tabela_registros[REGISTRO],DADOS!$N$6,tabela_registros[TIPO],DADOS!$AJ$5,tabela_registros[CATEGORIA],reservaoutrosconsolidadofev[[#This Row],[ATUAL]])</f>
        <v>0</v>
      </c>
      <c r="AG211" s="119" t="n">
        <f aca="false">SUMIFS(tabela_registros[VALOR],tabela_registros[MÊS],$AE$1,tabela_registros[DIA],reservaoutrosconsolidadofev[[#Headers],[29]],tabela_registros[REGISTRO],DADOS!$N$6,tabela_registros[TIPO],DADOS!$AJ$5,tabela_registros[CATEGORIA],reservaoutrosconsolidadofev[[#This Row],[ATUAL]])</f>
        <v>0</v>
      </c>
      <c r="AH211" s="119" t="n">
        <f aca="false">SUMIFS(tabela_registros[VALOR],tabela_registros[MÊS],$AE$1,tabela_registros[DIA],reservaoutrosconsolidadofev[[#Headers],[30]],tabela_registros[REGISTRO],DADOS!$N$6,tabela_registros[TIPO],DADOS!$AJ$5,tabela_registros[CATEGORIA],reservaoutrosconsolidadofev[[#This Row],[ATUAL]])</f>
        <v>0</v>
      </c>
      <c r="AI211" s="217" t="n">
        <f aca="false">SUMIFS(tabela_registros[VALOR],tabela_registros[MÊS],$AE$1,tabela_registros[DIA],reservaoutrosconsolidadofev[[#Headers],[31]],tabela_registros[REGISTRO],DADOS!$N$6,tabela_registros[TIPO],DADOS!$AJ$5,tabela_registros[CATEGORIA],reservaoutrosconsolidadofev[[#This Row],[ATUAL]])</f>
        <v>0</v>
      </c>
      <c r="AJ211" s="149" t="n">
        <f aca="false">SUM(reservaoutrosconsolidadofev[[#This Row],[1]:[31]])</f>
        <v>0</v>
      </c>
      <c r="AK211" s="165"/>
    </row>
    <row r="212" customFormat="false" ht="19.5" hidden="false" customHeight="true" outlineLevel="0" collapsed="false">
      <c r="B212" s="143"/>
      <c r="C212" s="144" t="str">
        <f aca="false">DADOS!$AP$9</f>
        <v>📝 PREVIDÊNCIA PRIVADA</v>
      </c>
      <c r="D212" s="145" t="str">
        <f aca="false">IF(reservaoutrosconsolidadofev[[#This Row],[TOTAL (R$)]]=0,"",IF(OR(reservaoutrosconsolidadofev[[#This Row],[TOTAL (R$)]]=LARGE($AJ$206:$AJ$213,1),reservaoutrosconsolidadofev[[#This Row],[TOTAL (R$)]]=LARGE($AJ$206:$AJ$213,2)),DADOS!$I$11,""))</f>
        <v/>
      </c>
      <c r="E212" s="148" t="n">
        <f aca="false">SUMIFS(tabela_registros[VALOR],tabela_registros[MÊS],$AE$1,tabela_registros[DIA],reservaoutrosconsolidadofev[[#Headers],[1]],tabela_registros[REGISTRO],DADOS!$N$6,tabela_registros[TIPO],DADOS!$AJ$5,tabela_registros[CATEGORIA],reservaoutrosconsolidadofev[[#This Row],[ATUAL]])</f>
        <v>0</v>
      </c>
      <c r="F212" s="119" t="n">
        <f aca="false">SUMIFS(tabela_registros[VALOR],tabela_registros[MÊS],$AE$1,tabela_registros[DIA],reservaoutrosconsolidadofev[[#Headers],[2]],tabela_registros[REGISTRO],DADOS!$N$6,tabela_registros[TIPO],DADOS!$AJ$5,tabela_registros[CATEGORIA],reservaoutrosconsolidadofev[[#This Row],[ATUAL]])</f>
        <v>0</v>
      </c>
      <c r="G212" s="119" t="n">
        <f aca="false">SUMIFS(tabela_registros[VALOR],tabela_registros[MÊS],$AE$1,tabela_registros[DIA],reservaoutrosconsolidadofev[[#Headers],[3]],tabela_registros[REGISTRO],DADOS!$N$6,tabela_registros[TIPO],DADOS!$AJ$5,tabela_registros[CATEGORIA],reservaoutrosconsolidadofev[[#This Row],[ATUAL]])</f>
        <v>0</v>
      </c>
      <c r="H212" s="119" t="n">
        <f aca="false">SUMIFS(tabela_registros[VALOR],tabela_registros[MÊS],$AE$1,tabela_registros[DIA],reservaoutrosconsolidadofev[[#Headers],[4]],tabela_registros[REGISTRO],DADOS!$N$6,tabela_registros[TIPO],DADOS!$AJ$5,tabela_registros[CATEGORIA],reservaoutrosconsolidadofev[[#This Row],[ATUAL]])</f>
        <v>0</v>
      </c>
      <c r="I212" s="119" t="n">
        <f aca="false">SUMIFS(tabela_registros[VALOR],tabela_registros[MÊS],$AE$1,tabela_registros[DIA],reservaoutrosconsolidadofev[[#Headers],[5]],tabela_registros[REGISTRO],DADOS!$N$6,tabela_registros[TIPO],DADOS!$AJ$5,tabela_registros[CATEGORIA],reservaoutrosconsolidadofev[[#This Row],[ATUAL]])</f>
        <v>0</v>
      </c>
      <c r="J212" s="119" t="n">
        <f aca="false">SUMIFS(tabela_registros[VALOR],tabela_registros[MÊS],$AE$1,tabela_registros[DIA],reservaoutrosconsolidadofev[[#Headers],[6]],tabela_registros[REGISTRO],DADOS!$N$6,tabela_registros[TIPO],DADOS!$AJ$5,tabela_registros[CATEGORIA],reservaoutrosconsolidadofev[[#This Row],[ATUAL]])</f>
        <v>0</v>
      </c>
      <c r="K212" s="119" t="n">
        <f aca="false">SUMIFS(tabela_registros[VALOR],tabela_registros[MÊS],$AE$1,tabela_registros[DIA],reservaoutrosconsolidadofev[[#Headers],[7]],tabela_registros[REGISTRO],DADOS!$N$6,tabela_registros[TIPO],DADOS!$AJ$5,tabela_registros[CATEGORIA],reservaoutrosconsolidadofev[[#This Row],[ATUAL]])</f>
        <v>0</v>
      </c>
      <c r="L212" s="119" t="n">
        <f aca="false">SUMIFS(tabela_registros[VALOR],tabela_registros[MÊS],$AE$1,tabela_registros[DIA],reservaoutrosconsolidadofev[[#Headers],[8]],tabela_registros[REGISTRO],DADOS!$N$6,tabela_registros[TIPO],DADOS!$AJ$5,tabela_registros[CATEGORIA],reservaoutrosconsolidadofev[[#This Row],[ATUAL]])</f>
        <v>0</v>
      </c>
      <c r="M212" s="119" t="n">
        <f aca="false">SUMIFS(tabela_registros[VALOR],tabela_registros[MÊS],$AE$1,tabela_registros[DIA],reservaoutrosconsolidadofev[[#Headers],[9]],tabela_registros[REGISTRO],DADOS!$N$6,tabela_registros[TIPO],DADOS!$AJ$5,tabela_registros[CATEGORIA],reservaoutrosconsolidadofev[[#This Row],[ATUAL]])</f>
        <v>0</v>
      </c>
      <c r="N212" s="119" t="n">
        <f aca="false">SUMIFS(tabela_registros[VALOR],tabela_registros[MÊS],$AE$1,tabela_registros[DIA],reservaoutrosconsolidadofev[[#Headers],[10]],tabela_registros[REGISTRO],DADOS!$N$6,tabela_registros[TIPO],DADOS!$AJ$5,tabela_registros[CATEGORIA],reservaoutrosconsolidadofev[[#This Row],[ATUAL]])</f>
        <v>0</v>
      </c>
      <c r="O212" s="119" t="n">
        <f aca="false">SUMIFS(tabela_registros[VALOR],tabela_registros[MÊS],$AE$1,tabela_registros[DIA],reservaoutrosconsolidadofev[[#Headers],[11]],tabela_registros[REGISTRO],DADOS!$N$6,tabela_registros[TIPO],DADOS!$AJ$5,tabela_registros[CATEGORIA],reservaoutrosconsolidadofev[[#This Row],[ATUAL]])</f>
        <v>0</v>
      </c>
      <c r="P212" s="119" t="n">
        <f aca="false">SUMIFS(tabela_registros[VALOR],tabela_registros[MÊS],$AE$1,tabela_registros[DIA],reservaoutrosconsolidadofev[[#Headers],[12]],tabela_registros[REGISTRO],DADOS!$N$6,tabela_registros[TIPO],DADOS!$AJ$5,tabela_registros[CATEGORIA],reservaoutrosconsolidadofev[[#This Row],[ATUAL]])</f>
        <v>0</v>
      </c>
      <c r="Q212" s="119" t="n">
        <f aca="false">SUMIFS(tabela_registros[VALOR],tabela_registros[MÊS],$AE$1,tabela_registros[DIA],reservaoutrosconsolidadofev[[#Headers],[13]],tabela_registros[REGISTRO],DADOS!$N$6,tabela_registros[TIPO],DADOS!$AJ$5,tabela_registros[CATEGORIA],reservaoutrosconsolidadofev[[#This Row],[ATUAL]])</f>
        <v>0</v>
      </c>
      <c r="R212" s="119" t="n">
        <f aca="false">SUMIFS(tabela_registros[VALOR],tabela_registros[MÊS],$AE$1,tabela_registros[DIA],reservaoutrosconsolidadofev[[#Headers],[14]],tabela_registros[REGISTRO],DADOS!$N$6,tabela_registros[TIPO],DADOS!$AJ$5,tabela_registros[CATEGORIA],reservaoutrosconsolidadofev[[#This Row],[ATUAL]])</f>
        <v>0</v>
      </c>
      <c r="S212" s="119" t="n">
        <f aca="false">SUMIFS(tabela_registros[VALOR],tabela_registros[MÊS],$AE$1,tabela_registros[DIA],reservaoutrosconsolidadofev[[#Headers],[15]],tabela_registros[REGISTRO],DADOS!$N$6,tabela_registros[TIPO],DADOS!$AJ$5,tabela_registros[CATEGORIA],reservaoutrosconsolidadofev[[#This Row],[ATUAL]])</f>
        <v>0</v>
      </c>
      <c r="T212" s="119" t="n">
        <f aca="false">SUMIFS(tabela_registros[VALOR],tabela_registros[MÊS],$AE$1,tabela_registros[DIA],reservaoutrosconsolidadofev[[#Headers],[16]],tabela_registros[REGISTRO],DADOS!$N$6,tabela_registros[TIPO],DADOS!$AJ$5,tabela_registros[CATEGORIA],reservaoutrosconsolidadofev[[#This Row],[ATUAL]])</f>
        <v>0</v>
      </c>
      <c r="U212" s="119" t="n">
        <f aca="false">SUMIFS(tabela_registros[VALOR],tabela_registros[MÊS],$AE$1,tabela_registros[DIA],reservaoutrosconsolidadofev[[#Headers],[17]],tabela_registros[REGISTRO],DADOS!$N$6,tabela_registros[TIPO],DADOS!$AJ$5,tabela_registros[CATEGORIA],reservaoutrosconsolidadofev[[#This Row],[ATUAL]])</f>
        <v>0</v>
      </c>
      <c r="V212" s="119" t="n">
        <f aca="false">SUMIFS(tabela_registros[VALOR],tabela_registros[MÊS],$AE$1,tabela_registros[DIA],reservaoutrosconsolidadofev[[#Headers],[18]],tabela_registros[REGISTRO],DADOS!$N$6,tabela_registros[TIPO],DADOS!$AJ$5,tabela_registros[CATEGORIA],reservaoutrosconsolidadofev[[#This Row],[ATUAL]])</f>
        <v>0</v>
      </c>
      <c r="W212" s="119" t="n">
        <f aca="false">SUMIFS(tabela_registros[VALOR],tabela_registros[MÊS],$AE$1,tabela_registros[DIA],reservaoutrosconsolidadofev[[#Headers],[19]],tabela_registros[REGISTRO],DADOS!$N$6,tabela_registros[TIPO],DADOS!$AJ$5,tabela_registros[CATEGORIA],reservaoutrosconsolidadofev[[#This Row],[ATUAL]])</f>
        <v>0</v>
      </c>
      <c r="X212" s="119" t="n">
        <f aca="false">SUMIFS(tabela_registros[VALOR],tabela_registros[MÊS],$AE$1,tabela_registros[DIA],reservaoutrosconsolidadofev[[#Headers],[20]],tabela_registros[REGISTRO],DADOS!$N$6,tabela_registros[TIPO],DADOS!$AJ$5,tabela_registros[CATEGORIA],reservaoutrosconsolidadofev[[#This Row],[ATUAL]])</f>
        <v>0</v>
      </c>
      <c r="Y212" s="119" t="n">
        <f aca="false">SUMIFS(tabela_registros[VALOR],tabela_registros[MÊS],$AE$1,tabela_registros[DIA],reservaoutrosconsolidadofev[[#Headers],[21]],tabela_registros[REGISTRO],DADOS!$N$6,tabela_registros[TIPO],DADOS!$AJ$5,tabela_registros[CATEGORIA],reservaoutrosconsolidadofev[[#This Row],[ATUAL]])</f>
        <v>0</v>
      </c>
      <c r="Z212" s="119" t="n">
        <f aca="false">SUMIFS(tabela_registros[VALOR],tabela_registros[MÊS],$AE$1,tabela_registros[DIA],reservaoutrosconsolidadofev[[#Headers],[22]],tabela_registros[REGISTRO],DADOS!$N$6,tabela_registros[TIPO],DADOS!$AJ$5,tabela_registros[CATEGORIA],reservaoutrosconsolidadofev[[#This Row],[ATUAL]])</f>
        <v>0</v>
      </c>
      <c r="AA212" s="119" t="n">
        <f aca="false">SUMIFS(tabela_registros[VALOR],tabela_registros[MÊS],$AE$1,tabela_registros[DIA],reservaoutrosconsolidadofev[[#Headers],[23]],tabela_registros[REGISTRO],DADOS!$N$6,tabela_registros[TIPO],DADOS!$AJ$5,tabela_registros[CATEGORIA],reservaoutrosconsolidadofev[[#This Row],[ATUAL]])</f>
        <v>0</v>
      </c>
      <c r="AB212" s="119" t="n">
        <f aca="false">SUMIFS(tabela_registros[VALOR],tabela_registros[MÊS],$AE$1,tabela_registros[DIA],reservaoutrosconsolidadofev[[#Headers],[24]],tabela_registros[REGISTRO],DADOS!$N$6,tabela_registros[TIPO],DADOS!$AJ$5,tabela_registros[CATEGORIA],reservaoutrosconsolidadofev[[#This Row],[ATUAL]])</f>
        <v>0</v>
      </c>
      <c r="AC212" s="119" t="n">
        <f aca="false">SUMIFS(tabela_registros[VALOR],tabela_registros[MÊS],$AE$1,tabela_registros[DIA],reservaoutrosconsolidadofev[[#Headers],[25]],tabela_registros[REGISTRO],DADOS!$N$6,tabela_registros[TIPO],DADOS!$AJ$5,tabela_registros[CATEGORIA],reservaoutrosconsolidadofev[[#This Row],[ATUAL]])</f>
        <v>0</v>
      </c>
      <c r="AD212" s="119" t="n">
        <f aca="false">SUMIFS(tabela_registros[VALOR],tabela_registros[MÊS],$AE$1,tabela_registros[DIA],reservaoutrosconsolidadofev[[#Headers],[26]],tabela_registros[REGISTRO],DADOS!$N$6,tabela_registros[TIPO],DADOS!$AJ$5,tabela_registros[CATEGORIA],reservaoutrosconsolidadofev[[#This Row],[ATUAL]])</f>
        <v>0</v>
      </c>
      <c r="AE212" s="119" t="n">
        <f aca="false">SUMIFS(tabela_registros[VALOR],tabela_registros[MÊS],$AE$1,tabela_registros[DIA],reservaoutrosconsolidadofev[[#Headers],[27]],tabela_registros[REGISTRO],DADOS!$N$6,tabela_registros[TIPO],DADOS!$AJ$5,tabela_registros[CATEGORIA],reservaoutrosconsolidadofev[[#This Row],[ATUAL]])</f>
        <v>0</v>
      </c>
      <c r="AF212" s="119" t="n">
        <f aca="false">SUMIFS(tabela_registros[VALOR],tabela_registros[MÊS],$AE$1,tabela_registros[DIA],reservaoutrosconsolidadofev[[#Headers],[28]],tabela_registros[REGISTRO],DADOS!$N$6,tabela_registros[TIPO],DADOS!$AJ$5,tabela_registros[CATEGORIA],reservaoutrosconsolidadofev[[#This Row],[ATUAL]])</f>
        <v>0</v>
      </c>
      <c r="AG212" s="119" t="n">
        <f aca="false">SUMIFS(tabela_registros[VALOR],tabela_registros[MÊS],$AE$1,tabela_registros[DIA],reservaoutrosconsolidadofev[[#Headers],[29]],tabela_registros[REGISTRO],DADOS!$N$6,tabela_registros[TIPO],DADOS!$AJ$5,tabela_registros[CATEGORIA],reservaoutrosconsolidadofev[[#This Row],[ATUAL]])</f>
        <v>0</v>
      </c>
      <c r="AH212" s="119" t="n">
        <f aca="false">SUMIFS(tabela_registros[VALOR],tabela_registros[MÊS],$AE$1,tabela_registros[DIA],reservaoutrosconsolidadofev[[#Headers],[30]],tabela_registros[REGISTRO],DADOS!$N$6,tabela_registros[TIPO],DADOS!$AJ$5,tabela_registros[CATEGORIA],reservaoutrosconsolidadofev[[#This Row],[ATUAL]])</f>
        <v>0</v>
      </c>
      <c r="AI212" s="217" t="n">
        <f aca="false">SUMIFS(tabela_registros[VALOR],tabela_registros[MÊS],$AE$1,tabela_registros[DIA],reservaoutrosconsolidadofev[[#Headers],[31]],tabela_registros[REGISTRO],DADOS!$N$6,tabela_registros[TIPO],DADOS!$AJ$5,tabela_registros[CATEGORIA],reservaoutrosconsolidadofev[[#This Row],[ATUAL]])</f>
        <v>0</v>
      </c>
      <c r="AJ212" s="149" t="n">
        <f aca="false">SUM(reservaoutrosconsolidadofev[[#This Row],[1]:[31]])</f>
        <v>0</v>
      </c>
      <c r="AK212" s="165"/>
    </row>
    <row r="213" customFormat="false" ht="19.5" hidden="false" customHeight="true" outlineLevel="0" collapsed="false">
      <c r="B213" s="143"/>
      <c r="C213" s="144" t="str">
        <f aca="false">DADOS!$AP$10</f>
        <v>📎 OUTROS</v>
      </c>
      <c r="D213" s="145" t="str">
        <f aca="false">IF(reservaoutrosconsolidadofev[[#This Row],[TOTAL (R$)]]=0,"",IF(OR(reservaoutrosconsolidadofev[[#This Row],[TOTAL (R$)]]=LARGE($AJ$206:$AJ$213,1),reservaoutrosconsolidadofev[[#This Row],[TOTAL (R$)]]=LARGE($AJ$206:$AJ$213,2)),DADOS!$I$11,""))</f>
        <v/>
      </c>
      <c r="E213" s="148" t="n">
        <f aca="false">SUMIFS(tabela_registros[VALOR],tabela_registros[MÊS],$AE$1,tabela_registros[DIA],reservaoutrosconsolidadofev[[#Headers],[1]],tabela_registros[REGISTRO],DADOS!$N$6,tabela_registros[TIPO],DADOS!$AJ$5,tabela_registros[CATEGORIA],reservaoutrosconsolidadofev[[#This Row],[ATUAL]])</f>
        <v>0</v>
      </c>
      <c r="F213" s="119" t="n">
        <f aca="false">SUMIFS(tabela_registros[VALOR],tabela_registros[MÊS],$AE$1,tabela_registros[DIA],reservaoutrosconsolidadofev[[#Headers],[2]],tabela_registros[REGISTRO],DADOS!$N$6,tabela_registros[TIPO],DADOS!$AJ$5,tabela_registros[CATEGORIA],reservaoutrosconsolidadofev[[#This Row],[ATUAL]])</f>
        <v>0</v>
      </c>
      <c r="G213" s="119" t="n">
        <f aca="false">SUMIFS(tabela_registros[VALOR],tabela_registros[MÊS],$AE$1,tabela_registros[DIA],reservaoutrosconsolidadofev[[#Headers],[3]],tabela_registros[REGISTRO],DADOS!$N$6,tabela_registros[TIPO],DADOS!$AJ$5,tabela_registros[CATEGORIA],reservaoutrosconsolidadofev[[#This Row],[ATUAL]])</f>
        <v>0</v>
      </c>
      <c r="H213" s="119" t="n">
        <f aca="false">SUMIFS(tabela_registros[VALOR],tabela_registros[MÊS],$AE$1,tabela_registros[DIA],reservaoutrosconsolidadofev[[#Headers],[4]],tabela_registros[REGISTRO],DADOS!$N$6,tabela_registros[TIPO],DADOS!$AJ$5,tabela_registros[CATEGORIA],reservaoutrosconsolidadofev[[#This Row],[ATUAL]])</f>
        <v>0</v>
      </c>
      <c r="I213" s="119" t="n">
        <f aca="false">SUMIFS(tabela_registros[VALOR],tabela_registros[MÊS],$AE$1,tabela_registros[DIA],reservaoutrosconsolidadofev[[#Headers],[5]],tabela_registros[REGISTRO],DADOS!$N$6,tabela_registros[TIPO],DADOS!$AJ$5,tabela_registros[CATEGORIA],reservaoutrosconsolidadofev[[#This Row],[ATUAL]])</f>
        <v>0</v>
      </c>
      <c r="J213" s="119" t="n">
        <f aca="false">SUMIFS(tabela_registros[VALOR],tabela_registros[MÊS],$AE$1,tabela_registros[DIA],reservaoutrosconsolidadofev[[#Headers],[6]],tabela_registros[REGISTRO],DADOS!$N$6,tabela_registros[TIPO],DADOS!$AJ$5,tabela_registros[CATEGORIA],reservaoutrosconsolidadofev[[#This Row],[ATUAL]])</f>
        <v>0</v>
      </c>
      <c r="K213" s="119" t="n">
        <f aca="false">SUMIFS(tabela_registros[VALOR],tabela_registros[MÊS],$AE$1,tabela_registros[DIA],reservaoutrosconsolidadofev[[#Headers],[7]],tabela_registros[REGISTRO],DADOS!$N$6,tabela_registros[TIPO],DADOS!$AJ$5,tabela_registros[CATEGORIA],reservaoutrosconsolidadofev[[#This Row],[ATUAL]])</f>
        <v>0</v>
      </c>
      <c r="L213" s="119" t="n">
        <f aca="false">SUMIFS(tabela_registros[VALOR],tabela_registros[MÊS],$AE$1,tabela_registros[DIA],reservaoutrosconsolidadofev[[#Headers],[8]],tabela_registros[REGISTRO],DADOS!$N$6,tabela_registros[TIPO],DADOS!$AJ$5,tabela_registros[CATEGORIA],reservaoutrosconsolidadofev[[#This Row],[ATUAL]])</f>
        <v>0</v>
      </c>
      <c r="M213" s="119" t="n">
        <f aca="false">SUMIFS(tabela_registros[VALOR],tabela_registros[MÊS],$AE$1,tabela_registros[DIA],reservaoutrosconsolidadofev[[#Headers],[9]],tabela_registros[REGISTRO],DADOS!$N$6,tabela_registros[TIPO],DADOS!$AJ$5,tabela_registros[CATEGORIA],reservaoutrosconsolidadofev[[#This Row],[ATUAL]])</f>
        <v>0</v>
      </c>
      <c r="N213" s="119" t="n">
        <f aca="false">SUMIFS(tabela_registros[VALOR],tabela_registros[MÊS],$AE$1,tabela_registros[DIA],reservaoutrosconsolidadofev[[#Headers],[10]],tabela_registros[REGISTRO],DADOS!$N$6,tabela_registros[TIPO],DADOS!$AJ$5,tabela_registros[CATEGORIA],reservaoutrosconsolidadofev[[#This Row],[ATUAL]])</f>
        <v>0</v>
      </c>
      <c r="O213" s="119" t="n">
        <f aca="false">SUMIFS(tabela_registros[VALOR],tabela_registros[MÊS],$AE$1,tabela_registros[DIA],reservaoutrosconsolidadofev[[#Headers],[11]],tabela_registros[REGISTRO],DADOS!$N$6,tabela_registros[TIPO],DADOS!$AJ$5,tabela_registros[CATEGORIA],reservaoutrosconsolidadofev[[#This Row],[ATUAL]])</f>
        <v>0</v>
      </c>
      <c r="P213" s="119" t="n">
        <f aca="false">SUMIFS(tabela_registros[VALOR],tabela_registros[MÊS],$AE$1,tabela_registros[DIA],reservaoutrosconsolidadofev[[#Headers],[12]],tabela_registros[REGISTRO],DADOS!$N$6,tabela_registros[TIPO],DADOS!$AJ$5,tabela_registros[CATEGORIA],reservaoutrosconsolidadofev[[#This Row],[ATUAL]])</f>
        <v>0</v>
      </c>
      <c r="Q213" s="119" t="n">
        <f aca="false">SUMIFS(tabela_registros[VALOR],tabela_registros[MÊS],$AE$1,tabela_registros[DIA],reservaoutrosconsolidadofev[[#Headers],[13]],tabela_registros[REGISTRO],DADOS!$N$6,tabela_registros[TIPO],DADOS!$AJ$5,tabela_registros[CATEGORIA],reservaoutrosconsolidadofev[[#This Row],[ATUAL]])</f>
        <v>0</v>
      </c>
      <c r="R213" s="119" t="n">
        <f aca="false">SUMIFS(tabela_registros[VALOR],tabela_registros[MÊS],$AE$1,tabela_registros[DIA],reservaoutrosconsolidadofev[[#Headers],[14]],tabela_registros[REGISTRO],DADOS!$N$6,tabela_registros[TIPO],DADOS!$AJ$5,tabela_registros[CATEGORIA],reservaoutrosconsolidadofev[[#This Row],[ATUAL]])</f>
        <v>0</v>
      </c>
      <c r="S213" s="119" t="n">
        <f aca="false">SUMIFS(tabela_registros[VALOR],tabela_registros[MÊS],$AE$1,tabela_registros[DIA],reservaoutrosconsolidadofev[[#Headers],[15]],tabela_registros[REGISTRO],DADOS!$N$6,tabela_registros[TIPO],DADOS!$AJ$5,tabela_registros[CATEGORIA],reservaoutrosconsolidadofev[[#This Row],[ATUAL]])</f>
        <v>0</v>
      </c>
      <c r="T213" s="119" t="n">
        <f aca="false">SUMIFS(tabela_registros[VALOR],tabela_registros[MÊS],$AE$1,tabela_registros[DIA],reservaoutrosconsolidadofev[[#Headers],[16]],tabela_registros[REGISTRO],DADOS!$N$6,tabela_registros[TIPO],DADOS!$AJ$5,tabela_registros[CATEGORIA],reservaoutrosconsolidadofev[[#This Row],[ATUAL]])</f>
        <v>0</v>
      </c>
      <c r="U213" s="119" t="n">
        <f aca="false">SUMIFS(tabela_registros[VALOR],tabela_registros[MÊS],$AE$1,tabela_registros[DIA],reservaoutrosconsolidadofev[[#Headers],[17]],tabela_registros[REGISTRO],DADOS!$N$6,tabela_registros[TIPO],DADOS!$AJ$5,tabela_registros[CATEGORIA],reservaoutrosconsolidadofev[[#This Row],[ATUAL]])</f>
        <v>0</v>
      </c>
      <c r="V213" s="119" t="n">
        <f aca="false">SUMIFS(tabela_registros[VALOR],tabela_registros[MÊS],$AE$1,tabela_registros[DIA],reservaoutrosconsolidadofev[[#Headers],[18]],tabela_registros[REGISTRO],DADOS!$N$6,tabela_registros[TIPO],DADOS!$AJ$5,tabela_registros[CATEGORIA],reservaoutrosconsolidadofev[[#This Row],[ATUAL]])</f>
        <v>0</v>
      </c>
      <c r="W213" s="119" t="n">
        <f aca="false">SUMIFS(tabela_registros[VALOR],tabela_registros[MÊS],$AE$1,tabela_registros[DIA],reservaoutrosconsolidadofev[[#Headers],[19]],tabela_registros[REGISTRO],DADOS!$N$6,tabela_registros[TIPO],DADOS!$AJ$5,tabela_registros[CATEGORIA],reservaoutrosconsolidadofev[[#This Row],[ATUAL]])</f>
        <v>0</v>
      </c>
      <c r="X213" s="119" t="n">
        <f aca="false">SUMIFS(tabela_registros[VALOR],tabela_registros[MÊS],$AE$1,tabela_registros[DIA],reservaoutrosconsolidadofev[[#Headers],[20]],tabela_registros[REGISTRO],DADOS!$N$6,tabela_registros[TIPO],DADOS!$AJ$5,tabela_registros[CATEGORIA],reservaoutrosconsolidadofev[[#This Row],[ATUAL]])</f>
        <v>0</v>
      </c>
      <c r="Y213" s="119" t="n">
        <f aca="false">SUMIFS(tabela_registros[VALOR],tabela_registros[MÊS],$AE$1,tabela_registros[DIA],reservaoutrosconsolidadofev[[#Headers],[21]],tabela_registros[REGISTRO],DADOS!$N$6,tabela_registros[TIPO],DADOS!$AJ$5,tabela_registros[CATEGORIA],reservaoutrosconsolidadofev[[#This Row],[ATUAL]])</f>
        <v>0</v>
      </c>
      <c r="Z213" s="119" t="n">
        <f aca="false">SUMIFS(tabela_registros[VALOR],tabela_registros[MÊS],$AE$1,tabela_registros[DIA],reservaoutrosconsolidadofev[[#Headers],[22]],tabela_registros[REGISTRO],DADOS!$N$6,tabela_registros[TIPO],DADOS!$AJ$5,tabela_registros[CATEGORIA],reservaoutrosconsolidadofev[[#This Row],[ATUAL]])</f>
        <v>0</v>
      </c>
      <c r="AA213" s="119" t="n">
        <f aca="false">SUMIFS(tabela_registros[VALOR],tabela_registros[MÊS],$AE$1,tabela_registros[DIA],reservaoutrosconsolidadofev[[#Headers],[23]],tabela_registros[REGISTRO],DADOS!$N$6,tabela_registros[TIPO],DADOS!$AJ$5,tabela_registros[CATEGORIA],reservaoutrosconsolidadofev[[#This Row],[ATUAL]])</f>
        <v>0</v>
      </c>
      <c r="AB213" s="119" t="n">
        <f aca="false">SUMIFS(tabela_registros[VALOR],tabela_registros[MÊS],$AE$1,tabela_registros[DIA],reservaoutrosconsolidadofev[[#Headers],[24]],tabela_registros[REGISTRO],DADOS!$N$6,tabela_registros[TIPO],DADOS!$AJ$5,tabela_registros[CATEGORIA],reservaoutrosconsolidadofev[[#This Row],[ATUAL]])</f>
        <v>0</v>
      </c>
      <c r="AC213" s="119" t="n">
        <f aca="false">SUMIFS(tabela_registros[VALOR],tabela_registros[MÊS],$AE$1,tabela_registros[DIA],reservaoutrosconsolidadofev[[#Headers],[25]],tabela_registros[REGISTRO],DADOS!$N$6,tabela_registros[TIPO],DADOS!$AJ$5,tabela_registros[CATEGORIA],reservaoutrosconsolidadofev[[#This Row],[ATUAL]])</f>
        <v>0</v>
      </c>
      <c r="AD213" s="119" t="n">
        <f aca="false">SUMIFS(tabela_registros[VALOR],tabela_registros[MÊS],$AE$1,tabela_registros[DIA],reservaoutrosconsolidadofev[[#Headers],[26]],tabela_registros[REGISTRO],DADOS!$N$6,tabela_registros[TIPO],DADOS!$AJ$5,tabela_registros[CATEGORIA],reservaoutrosconsolidadofev[[#This Row],[ATUAL]])</f>
        <v>0</v>
      </c>
      <c r="AE213" s="119" t="n">
        <f aca="false">SUMIFS(tabela_registros[VALOR],tabela_registros[MÊS],$AE$1,tabela_registros[DIA],reservaoutrosconsolidadofev[[#Headers],[27]],tabela_registros[REGISTRO],DADOS!$N$6,tabela_registros[TIPO],DADOS!$AJ$5,tabela_registros[CATEGORIA],reservaoutrosconsolidadofev[[#This Row],[ATUAL]])</f>
        <v>0</v>
      </c>
      <c r="AF213" s="119" t="n">
        <f aca="false">SUMIFS(tabela_registros[VALOR],tabela_registros[MÊS],$AE$1,tabela_registros[DIA],reservaoutrosconsolidadofev[[#Headers],[28]],tabela_registros[REGISTRO],DADOS!$N$6,tabela_registros[TIPO],DADOS!$AJ$5,tabela_registros[CATEGORIA],reservaoutrosconsolidadofev[[#This Row],[ATUAL]])</f>
        <v>0</v>
      </c>
      <c r="AG213" s="119" t="n">
        <f aca="false">SUMIFS(tabela_registros[VALOR],tabela_registros[MÊS],$AE$1,tabela_registros[DIA],reservaoutrosconsolidadofev[[#Headers],[29]],tabela_registros[REGISTRO],DADOS!$N$6,tabela_registros[TIPO],DADOS!$AJ$5,tabela_registros[CATEGORIA],reservaoutrosconsolidadofev[[#This Row],[ATUAL]])</f>
        <v>0</v>
      </c>
      <c r="AH213" s="119" t="n">
        <f aca="false">SUMIFS(tabela_registros[VALOR],tabela_registros[MÊS],$AE$1,tabela_registros[DIA],reservaoutrosconsolidadofev[[#Headers],[30]],tabela_registros[REGISTRO],DADOS!$N$6,tabela_registros[TIPO],DADOS!$AJ$5,tabela_registros[CATEGORIA],reservaoutrosconsolidadofev[[#This Row],[ATUAL]])</f>
        <v>0</v>
      </c>
      <c r="AI213" s="217" t="n">
        <f aca="false">SUMIFS(tabela_registros[VALOR],tabela_registros[MÊS],$AE$1,tabela_registros[DIA],reservaoutrosconsolidadofev[[#Headers],[31]],tabela_registros[REGISTRO],DADOS!$N$6,tabela_registros[TIPO],DADOS!$AJ$5,tabela_registros[CATEGORIA],reservaoutrosconsolidadofev[[#This Row],[ATUAL]])</f>
        <v>0</v>
      </c>
      <c r="AJ213" s="149" t="n">
        <f aca="false">SUM(reservaoutrosconsolidadofev[[#This Row],[1]:[31]])</f>
        <v>0</v>
      </c>
      <c r="AK213" s="165"/>
    </row>
    <row r="214" s="122" customFormat="true" ht="21" hidden="false" customHeight="true" outlineLevel="0" collapsed="false">
      <c r="B214" s="152"/>
      <c r="C214" s="153" t="s">
        <v>2</v>
      </c>
      <c r="D214" s="166"/>
      <c r="E214" s="155" t="n">
        <f aca="false">SUM(E206:E213)</f>
        <v>0</v>
      </c>
      <c r="F214" s="156" t="n">
        <f aca="false">SUM(F206:F213)+reservaoutrosconsolidadofev[[#This Row],[1]]</f>
        <v>0</v>
      </c>
      <c r="G214" s="156" t="n">
        <f aca="false">SUM(G206:G213)+reservaoutrosconsolidadofev[[#This Row],[2]]</f>
        <v>0</v>
      </c>
      <c r="H214" s="156" t="n">
        <f aca="false">SUM(H206:H213)+reservaoutrosconsolidadofev[[#This Row],[3]]</f>
        <v>0</v>
      </c>
      <c r="I214" s="156" t="n">
        <f aca="false">SUM(I206:I213)+reservaoutrosconsolidadofev[[#This Row],[4]]</f>
        <v>0</v>
      </c>
      <c r="J214" s="156" t="n">
        <f aca="false">SUM(J206:J213)+reservaoutrosconsolidadofev[[#This Row],[5]]</f>
        <v>0</v>
      </c>
      <c r="K214" s="156" t="n">
        <f aca="false">SUM(K206:K213)+reservaoutrosconsolidadofev[[#This Row],[6]]</f>
        <v>0</v>
      </c>
      <c r="L214" s="156" t="n">
        <f aca="false">SUM(L206:L213)+reservaoutrosconsolidadofev[[#This Row],[7]]</f>
        <v>0</v>
      </c>
      <c r="M214" s="156" t="n">
        <f aca="false">SUM(M206:M213)+reservaoutrosconsolidadofev[[#This Row],[8]]</f>
        <v>0</v>
      </c>
      <c r="N214" s="156" t="n">
        <f aca="false">SUM(N206:N213)+reservaoutrosconsolidadofev[[#This Row],[9]]</f>
        <v>0</v>
      </c>
      <c r="O214" s="156" t="n">
        <f aca="false">SUM(O206:O213)+reservaoutrosconsolidadofev[[#This Row],[10]]</f>
        <v>0</v>
      </c>
      <c r="P214" s="156" t="n">
        <f aca="false">SUM(P206:P213)+reservaoutrosconsolidadofev[[#This Row],[11]]</f>
        <v>0</v>
      </c>
      <c r="Q214" s="156" t="n">
        <f aca="false">SUM(Q206:Q213)+reservaoutrosconsolidadofev[[#This Row],[12]]</f>
        <v>0</v>
      </c>
      <c r="R214" s="156" t="n">
        <f aca="false">SUM(R206:R213)+reservaoutrosconsolidadofev[[#This Row],[13]]</f>
        <v>0</v>
      </c>
      <c r="S214" s="156" t="n">
        <f aca="false">SUM(S206:S213)+reservaoutrosconsolidadofev[[#This Row],[14]]</f>
        <v>0</v>
      </c>
      <c r="T214" s="156" t="n">
        <f aca="false">SUM(T206:T213)+reservaoutrosconsolidadofev[[#This Row],[15]]</f>
        <v>0</v>
      </c>
      <c r="U214" s="156" t="n">
        <f aca="false">SUM(U206:U213)+reservaoutrosconsolidadofev[[#This Row],[16]]</f>
        <v>0</v>
      </c>
      <c r="V214" s="156" t="n">
        <f aca="false">SUM(V206:V213)+reservaoutrosconsolidadofev[[#This Row],[17]]</f>
        <v>0</v>
      </c>
      <c r="W214" s="156" t="n">
        <f aca="false">SUM(W206:W213)+reservaoutrosconsolidadofev[[#This Row],[18]]</f>
        <v>0</v>
      </c>
      <c r="X214" s="156" t="n">
        <f aca="false">SUM(X206:X213)+reservaoutrosconsolidadofev[[#This Row],[19]]</f>
        <v>0</v>
      </c>
      <c r="Y214" s="156" t="n">
        <f aca="false">SUM(Y206:Y213)+reservaoutrosconsolidadofev[[#This Row],[20]]</f>
        <v>0</v>
      </c>
      <c r="Z214" s="156" t="n">
        <f aca="false">SUM(Z206:Z213)+reservaoutrosconsolidadofev[[#This Row],[21]]</f>
        <v>0</v>
      </c>
      <c r="AA214" s="156" t="n">
        <f aca="false">SUM(AA206:AA213)+reservaoutrosconsolidadofev[[#This Row],[22]]</f>
        <v>0</v>
      </c>
      <c r="AB214" s="156" t="n">
        <f aca="false">SUM(AB206:AB213)+reservaoutrosconsolidadofev[[#This Row],[23]]</f>
        <v>0</v>
      </c>
      <c r="AC214" s="156" t="n">
        <f aca="false">SUM(AC206:AC213)+reservaoutrosconsolidadofev[[#This Row],[24]]</f>
        <v>0</v>
      </c>
      <c r="AD214" s="156" t="n">
        <f aca="false">SUM(AD206:AD213)+reservaoutrosconsolidadofev[[#This Row],[25]]</f>
        <v>0</v>
      </c>
      <c r="AE214" s="156" t="n">
        <f aca="false">SUM(AE206:AE213)+reservaoutrosconsolidadofev[[#This Row],[26]]</f>
        <v>0</v>
      </c>
      <c r="AF214" s="156" t="n">
        <f aca="false">SUM(AF206:AF213)+reservaoutrosconsolidadofev[[#This Row],[27]]</f>
        <v>0</v>
      </c>
      <c r="AG214" s="156" t="n">
        <f aca="false">SUM(AG206:AG213)+reservaoutrosconsolidadofev[[#This Row],[28]]</f>
        <v>0</v>
      </c>
      <c r="AH214" s="156" t="n">
        <f aca="false">SUM(AH206:AH213)+reservaoutrosconsolidadofev[[#This Row],[29]]</f>
        <v>0</v>
      </c>
      <c r="AI214" s="223" t="n">
        <f aca="false">SUM(AI206:AI213)+reservaoutrosconsolidadofev[[#This Row],[30]]</f>
        <v>0</v>
      </c>
      <c r="AJ214" s="157" t="n">
        <f aca="false">reservaoutrosconsolidadofev[[#This Row],[31]]</f>
        <v>0</v>
      </c>
      <c r="AK214" s="158"/>
    </row>
    <row r="215" customFormat="false" ht="6.75" hidden="false" customHeight="true" outlineLevel="0" collapsed="false">
      <c r="B215" s="97"/>
      <c r="C215" s="162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233"/>
      <c r="AJ215" s="164"/>
      <c r="AK215" s="244"/>
    </row>
    <row r="216" customFormat="false" ht="12.75" hidden="false" customHeight="false" outlineLevel="0" collapsed="false"/>
    <row r="217" customFormat="false" ht="12" hidden="false" customHeight="false" outlineLevel="0" collapsed="false"/>
  </sheetData>
  <sheetProtection algorithmName="SHA-512" hashValue="wbsVvZtaOy4b+c/6w3Aca3kK7dA+U3Sa965AxrTAfcPxC3n1l11FvtO9TMM2gS7cGpzPoyWzH+l3QP2QghIuPA==" saltValue="P9/mLco36X/BkRYfFp2Ppg==" spinCount="100000" sheet="true" objects="true" scenarios="true" selectLockedCells="true" selectUnlockedCells="true"/>
  <mergeCells count="26">
    <mergeCell ref="C2:C6"/>
    <mergeCell ref="E3:G3"/>
    <mergeCell ref="I3:K3"/>
    <mergeCell ref="M3:O3"/>
    <mergeCell ref="Q3:S3"/>
    <mergeCell ref="U3:W3"/>
    <mergeCell ref="Z3:AA4"/>
    <mergeCell ref="AC3:AD4"/>
    <mergeCell ref="AF3:AG4"/>
    <mergeCell ref="E4:G4"/>
    <mergeCell ref="I4:K4"/>
    <mergeCell ref="M4:O4"/>
    <mergeCell ref="Q4:S4"/>
    <mergeCell ref="U4:W4"/>
    <mergeCell ref="E10:AI10"/>
    <mergeCell ref="E21:AI21"/>
    <mergeCell ref="E33:AI33"/>
    <mergeCell ref="E56:AI56"/>
    <mergeCell ref="E78:AI78"/>
    <mergeCell ref="E92:AI92"/>
    <mergeCell ref="E109:AI109"/>
    <mergeCell ref="E128:AI128"/>
    <mergeCell ref="E147:AI147"/>
    <mergeCell ref="E164:AI164"/>
    <mergeCell ref="E183:AI183"/>
    <mergeCell ref="E202:AI202"/>
  </mergeCells>
  <hyperlinks>
    <hyperlink ref="Z3" location="'🔒'!A1" display="REGISTROS"/>
    <hyperlink ref="AC3" location="'📈'!A1" display="RADAR"/>
    <hyperlink ref="AF3" location="ANUAL!A1" display="ANUA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17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24" activeCellId="0" sqref="D24"/>
    </sheetView>
  </sheetViews>
  <sheetFormatPr defaultColWidth="2.1484375" defaultRowHeight="12" zeroHeight="true" outlineLevelRow="0" outlineLevelCol="0"/>
  <cols>
    <col collapsed="false" customWidth="false" hidden="false" outlineLevel="0" max="1" min="1" style="78" width="2.14"/>
    <col collapsed="false" customWidth="true" hidden="false" outlineLevel="0" max="2" min="2" style="78" width="1.58"/>
    <col collapsed="false" customWidth="true" hidden="false" outlineLevel="0" max="3" min="3" style="78" width="29.29"/>
    <col collapsed="false" customWidth="true" hidden="false" outlineLevel="0" max="4" min="4" style="78" width="4.71"/>
    <col collapsed="false" customWidth="true" hidden="false" outlineLevel="0" max="34" min="5" style="78" width="5.57"/>
    <col collapsed="false" customWidth="true" hidden="false" outlineLevel="0" max="35" min="35" style="167" width="5.57"/>
    <col collapsed="false" customWidth="true" hidden="false" outlineLevel="0" max="36" min="36" style="78" width="9.58"/>
    <col collapsed="false" customWidth="true" hidden="false" outlineLevel="0" max="37" min="37" style="78" width="1.58"/>
    <col collapsed="false" customWidth="true" hidden="false" outlineLevel="0" max="38" min="38" style="78" width="2"/>
    <col collapsed="false" customWidth="false" hidden="true" outlineLevel="0" max="1024" min="39" style="78" width="2.14"/>
  </cols>
  <sheetData>
    <row r="1" customFormat="false" ht="29.25" hidden="true" customHeight="true" outlineLevel="0" collapsed="false">
      <c r="A1" s="81"/>
      <c r="B1" s="81"/>
      <c r="C1" s="81"/>
      <c r="D1" s="82"/>
      <c r="AD1" s="78" t="s">
        <v>19</v>
      </c>
      <c r="AE1" s="168" t="n">
        <v>3</v>
      </c>
      <c r="AH1" s="78" t="s">
        <v>42</v>
      </c>
      <c r="AI1" s="169" t="n">
        <f aca="false">IF('⚙️'!$Q$3=$AE$1,'⚙️'!$F$13,0)</f>
        <v>0</v>
      </c>
      <c r="AK1" s="169"/>
    </row>
    <row r="2" customFormat="false" ht="15.75" hidden="false" customHeight="true" outlineLevel="0" collapsed="false">
      <c r="A2" s="84"/>
      <c r="B2" s="84"/>
      <c r="C2" s="85" t="s">
        <v>101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7"/>
      <c r="U2" s="87"/>
      <c r="V2" s="87"/>
      <c r="W2" s="87"/>
      <c r="X2" s="87"/>
      <c r="Y2" s="87"/>
      <c r="Z2" s="87"/>
      <c r="AA2" s="87"/>
      <c r="AB2" s="87"/>
      <c r="AC2" s="238"/>
      <c r="AD2" s="239"/>
      <c r="AE2" s="239"/>
      <c r="AF2" s="239"/>
      <c r="AG2" s="239"/>
      <c r="AH2" s="239"/>
      <c r="AI2" s="239"/>
      <c r="AJ2" s="239"/>
      <c r="AK2" s="239"/>
      <c r="AL2" s="239"/>
    </row>
    <row r="3" s="180" customFormat="true" ht="18" hidden="false" customHeight="true" outlineLevel="0" collapsed="false">
      <c r="A3" s="89"/>
      <c r="B3" s="89"/>
      <c r="C3" s="85"/>
      <c r="D3" s="86"/>
      <c r="E3" s="90" t="s">
        <v>45</v>
      </c>
      <c r="F3" s="90"/>
      <c r="G3" s="90"/>
      <c r="H3" s="87"/>
      <c r="I3" s="90" t="s">
        <v>46</v>
      </c>
      <c r="J3" s="90"/>
      <c r="K3" s="90"/>
      <c r="L3" s="87"/>
      <c r="M3" s="90" t="s">
        <v>47</v>
      </c>
      <c r="N3" s="90"/>
      <c r="O3" s="90"/>
      <c r="P3" s="87"/>
      <c r="Q3" s="90" t="s">
        <v>48</v>
      </c>
      <c r="R3" s="90"/>
      <c r="S3" s="90"/>
      <c r="T3" s="87"/>
      <c r="U3" s="90" t="s">
        <v>49</v>
      </c>
      <c r="V3" s="90"/>
      <c r="W3" s="90"/>
      <c r="X3" s="87"/>
      <c r="Y3" s="87"/>
      <c r="Z3" s="178" t="s">
        <v>50</v>
      </c>
      <c r="AA3" s="178"/>
      <c r="AB3" s="239"/>
      <c r="AC3" s="178" t="s">
        <v>51</v>
      </c>
      <c r="AD3" s="178"/>
      <c r="AE3" s="239"/>
      <c r="AF3" s="178" t="s">
        <v>17</v>
      </c>
      <c r="AG3" s="178"/>
      <c r="AH3" s="240"/>
      <c r="AI3" s="240"/>
      <c r="AJ3" s="240"/>
      <c r="AK3" s="239"/>
      <c r="AL3" s="239"/>
    </row>
    <row r="4" s="180" customFormat="true" ht="18" hidden="false" customHeight="true" outlineLevel="0" collapsed="false">
      <c r="A4" s="89"/>
      <c r="B4" s="89"/>
      <c r="C4" s="85"/>
      <c r="D4" s="86"/>
      <c r="E4" s="94" t="n">
        <f aca="false">$AJ$16</f>
        <v>0</v>
      </c>
      <c r="F4" s="94"/>
      <c r="G4" s="94"/>
      <c r="H4" s="87"/>
      <c r="I4" s="94" t="n">
        <f aca="false">$AJ$14</f>
        <v>0</v>
      </c>
      <c r="J4" s="94"/>
      <c r="K4" s="94"/>
      <c r="L4" s="87"/>
      <c r="M4" s="94" t="n">
        <f aca="false">$AJ$15</f>
        <v>0</v>
      </c>
      <c r="N4" s="94"/>
      <c r="O4" s="94"/>
      <c r="P4" s="87"/>
      <c r="Q4" s="94" t="n">
        <f aca="false">$AJ$25</f>
        <v>0</v>
      </c>
      <c r="R4" s="94"/>
      <c r="S4" s="94"/>
      <c r="T4" s="87"/>
      <c r="U4" s="94" t="n">
        <f aca="false">$AJ$26</f>
        <v>0</v>
      </c>
      <c r="V4" s="94"/>
      <c r="W4" s="94"/>
      <c r="X4" s="87"/>
      <c r="Y4" s="87"/>
      <c r="Z4" s="178"/>
      <c r="AA4" s="178"/>
      <c r="AB4" s="239"/>
      <c r="AC4" s="178"/>
      <c r="AD4" s="178"/>
      <c r="AE4" s="239"/>
      <c r="AF4" s="178"/>
      <c r="AG4" s="178"/>
      <c r="AH4" s="240"/>
      <c r="AI4" s="240"/>
      <c r="AJ4" s="240"/>
      <c r="AK4" s="239"/>
      <c r="AL4" s="239"/>
    </row>
    <row r="5" customFormat="false" ht="11.25" hidden="false" customHeight="true" outlineLevel="0" collapsed="false">
      <c r="A5" s="89"/>
      <c r="B5" s="89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7"/>
      <c r="Y5" s="86"/>
      <c r="Z5" s="86"/>
      <c r="AA5" s="87"/>
      <c r="AB5" s="87"/>
      <c r="AC5" s="241"/>
      <c r="AD5" s="242"/>
      <c r="AE5" s="242"/>
      <c r="AF5" s="242"/>
      <c r="AG5" s="242"/>
      <c r="AH5" s="242"/>
      <c r="AI5" s="242"/>
      <c r="AJ5" s="239"/>
      <c r="AK5" s="239"/>
      <c r="AL5" s="239"/>
    </row>
    <row r="6" customFormat="false" ht="13.5" hidden="false" customHeight="true" outlineLevel="0" collapsed="false">
      <c r="A6" s="96"/>
      <c r="B6" s="96"/>
      <c r="C6" s="85"/>
      <c r="D6" s="97"/>
      <c r="E6" s="98" t="s">
        <v>30</v>
      </c>
      <c r="F6" s="98" t="s">
        <v>31</v>
      </c>
      <c r="G6" s="99" t="s">
        <v>32</v>
      </c>
      <c r="H6" s="99" t="s">
        <v>33</v>
      </c>
      <c r="I6" s="99" t="s">
        <v>34</v>
      </c>
      <c r="J6" s="99" t="s">
        <v>35</v>
      </c>
      <c r="K6" s="99" t="s">
        <v>36</v>
      </c>
      <c r="L6" s="99" t="s">
        <v>37</v>
      </c>
      <c r="M6" s="99" t="s">
        <v>38</v>
      </c>
      <c r="N6" s="99" t="s">
        <v>39</v>
      </c>
      <c r="O6" s="99" t="s">
        <v>40</v>
      </c>
      <c r="P6" s="99" t="s">
        <v>41</v>
      </c>
      <c r="Q6" s="99" t="s">
        <v>81</v>
      </c>
      <c r="R6" s="99" t="s">
        <v>82</v>
      </c>
      <c r="S6" s="99" t="s">
        <v>83</v>
      </c>
      <c r="T6" s="99" t="s">
        <v>84</v>
      </c>
      <c r="U6" s="99" t="s">
        <v>85</v>
      </c>
      <c r="V6" s="99" t="s">
        <v>86</v>
      </c>
      <c r="W6" s="99" t="s">
        <v>87</v>
      </c>
      <c r="X6" s="99" t="s">
        <v>88</v>
      </c>
      <c r="Y6" s="99" t="s">
        <v>89</v>
      </c>
      <c r="Z6" s="99" t="s">
        <v>90</v>
      </c>
      <c r="AA6" s="99" t="s">
        <v>91</v>
      </c>
      <c r="AB6" s="99" t="s">
        <v>92</v>
      </c>
      <c r="AC6" s="99" t="s">
        <v>93</v>
      </c>
      <c r="AD6" s="99" t="s">
        <v>94</v>
      </c>
      <c r="AE6" s="99" t="s">
        <v>95</v>
      </c>
      <c r="AF6" s="99" t="s">
        <v>96</v>
      </c>
      <c r="AG6" s="99" t="s">
        <v>97</v>
      </c>
      <c r="AH6" s="99" t="s">
        <v>98</v>
      </c>
      <c r="AI6" s="243" t="s">
        <v>99</v>
      </c>
      <c r="AJ6" s="239"/>
      <c r="AK6" s="239"/>
      <c r="AL6" s="239"/>
    </row>
    <row r="7" s="78" customFormat="true" ht="12.75" hidden="false" customHeight="false" outlineLevel="0" collapsed="false">
      <c r="E7" s="100"/>
    </row>
    <row r="8" s="78" customFormat="true" ht="12" hidden="false" customHeight="false" outlineLevel="0" collapsed="false"/>
    <row r="9" s="78" customFormat="true" ht="12" hidden="false" customHeight="false" outlineLevel="0" collapsed="false"/>
    <row r="10" customFormat="false" ht="39.75" hidden="false" customHeight="true" outlineLevel="0" collapsed="false">
      <c r="C10" s="101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3" t="s">
        <v>2</v>
      </c>
    </row>
    <row r="11" s="78" customFormat="true" ht="12.75" hidden="false" customHeight="false" outlineLevel="0" collapsed="false">
      <c r="AJ11" s="106" t="s">
        <v>64</v>
      </c>
    </row>
    <row r="12" customFormat="false" ht="6.75" hidden="false" customHeight="tru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94"/>
      <c r="AK12" s="107"/>
    </row>
    <row r="13" customFormat="false" ht="13.5" hidden="true" customHeight="false" outlineLevel="0" collapsed="false">
      <c r="B13" s="86"/>
      <c r="C13" s="109" t="s">
        <v>68</v>
      </c>
      <c r="D13" s="110" t="s">
        <v>69</v>
      </c>
      <c r="E13" s="110" t="s">
        <v>30</v>
      </c>
      <c r="F13" s="110" t="s">
        <v>31</v>
      </c>
      <c r="G13" s="110" t="s">
        <v>32</v>
      </c>
      <c r="H13" s="110" t="s">
        <v>33</v>
      </c>
      <c r="I13" s="110" t="s">
        <v>34</v>
      </c>
      <c r="J13" s="110" t="s">
        <v>35</v>
      </c>
      <c r="K13" s="110" t="s">
        <v>36</v>
      </c>
      <c r="L13" s="110" t="s">
        <v>37</v>
      </c>
      <c r="M13" s="110" t="s">
        <v>38</v>
      </c>
      <c r="N13" s="110" t="s">
        <v>39</v>
      </c>
      <c r="O13" s="110" t="s">
        <v>40</v>
      </c>
      <c r="P13" s="110" t="s">
        <v>41</v>
      </c>
      <c r="Q13" s="110" t="s">
        <v>81</v>
      </c>
      <c r="R13" s="110" t="s">
        <v>82</v>
      </c>
      <c r="S13" s="110" t="s">
        <v>83</v>
      </c>
      <c r="T13" s="110" t="s">
        <v>84</v>
      </c>
      <c r="U13" s="110" t="s">
        <v>85</v>
      </c>
      <c r="V13" s="110" t="s">
        <v>86</v>
      </c>
      <c r="W13" s="110" t="s">
        <v>87</v>
      </c>
      <c r="X13" s="110" t="s">
        <v>88</v>
      </c>
      <c r="Y13" s="110" t="s">
        <v>89</v>
      </c>
      <c r="Z13" s="110" t="s">
        <v>90</v>
      </c>
      <c r="AA13" s="110" t="s">
        <v>91</v>
      </c>
      <c r="AB13" s="110" t="s">
        <v>92</v>
      </c>
      <c r="AC13" s="110" t="s">
        <v>93</v>
      </c>
      <c r="AD13" s="110" t="s">
        <v>94</v>
      </c>
      <c r="AE13" s="110" t="s">
        <v>95</v>
      </c>
      <c r="AF13" s="110" t="s">
        <v>96</v>
      </c>
      <c r="AG13" s="110" t="s">
        <v>97</v>
      </c>
      <c r="AH13" s="110" t="s">
        <v>98</v>
      </c>
      <c r="AI13" s="110" t="s">
        <v>99</v>
      </c>
      <c r="AJ13" s="111" t="s">
        <v>70</v>
      </c>
      <c r="AK13" s="107"/>
    </row>
    <row r="14" customFormat="false" ht="19.5" hidden="false" customHeight="true" outlineLevel="0" collapsed="false">
      <c r="B14" s="107"/>
      <c r="C14" s="112" t="s">
        <v>71</v>
      </c>
      <c r="D14" s="113"/>
      <c r="E14" s="114" t="n">
        <f aca="false">SUMIFS(tabela_registros[VALOR],tabela_registros[MÊS],$AE$1,tabela_registros[DIA],martotal3059[[#Headers],[1]],tabela_registros[REGISTRO],DADOS!$N$3)</f>
        <v>0</v>
      </c>
      <c r="F14" s="114" t="n">
        <f aca="false">SUMIFS(tabela_registros[VALOR],tabela_registros[MÊS],$AE$1,tabela_registros[DIA],martotal3059[[#Headers],[2]],tabela_registros[REGISTRO],DADOS!$N$3)</f>
        <v>0</v>
      </c>
      <c r="G14" s="114" t="n">
        <f aca="false">SUMIFS(tabela_registros[VALOR],tabela_registros[MÊS],$AE$1,tabela_registros[DIA],martotal3059[[#Headers],[3]],tabela_registros[REGISTRO],DADOS!$N$3)</f>
        <v>0</v>
      </c>
      <c r="H14" s="114" t="n">
        <f aca="false">SUMIFS(tabela_registros[VALOR],tabela_registros[MÊS],$AE$1,tabela_registros[DIA],martotal3059[[#Headers],[4]],tabela_registros[REGISTRO],DADOS!$N$3)</f>
        <v>0</v>
      </c>
      <c r="I14" s="114" t="n">
        <f aca="false">SUMIFS(tabela_registros[VALOR],tabela_registros[MÊS],$AE$1,tabela_registros[DIA],martotal3059[[#Headers],[5]],tabela_registros[REGISTRO],DADOS!$N$3)</f>
        <v>0</v>
      </c>
      <c r="J14" s="114" t="n">
        <f aca="false">SUMIFS(tabela_registros[VALOR],tabela_registros[MÊS],$AE$1,tabela_registros[DIA],martotal3059[[#Headers],[6]],tabela_registros[REGISTRO],DADOS!$N$3)</f>
        <v>0</v>
      </c>
      <c r="K14" s="114" t="n">
        <f aca="false">SUMIFS(tabela_registros[VALOR],tabela_registros[MÊS],$AE$1,tabela_registros[DIA],martotal3059[[#Headers],[7]],tabela_registros[REGISTRO],DADOS!$N$3)</f>
        <v>0</v>
      </c>
      <c r="L14" s="114" t="n">
        <f aca="false">SUMIFS(tabela_registros[VALOR],tabela_registros[MÊS],$AE$1,tabela_registros[DIA],martotal3059[[#Headers],[8]],tabela_registros[REGISTRO],DADOS!$N$3)</f>
        <v>0</v>
      </c>
      <c r="M14" s="114" t="n">
        <f aca="false">SUMIFS(tabela_registros[VALOR],tabela_registros[MÊS],$AE$1,tabela_registros[DIA],martotal3059[[#Headers],[9]],tabela_registros[REGISTRO],DADOS!$N$3)</f>
        <v>0</v>
      </c>
      <c r="N14" s="114" t="n">
        <f aca="false">SUMIFS(tabela_registros[VALOR],tabela_registros[MÊS],$AE$1,tabela_registros[DIA],martotal3059[[#Headers],[10]],tabela_registros[REGISTRO],DADOS!$N$3)</f>
        <v>0</v>
      </c>
      <c r="O14" s="114" t="n">
        <f aca="false">SUMIFS(tabela_registros[VALOR],tabela_registros[MÊS],$AE$1,tabela_registros[DIA],martotal3059[[#Headers],[11]],tabela_registros[REGISTRO],DADOS!$N$3)</f>
        <v>0</v>
      </c>
      <c r="P14" s="114" t="n">
        <f aca="false">SUMIFS(tabela_registros[VALOR],tabela_registros[MÊS],$AE$1,tabela_registros[DIA],martotal3059[[#Headers],[12]],tabela_registros[REGISTRO],DADOS!$N$3)</f>
        <v>0</v>
      </c>
      <c r="Q14" s="114" t="n">
        <f aca="false">SUMIFS(tabela_registros[VALOR],tabela_registros[MÊS],$AE$1,tabela_registros[DIA],martotal3059[[#Headers],[13]],tabela_registros[REGISTRO],DADOS!$N$3)</f>
        <v>0</v>
      </c>
      <c r="R14" s="114" t="n">
        <f aca="false">SUMIFS(tabela_registros[VALOR],tabela_registros[MÊS],$AE$1,tabela_registros[DIA],martotal3059[[#Headers],[14]],tabela_registros[REGISTRO],DADOS!$N$3)</f>
        <v>0</v>
      </c>
      <c r="S14" s="114" t="n">
        <f aca="false">SUMIFS(tabela_registros[VALOR],tabela_registros[MÊS],$AE$1,tabela_registros[DIA],martotal3059[[#Headers],[15]],tabela_registros[REGISTRO],DADOS!$N$3)</f>
        <v>0</v>
      </c>
      <c r="T14" s="114" t="n">
        <f aca="false">SUMIFS(tabela_registros[VALOR],tabela_registros[MÊS],$AE$1,tabela_registros[DIA],martotal3059[[#Headers],[16]],tabela_registros[REGISTRO],DADOS!$N$3)</f>
        <v>0</v>
      </c>
      <c r="U14" s="114" t="n">
        <f aca="false">SUMIFS(tabela_registros[VALOR],tabela_registros[MÊS],$AE$1,tabela_registros[DIA],martotal3059[[#Headers],[17]],tabela_registros[REGISTRO],DADOS!$N$3)</f>
        <v>0</v>
      </c>
      <c r="V14" s="114" t="n">
        <f aca="false">SUMIFS(tabela_registros[VALOR],tabela_registros[MÊS],$AE$1,tabela_registros[DIA],martotal3059[[#Headers],[18]],tabela_registros[REGISTRO],DADOS!$N$3)</f>
        <v>0</v>
      </c>
      <c r="W14" s="114" t="n">
        <f aca="false">SUMIFS(tabela_registros[VALOR],tabela_registros[MÊS],$AE$1,tabela_registros[DIA],martotal3059[[#Headers],[19]],tabela_registros[REGISTRO],DADOS!$N$3)</f>
        <v>0</v>
      </c>
      <c r="X14" s="114" t="n">
        <f aca="false">SUMIFS(tabela_registros[VALOR],tabela_registros[MÊS],$AE$1,tabela_registros[DIA],martotal3059[[#Headers],[20]],tabela_registros[REGISTRO],DADOS!$N$3)</f>
        <v>0</v>
      </c>
      <c r="Y14" s="114" t="n">
        <f aca="false">SUMIFS(tabela_registros[VALOR],tabela_registros[MÊS],$AE$1,tabela_registros[DIA],martotal3059[[#Headers],[21]],tabela_registros[REGISTRO],DADOS!$N$3)</f>
        <v>0</v>
      </c>
      <c r="Z14" s="114" t="n">
        <f aca="false">SUMIFS(tabela_registros[VALOR],tabela_registros[MÊS],$AE$1,tabela_registros[DIA],martotal3059[[#Headers],[22]],tabela_registros[REGISTRO],DADOS!$N$3)</f>
        <v>0</v>
      </c>
      <c r="AA14" s="114" t="n">
        <f aca="false">SUMIFS(tabela_registros[VALOR],tabela_registros[MÊS],$AE$1,tabela_registros[DIA],martotal3059[[#Headers],[23]],tabela_registros[REGISTRO],DADOS!$N$3)</f>
        <v>0</v>
      </c>
      <c r="AB14" s="114" t="n">
        <f aca="false">SUMIFS(tabela_registros[VALOR],tabela_registros[MÊS],$AE$1,tabela_registros[DIA],martotal3059[[#Headers],[24]],tabela_registros[REGISTRO],DADOS!$N$3)</f>
        <v>0</v>
      </c>
      <c r="AC14" s="114" t="n">
        <f aca="false">SUMIFS(tabela_registros[VALOR],tabela_registros[MÊS],$AE$1,tabela_registros[DIA],martotal3059[[#Headers],[25]],tabela_registros[REGISTRO],DADOS!$N$3)</f>
        <v>0</v>
      </c>
      <c r="AD14" s="114" t="n">
        <f aca="false">SUMIFS(tabela_registros[VALOR],tabela_registros[MÊS],$AE$1,tabela_registros[DIA],martotal3059[[#Headers],[26]],tabela_registros[REGISTRO],DADOS!$N$3)</f>
        <v>0</v>
      </c>
      <c r="AE14" s="114" t="n">
        <f aca="false">SUMIFS(tabela_registros[VALOR],tabela_registros[MÊS],$AE$1,tabela_registros[DIA],martotal3059[[#Headers],[27]],tabela_registros[REGISTRO],DADOS!$N$3)</f>
        <v>0</v>
      </c>
      <c r="AF14" s="114" t="n">
        <f aca="false">SUMIFS(tabela_registros[VALOR],tabela_registros[MÊS],$AE$1,tabela_registros[DIA],martotal3059[[#Headers],[28]],tabela_registros[REGISTRO],DADOS!$N$3)</f>
        <v>0</v>
      </c>
      <c r="AG14" s="114" t="n">
        <f aca="false">SUMIFS(tabela_registros[VALOR],tabela_registros[MÊS],$AE$1,tabela_registros[DIA],martotal3059[[#Headers],[29]],tabela_registros[REGISTRO],DADOS!$N$3)</f>
        <v>0</v>
      </c>
      <c r="AH14" s="114" t="n">
        <f aca="false">SUMIFS(tabela_registros[VALOR],tabela_registros[MÊS],$AE$1,tabela_registros[DIA],martotal3059[[#Headers],[30]],tabela_registros[REGISTRO],DADOS!$N$3)</f>
        <v>0</v>
      </c>
      <c r="AI14" s="115" t="n">
        <f aca="false">SUMIFS(tabela_registros[VALOR],tabela_registros[MÊS],$AE$1,tabela_registros[DIA],martotal3059[[#Headers],[31]],tabela_registros[REGISTRO],DADOS!$N$3)</f>
        <v>0</v>
      </c>
      <c r="AJ14" s="116" t="n">
        <f aca="false">SUM(martotal3059[[#This Row],[1]:[31]])</f>
        <v>0</v>
      </c>
      <c r="AK14" s="107"/>
    </row>
    <row r="15" customFormat="false" ht="18" hidden="false" customHeight="true" outlineLevel="0" collapsed="false">
      <c r="B15" s="107"/>
      <c r="C15" s="112" t="s">
        <v>72</v>
      </c>
      <c r="D15" s="113"/>
      <c r="E15" s="119" t="n">
        <f aca="false">SUMIFS(tabela_registros[VALOR],tabela_registros[MÊS],$AE$1,tabela_registros[DIA],martotal3059[[#Headers],[1]],tabela_registros[REGISTRO],DADOS!$N$4)</f>
        <v>0</v>
      </c>
      <c r="F15" s="119" t="n">
        <f aca="false">SUMIFS(tabela_registros[VALOR],tabela_registros[MÊS],$AE$1,tabela_registros[DIA],martotal3059[[#Headers],[2]],tabela_registros[REGISTRO],DADOS!$N$4)</f>
        <v>0</v>
      </c>
      <c r="G15" s="119" t="n">
        <f aca="false">SUMIFS(tabela_registros[VALOR],tabela_registros[MÊS],$AE$1,tabela_registros[DIA],martotal3059[[#Headers],[3]],tabela_registros[REGISTRO],DADOS!$N$4)</f>
        <v>0</v>
      </c>
      <c r="H15" s="119" t="n">
        <f aca="false">SUMIFS(tabela_registros[VALOR],tabela_registros[MÊS],$AE$1,tabela_registros[DIA],martotal3059[[#Headers],[4]],tabela_registros[REGISTRO],DADOS!$N$4)</f>
        <v>0</v>
      </c>
      <c r="I15" s="119" t="n">
        <f aca="false">SUMIFS(tabela_registros[VALOR],tabela_registros[MÊS],$AE$1,tabela_registros[DIA],martotal3059[[#Headers],[5]],tabela_registros[REGISTRO],DADOS!$N$4)</f>
        <v>0</v>
      </c>
      <c r="J15" s="119" t="n">
        <f aca="false">SUMIFS(tabela_registros[VALOR],tabela_registros[MÊS],$AE$1,tabela_registros[DIA],martotal3059[[#Headers],[6]],tabela_registros[REGISTRO],DADOS!$N$4)</f>
        <v>0</v>
      </c>
      <c r="K15" s="119" t="n">
        <f aca="false">SUMIFS(tabela_registros[VALOR],tabela_registros[MÊS],$AE$1,tabela_registros[DIA],martotal3059[[#Headers],[7]],tabela_registros[REGISTRO],DADOS!$N$4)</f>
        <v>0</v>
      </c>
      <c r="L15" s="119" t="n">
        <f aca="false">SUMIFS(tabela_registros[VALOR],tabela_registros[MÊS],$AE$1,tabela_registros[DIA],martotal3059[[#Headers],[8]],tabela_registros[REGISTRO],DADOS!$N$4)</f>
        <v>0</v>
      </c>
      <c r="M15" s="119" t="n">
        <f aca="false">SUMIFS(tabela_registros[VALOR],tabela_registros[MÊS],$AE$1,tabela_registros[DIA],martotal3059[[#Headers],[9]],tabela_registros[REGISTRO],DADOS!$N$4)</f>
        <v>0</v>
      </c>
      <c r="N15" s="119" t="n">
        <f aca="false">SUMIFS(tabela_registros[VALOR],tabela_registros[MÊS],$AE$1,tabela_registros[DIA],martotal3059[[#Headers],[10]],tabela_registros[REGISTRO],DADOS!$N$4)</f>
        <v>0</v>
      </c>
      <c r="O15" s="119" t="n">
        <f aca="false">SUMIFS(tabela_registros[VALOR],tabela_registros[MÊS],$AE$1,tabela_registros[DIA],martotal3059[[#Headers],[11]],tabela_registros[REGISTRO],DADOS!$N$4)</f>
        <v>0</v>
      </c>
      <c r="P15" s="119" t="n">
        <f aca="false">SUMIFS(tabela_registros[VALOR],tabela_registros[MÊS],$AE$1,tabela_registros[DIA],martotal3059[[#Headers],[12]],tabela_registros[REGISTRO],DADOS!$N$4)</f>
        <v>0</v>
      </c>
      <c r="Q15" s="119" t="n">
        <f aca="false">SUMIFS(tabela_registros[VALOR],tabela_registros[MÊS],$AE$1,tabela_registros[DIA],martotal3059[[#Headers],[13]],tabela_registros[REGISTRO],DADOS!$N$4)</f>
        <v>0</v>
      </c>
      <c r="R15" s="119" t="n">
        <f aca="false">SUMIFS(tabela_registros[VALOR],tabela_registros[MÊS],$AE$1,tabela_registros[DIA],martotal3059[[#Headers],[14]],tabela_registros[REGISTRO],DADOS!$N$4)</f>
        <v>0</v>
      </c>
      <c r="S15" s="119" t="n">
        <f aca="false">SUMIFS(tabela_registros[VALOR],tabela_registros[MÊS],$AE$1,tabela_registros[DIA],martotal3059[[#Headers],[15]],tabela_registros[REGISTRO],DADOS!$N$4)</f>
        <v>0</v>
      </c>
      <c r="T15" s="119" t="n">
        <f aca="false">SUMIFS(tabela_registros[VALOR],tabela_registros[MÊS],$AE$1,tabela_registros[DIA],martotal3059[[#Headers],[16]],tabela_registros[REGISTRO],DADOS!$N$4)</f>
        <v>0</v>
      </c>
      <c r="U15" s="119" t="n">
        <f aca="false">SUMIFS(tabela_registros[VALOR],tabela_registros[MÊS],$AE$1,tabela_registros[DIA],martotal3059[[#Headers],[17]],tabela_registros[REGISTRO],DADOS!$N$4)</f>
        <v>0</v>
      </c>
      <c r="V15" s="119" t="n">
        <f aca="false">SUMIFS(tabela_registros[VALOR],tabela_registros[MÊS],$AE$1,tabela_registros[DIA],martotal3059[[#Headers],[18]],tabela_registros[REGISTRO],DADOS!$N$4)</f>
        <v>0</v>
      </c>
      <c r="W15" s="119" t="n">
        <f aca="false">SUMIFS(tabela_registros[VALOR],tabela_registros[MÊS],$AE$1,tabela_registros[DIA],martotal3059[[#Headers],[19]],tabela_registros[REGISTRO],DADOS!$N$4)</f>
        <v>0</v>
      </c>
      <c r="X15" s="119" t="n">
        <f aca="false">SUMIFS(tabela_registros[VALOR],tabela_registros[MÊS],$AE$1,tabela_registros[DIA],martotal3059[[#Headers],[20]],tabela_registros[REGISTRO],DADOS!$N$4)</f>
        <v>0</v>
      </c>
      <c r="Y15" s="119" t="n">
        <f aca="false">SUMIFS(tabela_registros[VALOR],tabela_registros[MÊS],$AE$1,tabela_registros[DIA],martotal3059[[#Headers],[21]],tabela_registros[REGISTRO],DADOS!$N$4)</f>
        <v>0</v>
      </c>
      <c r="Z15" s="119" t="n">
        <f aca="false">SUMIFS(tabela_registros[VALOR],tabela_registros[MÊS],$AE$1,tabela_registros[DIA],martotal3059[[#Headers],[22]],tabela_registros[REGISTRO],DADOS!$N$4)</f>
        <v>0</v>
      </c>
      <c r="AA15" s="119" t="n">
        <f aca="false">SUMIFS(tabela_registros[VALOR],tabela_registros[MÊS],$AE$1,tabela_registros[DIA],martotal3059[[#Headers],[23]],tabela_registros[REGISTRO],DADOS!$N$4)</f>
        <v>0</v>
      </c>
      <c r="AB15" s="119" t="n">
        <f aca="false">SUMIFS(tabela_registros[VALOR],tabela_registros[MÊS],$AE$1,tabela_registros[DIA],martotal3059[[#Headers],[24]],tabela_registros[REGISTRO],DADOS!$N$4)</f>
        <v>0</v>
      </c>
      <c r="AC15" s="119" t="n">
        <f aca="false">SUMIFS(tabela_registros[VALOR],tabela_registros[MÊS],$AE$1,tabela_registros[DIA],martotal3059[[#Headers],[25]],tabela_registros[REGISTRO],DADOS!$N$4)</f>
        <v>0</v>
      </c>
      <c r="AD15" s="119" t="n">
        <f aca="false">SUMIFS(tabela_registros[VALOR],tabela_registros[MÊS],$AE$1,tabela_registros[DIA],martotal3059[[#Headers],[26]],tabela_registros[REGISTRO],DADOS!$N$4)</f>
        <v>0</v>
      </c>
      <c r="AE15" s="119" t="n">
        <f aca="false">SUMIFS(tabela_registros[VALOR],tabela_registros[MÊS],$AE$1,tabela_registros[DIA],martotal3059[[#Headers],[27]],tabela_registros[REGISTRO],DADOS!$N$4)</f>
        <v>0</v>
      </c>
      <c r="AF15" s="119" t="n">
        <f aca="false">SUMIFS(tabela_registros[VALOR],tabela_registros[MÊS],$AE$1,tabela_registros[DIA],martotal3059[[#Headers],[28]],tabela_registros[REGISTRO],DADOS!$N$4)</f>
        <v>0</v>
      </c>
      <c r="AG15" s="119" t="n">
        <f aca="false">SUMIFS(tabela_registros[VALOR],tabela_registros[MÊS],$AE$1,tabela_registros[DIA],martotal3059[[#Headers],[29]],tabela_registros[REGISTRO],DADOS!$N$4)</f>
        <v>0</v>
      </c>
      <c r="AH15" s="119" t="n">
        <f aca="false">SUMIFS(tabela_registros[VALOR],tabela_registros[MÊS],$AE$1,tabela_registros[DIA],martotal3059[[#Headers],[30]],tabela_registros[REGISTRO],DADOS!$N$4)</f>
        <v>0</v>
      </c>
      <c r="AI15" s="120" t="n">
        <f aca="false">SUMIFS(tabela_registros[VALOR],tabela_registros[MÊS],$AE$1,tabela_registros[DIA],martotal3059[[#Headers],[31]],tabela_registros[REGISTRO],DADOS!$N$4)</f>
        <v>0</v>
      </c>
      <c r="AJ15" s="121" t="n">
        <f aca="false">SUM(martotal3059[[#This Row],[1]:[31]])</f>
        <v>0</v>
      </c>
      <c r="AK15" s="107"/>
    </row>
    <row r="16" s="122" customFormat="true" ht="21" hidden="false" customHeight="true" outlineLevel="0" collapsed="false">
      <c r="B16" s="123"/>
      <c r="C16" s="124" t="s">
        <v>73</v>
      </c>
      <c r="D16" s="125"/>
      <c r="E16" s="126" t="n">
        <f aca="false">(E14-E15)+AI1</f>
        <v>0</v>
      </c>
      <c r="F16" s="127" t="n">
        <f aca="false">martotal3059[[#This Row],[1]]+(F14-F15)</f>
        <v>0</v>
      </c>
      <c r="G16" s="127" t="n">
        <f aca="false">martotal3059[[#This Row],[2]]+(G14-G15)</f>
        <v>0</v>
      </c>
      <c r="H16" s="127" t="n">
        <f aca="false">martotal3059[[#This Row],[3]]+(H14-H15)</f>
        <v>0</v>
      </c>
      <c r="I16" s="127" t="n">
        <f aca="false">martotal3059[[#This Row],[4]]+(I14-I15)</f>
        <v>0</v>
      </c>
      <c r="J16" s="127" t="n">
        <f aca="false">martotal3059[[#This Row],[5]]+(J14-J15)</f>
        <v>0</v>
      </c>
      <c r="K16" s="127" t="n">
        <f aca="false">martotal3059[[#This Row],[6]]+(K14-K15)</f>
        <v>0</v>
      </c>
      <c r="L16" s="127" t="n">
        <f aca="false">martotal3059[[#This Row],[7]]+(L14-L15)</f>
        <v>0</v>
      </c>
      <c r="M16" s="127" t="n">
        <f aca="false">martotal3059[[#This Row],[8]]+(M14-M15)</f>
        <v>0</v>
      </c>
      <c r="N16" s="127" t="n">
        <f aca="false">martotal3059[[#This Row],[9]]+(N14-N15)</f>
        <v>0</v>
      </c>
      <c r="O16" s="127" t="n">
        <f aca="false">martotal3059[[#This Row],[10]]+(O14-O15)</f>
        <v>0</v>
      </c>
      <c r="P16" s="127" t="n">
        <f aca="false">martotal3059[[#This Row],[11]]+(P14-P15)</f>
        <v>0</v>
      </c>
      <c r="Q16" s="127" t="n">
        <f aca="false">martotal3059[[#This Row],[12]]+(Q14-Q15)</f>
        <v>0</v>
      </c>
      <c r="R16" s="127" t="n">
        <f aca="false">martotal3059[[#This Row],[13]]+(R14-R15)</f>
        <v>0</v>
      </c>
      <c r="S16" s="127" t="n">
        <f aca="false">martotal3059[[#This Row],[14]]+(S14-S15)</f>
        <v>0</v>
      </c>
      <c r="T16" s="127" t="n">
        <f aca="false">martotal3059[[#This Row],[15]]+(T14-T15)</f>
        <v>0</v>
      </c>
      <c r="U16" s="127" t="n">
        <f aca="false">martotal3059[[#This Row],[16]]+(U14-U15)</f>
        <v>0</v>
      </c>
      <c r="V16" s="127" t="n">
        <f aca="false">martotal3059[[#This Row],[17]]+(V14-V15)</f>
        <v>0</v>
      </c>
      <c r="W16" s="127" t="n">
        <f aca="false">martotal3059[[#This Row],[18]]+(W14-W15)</f>
        <v>0</v>
      </c>
      <c r="X16" s="127" t="n">
        <f aca="false">martotal3059[[#This Row],[19]]+(X14-X15)</f>
        <v>0</v>
      </c>
      <c r="Y16" s="127" t="n">
        <f aca="false">martotal3059[[#This Row],[20]]+(Y14-Y15)</f>
        <v>0</v>
      </c>
      <c r="Z16" s="127" t="n">
        <f aca="false">martotal3059[[#This Row],[21]]+(Z14-Z15)</f>
        <v>0</v>
      </c>
      <c r="AA16" s="127" t="n">
        <f aca="false">martotal3059[[#This Row],[22]]+(AA14-AA15)</f>
        <v>0</v>
      </c>
      <c r="AB16" s="127" t="n">
        <f aca="false">martotal3059[[#This Row],[23]]+(AB14-AB15)</f>
        <v>0</v>
      </c>
      <c r="AC16" s="127" t="n">
        <f aca="false">martotal3059[[#This Row],[24]]+(AC14-AC15)</f>
        <v>0</v>
      </c>
      <c r="AD16" s="127" t="n">
        <f aca="false">martotal3059[[#This Row],[25]]+(AD14-AD15)</f>
        <v>0</v>
      </c>
      <c r="AE16" s="127" t="n">
        <f aca="false">martotal3059[[#This Row],[26]]+(AE14-AE15)</f>
        <v>0</v>
      </c>
      <c r="AF16" s="127" t="n">
        <f aca="false">martotal3059[[#This Row],[27]]+(AF14-AF15)</f>
        <v>0</v>
      </c>
      <c r="AG16" s="127" t="n">
        <f aca="false">martotal3059[[#This Row],[28]]+(AG14-AG15)</f>
        <v>0</v>
      </c>
      <c r="AH16" s="127" t="n">
        <f aca="false">martotal3059[[#This Row],[29]]+(AH14-AH15)</f>
        <v>0</v>
      </c>
      <c r="AI16" s="128" t="n">
        <f aca="false">martotal3059[[#This Row],[30]]+(AI14-AI15)</f>
        <v>0</v>
      </c>
      <c r="AJ16" s="129" t="n">
        <f aca="false">martotal3059[[#This Row],[31]]</f>
        <v>0</v>
      </c>
      <c r="AK16" s="123"/>
    </row>
    <row r="17" customFormat="false" ht="6.75" hidden="false" customHeight="true" outlineLevel="0" collapsed="false"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94"/>
      <c r="AJ17" s="107"/>
      <c r="AK17" s="107"/>
    </row>
    <row r="18" customFormat="false" ht="12.75" hidden="false" customHeight="false" outlineLevel="0" collapsed="false">
      <c r="C18" s="133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</row>
    <row r="19" customFormat="false" ht="12" hidden="false" customHeight="false" outlineLevel="0" collapsed="false">
      <c r="C19" s="133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</row>
    <row r="20" customFormat="false" ht="12" hidden="false" customHeight="false" outlineLevel="0" collapsed="false">
      <c r="A20" s="133"/>
      <c r="B20" s="133"/>
      <c r="C20" s="133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</row>
    <row r="21" customFormat="false" ht="39.75" hidden="false" customHeight="true" outlineLevel="0" collapsed="false">
      <c r="A21" s="133"/>
      <c r="B21" s="133"/>
      <c r="C21" s="133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3" t="s">
        <v>2</v>
      </c>
    </row>
    <row r="22" s="78" customFormat="true" ht="11.25" hidden="false" customHeight="true" outlineLevel="0" collapsed="false">
      <c r="C22" s="101"/>
      <c r="AJ22" s="106" t="s">
        <v>64</v>
      </c>
    </row>
    <row r="23" customFormat="false" ht="6.75" hidden="false" customHeight="true" outlineLevel="0" collapsed="false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94"/>
      <c r="AK23" s="107"/>
    </row>
    <row r="24" customFormat="false" ht="13.5" hidden="true" customHeight="false" outlineLevel="0" collapsed="false">
      <c r="B24" s="86"/>
      <c r="C24" s="110" t="s">
        <v>68</v>
      </c>
      <c r="D24" s="107" t="s">
        <v>69</v>
      </c>
      <c r="E24" s="110" t="s">
        <v>30</v>
      </c>
      <c r="F24" s="110" t="s">
        <v>31</v>
      </c>
      <c r="G24" s="110" t="s">
        <v>32</v>
      </c>
      <c r="H24" s="110" t="s">
        <v>33</v>
      </c>
      <c r="I24" s="110" t="s">
        <v>34</v>
      </c>
      <c r="J24" s="110" t="s">
        <v>35</v>
      </c>
      <c r="K24" s="110" t="s">
        <v>36</v>
      </c>
      <c r="L24" s="110" t="s">
        <v>37</v>
      </c>
      <c r="M24" s="110" t="s">
        <v>38</v>
      </c>
      <c r="N24" s="110" t="s">
        <v>39</v>
      </c>
      <c r="O24" s="110" t="s">
        <v>40</v>
      </c>
      <c r="P24" s="110" t="s">
        <v>41</v>
      </c>
      <c r="Q24" s="110" t="s">
        <v>81</v>
      </c>
      <c r="R24" s="110" t="s">
        <v>82</v>
      </c>
      <c r="S24" s="110" t="s">
        <v>83</v>
      </c>
      <c r="T24" s="110" t="s">
        <v>84</v>
      </c>
      <c r="U24" s="110" t="s">
        <v>85</v>
      </c>
      <c r="V24" s="110" t="s">
        <v>86</v>
      </c>
      <c r="W24" s="110" t="s">
        <v>87</v>
      </c>
      <c r="X24" s="110" t="s">
        <v>88</v>
      </c>
      <c r="Y24" s="110" t="s">
        <v>89</v>
      </c>
      <c r="Z24" s="110" t="s">
        <v>90</v>
      </c>
      <c r="AA24" s="110" t="s">
        <v>91</v>
      </c>
      <c r="AB24" s="110" t="s">
        <v>92</v>
      </c>
      <c r="AC24" s="110" t="s">
        <v>93</v>
      </c>
      <c r="AD24" s="110" t="s">
        <v>94</v>
      </c>
      <c r="AE24" s="110" t="s">
        <v>95</v>
      </c>
      <c r="AF24" s="110" t="s">
        <v>96</v>
      </c>
      <c r="AG24" s="110" t="s">
        <v>97</v>
      </c>
      <c r="AH24" s="110" t="s">
        <v>98</v>
      </c>
      <c r="AI24" s="110" t="s">
        <v>99</v>
      </c>
      <c r="AJ24" s="111" t="s">
        <v>70</v>
      </c>
      <c r="AK24" s="107"/>
    </row>
    <row r="25" customFormat="false" ht="19.5" hidden="false" customHeight="true" outlineLevel="0" collapsed="false">
      <c r="B25" s="107"/>
      <c r="C25" s="112" t="s">
        <v>15</v>
      </c>
      <c r="D25" s="113"/>
      <c r="E25" s="114" t="n">
        <f aca="false">SUMIFS(tabela_registros[VALOR],tabela_registros[MÊS],$AE$1,tabela_registros[DIA],martotal3059[[#Headers],[1]],tabela_registros[REGISTRO],DADOS!$N$5)</f>
        <v>0</v>
      </c>
      <c r="F25" s="114" t="n">
        <f aca="false">SUMIFS(tabela_registros[VALOR],tabela_registros[MÊS],$AE$1,tabela_registros[DIA],martotal3059[[#Headers],[2]],tabela_registros[REGISTRO],DADOS!$N$5)</f>
        <v>0</v>
      </c>
      <c r="G25" s="114" t="n">
        <f aca="false">SUMIFS(tabela_registros[VALOR],tabela_registros[MÊS],$AE$1,tabela_registros[DIA],martotal3059[[#Headers],[3]],tabela_registros[REGISTRO],DADOS!$N$5)</f>
        <v>0</v>
      </c>
      <c r="H25" s="114" t="n">
        <f aca="false">SUMIFS(tabela_registros[VALOR],tabela_registros[MÊS],$AE$1,tabela_registros[DIA],martotal3059[[#Headers],[4]],tabela_registros[REGISTRO],DADOS!$N$5)</f>
        <v>0</v>
      </c>
      <c r="I25" s="114" t="n">
        <f aca="false">SUMIFS(tabela_registros[VALOR],tabela_registros[MÊS],$AE$1,tabela_registros[DIA],martotal3059[[#Headers],[5]],tabela_registros[REGISTRO],DADOS!$N$5)</f>
        <v>0</v>
      </c>
      <c r="J25" s="114" t="n">
        <f aca="false">SUMIFS(tabela_registros[VALOR],tabela_registros[MÊS],$AE$1,tabela_registros[DIA],martotal3059[[#Headers],[6]],tabela_registros[REGISTRO],DADOS!$N$5)</f>
        <v>0</v>
      </c>
      <c r="K25" s="114" t="n">
        <f aca="false">SUMIFS(tabela_registros[VALOR],tabela_registros[MÊS],$AE$1,tabela_registros[DIA],martotal3059[[#Headers],[7]],tabela_registros[REGISTRO],DADOS!$N$5)</f>
        <v>0</v>
      </c>
      <c r="L25" s="114" t="n">
        <f aca="false">SUMIFS(tabela_registros[VALOR],tabela_registros[MÊS],$AE$1,tabela_registros[DIA],martotal3059[[#Headers],[8]],tabela_registros[REGISTRO],DADOS!$N$5)</f>
        <v>0</v>
      </c>
      <c r="M25" s="114" t="n">
        <f aca="false">SUMIFS(tabela_registros[VALOR],tabela_registros[MÊS],$AE$1,tabela_registros[DIA],martotal3059[[#Headers],[9]],tabela_registros[REGISTRO],DADOS!$N$5)</f>
        <v>0</v>
      </c>
      <c r="N25" s="114" t="n">
        <f aca="false">SUMIFS(tabela_registros[VALOR],tabela_registros[MÊS],$AE$1,tabela_registros[DIA],martotal3059[[#Headers],[10]],tabela_registros[REGISTRO],DADOS!$N$5)</f>
        <v>0</v>
      </c>
      <c r="O25" s="114" t="n">
        <f aca="false">SUMIFS(tabela_registros[VALOR],tabela_registros[MÊS],$AE$1,tabela_registros[DIA],martotal3059[[#Headers],[11]],tabela_registros[REGISTRO],DADOS!$N$5)</f>
        <v>0</v>
      </c>
      <c r="P25" s="114" t="n">
        <f aca="false">SUMIFS(tabela_registros[VALOR],tabela_registros[MÊS],$AE$1,tabela_registros[DIA],martotal3059[[#Headers],[12]],tabela_registros[REGISTRO],DADOS!$N$5)</f>
        <v>0</v>
      </c>
      <c r="Q25" s="114" t="n">
        <f aca="false">SUMIFS(tabela_registros[VALOR],tabela_registros[MÊS],$AE$1,tabela_registros[DIA],martotal3059[[#Headers],[13]],tabela_registros[REGISTRO],DADOS!$N$5)</f>
        <v>0</v>
      </c>
      <c r="R25" s="114" t="n">
        <f aca="false">SUMIFS(tabela_registros[VALOR],tabela_registros[MÊS],$AE$1,tabela_registros[DIA],martotal3059[[#Headers],[14]],tabela_registros[REGISTRO],DADOS!$N$5)</f>
        <v>0</v>
      </c>
      <c r="S25" s="114" t="n">
        <f aca="false">SUMIFS(tabela_registros[VALOR],tabela_registros[MÊS],$AE$1,tabela_registros[DIA],martotal3059[[#Headers],[15]],tabela_registros[REGISTRO],DADOS!$N$5)</f>
        <v>0</v>
      </c>
      <c r="T25" s="114" t="n">
        <f aca="false">SUMIFS(tabela_registros[VALOR],tabela_registros[MÊS],$AE$1,tabela_registros[DIA],martotal3059[[#Headers],[16]],tabela_registros[REGISTRO],DADOS!$N$5)</f>
        <v>0</v>
      </c>
      <c r="U25" s="114" t="n">
        <f aca="false">SUMIFS(tabela_registros[VALOR],tabela_registros[MÊS],$AE$1,tabela_registros[DIA],martotal3059[[#Headers],[17]],tabela_registros[REGISTRO],DADOS!$N$5)</f>
        <v>0</v>
      </c>
      <c r="V25" s="114" t="n">
        <f aca="false">SUMIFS(tabela_registros[VALOR],tabela_registros[MÊS],$AE$1,tabela_registros[DIA],martotal3059[[#Headers],[18]],tabela_registros[REGISTRO],DADOS!$N$5)</f>
        <v>0</v>
      </c>
      <c r="W25" s="114" t="n">
        <f aca="false">SUMIFS(tabela_registros[VALOR],tabela_registros[MÊS],$AE$1,tabela_registros[DIA],martotal3059[[#Headers],[19]],tabela_registros[REGISTRO],DADOS!$N$5)</f>
        <v>0</v>
      </c>
      <c r="X25" s="114" t="n">
        <f aca="false">SUMIFS(tabela_registros[VALOR],tabela_registros[MÊS],$AE$1,tabela_registros[DIA],martotal3059[[#Headers],[20]],tabela_registros[REGISTRO],DADOS!$N$5)</f>
        <v>0</v>
      </c>
      <c r="Y25" s="114" t="n">
        <f aca="false">SUMIFS(tabela_registros[VALOR],tabela_registros[MÊS],$AE$1,tabela_registros[DIA],martotal3059[[#Headers],[21]],tabela_registros[REGISTRO],DADOS!$N$5)</f>
        <v>0</v>
      </c>
      <c r="Z25" s="114" t="n">
        <f aca="false">SUMIFS(tabela_registros[VALOR],tabela_registros[MÊS],$AE$1,tabela_registros[DIA],martotal3059[[#Headers],[22]],tabela_registros[REGISTRO],DADOS!$N$5)</f>
        <v>0</v>
      </c>
      <c r="AA25" s="114" t="n">
        <f aca="false">SUMIFS(tabela_registros[VALOR],tabela_registros[MÊS],$AE$1,tabela_registros[DIA],martotal3059[[#Headers],[23]],tabela_registros[REGISTRO],DADOS!$N$5)</f>
        <v>0</v>
      </c>
      <c r="AB25" s="114" t="n">
        <f aca="false">SUMIFS(tabela_registros[VALOR],tabela_registros[MÊS],$AE$1,tabela_registros[DIA],martotal3059[[#Headers],[24]],tabela_registros[REGISTRO],DADOS!$N$5)</f>
        <v>0</v>
      </c>
      <c r="AC25" s="114" t="n">
        <f aca="false">SUMIFS(tabela_registros[VALOR],tabela_registros[MÊS],$AE$1,tabela_registros[DIA],martotal3059[[#Headers],[25]],tabela_registros[REGISTRO],DADOS!$N$5)</f>
        <v>0</v>
      </c>
      <c r="AD25" s="114" t="n">
        <f aca="false">SUMIFS(tabela_registros[VALOR],tabela_registros[MÊS],$AE$1,tabela_registros[DIA],martotal3059[[#Headers],[26]],tabela_registros[REGISTRO],DADOS!$N$5)</f>
        <v>0</v>
      </c>
      <c r="AE25" s="114" t="n">
        <f aca="false">SUMIFS(tabela_registros[VALOR],tabela_registros[MÊS],$AE$1,tabela_registros[DIA],martotal3059[[#Headers],[27]],tabela_registros[REGISTRO],DADOS!$N$5)</f>
        <v>0</v>
      </c>
      <c r="AF25" s="114" t="n">
        <f aca="false">SUMIFS(tabela_registros[VALOR],tabela_registros[MÊS],$AE$1,tabela_registros[DIA],martotal3059[[#Headers],[28]],tabela_registros[REGISTRO],DADOS!$N$5)</f>
        <v>0</v>
      </c>
      <c r="AG25" s="114" t="n">
        <f aca="false">SUMIFS(tabela_registros[VALOR],tabela_registros[MÊS],$AE$1,tabela_registros[DIA],martotal3059[[#Headers],[29]],tabela_registros[REGISTRO],DADOS!$N$5)</f>
        <v>0</v>
      </c>
      <c r="AH25" s="114" t="n">
        <f aca="false">SUMIFS(tabela_registros[VALOR],tabela_registros[MÊS],$AE$1,tabela_registros[DIA],martotal3059[[#Headers],[30]],tabela_registros[REGISTRO],DADOS!$N$5)</f>
        <v>0</v>
      </c>
      <c r="AI25" s="115" t="n">
        <f aca="false">SUMIFS(tabela_registros[VALOR],tabela_registros[MÊS],$AE$1,tabela_registros[DIA],martotal3059[[#Headers],[31]],tabela_registros[REGISTRO],DADOS!$N$5)</f>
        <v>0</v>
      </c>
      <c r="AJ25" s="116" t="n">
        <f aca="false">SUM(E25:AI25)</f>
        <v>0</v>
      </c>
      <c r="AK25" s="107"/>
    </row>
    <row r="26" customFormat="false" ht="18" hidden="false" customHeight="true" outlineLevel="0" collapsed="false">
      <c r="B26" s="107"/>
      <c r="C26" s="135" t="s">
        <v>14</v>
      </c>
      <c r="D26" s="136"/>
      <c r="E26" s="119" t="n">
        <f aca="false">SUMIFS(tabela_registros[VALOR],tabela_registros[MÊS],$AE$1,tabela_registros[DIA],martotal3059[[#Headers],[1]],tabela_registros[REGISTRO],DADOS!$N$6)</f>
        <v>0</v>
      </c>
      <c r="F26" s="119" t="n">
        <f aca="false">SUMIFS(tabela_registros[VALOR],tabela_registros[MÊS],$AE$1,tabela_registros[DIA],martotal3059[[#Headers],[2]],tabela_registros[REGISTRO],DADOS!$N$6)</f>
        <v>0</v>
      </c>
      <c r="G26" s="119" t="n">
        <f aca="false">SUMIFS(tabela_registros[VALOR],tabela_registros[MÊS],$AE$1,tabela_registros[DIA],martotal3059[[#Headers],[3]],tabela_registros[REGISTRO],DADOS!$N$6)</f>
        <v>0</v>
      </c>
      <c r="H26" s="119" t="n">
        <f aca="false">SUMIFS(tabela_registros[VALOR],tabela_registros[MÊS],$AE$1,tabela_registros[DIA],martotal3059[[#Headers],[4]],tabela_registros[REGISTRO],DADOS!$N$6)</f>
        <v>0</v>
      </c>
      <c r="I26" s="119" t="n">
        <f aca="false">SUMIFS(tabela_registros[VALOR],tabela_registros[MÊS],$AE$1,tabela_registros[DIA],martotal3059[[#Headers],[5]],tabela_registros[REGISTRO],DADOS!$N$6)</f>
        <v>0</v>
      </c>
      <c r="J26" s="119" t="n">
        <f aca="false">SUMIFS(tabela_registros[VALOR],tabela_registros[MÊS],$AE$1,tabela_registros[DIA],martotal3059[[#Headers],[6]],tabela_registros[REGISTRO],DADOS!$N$6)</f>
        <v>0</v>
      </c>
      <c r="K26" s="119" t="n">
        <f aca="false">SUMIFS(tabela_registros[VALOR],tabela_registros[MÊS],$AE$1,tabela_registros[DIA],martotal3059[[#Headers],[7]],tabela_registros[REGISTRO],DADOS!$N$6)</f>
        <v>0</v>
      </c>
      <c r="L26" s="119" t="n">
        <f aca="false">SUMIFS(tabela_registros[VALOR],tabela_registros[MÊS],$AE$1,tabela_registros[DIA],martotal3059[[#Headers],[8]],tabela_registros[REGISTRO],DADOS!$N$6)</f>
        <v>0</v>
      </c>
      <c r="M26" s="119" t="n">
        <f aca="false">SUMIFS(tabela_registros[VALOR],tabela_registros[MÊS],$AE$1,tabela_registros[DIA],martotal3059[[#Headers],[9]],tabela_registros[REGISTRO],DADOS!$N$6)</f>
        <v>0</v>
      </c>
      <c r="N26" s="119" t="n">
        <f aca="false">SUMIFS(tabela_registros[VALOR],tabela_registros[MÊS],$AE$1,tabela_registros[DIA],martotal3059[[#Headers],[10]],tabela_registros[REGISTRO],DADOS!$N$6)</f>
        <v>0</v>
      </c>
      <c r="O26" s="119" t="n">
        <f aca="false">SUMIFS(tabela_registros[VALOR],tabela_registros[MÊS],$AE$1,tabela_registros[DIA],martotal3059[[#Headers],[11]],tabela_registros[REGISTRO],DADOS!$N$6)</f>
        <v>0</v>
      </c>
      <c r="P26" s="119" t="n">
        <f aca="false">SUMIFS(tabela_registros[VALOR],tabela_registros[MÊS],$AE$1,tabela_registros[DIA],martotal3059[[#Headers],[12]],tabela_registros[REGISTRO],DADOS!$N$6)</f>
        <v>0</v>
      </c>
      <c r="Q26" s="119" t="n">
        <f aca="false">SUMIFS(tabela_registros[VALOR],tabela_registros[MÊS],$AE$1,tabela_registros[DIA],martotal3059[[#Headers],[13]],tabela_registros[REGISTRO],DADOS!$N$6)</f>
        <v>0</v>
      </c>
      <c r="R26" s="119" t="n">
        <f aca="false">SUMIFS(tabela_registros[VALOR],tabela_registros[MÊS],$AE$1,tabela_registros[DIA],martotal3059[[#Headers],[14]],tabela_registros[REGISTRO],DADOS!$N$6)</f>
        <v>0</v>
      </c>
      <c r="S26" s="119" t="n">
        <f aca="false">SUMIFS(tabela_registros[VALOR],tabela_registros[MÊS],$AE$1,tabela_registros[DIA],martotal3059[[#Headers],[15]],tabela_registros[REGISTRO],DADOS!$N$6)</f>
        <v>0</v>
      </c>
      <c r="T26" s="119" t="n">
        <f aca="false">SUMIFS(tabela_registros[VALOR],tabela_registros[MÊS],$AE$1,tabela_registros[DIA],martotal3059[[#Headers],[16]],tabela_registros[REGISTRO],DADOS!$N$6)</f>
        <v>0</v>
      </c>
      <c r="U26" s="119" t="n">
        <f aca="false">SUMIFS(tabela_registros[VALOR],tabela_registros[MÊS],$AE$1,tabela_registros[DIA],martotal3059[[#Headers],[17]],tabela_registros[REGISTRO],DADOS!$N$6)</f>
        <v>0</v>
      </c>
      <c r="V26" s="119" t="n">
        <f aca="false">SUMIFS(tabela_registros[VALOR],tabela_registros[MÊS],$AE$1,tabela_registros[DIA],martotal3059[[#Headers],[18]],tabela_registros[REGISTRO],DADOS!$N$6)</f>
        <v>0</v>
      </c>
      <c r="W26" s="119" t="n">
        <f aca="false">SUMIFS(tabela_registros[VALOR],tabela_registros[MÊS],$AE$1,tabela_registros[DIA],martotal3059[[#Headers],[19]],tabela_registros[REGISTRO],DADOS!$N$6)</f>
        <v>0</v>
      </c>
      <c r="X26" s="119" t="n">
        <f aca="false">SUMIFS(tabela_registros[VALOR],tabela_registros[MÊS],$AE$1,tabela_registros[DIA],martotal3059[[#Headers],[20]],tabela_registros[REGISTRO],DADOS!$N$6)</f>
        <v>0</v>
      </c>
      <c r="Y26" s="119" t="n">
        <f aca="false">SUMIFS(tabela_registros[VALOR],tabela_registros[MÊS],$AE$1,tabela_registros[DIA],martotal3059[[#Headers],[21]],tabela_registros[REGISTRO],DADOS!$N$6)</f>
        <v>0</v>
      </c>
      <c r="Z26" s="119" t="n">
        <f aca="false">SUMIFS(tabela_registros[VALOR],tabela_registros[MÊS],$AE$1,tabela_registros[DIA],martotal3059[[#Headers],[22]],tabela_registros[REGISTRO],DADOS!$N$6)</f>
        <v>0</v>
      </c>
      <c r="AA26" s="119" t="n">
        <f aca="false">SUMIFS(tabela_registros[VALOR],tabela_registros[MÊS],$AE$1,tabela_registros[DIA],martotal3059[[#Headers],[23]],tabela_registros[REGISTRO],DADOS!$N$6)</f>
        <v>0</v>
      </c>
      <c r="AB26" s="119" t="n">
        <f aca="false">SUMIFS(tabela_registros[VALOR],tabela_registros[MÊS],$AE$1,tabela_registros[DIA],martotal3059[[#Headers],[24]],tabela_registros[REGISTRO],DADOS!$N$6)</f>
        <v>0</v>
      </c>
      <c r="AC26" s="119" t="n">
        <f aca="false">SUMIFS(tabela_registros[VALOR],tabela_registros[MÊS],$AE$1,tabela_registros[DIA],martotal3059[[#Headers],[25]],tabela_registros[REGISTRO],DADOS!$N$6)</f>
        <v>0</v>
      </c>
      <c r="AD26" s="119" t="n">
        <f aca="false">SUMIFS(tabela_registros[VALOR],tabela_registros[MÊS],$AE$1,tabela_registros[DIA],martotal3059[[#Headers],[26]],tabela_registros[REGISTRO],DADOS!$N$6)</f>
        <v>0</v>
      </c>
      <c r="AE26" s="119" t="n">
        <f aca="false">SUMIFS(tabela_registros[VALOR],tabela_registros[MÊS],$AE$1,tabela_registros[DIA],martotal3059[[#Headers],[27]],tabela_registros[REGISTRO],DADOS!$N$6)</f>
        <v>0</v>
      </c>
      <c r="AF26" s="119" t="n">
        <f aca="false">SUMIFS(tabela_registros[VALOR],tabela_registros[MÊS],$AE$1,tabela_registros[DIA],martotal3059[[#Headers],[28]],tabela_registros[REGISTRO],DADOS!$N$6)</f>
        <v>0</v>
      </c>
      <c r="AG26" s="119" t="n">
        <f aca="false">SUMIFS(tabela_registros[VALOR],tabela_registros[MÊS],$AE$1,tabela_registros[DIA],martotal3059[[#Headers],[29]],tabela_registros[REGISTRO],DADOS!$N$6)</f>
        <v>0</v>
      </c>
      <c r="AH26" s="119" t="n">
        <f aca="false">SUMIFS(tabela_registros[VALOR],tabela_registros[MÊS],$AE$1,tabela_registros[DIA],martotal3059[[#Headers],[30]],tabela_registros[REGISTRO],DADOS!$N$6)</f>
        <v>0</v>
      </c>
      <c r="AI26" s="120" t="n">
        <f aca="false">SUMIFS(tabela_registros[VALOR],tabela_registros[MÊS],$AE$1,tabela_registros[DIA],martotal3059[[#Headers],[31]],tabela_registros[REGISTRO],DADOS!$N$6)</f>
        <v>0</v>
      </c>
      <c r="AJ26" s="121" t="n">
        <f aca="false">SUM(E26:AI26)</f>
        <v>0</v>
      </c>
      <c r="AK26" s="107"/>
    </row>
    <row r="27" s="122" customFormat="true" ht="21" hidden="false" customHeight="true" outlineLevel="0" collapsed="false">
      <c r="B27" s="123"/>
      <c r="C27" s="124" t="s">
        <v>2</v>
      </c>
      <c r="D27" s="137"/>
      <c r="E27" s="126" t="n">
        <f aca="false">SUM(E25:E26)</f>
        <v>0</v>
      </c>
      <c r="F27" s="127" t="n">
        <f aca="false">SUM(F25:F26)+marinvestir2158[[#This Row],[1]]</f>
        <v>0</v>
      </c>
      <c r="G27" s="127" t="n">
        <f aca="false">SUM(G25:G26)+marinvestir2158[[#This Row],[2]]</f>
        <v>0</v>
      </c>
      <c r="H27" s="127" t="n">
        <f aca="false">SUM(H25:H26)+marinvestir2158[[#This Row],[3]]</f>
        <v>0</v>
      </c>
      <c r="I27" s="127" t="n">
        <f aca="false">SUM(I25:I26)+marinvestir2158[[#This Row],[4]]</f>
        <v>0</v>
      </c>
      <c r="J27" s="127" t="n">
        <f aca="false">SUM(J25:J26)+marinvestir2158[[#This Row],[5]]</f>
        <v>0</v>
      </c>
      <c r="K27" s="127" t="n">
        <f aca="false">SUM(K25:K26)+marinvestir2158[[#This Row],[6]]</f>
        <v>0</v>
      </c>
      <c r="L27" s="127" t="n">
        <f aca="false">SUM(L25:L26)+marinvestir2158[[#This Row],[7]]</f>
        <v>0</v>
      </c>
      <c r="M27" s="127" t="n">
        <f aca="false">SUM(M25:M26)+marinvestir2158[[#This Row],[8]]</f>
        <v>0</v>
      </c>
      <c r="N27" s="127" t="n">
        <f aca="false">SUM(N25:N26)+marinvestir2158[[#This Row],[9]]</f>
        <v>0</v>
      </c>
      <c r="O27" s="127" t="n">
        <f aca="false">SUM(O25:O26)+marinvestir2158[[#This Row],[10]]</f>
        <v>0</v>
      </c>
      <c r="P27" s="127" t="n">
        <f aca="false">SUM(P25:P26)+marinvestir2158[[#This Row],[11]]</f>
        <v>0</v>
      </c>
      <c r="Q27" s="127" t="n">
        <f aca="false">SUM(Q25:Q26)+marinvestir2158[[#This Row],[12]]</f>
        <v>0</v>
      </c>
      <c r="R27" s="127" t="n">
        <f aca="false">SUM(R25:R26)+marinvestir2158[[#This Row],[13]]</f>
        <v>0</v>
      </c>
      <c r="S27" s="127" t="n">
        <f aca="false">SUM(S25:S26)+marinvestir2158[[#This Row],[14]]</f>
        <v>0</v>
      </c>
      <c r="T27" s="127" t="n">
        <f aca="false">SUM(T25:T26)+marinvestir2158[[#This Row],[15]]</f>
        <v>0</v>
      </c>
      <c r="U27" s="127" t="n">
        <f aca="false">SUM(U25:U26)+marinvestir2158[[#This Row],[16]]</f>
        <v>0</v>
      </c>
      <c r="V27" s="127" t="n">
        <f aca="false">SUM(V25:V26)+marinvestir2158[[#This Row],[17]]</f>
        <v>0</v>
      </c>
      <c r="W27" s="127" t="n">
        <f aca="false">SUM(W25:W26)+marinvestir2158[[#This Row],[18]]</f>
        <v>0</v>
      </c>
      <c r="X27" s="127" t="n">
        <f aca="false">SUM(X25:X26)+marinvestir2158[[#This Row],[19]]</f>
        <v>0</v>
      </c>
      <c r="Y27" s="127" t="n">
        <f aca="false">SUM(Y25:Y26)+marinvestir2158[[#This Row],[20]]</f>
        <v>0</v>
      </c>
      <c r="Z27" s="127" t="n">
        <f aca="false">SUM(Z25:Z26)+marinvestir2158[[#This Row],[21]]</f>
        <v>0</v>
      </c>
      <c r="AA27" s="127" t="n">
        <f aca="false">SUM(AA25:AA26)+marinvestir2158[[#This Row],[22]]</f>
        <v>0</v>
      </c>
      <c r="AB27" s="127" t="n">
        <f aca="false">SUM(AB25:AB26)+marinvestir2158[[#This Row],[23]]</f>
        <v>0</v>
      </c>
      <c r="AC27" s="127" t="n">
        <f aca="false">SUM(AC25:AC26)+marinvestir2158[[#This Row],[24]]</f>
        <v>0</v>
      </c>
      <c r="AD27" s="127" t="n">
        <f aca="false">SUM(AD25:AD26)+marinvestir2158[[#This Row],[25]]</f>
        <v>0</v>
      </c>
      <c r="AE27" s="127" t="n">
        <f aca="false">SUM(AE25:AE26)+marinvestir2158[[#This Row],[26]]</f>
        <v>0</v>
      </c>
      <c r="AF27" s="127" t="n">
        <f aca="false">SUM(AF25:AF26)+marinvestir2158[[#This Row],[27]]</f>
        <v>0</v>
      </c>
      <c r="AG27" s="127" t="n">
        <f aca="false">SUM(AG25:AG26)+marinvestir2158[[#This Row],[28]]</f>
        <v>0</v>
      </c>
      <c r="AH27" s="127" t="n">
        <f aca="false">SUM(AH25:AH26)+marinvestir2158[[#This Row],[29]]</f>
        <v>0</v>
      </c>
      <c r="AI27" s="128" t="n">
        <f aca="false">SUM(AI25:AI26)+marinvestir2158[[#This Row],[30]]</f>
        <v>0</v>
      </c>
      <c r="AJ27" s="129" t="n">
        <f aca="false">marinvestir2158[[#This Row],[31]]</f>
        <v>0</v>
      </c>
      <c r="AK27" s="123"/>
    </row>
    <row r="28" customFormat="false" ht="6.75" hidden="true" customHeight="true" outlineLevel="0" collapsed="false">
      <c r="B28" s="107"/>
      <c r="C28" s="78" t="s">
        <v>73</v>
      </c>
      <c r="E28" s="138" t="n">
        <f aca="false">SUBTOTAL(109,marinvestir2158[1])</f>
        <v>0</v>
      </c>
      <c r="F28" s="138" t="n">
        <f aca="false">SUBTOTAL(109,marinvestir2158[2])</f>
        <v>0</v>
      </c>
      <c r="G28" s="138" t="n">
        <f aca="false">SUBTOTAL(109,marinvestir2158[3])</f>
        <v>0</v>
      </c>
      <c r="H28" s="138" t="n">
        <f aca="false">SUBTOTAL(109,marinvestir2158[4])</f>
        <v>0</v>
      </c>
      <c r="I28" s="138" t="n">
        <f aca="false">SUBTOTAL(109,marinvestir2158[5])</f>
        <v>0</v>
      </c>
      <c r="J28" s="138" t="n">
        <f aca="false">SUBTOTAL(109,marinvestir2158[6])</f>
        <v>0</v>
      </c>
      <c r="K28" s="138" t="n">
        <f aca="false">SUBTOTAL(109,marinvestir2158[7])</f>
        <v>0</v>
      </c>
      <c r="L28" s="138" t="n">
        <f aca="false">SUBTOTAL(109,marinvestir2158[8])</f>
        <v>0</v>
      </c>
      <c r="M28" s="138" t="n">
        <f aca="false">SUBTOTAL(109,marinvestir2158[9])</f>
        <v>0</v>
      </c>
      <c r="N28" s="138" t="n">
        <f aca="false">SUBTOTAL(109,marinvestir2158[10])</f>
        <v>0</v>
      </c>
      <c r="O28" s="138" t="n">
        <f aca="false">SUBTOTAL(109,marinvestir2158[11])</f>
        <v>0</v>
      </c>
      <c r="P28" s="138" t="n">
        <f aca="false">SUBTOTAL(109,marinvestir2158[12])</f>
        <v>0</v>
      </c>
      <c r="Q28" s="138" t="n">
        <f aca="false">SUBTOTAL(109,marinvestir2158[13])</f>
        <v>0</v>
      </c>
      <c r="R28" s="138" t="n">
        <f aca="false">SUBTOTAL(109,marinvestir2158[14])</f>
        <v>0</v>
      </c>
      <c r="S28" s="138" t="n">
        <f aca="false">SUBTOTAL(109,marinvestir2158[15])</f>
        <v>0</v>
      </c>
      <c r="T28" s="138" t="n">
        <f aca="false">SUBTOTAL(109,marinvestir2158[16])</f>
        <v>0</v>
      </c>
      <c r="U28" s="138" t="n">
        <f aca="false">SUBTOTAL(109,marinvestir2158[17])</f>
        <v>0</v>
      </c>
      <c r="V28" s="138" t="n">
        <f aca="false">SUBTOTAL(109,marinvestir2158[18])</f>
        <v>0</v>
      </c>
      <c r="W28" s="138" t="n">
        <f aca="false">SUBTOTAL(109,marinvestir2158[19])</f>
        <v>0</v>
      </c>
      <c r="X28" s="138" t="n">
        <f aca="false">SUBTOTAL(109,marinvestir2158[20])</f>
        <v>0</v>
      </c>
      <c r="Y28" s="138" t="n">
        <f aca="false">SUBTOTAL(109,marinvestir2158[21])</f>
        <v>0</v>
      </c>
      <c r="Z28" s="138" t="n">
        <f aca="false">SUBTOTAL(109,marinvestir2158[22])</f>
        <v>0</v>
      </c>
      <c r="AA28" s="138" t="n">
        <f aca="false">SUBTOTAL(109,marinvestir2158[23])</f>
        <v>0</v>
      </c>
      <c r="AB28" s="138" t="n">
        <f aca="false">SUBTOTAL(109,marinvestir2158[24])</f>
        <v>0</v>
      </c>
      <c r="AC28" s="138" t="n">
        <f aca="false">SUBTOTAL(109,marinvestir2158[25])</f>
        <v>0</v>
      </c>
      <c r="AD28" s="138" t="n">
        <f aca="false">SUBTOTAL(109,marinvestir2158[26])</f>
        <v>0</v>
      </c>
      <c r="AE28" s="138" t="n">
        <f aca="false">SUBTOTAL(109,marinvestir2158[27])</f>
        <v>0</v>
      </c>
      <c r="AF28" s="138" t="n">
        <f aca="false">SUBTOTAL(109,marinvestir2158[28])</f>
        <v>0</v>
      </c>
      <c r="AG28" s="138" t="n">
        <f aca="false">SUBTOTAL(109,marinvestir2158[29])</f>
        <v>0</v>
      </c>
      <c r="AH28" s="138" t="n">
        <f aca="false">SUBTOTAL(109,marinvestir2158[30])</f>
        <v>0</v>
      </c>
      <c r="AI28" s="138" t="n">
        <f aca="false">SUBTOTAL(109,marinvestir2158[31])</f>
        <v>0</v>
      </c>
      <c r="AJ28" s="138" t="n">
        <f aca="false">SUBTOTAL(109,marinvestir2158[TOTAL (R$)])</f>
        <v>0</v>
      </c>
      <c r="AK28" s="107"/>
    </row>
    <row r="29" customFormat="false" ht="6.75" hidden="false" customHeight="true" outlineLevel="0" collapsed="false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94"/>
      <c r="AJ29" s="107"/>
      <c r="AK29" s="107"/>
    </row>
    <row r="30" customFormat="false" ht="12.75" hidden="false" customHeight="false" outlineLevel="0" collapsed="false">
      <c r="C30" s="133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</row>
    <row r="31" customFormat="false" ht="12" hidden="false" customHeight="false" outlineLevel="0" collapsed="false">
      <c r="C31" s="133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</row>
    <row r="32" customFormat="false" ht="12" hidden="false" customHeight="false" outlineLevel="0" collapsed="false">
      <c r="C32" s="133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</row>
    <row r="33" customFormat="false" ht="39.75" hidden="false" customHeight="true" outlineLevel="0" collapsed="false">
      <c r="C33" s="133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3" t="s">
        <v>2</v>
      </c>
    </row>
    <row r="34" s="78" customFormat="true" ht="11.25" hidden="false" customHeight="true" outlineLevel="0" collapsed="false">
      <c r="C34" s="101"/>
      <c r="AJ34" s="106" t="s">
        <v>64</v>
      </c>
    </row>
    <row r="35" customFormat="false" ht="6.75" hidden="false" customHeight="true" outlineLevel="0" collapsed="false">
      <c r="B35" s="139"/>
      <c r="C35" s="140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212"/>
      <c r="AK35" s="139"/>
    </row>
    <row r="36" customFormat="false" ht="12.75" hidden="true" customHeight="false" outlineLevel="0" collapsed="false">
      <c r="B36" s="86"/>
      <c r="C36" s="109" t="s">
        <v>74</v>
      </c>
      <c r="D36" s="110" t="s">
        <v>69</v>
      </c>
      <c r="E36" s="110" t="s">
        <v>30</v>
      </c>
      <c r="F36" s="110" t="s">
        <v>31</v>
      </c>
      <c r="G36" s="110" t="s">
        <v>32</v>
      </c>
      <c r="H36" s="110" t="s">
        <v>33</v>
      </c>
      <c r="I36" s="110" t="s">
        <v>34</v>
      </c>
      <c r="J36" s="110" t="s">
        <v>35</v>
      </c>
      <c r="K36" s="110" t="s">
        <v>36</v>
      </c>
      <c r="L36" s="110" t="s">
        <v>37</v>
      </c>
      <c r="M36" s="110" t="s">
        <v>38</v>
      </c>
      <c r="N36" s="110" t="s">
        <v>39</v>
      </c>
      <c r="O36" s="110" t="s">
        <v>40</v>
      </c>
      <c r="P36" s="110" t="s">
        <v>41</v>
      </c>
      <c r="Q36" s="110" t="s">
        <v>81</v>
      </c>
      <c r="R36" s="110" t="s">
        <v>82</v>
      </c>
      <c r="S36" s="110" t="s">
        <v>83</v>
      </c>
      <c r="T36" s="110" t="s">
        <v>84</v>
      </c>
      <c r="U36" s="110" t="s">
        <v>85</v>
      </c>
      <c r="V36" s="110" t="s">
        <v>86</v>
      </c>
      <c r="W36" s="110" t="s">
        <v>87</v>
      </c>
      <c r="X36" s="110" t="s">
        <v>88</v>
      </c>
      <c r="Y36" s="110" t="s">
        <v>89</v>
      </c>
      <c r="Z36" s="110" t="s">
        <v>90</v>
      </c>
      <c r="AA36" s="110" t="s">
        <v>91</v>
      </c>
      <c r="AB36" s="110" t="s">
        <v>92</v>
      </c>
      <c r="AC36" s="110" t="s">
        <v>93</v>
      </c>
      <c r="AD36" s="110" t="s">
        <v>94</v>
      </c>
      <c r="AE36" s="110" t="s">
        <v>95</v>
      </c>
      <c r="AF36" s="110" t="s">
        <v>96</v>
      </c>
      <c r="AG36" s="110" t="s">
        <v>97</v>
      </c>
      <c r="AH36" s="110" t="s">
        <v>98</v>
      </c>
      <c r="AI36" s="110" t="s">
        <v>99</v>
      </c>
      <c r="AJ36" s="142" t="s">
        <v>2</v>
      </c>
      <c r="AK36" s="86" t="s">
        <v>75</v>
      </c>
    </row>
    <row r="37" customFormat="false" ht="19.5" hidden="false" customHeight="true" outlineLevel="0" collapsed="false">
      <c r="B37" s="143"/>
      <c r="C37" s="144" t="str">
        <f aca="false">DADOS!$R$3</f>
        <v>💧 ÁGUA</v>
      </c>
      <c r="D37" s="145" t="str">
        <f aca="false">IF(despesafixaconsolidadomar[[#This Row],[TOTAL]]=0,"",IF(OR(despesafixaconsolidadomar[[#This Row],[TOTAL]]=LARGE($AJ$37:$AJ$50,1),despesafixaconsolidadomar[[#This Row],[TOTAL]]=LARGE($AJ$37:$AJ$50,2),despesafixaconsolidadomar[[#This Row],[TOTAL]]=LARGE($AJ$37:$AJ$50,3),despesafixaconsolidadomar[[#This Row],[TOTAL]]=LARGE($AJ$37:$AJ$50,4),despesafixaconsolidadomar[[#This Row],[TOTAL]]=LARGE($AJ$37:$AJ$50,5)),DADOS!$I$8,""))</f>
        <v/>
      </c>
      <c r="E37" s="146" t="n">
        <f aca="false">SUMIFS(tabela_registros[VALOR],tabela_registros[MÊS],$AE$1,tabela_registros[DIA],martotal3059[[#Headers],[1]],tabela_registros[REGISTRO],DADOS!$N$4,tabela_registros[TIPO],DADOS!$P$3,tabela_registros[CATEGORIA],despesafixaconsolidadomar[[#This Row],[DESPESA FIXA]])</f>
        <v>0</v>
      </c>
      <c r="F37" s="114" t="n">
        <f aca="false">SUMIFS(tabela_registros[VALOR],tabela_registros[MÊS],$AE$1,tabela_registros[DIA],martotal3059[[#Headers],[2]],tabela_registros[REGISTRO],DADOS!$N$4,tabela_registros[TIPO],DADOS!$P$3,tabela_registros[CATEGORIA],despesafixaconsolidadomar[[#This Row],[DESPESA FIXA]])</f>
        <v>0</v>
      </c>
      <c r="G37" s="114" t="n">
        <f aca="false">SUMIFS(tabela_registros[VALOR],tabela_registros[MÊS],$AE$1,tabela_registros[DIA],martotal3059[[#Headers],[3]],tabela_registros[REGISTRO],DADOS!$N$4,tabela_registros[TIPO],DADOS!$P$3,tabela_registros[CATEGORIA],despesafixaconsolidadomar[[#This Row],[DESPESA FIXA]])</f>
        <v>0</v>
      </c>
      <c r="H37" s="114" t="n">
        <f aca="false">SUMIFS(tabela_registros[VALOR],tabela_registros[MÊS],$AE$1,tabela_registros[DIA],martotal3059[[#Headers],[4]],tabela_registros[REGISTRO],DADOS!$N$4,tabela_registros[TIPO],DADOS!$P$3,tabela_registros[CATEGORIA],despesafixaconsolidadomar[[#This Row],[DESPESA FIXA]])</f>
        <v>0</v>
      </c>
      <c r="I37" s="114" t="n">
        <f aca="false">SUMIFS(tabela_registros[VALOR],tabela_registros[MÊS],$AE$1,tabela_registros[DIA],martotal3059[[#Headers],[5]],tabela_registros[REGISTRO],DADOS!$N$4,tabela_registros[TIPO],DADOS!$P$3,tabela_registros[CATEGORIA],despesafixaconsolidadomar[[#This Row],[DESPESA FIXA]])</f>
        <v>0</v>
      </c>
      <c r="J37" s="114" t="n">
        <f aca="false">SUMIFS(tabela_registros[VALOR],tabela_registros[MÊS],$AE$1,tabela_registros[DIA],martotal3059[[#Headers],[6]],tabela_registros[REGISTRO],DADOS!$N$4,tabela_registros[TIPO],DADOS!$P$3,tabela_registros[CATEGORIA],despesafixaconsolidadomar[[#This Row],[DESPESA FIXA]])</f>
        <v>0</v>
      </c>
      <c r="K37" s="114" t="n">
        <f aca="false">SUMIFS(tabela_registros[VALOR],tabela_registros[MÊS],$AE$1,tabela_registros[DIA],martotal3059[[#Headers],[7]],tabela_registros[REGISTRO],DADOS!$N$4,tabela_registros[TIPO],DADOS!$P$3,tabela_registros[CATEGORIA],despesafixaconsolidadomar[[#This Row],[DESPESA FIXA]])</f>
        <v>0</v>
      </c>
      <c r="L37" s="114" t="n">
        <f aca="false">SUMIFS(tabela_registros[VALOR],tabela_registros[MÊS],$AE$1,tabela_registros[DIA],martotal3059[[#Headers],[8]],tabela_registros[REGISTRO],DADOS!$N$4,tabela_registros[TIPO],DADOS!$P$3,tabela_registros[CATEGORIA],despesafixaconsolidadomar[[#This Row],[DESPESA FIXA]])</f>
        <v>0</v>
      </c>
      <c r="M37" s="114" t="n">
        <f aca="false">SUMIFS(tabela_registros[VALOR],tabela_registros[MÊS],$AE$1,tabela_registros[DIA],martotal3059[[#Headers],[9]],tabela_registros[REGISTRO],DADOS!$N$4,tabela_registros[TIPO],DADOS!$P$3,tabela_registros[CATEGORIA],despesafixaconsolidadomar[[#This Row],[DESPESA FIXA]])</f>
        <v>0</v>
      </c>
      <c r="N37" s="114" t="n">
        <f aca="false">SUMIFS(tabela_registros[VALOR],tabela_registros[MÊS],$AE$1,tabela_registros[DIA],martotal3059[[#Headers],[10]],tabela_registros[REGISTRO],DADOS!$N$4,tabela_registros[TIPO],DADOS!$P$3,tabela_registros[CATEGORIA],despesafixaconsolidadomar[[#This Row],[DESPESA FIXA]])</f>
        <v>0</v>
      </c>
      <c r="O37" s="114" t="n">
        <f aca="false">SUMIFS(tabela_registros[VALOR],tabela_registros[MÊS],$AE$1,tabela_registros[DIA],martotal3059[[#Headers],[11]],tabela_registros[REGISTRO],DADOS!$N$4,tabela_registros[TIPO],DADOS!$P$3,tabela_registros[CATEGORIA],despesafixaconsolidadomar[[#This Row],[DESPESA FIXA]])</f>
        <v>0</v>
      </c>
      <c r="P37" s="114" t="n">
        <f aca="false">SUMIFS(tabela_registros[VALOR],tabela_registros[MÊS],$AE$1,tabela_registros[DIA],martotal3059[[#Headers],[12]],tabela_registros[REGISTRO],DADOS!$N$4,tabela_registros[TIPO],DADOS!$P$3,tabela_registros[CATEGORIA],despesafixaconsolidadomar[[#This Row],[DESPESA FIXA]])</f>
        <v>0</v>
      </c>
      <c r="Q37" s="114" t="n">
        <f aca="false">SUMIFS(tabela_registros[VALOR],tabela_registros[MÊS],$AE$1,tabela_registros[DIA],martotal3059[[#Headers],[13]],tabela_registros[REGISTRO],DADOS!$N$4,tabela_registros[TIPO],DADOS!$P$3,tabela_registros[CATEGORIA],despesafixaconsolidadomar[[#This Row],[DESPESA FIXA]])</f>
        <v>0</v>
      </c>
      <c r="R37" s="114" t="n">
        <f aca="false">SUMIFS(tabela_registros[VALOR],tabela_registros[MÊS],$AE$1,tabela_registros[DIA],martotal3059[[#Headers],[14]],tabela_registros[REGISTRO],DADOS!$N$4,tabela_registros[TIPO],DADOS!$P$3,tabela_registros[CATEGORIA],despesafixaconsolidadomar[[#This Row],[DESPESA FIXA]])</f>
        <v>0</v>
      </c>
      <c r="S37" s="114" t="n">
        <f aca="false">SUMIFS(tabela_registros[VALOR],tabela_registros[MÊS],$AE$1,tabela_registros[DIA],martotal3059[[#Headers],[15]],tabela_registros[REGISTRO],DADOS!$N$4,tabela_registros[TIPO],DADOS!$P$3,tabela_registros[CATEGORIA],despesafixaconsolidadomar[[#This Row],[DESPESA FIXA]])</f>
        <v>0</v>
      </c>
      <c r="T37" s="114" t="n">
        <f aca="false">SUMIFS(tabela_registros[VALOR],tabela_registros[MÊS],$AE$1,tabela_registros[DIA],martotal3059[[#Headers],[16]],tabela_registros[REGISTRO],DADOS!$N$4,tabela_registros[TIPO],DADOS!$P$3,tabela_registros[CATEGORIA],despesafixaconsolidadomar[[#This Row],[DESPESA FIXA]])</f>
        <v>0</v>
      </c>
      <c r="U37" s="114" t="n">
        <f aca="false">SUMIFS(tabela_registros[VALOR],tabela_registros[MÊS],$AE$1,tabela_registros[DIA],martotal3059[[#Headers],[17]],tabela_registros[REGISTRO],DADOS!$N$4,tabela_registros[TIPO],DADOS!$P$3,tabela_registros[CATEGORIA],despesafixaconsolidadomar[[#This Row],[DESPESA FIXA]])</f>
        <v>0</v>
      </c>
      <c r="V37" s="114" t="n">
        <f aca="false">SUMIFS(tabela_registros[VALOR],tabela_registros[MÊS],$AE$1,tabela_registros[DIA],martotal3059[[#Headers],[18]],tabela_registros[REGISTRO],DADOS!$N$4,tabela_registros[TIPO],DADOS!$P$3,tabela_registros[CATEGORIA],despesafixaconsolidadomar[[#This Row],[DESPESA FIXA]])</f>
        <v>0</v>
      </c>
      <c r="W37" s="114" t="n">
        <f aca="false">SUMIFS(tabela_registros[VALOR],tabela_registros[MÊS],$AE$1,tabela_registros[DIA],martotal3059[[#Headers],[19]],tabela_registros[REGISTRO],DADOS!$N$4,tabela_registros[TIPO],DADOS!$P$3,tabela_registros[CATEGORIA],despesafixaconsolidadomar[[#This Row],[DESPESA FIXA]])</f>
        <v>0</v>
      </c>
      <c r="X37" s="114" t="n">
        <f aca="false">SUMIFS(tabela_registros[VALOR],tabela_registros[MÊS],$AE$1,tabela_registros[DIA],martotal3059[[#Headers],[20]],tabela_registros[REGISTRO],DADOS!$N$4,tabela_registros[TIPO],DADOS!$P$3,tabela_registros[CATEGORIA],despesafixaconsolidadomar[[#This Row],[DESPESA FIXA]])</f>
        <v>0</v>
      </c>
      <c r="Y37" s="114" t="n">
        <f aca="false">SUMIFS(tabela_registros[VALOR],tabela_registros[MÊS],$AE$1,tabela_registros[DIA],martotal3059[[#Headers],[21]],tabela_registros[REGISTRO],DADOS!$N$4,tabela_registros[TIPO],DADOS!$P$3,tabela_registros[CATEGORIA],despesafixaconsolidadomar[[#This Row],[DESPESA FIXA]])</f>
        <v>0</v>
      </c>
      <c r="Z37" s="114" t="n">
        <f aca="false">SUMIFS(tabela_registros[VALOR],tabela_registros[MÊS],$AE$1,tabela_registros[DIA],martotal3059[[#Headers],[22]],tabela_registros[REGISTRO],DADOS!$N$4,tabela_registros[TIPO],DADOS!$P$3,tabela_registros[CATEGORIA],despesafixaconsolidadomar[[#This Row],[DESPESA FIXA]])</f>
        <v>0</v>
      </c>
      <c r="AA37" s="114" t="n">
        <f aca="false">SUMIFS(tabela_registros[VALOR],tabela_registros[MÊS],$AE$1,tabela_registros[DIA],martotal3059[[#Headers],[23]],tabela_registros[REGISTRO],DADOS!$N$4,tabela_registros[TIPO],DADOS!$P$3,tabela_registros[CATEGORIA],despesafixaconsolidadomar[[#This Row],[DESPESA FIXA]])</f>
        <v>0</v>
      </c>
      <c r="AB37" s="114" t="n">
        <f aca="false">SUMIFS(tabela_registros[VALOR],tabela_registros[MÊS],$AE$1,tabela_registros[DIA],martotal3059[[#Headers],[24]],tabela_registros[REGISTRO],DADOS!$N$4,tabela_registros[TIPO],DADOS!$P$3,tabela_registros[CATEGORIA],despesafixaconsolidadomar[[#This Row],[DESPESA FIXA]])</f>
        <v>0</v>
      </c>
      <c r="AC37" s="114" t="n">
        <f aca="false">SUMIFS(tabela_registros[VALOR],tabela_registros[MÊS],$AE$1,tabela_registros[DIA],martotal3059[[#Headers],[25]],tabela_registros[REGISTRO],DADOS!$N$4,tabela_registros[TIPO],DADOS!$P$3,tabela_registros[CATEGORIA],despesafixaconsolidadomar[[#This Row],[DESPESA FIXA]])</f>
        <v>0</v>
      </c>
      <c r="AD37" s="114" t="n">
        <f aca="false">SUMIFS(tabela_registros[VALOR],tabela_registros[MÊS],$AE$1,tabela_registros[DIA],martotal3059[[#Headers],[26]],tabela_registros[REGISTRO],DADOS!$N$4,tabela_registros[TIPO],DADOS!$P$3,tabela_registros[CATEGORIA],despesafixaconsolidadomar[[#This Row],[DESPESA FIXA]])</f>
        <v>0</v>
      </c>
      <c r="AE37" s="114" t="n">
        <f aca="false">SUMIFS(tabela_registros[VALOR],tabela_registros[MÊS],$AE$1,tabela_registros[DIA],martotal3059[[#Headers],[27]],tabela_registros[REGISTRO],DADOS!$N$4,tabela_registros[TIPO],DADOS!$P$3,tabela_registros[CATEGORIA],despesafixaconsolidadomar[[#This Row],[DESPESA FIXA]])</f>
        <v>0</v>
      </c>
      <c r="AF37" s="114" t="n">
        <f aca="false">SUMIFS(tabela_registros[VALOR],tabela_registros[MÊS],$AE$1,tabela_registros[DIA],martotal3059[[#Headers],[28]],tabela_registros[REGISTRO],DADOS!$N$4,tabela_registros[TIPO],DADOS!$P$3,tabela_registros[CATEGORIA],despesafixaconsolidadomar[[#This Row],[DESPESA FIXA]])</f>
        <v>0</v>
      </c>
      <c r="AG37" s="114" t="n">
        <f aca="false">SUMIFS(tabela_registros[VALOR],tabela_registros[MÊS],$AE$1,tabela_registros[DIA],martotal3059[[#Headers],[29]],tabela_registros[REGISTRO],DADOS!$N$4,tabela_registros[TIPO],DADOS!$P$3,tabela_registros[CATEGORIA],despesafixaconsolidadomar[[#This Row],[DESPESA FIXA]])</f>
        <v>0</v>
      </c>
      <c r="AH37" s="114" t="n">
        <f aca="false">SUMIFS(tabela_registros[VALOR],tabela_registros[MÊS],$AE$1,tabela_registros[DIA],martotal3059[[#Headers],[30]],tabela_registros[REGISTRO],DADOS!$N$4,tabela_registros[TIPO],DADOS!$P$3,tabela_registros[CATEGORIA],despesafixaconsolidadomar[[#This Row],[DESPESA FIXA]])</f>
        <v>0</v>
      </c>
      <c r="AI37" s="216" t="n">
        <f aca="false">SUMIFS(tabela_registros[VALOR],tabela_registros[MÊS],$AE$1,tabela_registros[DIA],martotal3059[[#Headers],[31]],tabela_registros[REGISTRO],DADOS!$N$4,tabela_registros[TIPO],DADOS!$P$3,tabela_registros[CATEGORIA],despesafixaconsolidadomar[[#This Row],[DESPESA FIXA]])</f>
        <v>0</v>
      </c>
      <c r="AJ37" s="147" t="n">
        <f aca="false">SUM(despesafixaconsolidadomar[[#This Row],[1]:[31]])</f>
        <v>0</v>
      </c>
      <c r="AK37" s="143"/>
    </row>
    <row r="38" customFormat="false" ht="18" hidden="false" customHeight="true" outlineLevel="0" collapsed="false">
      <c r="B38" s="143"/>
      <c r="C38" s="144" t="str">
        <f aca="false">DADOS!$R$4</f>
        <v>🐶 ANIMAIS DE ESTIMAÇÃO</v>
      </c>
      <c r="D38" s="145" t="str">
        <f aca="false">IF(despesafixaconsolidadomar[[#This Row],[TOTAL]]=0,"",IF(OR(despesafixaconsolidadomar[[#This Row],[TOTAL]]=LARGE($AJ$37:$AJ$50,1),despesafixaconsolidadomar[[#This Row],[TOTAL]]=LARGE($AJ$37:$AJ$50,2),despesafixaconsolidadomar[[#This Row],[TOTAL]]=LARGE($AJ$37:$AJ$50,3),despesafixaconsolidadomar[[#This Row],[TOTAL]]=LARGE($AJ$37:$AJ$50,4),despesafixaconsolidadomar[[#This Row],[TOTAL]]=LARGE($AJ$37:$AJ$50,5)),DADOS!$I$8,""))</f>
        <v/>
      </c>
      <c r="E38" s="148" t="n">
        <f aca="false">SUMIFS(tabela_registros[VALOR],tabela_registros[MÊS],$AE$1,tabela_registros[DIA],martotal3059[[#Headers],[1]],tabela_registros[REGISTRO],DADOS!$N$4,tabela_registros[TIPO],DADOS!$P$3,tabela_registros[CATEGORIA],despesafixaconsolidadomar[[#This Row],[DESPESA FIXA]])</f>
        <v>0</v>
      </c>
      <c r="F38" s="119" t="n">
        <f aca="false">SUMIFS(tabela_registros[VALOR],tabela_registros[MÊS],$AE$1,tabela_registros[DIA],martotal3059[[#Headers],[2]],tabela_registros[REGISTRO],DADOS!$N$4,tabela_registros[TIPO],DADOS!$P$3,tabela_registros[CATEGORIA],despesafixaconsolidadomar[[#This Row],[DESPESA FIXA]])</f>
        <v>0</v>
      </c>
      <c r="G38" s="119" t="n">
        <f aca="false">SUMIFS(tabela_registros[VALOR],tabela_registros[MÊS],$AE$1,tabela_registros[DIA],martotal3059[[#Headers],[3]],tabela_registros[REGISTRO],DADOS!$N$4,tabela_registros[TIPO],DADOS!$P$3,tabela_registros[CATEGORIA],despesafixaconsolidadomar[[#This Row],[DESPESA FIXA]])</f>
        <v>0</v>
      </c>
      <c r="H38" s="119" t="n">
        <f aca="false">SUMIFS(tabela_registros[VALOR],tabela_registros[MÊS],$AE$1,tabela_registros[DIA],martotal3059[[#Headers],[4]],tabela_registros[REGISTRO],DADOS!$N$4,tabela_registros[TIPO],DADOS!$P$3,tabela_registros[CATEGORIA],despesafixaconsolidadomar[[#This Row],[DESPESA FIXA]])</f>
        <v>0</v>
      </c>
      <c r="I38" s="119" t="n">
        <f aca="false">SUMIFS(tabela_registros[VALOR],tabela_registros[MÊS],$AE$1,tabela_registros[DIA],martotal3059[[#Headers],[5]],tabela_registros[REGISTRO],DADOS!$N$4,tabela_registros[TIPO],DADOS!$P$3,tabela_registros[CATEGORIA],despesafixaconsolidadomar[[#This Row],[DESPESA FIXA]])</f>
        <v>0</v>
      </c>
      <c r="J38" s="119" t="n">
        <f aca="false">SUMIFS(tabela_registros[VALOR],tabela_registros[MÊS],$AE$1,tabela_registros[DIA],martotal3059[[#Headers],[6]],tabela_registros[REGISTRO],DADOS!$N$4,tabela_registros[TIPO],DADOS!$P$3,tabela_registros[CATEGORIA],despesafixaconsolidadomar[[#This Row],[DESPESA FIXA]])</f>
        <v>0</v>
      </c>
      <c r="K38" s="119" t="n">
        <f aca="false">SUMIFS(tabela_registros[VALOR],tabela_registros[MÊS],$AE$1,tabela_registros[DIA],martotal3059[[#Headers],[7]],tabela_registros[REGISTRO],DADOS!$N$4,tabela_registros[TIPO],DADOS!$P$3,tabela_registros[CATEGORIA],despesafixaconsolidadomar[[#This Row],[DESPESA FIXA]])</f>
        <v>0</v>
      </c>
      <c r="L38" s="119" t="n">
        <f aca="false">SUMIFS(tabela_registros[VALOR],tabela_registros[MÊS],$AE$1,tabela_registros[DIA],martotal3059[[#Headers],[8]],tabela_registros[REGISTRO],DADOS!$N$4,tabela_registros[TIPO],DADOS!$P$3,tabela_registros[CATEGORIA],despesafixaconsolidadomar[[#This Row],[DESPESA FIXA]])</f>
        <v>0</v>
      </c>
      <c r="M38" s="119" t="n">
        <f aca="false">SUMIFS(tabela_registros[VALOR],tabela_registros[MÊS],$AE$1,tabela_registros[DIA],martotal3059[[#Headers],[9]],tabela_registros[REGISTRO],DADOS!$N$4,tabela_registros[TIPO],DADOS!$P$3,tabela_registros[CATEGORIA],despesafixaconsolidadomar[[#This Row],[DESPESA FIXA]])</f>
        <v>0</v>
      </c>
      <c r="N38" s="119" t="n">
        <f aca="false">SUMIFS(tabela_registros[VALOR],tabela_registros[MÊS],$AE$1,tabela_registros[DIA],martotal3059[[#Headers],[10]],tabela_registros[REGISTRO],DADOS!$N$4,tabela_registros[TIPO],DADOS!$P$3,tabela_registros[CATEGORIA],despesafixaconsolidadomar[[#This Row],[DESPESA FIXA]])</f>
        <v>0</v>
      </c>
      <c r="O38" s="119" t="n">
        <f aca="false">SUMIFS(tabela_registros[VALOR],tabela_registros[MÊS],$AE$1,tabela_registros[DIA],martotal3059[[#Headers],[11]],tabela_registros[REGISTRO],DADOS!$N$4,tabela_registros[TIPO],DADOS!$P$3,tabela_registros[CATEGORIA],despesafixaconsolidadomar[[#This Row],[DESPESA FIXA]])</f>
        <v>0</v>
      </c>
      <c r="P38" s="119" t="n">
        <f aca="false">SUMIFS(tabela_registros[VALOR],tabela_registros[MÊS],$AE$1,tabela_registros[DIA],martotal3059[[#Headers],[12]],tabela_registros[REGISTRO],DADOS!$N$4,tabela_registros[TIPO],DADOS!$P$3,tabela_registros[CATEGORIA],despesafixaconsolidadomar[[#This Row],[DESPESA FIXA]])</f>
        <v>0</v>
      </c>
      <c r="Q38" s="119" t="n">
        <f aca="false">SUMIFS(tabela_registros[VALOR],tabela_registros[MÊS],$AE$1,tabela_registros[DIA],martotal3059[[#Headers],[13]],tabela_registros[REGISTRO],DADOS!$N$4,tabela_registros[TIPO],DADOS!$P$3,tabela_registros[CATEGORIA],despesafixaconsolidadomar[[#This Row],[DESPESA FIXA]])</f>
        <v>0</v>
      </c>
      <c r="R38" s="119" t="n">
        <f aca="false">SUMIFS(tabela_registros[VALOR],tabela_registros[MÊS],$AE$1,tabela_registros[DIA],martotal3059[[#Headers],[14]],tabela_registros[REGISTRO],DADOS!$N$4,tabela_registros[TIPO],DADOS!$P$3,tabela_registros[CATEGORIA],despesafixaconsolidadomar[[#This Row],[DESPESA FIXA]])</f>
        <v>0</v>
      </c>
      <c r="S38" s="119" t="n">
        <f aca="false">SUMIFS(tabela_registros[VALOR],tabela_registros[MÊS],$AE$1,tabela_registros[DIA],martotal3059[[#Headers],[15]],tabela_registros[REGISTRO],DADOS!$N$4,tabela_registros[TIPO],DADOS!$P$3,tabela_registros[CATEGORIA],despesafixaconsolidadomar[[#This Row],[DESPESA FIXA]])</f>
        <v>0</v>
      </c>
      <c r="T38" s="119" t="n">
        <f aca="false">SUMIFS(tabela_registros[VALOR],tabela_registros[MÊS],$AE$1,tabela_registros[DIA],martotal3059[[#Headers],[16]],tabela_registros[REGISTRO],DADOS!$N$4,tabela_registros[TIPO],DADOS!$P$3,tabela_registros[CATEGORIA],despesafixaconsolidadomar[[#This Row],[DESPESA FIXA]])</f>
        <v>0</v>
      </c>
      <c r="U38" s="119" t="n">
        <f aca="false">SUMIFS(tabela_registros[VALOR],tabela_registros[MÊS],$AE$1,tabela_registros[DIA],martotal3059[[#Headers],[17]],tabela_registros[REGISTRO],DADOS!$N$4,tabela_registros[TIPO],DADOS!$P$3,tabela_registros[CATEGORIA],despesafixaconsolidadomar[[#This Row],[DESPESA FIXA]])</f>
        <v>0</v>
      </c>
      <c r="V38" s="119" t="n">
        <f aca="false">SUMIFS(tabela_registros[VALOR],tabela_registros[MÊS],$AE$1,tabela_registros[DIA],martotal3059[[#Headers],[18]],tabela_registros[REGISTRO],DADOS!$N$4,tabela_registros[TIPO],DADOS!$P$3,tabela_registros[CATEGORIA],despesafixaconsolidadomar[[#This Row],[DESPESA FIXA]])</f>
        <v>0</v>
      </c>
      <c r="W38" s="119" t="n">
        <f aca="false">SUMIFS(tabela_registros[VALOR],tabela_registros[MÊS],$AE$1,tabela_registros[DIA],martotal3059[[#Headers],[19]],tabela_registros[REGISTRO],DADOS!$N$4,tabela_registros[TIPO],DADOS!$P$3,tabela_registros[CATEGORIA],despesafixaconsolidadomar[[#This Row],[DESPESA FIXA]])</f>
        <v>0</v>
      </c>
      <c r="X38" s="119" t="n">
        <f aca="false">SUMIFS(tabela_registros[VALOR],tabela_registros[MÊS],$AE$1,tabela_registros[DIA],martotal3059[[#Headers],[20]],tabela_registros[REGISTRO],DADOS!$N$4,tabela_registros[TIPO],DADOS!$P$3,tabela_registros[CATEGORIA],despesafixaconsolidadomar[[#This Row],[DESPESA FIXA]])</f>
        <v>0</v>
      </c>
      <c r="Y38" s="119" t="n">
        <f aca="false">SUMIFS(tabela_registros[VALOR],tabela_registros[MÊS],$AE$1,tabela_registros[DIA],martotal3059[[#Headers],[21]],tabela_registros[REGISTRO],DADOS!$N$4,tabela_registros[TIPO],DADOS!$P$3,tabela_registros[CATEGORIA],despesafixaconsolidadomar[[#This Row],[DESPESA FIXA]])</f>
        <v>0</v>
      </c>
      <c r="Z38" s="119" t="n">
        <f aca="false">SUMIFS(tabela_registros[VALOR],tabela_registros[MÊS],$AE$1,tabela_registros[DIA],martotal3059[[#Headers],[22]],tabela_registros[REGISTRO],DADOS!$N$4,tabela_registros[TIPO],DADOS!$P$3,tabela_registros[CATEGORIA],despesafixaconsolidadomar[[#This Row],[DESPESA FIXA]])</f>
        <v>0</v>
      </c>
      <c r="AA38" s="119" t="n">
        <f aca="false">SUMIFS(tabela_registros[VALOR],tabela_registros[MÊS],$AE$1,tabela_registros[DIA],martotal3059[[#Headers],[23]],tabela_registros[REGISTRO],DADOS!$N$4,tabela_registros[TIPO],DADOS!$P$3,tabela_registros[CATEGORIA],despesafixaconsolidadomar[[#This Row],[DESPESA FIXA]])</f>
        <v>0</v>
      </c>
      <c r="AB38" s="119" t="n">
        <f aca="false">SUMIFS(tabela_registros[VALOR],tabela_registros[MÊS],$AE$1,tabela_registros[DIA],martotal3059[[#Headers],[24]],tabela_registros[REGISTRO],DADOS!$N$4,tabela_registros[TIPO],DADOS!$P$3,tabela_registros[CATEGORIA],despesafixaconsolidadomar[[#This Row],[DESPESA FIXA]])</f>
        <v>0</v>
      </c>
      <c r="AC38" s="119" t="n">
        <f aca="false">SUMIFS(tabela_registros[VALOR],tabela_registros[MÊS],$AE$1,tabela_registros[DIA],martotal3059[[#Headers],[25]],tabela_registros[REGISTRO],DADOS!$N$4,tabela_registros[TIPO],DADOS!$P$3,tabela_registros[CATEGORIA],despesafixaconsolidadomar[[#This Row],[DESPESA FIXA]])</f>
        <v>0</v>
      </c>
      <c r="AD38" s="119" t="n">
        <f aca="false">SUMIFS(tabela_registros[VALOR],tabela_registros[MÊS],$AE$1,tabela_registros[DIA],martotal3059[[#Headers],[26]],tabela_registros[REGISTRO],DADOS!$N$4,tabela_registros[TIPO],DADOS!$P$3,tabela_registros[CATEGORIA],despesafixaconsolidadomar[[#This Row],[DESPESA FIXA]])</f>
        <v>0</v>
      </c>
      <c r="AE38" s="119" t="n">
        <f aca="false">SUMIFS(tabela_registros[VALOR],tabela_registros[MÊS],$AE$1,tabela_registros[DIA],martotal3059[[#Headers],[27]],tabela_registros[REGISTRO],DADOS!$N$4,tabela_registros[TIPO],DADOS!$P$3,tabela_registros[CATEGORIA],despesafixaconsolidadomar[[#This Row],[DESPESA FIXA]])</f>
        <v>0</v>
      </c>
      <c r="AF38" s="119" t="n">
        <f aca="false">SUMIFS(tabela_registros[VALOR],tabela_registros[MÊS],$AE$1,tabela_registros[DIA],martotal3059[[#Headers],[28]],tabela_registros[REGISTRO],DADOS!$N$4,tabela_registros[TIPO],DADOS!$P$3,tabela_registros[CATEGORIA],despesafixaconsolidadomar[[#This Row],[DESPESA FIXA]])</f>
        <v>0</v>
      </c>
      <c r="AG38" s="119" t="n">
        <f aca="false">SUMIFS(tabela_registros[VALOR],tabela_registros[MÊS],$AE$1,tabela_registros[DIA],martotal3059[[#Headers],[29]],tabela_registros[REGISTRO],DADOS!$N$4,tabela_registros[TIPO],DADOS!$P$3,tabela_registros[CATEGORIA],despesafixaconsolidadomar[[#This Row],[DESPESA FIXA]])</f>
        <v>0</v>
      </c>
      <c r="AH38" s="119" t="n">
        <f aca="false">SUMIFS(tabela_registros[VALOR],tabela_registros[MÊS],$AE$1,tabela_registros[DIA],martotal3059[[#Headers],[30]],tabela_registros[REGISTRO],DADOS!$N$4,tabela_registros[TIPO],DADOS!$P$3,tabela_registros[CATEGORIA],despesafixaconsolidadomar[[#This Row],[DESPESA FIXA]])</f>
        <v>0</v>
      </c>
      <c r="AI38" s="217" t="n">
        <f aca="false">SUMIFS(tabela_registros[VALOR],tabela_registros[MÊS],$AE$1,tabela_registros[DIA],martotal3059[[#Headers],[31]],tabela_registros[REGISTRO],DADOS!$N$4,tabela_registros[TIPO],DADOS!$P$3,tabela_registros[CATEGORIA],despesafixaconsolidadomar[[#This Row],[DESPESA FIXA]])</f>
        <v>0</v>
      </c>
      <c r="AJ38" s="149" t="n">
        <f aca="false">SUM(despesafixaconsolidadomar[[#This Row],[1]:[31]])</f>
        <v>0</v>
      </c>
      <c r="AK38" s="143"/>
    </row>
    <row r="39" customFormat="false" ht="18" hidden="false" customHeight="true" outlineLevel="0" collapsed="false">
      <c r="B39" s="143"/>
      <c r="C39" s="144" t="str">
        <f aca="false">DADOS!$R$5</f>
        <v>🔖 ASSINATURAS E SERVIÇOS</v>
      </c>
      <c r="D39" s="145" t="str">
        <f aca="false">IF(despesafixaconsolidadomar[[#This Row],[TOTAL]]=0,"",IF(OR(despesafixaconsolidadomar[[#This Row],[TOTAL]]=LARGE($AJ$37:$AJ$50,1),despesafixaconsolidadomar[[#This Row],[TOTAL]]=LARGE($AJ$37:$AJ$50,2),despesafixaconsolidadomar[[#This Row],[TOTAL]]=LARGE($AJ$37:$AJ$50,3),despesafixaconsolidadomar[[#This Row],[TOTAL]]=LARGE($AJ$37:$AJ$50,4),despesafixaconsolidadomar[[#This Row],[TOTAL]]=LARGE($AJ$37:$AJ$50,5)),DADOS!$I$8,""))</f>
        <v/>
      </c>
      <c r="E39" s="148" t="n">
        <f aca="false">SUMIFS(tabela_registros[VALOR],tabela_registros[MÊS],$AE$1,tabela_registros[DIA],martotal3059[[#Headers],[1]],tabela_registros[REGISTRO],DADOS!$N$4,tabela_registros[TIPO],DADOS!$P$3,tabela_registros[CATEGORIA],despesafixaconsolidadomar[[#This Row],[DESPESA FIXA]])</f>
        <v>0</v>
      </c>
      <c r="F39" s="119" t="n">
        <f aca="false">SUMIFS(tabela_registros[VALOR],tabela_registros[MÊS],$AE$1,tabela_registros[DIA],martotal3059[[#Headers],[2]],tabela_registros[REGISTRO],DADOS!$N$4,tabela_registros[TIPO],DADOS!$P$3,tabela_registros[CATEGORIA],despesafixaconsolidadomar[[#This Row],[DESPESA FIXA]])</f>
        <v>0</v>
      </c>
      <c r="G39" s="119" t="n">
        <f aca="false">SUMIFS(tabela_registros[VALOR],tabela_registros[MÊS],$AE$1,tabela_registros[DIA],martotal3059[[#Headers],[3]],tabela_registros[REGISTRO],DADOS!$N$4,tabela_registros[TIPO],DADOS!$P$3,tabela_registros[CATEGORIA],despesafixaconsolidadomar[[#This Row],[DESPESA FIXA]])</f>
        <v>0</v>
      </c>
      <c r="H39" s="119" t="n">
        <f aca="false">SUMIFS(tabela_registros[VALOR],tabela_registros[MÊS],$AE$1,tabela_registros[DIA],martotal3059[[#Headers],[4]],tabela_registros[REGISTRO],DADOS!$N$4,tabela_registros[TIPO],DADOS!$P$3,tabela_registros[CATEGORIA],despesafixaconsolidadomar[[#This Row],[DESPESA FIXA]])</f>
        <v>0</v>
      </c>
      <c r="I39" s="119" t="n">
        <f aca="false">SUMIFS(tabela_registros[VALOR],tabela_registros[MÊS],$AE$1,tabela_registros[DIA],martotal3059[[#Headers],[5]],tabela_registros[REGISTRO],DADOS!$N$4,tabela_registros[TIPO],DADOS!$P$3,tabela_registros[CATEGORIA],despesafixaconsolidadomar[[#This Row],[DESPESA FIXA]])</f>
        <v>0</v>
      </c>
      <c r="J39" s="119" t="n">
        <f aca="false">SUMIFS(tabela_registros[VALOR],tabela_registros[MÊS],$AE$1,tabela_registros[DIA],martotal3059[[#Headers],[6]],tabela_registros[REGISTRO],DADOS!$N$4,tabela_registros[TIPO],DADOS!$P$3,tabela_registros[CATEGORIA],despesafixaconsolidadomar[[#This Row],[DESPESA FIXA]])</f>
        <v>0</v>
      </c>
      <c r="K39" s="119" t="n">
        <f aca="false">SUMIFS(tabela_registros[VALOR],tabela_registros[MÊS],$AE$1,tabela_registros[DIA],martotal3059[[#Headers],[7]],tabela_registros[REGISTRO],DADOS!$N$4,tabela_registros[TIPO],DADOS!$P$3,tabela_registros[CATEGORIA],despesafixaconsolidadomar[[#This Row],[DESPESA FIXA]])</f>
        <v>0</v>
      </c>
      <c r="L39" s="119" t="n">
        <f aca="false">SUMIFS(tabela_registros[VALOR],tabela_registros[MÊS],$AE$1,tabela_registros[DIA],martotal3059[[#Headers],[8]],tabela_registros[REGISTRO],DADOS!$N$4,tabela_registros[TIPO],DADOS!$P$3,tabela_registros[CATEGORIA],despesafixaconsolidadomar[[#This Row],[DESPESA FIXA]])</f>
        <v>0</v>
      </c>
      <c r="M39" s="119" t="n">
        <f aca="false">SUMIFS(tabela_registros[VALOR],tabela_registros[MÊS],$AE$1,tabela_registros[DIA],martotal3059[[#Headers],[9]],tabela_registros[REGISTRO],DADOS!$N$4,tabela_registros[TIPO],DADOS!$P$3,tabela_registros[CATEGORIA],despesafixaconsolidadomar[[#This Row],[DESPESA FIXA]])</f>
        <v>0</v>
      </c>
      <c r="N39" s="119" t="n">
        <f aca="false">SUMIFS(tabela_registros[VALOR],tabela_registros[MÊS],$AE$1,tabela_registros[DIA],martotal3059[[#Headers],[10]],tabela_registros[REGISTRO],DADOS!$N$4,tabela_registros[TIPO],DADOS!$P$3,tabela_registros[CATEGORIA],despesafixaconsolidadomar[[#This Row],[DESPESA FIXA]])</f>
        <v>0</v>
      </c>
      <c r="O39" s="119" t="n">
        <f aca="false">SUMIFS(tabela_registros[VALOR],tabela_registros[MÊS],$AE$1,tabela_registros[DIA],martotal3059[[#Headers],[11]],tabela_registros[REGISTRO],DADOS!$N$4,tabela_registros[TIPO],DADOS!$P$3,tabela_registros[CATEGORIA],despesafixaconsolidadomar[[#This Row],[DESPESA FIXA]])</f>
        <v>0</v>
      </c>
      <c r="P39" s="119" t="n">
        <f aca="false">SUMIFS(tabela_registros[VALOR],tabela_registros[MÊS],$AE$1,tabela_registros[DIA],martotal3059[[#Headers],[12]],tabela_registros[REGISTRO],DADOS!$N$4,tabela_registros[TIPO],DADOS!$P$3,tabela_registros[CATEGORIA],despesafixaconsolidadomar[[#This Row],[DESPESA FIXA]])</f>
        <v>0</v>
      </c>
      <c r="Q39" s="119" t="n">
        <f aca="false">SUMIFS(tabela_registros[VALOR],tabela_registros[MÊS],$AE$1,tabela_registros[DIA],martotal3059[[#Headers],[13]],tabela_registros[REGISTRO],DADOS!$N$4,tabela_registros[TIPO],DADOS!$P$3,tabela_registros[CATEGORIA],despesafixaconsolidadomar[[#This Row],[DESPESA FIXA]])</f>
        <v>0</v>
      </c>
      <c r="R39" s="119" t="n">
        <f aca="false">SUMIFS(tabela_registros[VALOR],tabela_registros[MÊS],$AE$1,tabela_registros[DIA],martotal3059[[#Headers],[14]],tabela_registros[REGISTRO],DADOS!$N$4,tabela_registros[TIPO],DADOS!$P$3,tabela_registros[CATEGORIA],despesafixaconsolidadomar[[#This Row],[DESPESA FIXA]])</f>
        <v>0</v>
      </c>
      <c r="S39" s="119" t="n">
        <f aca="false">SUMIFS(tabela_registros[VALOR],tabela_registros[MÊS],$AE$1,tabela_registros[DIA],martotal3059[[#Headers],[15]],tabela_registros[REGISTRO],DADOS!$N$4,tabela_registros[TIPO],DADOS!$P$3,tabela_registros[CATEGORIA],despesafixaconsolidadomar[[#This Row],[DESPESA FIXA]])</f>
        <v>0</v>
      </c>
      <c r="T39" s="119" t="n">
        <f aca="false">SUMIFS(tabela_registros[VALOR],tabela_registros[MÊS],$AE$1,tabela_registros[DIA],martotal3059[[#Headers],[16]],tabela_registros[REGISTRO],DADOS!$N$4,tabela_registros[TIPO],DADOS!$P$3,tabela_registros[CATEGORIA],despesafixaconsolidadomar[[#This Row],[DESPESA FIXA]])</f>
        <v>0</v>
      </c>
      <c r="U39" s="119" t="n">
        <f aca="false">SUMIFS(tabela_registros[VALOR],tabela_registros[MÊS],$AE$1,tabela_registros[DIA],martotal3059[[#Headers],[17]],tabela_registros[REGISTRO],DADOS!$N$4,tabela_registros[TIPO],DADOS!$P$3,tabela_registros[CATEGORIA],despesafixaconsolidadomar[[#This Row],[DESPESA FIXA]])</f>
        <v>0</v>
      </c>
      <c r="V39" s="119" t="n">
        <f aca="false">SUMIFS(tabela_registros[VALOR],tabela_registros[MÊS],$AE$1,tabela_registros[DIA],martotal3059[[#Headers],[18]],tabela_registros[REGISTRO],DADOS!$N$4,tabela_registros[TIPO],DADOS!$P$3,tabela_registros[CATEGORIA],despesafixaconsolidadomar[[#This Row],[DESPESA FIXA]])</f>
        <v>0</v>
      </c>
      <c r="W39" s="119" t="n">
        <f aca="false">SUMIFS(tabela_registros[VALOR],tabela_registros[MÊS],$AE$1,tabela_registros[DIA],martotal3059[[#Headers],[19]],tabela_registros[REGISTRO],DADOS!$N$4,tabela_registros[TIPO],DADOS!$P$3,tabela_registros[CATEGORIA],despesafixaconsolidadomar[[#This Row],[DESPESA FIXA]])</f>
        <v>0</v>
      </c>
      <c r="X39" s="119" t="n">
        <f aca="false">SUMIFS(tabela_registros[VALOR],tabela_registros[MÊS],$AE$1,tabela_registros[DIA],martotal3059[[#Headers],[20]],tabela_registros[REGISTRO],DADOS!$N$4,tabela_registros[TIPO],DADOS!$P$3,tabela_registros[CATEGORIA],despesafixaconsolidadomar[[#This Row],[DESPESA FIXA]])</f>
        <v>0</v>
      </c>
      <c r="Y39" s="119" t="n">
        <f aca="false">SUMIFS(tabela_registros[VALOR],tabela_registros[MÊS],$AE$1,tabela_registros[DIA],martotal3059[[#Headers],[21]],tabela_registros[REGISTRO],DADOS!$N$4,tabela_registros[TIPO],DADOS!$P$3,tabela_registros[CATEGORIA],despesafixaconsolidadomar[[#This Row],[DESPESA FIXA]])</f>
        <v>0</v>
      </c>
      <c r="Z39" s="119" t="n">
        <f aca="false">SUMIFS(tabela_registros[VALOR],tabela_registros[MÊS],$AE$1,tabela_registros[DIA],martotal3059[[#Headers],[22]],tabela_registros[REGISTRO],DADOS!$N$4,tabela_registros[TIPO],DADOS!$P$3,tabela_registros[CATEGORIA],despesafixaconsolidadomar[[#This Row],[DESPESA FIXA]])</f>
        <v>0</v>
      </c>
      <c r="AA39" s="119" t="n">
        <f aca="false">SUMIFS(tabela_registros[VALOR],tabela_registros[MÊS],$AE$1,tabela_registros[DIA],martotal3059[[#Headers],[23]],tabela_registros[REGISTRO],DADOS!$N$4,tabela_registros[TIPO],DADOS!$P$3,tabela_registros[CATEGORIA],despesafixaconsolidadomar[[#This Row],[DESPESA FIXA]])</f>
        <v>0</v>
      </c>
      <c r="AB39" s="119" t="n">
        <f aca="false">SUMIFS(tabela_registros[VALOR],tabela_registros[MÊS],$AE$1,tabela_registros[DIA],martotal3059[[#Headers],[24]],tabela_registros[REGISTRO],DADOS!$N$4,tabela_registros[TIPO],DADOS!$P$3,tabela_registros[CATEGORIA],despesafixaconsolidadomar[[#This Row],[DESPESA FIXA]])</f>
        <v>0</v>
      </c>
      <c r="AC39" s="119" t="n">
        <f aca="false">SUMIFS(tabela_registros[VALOR],tabela_registros[MÊS],$AE$1,tabela_registros[DIA],martotal3059[[#Headers],[25]],tabela_registros[REGISTRO],DADOS!$N$4,tabela_registros[TIPO],DADOS!$P$3,tabela_registros[CATEGORIA],despesafixaconsolidadomar[[#This Row],[DESPESA FIXA]])</f>
        <v>0</v>
      </c>
      <c r="AD39" s="119" t="n">
        <f aca="false">SUMIFS(tabela_registros[VALOR],tabela_registros[MÊS],$AE$1,tabela_registros[DIA],martotal3059[[#Headers],[26]],tabela_registros[REGISTRO],DADOS!$N$4,tabela_registros[TIPO],DADOS!$P$3,tabela_registros[CATEGORIA],despesafixaconsolidadomar[[#This Row],[DESPESA FIXA]])</f>
        <v>0</v>
      </c>
      <c r="AE39" s="119" t="n">
        <f aca="false">SUMIFS(tabela_registros[VALOR],tabela_registros[MÊS],$AE$1,tabela_registros[DIA],martotal3059[[#Headers],[27]],tabela_registros[REGISTRO],DADOS!$N$4,tabela_registros[TIPO],DADOS!$P$3,tabela_registros[CATEGORIA],despesafixaconsolidadomar[[#This Row],[DESPESA FIXA]])</f>
        <v>0</v>
      </c>
      <c r="AF39" s="119" t="n">
        <f aca="false">SUMIFS(tabela_registros[VALOR],tabela_registros[MÊS],$AE$1,tabela_registros[DIA],martotal3059[[#Headers],[28]],tabela_registros[REGISTRO],DADOS!$N$4,tabela_registros[TIPO],DADOS!$P$3,tabela_registros[CATEGORIA],despesafixaconsolidadomar[[#This Row],[DESPESA FIXA]])</f>
        <v>0</v>
      </c>
      <c r="AG39" s="119" t="n">
        <f aca="false">SUMIFS(tabela_registros[VALOR],tabela_registros[MÊS],$AE$1,tabela_registros[DIA],martotal3059[[#Headers],[29]],tabela_registros[REGISTRO],DADOS!$N$4,tabela_registros[TIPO],DADOS!$P$3,tabela_registros[CATEGORIA],despesafixaconsolidadomar[[#This Row],[DESPESA FIXA]])</f>
        <v>0</v>
      </c>
      <c r="AH39" s="119" t="n">
        <f aca="false">SUMIFS(tabela_registros[VALOR],tabela_registros[MÊS],$AE$1,tabela_registros[DIA],martotal3059[[#Headers],[30]],tabela_registros[REGISTRO],DADOS!$N$4,tabela_registros[TIPO],DADOS!$P$3,tabela_registros[CATEGORIA],despesafixaconsolidadomar[[#This Row],[DESPESA FIXA]])</f>
        <v>0</v>
      </c>
      <c r="AI39" s="217" t="n">
        <f aca="false">SUMIFS(tabela_registros[VALOR],tabela_registros[MÊS],$AE$1,tabela_registros[DIA],martotal3059[[#Headers],[31]],tabela_registros[REGISTRO],DADOS!$N$4,tabela_registros[TIPO],DADOS!$P$3,tabela_registros[CATEGORIA],despesafixaconsolidadomar[[#This Row],[DESPESA FIXA]])</f>
        <v>0</v>
      </c>
      <c r="AJ39" s="149" t="n">
        <f aca="false">SUM(despesafixaconsolidadomar[[#This Row],[1]:[31]])</f>
        <v>0</v>
      </c>
      <c r="AK39" s="143"/>
    </row>
    <row r="40" customFormat="false" ht="18" hidden="false" customHeight="true" outlineLevel="0" collapsed="false">
      <c r="B40" s="143"/>
      <c r="C40" s="144" t="str">
        <f aca="false">DADOS!$R$6</f>
        <v>📱 CELULAR</v>
      </c>
      <c r="D40" s="145" t="str">
        <f aca="false">IF(despesafixaconsolidadomar[[#This Row],[TOTAL]]=0,"",IF(OR(despesafixaconsolidadomar[[#This Row],[TOTAL]]=LARGE($AJ$37:$AJ$50,1),despesafixaconsolidadomar[[#This Row],[TOTAL]]=LARGE($AJ$37:$AJ$50,2),despesafixaconsolidadomar[[#This Row],[TOTAL]]=LARGE($AJ$37:$AJ$50,3),despesafixaconsolidadomar[[#This Row],[TOTAL]]=LARGE($AJ$37:$AJ$50,4),despesafixaconsolidadomar[[#This Row],[TOTAL]]=LARGE($AJ$37:$AJ$50,5)),DADOS!$I$8,""))</f>
        <v/>
      </c>
      <c r="E40" s="148" t="n">
        <f aca="false">SUMIFS(tabela_registros[VALOR],tabela_registros[MÊS],$AE$1,tabela_registros[DIA],martotal3059[[#Headers],[1]],tabela_registros[REGISTRO],DADOS!$N$4,tabela_registros[TIPO],DADOS!$P$3,tabela_registros[CATEGORIA],despesafixaconsolidadomar[[#This Row],[DESPESA FIXA]])</f>
        <v>0</v>
      </c>
      <c r="F40" s="119" t="n">
        <f aca="false">SUMIFS(tabela_registros[VALOR],tabela_registros[MÊS],$AE$1,tabela_registros[DIA],martotal3059[[#Headers],[2]],tabela_registros[REGISTRO],DADOS!$N$4,tabela_registros[TIPO],DADOS!$P$3,tabela_registros[CATEGORIA],despesafixaconsolidadomar[[#This Row],[DESPESA FIXA]])</f>
        <v>0</v>
      </c>
      <c r="G40" s="119" t="n">
        <f aca="false">SUMIFS(tabela_registros[VALOR],tabela_registros[MÊS],$AE$1,tabela_registros[DIA],martotal3059[[#Headers],[3]],tabela_registros[REGISTRO],DADOS!$N$4,tabela_registros[TIPO],DADOS!$P$3,tabela_registros[CATEGORIA],despesafixaconsolidadomar[[#This Row],[DESPESA FIXA]])</f>
        <v>0</v>
      </c>
      <c r="H40" s="119" t="n">
        <f aca="false">SUMIFS(tabela_registros[VALOR],tabela_registros[MÊS],$AE$1,tabela_registros[DIA],martotal3059[[#Headers],[4]],tabela_registros[REGISTRO],DADOS!$N$4,tabela_registros[TIPO],DADOS!$P$3,tabela_registros[CATEGORIA],despesafixaconsolidadomar[[#This Row],[DESPESA FIXA]])</f>
        <v>0</v>
      </c>
      <c r="I40" s="119" t="n">
        <f aca="false">SUMIFS(tabela_registros[VALOR],tabela_registros[MÊS],$AE$1,tabela_registros[DIA],martotal3059[[#Headers],[5]],tabela_registros[REGISTRO],DADOS!$N$4,tabela_registros[TIPO],DADOS!$P$3,tabela_registros[CATEGORIA],despesafixaconsolidadomar[[#This Row],[DESPESA FIXA]])</f>
        <v>0</v>
      </c>
      <c r="J40" s="119" t="n">
        <f aca="false">SUMIFS(tabela_registros[VALOR],tabela_registros[MÊS],$AE$1,tabela_registros[DIA],martotal3059[[#Headers],[6]],tabela_registros[REGISTRO],DADOS!$N$4,tabela_registros[TIPO],DADOS!$P$3,tabela_registros[CATEGORIA],despesafixaconsolidadomar[[#This Row],[DESPESA FIXA]])</f>
        <v>0</v>
      </c>
      <c r="K40" s="119" t="n">
        <f aca="false">SUMIFS(tabela_registros[VALOR],tabela_registros[MÊS],$AE$1,tabela_registros[DIA],martotal3059[[#Headers],[7]],tabela_registros[REGISTRO],DADOS!$N$4,tabela_registros[TIPO],DADOS!$P$3,tabela_registros[CATEGORIA],despesafixaconsolidadomar[[#This Row],[DESPESA FIXA]])</f>
        <v>0</v>
      </c>
      <c r="L40" s="119" t="n">
        <f aca="false">SUMIFS(tabela_registros[VALOR],tabela_registros[MÊS],$AE$1,tabela_registros[DIA],martotal3059[[#Headers],[8]],tabela_registros[REGISTRO],DADOS!$N$4,tabela_registros[TIPO],DADOS!$P$3,tabela_registros[CATEGORIA],despesafixaconsolidadomar[[#This Row],[DESPESA FIXA]])</f>
        <v>0</v>
      </c>
      <c r="M40" s="119" t="n">
        <f aca="false">SUMIFS(tabela_registros[VALOR],tabela_registros[MÊS],$AE$1,tabela_registros[DIA],martotal3059[[#Headers],[9]],tabela_registros[REGISTRO],DADOS!$N$4,tabela_registros[TIPO],DADOS!$P$3,tabela_registros[CATEGORIA],despesafixaconsolidadomar[[#This Row],[DESPESA FIXA]])</f>
        <v>0</v>
      </c>
      <c r="N40" s="119" t="n">
        <f aca="false">SUMIFS(tabela_registros[VALOR],tabela_registros[MÊS],$AE$1,tabela_registros[DIA],martotal3059[[#Headers],[10]],tabela_registros[REGISTRO],DADOS!$N$4,tabela_registros[TIPO],DADOS!$P$3,tabela_registros[CATEGORIA],despesafixaconsolidadomar[[#This Row],[DESPESA FIXA]])</f>
        <v>0</v>
      </c>
      <c r="O40" s="119" t="n">
        <f aca="false">SUMIFS(tabela_registros[VALOR],tabela_registros[MÊS],$AE$1,tabela_registros[DIA],martotal3059[[#Headers],[11]],tabela_registros[REGISTRO],DADOS!$N$4,tabela_registros[TIPO],DADOS!$P$3,tabela_registros[CATEGORIA],despesafixaconsolidadomar[[#This Row],[DESPESA FIXA]])</f>
        <v>0</v>
      </c>
      <c r="P40" s="119" t="n">
        <f aca="false">SUMIFS(tabela_registros[VALOR],tabela_registros[MÊS],$AE$1,tabela_registros[DIA],martotal3059[[#Headers],[12]],tabela_registros[REGISTRO],DADOS!$N$4,tabela_registros[TIPO],DADOS!$P$3,tabela_registros[CATEGORIA],despesafixaconsolidadomar[[#This Row],[DESPESA FIXA]])</f>
        <v>0</v>
      </c>
      <c r="Q40" s="119" t="n">
        <f aca="false">SUMIFS(tabela_registros[VALOR],tabela_registros[MÊS],$AE$1,tabela_registros[DIA],martotal3059[[#Headers],[13]],tabela_registros[REGISTRO],DADOS!$N$4,tabela_registros[TIPO],DADOS!$P$3,tabela_registros[CATEGORIA],despesafixaconsolidadomar[[#This Row],[DESPESA FIXA]])</f>
        <v>0</v>
      </c>
      <c r="R40" s="119" t="n">
        <f aca="false">SUMIFS(tabela_registros[VALOR],tabela_registros[MÊS],$AE$1,tabela_registros[DIA],martotal3059[[#Headers],[14]],tabela_registros[REGISTRO],DADOS!$N$4,tabela_registros[TIPO],DADOS!$P$3,tabela_registros[CATEGORIA],despesafixaconsolidadomar[[#This Row],[DESPESA FIXA]])</f>
        <v>0</v>
      </c>
      <c r="S40" s="119" t="n">
        <f aca="false">SUMIFS(tabela_registros[VALOR],tabela_registros[MÊS],$AE$1,tabela_registros[DIA],martotal3059[[#Headers],[15]],tabela_registros[REGISTRO],DADOS!$N$4,tabela_registros[TIPO],DADOS!$P$3,tabela_registros[CATEGORIA],despesafixaconsolidadomar[[#This Row],[DESPESA FIXA]])</f>
        <v>0</v>
      </c>
      <c r="T40" s="119" t="n">
        <f aca="false">SUMIFS(tabela_registros[VALOR],tabela_registros[MÊS],$AE$1,tabela_registros[DIA],martotal3059[[#Headers],[16]],tabela_registros[REGISTRO],DADOS!$N$4,tabela_registros[TIPO],DADOS!$P$3,tabela_registros[CATEGORIA],despesafixaconsolidadomar[[#This Row],[DESPESA FIXA]])</f>
        <v>0</v>
      </c>
      <c r="U40" s="119" t="n">
        <f aca="false">SUMIFS(tabela_registros[VALOR],tabela_registros[MÊS],$AE$1,tabela_registros[DIA],martotal3059[[#Headers],[17]],tabela_registros[REGISTRO],DADOS!$N$4,tabela_registros[TIPO],DADOS!$P$3,tabela_registros[CATEGORIA],despesafixaconsolidadomar[[#This Row],[DESPESA FIXA]])</f>
        <v>0</v>
      </c>
      <c r="V40" s="119" t="n">
        <f aca="false">SUMIFS(tabela_registros[VALOR],tabela_registros[MÊS],$AE$1,tabela_registros[DIA],martotal3059[[#Headers],[18]],tabela_registros[REGISTRO],DADOS!$N$4,tabela_registros[TIPO],DADOS!$P$3,tabela_registros[CATEGORIA],despesafixaconsolidadomar[[#This Row],[DESPESA FIXA]])</f>
        <v>0</v>
      </c>
      <c r="W40" s="119" t="n">
        <f aca="false">SUMIFS(tabela_registros[VALOR],tabela_registros[MÊS],$AE$1,tabela_registros[DIA],martotal3059[[#Headers],[19]],tabela_registros[REGISTRO],DADOS!$N$4,tabela_registros[TIPO],DADOS!$P$3,tabela_registros[CATEGORIA],despesafixaconsolidadomar[[#This Row],[DESPESA FIXA]])</f>
        <v>0</v>
      </c>
      <c r="X40" s="119" t="n">
        <f aca="false">SUMIFS(tabela_registros[VALOR],tabela_registros[MÊS],$AE$1,tabela_registros[DIA],martotal3059[[#Headers],[20]],tabela_registros[REGISTRO],DADOS!$N$4,tabela_registros[TIPO],DADOS!$P$3,tabela_registros[CATEGORIA],despesafixaconsolidadomar[[#This Row],[DESPESA FIXA]])</f>
        <v>0</v>
      </c>
      <c r="Y40" s="119" t="n">
        <f aca="false">SUMIFS(tabela_registros[VALOR],tabela_registros[MÊS],$AE$1,tabela_registros[DIA],martotal3059[[#Headers],[21]],tabela_registros[REGISTRO],DADOS!$N$4,tabela_registros[TIPO],DADOS!$P$3,tabela_registros[CATEGORIA],despesafixaconsolidadomar[[#This Row],[DESPESA FIXA]])</f>
        <v>0</v>
      </c>
      <c r="Z40" s="119" t="n">
        <f aca="false">SUMIFS(tabela_registros[VALOR],tabela_registros[MÊS],$AE$1,tabela_registros[DIA],martotal3059[[#Headers],[22]],tabela_registros[REGISTRO],DADOS!$N$4,tabela_registros[TIPO],DADOS!$P$3,tabela_registros[CATEGORIA],despesafixaconsolidadomar[[#This Row],[DESPESA FIXA]])</f>
        <v>0</v>
      </c>
      <c r="AA40" s="119" t="n">
        <f aca="false">SUMIFS(tabela_registros[VALOR],tabela_registros[MÊS],$AE$1,tabela_registros[DIA],martotal3059[[#Headers],[23]],tabela_registros[REGISTRO],DADOS!$N$4,tabela_registros[TIPO],DADOS!$P$3,tabela_registros[CATEGORIA],despesafixaconsolidadomar[[#This Row],[DESPESA FIXA]])</f>
        <v>0</v>
      </c>
      <c r="AB40" s="119" t="n">
        <f aca="false">SUMIFS(tabela_registros[VALOR],tabela_registros[MÊS],$AE$1,tabela_registros[DIA],martotal3059[[#Headers],[24]],tabela_registros[REGISTRO],DADOS!$N$4,tabela_registros[TIPO],DADOS!$P$3,tabela_registros[CATEGORIA],despesafixaconsolidadomar[[#This Row],[DESPESA FIXA]])</f>
        <v>0</v>
      </c>
      <c r="AC40" s="119" t="n">
        <f aca="false">SUMIFS(tabela_registros[VALOR],tabela_registros[MÊS],$AE$1,tabela_registros[DIA],martotal3059[[#Headers],[25]],tabela_registros[REGISTRO],DADOS!$N$4,tabela_registros[TIPO],DADOS!$P$3,tabela_registros[CATEGORIA],despesafixaconsolidadomar[[#This Row],[DESPESA FIXA]])</f>
        <v>0</v>
      </c>
      <c r="AD40" s="119" t="n">
        <f aca="false">SUMIFS(tabela_registros[VALOR],tabela_registros[MÊS],$AE$1,tabela_registros[DIA],martotal3059[[#Headers],[26]],tabela_registros[REGISTRO],DADOS!$N$4,tabela_registros[TIPO],DADOS!$P$3,tabela_registros[CATEGORIA],despesafixaconsolidadomar[[#This Row],[DESPESA FIXA]])</f>
        <v>0</v>
      </c>
      <c r="AE40" s="119" t="n">
        <f aca="false">SUMIFS(tabela_registros[VALOR],tabela_registros[MÊS],$AE$1,tabela_registros[DIA],martotal3059[[#Headers],[27]],tabela_registros[REGISTRO],DADOS!$N$4,tabela_registros[TIPO],DADOS!$P$3,tabela_registros[CATEGORIA],despesafixaconsolidadomar[[#This Row],[DESPESA FIXA]])</f>
        <v>0</v>
      </c>
      <c r="AF40" s="119" t="n">
        <f aca="false">SUMIFS(tabela_registros[VALOR],tabela_registros[MÊS],$AE$1,tabela_registros[DIA],martotal3059[[#Headers],[28]],tabela_registros[REGISTRO],DADOS!$N$4,tabela_registros[TIPO],DADOS!$P$3,tabela_registros[CATEGORIA],despesafixaconsolidadomar[[#This Row],[DESPESA FIXA]])</f>
        <v>0</v>
      </c>
      <c r="AG40" s="119" t="n">
        <f aca="false">SUMIFS(tabela_registros[VALOR],tabela_registros[MÊS],$AE$1,tabela_registros[DIA],martotal3059[[#Headers],[29]],tabela_registros[REGISTRO],DADOS!$N$4,tabela_registros[TIPO],DADOS!$P$3,tabela_registros[CATEGORIA],despesafixaconsolidadomar[[#This Row],[DESPESA FIXA]])</f>
        <v>0</v>
      </c>
      <c r="AH40" s="119" t="n">
        <f aca="false">SUMIFS(tabela_registros[VALOR],tabela_registros[MÊS],$AE$1,tabela_registros[DIA],martotal3059[[#Headers],[30]],tabela_registros[REGISTRO],DADOS!$N$4,tabela_registros[TIPO],DADOS!$P$3,tabela_registros[CATEGORIA],despesafixaconsolidadomar[[#This Row],[DESPESA FIXA]])</f>
        <v>0</v>
      </c>
      <c r="AI40" s="217" t="n">
        <f aca="false">SUMIFS(tabela_registros[VALOR],tabela_registros[MÊS],$AE$1,tabela_registros[DIA],martotal3059[[#Headers],[31]],tabela_registros[REGISTRO],DADOS!$N$4,tabela_registros[TIPO],DADOS!$P$3,tabela_registros[CATEGORIA],despesafixaconsolidadomar[[#This Row],[DESPESA FIXA]])</f>
        <v>0</v>
      </c>
      <c r="AJ40" s="149" t="n">
        <f aca="false">SUM(despesafixaconsolidadomar[[#This Row],[1]:[31]])</f>
        <v>0</v>
      </c>
      <c r="AK40" s="143"/>
    </row>
    <row r="41" customFormat="false" ht="18" hidden="false" customHeight="true" outlineLevel="0" collapsed="false">
      <c r="B41" s="143"/>
      <c r="C41" s="144" t="str">
        <f aca="false">DADOS!$R$7</f>
        <v>📖 EDUCAÇÃO</v>
      </c>
      <c r="D41" s="145" t="str">
        <f aca="false">IF(despesafixaconsolidadomar[[#This Row],[TOTAL]]=0,"",IF(OR(despesafixaconsolidadomar[[#This Row],[TOTAL]]=LARGE($AJ$37:$AJ$50,1),despesafixaconsolidadomar[[#This Row],[TOTAL]]=LARGE($AJ$37:$AJ$50,2),despesafixaconsolidadomar[[#This Row],[TOTAL]]=LARGE($AJ$37:$AJ$50,3),despesafixaconsolidadomar[[#This Row],[TOTAL]]=LARGE($AJ$37:$AJ$50,4),despesafixaconsolidadomar[[#This Row],[TOTAL]]=LARGE($AJ$37:$AJ$50,5)),DADOS!$I$8,""))</f>
        <v/>
      </c>
      <c r="E41" s="148" t="n">
        <f aca="false">SUMIFS(tabela_registros[VALOR],tabela_registros[MÊS],$AE$1,tabela_registros[DIA],martotal3059[[#Headers],[1]],tabela_registros[REGISTRO],DADOS!$N$4,tabela_registros[TIPO],DADOS!$P$3,tabela_registros[CATEGORIA],despesafixaconsolidadomar[[#This Row],[DESPESA FIXA]])</f>
        <v>0</v>
      </c>
      <c r="F41" s="119" t="n">
        <f aca="false">SUMIFS(tabela_registros[VALOR],tabela_registros[MÊS],$AE$1,tabela_registros[DIA],martotal3059[[#Headers],[2]],tabela_registros[REGISTRO],DADOS!$N$4,tabela_registros[TIPO],DADOS!$P$3,tabela_registros[CATEGORIA],despesafixaconsolidadomar[[#This Row],[DESPESA FIXA]])</f>
        <v>0</v>
      </c>
      <c r="G41" s="119" t="n">
        <f aca="false">SUMIFS(tabela_registros[VALOR],tabela_registros[MÊS],$AE$1,tabela_registros[DIA],martotal3059[[#Headers],[3]],tabela_registros[REGISTRO],DADOS!$N$4,tabela_registros[TIPO],DADOS!$P$3,tabela_registros[CATEGORIA],despesafixaconsolidadomar[[#This Row],[DESPESA FIXA]])</f>
        <v>0</v>
      </c>
      <c r="H41" s="119" t="n">
        <f aca="false">SUMIFS(tabela_registros[VALOR],tabela_registros[MÊS],$AE$1,tabela_registros[DIA],martotal3059[[#Headers],[4]],tabela_registros[REGISTRO],DADOS!$N$4,tabela_registros[TIPO],DADOS!$P$3,tabela_registros[CATEGORIA],despesafixaconsolidadomar[[#This Row],[DESPESA FIXA]])</f>
        <v>0</v>
      </c>
      <c r="I41" s="119" t="n">
        <f aca="false">SUMIFS(tabela_registros[VALOR],tabela_registros[MÊS],$AE$1,tabela_registros[DIA],martotal3059[[#Headers],[5]],tabela_registros[REGISTRO],DADOS!$N$4,tabela_registros[TIPO],DADOS!$P$3,tabela_registros[CATEGORIA],despesafixaconsolidadomar[[#This Row],[DESPESA FIXA]])</f>
        <v>0</v>
      </c>
      <c r="J41" s="119" t="n">
        <f aca="false">SUMIFS(tabela_registros[VALOR],tabela_registros[MÊS],$AE$1,tabela_registros[DIA],martotal3059[[#Headers],[6]],tabela_registros[REGISTRO],DADOS!$N$4,tabela_registros[TIPO],DADOS!$P$3,tabela_registros[CATEGORIA],despesafixaconsolidadomar[[#This Row],[DESPESA FIXA]])</f>
        <v>0</v>
      </c>
      <c r="K41" s="119" t="n">
        <f aca="false">SUMIFS(tabela_registros[VALOR],tabela_registros[MÊS],$AE$1,tabela_registros[DIA],martotal3059[[#Headers],[7]],tabela_registros[REGISTRO],DADOS!$N$4,tabela_registros[TIPO],DADOS!$P$3,tabela_registros[CATEGORIA],despesafixaconsolidadomar[[#This Row],[DESPESA FIXA]])</f>
        <v>0</v>
      </c>
      <c r="L41" s="119" t="n">
        <f aca="false">SUMIFS(tabela_registros[VALOR],tabela_registros[MÊS],$AE$1,tabela_registros[DIA],martotal3059[[#Headers],[8]],tabela_registros[REGISTRO],DADOS!$N$4,tabela_registros[TIPO],DADOS!$P$3,tabela_registros[CATEGORIA],despesafixaconsolidadomar[[#This Row],[DESPESA FIXA]])</f>
        <v>0</v>
      </c>
      <c r="M41" s="119" t="n">
        <f aca="false">SUMIFS(tabela_registros[VALOR],tabela_registros[MÊS],$AE$1,tabela_registros[DIA],martotal3059[[#Headers],[9]],tabela_registros[REGISTRO],DADOS!$N$4,tabela_registros[TIPO],DADOS!$P$3,tabela_registros[CATEGORIA],despesafixaconsolidadomar[[#This Row],[DESPESA FIXA]])</f>
        <v>0</v>
      </c>
      <c r="N41" s="119" t="n">
        <f aca="false">SUMIFS(tabela_registros[VALOR],tabela_registros[MÊS],$AE$1,tabela_registros[DIA],martotal3059[[#Headers],[10]],tabela_registros[REGISTRO],DADOS!$N$4,tabela_registros[TIPO],DADOS!$P$3,tabela_registros[CATEGORIA],despesafixaconsolidadomar[[#This Row],[DESPESA FIXA]])</f>
        <v>0</v>
      </c>
      <c r="O41" s="119" t="n">
        <f aca="false">SUMIFS(tabela_registros[VALOR],tabela_registros[MÊS],$AE$1,tabela_registros[DIA],martotal3059[[#Headers],[11]],tabela_registros[REGISTRO],DADOS!$N$4,tabela_registros[TIPO],DADOS!$P$3,tabela_registros[CATEGORIA],despesafixaconsolidadomar[[#This Row],[DESPESA FIXA]])</f>
        <v>0</v>
      </c>
      <c r="P41" s="119" t="n">
        <f aca="false">SUMIFS(tabela_registros[VALOR],tabela_registros[MÊS],$AE$1,tabela_registros[DIA],martotal3059[[#Headers],[12]],tabela_registros[REGISTRO],DADOS!$N$4,tabela_registros[TIPO],DADOS!$P$3,tabela_registros[CATEGORIA],despesafixaconsolidadomar[[#This Row],[DESPESA FIXA]])</f>
        <v>0</v>
      </c>
      <c r="Q41" s="119" t="n">
        <f aca="false">SUMIFS(tabela_registros[VALOR],tabela_registros[MÊS],$AE$1,tabela_registros[DIA],martotal3059[[#Headers],[13]],tabela_registros[REGISTRO],DADOS!$N$4,tabela_registros[TIPO],DADOS!$P$3,tabela_registros[CATEGORIA],despesafixaconsolidadomar[[#This Row],[DESPESA FIXA]])</f>
        <v>0</v>
      </c>
      <c r="R41" s="119" t="n">
        <f aca="false">SUMIFS(tabela_registros[VALOR],tabela_registros[MÊS],$AE$1,tabela_registros[DIA],martotal3059[[#Headers],[14]],tabela_registros[REGISTRO],DADOS!$N$4,tabela_registros[TIPO],DADOS!$P$3,tabela_registros[CATEGORIA],despesafixaconsolidadomar[[#This Row],[DESPESA FIXA]])</f>
        <v>0</v>
      </c>
      <c r="S41" s="119" t="n">
        <f aca="false">SUMIFS(tabela_registros[VALOR],tabela_registros[MÊS],$AE$1,tabela_registros[DIA],martotal3059[[#Headers],[15]],tabela_registros[REGISTRO],DADOS!$N$4,tabela_registros[TIPO],DADOS!$P$3,tabela_registros[CATEGORIA],despesafixaconsolidadomar[[#This Row],[DESPESA FIXA]])</f>
        <v>0</v>
      </c>
      <c r="T41" s="119" t="n">
        <f aca="false">SUMIFS(tabela_registros[VALOR],tabela_registros[MÊS],$AE$1,tabela_registros[DIA],martotal3059[[#Headers],[16]],tabela_registros[REGISTRO],DADOS!$N$4,tabela_registros[TIPO],DADOS!$P$3,tabela_registros[CATEGORIA],despesafixaconsolidadomar[[#This Row],[DESPESA FIXA]])</f>
        <v>0</v>
      </c>
      <c r="U41" s="119" t="n">
        <f aca="false">SUMIFS(tabela_registros[VALOR],tabela_registros[MÊS],$AE$1,tabela_registros[DIA],martotal3059[[#Headers],[17]],tabela_registros[REGISTRO],DADOS!$N$4,tabela_registros[TIPO],DADOS!$P$3,tabela_registros[CATEGORIA],despesafixaconsolidadomar[[#This Row],[DESPESA FIXA]])</f>
        <v>0</v>
      </c>
      <c r="V41" s="119" t="n">
        <f aca="false">SUMIFS(tabela_registros[VALOR],tabela_registros[MÊS],$AE$1,tabela_registros[DIA],martotal3059[[#Headers],[18]],tabela_registros[REGISTRO],DADOS!$N$4,tabela_registros[TIPO],DADOS!$P$3,tabela_registros[CATEGORIA],despesafixaconsolidadomar[[#This Row],[DESPESA FIXA]])</f>
        <v>0</v>
      </c>
      <c r="W41" s="119" t="n">
        <f aca="false">SUMIFS(tabela_registros[VALOR],tabela_registros[MÊS],$AE$1,tabela_registros[DIA],martotal3059[[#Headers],[19]],tabela_registros[REGISTRO],DADOS!$N$4,tabela_registros[TIPO],DADOS!$P$3,tabela_registros[CATEGORIA],despesafixaconsolidadomar[[#This Row],[DESPESA FIXA]])</f>
        <v>0</v>
      </c>
      <c r="X41" s="119" t="n">
        <f aca="false">SUMIFS(tabela_registros[VALOR],tabela_registros[MÊS],$AE$1,tabela_registros[DIA],martotal3059[[#Headers],[20]],tabela_registros[REGISTRO],DADOS!$N$4,tabela_registros[TIPO],DADOS!$P$3,tabela_registros[CATEGORIA],despesafixaconsolidadomar[[#This Row],[DESPESA FIXA]])</f>
        <v>0</v>
      </c>
      <c r="Y41" s="119" t="n">
        <f aca="false">SUMIFS(tabela_registros[VALOR],tabela_registros[MÊS],$AE$1,tabela_registros[DIA],martotal3059[[#Headers],[21]],tabela_registros[REGISTRO],DADOS!$N$4,tabela_registros[TIPO],DADOS!$P$3,tabela_registros[CATEGORIA],despesafixaconsolidadomar[[#This Row],[DESPESA FIXA]])</f>
        <v>0</v>
      </c>
      <c r="Z41" s="119" t="n">
        <f aca="false">SUMIFS(tabela_registros[VALOR],tabela_registros[MÊS],$AE$1,tabela_registros[DIA],martotal3059[[#Headers],[22]],tabela_registros[REGISTRO],DADOS!$N$4,tabela_registros[TIPO],DADOS!$P$3,tabela_registros[CATEGORIA],despesafixaconsolidadomar[[#This Row],[DESPESA FIXA]])</f>
        <v>0</v>
      </c>
      <c r="AA41" s="119" t="n">
        <f aca="false">SUMIFS(tabela_registros[VALOR],tabela_registros[MÊS],$AE$1,tabela_registros[DIA],martotal3059[[#Headers],[23]],tabela_registros[REGISTRO],DADOS!$N$4,tabela_registros[TIPO],DADOS!$P$3,tabela_registros[CATEGORIA],despesafixaconsolidadomar[[#This Row],[DESPESA FIXA]])</f>
        <v>0</v>
      </c>
      <c r="AB41" s="119" t="n">
        <f aca="false">SUMIFS(tabela_registros[VALOR],tabela_registros[MÊS],$AE$1,tabela_registros[DIA],martotal3059[[#Headers],[24]],tabela_registros[REGISTRO],DADOS!$N$4,tabela_registros[TIPO],DADOS!$P$3,tabela_registros[CATEGORIA],despesafixaconsolidadomar[[#This Row],[DESPESA FIXA]])</f>
        <v>0</v>
      </c>
      <c r="AC41" s="119" t="n">
        <f aca="false">SUMIFS(tabela_registros[VALOR],tabela_registros[MÊS],$AE$1,tabela_registros[DIA],martotal3059[[#Headers],[25]],tabela_registros[REGISTRO],DADOS!$N$4,tabela_registros[TIPO],DADOS!$P$3,tabela_registros[CATEGORIA],despesafixaconsolidadomar[[#This Row],[DESPESA FIXA]])</f>
        <v>0</v>
      </c>
      <c r="AD41" s="119" t="n">
        <f aca="false">SUMIFS(tabela_registros[VALOR],tabela_registros[MÊS],$AE$1,tabela_registros[DIA],martotal3059[[#Headers],[26]],tabela_registros[REGISTRO],DADOS!$N$4,tabela_registros[TIPO],DADOS!$P$3,tabela_registros[CATEGORIA],despesafixaconsolidadomar[[#This Row],[DESPESA FIXA]])</f>
        <v>0</v>
      </c>
      <c r="AE41" s="119" t="n">
        <f aca="false">SUMIFS(tabela_registros[VALOR],tabela_registros[MÊS],$AE$1,tabela_registros[DIA],martotal3059[[#Headers],[27]],tabela_registros[REGISTRO],DADOS!$N$4,tabela_registros[TIPO],DADOS!$P$3,tabela_registros[CATEGORIA],despesafixaconsolidadomar[[#This Row],[DESPESA FIXA]])</f>
        <v>0</v>
      </c>
      <c r="AF41" s="119" t="n">
        <f aca="false">SUMIFS(tabela_registros[VALOR],tabela_registros[MÊS],$AE$1,tabela_registros[DIA],martotal3059[[#Headers],[28]],tabela_registros[REGISTRO],DADOS!$N$4,tabela_registros[TIPO],DADOS!$P$3,tabela_registros[CATEGORIA],despesafixaconsolidadomar[[#This Row],[DESPESA FIXA]])</f>
        <v>0</v>
      </c>
      <c r="AG41" s="119" t="n">
        <f aca="false">SUMIFS(tabela_registros[VALOR],tabela_registros[MÊS],$AE$1,tabela_registros[DIA],martotal3059[[#Headers],[29]],tabela_registros[REGISTRO],DADOS!$N$4,tabela_registros[TIPO],DADOS!$P$3,tabela_registros[CATEGORIA],despesafixaconsolidadomar[[#This Row],[DESPESA FIXA]])</f>
        <v>0</v>
      </c>
      <c r="AH41" s="119" t="n">
        <f aca="false">SUMIFS(tabela_registros[VALOR],tabela_registros[MÊS],$AE$1,tabela_registros[DIA],martotal3059[[#Headers],[30]],tabela_registros[REGISTRO],DADOS!$N$4,tabela_registros[TIPO],DADOS!$P$3,tabela_registros[CATEGORIA],despesafixaconsolidadomar[[#This Row],[DESPESA FIXA]])</f>
        <v>0</v>
      </c>
      <c r="AI41" s="217" t="n">
        <f aca="false">SUMIFS(tabela_registros[VALOR],tabela_registros[MÊS],$AE$1,tabela_registros[DIA],martotal3059[[#Headers],[31]],tabela_registros[REGISTRO],DADOS!$N$4,tabela_registros[TIPO],DADOS!$P$3,tabela_registros[CATEGORIA],despesafixaconsolidadomar[[#This Row],[DESPESA FIXA]])</f>
        <v>0</v>
      </c>
      <c r="AJ41" s="149" t="n">
        <f aca="false">SUM(despesafixaconsolidadomar[[#This Row],[1]:[31]])</f>
        <v>0</v>
      </c>
      <c r="AK41" s="143"/>
    </row>
    <row r="42" customFormat="false" ht="18" hidden="false" customHeight="true" outlineLevel="0" collapsed="false">
      <c r="B42" s="143"/>
      <c r="C42" s="144" t="str">
        <f aca="false">DADOS!$R$8</f>
        <v>🏦 EMPRÉSTIMO</v>
      </c>
      <c r="D42" s="145" t="str">
        <f aca="false">IF(despesafixaconsolidadomar[[#This Row],[TOTAL]]=0,"",IF(OR(despesafixaconsolidadomar[[#This Row],[TOTAL]]=LARGE($AJ$37:$AJ$50,1),despesafixaconsolidadomar[[#This Row],[TOTAL]]=LARGE($AJ$37:$AJ$50,2),despesafixaconsolidadomar[[#This Row],[TOTAL]]=LARGE($AJ$37:$AJ$50,3),despesafixaconsolidadomar[[#This Row],[TOTAL]]=LARGE($AJ$37:$AJ$50,4),despesafixaconsolidadomar[[#This Row],[TOTAL]]=LARGE($AJ$37:$AJ$50,5)),DADOS!$I$8,""))</f>
        <v/>
      </c>
      <c r="E42" s="148" t="n">
        <f aca="false">SUMIFS(tabela_registros[VALOR],tabela_registros[MÊS],$AE$1,tabela_registros[DIA],martotal3059[[#Headers],[1]],tabela_registros[REGISTRO],DADOS!$N$4,tabela_registros[TIPO],DADOS!$P$3,tabela_registros[CATEGORIA],despesafixaconsolidadomar[[#This Row],[DESPESA FIXA]])</f>
        <v>0</v>
      </c>
      <c r="F42" s="119" t="n">
        <f aca="false">SUMIFS(tabela_registros[VALOR],tabela_registros[MÊS],$AE$1,tabela_registros[DIA],martotal3059[[#Headers],[2]],tabela_registros[REGISTRO],DADOS!$N$4,tabela_registros[TIPO],DADOS!$P$3,tabela_registros[CATEGORIA],despesafixaconsolidadomar[[#This Row],[DESPESA FIXA]])</f>
        <v>0</v>
      </c>
      <c r="G42" s="119" t="n">
        <f aca="false">SUMIFS(tabela_registros[VALOR],tabela_registros[MÊS],$AE$1,tabela_registros[DIA],martotal3059[[#Headers],[3]],tabela_registros[REGISTRO],DADOS!$N$4,tabela_registros[TIPO],DADOS!$P$3,tabela_registros[CATEGORIA],despesafixaconsolidadomar[[#This Row],[DESPESA FIXA]])</f>
        <v>0</v>
      </c>
      <c r="H42" s="119" t="n">
        <f aca="false">SUMIFS(tabela_registros[VALOR],tabela_registros[MÊS],$AE$1,tabela_registros[DIA],martotal3059[[#Headers],[4]],tabela_registros[REGISTRO],DADOS!$N$4,tabela_registros[TIPO],DADOS!$P$3,tabela_registros[CATEGORIA],despesafixaconsolidadomar[[#This Row],[DESPESA FIXA]])</f>
        <v>0</v>
      </c>
      <c r="I42" s="119" t="n">
        <f aca="false">SUMIFS(tabela_registros[VALOR],tabela_registros[MÊS],$AE$1,tabela_registros[DIA],martotal3059[[#Headers],[5]],tabela_registros[REGISTRO],DADOS!$N$4,tabela_registros[TIPO],DADOS!$P$3,tabela_registros[CATEGORIA],despesafixaconsolidadomar[[#This Row],[DESPESA FIXA]])</f>
        <v>0</v>
      </c>
      <c r="J42" s="119" t="n">
        <f aca="false">SUMIFS(tabela_registros[VALOR],tabela_registros[MÊS],$AE$1,tabela_registros[DIA],martotal3059[[#Headers],[6]],tabela_registros[REGISTRO],DADOS!$N$4,tabela_registros[TIPO],DADOS!$P$3,tabela_registros[CATEGORIA],despesafixaconsolidadomar[[#This Row],[DESPESA FIXA]])</f>
        <v>0</v>
      </c>
      <c r="K42" s="119" t="n">
        <f aca="false">SUMIFS(tabela_registros[VALOR],tabela_registros[MÊS],$AE$1,tabela_registros[DIA],martotal3059[[#Headers],[7]],tabela_registros[REGISTRO],DADOS!$N$4,tabela_registros[TIPO],DADOS!$P$3,tabela_registros[CATEGORIA],despesafixaconsolidadomar[[#This Row],[DESPESA FIXA]])</f>
        <v>0</v>
      </c>
      <c r="L42" s="119" t="n">
        <f aca="false">SUMIFS(tabela_registros[VALOR],tabela_registros[MÊS],$AE$1,tabela_registros[DIA],martotal3059[[#Headers],[8]],tabela_registros[REGISTRO],DADOS!$N$4,tabela_registros[TIPO],DADOS!$P$3,tabela_registros[CATEGORIA],despesafixaconsolidadomar[[#This Row],[DESPESA FIXA]])</f>
        <v>0</v>
      </c>
      <c r="M42" s="119" t="n">
        <f aca="false">SUMIFS(tabela_registros[VALOR],tabela_registros[MÊS],$AE$1,tabela_registros[DIA],martotal3059[[#Headers],[9]],tabela_registros[REGISTRO],DADOS!$N$4,tabela_registros[TIPO],DADOS!$P$3,tabela_registros[CATEGORIA],despesafixaconsolidadomar[[#This Row],[DESPESA FIXA]])</f>
        <v>0</v>
      </c>
      <c r="N42" s="119" t="n">
        <f aca="false">SUMIFS(tabela_registros[VALOR],tabela_registros[MÊS],$AE$1,tabela_registros[DIA],martotal3059[[#Headers],[10]],tabela_registros[REGISTRO],DADOS!$N$4,tabela_registros[TIPO],DADOS!$P$3,tabela_registros[CATEGORIA],despesafixaconsolidadomar[[#This Row],[DESPESA FIXA]])</f>
        <v>0</v>
      </c>
      <c r="O42" s="119" t="n">
        <f aca="false">SUMIFS(tabela_registros[VALOR],tabela_registros[MÊS],$AE$1,tabela_registros[DIA],martotal3059[[#Headers],[11]],tabela_registros[REGISTRO],DADOS!$N$4,tabela_registros[TIPO],DADOS!$P$3,tabela_registros[CATEGORIA],despesafixaconsolidadomar[[#This Row],[DESPESA FIXA]])</f>
        <v>0</v>
      </c>
      <c r="P42" s="119" t="n">
        <f aca="false">SUMIFS(tabela_registros[VALOR],tabela_registros[MÊS],$AE$1,tabela_registros[DIA],martotal3059[[#Headers],[12]],tabela_registros[REGISTRO],DADOS!$N$4,tabela_registros[TIPO],DADOS!$P$3,tabela_registros[CATEGORIA],despesafixaconsolidadomar[[#This Row],[DESPESA FIXA]])</f>
        <v>0</v>
      </c>
      <c r="Q42" s="119" t="n">
        <f aca="false">SUMIFS(tabela_registros[VALOR],tabela_registros[MÊS],$AE$1,tabela_registros[DIA],martotal3059[[#Headers],[13]],tabela_registros[REGISTRO],DADOS!$N$4,tabela_registros[TIPO],DADOS!$P$3,tabela_registros[CATEGORIA],despesafixaconsolidadomar[[#This Row],[DESPESA FIXA]])</f>
        <v>0</v>
      </c>
      <c r="R42" s="119" t="n">
        <f aca="false">SUMIFS(tabela_registros[VALOR],tabela_registros[MÊS],$AE$1,tabela_registros[DIA],martotal3059[[#Headers],[14]],tabela_registros[REGISTRO],DADOS!$N$4,tabela_registros[TIPO],DADOS!$P$3,tabela_registros[CATEGORIA],despesafixaconsolidadomar[[#This Row],[DESPESA FIXA]])</f>
        <v>0</v>
      </c>
      <c r="S42" s="119" t="n">
        <f aca="false">SUMIFS(tabela_registros[VALOR],tabela_registros[MÊS],$AE$1,tabela_registros[DIA],martotal3059[[#Headers],[15]],tabela_registros[REGISTRO],DADOS!$N$4,tabela_registros[TIPO],DADOS!$P$3,tabela_registros[CATEGORIA],despesafixaconsolidadomar[[#This Row],[DESPESA FIXA]])</f>
        <v>0</v>
      </c>
      <c r="T42" s="119" t="n">
        <f aca="false">SUMIFS(tabela_registros[VALOR],tabela_registros[MÊS],$AE$1,tabela_registros[DIA],martotal3059[[#Headers],[16]],tabela_registros[REGISTRO],DADOS!$N$4,tabela_registros[TIPO],DADOS!$P$3,tabela_registros[CATEGORIA],despesafixaconsolidadomar[[#This Row],[DESPESA FIXA]])</f>
        <v>0</v>
      </c>
      <c r="U42" s="119" t="n">
        <f aca="false">SUMIFS(tabela_registros[VALOR],tabela_registros[MÊS],$AE$1,tabela_registros[DIA],martotal3059[[#Headers],[17]],tabela_registros[REGISTRO],DADOS!$N$4,tabela_registros[TIPO],DADOS!$P$3,tabela_registros[CATEGORIA],despesafixaconsolidadomar[[#This Row],[DESPESA FIXA]])</f>
        <v>0</v>
      </c>
      <c r="V42" s="119" t="n">
        <f aca="false">SUMIFS(tabela_registros[VALOR],tabela_registros[MÊS],$AE$1,tabela_registros[DIA],martotal3059[[#Headers],[18]],tabela_registros[REGISTRO],DADOS!$N$4,tabela_registros[TIPO],DADOS!$P$3,tabela_registros[CATEGORIA],despesafixaconsolidadomar[[#This Row],[DESPESA FIXA]])</f>
        <v>0</v>
      </c>
      <c r="W42" s="119" t="n">
        <f aca="false">SUMIFS(tabela_registros[VALOR],tabela_registros[MÊS],$AE$1,tabela_registros[DIA],martotal3059[[#Headers],[19]],tabela_registros[REGISTRO],DADOS!$N$4,tabela_registros[TIPO],DADOS!$P$3,tabela_registros[CATEGORIA],despesafixaconsolidadomar[[#This Row],[DESPESA FIXA]])</f>
        <v>0</v>
      </c>
      <c r="X42" s="119" t="n">
        <f aca="false">SUMIFS(tabela_registros[VALOR],tabela_registros[MÊS],$AE$1,tabela_registros[DIA],martotal3059[[#Headers],[20]],tabela_registros[REGISTRO],DADOS!$N$4,tabela_registros[TIPO],DADOS!$P$3,tabela_registros[CATEGORIA],despesafixaconsolidadomar[[#This Row],[DESPESA FIXA]])</f>
        <v>0</v>
      </c>
      <c r="Y42" s="119" t="n">
        <f aca="false">SUMIFS(tabela_registros[VALOR],tabela_registros[MÊS],$AE$1,tabela_registros[DIA],martotal3059[[#Headers],[21]],tabela_registros[REGISTRO],DADOS!$N$4,tabela_registros[TIPO],DADOS!$P$3,tabela_registros[CATEGORIA],despesafixaconsolidadomar[[#This Row],[DESPESA FIXA]])</f>
        <v>0</v>
      </c>
      <c r="Z42" s="119" t="n">
        <f aca="false">SUMIFS(tabela_registros[VALOR],tabela_registros[MÊS],$AE$1,tabela_registros[DIA],martotal3059[[#Headers],[22]],tabela_registros[REGISTRO],DADOS!$N$4,tabela_registros[TIPO],DADOS!$P$3,tabela_registros[CATEGORIA],despesafixaconsolidadomar[[#This Row],[DESPESA FIXA]])</f>
        <v>0</v>
      </c>
      <c r="AA42" s="119" t="n">
        <f aca="false">SUMIFS(tabela_registros[VALOR],tabela_registros[MÊS],$AE$1,tabela_registros[DIA],martotal3059[[#Headers],[23]],tabela_registros[REGISTRO],DADOS!$N$4,tabela_registros[TIPO],DADOS!$P$3,tabela_registros[CATEGORIA],despesafixaconsolidadomar[[#This Row],[DESPESA FIXA]])</f>
        <v>0</v>
      </c>
      <c r="AB42" s="119" t="n">
        <f aca="false">SUMIFS(tabela_registros[VALOR],tabela_registros[MÊS],$AE$1,tabela_registros[DIA],martotal3059[[#Headers],[24]],tabela_registros[REGISTRO],DADOS!$N$4,tabela_registros[TIPO],DADOS!$P$3,tabela_registros[CATEGORIA],despesafixaconsolidadomar[[#This Row],[DESPESA FIXA]])</f>
        <v>0</v>
      </c>
      <c r="AC42" s="119" t="n">
        <f aca="false">SUMIFS(tabela_registros[VALOR],tabela_registros[MÊS],$AE$1,tabela_registros[DIA],martotal3059[[#Headers],[25]],tabela_registros[REGISTRO],DADOS!$N$4,tabela_registros[TIPO],DADOS!$P$3,tabela_registros[CATEGORIA],despesafixaconsolidadomar[[#This Row],[DESPESA FIXA]])</f>
        <v>0</v>
      </c>
      <c r="AD42" s="119" t="n">
        <f aca="false">SUMIFS(tabela_registros[VALOR],tabela_registros[MÊS],$AE$1,tabela_registros[DIA],martotal3059[[#Headers],[26]],tabela_registros[REGISTRO],DADOS!$N$4,tabela_registros[TIPO],DADOS!$P$3,tabela_registros[CATEGORIA],despesafixaconsolidadomar[[#This Row],[DESPESA FIXA]])</f>
        <v>0</v>
      </c>
      <c r="AE42" s="119" t="n">
        <f aca="false">SUMIFS(tabela_registros[VALOR],tabela_registros[MÊS],$AE$1,tabela_registros[DIA],martotal3059[[#Headers],[27]],tabela_registros[REGISTRO],DADOS!$N$4,tabela_registros[TIPO],DADOS!$P$3,tabela_registros[CATEGORIA],despesafixaconsolidadomar[[#This Row],[DESPESA FIXA]])</f>
        <v>0</v>
      </c>
      <c r="AF42" s="119" t="n">
        <f aca="false">SUMIFS(tabela_registros[VALOR],tabela_registros[MÊS],$AE$1,tabela_registros[DIA],martotal3059[[#Headers],[28]],tabela_registros[REGISTRO],DADOS!$N$4,tabela_registros[TIPO],DADOS!$P$3,tabela_registros[CATEGORIA],despesafixaconsolidadomar[[#This Row],[DESPESA FIXA]])</f>
        <v>0</v>
      </c>
      <c r="AG42" s="119" t="n">
        <f aca="false">SUMIFS(tabela_registros[VALOR],tabela_registros[MÊS],$AE$1,tabela_registros[DIA],martotal3059[[#Headers],[29]],tabela_registros[REGISTRO],DADOS!$N$4,tabela_registros[TIPO],DADOS!$P$3,tabela_registros[CATEGORIA],despesafixaconsolidadomar[[#This Row],[DESPESA FIXA]])</f>
        <v>0</v>
      </c>
      <c r="AH42" s="119" t="n">
        <f aca="false">SUMIFS(tabela_registros[VALOR],tabela_registros[MÊS],$AE$1,tabela_registros[DIA],martotal3059[[#Headers],[30]],tabela_registros[REGISTRO],DADOS!$N$4,tabela_registros[TIPO],DADOS!$P$3,tabela_registros[CATEGORIA],despesafixaconsolidadomar[[#This Row],[DESPESA FIXA]])</f>
        <v>0</v>
      </c>
      <c r="AI42" s="217" t="n">
        <f aca="false">SUMIFS(tabela_registros[VALOR],tabela_registros[MÊS],$AE$1,tabela_registros[DIA],martotal3059[[#Headers],[31]],tabela_registros[REGISTRO],DADOS!$N$4,tabela_registros[TIPO],DADOS!$P$3,tabela_registros[CATEGORIA],despesafixaconsolidadomar[[#This Row],[DESPESA FIXA]])</f>
        <v>0</v>
      </c>
      <c r="AJ42" s="149" t="n">
        <f aca="false">SUM(despesafixaconsolidadomar[[#This Row],[1]:[31]])</f>
        <v>0</v>
      </c>
      <c r="AK42" s="143"/>
    </row>
    <row r="43" customFormat="false" ht="18" hidden="false" customHeight="true" outlineLevel="0" collapsed="false">
      <c r="B43" s="143"/>
      <c r="C43" s="144" t="str">
        <f aca="false">DADOS!$R$9</f>
        <v>💡 ENERGIA</v>
      </c>
      <c r="D43" s="145" t="str">
        <f aca="false">IF(despesafixaconsolidadomar[[#This Row],[TOTAL]]=0,"",IF(OR(despesafixaconsolidadomar[[#This Row],[TOTAL]]=LARGE($AJ$37:$AJ$50,1),despesafixaconsolidadomar[[#This Row],[TOTAL]]=LARGE($AJ$37:$AJ$50,2),despesafixaconsolidadomar[[#This Row],[TOTAL]]=LARGE($AJ$37:$AJ$50,3),despesafixaconsolidadomar[[#This Row],[TOTAL]]=LARGE($AJ$37:$AJ$50,4),despesafixaconsolidadomar[[#This Row],[TOTAL]]=LARGE($AJ$37:$AJ$50,5)),DADOS!$I$8,""))</f>
        <v/>
      </c>
      <c r="E43" s="148" t="n">
        <f aca="false">SUMIFS(tabela_registros[VALOR],tabela_registros[MÊS],$AE$1,tabela_registros[DIA],martotal3059[[#Headers],[1]],tabela_registros[REGISTRO],DADOS!$N$4,tabela_registros[TIPO],DADOS!$P$3,tabela_registros[CATEGORIA],despesafixaconsolidadomar[[#This Row],[DESPESA FIXA]])</f>
        <v>0</v>
      </c>
      <c r="F43" s="119" t="n">
        <f aca="false">SUMIFS(tabela_registros[VALOR],tabela_registros[MÊS],$AE$1,tabela_registros[DIA],martotal3059[[#Headers],[2]],tabela_registros[REGISTRO],DADOS!$N$4,tabela_registros[TIPO],DADOS!$P$3,tabela_registros[CATEGORIA],despesafixaconsolidadomar[[#This Row],[DESPESA FIXA]])</f>
        <v>0</v>
      </c>
      <c r="G43" s="119" t="n">
        <f aca="false">SUMIFS(tabela_registros[VALOR],tabela_registros[MÊS],$AE$1,tabela_registros[DIA],martotal3059[[#Headers],[3]],tabela_registros[REGISTRO],DADOS!$N$4,tabela_registros[TIPO],DADOS!$P$3,tabela_registros[CATEGORIA],despesafixaconsolidadomar[[#This Row],[DESPESA FIXA]])</f>
        <v>0</v>
      </c>
      <c r="H43" s="119" t="n">
        <f aca="false">SUMIFS(tabela_registros[VALOR],tabela_registros[MÊS],$AE$1,tabela_registros[DIA],martotal3059[[#Headers],[4]],tabela_registros[REGISTRO],DADOS!$N$4,tabela_registros[TIPO],DADOS!$P$3,tabela_registros[CATEGORIA],despesafixaconsolidadomar[[#This Row],[DESPESA FIXA]])</f>
        <v>0</v>
      </c>
      <c r="I43" s="119" t="n">
        <f aca="false">SUMIFS(tabela_registros[VALOR],tabela_registros[MÊS],$AE$1,tabela_registros[DIA],martotal3059[[#Headers],[5]],tabela_registros[REGISTRO],DADOS!$N$4,tabela_registros[TIPO],DADOS!$P$3,tabela_registros[CATEGORIA],despesafixaconsolidadomar[[#This Row],[DESPESA FIXA]])</f>
        <v>0</v>
      </c>
      <c r="J43" s="119" t="n">
        <f aca="false">SUMIFS(tabela_registros[VALOR],tabela_registros[MÊS],$AE$1,tabela_registros[DIA],martotal3059[[#Headers],[6]],tabela_registros[REGISTRO],DADOS!$N$4,tabela_registros[TIPO],DADOS!$P$3,tabela_registros[CATEGORIA],despesafixaconsolidadomar[[#This Row],[DESPESA FIXA]])</f>
        <v>0</v>
      </c>
      <c r="K43" s="119" t="n">
        <f aca="false">SUMIFS(tabela_registros[VALOR],tabela_registros[MÊS],$AE$1,tabela_registros[DIA],martotal3059[[#Headers],[7]],tabela_registros[REGISTRO],DADOS!$N$4,tabela_registros[TIPO],DADOS!$P$3,tabela_registros[CATEGORIA],despesafixaconsolidadomar[[#This Row],[DESPESA FIXA]])</f>
        <v>0</v>
      </c>
      <c r="L43" s="119" t="n">
        <f aca="false">SUMIFS(tabela_registros[VALOR],tabela_registros[MÊS],$AE$1,tabela_registros[DIA],martotal3059[[#Headers],[8]],tabela_registros[REGISTRO],DADOS!$N$4,tabela_registros[TIPO],DADOS!$P$3,tabela_registros[CATEGORIA],despesafixaconsolidadomar[[#This Row],[DESPESA FIXA]])</f>
        <v>0</v>
      </c>
      <c r="M43" s="119" t="n">
        <f aca="false">SUMIFS(tabela_registros[VALOR],tabela_registros[MÊS],$AE$1,tabela_registros[DIA],martotal3059[[#Headers],[9]],tabela_registros[REGISTRO],DADOS!$N$4,tabela_registros[TIPO],DADOS!$P$3,tabela_registros[CATEGORIA],despesafixaconsolidadomar[[#This Row],[DESPESA FIXA]])</f>
        <v>0</v>
      </c>
      <c r="N43" s="119" t="n">
        <f aca="false">SUMIFS(tabela_registros[VALOR],tabela_registros[MÊS],$AE$1,tabela_registros[DIA],martotal3059[[#Headers],[10]],tabela_registros[REGISTRO],DADOS!$N$4,tabela_registros[TIPO],DADOS!$P$3,tabela_registros[CATEGORIA],despesafixaconsolidadomar[[#This Row],[DESPESA FIXA]])</f>
        <v>0</v>
      </c>
      <c r="O43" s="119" t="n">
        <f aca="false">SUMIFS(tabela_registros[VALOR],tabela_registros[MÊS],$AE$1,tabela_registros[DIA],martotal3059[[#Headers],[11]],tabela_registros[REGISTRO],DADOS!$N$4,tabela_registros[TIPO],DADOS!$P$3,tabela_registros[CATEGORIA],despesafixaconsolidadomar[[#This Row],[DESPESA FIXA]])</f>
        <v>0</v>
      </c>
      <c r="P43" s="119" t="n">
        <f aca="false">SUMIFS(tabela_registros[VALOR],tabela_registros[MÊS],$AE$1,tabela_registros[DIA],martotal3059[[#Headers],[12]],tabela_registros[REGISTRO],DADOS!$N$4,tabela_registros[TIPO],DADOS!$P$3,tabela_registros[CATEGORIA],despesafixaconsolidadomar[[#This Row],[DESPESA FIXA]])</f>
        <v>0</v>
      </c>
      <c r="Q43" s="119" t="n">
        <f aca="false">SUMIFS(tabela_registros[VALOR],tabela_registros[MÊS],$AE$1,tabela_registros[DIA],martotal3059[[#Headers],[13]],tabela_registros[REGISTRO],DADOS!$N$4,tabela_registros[TIPO],DADOS!$P$3,tabela_registros[CATEGORIA],despesafixaconsolidadomar[[#This Row],[DESPESA FIXA]])</f>
        <v>0</v>
      </c>
      <c r="R43" s="119" t="n">
        <f aca="false">SUMIFS(tabela_registros[VALOR],tabela_registros[MÊS],$AE$1,tabela_registros[DIA],martotal3059[[#Headers],[14]],tabela_registros[REGISTRO],DADOS!$N$4,tabela_registros[TIPO],DADOS!$P$3,tabela_registros[CATEGORIA],despesafixaconsolidadomar[[#This Row],[DESPESA FIXA]])</f>
        <v>0</v>
      </c>
      <c r="S43" s="119" t="n">
        <f aca="false">SUMIFS(tabela_registros[VALOR],tabela_registros[MÊS],$AE$1,tabela_registros[DIA],martotal3059[[#Headers],[15]],tabela_registros[REGISTRO],DADOS!$N$4,tabela_registros[TIPO],DADOS!$P$3,tabela_registros[CATEGORIA],despesafixaconsolidadomar[[#This Row],[DESPESA FIXA]])</f>
        <v>0</v>
      </c>
      <c r="T43" s="119" t="n">
        <f aca="false">SUMIFS(tabela_registros[VALOR],tabela_registros[MÊS],$AE$1,tabela_registros[DIA],martotal3059[[#Headers],[16]],tabela_registros[REGISTRO],DADOS!$N$4,tabela_registros[TIPO],DADOS!$P$3,tabela_registros[CATEGORIA],despesafixaconsolidadomar[[#This Row],[DESPESA FIXA]])</f>
        <v>0</v>
      </c>
      <c r="U43" s="119" t="n">
        <f aca="false">SUMIFS(tabela_registros[VALOR],tabela_registros[MÊS],$AE$1,tabela_registros[DIA],martotal3059[[#Headers],[17]],tabela_registros[REGISTRO],DADOS!$N$4,tabela_registros[TIPO],DADOS!$P$3,tabela_registros[CATEGORIA],despesafixaconsolidadomar[[#This Row],[DESPESA FIXA]])</f>
        <v>0</v>
      </c>
      <c r="V43" s="119" t="n">
        <f aca="false">SUMIFS(tabela_registros[VALOR],tabela_registros[MÊS],$AE$1,tabela_registros[DIA],martotal3059[[#Headers],[18]],tabela_registros[REGISTRO],DADOS!$N$4,tabela_registros[TIPO],DADOS!$P$3,tabela_registros[CATEGORIA],despesafixaconsolidadomar[[#This Row],[DESPESA FIXA]])</f>
        <v>0</v>
      </c>
      <c r="W43" s="119" t="n">
        <f aca="false">SUMIFS(tabela_registros[VALOR],tabela_registros[MÊS],$AE$1,tabela_registros[DIA],martotal3059[[#Headers],[19]],tabela_registros[REGISTRO],DADOS!$N$4,tabela_registros[TIPO],DADOS!$P$3,tabela_registros[CATEGORIA],despesafixaconsolidadomar[[#This Row],[DESPESA FIXA]])</f>
        <v>0</v>
      </c>
      <c r="X43" s="119" t="n">
        <f aca="false">SUMIFS(tabela_registros[VALOR],tabela_registros[MÊS],$AE$1,tabela_registros[DIA],martotal3059[[#Headers],[20]],tabela_registros[REGISTRO],DADOS!$N$4,tabela_registros[TIPO],DADOS!$P$3,tabela_registros[CATEGORIA],despesafixaconsolidadomar[[#This Row],[DESPESA FIXA]])</f>
        <v>0</v>
      </c>
      <c r="Y43" s="119" t="n">
        <f aca="false">SUMIFS(tabela_registros[VALOR],tabela_registros[MÊS],$AE$1,tabela_registros[DIA],martotal3059[[#Headers],[21]],tabela_registros[REGISTRO],DADOS!$N$4,tabela_registros[TIPO],DADOS!$P$3,tabela_registros[CATEGORIA],despesafixaconsolidadomar[[#This Row],[DESPESA FIXA]])</f>
        <v>0</v>
      </c>
      <c r="Z43" s="119" t="n">
        <f aca="false">SUMIFS(tabela_registros[VALOR],tabela_registros[MÊS],$AE$1,tabela_registros[DIA],martotal3059[[#Headers],[22]],tabela_registros[REGISTRO],DADOS!$N$4,tabela_registros[TIPO],DADOS!$P$3,tabela_registros[CATEGORIA],despesafixaconsolidadomar[[#This Row],[DESPESA FIXA]])</f>
        <v>0</v>
      </c>
      <c r="AA43" s="119" t="n">
        <f aca="false">SUMIFS(tabela_registros[VALOR],tabela_registros[MÊS],$AE$1,tabela_registros[DIA],martotal3059[[#Headers],[23]],tabela_registros[REGISTRO],DADOS!$N$4,tabela_registros[TIPO],DADOS!$P$3,tabela_registros[CATEGORIA],despesafixaconsolidadomar[[#This Row],[DESPESA FIXA]])</f>
        <v>0</v>
      </c>
      <c r="AB43" s="119" t="n">
        <f aca="false">SUMIFS(tabela_registros[VALOR],tabela_registros[MÊS],$AE$1,tabela_registros[DIA],martotal3059[[#Headers],[24]],tabela_registros[REGISTRO],DADOS!$N$4,tabela_registros[TIPO],DADOS!$P$3,tabela_registros[CATEGORIA],despesafixaconsolidadomar[[#This Row],[DESPESA FIXA]])</f>
        <v>0</v>
      </c>
      <c r="AC43" s="119" t="n">
        <f aca="false">SUMIFS(tabela_registros[VALOR],tabela_registros[MÊS],$AE$1,tabela_registros[DIA],martotal3059[[#Headers],[25]],tabela_registros[REGISTRO],DADOS!$N$4,tabela_registros[TIPO],DADOS!$P$3,tabela_registros[CATEGORIA],despesafixaconsolidadomar[[#This Row],[DESPESA FIXA]])</f>
        <v>0</v>
      </c>
      <c r="AD43" s="119" t="n">
        <f aca="false">SUMIFS(tabela_registros[VALOR],tabela_registros[MÊS],$AE$1,tabela_registros[DIA],martotal3059[[#Headers],[26]],tabela_registros[REGISTRO],DADOS!$N$4,tabela_registros[TIPO],DADOS!$P$3,tabela_registros[CATEGORIA],despesafixaconsolidadomar[[#This Row],[DESPESA FIXA]])</f>
        <v>0</v>
      </c>
      <c r="AE43" s="119" t="n">
        <f aca="false">SUMIFS(tabela_registros[VALOR],tabela_registros[MÊS],$AE$1,tabela_registros[DIA],martotal3059[[#Headers],[27]],tabela_registros[REGISTRO],DADOS!$N$4,tabela_registros[TIPO],DADOS!$P$3,tabela_registros[CATEGORIA],despesafixaconsolidadomar[[#This Row],[DESPESA FIXA]])</f>
        <v>0</v>
      </c>
      <c r="AF43" s="119" t="n">
        <f aca="false">SUMIFS(tabela_registros[VALOR],tabela_registros[MÊS],$AE$1,tabela_registros[DIA],martotal3059[[#Headers],[28]],tabela_registros[REGISTRO],DADOS!$N$4,tabela_registros[TIPO],DADOS!$P$3,tabela_registros[CATEGORIA],despesafixaconsolidadomar[[#This Row],[DESPESA FIXA]])</f>
        <v>0</v>
      </c>
      <c r="AG43" s="119" t="n">
        <f aca="false">SUMIFS(tabela_registros[VALOR],tabela_registros[MÊS],$AE$1,tabela_registros[DIA],martotal3059[[#Headers],[29]],tabela_registros[REGISTRO],DADOS!$N$4,tabela_registros[TIPO],DADOS!$P$3,tabela_registros[CATEGORIA],despesafixaconsolidadomar[[#This Row],[DESPESA FIXA]])</f>
        <v>0</v>
      </c>
      <c r="AH43" s="119" t="n">
        <f aca="false">SUMIFS(tabela_registros[VALOR],tabela_registros[MÊS],$AE$1,tabela_registros[DIA],martotal3059[[#Headers],[30]],tabela_registros[REGISTRO],DADOS!$N$4,tabela_registros[TIPO],DADOS!$P$3,tabela_registros[CATEGORIA],despesafixaconsolidadomar[[#This Row],[DESPESA FIXA]])</f>
        <v>0</v>
      </c>
      <c r="AI43" s="217" t="n">
        <f aca="false">SUMIFS(tabela_registros[VALOR],tabela_registros[MÊS],$AE$1,tabela_registros[DIA],martotal3059[[#Headers],[31]],tabela_registros[REGISTRO],DADOS!$N$4,tabela_registros[TIPO],DADOS!$P$3,tabela_registros[CATEGORIA],despesafixaconsolidadomar[[#This Row],[DESPESA FIXA]])</f>
        <v>0</v>
      </c>
      <c r="AJ43" s="149" t="n">
        <f aca="false">SUM(despesafixaconsolidadomar[[#This Row],[1]:[31]])</f>
        <v>0</v>
      </c>
      <c r="AK43" s="143"/>
    </row>
    <row r="44" customFormat="false" ht="18" hidden="false" customHeight="true" outlineLevel="0" collapsed="false">
      <c r="B44" s="143"/>
      <c r="C44" s="144" t="str">
        <f aca="false">DADOS!$R$10</f>
        <v>👨‍👩‍👧 FAMÍLIA</v>
      </c>
      <c r="D44" s="145" t="str">
        <f aca="false">IF(despesafixaconsolidadomar[[#This Row],[TOTAL]]=0,"",IF(OR(despesafixaconsolidadomar[[#This Row],[TOTAL]]=LARGE($AJ$37:$AJ$50,1),despesafixaconsolidadomar[[#This Row],[TOTAL]]=LARGE($AJ$37:$AJ$50,2),despesafixaconsolidadomar[[#This Row],[TOTAL]]=LARGE($AJ$37:$AJ$50,3),despesafixaconsolidadomar[[#This Row],[TOTAL]]=LARGE($AJ$37:$AJ$50,4),despesafixaconsolidadomar[[#This Row],[TOTAL]]=LARGE($AJ$37:$AJ$50,5)),DADOS!$I$8,""))</f>
        <v/>
      </c>
      <c r="E44" s="148" t="n">
        <f aca="false">SUMIFS(tabela_registros[VALOR],tabela_registros[MÊS],$AE$1,tabela_registros[DIA],martotal3059[[#Headers],[1]],tabela_registros[REGISTRO],DADOS!$N$4,tabela_registros[TIPO],DADOS!$P$3,tabela_registros[CATEGORIA],despesafixaconsolidadomar[[#This Row],[DESPESA FIXA]])</f>
        <v>0</v>
      </c>
      <c r="F44" s="119" t="n">
        <f aca="false">SUMIFS(tabela_registros[VALOR],tabela_registros[MÊS],$AE$1,tabela_registros[DIA],martotal3059[[#Headers],[2]],tabela_registros[REGISTRO],DADOS!$N$4,tabela_registros[TIPO],DADOS!$P$3,tabela_registros[CATEGORIA],despesafixaconsolidadomar[[#This Row],[DESPESA FIXA]])</f>
        <v>0</v>
      </c>
      <c r="G44" s="119" t="n">
        <f aca="false">SUMIFS(tabela_registros[VALOR],tabela_registros[MÊS],$AE$1,tabela_registros[DIA],martotal3059[[#Headers],[3]],tabela_registros[REGISTRO],DADOS!$N$4,tabela_registros[TIPO],DADOS!$P$3,tabela_registros[CATEGORIA],despesafixaconsolidadomar[[#This Row],[DESPESA FIXA]])</f>
        <v>0</v>
      </c>
      <c r="H44" s="119" t="n">
        <f aca="false">SUMIFS(tabela_registros[VALOR],tabela_registros[MÊS],$AE$1,tabela_registros[DIA],martotal3059[[#Headers],[4]],tabela_registros[REGISTRO],DADOS!$N$4,tabela_registros[TIPO],DADOS!$P$3,tabela_registros[CATEGORIA],despesafixaconsolidadomar[[#This Row],[DESPESA FIXA]])</f>
        <v>0</v>
      </c>
      <c r="I44" s="119" t="n">
        <f aca="false">SUMIFS(tabela_registros[VALOR],tabela_registros[MÊS],$AE$1,tabela_registros[DIA],martotal3059[[#Headers],[5]],tabela_registros[REGISTRO],DADOS!$N$4,tabela_registros[TIPO],DADOS!$P$3,tabela_registros[CATEGORIA],despesafixaconsolidadomar[[#This Row],[DESPESA FIXA]])</f>
        <v>0</v>
      </c>
      <c r="J44" s="119" t="n">
        <f aca="false">SUMIFS(tabela_registros[VALOR],tabela_registros[MÊS],$AE$1,tabela_registros[DIA],martotal3059[[#Headers],[6]],tabela_registros[REGISTRO],DADOS!$N$4,tabela_registros[TIPO],DADOS!$P$3,tabela_registros[CATEGORIA],despesafixaconsolidadomar[[#This Row],[DESPESA FIXA]])</f>
        <v>0</v>
      </c>
      <c r="K44" s="119" t="n">
        <f aca="false">SUMIFS(tabela_registros[VALOR],tabela_registros[MÊS],$AE$1,tabela_registros[DIA],martotal3059[[#Headers],[7]],tabela_registros[REGISTRO],DADOS!$N$4,tabela_registros[TIPO],DADOS!$P$3,tabela_registros[CATEGORIA],despesafixaconsolidadomar[[#This Row],[DESPESA FIXA]])</f>
        <v>0</v>
      </c>
      <c r="L44" s="119" t="n">
        <f aca="false">SUMIFS(tabela_registros[VALOR],tabela_registros[MÊS],$AE$1,tabela_registros[DIA],martotal3059[[#Headers],[8]],tabela_registros[REGISTRO],DADOS!$N$4,tabela_registros[TIPO],DADOS!$P$3,tabela_registros[CATEGORIA],despesafixaconsolidadomar[[#This Row],[DESPESA FIXA]])</f>
        <v>0</v>
      </c>
      <c r="M44" s="119" t="n">
        <f aca="false">SUMIFS(tabela_registros[VALOR],tabela_registros[MÊS],$AE$1,tabela_registros[DIA],martotal3059[[#Headers],[9]],tabela_registros[REGISTRO],DADOS!$N$4,tabela_registros[TIPO],DADOS!$P$3,tabela_registros[CATEGORIA],despesafixaconsolidadomar[[#This Row],[DESPESA FIXA]])</f>
        <v>0</v>
      </c>
      <c r="N44" s="119" t="n">
        <f aca="false">SUMIFS(tabela_registros[VALOR],tabela_registros[MÊS],$AE$1,tabela_registros[DIA],martotal3059[[#Headers],[10]],tabela_registros[REGISTRO],DADOS!$N$4,tabela_registros[TIPO],DADOS!$P$3,tabela_registros[CATEGORIA],despesafixaconsolidadomar[[#This Row],[DESPESA FIXA]])</f>
        <v>0</v>
      </c>
      <c r="O44" s="119" t="n">
        <f aca="false">SUMIFS(tabela_registros[VALOR],tabela_registros[MÊS],$AE$1,tabela_registros[DIA],martotal3059[[#Headers],[11]],tabela_registros[REGISTRO],DADOS!$N$4,tabela_registros[TIPO],DADOS!$P$3,tabela_registros[CATEGORIA],despesafixaconsolidadomar[[#This Row],[DESPESA FIXA]])</f>
        <v>0</v>
      </c>
      <c r="P44" s="119" t="n">
        <f aca="false">SUMIFS(tabela_registros[VALOR],tabela_registros[MÊS],$AE$1,tabela_registros[DIA],martotal3059[[#Headers],[12]],tabela_registros[REGISTRO],DADOS!$N$4,tabela_registros[TIPO],DADOS!$P$3,tabela_registros[CATEGORIA],despesafixaconsolidadomar[[#This Row],[DESPESA FIXA]])</f>
        <v>0</v>
      </c>
      <c r="Q44" s="119" t="n">
        <f aca="false">SUMIFS(tabela_registros[VALOR],tabela_registros[MÊS],$AE$1,tabela_registros[DIA],martotal3059[[#Headers],[13]],tabela_registros[REGISTRO],DADOS!$N$4,tabela_registros[TIPO],DADOS!$P$3,tabela_registros[CATEGORIA],despesafixaconsolidadomar[[#This Row],[DESPESA FIXA]])</f>
        <v>0</v>
      </c>
      <c r="R44" s="119" t="n">
        <f aca="false">SUMIFS(tabela_registros[VALOR],tabela_registros[MÊS],$AE$1,tabela_registros[DIA],martotal3059[[#Headers],[14]],tabela_registros[REGISTRO],DADOS!$N$4,tabela_registros[TIPO],DADOS!$P$3,tabela_registros[CATEGORIA],despesafixaconsolidadomar[[#This Row],[DESPESA FIXA]])</f>
        <v>0</v>
      </c>
      <c r="S44" s="119" t="n">
        <f aca="false">SUMIFS(tabela_registros[VALOR],tabela_registros[MÊS],$AE$1,tabela_registros[DIA],martotal3059[[#Headers],[15]],tabela_registros[REGISTRO],DADOS!$N$4,tabela_registros[TIPO],DADOS!$P$3,tabela_registros[CATEGORIA],despesafixaconsolidadomar[[#This Row],[DESPESA FIXA]])</f>
        <v>0</v>
      </c>
      <c r="T44" s="119" t="n">
        <f aca="false">SUMIFS(tabela_registros[VALOR],tabela_registros[MÊS],$AE$1,tabela_registros[DIA],martotal3059[[#Headers],[16]],tabela_registros[REGISTRO],DADOS!$N$4,tabela_registros[TIPO],DADOS!$P$3,tabela_registros[CATEGORIA],despesafixaconsolidadomar[[#This Row],[DESPESA FIXA]])</f>
        <v>0</v>
      </c>
      <c r="U44" s="119" t="n">
        <f aca="false">SUMIFS(tabela_registros[VALOR],tabela_registros[MÊS],$AE$1,tabela_registros[DIA],martotal3059[[#Headers],[17]],tabela_registros[REGISTRO],DADOS!$N$4,tabela_registros[TIPO],DADOS!$P$3,tabela_registros[CATEGORIA],despesafixaconsolidadomar[[#This Row],[DESPESA FIXA]])</f>
        <v>0</v>
      </c>
      <c r="V44" s="119" t="n">
        <f aca="false">SUMIFS(tabela_registros[VALOR],tabela_registros[MÊS],$AE$1,tabela_registros[DIA],martotal3059[[#Headers],[18]],tabela_registros[REGISTRO],DADOS!$N$4,tabela_registros[TIPO],DADOS!$P$3,tabela_registros[CATEGORIA],despesafixaconsolidadomar[[#This Row],[DESPESA FIXA]])</f>
        <v>0</v>
      </c>
      <c r="W44" s="119" t="n">
        <f aca="false">SUMIFS(tabela_registros[VALOR],tabela_registros[MÊS],$AE$1,tabela_registros[DIA],martotal3059[[#Headers],[19]],tabela_registros[REGISTRO],DADOS!$N$4,tabela_registros[TIPO],DADOS!$P$3,tabela_registros[CATEGORIA],despesafixaconsolidadomar[[#This Row],[DESPESA FIXA]])</f>
        <v>0</v>
      </c>
      <c r="X44" s="119" t="n">
        <f aca="false">SUMIFS(tabela_registros[VALOR],tabela_registros[MÊS],$AE$1,tabela_registros[DIA],martotal3059[[#Headers],[20]],tabela_registros[REGISTRO],DADOS!$N$4,tabela_registros[TIPO],DADOS!$P$3,tabela_registros[CATEGORIA],despesafixaconsolidadomar[[#This Row],[DESPESA FIXA]])</f>
        <v>0</v>
      </c>
      <c r="Y44" s="119" t="n">
        <f aca="false">SUMIFS(tabela_registros[VALOR],tabela_registros[MÊS],$AE$1,tabela_registros[DIA],martotal3059[[#Headers],[21]],tabela_registros[REGISTRO],DADOS!$N$4,tabela_registros[TIPO],DADOS!$P$3,tabela_registros[CATEGORIA],despesafixaconsolidadomar[[#This Row],[DESPESA FIXA]])</f>
        <v>0</v>
      </c>
      <c r="Z44" s="119" t="n">
        <f aca="false">SUMIFS(tabela_registros[VALOR],tabela_registros[MÊS],$AE$1,tabela_registros[DIA],martotal3059[[#Headers],[22]],tabela_registros[REGISTRO],DADOS!$N$4,tabela_registros[TIPO],DADOS!$P$3,tabela_registros[CATEGORIA],despesafixaconsolidadomar[[#This Row],[DESPESA FIXA]])</f>
        <v>0</v>
      </c>
      <c r="AA44" s="119" t="n">
        <f aca="false">SUMIFS(tabela_registros[VALOR],tabela_registros[MÊS],$AE$1,tabela_registros[DIA],martotal3059[[#Headers],[23]],tabela_registros[REGISTRO],DADOS!$N$4,tabela_registros[TIPO],DADOS!$P$3,tabela_registros[CATEGORIA],despesafixaconsolidadomar[[#This Row],[DESPESA FIXA]])</f>
        <v>0</v>
      </c>
      <c r="AB44" s="119" t="n">
        <f aca="false">SUMIFS(tabela_registros[VALOR],tabela_registros[MÊS],$AE$1,tabela_registros[DIA],martotal3059[[#Headers],[24]],tabela_registros[REGISTRO],DADOS!$N$4,tabela_registros[TIPO],DADOS!$P$3,tabela_registros[CATEGORIA],despesafixaconsolidadomar[[#This Row],[DESPESA FIXA]])</f>
        <v>0</v>
      </c>
      <c r="AC44" s="119" t="n">
        <f aca="false">SUMIFS(tabela_registros[VALOR],tabela_registros[MÊS],$AE$1,tabela_registros[DIA],martotal3059[[#Headers],[25]],tabela_registros[REGISTRO],DADOS!$N$4,tabela_registros[TIPO],DADOS!$P$3,tabela_registros[CATEGORIA],despesafixaconsolidadomar[[#This Row],[DESPESA FIXA]])</f>
        <v>0</v>
      </c>
      <c r="AD44" s="119" t="n">
        <f aca="false">SUMIFS(tabela_registros[VALOR],tabela_registros[MÊS],$AE$1,tabela_registros[DIA],martotal3059[[#Headers],[26]],tabela_registros[REGISTRO],DADOS!$N$4,tabela_registros[TIPO],DADOS!$P$3,tabela_registros[CATEGORIA],despesafixaconsolidadomar[[#This Row],[DESPESA FIXA]])</f>
        <v>0</v>
      </c>
      <c r="AE44" s="119" t="n">
        <f aca="false">SUMIFS(tabela_registros[VALOR],tabela_registros[MÊS],$AE$1,tabela_registros[DIA],martotal3059[[#Headers],[27]],tabela_registros[REGISTRO],DADOS!$N$4,tabela_registros[TIPO],DADOS!$P$3,tabela_registros[CATEGORIA],despesafixaconsolidadomar[[#This Row],[DESPESA FIXA]])</f>
        <v>0</v>
      </c>
      <c r="AF44" s="119" t="n">
        <f aca="false">SUMIFS(tabela_registros[VALOR],tabela_registros[MÊS],$AE$1,tabela_registros[DIA],martotal3059[[#Headers],[28]],tabela_registros[REGISTRO],DADOS!$N$4,tabela_registros[TIPO],DADOS!$P$3,tabela_registros[CATEGORIA],despesafixaconsolidadomar[[#This Row],[DESPESA FIXA]])</f>
        <v>0</v>
      </c>
      <c r="AG44" s="119" t="n">
        <f aca="false">SUMIFS(tabela_registros[VALOR],tabela_registros[MÊS],$AE$1,tabela_registros[DIA],martotal3059[[#Headers],[29]],tabela_registros[REGISTRO],DADOS!$N$4,tabela_registros[TIPO],DADOS!$P$3,tabela_registros[CATEGORIA],despesafixaconsolidadomar[[#This Row],[DESPESA FIXA]])</f>
        <v>0</v>
      </c>
      <c r="AH44" s="119" t="n">
        <f aca="false">SUMIFS(tabela_registros[VALOR],tabela_registros[MÊS],$AE$1,tabela_registros[DIA],martotal3059[[#Headers],[30]],tabela_registros[REGISTRO],DADOS!$N$4,tabela_registros[TIPO],DADOS!$P$3,tabela_registros[CATEGORIA],despesafixaconsolidadomar[[#This Row],[DESPESA FIXA]])</f>
        <v>0</v>
      </c>
      <c r="AI44" s="217" t="n">
        <f aca="false">SUMIFS(tabela_registros[VALOR],tabela_registros[MÊS],$AE$1,tabela_registros[DIA],martotal3059[[#Headers],[31]],tabela_registros[REGISTRO],DADOS!$N$4,tabela_registros[TIPO],DADOS!$P$3,tabela_registros[CATEGORIA],despesafixaconsolidadomar[[#This Row],[DESPESA FIXA]])</f>
        <v>0</v>
      </c>
      <c r="AJ44" s="149" t="n">
        <f aca="false">SUM(despesafixaconsolidadomar[[#This Row],[1]:[31]])</f>
        <v>0</v>
      </c>
      <c r="AK44" s="143"/>
    </row>
    <row r="45" customFormat="false" ht="18" hidden="false" customHeight="true" outlineLevel="0" collapsed="false">
      <c r="B45" s="143"/>
      <c r="C45" s="144" t="str">
        <f aca="false">DADOS!$R$11</f>
        <v>🔢 IMPOSTOS</v>
      </c>
      <c r="D45" s="145" t="str">
        <f aca="false">IF(despesafixaconsolidadomar[[#This Row],[TOTAL]]=0,"",IF(OR(despesafixaconsolidadomar[[#This Row],[TOTAL]]=LARGE($AJ$37:$AJ$50,1),despesafixaconsolidadomar[[#This Row],[TOTAL]]=LARGE($AJ$37:$AJ$50,2),despesafixaconsolidadomar[[#This Row],[TOTAL]]=LARGE($AJ$37:$AJ$50,3),despesafixaconsolidadomar[[#This Row],[TOTAL]]=LARGE($AJ$37:$AJ$50,4),despesafixaconsolidadomar[[#This Row],[TOTAL]]=LARGE($AJ$37:$AJ$50,5)),DADOS!$I$8,""))</f>
        <v/>
      </c>
      <c r="E45" s="148" t="n">
        <f aca="false">SUMIFS(tabela_registros[VALOR],tabela_registros[MÊS],$AE$1,tabela_registros[DIA],martotal3059[[#Headers],[1]],tabela_registros[REGISTRO],DADOS!$N$4,tabela_registros[TIPO],DADOS!$P$3,tabela_registros[CATEGORIA],despesafixaconsolidadomar[[#This Row],[DESPESA FIXA]])</f>
        <v>0</v>
      </c>
      <c r="F45" s="119" t="n">
        <f aca="false">SUMIFS(tabela_registros[VALOR],tabela_registros[MÊS],$AE$1,tabela_registros[DIA],martotal3059[[#Headers],[2]],tabela_registros[REGISTRO],DADOS!$N$4,tabela_registros[TIPO],DADOS!$P$3,tabela_registros[CATEGORIA],despesafixaconsolidadomar[[#This Row],[DESPESA FIXA]])</f>
        <v>0</v>
      </c>
      <c r="G45" s="119" t="n">
        <f aca="false">SUMIFS(tabela_registros[VALOR],tabela_registros[MÊS],$AE$1,tabela_registros[DIA],martotal3059[[#Headers],[3]],tabela_registros[REGISTRO],DADOS!$N$4,tabela_registros[TIPO],DADOS!$P$3,tabela_registros[CATEGORIA],despesafixaconsolidadomar[[#This Row],[DESPESA FIXA]])</f>
        <v>0</v>
      </c>
      <c r="H45" s="119" t="n">
        <f aca="false">SUMIFS(tabela_registros[VALOR],tabela_registros[MÊS],$AE$1,tabela_registros[DIA],martotal3059[[#Headers],[4]],tabela_registros[REGISTRO],DADOS!$N$4,tabela_registros[TIPO],DADOS!$P$3,tabela_registros[CATEGORIA],despesafixaconsolidadomar[[#This Row],[DESPESA FIXA]])</f>
        <v>0</v>
      </c>
      <c r="I45" s="119" t="n">
        <f aca="false">SUMIFS(tabela_registros[VALOR],tabela_registros[MÊS],$AE$1,tabela_registros[DIA],martotal3059[[#Headers],[5]],tabela_registros[REGISTRO],DADOS!$N$4,tabela_registros[TIPO],DADOS!$P$3,tabela_registros[CATEGORIA],despesafixaconsolidadomar[[#This Row],[DESPESA FIXA]])</f>
        <v>0</v>
      </c>
      <c r="J45" s="119" t="n">
        <f aca="false">SUMIFS(tabela_registros[VALOR],tabela_registros[MÊS],$AE$1,tabela_registros[DIA],martotal3059[[#Headers],[6]],tabela_registros[REGISTRO],DADOS!$N$4,tabela_registros[TIPO],DADOS!$P$3,tabela_registros[CATEGORIA],despesafixaconsolidadomar[[#This Row],[DESPESA FIXA]])</f>
        <v>0</v>
      </c>
      <c r="K45" s="119" t="n">
        <f aca="false">SUMIFS(tabela_registros[VALOR],tabela_registros[MÊS],$AE$1,tabela_registros[DIA],martotal3059[[#Headers],[7]],tabela_registros[REGISTRO],DADOS!$N$4,tabela_registros[TIPO],DADOS!$P$3,tabela_registros[CATEGORIA],despesafixaconsolidadomar[[#This Row],[DESPESA FIXA]])</f>
        <v>0</v>
      </c>
      <c r="L45" s="119" t="n">
        <f aca="false">SUMIFS(tabela_registros[VALOR],tabela_registros[MÊS],$AE$1,tabela_registros[DIA],martotal3059[[#Headers],[8]],tabela_registros[REGISTRO],DADOS!$N$4,tabela_registros[TIPO],DADOS!$P$3,tabela_registros[CATEGORIA],despesafixaconsolidadomar[[#This Row],[DESPESA FIXA]])</f>
        <v>0</v>
      </c>
      <c r="M45" s="119" t="n">
        <f aca="false">SUMIFS(tabela_registros[VALOR],tabela_registros[MÊS],$AE$1,tabela_registros[DIA],martotal3059[[#Headers],[9]],tabela_registros[REGISTRO],DADOS!$N$4,tabela_registros[TIPO],DADOS!$P$3,tabela_registros[CATEGORIA],despesafixaconsolidadomar[[#This Row],[DESPESA FIXA]])</f>
        <v>0</v>
      </c>
      <c r="N45" s="119" t="n">
        <f aca="false">SUMIFS(tabela_registros[VALOR],tabela_registros[MÊS],$AE$1,tabela_registros[DIA],martotal3059[[#Headers],[10]],tabela_registros[REGISTRO],DADOS!$N$4,tabela_registros[TIPO],DADOS!$P$3,tabela_registros[CATEGORIA],despesafixaconsolidadomar[[#This Row],[DESPESA FIXA]])</f>
        <v>0</v>
      </c>
      <c r="O45" s="119" t="n">
        <f aca="false">SUMIFS(tabela_registros[VALOR],tabela_registros[MÊS],$AE$1,tabela_registros[DIA],martotal3059[[#Headers],[11]],tabela_registros[REGISTRO],DADOS!$N$4,tabela_registros[TIPO],DADOS!$P$3,tabela_registros[CATEGORIA],despesafixaconsolidadomar[[#This Row],[DESPESA FIXA]])</f>
        <v>0</v>
      </c>
      <c r="P45" s="119" t="n">
        <f aca="false">SUMIFS(tabela_registros[VALOR],tabela_registros[MÊS],$AE$1,tabela_registros[DIA],martotal3059[[#Headers],[12]],tabela_registros[REGISTRO],DADOS!$N$4,tabela_registros[TIPO],DADOS!$P$3,tabela_registros[CATEGORIA],despesafixaconsolidadomar[[#This Row],[DESPESA FIXA]])</f>
        <v>0</v>
      </c>
      <c r="Q45" s="119" t="n">
        <f aca="false">SUMIFS(tabela_registros[VALOR],tabela_registros[MÊS],$AE$1,tabela_registros[DIA],martotal3059[[#Headers],[13]],tabela_registros[REGISTRO],DADOS!$N$4,tabela_registros[TIPO],DADOS!$P$3,tabela_registros[CATEGORIA],despesafixaconsolidadomar[[#This Row],[DESPESA FIXA]])</f>
        <v>0</v>
      </c>
      <c r="R45" s="119" t="n">
        <f aca="false">SUMIFS(tabela_registros[VALOR],tabela_registros[MÊS],$AE$1,tabela_registros[DIA],martotal3059[[#Headers],[14]],tabela_registros[REGISTRO],DADOS!$N$4,tabela_registros[TIPO],DADOS!$P$3,tabela_registros[CATEGORIA],despesafixaconsolidadomar[[#This Row],[DESPESA FIXA]])</f>
        <v>0</v>
      </c>
      <c r="S45" s="119" t="n">
        <f aca="false">SUMIFS(tabela_registros[VALOR],tabela_registros[MÊS],$AE$1,tabela_registros[DIA],martotal3059[[#Headers],[15]],tabela_registros[REGISTRO],DADOS!$N$4,tabela_registros[TIPO],DADOS!$P$3,tabela_registros[CATEGORIA],despesafixaconsolidadomar[[#This Row],[DESPESA FIXA]])</f>
        <v>0</v>
      </c>
      <c r="T45" s="119" t="n">
        <f aca="false">SUMIFS(tabela_registros[VALOR],tabela_registros[MÊS],$AE$1,tabela_registros[DIA],martotal3059[[#Headers],[16]],tabela_registros[REGISTRO],DADOS!$N$4,tabela_registros[TIPO],DADOS!$P$3,tabela_registros[CATEGORIA],despesafixaconsolidadomar[[#This Row],[DESPESA FIXA]])</f>
        <v>0</v>
      </c>
      <c r="U45" s="119" t="n">
        <f aca="false">SUMIFS(tabela_registros[VALOR],tabela_registros[MÊS],$AE$1,tabela_registros[DIA],martotal3059[[#Headers],[17]],tabela_registros[REGISTRO],DADOS!$N$4,tabela_registros[TIPO],DADOS!$P$3,tabela_registros[CATEGORIA],despesafixaconsolidadomar[[#This Row],[DESPESA FIXA]])</f>
        <v>0</v>
      </c>
      <c r="V45" s="119" t="n">
        <f aca="false">SUMIFS(tabela_registros[VALOR],tabela_registros[MÊS],$AE$1,tabela_registros[DIA],martotal3059[[#Headers],[18]],tabela_registros[REGISTRO],DADOS!$N$4,tabela_registros[TIPO],DADOS!$P$3,tabela_registros[CATEGORIA],despesafixaconsolidadomar[[#This Row],[DESPESA FIXA]])</f>
        <v>0</v>
      </c>
      <c r="W45" s="119" t="n">
        <f aca="false">SUMIFS(tabela_registros[VALOR],tabela_registros[MÊS],$AE$1,tabela_registros[DIA],martotal3059[[#Headers],[19]],tabela_registros[REGISTRO],DADOS!$N$4,tabela_registros[TIPO],DADOS!$P$3,tabela_registros[CATEGORIA],despesafixaconsolidadomar[[#This Row],[DESPESA FIXA]])</f>
        <v>0</v>
      </c>
      <c r="X45" s="119" t="n">
        <f aca="false">SUMIFS(tabela_registros[VALOR],tabela_registros[MÊS],$AE$1,tabela_registros[DIA],martotal3059[[#Headers],[20]],tabela_registros[REGISTRO],DADOS!$N$4,tabela_registros[TIPO],DADOS!$P$3,tabela_registros[CATEGORIA],despesafixaconsolidadomar[[#This Row],[DESPESA FIXA]])</f>
        <v>0</v>
      </c>
      <c r="Y45" s="119" t="n">
        <f aca="false">SUMIFS(tabela_registros[VALOR],tabela_registros[MÊS],$AE$1,tabela_registros[DIA],martotal3059[[#Headers],[21]],tabela_registros[REGISTRO],DADOS!$N$4,tabela_registros[TIPO],DADOS!$P$3,tabela_registros[CATEGORIA],despesafixaconsolidadomar[[#This Row],[DESPESA FIXA]])</f>
        <v>0</v>
      </c>
      <c r="Z45" s="119" t="n">
        <f aca="false">SUMIFS(tabela_registros[VALOR],tabela_registros[MÊS],$AE$1,tabela_registros[DIA],martotal3059[[#Headers],[22]],tabela_registros[REGISTRO],DADOS!$N$4,tabela_registros[TIPO],DADOS!$P$3,tabela_registros[CATEGORIA],despesafixaconsolidadomar[[#This Row],[DESPESA FIXA]])</f>
        <v>0</v>
      </c>
      <c r="AA45" s="119" t="n">
        <f aca="false">SUMIFS(tabela_registros[VALOR],tabela_registros[MÊS],$AE$1,tabela_registros[DIA],martotal3059[[#Headers],[23]],tabela_registros[REGISTRO],DADOS!$N$4,tabela_registros[TIPO],DADOS!$P$3,tabela_registros[CATEGORIA],despesafixaconsolidadomar[[#This Row],[DESPESA FIXA]])</f>
        <v>0</v>
      </c>
      <c r="AB45" s="119" t="n">
        <f aca="false">SUMIFS(tabela_registros[VALOR],tabela_registros[MÊS],$AE$1,tabela_registros[DIA],martotal3059[[#Headers],[24]],tabela_registros[REGISTRO],DADOS!$N$4,tabela_registros[TIPO],DADOS!$P$3,tabela_registros[CATEGORIA],despesafixaconsolidadomar[[#This Row],[DESPESA FIXA]])</f>
        <v>0</v>
      </c>
      <c r="AC45" s="119" t="n">
        <f aca="false">SUMIFS(tabela_registros[VALOR],tabela_registros[MÊS],$AE$1,tabela_registros[DIA],martotal3059[[#Headers],[25]],tabela_registros[REGISTRO],DADOS!$N$4,tabela_registros[TIPO],DADOS!$P$3,tabela_registros[CATEGORIA],despesafixaconsolidadomar[[#This Row],[DESPESA FIXA]])</f>
        <v>0</v>
      </c>
      <c r="AD45" s="119" t="n">
        <f aca="false">SUMIFS(tabela_registros[VALOR],tabela_registros[MÊS],$AE$1,tabela_registros[DIA],martotal3059[[#Headers],[26]],tabela_registros[REGISTRO],DADOS!$N$4,tabela_registros[TIPO],DADOS!$P$3,tabela_registros[CATEGORIA],despesafixaconsolidadomar[[#This Row],[DESPESA FIXA]])</f>
        <v>0</v>
      </c>
      <c r="AE45" s="119" t="n">
        <f aca="false">SUMIFS(tabela_registros[VALOR],tabela_registros[MÊS],$AE$1,tabela_registros[DIA],martotal3059[[#Headers],[27]],tabela_registros[REGISTRO],DADOS!$N$4,tabela_registros[TIPO],DADOS!$P$3,tabela_registros[CATEGORIA],despesafixaconsolidadomar[[#This Row],[DESPESA FIXA]])</f>
        <v>0</v>
      </c>
      <c r="AF45" s="119" t="n">
        <f aca="false">SUMIFS(tabela_registros[VALOR],tabela_registros[MÊS],$AE$1,tabela_registros[DIA],martotal3059[[#Headers],[28]],tabela_registros[REGISTRO],DADOS!$N$4,tabela_registros[TIPO],DADOS!$P$3,tabela_registros[CATEGORIA],despesafixaconsolidadomar[[#This Row],[DESPESA FIXA]])</f>
        <v>0</v>
      </c>
      <c r="AG45" s="119" t="n">
        <f aca="false">SUMIFS(tabela_registros[VALOR],tabela_registros[MÊS],$AE$1,tabela_registros[DIA],martotal3059[[#Headers],[29]],tabela_registros[REGISTRO],DADOS!$N$4,tabela_registros[TIPO],DADOS!$P$3,tabela_registros[CATEGORIA],despesafixaconsolidadomar[[#This Row],[DESPESA FIXA]])</f>
        <v>0</v>
      </c>
      <c r="AH45" s="119" t="n">
        <f aca="false">SUMIFS(tabela_registros[VALOR],tabela_registros[MÊS],$AE$1,tabela_registros[DIA],martotal3059[[#Headers],[30]],tabela_registros[REGISTRO],DADOS!$N$4,tabela_registros[TIPO],DADOS!$P$3,tabela_registros[CATEGORIA],despesafixaconsolidadomar[[#This Row],[DESPESA FIXA]])</f>
        <v>0</v>
      </c>
      <c r="AI45" s="217" t="n">
        <f aca="false">SUMIFS(tabela_registros[VALOR],tabela_registros[MÊS],$AE$1,tabela_registros[DIA],martotal3059[[#Headers],[31]],tabela_registros[REGISTRO],DADOS!$N$4,tabela_registros[TIPO],DADOS!$P$3,tabela_registros[CATEGORIA],despesafixaconsolidadomar[[#This Row],[DESPESA FIXA]])</f>
        <v>0</v>
      </c>
      <c r="AJ45" s="149" t="n">
        <f aca="false">SUM(despesafixaconsolidadomar[[#This Row],[1]:[31]])</f>
        <v>0</v>
      </c>
      <c r="AK45" s="143"/>
    </row>
    <row r="46" customFormat="false" ht="18" hidden="false" customHeight="true" outlineLevel="0" collapsed="false">
      <c r="B46" s="143"/>
      <c r="C46" s="144" t="str">
        <f aca="false">DADOS!$R$12</f>
        <v>🖱️ INTERNET</v>
      </c>
      <c r="D46" s="145" t="str">
        <f aca="false">IF(despesafixaconsolidadomar[[#This Row],[TOTAL]]=0,"",IF(OR(despesafixaconsolidadomar[[#This Row],[TOTAL]]=LARGE($AJ$37:$AJ$50,1),despesafixaconsolidadomar[[#This Row],[TOTAL]]=LARGE($AJ$37:$AJ$50,2),despesafixaconsolidadomar[[#This Row],[TOTAL]]=LARGE($AJ$37:$AJ$50,3),despesafixaconsolidadomar[[#This Row],[TOTAL]]=LARGE($AJ$37:$AJ$50,4),despesafixaconsolidadomar[[#This Row],[TOTAL]]=LARGE($AJ$37:$AJ$50,5)),DADOS!$I$8,""))</f>
        <v/>
      </c>
      <c r="E46" s="148" t="n">
        <f aca="false">SUMIFS(tabela_registros[VALOR],tabela_registros[MÊS],$AE$1,tabela_registros[DIA],martotal3059[[#Headers],[1]],tabela_registros[REGISTRO],DADOS!$N$4,tabela_registros[TIPO],DADOS!$P$3,tabela_registros[CATEGORIA],despesafixaconsolidadomar[[#This Row],[DESPESA FIXA]])</f>
        <v>0</v>
      </c>
      <c r="F46" s="119" t="n">
        <f aca="false">SUMIFS(tabela_registros[VALOR],tabela_registros[MÊS],$AE$1,tabela_registros[DIA],martotal3059[[#Headers],[2]],tabela_registros[REGISTRO],DADOS!$N$4,tabela_registros[TIPO],DADOS!$P$3,tabela_registros[CATEGORIA],despesafixaconsolidadomar[[#This Row],[DESPESA FIXA]])</f>
        <v>0</v>
      </c>
      <c r="G46" s="119" t="n">
        <f aca="false">SUMIFS(tabela_registros[VALOR],tabela_registros[MÊS],$AE$1,tabela_registros[DIA],martotal3059[[#Headers],[3]],tabela_registros[REGISTRO],DADOS!$N$4,tabela_registros[TIPO],DADOS!$P$3,tabela_registros[CATEGORIA],despesafixaconsolidadomar[[#This Row],[DESPESA FIXA]])</f>
        <v>0</v>
      </c>
      <c r="H46" s="119" t="n">
        <f aca="false">SUMIFS(tabela_registros[VALOR],tabela_registros[MÊS],$AE$1,tabela_registros[DIA],martotal3059[[#Headers],[4]],tabela_registros[REGISTRO],DADOS!$N$4,tabela_registros[TIPO],DADOS!$P$3,tabela_registros[CATEGORIA],despesafixaconsolidadomar[[#This Row],[DESPESA FIXA]])</f>
        <v>0</v>
      </c>
      <c r="I46" s="119" t="n">
        <f aca="false">SUMIFS(tabela_registros[VALOR],tabela_registros[MÊS],$AE$1,tabela_registros[DIA],martotal3059[[#Headers],[5]],tabela_registros[REGISTRO],DADOS!$N$4,tabela_registros[TIPO],DADOS!$P$3,tabela_registros[CATEGORIA],despesafixaconsolidadomar[[#This Row],[DESPESA FIXA]])</f>
        <v>0</v>
      </c>
      <c r="J46" s="119" t="n">
        <f aca="false">SUMIFS(tabela_registros[VALOR],tabela_registros[MÊS],$AE$1,tabela_registros[DIA],martotal3059[[#Headers],[6]],tabela_registros[REGISTRO],DADOS!$N$4,tabela_registros[TIPO],DADOS!$P$3,tabela_registros[CATEGORIA],despesafixaconsolidadomar[[#This Row],[DESPESA FIXA]])</f>
        <v>0</v>
      </c>
      <c r="K46" s="119" t="n">
        <f aca="false">SUMIFS(tabela_registros[VALOR],tabela_registros[MÊS],$AE$1,tabela_registros[DIA],martotal3059[[#Headers],[7]],tabela_registros[REGISTRO],DADOS!$N$4,tabela_registros[TIPO],DADOS!$P$3,tabela_registros[CATEGORIA],despesafixaconsolidadomar[[#This Row],[DESPESA FIXA]])</f>
        <v>0</v>
      </c>
      <c r="L46" s="119" t="n">
        <f aca="false">SUMIFS(tabela_registros[VALOR],tabela_registros[MÊS],$AE$1,tabela_registros[DIA],martotal3059[[#Headers],[8]],tabela_registros[REGISTRO],DADOS!$N$4,tabela_registros[TIPO],DADOS!$P$3,tabela_registros[CATEGORIA],despesafixaconsolidadomar[[#This Row],[DESPESA FIXA]])</f>
        <v>0</v>
      </c>
      <c r="M46" s="119" t="n">
        <f aca="false">SUMIFS(tabela_registros[VALOR],tabela_registros[MÊS],$AE$1,tabela_registros[DIA],martotal3059[[#Headers],[9]],tabela_registros[REGISTRO],DADOS!$N$4,tabela_registros[TIPO],DADOS!$P$3,tabela_registros[CATEGORIA],despesafixaconsolidadomar[[#This Row],[DESPESA FIXA]])</f>
        <v>0</v>
      </c>
      <c r="N46" s="119" t="n">
        <f aca="false">SUMIFS(tabela_registros[VALOR],tabela_registros[MÊS],$AE$1,tabela_registros[DIA],martotal3059[[#Headers],[10]],tabela_registros[REGISTRO],DADOS!$N$4,tabela_registros[TIPO],DADOS!$P$3,tabela_registros[CATEGORIA],despesafixaconsolidadomar[[#This Row],[DESPESA FIXA]])</f>
        <v>0</v>
      </c>
      <c r="O46" s="119" t="n">
        <f aca="false">SUMIFS(tabela_registros[VALOR],tabela_registros[MÊS],$AE$1,tabela_registros[DIA],martotal3059[[#Headers],[11]],tabela_registros[REGISTRO],DADOS!$N$4,tabela_registros[TIPO],DADOS!$P$3,tabela_registros[CATEGORIA],despesafixaconsolidadomar[[#This Row],[DESPESA FIXA]])</f>
        <v>0</v>
      </c>
      <c r="P46" s="119" t="n">
        <f aca="false">SUMIFS(tabela_registros[VALOR],tabela_registros[MÊS],$AE$1,tabela_registros[DIA],martotal3059[[#Headers],[12]],tabela_registros[REGISTRO],DADOS!$N$4,tabela_registros[TIPO],DADOS!$P$3,tabela_registros[CATEGORIA],despesafixaconsolidadomar[[#This Row],[DESPESA FIXA]])</f>
        <v>0</v>
      </c>
      <c r="Q46" s="119" t="n">
        <f aca="false">SUMIFS(tabela_registros[VALOR],tabela_registros[MÊS],$AE$1,tabela_registros[DIA],martotal3059[[#Headers],[13]],tabela_registros[REGISTRO],DADOS!$N$4,tabela_registros[TIPO],DADOS!$P$3,tabela_registros[CATEGORIA],despesafixaconsolidadomar[[#This Row],[DESPESA FIXA]])</f>
        <v>0</v>
      </c>
      <c r="R46" s="119" t="n">
        <f aca="false">SUMIFS(tabela_registros[VALOR],tabela_registros[MÊS],$AE$1,tabela_registros[DIA],martotal3059[[#Headers],[14]],tabela_registros[REGISTRO],DADOS!$N$4,tabela_registros[TIPO],DADOS!$P$3,tabela_registros[CATEGORIA],despesafixaconsolidadomar[[#This Row],[DESPESA FIXA]])</f>
        <v>0</v>
      </c>
      <c r="S46" s="119" t="n">
        <f aca="false">SUMIFS(tabela_registros[VALOR],tabela_registros[MÊS],$AE$1,tabela_registros[DIA],martotal3059[[#Headers],[15]],tabela_registros[REGISTRO],DADOS!$N$4,tabela_registros[TIPO],DADOS!$P$3,tabela_registros[CATEGORIA],despesafixaconsolidadomar[[#This Row],[DESPESA FIXA]])</f>
        <v>0</v>
      </c>
      <c r="T46" s="119" t="n">
        <f aca="false">SUMIFS(tabela_registros[VALOR],tabela_registros[MÊS],$AE$1,tabela_registros[DIA],martotal3059[[#Headers],[16]],tabela_registros[REGISTRO],DADOS!$N$4,tabela_registros[TIPO],DADOS!$P$3,tabela_registros[CATEGORIA],despesafixaconsolidadomar[[#This Row],[DESPESA FIXA]])</f>
        <v>0</v>
      </c>
      <c r="U46" s="119" t="n">
        <f aca="false">SUMIFS(tabela_registros[VALOR],tabela_registros[MÊS],$AE$1,tabela_registros[DIA],martotal3059[[#Headers],[17]],tabela_registros[REGISTRO],DADOS!$N$4,tabela_registros[TIPO],DADOS!$P$3,tabela_registros[CATEGORIA],despesafixaconsolidadomar[[#This Row],[DESPESA FIXA]])</f>
        <v>0</v>
      </c>
      <c r="V46" s="119" t="n">
        <f aca="false">SUMIFS(tabela_registros[VALOR],tabela_registros[MÊS],$AE$1,tabela_registros[DIA],martotal3059[[#Headers],[18]],tabela_registros[REGISTRO],DADOS!$N$4,tabela_registros[TIPO],DADOS!$P$3,tabela_registros[CATEGORIA],despesafixaconsolidadomar[[#This Row],[DESPESA FIXA]])</f>
        <v>0</v>
      </c>
      <c r="W46" s="119" t="n">
        <f aca="false">SUMIFS(tabela_registros[VALOR],tabela_registros[MÊS],$AE$1,tabela_registros[DIA],martotal3059[[#Headers],[19]],tabela_registros[REGISTRO],DADOS!$N$4,tabela_registros[TIPO],DADOS!$P$3,tabela_registros[CATEGORIA],despesafixaconsolidadomar[[#This Row],[DESPESA FIXA]])</f>
        <v>0</v>
      </c>
      <c r="X46" s="119" t="n">
        <f aca="false">SUMIFS(tabela_registros[VALOR],tabela_registros[MÊS],$AE$1,tabela_registros[DIA],martotal3059[[#Headers],[20]],tabela_registros[REGISTRO],DADOS!$N$4,tabela_registros[TIPO],DADOS!$P$3,tabela_registros[CATEGORIA],despesafixaconsolidadomar[[#This Row],[DESPESA FIXA]])</f>
        <v>0</v>
      </c>
      <c r="Y46" s="119" t="n">
        <f aca="false">SUMIFS(tabela_registros[VALOR],tabela_registros[MÊS],$AE$1,tabela_registros[DIA],martotal3059[[#Headers],[21]],tabela_registros[REGISTRO],DADOS!$N$4,tabela_registros[TIPO],DADOS!$P$3,tabela_registros[CATEGORIA],despesafixaconsolidadomar[[#This Row],[DESPESA FIXA]])</f>
        <v>0</v>
      </c>
      <c r="Z46" s="119" t="n">
        <f aca="false">SUMIFS(tabela_registros[VALOR],tabela_registros[MÊS],$AE$1,tabela_registros[DIA],martotal3059[[#Headers],[22]],tabela_registros[REGISTRO],DADOS!$N$4,tabela_registros[TIPO],DADOS!$P$3,tabela_registros[CATEGORIA],despesafixaconsolidadomar[[#This Row],[DESPESA FIXA]])</f>
        <v>0</v>
      </c>
      <c r="AA46" s="119" t="n">
        <f aca="false">SUMIFS(tabela_registros[VALOR],tabela_registros[MÊS],$AE$1,tabela_registros[DIA],martotal3059[[#Headers],[23]],tabela_registros[REGISTRO],DADOS!$N$4,tabela_registros[TIPO],DADOS!$P$3,tabela_registros[CATEGORIA],despesafixaconsolidadomar[[#This Row],[DESPESA FIXA]])</f>
        <v>0</v>
      </c>
      <c r="AB46" s="119" t="n">
        <f aca="false">SUMIFS(tabela_registros[VALOR],tabela_registros[MÊS],$AE$1,tabela_registros[DIA],martotal3059[[#Headers],[24]],tabela_registros[REGISTRO],DADOS!$N$4,tabela_registros[TIPO],DADOS!$P$3,tabela_registros[CATEGORIA],despesafixaconsolidadomar[[#This Row],[DESPESA FIXA]])</f>
        <v>0</v>
      </c>
      <c r="AC46" s="119" t="n">
        <f aca="false">SUMIFS(tabela_registros[VALOR],tabela_registros[MÊS],$AE$1,tabela_registros[DIA],martotal3059[[#Headers],[25]],tabela_registros[REGISTRO],DADOS!$N$4,tabela_registros[TIPO],DADOS!$P$3,tabela_registros[CATEGORIA],despesafixaconsolidadomar[[#This Row],[DESPESA FIXA]])</f>
        <v>0</v>
      </c>
      <c r="AD46" s="119" t="n">
        <f aca="false">SUMIFS(tabela_registros[VALOR],tabela_registros[MÊS],$AE$1,tabela_registros[DIA],martotal3059[[#Headers],[26]],tabela_registros[REGISTRO],DADOS!$N$4,tabela_registros[TIPO],DADOS!$P$3,tabela_registros[CATEGORIA],despesafixaconsolidadomar[[#This Row],[DESPESA FIXA]])</f>
        <v>0</v>
      </c>
      <c r="AE46" s="119" t="n">
        <f aca="false">SUMIFS(tabela_registros[VALOR],tabela_registros[MÊS],$AE$1,tabela_registros[DIA],martotal3059[[#Headers],[27]],tabela_registros[REGISTRO],DADOS!$N$4,tabela_registros[TIPO],DADOS!$P$3,tabela_registros[CATEGORIA],despesafixaconsolidadomar[[#This Row],[DESPESA FIXA]])</f>
        <v>0</v>
      </c>
      <c r="AF46" s="119" t="n">
        <f aca="false">SUMIFS(tabela_registros[VALOR],tabela_registros[MÊS],$AE$1,tabela_registros[DIA],martotal3059[[#Headers],[28]],tabela_registros[REGISTRO],DADOS!$N$4,tabela_registros[TIPO],DADOS!$P$3,tabela_registros[CATEGORIA],despesafixaconsolidadomar[[#This Row],[DESPESA FIXA]])</f>
        <v>0</v>
      </c>
      <c r="AG46" s="119" t="n">
        <f aca="false">SUMIFS(tabela_registros[VALOR],tabela_registros[MÊS],$AE$1,tabela_registros[DIA],martotal3059[[#Headers],[29]],tabela_registros[REGISTRO],DADOS!$N$4,tabela_registros[TIPO],DADOS!$P$3,tabela_registros[CATEGORIA],despesafixaconsolidadomar[[#This Row],[DESPESA FIXA]])</f>
        <v>0</v>
      </c>
      <c r="AH46" s="119" t="n">
        <f aca="false">SUMIFS(tabela_registros[VALOR],tabela_registros[MÊS],$AE$1,tabela_registros[DIA],martotal3059[[#Headers],[30]],tabela_registros[REGISTRO],DADOS!$N$4,tabela_registros[TIPO],DADOS!$P$3,tabela_registros[CATEGORIA],despesafixaconsolidadomar[[#This Row],[DESPESA FIXA]])</f>
        <v>0</v>
      </c>
      <c r="AI46" s="217" t="n">
        <f aca="false">SUMIFS(tabela_registros[VALOR],tabela_registros[MÊS],$AE$1,tabela_registros[DIA],martotal3059[[#Headers],[31]],tabela_registros[REGISTRO],DADOS!$N$4,tabela_registros[TIPO],DADOS!$P$3,tabela_registros[CATEGORIA],despesafixaconsolidadomar[[#This Row],[DESPESA FIXA]])</f>
        <v>0</v>
      </c>
      <c r="AJ46" s="149" t="n">
        <f aca="false">SUM(despesafixaconsolidadomar[[#This Row],[1]:[31]])</f>
        <v>0</v>
      </c>
      <c r="AK46" s="143"/>
    </row>
    <row r="47" customFormat="false" ht="18" hidden="false" customHeight="true" outlineLevel="0" collapsed="false">
      <c r="B47" s="143"/>
      <c r="C47" s="144" t="str">
        <f aca="false">DADOS!$R$13</f>
        <v>🏠 MORADIA</v>
      </c>
      <c r="D47" s="145" t="str">
        <f aca="false">IF(despesafixaconsolidadomar[[#This Row],[TOTAL]]=0,"",IF(OR(despesafixaconsolidadomar[[#This Row],[TOTAL]]=LARGE($AJ$37:$AJ$50,1),despesafixaconsolidadomar[[#This Row],[TOTAL]]=LARGE($AJ$37:$AJ$50,2),despesafixaconsolidadomar[[#This Row],[TOTAL]]=LARGE($AJ$37:$AJ$50,3),despesafixaconsolidadomar[[#This Row],[TOTAL]]=LARGE($AJ$37:$AJ$50,4),despesafixaconsolidadomar[[#This Row],[TOTAL]]=LARGE($AJ$37:$AJ$50,5)),DADOS!$I$8,""))</f>
        <v/>
      </c>
      <c r="E47" s="148" t="n">
        <f aca="false">SUMIFS(tabela_registros[VALOR],tabela_registros[MÊS],$AE$1,tabela_registros[DIA],martotal3059[[#Headers],[1]],tabela_registros[REGISTRO],DADOS!$N$4,tabela_registros[TIPO],DADOS!$P$3,tabela_registros[CATEGORIA],despesafixaconsolidadomar[[#This Row],[DESPESA FIXA]])</f>
        <v>0</v>
      </c>
      <c r="F47" s="119" t="n">
        <f aca="false">SUMIFS(tabela_registros[VALOR],tabela_registros[MÊS],$AE$1,tabela_registros[DIA],martotal3059[[#Headers],[2]],tabela_registros[REGISTRO],DADOS!$N$4,tabela_registros[TIPO],DADOS!$P$3,tabela_registros[CATEGORIA],despesafixaconsolidadomar[[#This Row],[DESPESA FIXA]])</f>
        <v>0</v>
      </c>
      <c r="G47" s="119" t="n">
        <f aca="false">SUMIFS(tabela_registros[VALOR],tabela_registros[MÊS],$AE$1,tabela_registros[DIA],martotal3059[[#Headers],[3]],tabela_registros[REGISTRO],DADOS!$N$4,tabela_registros[TIPO],DADOS!$P$3,tabela_registros[CATEGORIA],despesafixaconsolidadomar[[#This Row],[DESPESA FIXA]])</f>
        <v>0</v>
      </c>
      <c r="H47" s="119" t="n">
        <f aca="false">SUMIFS(tabela_registros[VALOR],tabela_registros[MÊS],$AE$1,tabela_registros[DIA],martotal3059[[#Headers],[4]],tabela_registros[REGISTRO],DADOS!$N$4,tabela_registros[TIPO],DADOS!$P$3,tabela_registros[CATEGORIA],despesafixaconsolidadomar[[#This Row],[DESPESA FIXA]])</f>
        <v>0</v>
      </c>
      <c r="I47" s="119" t="n">
        <f aca="false">SUMIFS(tabela_registros[VALOR],tabela_registros[MÊS],$AE$1,tabela_registros[DIA],martotal3059[[#Headers],[5]],tabela_registros[REGISTRO],DADOS!$N$4,tabela_registros[TIPO],DADOS!$P$3,tabela_registros[CATEGORIA],despesafixaconsolidadomar[[#This Row],[DESPESA FIXA]])</f>
        <v>0</v>
      </c>
      <c r="J47" s="119" t="n">
        <f aca="false">SUMIFS(tabela_registros[VALOR],tabela_registros[MÊS],$AE$1,tabela_registros[DIA],martotal3059[[#Headers],[6]],tabela_registros[REGISTRO],DADOS!$N$4,tabela_registros[TIPO],DADOS!$P$3,tabela_registros[CATEGORIA],despesafixaconsolidadomar[[#This Row],[DESPESA FIXA]])</f>
        <v>0</v>
      </c>
      <c r="K47" s="119" t="n">
        <f aca="false">SUMIFS(tabela_registros[VALOR],tabela_registros[MÊS],$AE$1,tabela_registros[DIA],martotal3059[[#Headers],[7]],tabela_registros[REGISTRO],DADOS!$N$4,tabela_registros[TIPO],DADOS!$P$3,tabela_registros[CATEGORIA],despesafixaconsolidadomar[[#This Row],[DESPESA FIXA]])</f>
        <v>0</v>
      </c>
      <c r="L47" s="119" t="n">
        <f aca="false">SUMIFS(tabela_registros[VALOR],tabela_registros[MÊS],$AE$1,tabela_registros[DIA],martotal3059[[#Headers],[8]],tabela_registros[REGISTRO],DADOS!$N$4,tabela_registros[TIPO],DADOS!$P$3,tabela_registros[CATEGORIA],despesafixaconsolidadomar[[#This Row],[DESPESA FIXA]])</f>
        <v>0</v>
      </c>
      <c r="M47" s="119" t="n">
        <f aca="false">SUMIFS(tabela_registros[VALOR],tabela_registros[MÊS],$AE$1,tabela_registros[DIA],martotal3059[[#Headers],[9]],tabela_registros[REGISTRO],DADOS!$N$4,tabela_registros[TIPO],DADOS!$P$3,tabela_registros[CATEGORIA],despesafixaconsolidadomar[[#This Row],[DESPESA FIXA]])</f>
        <v>0</v>
      </c>
      <c r="N47" s="119" t="n">
        <f aca="false">SUMIFS(tabela_registros[VALOR],tabela_registros[MÊS],$AE$1,tabela_registros[DIA],martotal3059[[#Headers],[10]],tabela_registros[REGISTRO],DADOS!$N$4,tabela_registros[TIPO],DADOS!$P$3,tabela_registros[CATEGORIA],despesafixaconsolidadomar[[#This Row],[DESPESA FIXA]])</f>
        <v>0</v>
      </c>
      <c r="O47" s="119" t="n">
        <f aca="false">SUMIFS(tabela_registros[VALOR],tabela_registros[MÊS],$AE$1,tabela_registros[DIA],martotal3059[[#Headers],[11]],tabela_registros[REGISTRO],DADOS!$N$4,tabela_registros[TIPO],DADOS!$P$3,tabela_registros[CATEGORIA],despesafixaconsolidadomar[[#This Row],[DESPESA FIXA]])</f>
        <v>0</v>
      </c>
      <c r="P47" s="119" t="n">
        <f aca="false">SUMIFS(tabela_registros[VALOR],tabela_registros[MÊS],$AE$1,tabela_registros[DIA],martotal3059[[#Headers],[12]],tabela_registros[REGISTRO],DADOS!$N$4,tabela_registros[TIPO],DADOS!$P$3,tabela_registros[CATEGORIA],despesafixaconsolidadomar[[#This Row],[DESPESA FIXA]])</f>
        <v>0</v>
      </c>
      <c r="Q47" s="119" t="n">
        <f aca="false">SUMIFS(tabela_registros[VALOR],tabela_registros[MÊS],$AE$1,tabela_registros[DIA],martotal3059[[#Headers],[13]],tabela_registros[REGISTRO],DADOS!$N$4,tabela_registros[TIPO],DADOS!$P$3,tabela_registros[CATEGORIA],despesafixaconsolidadomar[[#This Row],[DESPESA FIXA]])</f>
        <v>0</v>
      </c>
      <c r="R47" s="119" t="n">
        <f aca="false">SUMIFS(tabela_registros[VALOR],tabela_registros[MÊS],$AE$1,tabela_registros[DIA],martotal3059[[#Headers],[14]],tabela_registros[REGISTRO],DADOS!$N$4,tabela_registros[TIPO],DADOS!$P$3,tabela_registros[CATEGORIA],despesafixaconsolidadomar[[#This Row],[DESPESA FIXA]])</f>
        <v>0</v>
      </c>
      <c r="S47" s="119" t="n">
        <f aca="false">SUMIFS(tabela_registros[VALOR],tabela_registros[MÊS],$AE$1,tabela_registros[DIA],martotal3059[[#Headers],[15]],tabela_registros[REGISTRO],DADOS!$N$4,tabela_registros[TIPO],DADOS!$P$3,tabela_registros[CATEGORIA],despesafixaconsolidadomar[[#This Row],[DESPESA FIXA]])</f>
        <v>0</v>
      </c>
      <c r="T47" s="119" t="n">
        <f aca="false">SUMIFS(tabela_registros[VALOR],tabela_registros[MÊS],$AE$1,tabela_registros[DIA],martotal3059[[#Headers],[16]],tabela_registros[REGISTRO],DADOS!$N$4,tabela_registros[TIPO],DADOS!$P$3,tabela_registros[CATEGORIA],despesafixaconsolidadomar[[#This Row],[DESPESA FIXA]])</f>
        <v>0</v>
      </c>
      <c r="U47" s="119" t="n">
        <f aca="false">SUMIFS(tabela_registros[VALOR],tabela_registros[MÊS],$AE$1,tabela_registros[DIA],martotal3059[[#Headers],[17]],tabela_registros[REGISTRO],DADOS!$N$4,tabela_registros[TIPO],DADOS!$P$3,tabela_registros[CATEGORIA],despesafixaconsolidadomar[[#This Row],[DESPESA FIXA]])</f>
        <v>0</v>
      </c>
      <c r="V47" s="119" t="n">
        <f aca="false">SUMIFS(tabela_registros[VALOR],tabela_registros[MÊS],$AE$1,tabela_registros[DIA],martotal3059[[#Headers],[18]],tabela_registros[REGISTRO],DADOS!$N$4,tabela_registros[TIPO],DADOS!$P$3,tabela_registros[CATEGORIA],despesafixaconsolidadomar[[#This Row],[DESPESA FIXA]])</f>
        <v>0</v>
      </c>
      <c r="W47" s="119" t="n">
        <f aca="false">SUMIFS(tabela_registros[VALOR],tabela_registros[MÊS],$AE$1,tabela_registros[DIA],martotal3059[[#Headers],[19]],tabela_registros[REGISTRO],DADOS!$N$4,tabela_registros[TIPO],DADOS!$P$3,tabela_registros[CATEGORIA],despesafixaconsolidadomar[[#This Row],[DESPESA FIXA]])</f>
        <v>0</v>
      </c>
      <c r="X47" s="119" t="n">
        <f aca="false">SUMIFS(tabela_registros[VALOR],tabela_registros[MÊS],$AE$1,tabela_registros[DIA],martotal3059[[#Headers],[20]],tabela_registros[REGISTRO],DADOS!$N$4,tabela_registros[TIPO],DADOS!$P$3,tabela_registros[CATEGORIA],despesafixaconsolidadomar[[#This Row],[DESPESA FIXA]])</f>
        <v>0</v>
      </c>
      <c r="Y47" s="119" t="n">
        <f aca="false">SUMIFS(tabela_registros[VALOR],tabela_registros[MÊS],$AE$1,tabela_registros[DIA],martotal3059[[#Headers],[21]],tabela_registros[REGISTRO],DADOS!$N$4,tabela_registros[TIPO],DADOS!$P$3,tabela_registros[CATEGORIA],despesafixaconsolidadomar[[#This Row],[DESPESA FIXA]])</f>
        <v>0</v>
      </c>
      <c r="Z47" s="119" t="n">
        <f aca="false">SUMIFS(tabela_registros[VALOR],tabela_registros[MÊS],$AE$1,tabela_registros[DIA],martotal3059[[#Headers],[22]],tabela_registros[REGISTRO],DADOS!$N$4,tabela_registros[TIPO],DADOS!$P$3,tabela_registros[CATEGORIA],despesafixaconsolidadomar[[#This Row],[DESPESA FIXA]])</f>
        <v>0</v>
      </c>
      <c r="AA47" s="119" t="n">
        <f aca="false">SUMIFS(tabela_registros[VALOR],tabela_registros[MÊS],$AE$1,tabela_registros[DIA],martotal3059[[#Headers],[23]],tabela_registros[REGISTRO],DADOS!$N$4,tabela_registros[TIPO],DADOS!$P$3,tabela_registros[CATEGORIA],despesafixaconsolidadomar[[#This Row],[DESPESA FIXA]])</f>
        <v>0</v>
      </c>
      <c r="AB47" s="119" t="n">
        <f aca="false">SUMIFS(tabela_registros[VALOR],tabela_registros[MÊS],$AE$1,tabela_registros[DIA],martotal3059[[#Headers],[24]],tabela_registros[REGISTRO],DADOS!$N$4,tabela_registros[TIPO],DADOS!$P$3,tabela_registros[CATEGORIA],despesafixaconsolidadomar[[#This Row],[DESPESA FIXA]])</f>
        <v>0</v>
      </c>
      <c r="AC47" s="119" t="n">
        <f aca="false">SUMIFS(tabela_registros[VALOR],tabela_registros[MÊS],$AE$1,tabela_registros[DIA],martotal3059[[#Headers],[25]],tabela_registros[REGISTRO],DADOS!$N$4,tabela_registros[TIPO],DADOS!$P$3,tabela_registros[CATEGORIA],despesafixaconsolidadomar[[#This Row],[DESPESA FIXA]])</f>
        <v>0</v>
      </c>
      <c r="AD47" s="119" t="n">
        <f aca="false">SUMIFS(tabela_registros[VALOR],tabela_registros[MÊS],$AE$1,tabela_registros[DIA],martotal3059[[#Headers],[26]],tabela_registros[REGISTRO],DADOS!$N$4,tabela_registros[TIPO],DADOS!$P$3,tabela_registros[CATEGORIA],despesafixaconsolidadomar[[#This Row],[DESPESA FIXA]])</f>
        <v>0</v>
      </c>
      <c r="AE47" s="119" t="n">
        <f aca="false">SUMIFS(tabela_registros[VALOR],tabela_registros[MÊS],$AE$1,tabela_registros[DIA],martotal3059[[#Headers],[27]],tabela_registros[REGISTRO],DADOS!$N$4,tabela_registros[TIPO],DADOS!$P$3,tabela_registros[CATEGORIA],despesafixaconsolidadomar[[#This Row],[DESPESA FIXA]])</f>
        <v>0</v>
      </c>
      <c r="AF47" s="119" t="n">
        <f aca="false">SUMIFS(tabela_registros[VALOR],tabela_registros[MÊS],$AE$1,tabela_registros[DIA],martotal3059[[#Headers],[28]],tabela_registros[REGISTRO],DADOS!$N$4,tabela_registros[TIPO],DADOS!$P$3,tabela_registros[CATEGORIA],despesafixaconsolidadomar[[#This Row],[DESPESA FIXA]])</f>
        <v>0</v>
      </c>
      <c r="AG47" s="119" t="n">
        <f aca="false">SUMIFS(tabela_registros[VALOR],tabela_registros[MÊS],$AE$1,tabela_registros[DIA],martotal3059[[#Headers],[29]],tabela_registros[REGISTRO],DADOS!$N$4,tabela_registros[TIPO],DADOS!$P$3,tabela_registros[CATEGORIA],despesafixaconsolidadomar[[#This Row],[DESPESA FIXA]])</f>
        <v>0</v>
      </c>
      <c r="AH47" s="119" t="n">
        <f aca="false">SUMIFS(tabela_registros[VALOR],tabela_registros[MÊS],$AE$1,tabela_registros[DIA],martotal3059[[#Headers],[30]],tabela_registros[REGISTRO],DADOS!$N$4,tabela_registros[TIPO],DADOS!$P$3,tabela_registros[CATEGORIA],despesafixaconsolidadomar[[#This Row],[DESPESA FIXA]])</f>
        <v>0</v>
      </c>
      <c r="AI47" s="217" t="n">
        <f aca="false">SUMIFS(tabela_registros[VALOR],tabela_registros[MÊS],$AE$1,tabela_registros[DIA],martotal3059[[#Headers],[31]],tabela_registros[REGISTRO],DADOS!$N$4,tabela_registros[TIPO],DADOS!$P$3,tabela_registros[CATEGORIA],despesafixaconsolidadomar[[#This Row],[DESPESA FIXA]])</f>
        <v>0</v>
      </c>
      <c r="AJ47" s="149" t="n">
        <f aca="false">SUM(despesafixaconsolidadomar[[#This Row],[1]:[31]])</f>
        <v>0</v>
      </c>
      <c r="AK47" s="143"/>
    </row>
    <row r="48" customFormat="false" ht="18" hidden="false" customHeight="true" outlineLevel="0" collapsed="false">
      <c r="B48" s="143"/>
      <c r="C48" s="144" t="str">
        <f aca="false">DADOS!$R$14</f>
        <v>💊 SAÚDE</v>
      </c>
      <c r="D48" s="145" t="str">
        <f aca="false">IF(despesafixaconsolidadomar[[#This Row],[TOTAL]]=0,"",IF(OR(despesafixaconsolidadomar[[#This Row],[TOTAL]]=LARGE($AJ$37:$AJ$50,1),despesafixaconsolidadomar[[#This Row],[TOTAL]]=LARGE($AJ$37:$AJ$50,2),despesafixaconsolidadomar[[#This Row],[TOTAL]]=LARGE($AJ$37:$AJ$50,3),despesafixaconsolidadomar[[#This Row],[TOTAL]]=LARGE($AJ$37:$AJ$50,4),despesafixaconsolidadomar[[#This Row],[TOTAL]]=LARGE($AJ$37:$AJ$50,5)),DADOS!$I$8,""))</f>
        <v/>
      </c>
      <c r="E48" s="148" t="n">
        <f aca="false">SUMIFS(tabela_registros[VALOR],tabela_registros[MÊS],$AE$1,tabela_registros[DIA],martotal3059[[#Headers],[1]],tabela_registros[REGISTRO],DADOS!$N$4,tabela_registros[TIPO],DADOS!$P$3,tabela_registros[CATEGORIA],despesafixaconsolidadomar[[#This Row],[DESPESA FIXA]])</f>
        <v>0</v>
      </c>
      <c r="F48" s="119" t="n">
        <f aca="false">SUMIFS(tabela_registros[VALOR],tabela_registros[MÊS],$AE$1,tabela_registros[DIA],martotal3059[[#Headers],[2]],tabela_registros[REGISTRO],DADOS!$N$4,tabela_registros[TIPO],DADOS!$P$3,tabela_registros[CATEGORIA],despesafixaconsolidadomar[[#This Row],[DESPESA FIXA]])</f>
        <v>0</v>
      </c>
      <c r="G48" s="119" t="n">
        <f aca="false">SUMIFS(tabela_registros[VALOR],tabela_registros[MÊS],$AE$1,tabela_registros[DIA],martotal3059[[#Headers],[3]],tabela_registros[REGISTRO],DADOS!$N$4,tabela_registros[TIPO],DADOS!$P$3,tabela_registros[CATEGORIA],despesafixaconsolidadomar[[#This Row],[DESPESA FIXA]])</f>
        <v>0</v>
      </c>
      <c r="H48" s="119" t="n">
        <f aca="false">SUMIFS(tabela_registros[VALOR],tabela_registros[MÊS],$AE$1,tabela_registros[DIA],martotal3059[[#Headers],[4]],tabela_registros[REGISTRO],DADOS!$N$4,tabela_registros[TIPO],DADOS!$P$3,tabela_registros[CATEGORIA],despesafixaconsolidadomar[[#This Row],[DESPESA FIXA]])</f>
        <v>0</v>
      </c>
      <c r="I48" s="119" t="n">
        <f aca="false">SUMIFS(tabela_registros[VALOR],tabela_registros[MÊS],$AE$1,tabela_registros[DIA],martotal3059[[#Headers],[5]],tabela_registros[REGISTRO],DADOS!$N$4,tabela_registros[TIPO],DADOS!$P$3,tabela_registros[CATEGORIA],despesafixaconsolidadomar[[#This Row],[DESPESA FIXA]])</f>
        <v>0</v>
      </c>
      <c r="J48" s="119" t="n">
        <f aca="false">SUMIFS(tabela_registros[VALOR],tabela_registros[MÊS],$AE$1,tabela_registros[DIA],martotal3059[[#Headers],[6]],tabela_registros[REGISTRO],DADOS!$N$4,tabela_registros[TIPO],DADOS!$P$3,tabela_registros[CATEGORIA],despesafixaconsolidadomar[[#This Row],[DESPESA FIXA]])</f>
        <v>0</v>
      </c>
      <c r="K48" s="119" t="n">
        <f aca="false">SUMIFS(tabela_registros[VALOR],tabela_registros[MÊS],$AE$1,tabela_registros[DIA],martotal3059[[#Headers],[7]],tabela_registros[REGISTRO],DADOS!$N$4,tabela_registros[TIPO],DADOS!$P$3,tabela_registros[CATEGORIA],despesafixaconsolidadomar[[#This Row],[DESPESA FIXA]])</f>
        <v>0</v>
      </c>
      <c r="L48" s="119" t="n">
        <f aca="false">SUMIFS(tabela_registros[VALOR],tabela_registros[MÊS],$AE$1,tabela_registros[DIA],martotal3059[[#Headers],[8]],tabela_registros[REGISTRO],DADOS!$N$4,tabela_registros[TIPO],DADOS!$P$3,tabela_registros[CATEGORIA],despesafixaconsolidadomar[[#This Row],[DESPESA FIXA]])</f>
        <v>0</v>
      </c>
      <c r="M48" s="119" t="n">
        <f aca="false">SUMIFS(tabela_registros[VALOR],tabela_registros[MÊS],$AE$1,tabela_registros[DIA],martotal3059[[#Headers],[9]],tabela_registros[REGISTRO],DADOS!$N$4,tabela_registros[TIPO],DADOS!$P$3,tabela_registros[CATEGORIA],despesafixaconsolidadomar[[#This Row],[DESPESA FIXA]])</f>
        <v>0</v>
      </c>
      <c r="N48" s="119" t="n">
        <f aca="false">SUMIFS(tabela_registros[VALOR],tabela_registros[MÊS],$AE$1,tabela_registros[DIA],martotal3059[[#Headers],[10]],tabela_registros[REGISTRO],DADOS!$N$4,tabela_registros[TIPO],DADOS!$P$3,tabela_registros[CATEGORIA],despesafixaconsolidadomar[[#This Row],[DESPESA FIXA]])</f>
        <v>0</v>
      </c>
      <c r="O48" s="119" t="n">
        <f aca="false">SUMIFS(tabela_registros[VALOR],tabela_registros[MÊS],$AE$1,tabela_registros[DIA],martotal3059[[#Headers],[11]],tabela_registros[REGISTRO],DADOS!$N$4,tabela_registros[TIPO],DADOS!$P$3,tabela_registros[CATEGORIA],despesafixaconsolidadomar[[#This Row],[DESPESA FIXA]])</f>
        <v>0</v>
      </c>
      <c r="P48" s="119" t="n">
        <f aca="false">SUMIFS(tabela_registros[VALOR],tabela_registros[MÊS],$AE$1,tabela_registros[DIA],martotal3059[[#Headers],[12]],tabela_registros[REGISTRO],DADOS!$N$4,tabela_registros[TIPO],DADOS!$P$3,tabela_registros[CATEGORIA],despesafixaconsolidadomar[[#This Row],[DESPESA FIXA]])</f>
        <v>0</v>
      </c>
      <c r="Q48" s="119" t="n">
        <f aca="false">SUMIFS(tabela_registros[VALOR],tabela_registros[MÊS],$AE$1,tabela_registros[DIA],martotal3059[[#Headers],[13]],tabela_registros[REGISTRO],DADOS!$N$4,tabela_registros[TIPO],DADOS!$P$3,tabela_registros[CATEGORIA],despesafixaconsolidadomar[[#This Row],[DESPESA FIXA]])</f>
        <v>0</v>
      </c>
      <c r="R48" s="119" t="n">
        <f aca="false">SUMIFS(tabela_registros[VALOR],tabela_registros[MÊS],$AE$1,tabela_registros[DIA],martotal3059[[#Headers],[14]],tabela_registros[REGISTRO],DADOS!$N$4,tabela_registros[TIPO],DADOS!$P$3,tabela_registros[CATEGORIA],despesafixaconsolidadomar[[#This Row],[DESPESA FIXA]])</f>
        <v>0</v>
      </c>
      <c r="S48" s="119" t="n">
        <f aca="false">SUMIFS(tabela_registros[VALOR],tabela_registros[MÊS],$AE$1,tabela_registros[DIA],martotal3059[[#Headers],[15]],tabela_registros[REGISTRO],DADOS!$N$4,tabela_registros[TIPO],DADOS!$P$3,tabela_registros[CATEGORIA],despesafixaconsolidadomar[[#This Row],[DESPESA FIXA]])</f>
        <v>0</v>
      </c>
      <c r="T48" s="119" t="n">
        <f aca="false">SUMIFS(tabela_registros[VALOR],tabela_registros[MÊS],$AE$1,tabela_registros[DIA],martotal3059[[#Headers],[16]],tabela_registros[REGISTRO],DADOS!$N$4,tabela_registros[TIPO],DADOS!$P$3,tabela_registros[CATEGORIA],despesafixaconsolidadomar[[#This Row],[DESPESA FIXA]])</f>
        <v>0</v>
      </c>
      <c r="U48" s="119" t="n">
        <f aca="false">SUMIFS(tabela_registros[VALOR],tabela_registros[MÊS],$AE$1,tabela_registros[DIA],martotal3059[[#Headers],[17]],tabela_registros[REGISTRO],DADOS!$N$4,tabela_registros[TIPO],DADOS!$P$3,tabela_registros[CATEGORIA],despesafixaconsolidadomar[[#This Row],[DESPESA FIXA]])</f>
        <v>0</v>
      </c>
      <c r="V48" s="119" t="n">
        <f aca="false">SUMIFS(tabela_registros[VALOR],tabela_registros[MÊS],$AE$1,tabela_registros[DIA],martotal3059[[#Headers],[18]],tabela_registros[REGISTRO],DADOS!$N$4,tabela_registros[TIPO],DADOS!$P$3,tabela_registros[CATEGORIA],despesafixaconsolidadomar[[#This Row],[DESPESA FIXA]])</f>
        <v>0</v>
      </c>
      <c r="W48" s="119" t="n">
        <f aca="false">SUMIFS(tabela_registros[VALOR],tabela_registros[MÊS],$AE$1,tabela_registros[DIA],martotal3059[[#Headers],[19]],tabela_registros[REGISTRO],DADOS!$N$4,tabela_registros[TIPO],DADOS!$P$3,tabela_registros[CATEGORIA],despesafixaconsolidadomar[[#This Row],[DESPESA FIXA]])</f>
        <v>0</v>
      </c>
      <c r="X48" s="119" t="n">
        <f aca="false">SUMIFS(tabela_registros[VALOR],tabela_registros[MÊS],$AE$1,tabela_registros[DIA],martotal3059[[#Headers],[20]],tabela_registros[REGISTRO],DADOS!$N$4,tabela_registros[TIPO],DADOS!$P$3,tabela_registros[CATEGORIA],despesafixaconsolidadomar[[#This Row],[DESPESA FIXA]])</f>
        <v>0</v>
      </c>
      <c r="Y48" s="119" t="n">
        <f aca="false">SUMIFS(tabela_registros[VALOR],tabela_registros[MÊS],$AE$1,tabela_registros[DIA],martotal3059[[#Headers],[21]],tabela_registros[REGISTRO],DADOS!$N$4,tabela_registros[TIPO],DADOS!$P$3,tabela_registros[CATEGORIA],despesafixaconsolidadomar[[#This Row],[DESPESA FIXA]])</f>
        <v>0</v>
      </c>
      <c r="Z48" s="119" t="n">
        <f aca="false">SUMIFS(tabela_registros[VALOR],tabela_registros[MÊS],$AE$1,tabela_registros[DIA],martotal3059[[#Headers],[22]],tabela_registros[REGISTRO],DADOS!$N$4,tabela_registros[TIPO],DADOS!$P$3,tabela_registros[CATEGORIA],despesafixaconsolidadomar[[#This Row],[DESPESA FIXA]])</f>
        <v>0</v>
      </c>
      <c r="AA48" s="119" t="n">
        <f aca="false">SUMIFS(tabela_registros[VALOR],tabela_registros[MÊS],$AE$1,tabela_registros[DIA],martotal3059[[#Headers],[23]],tabela_registros[REGISTRO],DADOS!$N$4,tabela_registros[TIPO],DADOS!$P$3,tabela_registros[CATEGORIA],despesafixaconsolidadomar[[#This Row],[DESPESA FIXA]])</f>
        <v>0</v>
      </c>
      <c r="AB48" s="119" t="n">
        <f aca="false">SUMIFS(tabela_registros[VALOR],tabela_registros[MÊS],$AE$1,tabela_registros[DIA],martotal3059[[#Headers],[24]],tabela_registros[REGISTRO],DADOS!$N$4,tabela_registros[TIPO],DADOS!$P$3,tabela_registros[CATEGORIA],despesafixaconsolidadomar[[#This Row],[DESPESA FIXA]])</f>
        <v>0</v>
      </c>
      <c r="AC48" s="119" t="n">
        <f aca="false">SUMIFS(tabela_registros[VALOR],tabela_registros[MÊS],$AE$1,tabela_registros[DIA],martotal3059[[#Headers],[25]],tabela_registros[REGISTRO],DADOS!$N$4,tabela_registros[TIPO],DADOS!$P$3,tabela_registros[CATEGORIA],despesafixaconsolidadomar[[#This Row],[DESPESA FIXA]])</f>
        <v>0</v>
      </c>
      <c r="AD48" s="119" t="n">
        <f aca="false">SUMIFS(tabela_registros[VALOR],tabela_registros[MÊS],$AE$1,tabela_registros[DIA],martotal3059[[#Headers],[26]],tabela_registros[REGISTRO],DADOS!$N$4,tabela_registros[TIPO],DADOS!$P$3,tabela_registros[CATEGORIA],despesafixaconsolidadomar[[#This Row],[DESPESA FIXA]])</f>
        <v>0</v>
      </c>
      <c r="AE48" s="119" t="n">
        <f aca="false">SUMIFS(tabela_registros[VALOR],tabela_registros[MÊS],$AE$1,tabela_registros[DIA],martotal3059[[#Headers],[27]],tabela_registros[REGISTRO],DADOS!$N$4,tabela_registros[TIPO],DADOS!$P$3,tabela_registros[CATEGORIA],despesafixaconsolidadomar[[#This Row],[DESPESA FIXA]])</f>
        <v>0</v>
      </c>
      <c r="AF48" s="119" t="n">
        <f aca="false">SUMIFS(tabela_registros[VALOR],tabela_registros[MÊS],$AE$1,tabela_registros[DIA],martotal3059[[#Headers],[28]],tabela_registros[REGISTRO],DADOS!$N$4,tabela_registros[TIPO],DADOS!$P$3,tabela_registros[CATEGORIA],despesafixaconsolidadomar[[#This Row],[DESPESA FIXA]])</f>
        <v>0</v>
      </c>
      <c r="AG48" s="119" t="n">
        <f aca="false">SUMIFS(tabela_registros[VALOR],tabela_registros[MÊS],$AE$1,tabela_registros[DIA],martotal3059[[#Headers],[29]],tabela_registros[REGISTRO],DADOS!$N$4,tabela_registros[TIPO],DADOS!$P$3,tabela_registros[CATEGORIA],despesafixaconsolidadomar[[#This Row],[DESPESA FIXA]])</f>
        <v>0</v>
      </c>
      <c r="AH48" s="119" t="n">
        <f aca="false">SUMIFS(tabela_registros[VALOR],tabela_registros[MÊS],$AE$1,tabela_registros[DIA],martotal3059[[#Headers],[30]],tabela_registros[REGISTRO],DADOS!$N$4,tabela_registros[TIPO],DADOS!$P$3,tabela_registros[CATEGORIA],despesafixaconsolidadomar[[#This Row],[DESPESA FIXA]])</f>
        <v>0</v>
      </c>
      <c r="AI48" s="217" t="n">
        <f aca="false">SUMIFS(tabela_registros[VALOR],tabela_registros[MÊS],$AE$1,tabela_registros[DIA],martotal3059[[#Headers],[31]],tabela_registros[REGISTRO],DADOS!$N$4,tabela_registros[TIPO],DADOS!$P$3,tabela_registros[CATEGORIA],despesafixaconsolidadomar[[#This Row],[DESPESA FIXA]])</f>
        <v>0</v>
      </c>
      <c r="AJ48" s="149" t="n">
        <f aca="false">SUM(despesafixaconsolidadomar[[#This Row],[1]:[31]])</f>
        <v>0</v>
      </c>
      <c r="AK48" s="143"/>
    </row>
    <row r="49" customFormat="false" ht="18" hidden="false" customHeight="true" outlineLevel="0" collapsed="false">
      <c r="B49" s="143"/>
      <c r="C49" s="144" t="str">
        <f aca="false">DADOS!$R$15</f>
        <v>📞 TELEFONE</v>
      </c>
      <c r="D49" s="145" t="str">
        <f aca="false">IF(despesafixaconsolidadomar[[#This Row],[TOTAL]]=0,"",IF(OR(despesafixaconsolidadomar[[#This Row],[TOTAL]]=LARGE($AJ$37:$AJ$50,1),despesafixaconsolidadomar[[#This Row],[TOTAL]]=LARGE($AJ$37:$AJ$50,2),despesafixaconsolidadomar[[#This Row],[TOTAL]]=LARGE($AJ$37:$AJ$50,3),despesafixaconsolidadomar[[#This Row],[TOTAL]]=LARGE($AJ$37:$AJ$50,4),despesafixaconsolidadomar[[#This Row],[TOTAL]]=LARGE($AJ$37:$AJ$50,5)),DADOS!$I$8,""))</f>
        <v/>
      </c>
      <c r="E49" s="148" t="n">
        <f aca="false">SUMIFS(tabela_registros[VALOR],tabela_registros[MÊS],$AE$1,tabela_registros[DIA],martotal3059[[#Headers],[1]],tabela_registros[REGISTRO],DADOS!$N$4,tabela_registros[TIPO],DADOS!$P$3,tabela_registros[CATEGORIA],despesafixaconsolidadomar[[#This Row],[DESPESA FIXA]])</f>
        <v>0</v>
      </c>
      <c r="F49" s="119" t="n">
        <f aca="false">SUMIFS(tabela_registros[VALOR],tabela_registros[MÊS],$AE$1,tabela_registros[DIA],martotal3059[[#Headers],[2]],tabela_registros[REGISTRO],DADOS!$N$4,tabela_registros[TIPO],DADOS!$P$3,tabela_registros[CATEGORIA],despesafixaconsolidadomar[[#This Row],[DESPESA FIXA]])</f>
        <v>0</v>
      </c>
      <c r="G49" s="119" t="n">
        <f aca="false">SUMIFS(tabela_registros[VALOR],tabela_registros[MÊS],$AE$1,tabela_registros[DIA],martotal3059[[#Headers],[3]],tabela_registros[REGISTRO],DADOS!$N$4,tabela_registros[TIPO],DADOS!$P$3,tabela_registros[CATEGORIA],despesafixaconsolidadomar[[#This Row],[DESPESA FIXA]])</f>
        <v>0</v>
      </c>
      <c r="H49" s="119" t="n">
        <f aca="false">SUMIFS(tabela_registros[VALOR],tabela_registros[MÊS],$AE$1,tabela_registros[DIA],martotal3059[[#Headers],[4]],tabela_registros[REGISTRO],DADOS!$N$4,tabela_registros[TIPO],DADOS!$P$3,tabela_registros[CATEGORIA],despesafixaconsolidadomar[[#This Row],[DESPESA FIXA]])</f>
        <v>0</v>
      </c>
      <c r="I49" s="119" t="n">
        <f aca="false">SUMIFS(tabela_registros[VALOR],tabela_registros[MÊS],$AE$1,tabela_registros[DIA],martotal3059[[#Headers],[5]],tabela_registros[REGISTRO],DADOS!$N$4,tabela_registros[TIPO],DADOS!$P$3,tabela_registros[CATEGORIA],despesafixaconsolidadomar[[#This Row],[DESPESA FIXA]])</f>
        <v>0</v>
      </c>
      <c r="J49" s="119" t="n">
        <f aca="false">SUMIFS(tabela_registros[VALOR],tabela_registros[MÊS],$AE$1,tabela_registros[DIA],martotal3059[[#Headers],[6]],tabela_registros[REGISTRO],DADOS!$N$4,tabela_registros[TIPO],DADOS!$P$3,tabela_registros[CATEGORIA],despesafixaconsolidadomar[[#This Row],[DESPESA FIXA]])</f>
        <v>0</v>
      </c>
      <c r="K49" s="119" t="n">
        <f aca="false">SUMIFS(tabela_registros[VALOR],tabela_registros[MÊS],$AE$1,tabela_registros[DIA],martotal3059[[#Headers],[7]],tabela_registros[REGISTRO],DADOS!$N$4,tabela_registros[TIPO],DADOS!$P$3,tabela_registros[CATEGORIA],despesafixaconsolidadomar[[#This Row],[DESPESA FIXA]])</f>
        <v>0</v>
      </c>
      <c r="L49" s="119" t="n">
        <f aca="false">SUMIFS(tabela_registros[VALOR],tabela_registros[MÊS],$AE$1,tabela_registros[DIA],martotal3059[[#Headers],[8]],tabela_registros[REGISTRO],DADOS!$N$4,tabela_registros[TIPO],DADOS!$P$3,tabela_registros[CATEGORIA],despesafixaconsolidadomar[[#This Row],[DESPESA FIXA]])</f>
        <v>0</v>
      </c>
      <c r="M49" s="119" t="n">
        <f aca="false">SUMIFS(tabela_registros[VALOR],tabela_registros[MÊS],$AE$1,tabela_registros[DIA],martotal3059[[#Headers],[9]],tabela_registros[REGISTRO],DADOS!$N$4,tabela_registros[TIPO],DADOS!$P$3,tabela_registros[CATEGORIA],despesafixaconsolidadomar[[#This Row],[DESPESA FIXA]])</f>
        <v>0</v>
      </c>
      <c r="N49" s="119" t="n">
        <f aca="false">SUMIFS(tabela_registros[VALOR],tabela_registros[MÊS],$AE$1,tabela_registros[DIA],martotal3059[[#Headers],[10]],tabela_registros[REGISTRO],DADOS!$N$4,tabela_registros[TIPO],DADOS!$P$3,tabela_registros[CATEGORIA],despesafixaconsolidadomar[[#This Row],[DESPESA FIXA]])</f>
        <v>0</v>
      </c>
      <c r="O49" s="119" t="n">
        <f aca="false">SUMIFS(tabela_registros[VALOR],tabela_registros[MÊS],$AE$1,tabela_registros[DIA],martotal3059[[#Headers],[11]],tabela_registros[REGISTRO],DADOS!$N$4,tabela_registros[TIPO],DADOS!$P$3,tabela_registros[CATEGORIA],despesafixaconsolidadomar[[#This Row],[DESPESA FIXA]])</f>
        <v>0</v>
      </c>
      <c r="P49" s="119" t="n">
        <f aca="false">SUMIFS(tabela_registros[VALOR],tabela_registros[MÊS],$AE$1,tabela_registros[DIA],martotal3059[[#Headers],[12]],tabela_registros[REGISTRO],DADOS!$N$4,tabela_registros[TIPO],DADOS!$P$3,tabela_registros[CATEGORIA],despesafixaconsolidadomar[[#This Row],[DESPESA FIXA]])</f>
        <v>0</v>
      </c>
      <c r="Q49" s="119" t="n">
        <f aca="false">SUMIFS(tabela_registros[VALOR],tabela_registros[MÊS],$AE$1,tabela_registros[DIA],martotal3059[[#Headers],[13]],tabela_registros[REGISTRO],DADOS!$N$4,tabela_registros[TIPO],DADOS!$P$3,tabela_registros[CATEGORIA],despesafixaconsolidadomar[[#This Row],[DESPESA FIXA]])</f>
        <v>0</v>
      </c>
      <c r="R49" s="119" t="n">
        <f aca="false">SUMIFS(tabela_registros[VALOR],tabela_registros[MÊS],$AE$1,tabela_registros[DIA],martotal3059[[#Headers],[14]],tabela_registros[REGISTRO],DADOS!$N$4,tabela_registros[TIPO],DADOS!$P$3,tabela_registros[CATEGORIA],despesafixaconsolidadomar[[#This Row],[DESPESA FIXA]])</f>
        <v>0</v>
      </c>
      <c r="S49" s="119" t="n">
        <f aca="false">SUMIFS(tabela_registros[VALOR],tabela_registros[MÊS],$AE$1,tabela_registros[DIA],martotal3059[[#Headers],[15]],tabela_registros[REGISTRO],DADOS!$N$4,tabela_registros[TIPO],DADOS!$P$3,tabela_registros[CATEGORIA],despesafixaconsolidadomar[[#This Row],[DESPESA FIXA]])</f>
        <v>0</v>
      </c>
      <c r="T49" s="119" t="n">
        <f aca="false">SUMIFS(tabela_registros[VALOR],tabela_registros[MÊS],$AE$1,tabela_registros[DIA],martotal3059[[#Headers],[16]],tabela_registros[REGISTRO],DADOS!$N$4,tabela_registros[TIPO],DADOS!$P$3,tabela_registros[CATEGORIA],despesafixaconsolidadomar[[#This Row],[DESPESA FIXA]])</f>
        <v>0</v>
      </c>
      <c r="U49" s="119" t="n">
        <f aca="false">SUMIFS(tabela_registros[VALOR],tabela_registros[MÊS],$AE$1,tabela_registros[DIA],martotal3059[[#Headers],[17]],tabela_registros[REGISTRO],DADOS!$N$4,tabela_registros[TIPO],DADOS!$P$3,tabela_registros[CATEGORIA],despesafixaconsolidadomar[[#This Row],[DESPESA FIXA]])</f>
        <v>0</v>
      </c>
      <c r="V49" s="119" t="n">
        <f aca="false">SUMIFS(tabela_registros[VALOR],tabela_registros[MÊS],$AE$1,tabela_registros[DIA],martotal3059[[#Headers],[18]],tabela_registros[REGISTRO],DADOS!$N$4,tabela_registros[TIPO],DADOS!$P$3,tabela_registros[CATEGORIA],despesafixaconsolidadomar[[#This Row],[DESPESA FIXA]])</f>
        <v>0</v>
      </c>
      <c r="W49" s="119" t="n">
        <f aca="false">SUMIFS(tabela_registros[VALOR],tabela_registros[MÊS],$AE$1,tabela_registros[DIA],martotal3059[[#Headers],[19]],tabela_registros[REGISTRO],DADOS!$N$4,tabela_registros[TIPO],DADOS!$P$3,tabela_registros[CATEGORIA],despesafixaconsolidadomar[[#This Row],[DESPESA FIXA]])</f>
        <v>0</v>
      </c>
      <c r="X49" s="119" t="n">
        <f aca="false">SUMIFS(tabela_registros[VALOR],tabela_registros[MÊS],$AE$1,tabela_registros[DIA],martotal3059[[#Headers],[20]],tabela_registros[REGISTRO],DADOS!$N$4,tabela_registros[TIPO],DADOS!$P$3,tabela_registros[CATEGORIA],despesafixaconsolidadomar[[#This Row],[DESPESA FIXA]])</f>
        <v>0</v>
      </c>
      <c r="Y49" s="119" t="n">
        <f aca="false">SUMIFS(tabela_registros[VALOR],tabela_registros[MÊS],$AE$1,tabela_registros[DIA],martotal3059[[#Headers],[21]],tabela_registros[REGISTRO],DADOS!$N$4,tabela_registros[TIPO],DADOS!$P$3,tabela_registros[CATEGORIA],despesafixaconsolidadomar[[#This Row],[DESPESA FIXA]])</f>
        <v>0</v>
      </c>
      <c r="Z49" s="119" t="n">
        <f aca="false">SUMIFS(tabela_registros[VALOR],tabela_registros[MÊS],$AE$1,tabela_registros[DIA],martotal3059[[#Headers],[22]],tabela_registros[REGISTRO],DADOS!$N$4,tabela_registros[TIPO],DADOS!$P$3,tabela_registros[CATEGORIA],despesafixaconsolidadomar[[#This Row],[DESPESA FIXA]])</f>
        <v>0</v>
      </c>
      <c r="AA49" s="119" t="n">
        <f aca="false">SUMIFS(tabela_registros[VALOR],tabela_registros[MÊS],$AE$1,tabela_registros[DIA],martotal3059[[#Headers],[23]],tabela_registros[REGISTRO],DADOS!$N$4,tabela_registros[TIPO],DADOS!$P$3,tabela_registros[CATEGORIA],despesafixaconsolidadomar[[#This Row],[DESPESA FIXA]])</f>
        <v>0</v>
      </c>
      <c r="AB49" s="119" t="n">
        <f aca="false">SUMIFS(tabela_registros[VALOR],tabela_registros[MÊS],$AE$1,tabela_registros[DIA],martotal3059[[#Headers],[24]],tabela_registros[REGISTRO],DADOS!$N$4,tabela_registros[TIPO],DADOS!$P$3,tabela_registros[CATEGORIA],despesafixaconsolidadomar[[#This Row],[DESPESA FIXA]])</f>
        <v>0</v>
      </c>
      <c r="AC49" s="119" t="n">
        <f aca="false">SUMIFS(tabela_registros[VALOR],tabela_registros[MÊS],$AE$1,tabela_registros[DIA],martotal3059[[#Headers],[25]],tabela_registros[REGISTRO],DADOS!$N$4,tabela_registros[TIPO],DADOS!$P$3,tabela_registros[CATEGORIA],despesafixaconsolidadomar[[#This Row],[DESPESA FIXA]])</f>
        <v>0</v>
      </c>
      <c r="AD49" s="119" t="n">
        <f aca="false">SUMIFS(tabela_registros[VALOR],tabela_registros[MÊS],$AE$1,tabela_registros[DIA],martotal3059[[#Headers],[26]],tabela_registros[REGISTRO],DADOS!$N$4,tabela_registros[TIPO],DADOS!$P$3,tabela_registros[CATEGORIA],despesafixaconsolidadomar[[#This Row],[DESPESA FIXA]])</f>
        <v>0</v>
      </c>
      <c r="AE49" s="119" t="n">
        <f aca="false">SUMIFS(tabela_registros[VALOR],tabela_registros[MÊS],$AE$1,tabela_registros[DIA],martotal3059[[#Headers],[27]],tabela_registros[REGISTRO],DADOS!$N$4,tabela_registros[TIPO],DADOS!$P$3,tabela_registros[CATEGORIA],despesafixaconsolidadomar[[#This Row],[DESPESA FIXA]])</f>
        <v>0</v>
      </c>
      <c r="AF49" s="119" t="n">
        <f aca="false">SUMIFS(tabela_registros[VALOR],tabela_registros[MÊS],$AE$1,tabela_registros[DIA],martotal3059[[#Headers],[28]],tabela_registros[REGISTRO],DADOS!$N$4,tabela_registros[TIPO],DADOS!$P$3,tabela_registros[CATEGORIA],despesafixaconsolidadomar[[#This Row],[DESPESA FIXA]])</f>
        <v>0</v>
      </c>
      <c r="AG49" s="119" t="n">
        <f aca="false">SUMIFS(tabela_registros[VALOR],tabela_registros[MÊS],$AE$1,tabela_registros[DIA],martotal3059[[#Headers],[29]],tabela_registros[REGISTRO],DADOS!$N$4,tabela_registros[TIPO],DADOS!$P$3,tabela_registros[CATEGORIA],despesafixaconsolidadomar[[#This Row],[DESPESA FIXA]])</f>
        <v>0</v>
      </c>
      <c r="AH49" s="119" t="n">
        <f aca="false">SUMIFS(tabela_registros[VALOR],tabela_registros[MÊS],$AE$1,tabela_registros[DIA],martotal3059[[#Headers],[30]],tabela_registros[REGISTRO],DADOS!$N$4,tabela_registros[TIPO],DADOS!$P$3,tabela_registros[CATEGORIA],despesafixaconsolidadomar[[#This Row],[DESPESA FIXA]])</f>
        <v>0</v>
      </c>
      <c r="AI49" s="217" t="n">
        <f aca="false">SUMIFS(tabela_registros[VALOR],tabela_registros[MÊS],$AE$1,tabela_registros[DIA],martotal3059[[#Headers],[31]],tabela_registros[REGISTRO],DADOS!$N$4,tabela_registros[TIPO],DADOS!$P$3,tabela_registros[CATEGORIA],despesafixaconsolidadomar[[#This Row],[DESPESA FIXA]])</f>
        <v>0</v>
      </c>
      <c r="AJ49" s="149" t="n">
        <f aca="false">SUM(despesafixaconsolidadomar[[#This Row],[1]:[31]])</f>
        <v>0</v>
      </c>
      <c r="AK49" s="143"/>
    </row>
    <row r="50" customFormat="false" ht="18" hidden="false" customHeight="true" outlineLevel="0" collapsed="false">
      <c r="B50" s="143"/>
      <c r="C50" s="144" t="str">
        <f aca="false">DADOS!$R$16</f>
        <v>📎 OUTROS</v>
      </c>
      <c r="D50" s="145" t="str">
        <f aca="false">IF(despesafixaconsolidadomar[[#This Row],[TOTAL]]=0,"",IF(OR(despesafixaconsolidadomar[[#This Row],[TOTAL]]=LARGE($AJ$37:$AJ$50,1),despesafixaconsolidadomar[[#This Row],[TOTAL]]=LARGE($AJ$37:$AJ$50,2),despesafixaconsolidadomar[[#This Row],[TOTAL]]=LARGE($AJ$37:$AJ$50,3),despesafixaconsolidadomar[[#This Row],[TOTAL]]=LARGE($AJ$37:$AJ$50,4),despesafixaconsolidadomar[[#This Row],[TOTAL]]=LARGE($AJ$37:$AJ$50,5)),DADOS!$I$8,""))</f>
        <v/>
      </c>
      <c r="E50" s="150" t="n">
        <f aca="false">SUMIFS(tabela_registros[VALOR],tabela_registros[MÊS],$AE$1,tabela_registros[DIA],martotal3059[[#Headers],[1]],tabela_registros[REGISTRO],DADOS!$N$4,tabela_registros[TIPO],DADOS!$P$3,tabela_registros[CATEGORIA],despesafixaconsolidadomar[[#This Row],[DESPESA FIXA]])</f>
        <v>0</v>
      </c>
      <c r="F50" s="151" t="n">
        <f aca="false">SUMIFS(tabela_registros[VALOR],tabela_registros[MÊS],$AE$1,tabela_registros[DIA],martotal3059[[#Headers],[2]],tabela_registros[REGISTRO],DADOS!$N$4,tabela_registros[TIPO],DADOS!$P$3,tabela_registros[CATEGORIA],despesafixaconsolidadomar[[#This Row],[DESPESA FIXA]])</f>
        <v>0</v>
      </c>
      <c r="G50" s="151" t="n">
        <f aca="false">SUMIFS(tabela_registros[VALOR],tabela_registros[MÊS],$AE$1,tabela_registros[DIA],martotal3059[[#Headers],[3]],tabela_registros[REGISTRO],DADOS!$N$4,tabela_registros[TIPO],DADOS!$P$3,tabela_registros[CATEGORIA],despesafixaconsolidadomar[[#This Row],[DESPESA FIXA]])</f>
        <v>0</v>
      </c>
      <c r="H50" s="151" t="n">
        <f aca="false">SUMIFS(tabela_registros[VALOR],tabela_registros[MÊS],$AE$1,tabela_registros[DIA],martotal3059[[#Headers],[4]],tabela_registros[REGISTRO],DADOS!$N$4,tabela_registros[TIPO],DADOS!$P$3,tabela_registros[CATEGORIA],despesafixaconsolidadomar[[#This Row],[DESPESA FIXA]])</f>
        <v>0</v>
      </c>
      <c r="I50" s="151" t="n">
        <f aca="false">SUMIFS(tabela_registros[VALOR],tabela_registros[MÊS],$AE$1,tabela_registros[DIA],martotal3059[[#Headers],[5]],tabela_registros[REGISTRO],DADOS!$N$4,tabela_registros[TIPO],DADOS!$P$3,tabela_registros[CATEGORIA],despesafixaconsolidadomar[[#This Row],[DESPESA FIXA]])</f>
        <v>0</v>
      </c>
      <c r="J50" s="151" t="n">
        <f aca="false">SUMIFS(tabela_registros[VALOR],tabela_registros[MÊS],$AE$1,tabela_registros[DIA],martotal3059[[#Headers],[6]],tabela_registros[REGISTRO],DADOS!$N$4,tabela_registros[TIPO],DADOS!$P$3,tabela_registros[CATEGORIA],despesafixaconsolidadomar[[#This Row],[DESPESA FIXA]])</f>
        <v>0</v>
      </c>
      <c r="K50" s="151" t="n">
        <f aca="false">SUMIFS(tabela_registros[VALOR],tabela_registros[MÊS],$AE$1,tabela_registros[DIA],martotal3059[[#Headers],[7]],tabela_registros[REGISTRO],DADOS!$N$4,tabela_registros[TIPO],DADOS!$P$3,tabela_registros[CATEGORIA],despesafixaconsolidadomar[[#This Row],[DESPESA FIXA]])</f>
        <v>0</v>
      </c>
      <c r="L50" s="151" t="n">
        <f aca="false">SUMIFS(tabela_registros[VALOR],tabela_registros[MÊS],$AE$1,tabela_registros[DIA],martotal3059[[#Headers],[8]],tabela_registros[REGISTRO],DADOS!$N$4,tabela_registros[TIPO],DADOS!$P$3,tabela_registros[CATEGORIA],despesafixaconsolidadomar[[#This Row],[DESPESA FIXA]])</f>
        <v>0</v>
      </c>
      <c r="M50" s="151" t="n">
        <f aca="false">SUMIFS(tabela_registros[VALOR],tabela_registros[MÊS],$AE$1,tabela_registros[DIA],martotal3059[[#Headers],[9]],tabela_registros[REGISTRO],DADOS!$N$4,tabela_registros[TIPO],DADOS!$P$3,tabela_registros[CATEGORIA],despesafixaconsolidadomar[[#This Row],[DESPESA FIXA]])</f>
        <v>0</v>
      </c>
      <c r="N50" s="151" t="n">
        <f aca="false">SUMIFS(tabela_registros[VALOR],tabela_registros[MÊS],$AE$1,tabela_registros[DIA],martotal3059[[#Headers],[10]],tabela_registros[REGISTRO],DADOS!$N$4,tabela_registros[TIPO],DADOS!$P$3,tabela_registros[CATEGORIA],despesafixaconsolidadomar[[#This Row],[DESPESA FIXA]])</f>
        <v>0</v>
      </c>
      <c r="O50" s="151" t="n">
        <f aca="false">SUMIFS(tabela_registros[VALOR],tabela_registros[MÊS],$AE$1,tabela_registros[DIA],martotal3059[[#Headers],[11]],tabela_registros[REGISTRO],DADOS!$N$4,tabela_registros[TIPO],DADOS!$P$3,tabela_registros[CATEGORIA],despesafixaconsolidadomar[[#This Row],[DESPESA FIXA]])</f>
        <v>0</v>
      </c>
      <c r="P50" s="151" t="n">
        <f aca="false">SUMIFS(tabela_registros[VALOR],tabela_registros[MÊS],$AE$1,tabela_registros[DIA],martotal3059[[#Headers],[12]],tabela_registros[REGISTRO],DADOS!$N$4,tabela_registros[TIPO],DADOS!$P$3,tabela_registros[CATEGORIA],despesafixaconsolidadomar[[#This Row],[DESPESA FIXA]])</f>
        <v>0</v>
      </c>
      <c r="Q50" s="151" t="n">
        <f aca="false">SUMIFS(tabela_registros[VALOR],tabela_registros[MÊS],$AE$1,tabela_registros[DIA],martotal3059[[#Headers],[13]],tabela_registros[REGISTRO],DADOS!$N$4,tabela_registros[TIPO],DADOS!$P$3,tabela_registros[CATEGORIA],despesafixaconsolidadomar[[#This Row],[DESPESA FIXA]])</f>
        <v>0</v>
      </c>
      <c r="R50" s="151" t="n">
        <f aca="false">SUMIFS(tabela_registros[VALOR],tabela_registros[MÊS],$AE$1,tabela_registros[DIA],martotal3059[[#Headers],[14]],tabela_registros[REGISTRO],DADOS!$N$4,tabela_registros[TIPO],DADOS!$P$3,tabela_registros[CATEGORIA],despesafixaconsolidadomar[[#This Row],[DESPESA FIXA]])</f>
        <v>0</v>
      </c>
      <c r="S50" s="151" t="n">
        <f aca="false">SUMIFS(tabela_registros[VALOR],tabela_registros[MÊS],$AE$1,tabela_registros[DIA],martotal3059[[#Headers],[15]],tabela_registros[REGISTRO],DADOS!$N$4,tabela_registros[TIPO],DADOS!$P$3,tabela_registros[CATEGORIA],despesafixaconsolidadomar[[#This Row],[DESPESA FIXA]])</f>
        <v>0</v>
      </c>
      <c r="T50" s="151" t="n">
        <f aca="false">SUMIFS(tabela_registros[VALOR],tabela_registros[MÊS],$AE$1,tabela_registros[DIA],martotal3059[[#Headers],[16]],tabela_registros[REGISTRO],DADOS!$N$4,tabela_registros[TIPO],DADOS!$P$3,tabela_registros[CATEGORIA],despesafixaconsolidadomar[[#This Row],[DESPESA FIXA]])</f>
        <v>0</v>
      </c>
      <c r="U50" s="151" t="n">
        <f aca="false">SUMIFS(tabela_registros[VALOR],tabela_registros[MÊS],$AE$1,tabela_registros[DIA],martotal3059[[#Headers],[17]],tabela_registros[REGISTRO],DADOS!$N$4,tabela_registros[TIPO],DADOS!$P$3,tabela_registros[CATEGORIA],despesafixaconsolidadomar[[#This Row],[DESPESA FIXA]])</f>
        <v>0</v>
      </c>
      <c r="V50" s="151" t="n">
        <f aca="false">SUMIFS(tabela_registros[VALOR],tabela_registros[MÊS],$AE$1,tabela_registros[DIA],martotal3059[[#Headers],[18]],tabela_registros[REGISTRO],DADOS!$N$4,tabela_registros[TIPO],DADOS!$P$3,tabela_registros[CATEGORIA],despesafixaconsolidadomar[[#This Row],[DESPESA FIXA]])</f>
        <v>0</v>
      </c>
      <c r="W50" s="151" t="n">
        <f aca="false">SUMIFS(tabela_registros[VALOR],tabela_registros[MÊS],$AE$1,tabela_registros[DIA],martotal3059[[#Headers],[19]],tabela_registros[REGISTRO],DADOS!$N$4,tabela_registros[TIPO],DADOS!$P$3,tabela_registros[CATEGORIA],despesafixaconsolidadomar[[#This Row],[DESPESA FIXA]])</f>
        <v>0</v>
      </c>
      <c r="X50" s="151" t="n">
        <f aca="false">SUMIFS(tabela_registros[VALOR],tabela_registros[MÊS],$AE$1,tabela_registros[DIA],martotal3059[[#Headers],[20]],tabela_registros[REGISTRO],DADOS!$N$4,tabela_registros[TIPO],DADOS!$P$3,tabela_registros[CATEGORIA],despesafixaconsolidadomar[[#This Row],[DESPESA FIXA]])</f>
        <v>0</v>
      </c>
      <c r="Y50" s="151" t="n">
        <f aca="false">SUMIFS(tabela_registros[VALOR],tabela_registros[MÊS],$AE$1,tabela_registros[DIA],martotal3059[[#Headers],[21]],tabela_registros[REGISTRO],DADOS!$N$4,tabela_registros[TIPO],DADOS!$P$3,tabela_registros[CATEGORIA],despesafixaconsolidadomar[[#This Row],[DESPESA FIXA]])</f>
        <v>0</v>
      </c>
      <c r="Z50" s="151" t="n">
        <f aca="false">SUMIFS(tabela_registros[VALOR],tabela_registros[MÊS],$AE$1,tabela_registros[DIA],martotal3059[[#Headers],[22]],tabela_registros[REGISTRO],DADOS!$N$4,tabela_registros[TIPO],DADOS!$P$3,tabela_registros[CATEGORIA],despesafixaconsolidadomar[[#This Row],[DESPESA FIXA]])</f>
        <v>0</v>
      </c>
      <c r="AA50" s="151" t="n">
        <f aca="false">SUMIFS(tabela_registros[VALOR],tabela_registros[MÊS],$AE$1,tabela_registros[DIA],martotal3059[[#Headers],[23]],tabela_registros[REGISTRO],DADOS!$N$4,tabela_registros[TIPO],DADOS!$P$3,tabela_registros[CATEGORIA],despesafixaconsolidadomar[[#This Row],[DESPESA FIXA]])</f>
        <v>0</v>
      </c>
      <c r="AB50" s="151" t="n">
        <f aca="false">SUMIFS(tabela_registros[VALOR],tabela_registros[MÊS],$AE$1,tabela_registros[DIA],martotal3059[[#Headers],[24]],tabela_registros[REGISTRO],DADOS!$N$4,tabela_registros[TIPO],DADOS!$P$3,tabela_registros[CATEGORIA],despesafixaconsolidadomar[[#This Row],[DESPESA FIXA]])</f>
        <v>0</v>
      </c>
      <c r="AC50" s="151" t="n">
        <f aca="false">SUMIFS(tabela_registros[VALOR],tabela_registros[MÊS],$AE$1,tabela_registros[DIA],martotal3059[[#Headers],[25]],tabela_registros[REGISTRO],DADOS!$N$4,tabela_registros[TIPO],DADOS!$P$3,tabela_registros[CATEGORIA],despesafixaconsolidadomar[[#This Row],[DESPESA FIXA]])</f>
        <v>0</v>
      </c>
      <c r="AD50" s="151" t="n">
        <f aca="false">SUMIFS(tabela_registros[VALOR],tabela_registros[MÊS],$AE$1,tabela_registros[DIA],martotal3059[[#Headers],[26]],tabela_registros[REGISTRO],DADOS!$N$4,tabela_registros[TIPO],DADOS!$P$3,tabela_registros[CATEGORIA],despesafixaconsolidadomar[[#This Row],[DESPESA FIXA]])</f>
        <v>0</v>
      </c>
      <c r="AE50" s="151" t="n">
        <f aca="false">SUMIFS(tabela_registros[VALOR],tabela_registros[MÊS],$AE$1,tabela_registros[DIA],martotal3059[[#Headers],[27]],tabela_registros[REGISTRO],DADOS!$N$4,tabela_registros[TIPO],DADOS!$P$3,tabela_registros[CATEGORIA],despesafixaconsolidadomar[[#This Row],[DESPESA FIXA]])</f>
        <v>0</v>
      </c>
      <c r="AF50" s="151" t="n">
        <f aca="false">SUMIFS(tabela_registros[VALOR],tabela_registros[MÊS],$AE$1,tabela_registros[DIA],martotal3059[[#Headers],[28]],tabela_registros[REGISTRO],DADOS!$N$4,tabela_registros[TIPO],DADOS!$P$3,tabela_registros[CATEGORIA],despesafixaconsolidadomar[[#This Row],[DESPESA FIXA]])</f>
        <v>0</v>
      </c>
      <c r="AG50" s="151" t="n">
        <f aca="false">SUMIFS(tabela_registros[VALOR],tabela_registros[MÊS],$AE$1,tabela_registros[DIA],martotal3059[[#Headers],[29]],tabela_registros[REGISTRO],DADOS!$N$4,tabela_registros[TIPO],DADOS!$P$3,tabela_registros[CATEGORIA],despesafixaconsolidadomar[[#This Row],[DESPESA FIXA]])</f>
        <v>0</v>
      </c>
      <c r="AH50" s="151" t="n">
        <f aca="false">SUMIFS(tabela_registros[VALOR],tabela_registros[MÊS],$AE$1,tabela_registros[DIA],martotal3059[[#Headers],[30]],tabela_registros[REGISTRO],DADOS!$N$4,tabela_registros[TIPO],DADOS!$P$3,tabela_registros[CATEGORIA],despesafixaconsolidadomar[[#This Row],[DESPESA FIXA]])</f>
        <v>0</v>
      </c>
      <c r="AI50" s="218" t="n">
        <f aca="false">SUMIFS(tabela_registros[VALOR],tabela_registros[MÊS],$AE$1,tabela_registros[DIA],martotal3059[[#Headers],[31]],tabela_registros[REGISTRO],DADOS!$N$4,tabela_registros[TIPO],DADOS!$P$3,tabela_registros[CATEGORIA],despesafixaconsolidadomar[[#This Row],[DESPESA FIXA]])</f>
        <v>0</v>
      </c>
      <c r="AJ50" s="219" t="n">
        <f aca="false">SUM(despesafixaconsolidadomar[[#This Row],[1]:[31]])</f>
        <v>0</v>
      </c>
      <c r="AK50" s="143"/>
    </row>
    <row r="51" s="122" customFormat="true" ht="21" hidden="false" customHeight="true" outlineLevel="0" collapsed="false">
      <c r="B51" s="152"/>
      <c r="C51" s="153" t="s">
        <v>2</v>
      </c>
      <c r="D51" s="154" t="str">
        <f aca="false">IF(despesafixaconsolidadomar[[#This Row],[TOTAL]]=0,"",IF(OR(despesafixaconsolidadomar[[#This Row],[TOTAL]]=SMALL($AJ$37:$AJ$50,1),despesafixaconsolidadomar[[#This Row],[TOTAL]]=SMALL($AJ$37:$AJ$50,2),despesafixaconsolidadomar[[#This Row],[TOTAL]]=SMALL($AJ$37:$AJ$50,3),despesafixaconsolidadomar[[#This Row],[TOTAL]]=SMALL($AJ$37:$AJ$50,4),despesafixaconsolidadomar[[#This Row],[TOTAL]]=SMALL($AJ$37:$AJ$50,5)),DADOS!$I$8,""))</f>
        <v/>
      </c>
      <c r="E51" s="155" t="n">
        <f aca="false">SUM(E37:E50)</f>
        <v>0</v>
      </c>
      <c r="F51" s="156" t="n">
        <f aca="false">SUM(F37:F50)+despesafixaconsolidadomar[[#This Row],[1]]</f>
        <v>0</v>
      </c>
      <c r="G51" s="156" t="n">
        <f aca="false">SUM(G37:G50)+despesafixaconsolidadomar[[#This Row],[2]]</f>
        <v>0</v>
      </c>
      <c r="H51" s="156" t="n">
        <f aca="false">SUM(H37:H50)+despesafixaconsolidadomar[[#This Row],[3]]</f>
        <v>0</v>
      </c>
      <c r="I51" s="156" t="n">
        <f aca="false">SUM(I37:I50)+despesafixaconsolidadomar[[#This Row],[4]]</f>
        <v>0</v>
      </c>
      <c r="J51" s="156" t="n">
        <f aca="false">SUM(J37:J50)+despesafixaconsolidadomar[[#This Row],[5]]</f>
        <v>0</v>
      </c>
      <c r="K51" s="156" t="n">
        <f aca="false">SUM(K37:K50)+despesafixaconsolidadomar[[#This Row],[6]]</f>
        <v>0</v>
      </c>
      <c r="L51" s="156" t="n">
        <f aca="false">SUM(L37:L50)+despesafixaconsolidadomar[[#This Row],[7]]</f>
        <v>0</v>
      </c>
      <c r="M51" s="156" t="n">
        <f aca="false">SUM(M37:M50)+despesafixaconsolidadomar[[#This Row],[8]]</f>
        <v>0</v>
      </c>
      <c r="N51" s="156" t="n">
        <f aca="false">SUM(N37:N50)+despesafixaconsolidadomar[[#This Row],[9]]</f>
        <v>0</v>
      </c>
      <c r="O51" s="156" t="n">
        <f aca="false">SUM(O37:O50)+despesafixaconsolidadomar[[#This Row],[10]]</f>
        <v>0</v>
      </c>
      <c r="P51" s="156" t="n">
        <f aca="false">SUM(P37:P50)+despesafixaconsolidadomar[[#This Row],[11]]</f>
        <v>0</v>
      </c>
      <c r="Q51" s="156" t="n">
        <f aca="false">SUM(Q37:Q50)+despesafixaconsolidadomar[[#This Row],[12]]</f>
        <v>0</v>
      </c>
      <c r="R51" s="156" t="n">
        <f aca="false">SUM(R37:R50)+despesafixaconsolidadomar[[#This Row],[13]]</f>
        <v>0</v>
      </c>
      <c r="S51" s="156" t="n">
        <f aca="false">SUM(S37:S50)+despesafixaconsolidadomar[[#This Row],[14]]</f>
        <v>0</v>
      </c>
      <c r="T51" s="156" t="n">
        <f aca="false">SUM(T37:T50)+despesafixaconsolidadomar[[#This Row],[15]]</f>
        <v>0</v>
      </c>
      <c r="U51" s="156" t="n">
        <f aca="false">SUM(U37:U50)+despesafixaconsolidadomar[[#This Row],[16]]</f>
        <v>0</v>
      </c>
      <c r="V51" s="156" t="n">
        <f aca="false">SUM(V37:V50)+despesafixaconsolidadomar[[#This Row],[17]]</f>
        <v>0</v>
      </c>
      <c r="W51" s="156" t="n">
        <f aca="false">SUM(W37:W50)+despesafixaconsolidadomar[[#This Row],[18]]</f>
        <v>0</v>
      </c>
      <c r="X51" s="156" t="n">
        <f aca="false">SUM(X37:X50)+despesafixaconsolidadomar[[#This Row],[19]]</f>
        <v>0</v>
      </c>
      <c r="Y51" s="156" t="n">
        <f aca="false">SUM(Y37:Y50)+despesafixaconsolidadomar[[#This Row],[20]]</f>
        <v>0</v>
      </c>
      <c r="Z51" s="156" t="n">
        <f aca="false">SUM(Z37:Z50)+despesafixaconsolidadomar[[#This Row],[21]]</f>
        <v>0</v>
      </c>
      <c r="AA51" s="156" t="n">
        <f aca="false">SUM(AA37:AA50)+despesafixaconsolidadomar[[#This Row],[22]]</f>
        <v>0</v>
      </c>
      <c r="AB51" s="156" t="n">
        <f aca="false">SUM(AB37:AB50)+despesafixaconsolidadomar[[#This Row],[23]]</f>
        <v>0</v>
      </c>
      <c r="AC51" s="156" t="n">
        <f aca="false">SUM(AC37:AC50)+despesafixaconsolidadomar[[#This Row],[24]]</f>
        <v>0</v>
      </c>
      <c r="AD51" s="156" t="n">
        <f aca="false">SUM(AD37:AD50)+despesafixaconsolidadomar[[#This Row],[25]]</f>
        <v>0</v>
      </c>
      <c r="AE51" s="156" t="n">
        <f aca="false">SUM(AE37:AE50)+despesafixaconsolidadomar[[#This Row],[26]]</f>
        <v>0</v>
      </c>
      <c r="AF51" s="156" t="n">
        <f aca="false">SUM(AF37:AF50)+despesafixaconsolidadomar[[#This Row],[27]]</f>
        <v>0</v>
      </c>
      <c r="AG51" s="156" t="n">
        <f aca="false">SUM(AG37:AG50)+despesafixaconsolidadomar[[#This Row],[28]]</f>
        <v>0</v>
      </c>
      <c r="AH51" s="156" t="n">
        <f aca="false">SUM(AH37:AH50)+despesafixaconsolidadomar[[#This Row],[29]]</f>
        <v>0</v>
      </c>
      <c r="AI51" s="223" t="n">
        <f aca="false">SUM(AI37:AI50)+despesafixaconsolidadomar[[#This Row],[30]]</f>
        <v>0</v>
      </c>
      <c r="AJ51" s="157" t="n">
        <f aca="false">despesafixaconsolidadomar[[#This Row],[31]]</f>
        <v>0</v>
      </c>
      <c r="AK51" s="158"/>
    </row>
    <row r="52" customFormat="false" ht="6.75" hidden="false" customHeight="true" outlineLevel="0" collapsed="false">
      <c r="B52" s="97"/>
      <c r="C52" s="159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227"/>
      <c r="AJ52" s="97"/>
      <c r="AK52" s="244"/>
    </row>
    <row r="53" customFormat="false" ht="12.75" hidden="false" customHeight="false" outlineLevel="0" collapsed="false">
      <c r="C53" s="133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K53" s="100"/>
    </row>
    <row r="54" customFormat="false" ht="12" hidden="false" customHeight="false" outlineLevel="0" collapsed="false">
      <c r="C54" s="133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</row>
    <row r="55" customFormat="false" ht="12" hidden="false" customHeight="false" outlineLevel="0" collapsed="false">
      <c r="C55" s="133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</row>
    <row r="56" customFormat="false" ht="39.75" hidden="false" customHeight="true" outlineLevel="0" collapsed="false">
      <c r="C56" s="133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3" t="s">
        <v>2</v>
      </c>
    </row>
    <row r="57" s="78" customFormat="true" ht="11.25" hidden="false" customHeight="true" outlineLevel="0" collapsed="false">
      <c r="C57" s="101"/>
      <c r="AJ57" s="106" t="s">
        <v>64</v>
      </c>
    </row>
    <row r="58" customFormat="false" ht="6.75" hidden="false" customHeight="true" outlineLevel="0" collapsed="false">
      <c r="B58" s="139"/>
      <c r="C58" s="140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212"/>
      <c r="AK58" s="139"/>
    </row>
    <row r="59" customFormat="false" ht="12.75" hidden="true" customHeight="false" outlineLevel="0" collapsed="false">
      <c r="B59" s="86"/>
      <c r="C59" s="109" t="s">
        <v>79</v>
      </c>
      <c r="D59" s="110" t="s">
        <v>69</v>
      </c>
      <c r="E59" s="110" t="s">
        <v>30</v>
      </c>
      <c r="F59" s="110" t="s">
        <v>31</v>
      </c>
      <c r="G59" s="110" t="s">
        <v>32</v>
      </c>
      <c r="H59" s="110" t="s">
        <v>33</v>
      </c>
      <c r="I59" s="110" t="s">
        <v>34</v>
      </c>
      <c r="J59" s="110" t="s">
        <v>35</v>
      </c>
      <c r="K59" s="110" t="s">
        <v>36</v>
      </c>
      <c r="L59" s="110" t="s">
        <v>37</v>
      </c>
      <c r="M59" s="110" t="s">
        <v>38</v>
      </c>
      <c r="N59" s="110" t="s">
        <v>39</v>
      </c>
      <c r="O59" s="110" t="s">
        <v>40</v>
      </c>
      <c r="P59" s="110" t="s">
        <v>41</v>
      </c>
      <c r="Q59" s="110" t="s">
        <v>81</v>
      </c>
      <c r="R59" s="110" t="s">
        <v>82</v>
      </c>
      <c r="S59" s="110" t="s">
        <v>83</v>
      </c>
      <c r="T59" s="110" t="s">
        <v>84</v>
      </c>
      <c r="U59" s="110" t="s">
        <v>85</v>
      </c>
      <c r="V59" s="110" t="s">
        <v>86</v>
      </c>
      <c r="W59" s="110" t="s">
        <v>87</v>
      </c>
      <c r="X59" s="110" t="s">
        <v>88</v>
      </c>
      <c r="Y59" s="110" t="s">
        <v>89</v>
      </c>
      <c r="Z59" s="110" t="s">
        <v>90</v>
      </c>
      <c r="AA59" s="110" t="s">
        <v>91</v>
      </c>
      <c r="AB59" s="110" t="s">
        <v>92</v>
      </c>
      <c r="AC59" s="110" t="s">
        <v>93</v>
      </c>
      <c r="AD59" s="110" t="s">
        <v>94</v>
      </c>
      <c r="AE59" s="110" t="s">
        <v>95</v>
      </c>
      <c r="AF59" s="110" t="s">
        <v>96</v>
      </c>
      <c r="AG59" s="110" t="s">
        <v>97</v>
      </c>
      <c r="AH59" s="110" t="s">
        <v>98</v>
      </c>
      <c r="AI59" s="110" t="s">
        <v>99</v>
      </c>
      <c r="AJ59" s="142" t="s">
        <v>2</v>
      </c>
      <c r="AK59" s="86" t="s">
        <v>75</v>
      </c>
    </row>
    <row r="60" customFormat="false" ht="19.5" hidden="false" customHeight="true" outlineLevel="0" collapsed="false">
      <c r="B60" s="143"/>
      <c r="C60" s="144" t="str">
        <f aca="false">DADOS!$T$3</f>
        <v>🍕 ALIMENTAÇÃO</v>
      </c>
      <c r="D60" s="145" t="str">
        <f aca="false">IF(despesavariávelconsolidadomar[[#This Row],[TOTAL]]=0,"",IF(OR(despesavariávelconsolidadomar[[#This Row],[TOTAL]]=LARGE($AJ$60:$AJ$72,1),despesavariávelconsolidadomar[[#This Row],[TOTAL]]=LARGE($AJ$60:$AJ$72,2),despesavariávelconsolidadomar[[#This Row],[TOTAL]]=LARGE($AJ$60:$AJ$72,3),despesavariávelconsolidadomar[[#This Row],[TOTAL]]=LARGE($AJ$60:$AJ$72,4),despesavariávelconsolidadomar[[#This Row],[TOTAL]]=LARGE($AJ$60:$AJ$72,5)),DADOS!$I$8,""))</f>
        <v/>
      </c>
      <c r="E60" s="146" t="n">
        <f aca="false">SUMIFS(tabela_registros[VALOR],tabela_registros[MÊS],$AE$1,tabela_registros[DIA],martotal3059[[#Headers],[1]],tabela_registros[REGISTRO],DADOS!$N$4,tabela_registros[TIPO],DADOS!$P$4,tabela_registros[CATEGORIA],despesavariávelconsolidadomar[[#This Row],[DESPESA VARIÁVEL]])</f>
        <v>0</v>
      </c>
      <c r="F60" s="114" t="n">
        <f aca="false">SUMIFS(tabela_registros[VALOR],tabela_registros[MÊS],$AE$1,tabela_registros[DIA],martotal3059[[#Headers],[2]],tabela_registros[REGISTRO],DADOS!$N$4,tabela_registros[TIPO],DADOS!$P$4,tabela_registros[CATEGORIA],despesavariávelconsolidadomar[[#This Row],[DESPESA VARIÁVEL]])</f>
        <v>0</v>
      </c>
      <c r="G60" s="114" t="n">
        <f aca="false">SUMIFS(tabela_registros[VALOR],tabela_registros[MÊS],$AE$1,tabela_registros[DIA],martotal3059[[#Headers],[3]],tabela_registros[REGISTRO],DADOS!$N$4,tabela_registros[TIPO],DADOS!$P$4,tabela_registros[CATEGORIA],despesavariávelconsolidadomar[[#This Row],[DESPESA VARIÁVEL]])</f>
        <v>0</v>
      </c>
      <c r="H60" s="114" t="n">
        <f aca="false">SUMIFS(tabela_registros[VALOR],tabela_registros[MÊS],$AE$1,tabela_registros[DIA],martotal3059[[#Headers],[4]],tabela_registros[REGISTRO],DADOS!$N$4,tabela_registros[TIPO],DADOS!$P$4,tabela_registros[CATEGORIA],despesavariávelconsolidadomar[[#This Row],[DESPESA VARIÁVEL]])</f>
        <v>0</v>
      </c>
      <c r="I60" s="114" t="n">
        <f aca="false">SUMIFS(tabela_registros[VALOR],tabela_registros[MÊS],$AE$1,tabela_registros[DIA],martotal3059[[#Headers],[5]],tabela_registros[REGISTRO],DADOS!$N$4,tabela_registros[TIPO],DADOS!$P$4,tabela_registros[CATEGORIA],despesavariávelconsolidadomar[[#This Row],[DESPESA VARIÁVEL]])</f>
        <v>0</v>
      </c>
      <c r="J60" s="114" t="n">
        <f aca="false">SUMIFS(tabela_registros[VALOR],tabela_registros[MÊS],$AE$1,tabela_registros[DIA],martotal3059[[#Headers],[6]],tabela_registros[REGISTRO],DADOS!$N$4,tabela_registros[TIPO],DADOS!$P$4,tabela_registros[CATEGORIA],despesavariávelconsolidadomar[[#This Row],[DESPESA VARIÁVEL]])</f>
        <v>0</v>
      </c>
      <c r="K60" s="114" t="n">
        <f aca="false">SUMIFS(tabela_registros[VALOR],tabela_registros[MÊS],$AE$1,tabela_registros[DIA],martotal3059[[#Headers],[7]],tabela_registros[REGISTRO],DADOS!$N$4,tabela_registros[TIPO],DADOS!$P$4,tabela_registros[CATEGORIA],despesavariávelconsolidadomar[[#This Row],[DESPESA VARIÁVEL]])</f>
        <v>0</v>
      </c>
      <c r="L60" s="114" t="n">
        <f aca="false">SUMIFS(tabela_registros[VALOR],tabela_registros[MÊS],$AE$1,tabela_registros[DIA],martotal3059[[#Headers],[8]],tabela_registros[REGISTRO],DADOS!$N$4,tabela_registros[TIPO],DADOS!$P$4,tabela_registros[CATEGORIA],despesavariávelconsolidadomar[[#This Row],[DESPESA VARIÁVEL]])</f>
        <v>0</v>
      </c>
      <c r="M60" s="114" t="n">
        <f aca="false">SUMIFS(tabela_registros[VALOR],tabela_registros[MÊS],$AE$1,tabela_registros[DIA],martotal3059[[#Headers],[9]],tabela_registros[REGISTRO],DADOS!$N$4,tabela_registros[TIPO],DADOS!$P$4,tabela_registros[CATEGORIA],despesavariávelconsolidadomar[[#This Row],[DESPESA VARIÁVEL]])</f>
        <v>0</v>
      </c>
      <c r="N60" s="114" t="n">
        <f aca="false">SUMIFS(tabela_registros[VALOR],tabela_registros[MÊS],$AE$1,tabela_registros[DIA],martotal3059[[#Headers],[10]],tabela_registros[REGISTRO],DADOS!$N$4,tabela_registros[TIPO],DADOS!$P$4,tabela_registros[CATEGORIA],despesavariávelconsolidadomar[[#This Row],[DESPESA VARIÁVEL]])</f>
        <v>0</v>
      </c>
      <c r="O60" s="114" t="n">
        <f aca="false">SUMIFS(tabela_registros[VALOR],tabela_registros[MÊS],$AE$1,tabela_registros[DIA],martotal3059[[#Headers],[11]],tabela_registros[REGISTRO],DADOS!$N$4,tabela_registros[TIPO],DADOS!$P$4,tabela_registros[CATEGORIA],despesavariávelconsolidadomar[[#This Row],[DESPESA VARIÁVEL]])</f>
        <v>0</v>
      </c>
      <c r="P60" s="114" t="n">
        <f aca="false">SUMIFS(tabela_registros[VALOR],tabela_registros[MÊS],$AE$1,tabela_registros[DIA],martotal3059[[#Headers],[12]],tabela_registros[REGISTRO],DADOS!$N$4,tabela_registros[TIPO],DADOS!$P$4,tabela_registros[CATEGORIA],despesavariávelconsolidadomar[[#This Row],[DESPESA VARIÁVEL]])</f>
        <v>0</v>
      </c>
      <c r="Q60" s="114" t="n">
        <f aca="false">SUMIFS(tabela_registros[VALOR],tabela_registros[MÊS],$AE$1,tabela_registros[DIA],martotal3059[[#Headers],[13]],tabela_registros[REGISTRO],DADOS!$N$4,tabela_registros[TIPO],DADOS!$P$4,tabela_registros[CATEGORIA],despesavariávelconsolidadomar[[#This Row],[DESPESA VARIÁVEL]])</f>
        <v>0</v>
      </c>
      <c r="R60" s="114" t="n">
        <f aca="false">SUMIFS(tabela_registros[VALOR],tabela_registros[MÊS],$AE$1,tabela_registros[DIA],martotal3059[[#Headers],[14]],tabela_registros[REGISTRO],DADOS!$N$4,tabela_registros[TIPO],DADOS!$P$4,tabela_registros[CATEGORIA],despesavariávelconsolidadomar[[#This Row],[DESPESA VARIÁVEL]])</f>
        <v>0</v>
      </c>
      <c r="S60" s="114" t="n">
        <f aca="false">SUMIFS(tabela_registros[VALOR],tabela_registros[MÊS],$AE$1,tabela_registros[DIA],martotal3059[[#Headers],[15]],tabela_registros[REGISTRO],DADOS!$N$4,tabela_registros[TIPO],DADOS!$P$4,tabela_registros[CATEGORIA],despesavariávelconsolidadomar[[#This Row],[DESPESA VARIÁVEL]])</f>
        <v>0</v>
      </c>
      <c r="T60" s="114" t="n">
        <f aca="false">SUMIFS(tabela_registros[VALOR],tabela_registros[MÊS],$AE$1,tabela_registros[DIA],martotal3059[[#Headers],[16]],tabela_registros[REGISTRO],DADOS!$N$4,tabela_registros[TIPO],DADOS!$P$4,tabela_registros[CATEGORIA],despesavariávelconsolidadomar[[#This Row],[DESPESA VARIÁVEL]])</f>
        <v>0</v>
      </c>
      <c r="U60" s="114" t="n">
        <f aca="false">SUMIFS(tabela_registros[VALOR],tabela_registros[MÊS],$AE$1,tabela_registros[DIA],martotal3059[[#Headers],[17]],tabela_registros[REGISTRO],DADOS!$N$4,tabela_registros[TIPO],DADOS!$P$4,tabela_registros[CATEGORIA],despesavariávelconsolidadomar[[#This Row],[DESPESA VARIÁVEL]])</f>
        <v>0</v>
      </c>
      <c r="V60" s="114" t="n">
        <f aca="false">SUMIFS(tabela_registros[VALOR],tabela_registros[MÊS],$AE$1,tabela_registros[DIA],martotal3059[[#Headers],[18]],tabela_registros[REGISTRO],DADOS!$N$4,tabela_registros[TIPO],DADOS!$P$4,tabela_registros[CATEGORIA],despesavariávelconsolidadomar[[#This Row],[DESPESA VARIÁVEL]])</f>
        <v>0</v>
      </c>
      <c r="W60" s="114" t="n">
        <f aca="false">SUMIFS(tabela_registros[VALOR],tabela_registros[MÊS],$AE$1,tabela_registros[DIA],martotal3059[[#Headers],[19]],tabela_registros[REGISTRO],DADOS!$N$4,tabela_registros[TIPO],DADOS!$P$4,tabela_registros[CATEGORIA],despesavariávelconsolidadomar[[#This Row],[DESPESA VARIÁVEL]])</f>
        <v>0</v>
      </c>
      <c r="X60" s="114" t="n">
        <f aca="false">SUMIFS(tabela_registros[VALOR],tabela_registros[MÊS],$AE$1,tabela_registros[DIA],martotal3059[[#Headers],[20]],tabela_registros[REGISTRO],DADOS!$N$4,tabela_registros[TIPO],DADOS!$P$4,tabela_registros[CATEGORIA],despesavariávelconsolidadomar[[#This Row],[DESPESA VARIÁVEL]])</f>
        <v>0</v>
      </c>
      <c r="Y60" s="114" t="n">
        <f aca="false">SUMIFS(tabela_registros[VALOR],tabela_registros[MÊS],$AE$1,tabela_registros[DIA],martotal3059[[#Headers],[21]],tabela_registros[REGISTRO],DADOS!$N$4,tabela_registros[TIPO],DADOS!$P$4,tabela_registros[CATEGORIA],despesavariávelconsolidadomar[[#This Row],[DESPESA VARIÁVEL]])</f>
        <v>0</v>
      </c>
      <c r="Z60" s="114" t="n">
        <f aca="false">SUMIFS(tabela_registros[VALOR],tabela_registros[MÊS],$AE$1,tabela_registros[DIA],martotal3059[[#Headers],[22]],tabela_registros[REGISTRO],DADOS!$N$4,tabela_registros[TIPO],DADOS!$P$4,tabela_registros[CATEGORIA],despesavariávelconsolidadomar[[#This Row],[DESPESA VARIÁVEL]])</f>
        <v>0</v>
      </c>
      <c r="AA60" s="114" t="n">
        <f aca="false">SUMIFS(tabela_registros[VALOR],tabela_registros[MÊS],$AE$1,tabela_registros[DIA],martotal3059[[#Headers],[23]],tabela_registros[REGISTRO],DADOS!$N$4,tabela_registros[TIPO],DADOS!$P$4,tabela_registros[CATEGORIA],despesavariávelconsolidadomar[[#This Row],[DESPESA VARIÁVEL]])</f>
        <v>0</v>
      </c>
      <c r="AB60" s="114" t="n">
        <f aca="false">SUMIFS(tabela_registros[VALOR],tabela_registros[MÊS],$AE$1,tabela_registros[DIA],martotal3059[[#Headers],[24]],tabela_registros[REGISTRO],DADOS!$N$4,tabela_registros[TIPO],DADOS!$P$4,tabela_registros[CATEGORIA],despesavariávelconsolidadomar[[#This Row],[DESPESA VARIÁVEL]])</f>
        <v>0</v>
      </c>
      <c r="AC60" s="114" t="n">
        <f aca="false">SUMIFS(tabela_registros[VALOR],tabela_registros[MÊS],$AE$1,tabela_registros[DIA],martotal3059[[#Headers],[25]],tabela_registros[REGISTRO],DADOS!$N$4,tabela_registros[TIPO],DADOS!$P$4,tabela_registros[CATEGORIA],despesavariávelconsolidadomar[[#This Row],[DESPESA VARIÁVEL]])</f>
        <v>0</v>
      </c>
      <c r="AD60" s="114" t="n">
        <f aca="false">SUMIFS(tabela_registros[VALOR],tabela_registros[MÊS],$AE$1,tabela_registros[DIA],martotal3059[[#Headers],[26]],tabela_registros[REGISTRO],DADOS!$N$4,tabela_registros[TIPO],DADOS!$P$4,tabela_registros[CATEGORIA],despesavariávelconsolidadomar[[#This Row],[DESPESA VARIÁVEL]])</f>
        <v>0</v>
      </c>
      <c r="AE60" s="114" t="n">
        <f aca="false">SUMIFS(tabela_registros[VALOR],tabela_registros[MÊS],$AE$1,tabela_registros[DIA],martotal3059[[#Headers],[27]],tabela_registros[REGISTRO],DADOS!$N$4,tabela_registros[TIPO],DADOS!$P$4,tabela_registros[CATEGORIA],despesavariávelconsolidadomar[[#This Row],[DESPESA VARIÁVEL]])</f>
        <v>0</v>
      </c>
      <c r="AF60" s="114" t="n">
        <f aca="false">SUMIFS(tabela_registros[VALOR],tabela_registros[MÊS],$AE$1,tabela_registros[DIA],martotal3059[[#Headers],[28]],tabela_registros[REGISTRO],DADOS!$N$4,tabela_registros[TIPO],DADOS!$P$4,tabela_registros[CATEGORIA],despesavariávelconsolidadomar[[#This Row],[DESPESA VARIÁVEL]])</f>
        <v>0</v>
      </c>
      <c r="AG60" s="114" t="n">
        <f aca="false">SUMIFS(tabela_registros[VALOR],tabela_registros[MÊS],$AE$1,tabela_registros[DIA],martotal3059[[#Headers],[29]],tabela_registros[REGISTRO],DADOS!$N$4,tabela_registros[TIPO],DADOS!$P$4,tabela_registros[CATEGORIA],despesavariávelconsolidadomar[[#This Row],[DESPESA VARIÁVEL]])</f>
        <v>0</v>
      </c>
      <c r="AH60" s="114" t="n">
        <f aca="false">SUMIFS(tabela_registros[VALOR],tabela_registros[MÊS],$AE$1,tabela_registros[DIA],martotal3059[[#Headers],[30]],tabela_registros[REGISTRO],DADOS!$N$4,tabela_registros[TIPO],DADOS!$P$4,tabela_registros[CATEGORIA],despesavariávelconsolidadomar[[#This Row],[DESPESA VARIÁVEL]])</f>
        <v>0</v>
      </c>
      <c r="AI60" s="216" t="n">
        <f aca="false">SUMIFS(tabela_registros[VALOR],tabela_registros[MÊS],$AE$1,tabela_registros[DIA],martotal3059[[#Headers],[31]],tabela_registros[REGISTRO],DADOS!$N$4,tabela_registros[TIPO],DADOS!$P$4,tabela_registros[CATEGORIA],despesavariávelconsolidadomar[[#This Row],[DESPESA VARIÁVEL]])</f>
        <v>0</v>
      </c>
      <c r="AJ60" s="147" t="n">
        <f aca="false">SUM(despesavariávelconsolidadomar[[#This Row],[1]:[31]])</f>
        <v>0</v>
      </c>
      <c r="AK60" s="143"/>
    </row>
    <row r="61" customFormat="false" ht="18" hidden="false" customHeight="true" outlineLevel="0" collapsed="false">
      <c r="B61" s="143"/>
      <c r="C61" s="144" t="str">
        <f aca="false">DADOS!$T$4</f>
        <v>💳 CARTÃO DE CRÉDITO</v>
      </c>
      <c r="D61" s="145" t="str">
        <f aca="false">IF(despesavariávelconsolidadomar[[#This Row],[TOTAL]]=0,"",IF(OR(despesavariávelconsolidadomar[[#This Row],[TOTAL]]=LARGE($AJ$60:$AJ$72,1),despesavariávelconsolidadomar[[#This Row],[TOTAL]]=LARGE($AJ$60:$AJ$72,2),despesavariávelconsolidadomar[[#This Row],[TOTAL]]=LARGE($AJ$60:$AJ$72,3),despesavariávelconsolidadomar[[#This Row],[TOTAL]]=LARGE($AJ$60:$AJ$72,4),despesavariávelconsolidadomar[[#This Row],[TOTAL]]=LARGE($AJ$60:$AJ$72,5)),DADOS!$I$8,""))</f>
        <v/>
      </c>
      <c r="E61" s="148" t="n">
        <f aca="false">SUMIFS(tabela_registros[VALOR],tabela_registros[MÊS],$AE$1,tabela_registros[DIA],martotal3059[[#Headers],[1]],tabela_registros[REGISTRO],DADOS!$N$4,tabela_registros[TIPO],DADOS!$P$4,tabela_registros[CATEGORIA],despesavariávelconsolidadomar[[#This Row],[DESPESA VARIÁVEL]])</f>
        <v>0</v>
      </c>
      <c r="F61" s="119" t="n">
        <f aca="false">SUMIFS(tabela_registros[VALOR],tabela_registros[MÊS],$AE$1,tabela_registros[DIA],martotal3059[[#Headers],[2]],tabela_registros[REGISTRO],DADOS!$N$4,tabela_registros[TIPO],DADOS!$P$4,tabela_registros[CATEGORIA],despesavariávelconsolidadomar[[#This Row],[DESPESA VARIÁVEL]])</f>
        <v>0</v>
      </c>
      <c r="G61" s="119" t="n">
        <f aca="false">SUMIFS(tabela_registros[VALOR],tabela_registros[MÊS],$AE$1,tabela_registros[DIA],martotal3059[[#Headers],[3]],tabela_registros[REGISTRO],DADOS!$N$4,tabela_registros[TIPO],DADOS!$P$4,tabela_registros[CATEGORIA],despesavariávelconsolidadomar[[#This Row],[DESPESA VARIÁVEL]])</f>
        <v>0</v>
      </c>
      <c r="H61" s="119" t="n">
        <f aca="false">SUMIFS(tabela_registros[VALOR],tabela_registros[MÊS],$AE$1,tabela_registros[DIA],martotal3059[[#Headers],[4]],tabela_registros[REGISTRO],DADOS!$N$4,tabela_registros[TIPO],DADOS!$P$4,tabela_registros[CATEGORIA],despesavariávelconsolidadomar[[#This Row],[DESPESA VARIÁVEL]])</f>
        <v>0</v>
      </c>
      <c r="I61" s="119" t="n">
        <f aca="false">SUMIFS(tabela_registros[VALOR],tabela_registros[MÊS],$AE$1,tabela_registros[DIA],martotal3059[[#Headers],[5]],tabela_registros[REGISTRO],DADOS!$N$4,tabela_registros[TIPO],DADOS!$P$4,tabela_registros[CATEGORIA],despesavariávelconsolidadomar[[#This Row],[DESPESA VARIÁVEL]])</f>
        <v>0</v>
      </c>
      <c r="J61" s="119" t="n">
        <f aca="false">SUMIFS(tabela_registros[VALOR],tabela_registros[MÊS],$AE$1,tabela_registros[DIA],martotal3059[[#Headers],[6]],tabela_registros[REGISTRO],DADOS!$N$4,tabela_registros[TIPO],DADOS!$P$4,tabela_registros[CATEGORIA],despesavariávelconsolidadomar[[#This Row],[DESPESA VARIÁVEL]])</f>
        <v>0</v>
      </c>
      <c r="K61" s="119" t="n">
        <f aca="false">SUMIFS(tabela_registros[VALOR],tabela_registros[MÊS],$AE$1,tabela_registros[DIA],martotal3059[[#Headers],[7]],tabela_registros[REGISTRO],DADOS!$N$4,tabela_registros[TIPO],DADOS!$P$4,tabela_registros[CATEGORIA],despesavariávelconsolidadomar[[#This Row],[DESPESA VARIÁVEL]])</f>
        <v>0</v>
      </c>
      <c r="L61" s="119" t="n">
        <f aca="false">SUMIFS(tabela_registros[VALOR],tabela_registros[MÊS],$AE$1,tabela_registros[DIA],martotal3059[[#Headers],[8]],tabela_registros[REGISTRO],DADOS!$N$4,tabela_registros[TIPO],DADOS!$P$4,tabela_registros[CATEGORIA],despesavariávelconsolidadomar[[#This Row],[DESPESA VARIÁVEL]])</f>
        <v>0</v>
      </c>
      <c r="M61" s="119" t="n">
        <f aca="false">SUMIFS(tabela_registros[VALOR],tabela_registros[MÊS],$AE$1,tabela_registros[DIA],martotal3059[[#Headers],[9]],tabela_registros[REGISTRO],DADOS!$N$4,tabela_registros[TIPO],DADOS!$P$4,tabela_registros[CATEGORIA],despesavariávelconsolidadomar[[#This Row],[DESPESA VARIÁVEL]])</f>
        <v>0</v>
      </c>
      <c r="N61" s="119" t="n">
        <f aca="false">SUMIFS(tabela_registros[VALOR],tabela_registros[MÊS],$AE$1,tabela_registros[DIA],martotal3059[[#Headers],[10]],tabela_registros[REGISTRO],DADOS!$N$4,tabela_registros[TIPO],DADOS!$P$4,tabela_registros[CATEGORIA],despesavariávelconsolidadomar[[#This Row],[DESPESA VARIÁVEL]])</f>
        <v>0</v>
      </c>
      <c r="O61" s="119" t="n">
        <f aca="false">SUMIFS(tabela_registros[VALOR],tabela_registros[MÊS],$AE$1,tabela_registros[DIA],martotal3059[[#Headers],[11]],tabela_registros[REGISTRO],DADOS!$N$4,tabela_registros[TIPO],DADOS!$P$4,tabela_registros[CATEGORIA],despesavariávelconsolidadomar[[#This Row],[DESPESA VARIÁVEL]])</f>
        <v>0</v>
      </c>
      <c r="P61" s="119" t="n">
        <f aca="false">SUMIFS(tabela_registros[VALOR],tabela_registros[MÊS],$AE$1,tabela_registros[DIA],martotal3059[[#Headers],[12]],tabela_registros[REGISTRO],DADOS!$N$4,tabela_registros[TIPO],DADOS!$P$4,tabela_registros[CATEGORIA],despesavariávelconsolidadomar[[#This Row],[DESPESA VARIÁVEL]])</f>
        <v>0</v>
      </c>
      <c r="Q61" s="119" t="n">
        <f aca="false">SUMIFS(tabela_registros[VALOR],tabela_registros[MÊS],$AE$1,tabela_registros[DIA],martotal3059[[#Headers],[13]],tabela_registros[REGISTRO],DADOS!$N$4,tabela_registros[TIPO],DADOS!$P$4,tabela_registros[CATEGORIA],despesavariávelconsolidadomar[[#This Row],[DESPESA VARIÁVEL]])</f>
        <v>0</v>
      </c>
      <c r="R61" s="119" t="n">
        <f aca="false">SUMIFS(tabela_registros[VALOR],tabela_registros[MÊS],$AE$1,tabela_registros[DIA],martotal3059[[#Headers],[14]],tabela_registros[REGISTRO],DADOS!$N$4,tabela_registros[TIPO],DADOS!$P$4,tabela_registros[CATEGORIA],despesavariávelconsolidadomar[[#This Row],[DESPESA VARIÁVEL]])</f>
        <v>0</v>
      </c>
      <c r="S61" s="119" t="n">
        <f aca="false">SUMIFS(tabela_registros[VALOR],tabela_registros[MÊS],$AE$1,tabela_registros[DIA],martotal3059[[#Headers],[15]],tabela_registros[REGISTRO],DADOS!$N$4,tabela_registros[TIPO],DADOS!$P$4,tabela_registros[CATEGORIA],despesavariávelconsolidadomar[[#This Row],[DESPESA VARIÁVEL]])</f>
        <v>0</v>
      </c>
      <c r="T61" s="119" t="n">
        <f aca="false">SUMIFS(tabela_registros[VALOR],tabela_registros[MÊS],$AE$1,tabela_registros[DIA],martotal3059[[#Headers],[16]],tabela_registros[REGISTRO],DADOS!$N$4,tabela_registros[TIPO],DADOS!$P$4,tabela_registros[CATEGORIA],despesavariávelconsolidadomar[[#This Row],[DESPESA VARIÁVEL]])</f>
        <v>0</v>
      </c>
      <c r="U61" s="119" t="n">
        <f aca="false">SUMIFS(tabela_registros[VALOR],tabela_registros[MÊS],$AE$1,tabela_registros[DIA],martotal3059[[#Headers],[17]],tabela_registros[REGISTRO],DADOS!$N$4,tabela_registros[TIPO],DADOS!$P$4,tabela_registros[CATEGORIA],despesavariávelconsolidadomar[[#This Row],[DESPESA VARIÁVEL]])</f>
        <v>0</v>
      </c>
      <c r="V61" s="119" t="n">
        <f aca="false">SUMIFS(tabela_registros[VALOR],tabela_registros[MÊS],$AE$1,tabela_registros[DIA],martotal3059[[#Headers],[18]],tabela_registros[REGISTRO],DADOS!$N$4,tabela_registros[TIPO],DADOS!$P$4,tabela_registros[CATEGORIA],despesavariávelconsolidadomar[[#This Row],[DESPESA VARIÁVEL]])</f>
        <v>0</v>
      </c>
      <c r="W61" s="119" t="n">
        <f aca="false">SUMIFS(tabela_registros[VALOR],tabela_registros[MÊS],$AE$1,tabela_registros[DIA],martotal3059[[#Headers],[19]],tabela_registros[REGISTRO],DADOS!$N$4,tabela_registros[TIPO],DADOS!$P$4,tabela_registros[CATEGORIA],despesavariávelconsolidadomar[[#This Row],[DESPESA VARIÁVEL]])</f>
        <v>0</v>
      </c>
      <c r="X61" s="119" t="n">
        <f aca="false">SUMIFS(tabela_registros[VALOR],tabela_registros[MÊS],$AE$1,tabela_registros[DIA],martotal3059[[#Headers],[20]],tabela_registros[REGISTRO],DADOS!$N$4,tabela_registros[TIPO],DADOS!$P$4,tabela_registros[CATEGORIA],despesavariávelconsolidadomar[[#This Row],[DESPESA VARIÁVEL]])</f>
        <v>0</v>
      </c>
      <c r="Y61" s="119" t="n">
        <f aca="false">SUMIFS(tabela_registros[VALOR],tabela_registros[MÊS],$AE$1,tabela_registros[DIA],martotal3059[[#Headers],[21]],tabela_registros[REGISTRO],DADOS!$N$4,tabela_registros[TIPO],DADOS!$P$4,tabela_registros[CATEGORIA],despesavariávelconsolidadomar[[#This Row],[DESPESA VARIÁVEL]])</f>
        <v>0</v>
      </c>
      <c r="Z61" s="119" t="n">
        <f aca="false">SUMIFS(tabela_registros[VALOR],tabela_registros[MÊS],$AE$1,tabela_registros[DIA],martotal3059[[#Headers],[22]],tabela_registros[REGISTRO],DADOS!$N$4,tabela_registros[TIPO],DADOS!$P$4,tabela_registros[CATEGORIA],despesavariávelconsolidadomar[[#This Row],[DESPESA VARIÁVEL]])</f>
        <v>0</v>
      </c>
      <c r="AA61" s="119" t="n">
        <f aca="false">SUMIFS(tabela_registros[VALOR],tabela_registros[MÊS],$AE$1,tabela_registros[DIA],martotal3059[[#Headers],[23]],tabela_registros[REGISTRO],DADOS!$N$4,tabela_registros[TIPO],DADOS!$P$4,tabela_registros[CATEGORIA],despesavariávelconsolidadomar[[#This Row],[DESPESA VARIÁVEL]])</f>
        <v>0</v>
      </c>
      <c r="AB61" s="119" t="n">
        <f aca="false">SUMIFS(tabela_registros[VALOR],tabela_registros[MÊS],$AE$1,tabela_registros[DIA],martotal3059[[#Headers],[24]],tabela_registros[REGISTRO],DADOS!$N$4,tabela_registros[TIPO],DADOS!$P$4,tabela_registros[CATEGORIA],despesavariávelconsolidadomar[[#This Row],[DESPESA VARIÁVEL]])</f>
        <v>0</v>
      </c>
      <c r="AC61" s="119" t="n">
        <f aca="false">SUMIFS(tabela_registros[VALOR],tabela_registros[MÊS],$AE$1,tabela_registros[DIA],martotal3059[[#Headers],[25]],tabela_registros[REGISTRO],DADOS!$N$4,tabela_registros[TIPO],DADOS!$P$4,tabela_registros[CATEGORIA],despesavariávelconsolidadomar[[#This Row],[DESPESA VARIÁVEL]])</f>
        <v>0</v>
      </c>
      <c r="AD61" s="119" t="n">
        <f aca="false">SUMIFS(tabela_registros[VALOR],tabela_registros[MÊS],$AE$1,tabela_registros[DIA],martotal3059[[#Headers],[26]],tabela_registros[REGISTRO],DADOS!$N$4,tabela_registros[TIPO],DADOS!$P$4,tabela_registros[CATEGORIA],despesavariávelconsolidadomar[[#This Row],[DESPESA VARIÁVEL]])</f>
        <v>0</v>
      </c>
      <c r="AE61" s="119" t="n">
        <f aca="false">SUMIFS(tabela_registros[VALOR],tabela_registros[MÊS],$AE$1,tabela_registros[DIA],martotal3059[[#Headers],[27]],tabela_registros[REGISTRO],DADOS!$N$4,tabela_registros[TIPO],DADOS!$P$4,tabela_registros[CATEGORIA],despesavariávelconsolidadomar[[#This Row],[DESPESA VARIÁVEL]])</f>
        <v>0</v>
      </c>
      <c r="AF61" s="119" t="n">
        <f aca="false">SUMIFS(tabela_registros[VALOR],tabela_registros[MÊS],$AE$1,tabela_registros[DIA],martotal3059[[#Headers],[28]],tabela_registros[REGISTRO],DADOS!$N$4,tabela_registros[TIPO],DADOS!$P$4,tabela_registros[CATEGORIA],despesavariávelconsolidadomar[[#This Row],[DESPESA VARIÁVEL]])</f>
        <v>0</v>
      </c>
      <c r="AG61" s="119" t="n">
        <f aca="false">SUMIFS(tabela_registros[VALOR],tabela_registros[MÊS],$AE$1,tabela_registros[DIA],martotal3059[[#Headers],[29]],tabela_registros[REGISTRO],DADOS!$N$4,tabela_registros[TIPO],DADOS!$P$4,tabela_registros[CATEGORIA],despesavariávelconsolidadomar[[#This Row],[DESPESA VARIÁVEL]])</f>
        <v>0</v>
      </c>
      <c r="AH61" s="119" t="n">
        <f aca="false">SUMIFS(tabela_registros[VALOR],tabela_registros[MÊS],$AE$1,tabela_registros[DIA],martotal3059[[#Headers],[30]],tabela_registros[REGISTRO],DADOS!$N$4,tabela_registros[TIPO],DADOS!$P$4,tabela_registros[CATEGORIA],despesavariávelconsolidadomar[[#This Row],[DESPESA VARIÁVEL]])</f>
        <v>0</v>
      </c>
      <c r="AI61" s="217" t="n">
        <f aca="false">SUMIFS(tabela_registros[VALOR],tabela_registros[MÊS],$AE$1,tabela_registros[DIA],martotal3059[[#Headers],[31]],tabela_registros[REGISTRO],DADOS!$N$4,tabela_registros[TIPO],DADOS!$P$4,tabela_registros[CATEGORIA],despesavariávelconsolidadomar[[#This Row],[DESPESA VARIÁVEL]])</f>
        <v>0</v>
      </c>
      <c r="AJ61" s="149" t="n">
        <f aca="false">SUM(despesavariávelconsolidadomar[[#This Row],[1]:[31]])</f>
        <v>0</v>
      </c>
      <c r="AK61" s="143"/>
    </row>
    <row r="62" customFormat="false" ht="18" hidden="false" customHeight="true" outlineLevel="0" collapsed="false">
      <c r="B62" s="143"/>
      <c r="C62" s="144" t="str">
        <f aca="false">DADOS!$T$5</f>
        <v>✍️ CHEQUE ESPECIAL</v>
      </c>
      <c r="D62" s="145" t="str">
        <f aca="false">IF(despesavariávelconsolidadomar[[#This Row],[TOTAL]]=0,"",IF(OR(despesavariávelconsolidadomar[[#This Row],[TOTAL]]=LARGE($AJ$60:$AJ$72,1),despesavariávelconsolidadomar[[#This Row],[TOTAL]]=LARGE($AJ$60:$AJ$72,2),despesavariávelconsolidadomar[[#This Row],[TOTAL]]=LARGE($AJ$60:$AJ$72,3),despesavariávelconsolidadomar[[#This Row],[TOTAL]]=LARGE($AJ$60:$AJ$72,4),despesavariávelconsolidadomar[[#This Row],[TOTAL]]=LARGE($AJ$60:$AJ$72,5)),DADOS!$I$8,""))</f>
        <v/>
      </c>
      <c r="E62" s="148" t="n">
        <f aca="false">SUMIFS(tabela_registros[VALOR],tabela_registros[MÊS],$AE$1,tabela_registros[DIA],martotal3059[[#Headers],[1]],tabela_registros[REGISTRO],DADOS!$N$4,tabela_registros[TIPO],DADOS!$P$4,tabela_registros[CATEGORIA],despesavariávelconsolidadomar[[#This Row],[DESPESA VARIÁVEL]])</f>
        <v>0</v>
      </c>
      <c r="F62" s="119" t="n">
        <f aca="false">SUMIFS(tabela_registros[VALOR],tabela_registros[MÊS],$AE$1,tabela_registros[DIA],martotal3059[[#Headers],[2]],tabela_registros[REGISTRO],DADOS!$N$4,tabela_registros[TIPO],DADOS!$P$4,tabela_registros[CATEGORIA],despesavariávelconsolidadomar[[#This Row],[DESPESA VARIÁVEL]])</f>
        <v>0</v>
      </c>
      <c r="G62" s="119" t="n">
        <f aca="false">SUMIFS(tabela_registros[VALOR],tabela_registros[MÊS],$AE$1,tabela_registros[DIA],martotal3059[[#Headers],[3]],tabela_registros[REGISTRO],DADOS!$N$4,tabela_registros[TIPO],DADOS!$P$4,tabela_registros[CATEGORIA],despesavariávelconsolidadomar[[#This Row],[DESPESA VARIÁVEL]])</f>
        <v>0</v>
      </c>
      <c r="H62" s="119" t="n">
        <f aca="false">SUMIFS(tabela_registros[VALOR],tabela_registros[MÊS],$AE$1,tabela_registros[DIA],martotal3059[[#Headers],[4]],tabela_registros[REGISTRO],DADOS!$N$4,tabela_registros[TIPO],DADOS!$P$4,tabela_registros[CATEGORIA],despesavariávelconsolidadomar[[#This Row],[DESPESA VARIÁVEL]])</f>
        <v>0</v>
      </c>
      <c r="I62" s="119" t="n">
        <f aca="false">SUMIFS(tabela_registros[VALOR],tabela_registros[MÊS],$AE$1,tabela_registros[DIA],martotal3059[[#Headers],[5]],tabela_registros[REGISTRO],DADOS!$N$4,tabela_registros[TIPO],DADOS!$P$4,tabela_registros[CATEGORIA],despesavariávelconsolidadomar[[#This Row],[DESPESA VARIÁVEL]])</f>
        <v>0</v>
      </c>
      <c r="J62" s="119" t="n">
        <f aca="false">SUMIFS(tabela_registros[VALOR],tabela_registros[MÊS],$AE$1,tabela_registros[DIA],martotal3059[[#Headers],[6]],tabela_registros[REGISTRO],DADOS!$N$4,tabela_registros[TIPO],DADOS!$P$4,tabela_registros[CATEGORIA],despesavariávelconsolidadomar[[#This Row],[DESPESA VARIÁVEL]])</f>
        <v>0</v>
      </c>
      <c r="K62" s="119" t="n">
        <f aca="false">SUMIFS(tabela_registros[VALOR],tabela_registros[MÊS],$AE$1,tabela_registros[DIA],martotal3059[[#Headers],[7]],tabela_registros[REGISTRO],DADOS!$N$4,tabela_registros[TIPO],DADOS!$P$4,tabela_registros[CATEGORIA],despesavariávelconsolidadomar[[#This Row],[DESPESA VARIÁVEL]])</f>
        <v>0</v>
      </c>
      <c r="L62" s="119" t="n">
        <f aca="false">SUMIFS(tabela_registros[VALOR],tabela_registros[MÊS],$AE$1,tabela_registros[DIA],martotal3059[[#Headers],[8]],tabela_registros[REGISTRO],DADOS!$N$4,tabela_registros[TIPO],DADOS!$P$4,tabela_registros[CATEGORIA],despesavariávelconsolidadomar[[#This Row],[DESPESA VARIÁVEL]])</f>
        <v>0</v>
      </c>
      <c r="M62" s="119" t="n">
        <f aca="false">SUMIFS(tabela_registros[VALOR],tabela_registros[MÊS],$AE$1,tabela_registros[DIA],martotal3059[[#Headers],[9]],tabela_registros[REGISTRO],DADOS!$N$4,tabela_registros[TIPO],DADOS!$P$4,tabela_registros[CATEGORIA],despesavariávelconsolidadomar[[#This Row],[DESPESA VARIÁVEL]])</f>
        <v>0</v>
      </c>
      <c r="N62" s="119" t="n">
        <f aca="false">SUMIFS(tabela_registros[VALOR],tabela_registros[MÊS],$AE$1,tabela_registros[DIA],martotal3059[[#Headers],[10]],tabela_registros[REGISTRO],DADOS!$N$4,tabela_registros[TIPO],DADOS!$P$4,tabela_registros[CATEGORIA],despesavariávelconsolidadomar[[#This Row],[DESPESA VARIÁVEL]])</f>
        <v>0</v>
      </c>
      <c r="O62" s="119" t="n">
        <f aca="false">SUMIFS(tabela_registros[VALOR],tabela_registros[MÊS],$AE$1,tabela_registros[DIA],martotal3059[[#Headers],[11]],tabela_registros[REGISTRO],DADOS!$N$4,tabela_registros[TIPO],DADOS!$P$4,tabela_registros[CATEGORIA],despesavariávelconsolidadomar[[#This Row],[DESPESA VARIÁVEL]])</f>
        <v>0</v>
      </c>
      <c r="P62" s="119" t="n">
        <f aca="false">SUMIFS(tabela_registros[VALOR],tabela_registros[MÊS],$AE$1,tabela_registros[DIA],martotal3059[[#Headers],[12]],tabela_registros[REGISTRO],DADOS!$N$4,tabela_registros[TIPO],DADOS!$P$4,tabela_registros[CATEGORIA],despesavariávelconsolidadomar[[#This Row],[DESPESA VARIÁVEL]])</f>
        <v>0</v>
      </c>
      <c r="Q62" s="119" t="n">
        <f aca="false">SUMIFS(tabela_registros[VALOR],tabela_registros[MÊS],$AE$1,tabela_registros[DIA],martotal3059[[#Headers],[13]],tabela_registros[REGISTRO],DADOS!$N$4,tabela_registros[TIPO],DADOS!$P$4,tabela_registros[CATEGORIA],despesavariávelconsolidadomar[[#This Row],[DESPESA VARIÁVEL]])</f>
        <v>0</v>
      </c>
      <c r="R62" s="119" t="n">
        <f aca="false">SUMIFS(tabela_registros[VALOR],tabela_registros[MÊS],$AE$1,tabela_registros[DIA],martotal3059[[#Headers],[14]],tabela_registros[REGISTRO],DADOS!$N$4,tabela_registros[TIPO],DADOS!$P$4,tabela_registros[CATEGORIA],despesavariávelconsolidadomar[[#This Row],[DESPESA VARIÁVEL]])</f>
        <v>0</v>
      </c>
      <c r="S62" s="119" t="n">
        <f aca="false">SUMIFS(tabela_registros[VALOR],tabela_registros[MÊS],$AE$1,tabela_registros[DIA],martotal3059[[#Headers],[15]],tabela_registros[REGISTRO],DADOS!$N$4,tabela_registros[TIPO],DADOS!$P$4,tabela_registros[CATEGORIA],despesavariávelconsolidadomar[[#This Row],[DESPESA VARIÁVEL]])</f>
        <v>0</v>
      </c>
      <c r="T62" s="119" t="n">
        <f aca="false">SUMIFS(tabela_registros[VALOR],tabela_registros[MÊS],$AE$1,tabela_registros[DIA],martotal3059[[#Headers],[16]],tabela_registros[REGISTRO],DADOS!$N$4,tabela_registros[TIPO],DADOS!$P$4,tabela_registros[CATEGORIA],despesavariávelconsolidadomar[[#This Row],[DESPESA VARIÁVEL]])</f>
        <v>0</v>
      </c>
      <c r="U62" s="119" t="n">
        <f aca="false">SUMIFS(tabela_registros[VALOR],tabela_registros[MÊS],$AE$1,tabela_registros[DIA],martotal3059[[#Headers],[17]],tabela_registros[REGISTRO],DADOS!$N$4,tabela_registros[TIPO],DADOS!$P$4,tabela_registros[CATEGORIA],despesavariávelconsolidadomar[[#This Row],[DESPESA VARIÁVEL]])</f>
        <v>0</v>
      </c>
      <c r="V62" s="119" t="n">
        <f aca="false">SUMIFS(tabela_registros[VALOR],tabela_registros[MÊS],$AE$1,tabela_registros[DIA],martotal3059[[#Headers],[18]],tabela_registros[REGISTRO],DADOS!$N$4,tabela_registros[TIPO],DADOS!$P$4,tabela_registros[CATEGORIA],despesavariávelconsolidadomar[[#This Row],[DESPESA VARIÁVEL]])</f>
        <v>0</v>
      </c>
      <c r="W62" s="119" t="n">
        <f aca="false">SUMIFS(tabela_registros[VALOR],tabela_registros[MÊS],$AE$1,tabela_registros[DIA],martotal3059[[#Headers],[19]],tabela_registros[REGISTRO],DADOS!$N$4,tabela_registros[TIPO],DADOS!$P$4,tabela_registros[CATEGORIA],despesavariávelconsolidadomar[[#This Row],[DESPESA VARIÁVEL]])</f>
        <v>0</v>
      </c>
      <c r="X62" s="119" t="n">
        <f aca="false">SUMIFS(tabela_registros[VALOR],tabela_registros[MÊS],$AE$1,tabela_registros[DIA],martotal3059[[#Headers],[20]],tabela_registros[REGISTRO],DADOS!$N$4,tabela_registros[TIPO],DADOS!$P$4,tabela_registros[CATEGORIA],despesavariávelconsolidadomar[[#This Row],[DESPESA VARIÁVEL]])</f>
        <v>0</v>
      </c>
      <c r="Y62" s="119" t="n">
        <f aca="false">SUMIFS(tabela_registros[VALOR],tabela_registros[MÊS],$AE$1,tabela_registros[DIA],martotal3059[[#Headers],[21]],tabela_registros[REGISTRO],DADOS!$N$4,tabela_registros[TIPO],DADOS!$P$4,tabela_registros[CATEGORIA],despesavariávelconsolidadomar[[#This Row],[DESPESA VARIÁVEL]])</f>
        <v>0</v>
      </c>
      <c r="Z62" s="119" t="n">
        <f aca="false">SUMIFS(tabela_registros[VALOR],tabela_registros[MÊS],$AE$1,tabela_registros[DIA],martotal3059[[#Headers],[22]],tabela_registros[REGISTRO],DADOS!$N$4,tabela_registros[TIPO],DADOS!$P$4,tabela_registros[CATEGORIA],despesavariávelconsolidadomar[[#This Row],[DESPESA VARIÁVEL]])</f>
        <v>0</v>
      </c>
      <c r="AA62" s="119" t="n">
        <f aca="false">SUMIFS(tabela_registros[VALOR],tabela_registros[MÊS],$AE$1,tabela_registros[DIA],martotal3059[[#Headers],[23]],tabela_registros[REGISTRO],DADOS!$N$4,tabela_registros[TIPO],DADOS!$P$4,tabela_registros[CATEGORIA],despesavariávelconsolidadomar[[#This Row],[DESPESA VARIÁVEL]])</f>
        <v>0</v>
      </c>
      <c r="AB62" s="119" t="n">
        <f aca="false">SUMIFS(tabela_registros[VALOR],tabela_registros[MÊS],$AE$1,tabela_registros[DIA],martotal3059[[#Headers],[24]],tabela_registros[REGISTRO],DADOS!$N$4,tabela_registros[TIPO],DADOS!$P$4,tabela_registros[CATEGORIA],despesavariávelconsolidadomar[[#This Row],[DESPESA VARIÁVEL]])</f>
        <v>0</v>
      </c>
      <c r="AC62" s="119" t="n">
        <f aca="false">SUMIFS(tabela_registros[VALOR],tabela_registros[MÊS],$AE$1,tabela_registros[DIA],martotal3059[[#Headers],[25]],tabela_registros[REGISTRO],DADOS!$N$4,tabela_registros[TIPO],DADOS!$P$4,tabela_registros[CATEGORIA],despesavariávelconsolidadomar[[#This Row],[DESPESA VARIÁVEL]])</f>
        <v>0</v>
      </c>
      <c r="AD62" s="119" t="n">
        <f aca="false">SUMIFS(tabela_registros[VALOR],tabela_registros[MÊS],$AE$1,tabela_registros[DIA],martotal3059[[#Headers],[26]],tabela_registros[REGISTRO],DADOS!$N$4,tabela_registros[TIPO],DADOS!$P$4,tabela_registros[CATEGORIA],despesavariávelconsolidadomar[[#This Row],[DESPESA VARIÁVEL]])</f>
        <v>0</v>
      </c>
      <c r="AE62" s="119" t="n">
        <f aca="false">SUMIFS(tabela_registros[VALOR],tabela_registros[MÊS],$AE$1,tabela_registros[DIA],martotal3059[[#Headers],[27]],tabela_registros[REGISTRO],DADOS!$N$4,tabela_registros[TIPO],DADOS!$P$4,tabela_registros[CATEGORIA],despesavariávelconsolidadomar[[#This Row],[DESPESA VARIÁVEL]])</f>
        <v>0</v>
      </c>
      <c r="AF62" s="119" t="n">
        <f aca="false">SUMIFS(tabela_registros[VALOR],tabela_registros[MÊS],$AE$1,tabela_registros[DIA],martotal3059[[#Headers],[28]],tabela_registros[REGISTRO],DADOS!$N$4,tabela_registros[TIPO],DADOS!$P$4,tabela_registros[CATEGORIA],despesavariávelconsolidadomar[[#This Row],[DESPESA VARIÁVEL]])</f>
        <v>0</v>
      </c>
      <c r="AG62" s="119" t="n">
        <f aca="false">SUMIFS(tabela_registros[VALOR],tabela_registros[MÊS],$AE$1,tabela_registros[DIA],martotal3059[[#Headers],[29]],tabela_registros[REGISTRO],DADOS!$N$4,tabela_registros[TIPO],DADOS!$P$4,tabela_registros[CATEGORIA],despesavariávelconsolidadomar[[#This Row],[DESPESA VARIÁVEL]])</f>
        <v>0</v>
      </c>
      <c r="AH62" s="119" t="n">
        <f aca="false">SUMIFS(tabela_registros[VALOR],tabela_registros[MÊS],$AE$1,tabela_registros[DIA],martotal3059[[#Headers],[30]],tabela_registros[REGISTRO],DADOS!$N$4,tabela_registros[TIPO],DADOS!$P$4,tabela_registros[CATEGORIA],despesavariávelconsolidadomar[[#This Row],[DESPESA VARIÁVEL]])</f>
        <v>0</v>
      </c>
      <c r="AI62" s="217" t="n">
        <f aca="false">SUMIFS(tabela_registros[VALOR],tabela_registros[MÊS],$AE$1,tabela_registros[DIA],martotal3059[[#Headers],[31]],tabela_registros[REGISTRO],DADOS!$N$4,tabela_registros[TIPO],DADOS!$P$4,tabela_registros[CATEGORIA],despesavariávelconsolidadomar[[#This Row],[DESPESA VARIÁVEL]])</f>
        <v>0</v>
      </c>
      <c r="AJ62" s="149" t="n">
        <f aca="false">SUM(despesavariávelconsolidadomar[[#This Row],[1]:[31]])</f>
        <v>0</v>
      </c>
      <c r="AK62" s="143"/>
    </row>
    <row r="63" customFormat="false" ht="18" hidden="false" customHeight="true" outlineLevel="0" collapsed="false">
      <c r="B63" s="143"/>
      <c r="C63" s="144" t="str">
        <f aca="false">DADOS!$T$6</f>
        <v>💄 CUIDADOS PESSOAIS</v>
      </c>
      <c r="D63" s="145" t="str">
        <f aca="false">IF(despesavariávelconsolidadomar[[#This Row],[TOTAL]]=0,"",IF(OR(despesavariávelconsolidadomar[[#This Row],[TOTAL]]=LARGE($AJ$60:$AJ$72,1),despesavariávelconsolidadomar[[#This Row],[TOTAL]]=LARGE($AJ$60:$AJ$72,2),despesavariávelconsolidadomar[[#This Row],[TOTAL]]=LARGE($AJ$60:$AJ$72,3),despesavariávelconsolidadomar[[#This Row],[TOTAL]]=LARGE($AJ$60:$AJ$72,4),despesavariávelconsolidadomar[[#This Row],[TOTAL]]=LARGE($AJ$60:$AJ$72,5)),DADOS!$I$8,""))</f>
        <v/>
      </c>
      <c r="E63" s="148" t="n">
        <f aca="false">SUMIFS(tabela_registros[VALOR],tabela_registros[MÊS],$AE$1,tabela_registros[DIA],martotal3059[[#Headers],[1]],tabela_registros[REGISTRO],DADOS!$N$4,tabela_registros[TIPO],DADOS!$P$4,tabela_registros[CATEGORIA],despesavariávelconsolidadomar[[#This Row],[DESPESA VARIÁVEL]])</f>
        <v>0</v>
      </c>
      <c r="F63" s="119" t="n">
        <f aca="false">SUMIFS(tabela_registros[VALOR],tabela_registros[MÊS],$AE$1,tabela_registros[DIA],martotal3059[[#Headers],[2]],tabela_registros[REGISTRO],DADOS!$N$4,tabela_registros[TIPO],DADOS!$P$4,tabela_registros[CATEGORIA],despesavariávelconsolidadomar[[#This Row],[DESPESA VARIÁVEL]])</f>
        <v>0</v>
      </c>
      <c r="G63" s="119" t="n">
        <f aca="false">SUMIFS(tabela_registros[VALOR],tabela_registros[MÊS],$AE$1,tabela_registros[DIA],martotal3059[[#Headers],[3]],tabela_registros[REGISTRO],DADOS!$N$4,tabela_registros[TIPO],DADOS!$P$4,tabela_registros[CATEGORIA],despesavariávelconsolidadomar[[#This Row],[DESPESA VARIÁVEL]])</f>
        <v>0</v>
      </c>
      <c r="H63" s="119" t="n">
        <f aca="false">SUMIFS(tabela_registros[VALOR],tabela_registros[MÊS],$AE$1,tabela_registros[DIA],martotal3059[[#Headers],[4]],tabela_registros[REGISTRO],DADOS!$N$4,tabela_registros[TIPO],DADOS!$P$4,tabela_registros[CATEGORIA],despesavariávelconsolidadomar[[#This Row],[DESPESA VARIÁVEL]])</f>
        <v>0</v>
      </c>
      <c r="I63" s="119" t="n">
        <f aca="false">SUMIFS(tabela_registros[VALOR],tabela_registros[MÊS],$AE$1,tabela_registros[DIA],martotal3059[[#Headers],[5]],tabela_registros[REGISTRO],DADOS!$N$4,tabela_registros[TIPO],DADOS!$P$4,tabela_registros[CATEGORIA],despesavariávelconsolidadomar[[#This Row],[DESPESA VARIÁVEL]])</f>
        <v>0</v>
      </c>
      <c r="J63" s="119" t="n">
        <f aca="false">SUMIFS(tabela_registros[VALOR],tabela_registros[MÊS],$AE$1,tabela_registros[DIA],martotal3059[[#Headers],[6]],tabela_registros[REGISTRO],DADOS!$N$4,tabela_registros[TIPO],DADOS!$P$4,tabela_registros[CATEGORIA],despesavariávelconsolidadomar[[#This Row],[DESPESA VARIÁVEL]])</f>
        <v>0</v>
      </c>
      <c r="K63" s="119" t="n">
        <f aca="false">SUMIFS(tabela_registros[VALOR],tabela_registros[MÊS],$AE$1,tabela_registros[DIA],martotal3059[[#Headers],[7]],tabela_registros[REGISTRO],DADOS!$N$4,tabela_registros[TIPO],DADOS!$P$4,tabela_registros[CATEGORIA],despesavariávelconsolidadomar[[#This Row],[DESPESA VARIÁVEL]])</f>
        <v>0</v>
      </c>
      <c r="L63" s="119" t="n">
        <f aca="false">SUMIFS(tabela_registros[VALOR],tabela_registros[MÊS],$AE$1,tabela_registros[DIA],martotal3059[[#Headers],[8]],tabela_registros[REGISTRO],DADOS!$N$4,tabela_registros[TIPO],DADOS!$P$4,tabela_registros[CATEGORIA],despesavariávelconsolidadomar[[#This Row],[DESPESA VARIÁVEL]])</f>
        <v>0</v>
      </c>
      <c r="M63" s="119" t="n">
        <f aca="false">SUMIFS(tabela_registros[VALOR],tabela_registros[MÊS],$AE$1,tabela_registros[DIA],martotal3059[[#Headers],[9]],tabela_registros[REGISTRO],DADOS!$N$4,tabela_registros[TIPO],DADOS!$P$4,tabela_registros[CATEGORIA],despesavariávelconsolidadomar[[#This Row],[DESPESA VARIÁVEL]])</f>
        <v>0</v>
      </c>
      <c r="N63" s="119" t="n">
        <f aca="false">SUMIFS(tabela_registros[VALOR],tabela_registros[MÊS],$AE$1,tabela_registros[DIA],martotal3059[[#Headers],[10]],tabela_registros[REGISTRO],DADOS!$N$4,tabela_registros[TIPO],DADOS!$P$4,tabela_registros[CATEGORIA],despesavariávelconsolidadomar[[#This Row],[DESPESA VARIÁVEL]])</f>
        <v>0</v>
      </c>
      <c r="O63" s="119" t="n">
        <f aca="false">SUMIFS(tabela_registros[VALOR],tabela_registros[MÊS],$AE$1,tabela_registros[DIA],martotal3059[[#Headers],[11]],tabela_registros[REGISTRO],DADOS!$N$4,tabela_registros[TIPO],DADOS!$P$4,tabela_registros[CATEGORIA],despesavariávelconsolidadomar[[#This Row],[DESPESA VARIÁVEL]])</f>
        <v>0</v>
      </c>
      <c r="P63" s="119" t="n">
        <f aca="false">SUMIFS(tabela_registros[VALOR],tabela_registros[MÊS],$AE$1,tabela_registros[DIA],martotal3059[[#Headers],[12]],tabela_registros[REGISTRO],DADOS!$N$4,tabela_registros[TIPO],DADOS!$P$4,tabela_registros[CATEGORIA],despesavariávelconsolidadomar[[#This Row],[DESPESA VARIÁVEL]])</f>
        <v>0</v>
      </c>
      <c r="Q63" s="119" t="n">
        <f aca="false">SUMIFS(tabela_registros[VALOR],tabela_registros[MÊS],$AE$1,tabela_registros[DIA],martotal3059[[#Headers],[13]],tabela_registros[REGISTRO],DADOS!$N$4,tabela_registros[TIPO],DADOS!$P$4,tabela_registros[CATEGORIA],despesavariávelconsolidadomar[[#This Row],[DESPESA VARIÁVEL]])</f>
        <v>0</v>
      </c>
      <c r="R63" s="119" t="n">
        <f aca="false">SUMIFS(tabela_registros[VALOR],tabela_registros[MÊS],$AE$1,tabela_registros[DIA],martotal3059[[#Headers],[14]],tabela_registros[REGISTRO],DADOS!$N$4,tabela_registros[TIPO],DADOS!$P$4,tabela_registros[CATEGORIA],despesavariávelconsolidadomar[[#This Row],[DESPESA VARIÁVEL]])</f>
        <v>0</v>
      </c>
      <c r="S63" s="119" t="n">
        <f aca="false">SUMIFS(tabela_registros[VALOR],tabela_registros[MÊS],$AE$1,tabela_registros[DIA],martotal3059[[#Headers],[15]],tabela_registros[REGISTRO],DADOS!$N$4,tabela_registros[TIPO],DADOS!$P$4,tabela_registros[CATEGORIA],despesavariávelconsolidadomar[[#This Row],[DESPESA VARIÁVEL]])</f>
        <v>0</v>
      </c>
      <c r="T63" s="119" t="n">
        <f aca="false">SUMIFS(tabela_registros[VALOR],tabela_registros[MÊS],$AE$1,tabela_registros[DIA],martotal3059[[#Headers],[16]],tabela_registros[REGISTRO],DADOS!$N$4,tabela_registros[TIPO],DADOS!$P$4,tabela_registros[CATEGORIA],despesavariávelconsolidadomar[[#This Row],[DESPESA VARIÁVEL]])</f>
        <v>0</v>
      </c>
      <c r="U63" s="119" t="n">
        <f aca="false">SUMIFS(tabela_registros[VALOR],tabela_registros[MÊS],$AE$1,tabela_registros[DIA],martotal3059[[#Headers],[17]],tabela_registros[REGISTRO],DADOS!$N$4,tabela_registros[TIPO],DADOS!$P$4,tabela_registros[CATEGORIA],despesavariávelconsolidadomar[[#This Row],[DESPESA VARIÁVEL]])</f>
        <v>0</v>
      </c>
      <c r="V63" s="119" t="n">
        <f aca="false">SUMIFS(tabela_registros[VALOR],tabela_registros[MÊS],$AE$1,tabela_registros[DIA],martotal3059[[#Headers],[18]],tabela_registros[REGISTRO],DADOS!$N$4,tabela_registros[TIPO],DADOS!$P$4,tabela_registros[CATEGORIA],despesavariávelconsolidadomar[[#This Row],[DESPESA VARIÁVEL]])</f>
        <v>0</v>
      </c>
      <c r="W63" s="119" t="n">
        <f aca="false">SUMIFS(tabela_registros[VALOR],tabela_registros[MÊS],$AE$1,tabela_registros[DIA],martotal3059[[#Headers],[19]],tabela_registros[REGISTRO],DADOS!$N$4,tabela_registros[TIPO],DADOS!$P$4,tabela_registros[CATEGORIA],despesavariávelconsolidadomar[[#This Row],[DESPESA VARIÁVEL]])</f>
        <v>0</v>
      </c>
      <c r="X63" s="119" t="n">
        <f aca="false">SUMIFS(tabela_registros[VALOR],tabela_registros[MÊS],$AE$1,tabela_registros[DIA],martotal3059[[#Headers],[20]],tabela_registros[REGISTRO],DADOS!$N$4,tabela_registros[TIPO],DADOS!$P$4,tabela_registros[CATEGORIA],despesavariávelconsolidadomar[[#This Row],[DESPESA VARIÁVEL]])</f>
        <v>0</v>
      </c>
      <c r="Y63" s="119" t="n">
        <f aca="false">SUMIFS(tabela_registros[VALOR],tabela_registros[MÊS],$AE$1,tabela_registros[DIA],martotal3059[[#Headers],[21]],tabela_registros[REGISTRO],DADOS!$N$4,tabela_registros[TIPO],DADOS!$P$4,tabela_registros[CATEGORIA],despesavariávelconsolidadomar[[#This Row],[DESPESA VARIÁVEL]])</f>
        <v>0</v>
      </c>
      <c r="Z63" s="119" t="n">
        <f aca="false">SUMIFS(tabela_registros[VALOR],tabela_registros[MÊS],$AE$1,tabela_registros[DIA],martotal3059[[#Headers],[22]],tabela_registros[REGISTRO],DADOS!$N$4,tabela_registros[TIPO],DADOS!$P$4,tabela_registros[CATEGORIA],despesavariávelconsolidadomar[[#This Row],[DESPESA VARIÁVEL]])</f>
        <v>0</v>
      </c>
      <c r="AA63" s="119" t="n">
        <f aca="false">SUMIFS(tabela_registros[VALOR],tabela_registros[MÊS],$AE$1,tabela_registros[DIA],martotal3059[[#Headers],[23]],tabela_registros[REGISTRO],DADOS!$N$4,tabela_registros[TIPO],DADOS!$P$4,tabela_registros[CATEGORIA],despesavariávelconsolidadomar[[#This Row],[DESPESA VARIÁVEL]])</f>
        <v>0</v>
      </c>
      <c r="AB63" s="119" t="n">
        <f aca="false">SUMIFS(tabela_registros[VALOR],tabela_registros[MÊS],$AE$1,tabela_registros[DIA],martotal3059[[#Headers],[24]],tabela_registros[REGISTRO],DADOS!$N$4,tabela_registros[TIPO],DADOS!$P$4,tabela_registros[CATEGORIA],despesavariávelconsolidadomar[[#This Row],[DESPESA VARIÁVEL]])</f>
        <v>0</v>
      </c>
      <c r="AC63" s="119" t="n">
        <f aca="false">SUMIFS(tabela_registros[VALOR],tabela_registros[MÊS],$AE$1,tabela_registros[DIA],martotal3059[[#Headers],[25]],tabela_registros[REGISTRO],DADOS!$N$4,tabela_registros[TIPO],DADOS!$P$4,tabela_registros[CATEGORIA],despesavariávelconsolidadomar[[#This Row],[DESPESA VARIÁVEL]])</f>
        <v>0</v>
      </c>
      <c r="AD63" s="119" t="n">
        <f aca="false">SUMIFS(tabela_registros[VALOR],tabela_registros[MÊS],$AE$1,tabela_registros[DIA],martotal3059[[#Headers],[26]],tabela_registros[REGISTRO],DADOS!$N$4,tabela_registros[TIPO],DADOS!$P$4,tabela_registros[CATEGORIA],despesavariávelconsolidadomar[[#This Row],[DESPESA VARIÁVEL]])</f>
        <v>0</v>
      </c>
      <c r="AE63" s="119" t="n">
        <f aca="false">SUMIFS(tabela_registros[VALOR],tabela_registros[MÊS],$AE$1,tabela_registros[DIA],martotal3059[[#Headers],[27]],tabela_registros[REGISTRO],DADOS!$N$4,tabela_registros[TIPO],DADOS!$P$4,tabela_registros[CATEGORIA],despesavariávelconsolidadomar[[#This Row],[DESPESA VARIÁVEL]])</f>
        <v>0</v>
      </c>
      <c r="AF63" s="119" t="n">
        <f aca="false">SUMIFS(tabela_registros[VALOR],tabela_registros[MÊS],$AE$1,tabela_registros[DIA],martotal3059[[#Headers],[28]],tabela_registros[REGISTRO],DADOS!$N$4,tabela_registros[TIPO],DADOS!$P$4,tabela_registros[CATEGORIA],despesavariávelconsolidadomar[[#This Row],[DESPESA VARIÁVEL]])</f>
        <v>0</v>
      </c>
      <c r="AG63" s="119" t="n">
        <f aca="false">SUMIFS(tabela_registros[VALOR],tabela_registros[MÊS],$AE$1,tabela_registros[DIA],martotal3059[[#Headers],[29]],tabela_registros[REGISTRO],DADOS!$N$4,tabela_registros[TIPO],DADOS!$P$4,tabela_registros[CATEGORIA],despesavariávelconsolidadomar[[#This Row],[DESPESA VARIÁVEL]])</f>
        <v>0</v>
      </c>
      <c r="AH63" s="119" t="n">
        <f aca="false">SUMIFS(tabela_registros[VALOR],tabela_registros[MÊS],$AE$1,tabela_registros[DIA],martotal3059[[#Headers],[30]],tabela_registros[REGISTRO],DADOS!$N$4,tabela_registros[TIPO],DADOS!$P$4,tabela_registros[CATEGORIA],despesavariávelconsolidadomar[[#This Row],[DESPESA VARIÁVEL]])</f>
        <v>0</v>
      </c>
      <c r="AI63" s="217" t="n">
        <f aca="false">SUMIFS(tabela_registros[VALOR],tabela_registros[MÊS],$AE$1,tabela_registros[DIA],martotal3059[[#Headers],[31]],tabela_registros[REGISTRO],DADOS!$N$4,tabela_registros[TIPO],DADOS!$P$4,tabela_registros[CATEGORIA],despesavariávelconsolidadomar[[#This Row],[DESPESA VARIÁVEL]])</f>
        <v>0</v>
      </c>
      <c r="AJ63" s="149" t="n">
        <f aca="false">SUM(despesavariávelconsolidadomar[[#This Row],[1]:[31]])</f>
        <v>0</v>
      </c>
      <c r="AK63" s="143"/>
    </row>
    <row r="64" customFormat="false" ht="18" hidden="false" customHeight="true" outlineLevel="0" collapsed="false">
      <c r="B64" s="143"/>
      <c r="C64" s="144" t="str">
        <f aca="false">DADOS!$T$7</f>
        <v>🤝 DOAÇÃO</v>
      </c>
      <c r="D64" s="145" t="str">
        <f aca="false">IF(despesavariávelconsolidadomar[[#This Row],[TOTAL]]=0,"",IF(OR(despesavariávelconsolidadomar[[#This Row],[TOTAL]]=LARGE($AJ$60:$AJ$72,1),despesavariávelconsolidadomar[[#This Row],[TOTAL]]=LARGE($AJ$60:$AJ$72,2),despesavariávelconsolidadomar[[#This Row],[TOTAL]]=LARGE($AJ$60:$AJ$72,3),despesavariávelconsolidadomar[[#This Row],[TOTAL]]=LARGE($AJ$60:$AJ$72,4),despesavariávelconsolidadomar[[#This Row],[TOTAL]]=LARGE($AJ$60:$AJ$72,5)),DADOS!$I$8,""))</f>
        <v/>
      </c>
      <c r="E64" s="148" t="n">
        <f aca="false">SUMIFS(tabela_registros[VALOR],tabela_registros[MÊS],$AE$1,tabela_registros[DIA],martotal3059[[#Headers],[1]],tabela_registros[REGISTRO],DADOS!$N$4,tabela_registros[TIPO],DADOS!$P$4,tabela_registros[CATEGORIA],despesavariávelconsolidadomar[[#This Row],[DESPESA VARIÁVEL]])</f>
        <v>0</v>
      </c>
      <c r="F64" s="119" t="n">
        <f aca="false">SUMIFS(tabela_registros[VALOR],tabela_registros[MÊS],$AE$1,tabela_registros[DIA],martotal3059[[#Headers],[2]],tabela_registros[REGISTRO],DADOS!$N$4,tabela_registros[TIPO],DADOS!$P$4,tabela_registros[CATEGORIA],despesavariávelconsolidadomar[[#This Row],[DESPESA VARIÁVEL]])</f>
        <v>0</v>
      </c>
      <c r="G64" s="119" t="n">
        <f aca="false">SUMIFS(tabela_registros[VALOR],tabela_registros[MÊS],$AE$1,tabela_registros[DIA],martotal3059[[#Headers],[3]],tabela_registros[REGISTRO],DADOS!$N$4,tabela_registros[TIPO],DADOS!$P$4,tabela_registros[CATEGORIA],despesavariávelconsolidadomar[[#This Row],[DESPESA VARIÁVEL]])</f>
        <v>0</v>
      </c>
      <c r="H64" s="119" t="n">
        <f aca="false">SUMIFS(tabela_registros[VALOR],tabela_registros[MÊS],$AE$1,tabela_registros[DIA],martotal3059[[#Headers],[4]],tabela_registros[REGISTRO],DADOS!$N$4,tabela_registros[TIPO],DADOS!$P$4,tabela_registros[CATEGORIA],despesavariávelconsolidadomar[[#This Row],[DESPESA VARIÁVEL]])</f>
        <v>0</v>
      </c>
      <c r="I64" s="119" t="n">
        <f aca="false">SUMIFS(tabela_registros[VALOR],tabela_registros[MÊS],$AE$1,tabela_registros[DIA],martotal3059[[#Headers],[5]],tabela_registros[REGISTRO],DADOS!$N$4,tabela_registros[TIPO],DADOS!$P$4,tabela_registros[CATEGORIA],despesavariávelconsolidadomar[[#This Row],[DESPESA VARIÁVEL]])</f>
        <v>0</v>
      </c>
      <c r="J64" s="119" t="n">
        <f aca="false">SUMIFS(tabela_registros[VALOR],tabela_registros[MÊS],$AE$1,tabela_registros[DIA],martotal3059[[#Headers],[6]],tabela_registros[REGISTRO],DADOS!$N$4,tabela_registros[TIPO],DADOS!$P$4,tabela_registros[CATEGORIA],despesavariávelconsolidadomar[[#This Row],[DESPESA VARIÁVEL]])</f>
        <v>0</v>
      </c>
      <c r="K64" s="119" t="n">
        <f aca="false">SUMIFS(tabela_registros[VALOR],tabela_registros[MÊS],$AE$1,tabela_registros[DIA],martotal3059[[#Headers],[7]],tabela_registros[REGISTRO],DADOS!$N$4,tabela_registros[TIPO],DADOS!$P$4,tabela_registros[CATEGORIA],despesavariávelconsolidadomar[[#This Row],[DESPESA VARIÁVEL]])</f>
        <v>0</v>
      </c>
      <c r="L64" s="119" t="n">
        <f aca="false">SUMIFS(tabela_registros[VALOR],tabela_registros[MÊS],$AE$1,tabela_registros[DIA],martotal3059[[#Headers],[8]],tabela_registros[REGISTRO],DADOS!$N$4,tabela_registros[TIPO],DADOS!$P$4,tabela_registros[CATEGORIA],despesavariávelconsolidadomar[[#This Row],[DESPESA VARIÁVEL]])</f>
        <v>0</v>
      </c>
      <c r="M64" s="119" t="n">
        <f aca="false">SUMIFS(tabela_registros[VALOR],tabela_registros[MÊS],$AE$1,tabela_registros[DIA],martotal3059[[#Headers],[9]],tabela_registros[REGISTRO],DADOS!$N$4,tabela_registros[TIPO],DADOS!$P$4,tabela_registros[CATEGORIA],despesavariávelconsolidadomar[[#This Row],[DESPESA VARIÁVEL]])</f>
        <v>0</v>
      </c>
      <c r="N64" s="119" t="n">
        <f aca="false">SUMIFS(tabela_registros[VALOR],tabela_registros[MÊS],$AE$1,tabela_registros[DIA],martotal3059[[#Headers],[10]],tabela_registros[REGISTRO],DADOS!$N$4,tabela_registros[TIPO],DADOS!$P$4,tabela_registros[CATEGORIA],despesavariávelconsolidadomar[[#This Row],[DESPESA VARIÁVEL]])</f>
        <v>0</v>
      </c>
      <c r="O64" s="119" t="n">
        <f aca="false">SUMIFS(tabela_registros[VALOR],tabela_registros[MÊS],$AE$1,tabela_registros[DIA],martotal3059[[#Headers],[11]],tabela_registros[REGISTRO],DADOS!$N$4,tabela_registros[TIPO],DADOS!$P$4,tabela_registros[CATEGORIA],despesavariávelconsolidadomar[[#This Row],[DESPESA VARIÁVEL]])</f>
        <v>0</v>
      </c>
      <c r="P64" s="119" t="n">
        <f aca="false">SUMIFS(tabela_registros[VALOR],tabela_registros[MÊS],$AE$1,tabela_registros[DIA],martotal3059[[#Headers],[12]],tabela_registros[REGISTRO],DADOS!$N$4,tabela_registros[TIPO],DADOS!$P$4,tabela_registros[CATEGORIA],despesavariávelconsolidadomar[[#This Row],[DESPESA VARIÁVEL]])</f>
        <v>0</v>
      </c>
      <c r="Q64" s="119" t="n">
        <f aca="false">SUMIFS(tabela_registros[VALOR],tabela_registros[MÊS],$AE$1,tabela_registros[DIA],martotal3059[[#Headers],[13]],tabela_registros[REGISTRO],DADOS!$N$4,tabela_registros[TIPO],DADOS!$P$4,tabela_registros[CATEGORIA],despesavariávelconsolidadomar[[#This Row],[DESPESA VARIÁVEL]])</f>
        <v>0</v>
      </c>
      <c r="R64" s="119" t="n">
        <f aca="false">SUMIFS(tabela_registros[VALOR],tabela_registros[MÊS],$AE$1,tabela_registros[DIA],martotal3059[[#Headers],[14]],tabela_registros[REGISTRO],DADOS!$N$4,tabela_registros[TIPO],DADOS!$P$4,tabela_registros[CATEGORIA],despesavariávelconsolidadomar[[#This Row],[DESPESA VARIÁVEL]])</f>
        <v>0</v>
      </c>
      <c r="S64" s="119" t="n">
        <f aca="false">SUMIFS(tabela_registros[VALOR],tabela_registros[MÊS],$AE$1,tabela_registros[DIA],martotal3059[[#Headers],[15]],tabela_registros[REGISTRO],DADOS!$N$4,tabela_registros[TIPO],DADOS!$P$4,tabela_registros[CATEGORIA],despesavariávelconsolidadomar[[#This Row],[DESPESA VARIÁVEL]])</f>
        <v>0</v>
      </c>
      <c r="T64" s="119" t="n">
        <f aca="false">SUMIFS(tabela_registros[VALOR],tabela_registros[MÊS],$AE$1,tabela_registros[DIA],martotal3059[[#Headers],[16]],tabela_registros[REGISTRO],DADOS!$N$4,tabela_registros[TIPO],DADOS!$P$4,tabela_registros[CATEGORIA],despesavariávelconsolidadomar[[#This Row],[DESPESA VARIÁVEL]])</f>
        <v>0</v>
      </c>
      <c r="U64" s="119" t="n">
        <f aca="false">SUMIFS(tabela_registros[VALOR],tabela_registros[MÊS],$AE$1,tabela_registros[DIA],martotal3059[[#Headers],[17]],tabela_registros[REGISTRO],DADOS!$N$4,tabela_registros[TIPO],DADOS!$P$4,tabela_registros[CATEGORIA],despesavariávelconsolidadomar[[#This Row],[DESPESA VARIÁVEL]])</f>
        <v>0</v>
      </c>
      <c r="V64" s="119" t="n">
        <f aca="false">SUMIFS(tabela_registros[VALOR],tabela_registros[MÊS],$AE$1,tabela_registros[DIA],martotal3059[[#Headers],[18]],tabela_registros[REGISTRO],DADOS!$N$4,tabela_registros[TIPO],DADOS!$P$4,tabela_registros[CATEGORIA],despesavariávelconsolidadomar[[#This Row],[DESPESA VARIÁVEL]])</f>
        <v>0</v>
      </c>
      <c r="W64" s="119" t="n">
        <f aca="false">SUMIFS(tabela_registros[VALOR],tabela_registros[MÊS],$AE$1,tabela_registros[DIA],martotal3059[[#Headers],[19]],tabela_registros[REGISTRO],DADOS!$N$4,tabela_registros[TIPO],DADOS!$P$4,tabela_registros[CATEGORIA],despesavariávelconsolidadomar[[#This Row],[DESPESA VARIÁVEL]])</f>
        <v>0</v>
      </c>
      <c r="X64" s="119" t="n">
        <f aca="false">SUMIFS(tabela_registros[VALOR],tabela_registros[MÊS],$AE$1,tabela_registros[DIA],martotal3059[[#Headers],[20]],tabela_registros[REGISTRO],DADOS!$N$4,tabela_registros[TIPO],DADOS!$P$4,tabela_registros[CATEGORIA],despesavariávelconsolidadomar[[#This Row],[DESPESA VARIÁVEL]])</f>
        <v>0</v>
      </c>
      <c r="Y64" s="119" t="n">
        <f aca="false">SUMIFS(tabela_registros[VALOR],tabela_registros[MÊS],$AE$1,tabela_registros[DIA],martotal3059[[#Headers],[21]],tabela_registros[REGISTRO],DADOS!$N$4,tabela_registros[TIPO],DADOS!$P$4,tabela_registros[CATEGORIA],despesavariávelconsolidadomar[[#This Row],[DESPESA VARIÁVEL]])</f>
        <v>0</v>
      </c>
      <c r="Z64" s="119" t="n">
        <f aca="false">SUMIFS(tabela_registros[VALOR],tabela_registros[MÊS],$AE$1,tabela_registros[DIA],martotal3059[[#Headers],[22]],tabela_registros[REGISTRO],DADOS!$N$4,tabela_registros[TIPO],DADOS!$P$4,tabela_registros[CATEGORIA],despesavariávelconsolidadomar[[#This Row],[DESPESA VARIÁVEL]])</f>
        <v>0</v>
      </c>
      <c r="AA64" s="119" t="n">
        <f aca="false">SUMIFS(tabela_registros[VALOR],tabela_registros[MÊS],$AE$1,tabela_registros[DIA],martotal3059[[#Headers],[23]],tabela_registros[REGISTRO],DADOS!$N$4,tabela_registros[TIPO],DADOS!$P$4,tabela_registros[CATEGORIA],despesavariávelconsolidadomar[[#This Row],[DESPESA VARIÁVEL]])</f>
        <v>0</v>
      </c>
      <c r="AB64" s="119" t="n">
        <f aca="false">SUMIFS(tabela_registros[VALOR],tabela_registros[MÊS],$AE$1,tabela_registros[DIA],martotal3059[[#Headers],[24]],tabela_registros[REGISTRO],DADOS!$N$4,tabela_registros[TIPO],DADOS!$P$4,tabela_registros[CATEGORIA],despesavariávelconsolidadomar[[#This Row],[DESPESA VARIÁVEL]])</f>
        <v>0</v>
      </c>
      <c r="AC64" s="119" t="n">
        <f aca="false">SUMIFS(tabela_registros[VALOR],tabela_registros[MÊS],$AE$1,tabela_registros[DIA],martotal3059[[#Headers],[25]],tabela_registros[REGISTRO],DADOS!$N$4,tabela_registros[TIPO],DADOS!$P$4,tabela_registros[CATEGORIA],despesavariávelconsolidadomar[[#This Row],[DESPESA VARIÁVEL]])</f>
        <v>0</v>
      </c>
      <c r="AD64" s="119" t="n">
        <f aca="false">SUMIFS(tabela_registros[VALOR],tabela_registros[MÊS],$AE$1,tabela_registros[DIA],martotal3059[[#Headers],[26]],tabela_registros[REGISTRO],DADOS!$N$4,tabela_registros[TIPO],DADOS!$P$4,tabela_registros[CATEGORIA],despesavariávelconsolidadomar[[#This Row],[DESPESA VARIÁVEL]])</f>
        <v>0</v>
      </c>
      <c r="AE64" s="119" t="n">
        <f aca="false">SUMIFS(tabela_registros[VALOR],tabela_registros[MÊS],$AE$1,tabela_registros[DIA],martotal3059[[#Headers],[27]],tabela_registros[REGISTRO],DADOS!$N$4,tabela_registros[TIPO],DADOS!$P$4,tabela_registros[CATEGORIA],despesavariávelconsolidadomar[[#This Row],[DESPESA VARIÁVEL]])</f>
        <v>0</v>
      </c>
      <c r="AF64" s="119" t="n">
        <f aca="false">SUMIFS(tabela_registros[VALOR],tabela_registros[MÊS],$AE$1,tabela_registros[DIA],martotal3059[[#Headers],[28]],tabela_registros[REGISTRO],DADOS!$N$4,tabela_registros[TIPO],DADOS!$P$4,tabela_registros[CATEGORIA],despesavariávelconsolidadomar[[#This Row],[DESPESA VARIÁVEL]])</f>
        <v>0</v>
      </c>
      <c r="AG64" s="119" t="n">
        <f aca="false">SUMIFS(tabela_registros[VALOR],tabela_registros[MÊS],$AE$1,tabela_registros[DIA],martotal3059[[#Headers],[29]],tabela_registros[REGISTRO],DADOS!$N$4,tabela_registros[TIPO],DADOS!$P$4,tabela_registros[CATEGORIA],despesavariávelconsolidadomar[[#This Row],[DESPESA VARIÁVEL]])</f>
        <v>0</v>
      </c>
      <c r="AH64" s="119" t="n">
        <f aca="false">SUMIFS(tabela_registros[VALOR],tabela_registros[MÊS],$AE$1,tabela_registros[DIA],martotal3059[[#Headers],[30]],tabela_registros[REGISTRO],DADOS!$N$4,tabela_registros[TIPO],DADOS!$P$4,tabela_registros[CATEGORIA],despesavariávelconsolidadomar[[#This Row],[DESPESA VARIÁVEL]])</f>
        <v>0</v>
      </c>
      <c r="AI64" s="217" t="n">
        <f aca="false">SUMIFS(tabela_registros[VALOR],tabela_registros[MÊS],$AE$1,tabela_registros[DIA],martotal3059[[#Headers],[31]],tabela_registros[REGISTRO],DADOS!$N$4,tabela_registros[TIPO],DADOS!$P$4,tabela_registros[CATEGORIA],despesavariávelconsolidadomar[[#This Row],[DESPESA VARIÁVEL]])</f>
        <v>0</v>
      </c>
      <c r="AJ64" s="149" t="n">
        <f aca="false">SUM(despesavariávelconsolidadomar[[#This Row],[1]:[31]])</f>
        <v>0</v>
      </c>
      <c r="AK64" s="143"/>
    </row>
    <row r="65" customFormat="false" ht="18" hidden="false" customHeight="true" outlineLevel="0" collapsed="false">
      <c r="B65" s="143"/>
      <c r="C65" s="144" t="str">
        <f aca="false">DADOS!$T$8</f>
        <v>📖 EDUCAÇÃO</v>
      </c>
      <c r="D65" s="145" t="str">
        <f aca="false">IF(despesavariávelconsolidadomar[[#This Row],[TOTAL]]=0,"",IF(OR(despesavariávelconsolidadomar[[#This Row],[TOTAL]]=LARGE($AJ$60:$AJ$72,1),despesavariávelconsolidadomar[[#This Row],[TOTAL]]=LARGE($AJ$60:$AJ$72,2),despesavariávelconsolidadomar[[#This Row],[TOTAL]]=LARGE($AJ$60:$AJ$72,3),despesavariávelconsolidadomar[[#This Row],[TOTAL]]=LARGE($AJ$60:$AJ$72,4),despesavariávelconsolidadomar[[#This Row],[TOTAL]]=LARGE($AJ$60:$AJ$72,5)),DADOS!$I$8,""))</f>
        <v/>
      </c>
      <c r="E65" s="148" t="n">
        <f aca="false">SUMIFS(tabela_registros[VALOR],tabela_registros[MÊS],$AE$1,tabela_registros[DIA],martotal3059[[#Headers],[1]],tabela_registros[REGISTRO],DADOS!$N$4,tabela_registros[TIPO],DADOS!$P$4,tabela_registros[CATEGORIA],despesavariávelconsolidadomar[[#This Row],[DESPESA VARIÁVEL]])</f>
        <v>0</v>
      </c>
      <c r="F65" s="119" t="n">
        <f aca="false">SUMIFS(tabela_registros[VALOR],tabela_registros[MÊS],$AE$1,tabela_registros[DIA],martotal3059[[#Headers],[2]],tabela_registros[REGISTRO],DADOS!$N$4,tabela_registros[TIPO],DADOS!$P$4,tabela_registros[CATEGORIA],despesavariávelconsolidadomar[[#This Row],[DESPESA VARIÁVEL]])</f>
        <v>0</v>
      </c>
      <c r="G65" s="119" t="n">
        <f aca="false">SUMIFS(tabela_registros[VALOR],tabela_registros[MÊS],$AE$1,tabela_registros[DIA],martotal3059[[#Headers],[3]],tabela_registros[REGISTRO],DADOS!$N$4,tabela_registros[TIPO],DADOS!$P$4,tabela_registros[CATEGORIA],despesavariávelconsolidadomar[[#This Row],[DESPESA VARIÁVEL]])</f>
        <v>0</v>
      </c>
      <c r="H65" s="119" t="n">
        <f aca="false">SUMIFS(tabela_registros[VALOR],tabela_registros[MÊS],$AE$1,tabela_registros[DIA],martotal3059[[#Headers],[4]],tabela_registros[REGISTRO],DADOS!$N$4,tabela_registros[TIPO],DADOS!$P$4,tabela_registros[CATEGORIA],despesavariávelconsolidadomar[[#This Row],[DESPESA VARIÁVEL]])</f>
        <v>0</v>
      </c>
      <c r="I65" s="119" t="n">
        <f aca="false">SUMIFS(tabela_registros[VALOR],tabela_registros[MÊS],$AE$1,tabela_registros[DIA],martotal3059[[#Headers],[5]],tabela_registros[REGISTRO],DADOS!$N$4,tabela_registros[TIPO],DADOS!$P$4,tabela_registros[CATEGORIA],despesavariávelconsolidadomar[[#This Row],[DESPESA VARIÁVEL]])</f>
        <v>0</v>
      </c>
      <c r="J65" s="119" t="n">
        <f aca="false">SUMIFS(tabela_registros[VALOR],tabela_registros[MÊS],$AE$1,tabela_registros[DIA],martotal3059[[#Headers],[6]],tabela_registros[REGISTRO],DADOS!$N$4,tabela_registros[TIPO],DADOS!$P$4,tabela_registros[CATEGORIA],despesavariávelconsolidadomar[[#This Row],[DESPESA VARIÁVEL]])</f>
        <v>0</v>
      </c>
      <c r="K65" s="119" t="n">
        <f aca="false">SUMIFS(tabela_registros[VALOR],tabela_registros[MÊS],$AE$1,tabela_registros[DIA],martotal3059[[#Headers],[7]],tabela_registros[REGISTRO],DADOS!$N$4,tabela_registros[TIPO],DADOS!$P$4,tabela_registros[CATEGORIA],despesavariávelconsolidadomar[[#This Row],[DESPESA VARIÁVEL]])</f>
        <v>0</v>
      </c>
      <c r="L65" s="119" t="n">
        <f aca="false">SUMIFS(tabela_registros[VALOR],tabela_registros[MÊS],$AE$1,tabela_registros[DIA],martotal3059[[#Headers],[8]],tabela_registros[REGISTRO],DADOS!$N$4,tabela_registros[TIPO],DADOS!$P$4,tabela_registros[CATEGORIA],despesavariávelconsolidadomar[[#This Row],[DESPESA VARIÁVEL]])</f>
        <v>0</v>
      </c>
      <c r="M65" s="119" t="n">
        <f aca="false">SUMIFS(tabela_registros[VALOR],tabela_registros[MÊS],$AE$1,tabela_registros[DIA],martotal3059[[#Headers],[9]],tabela_registros[REGISTRO],DADOS!$N$4,tabela_registros[TIPO],DADOS!$P$4,tabela_registros[CATEGORIA],despesavariávelconsolidadomar[[#This Row],[DESPESA VARIÁVEL]])</f>
        <v>0</v>
      </c>
      <c r="N65" s="119" t="n">
        <f aca="false">SUMIFS(tabela_registros[VALOR],tabela_registros[MÊS],$AE$1,tabela_registros[DIA],martotal3059[[#Headers],[10]],tabela_registros[REGISTRO],DADOS!$N$4,tabela_registros[TIPO],DADOS!$P$4,tabela_registros[CATEGORIA],despesavariávelconsolidadomar[[#This Row],[DESPESA VARIÁVEL]])</f>
        <v>0</v>
      </c>
      <c r="O65" s="119" t="n">
        <f aca="false">SUMIFS(tabela_registros[VALOR],tabela_registros[MÊS],$AE$1,tabela_registros[DIA],martotal3059[[#Headers],[11]],tabela_registros[REGISTRO],DADOS!$N$4,tabela_registros[TIPO],DADOS!$P$4,tabela_registros[CATEGORIA],despesavariávelconsolidadomar[[#This Row],[DESPESA VARIÁVEL]])</f>
        <v>0</v>
      </c>
      <c r="P65" s="119" t="n">
        <f aca="false">SUMIFS(tabela_registros[VALOR],tabela_registros[MÊS],$AE$1,tabela_registros[DIA],martotal3059[[#Headers],[12]],tabela_registros[REGISTRO],DADOS!$N$4,tabela_registros[TIPO],DADOS!$P$4,tabela_registros[CATEGORIA],despesavariávelconsolidadomar[[#This Row],[DESPESA VARIÁVEL]])</f>
        <v>0</v>
      </c>
      <c r="Q65" s="119" t="n">
        <f aca="false">SUMIFS(tabela_registros[VALOR],tabela_registros[MÊS],$AE$1,tabela_registros[DIA],martotal3059[[#Headers],[13]],tabela_registros[REGISTRO],DADOS!$N$4,tabela_registros[TIPO],DADOS!$P$4,tabela_registros[CATEGORIA],despesavariávelconsolidadomar[[#This Row],[DESPESA VARIÁVEL]])</f>
        <v>0</v>
      </c>
      <c r="R65" s="119" t="n">
        <f aca="false">SUMIFS(tabela_registros[VALOR],tabela_registros[MÊS],$AE$1,tabela_registros[DIA],martotal3059[[#Headers],[14]],tabela_registros[REGISTRO],DADOS!$N$4,tabela_registros[TIPO],DADOS!$P$4,tabela_registros[CATEGORIA],despesavariávelconsolidadomar[[#This Row],[DESPESA VARIÁVEL]])</f>
        <v>0</v>
      </c>
      <c r="S65" s="119" t="n">
        <f aca="false">SUMIFS(tabela_registros[VALOR],tabela_registros[MÊS],$AE$1,tabela_registros[DIA],martotal3059[[#Headers],[15]],tabela_registros[REGISTRO],DADOS!$N$4,tabela_registros[TIPO],DADOS!$P$4,tabela_registros[CATEGORIA],despesavariávelconsolidadomar[[#This Row],[DESPESA VARIÁVEL]])</f>
        <v>0</v>
      </c>
      <c r="T65" s="119" t="n">
        <f aca="false">SUMIFS(tabela_registros[VALOR],tabela_registros[MÊS],$AE$1,tabela_registros[DIA],martotal3059[[#Headers],[16]],tabela_registros[REGISTRO],DADOS!$N$4,tabela_registros[TIPO],DADOS!$P$4,tabela_registros[CATEGORIA],despesavariávelconsolidadomar[[#This Row],[DESPESA VARIÁVEL]])</f>
        <v>0</v>
      </c>
      <c r="U65" s="119" t="n">
        <f aca="false">SUMIFS(tabela_registros[VALOR],tabela_registros[MÊS],$AE$1,tabela_registros[DIA],martotal3059[[#Headers],[17]],tabela_registros[REGISTRO],DADOS!$N$4,tabela_registros[TIPO],DADOS!$P$4,tabela_registros[CATEGORIA],despesavariávelconsolidadomar[[#This Row],[DESPESA VARIÁVEL]])</f>
        <v>0</v>
      </c>
      <c r="V65" s="119" t="n">
        <f aca="false">SUMIFS(tabela_registros[VALOR],tabela_registros[MÊS],$AE$1,tabela_registros[DIA],martotal3059[[#Headers],[18]],tabela_registros[REGISTRO],DADOS!$N$4,tabela_registros[TIPO],DADOS!$P$4,tabela_registros[CATEGORIA],despesavariávelconsolidadomar[[#This Row],[DESPESA VARIÁVEL]])</f>
        <v>0</v>
      </c>
      <c r="W65" s="119" t="n">
        <f aca="false">SUMIFS(tabela_registros[VALOR],tabela_registros[MÊS],$AE$1,tabela_registros[DIA],martotal3059[[#Headers],[19]],tabela_registros[REGISTRO],DADOS!$N$4,tabela_registros[TIPO],DADOS!$P$4,tabela_registros[CATEGORIA],despesavariávelconsolidadomar[[#This Row],[DESPESA VARIÁVEL]])</f>
        <v>0</v>
      </c>
      <c r="X65" s="119" t="n">
        <f aca="false">SUMIFS(tabela_registros[VALOR],tabela_registros[MÊS],$AE$1,tabela_registros[DIA],martotal3059[[#Headers],[20]],tabela_registros[REGISTRO],DADOS!$N$4,tabela_registros[TIPO],DADOS!$P$4,tabela_registros[CATEGORIA],despesavariávelconsolidadomar[[#This Row],[DESPESA VARIÁVEL]])</f>
        <v>0</v>
      </c>
      <c r="Y65" s="119" t="n">
        <f aca="false">SUMIFS(tabela_registros[VALOR],tabela_registros[MÊS],$AE$1,tabela_registros[DIA],martotal3059[[#Headers],[21]],tabela_registros[REGISTRO],DADOS!$N$4,tabela_registros[TIPO],DADOS!$P$4,tabela_registros[CATEGORIA],despesavariávelconsolidadomar[[#This Row],[DESPESA VARIÁVEL]])</f>
        <v>0</v>
      </c>
      <c r="Z65" s="119" t="n">
        <f aca="false">SUMIFS(tabela_registros[VALOR],tabela_registros[MÊS],$AE$1,tabela_registros[DIA],martotal3059[[#Headers],[22]],tabela_registros[REGISTRO],DADOS!$N$4,tabela_registros[TIPO],DADOS!$P$4,tabela_registros[CATEGORIA],despesavariávelconsolidadomar[[#This Row],[DESPESA VARIÁVEL]])</f>
        <v>0</v>
      </c>
      <c r="AA65" s="119" t="n">
        <f aca="false">SUMIFS(tabela_registros[VALOR],tabela_registros[MÊS],$AE$1,tabela_registros[DIA],martotal3059[[#Headers],[23]],tabela_registros[REGISTRO],DADOS!$N$4,tabela_registros[TIPO],DADOS!$P$4,tabela_registros[CATEGORIA],despesavariávelconsolidadomar[[#This Row],[DESPESA VARIÁVEL]])</f>
        <v>0</v>
      </c>
      <c r="AB65" s="119" t="n">
        <f aca="false">SUMIFS(tabela_registros[VALOR],tabela_registros[MÊS],$AE$1,tabela_registros[DIA],martotal3059[[#Headers],[24]],tabela_registros[REGISTRO],DADOS!$N$4,tabela_registros[TIPO],DADOS!$P$4,tabela_registros[CATEGORIA],despesavariávelconsolidadomar[[#This Row],[DESPESA VARIÁVEL]])</f>
        <v>0</v>
      </c>
      <c r="AC65" s="119" t="n">
        <f aca="false">SUMIFS(tabela_registros[VALOR],tabela_registros[MÊS],$AE$1,tabela_registros[DIA],martotal3059[[#Headers],[25]],tabela_registros[REGISTRO],DADOS!$N$4,tabela_registros[TIPO],DADOS!$P$4,tabela_registros[CATEGORIA],despesavariávelconsolidadomar[[#This Row],[DESPESA VARIÁVEL]])</f>
        <v>0</v>
      </c>
      <c r="AD65" s="119" t="n">
        <f aca="false">SUMIFS(tabela_registros[VALOR],tabela_registros[MÊS],$AE$1,tabela_registros[DIA],martotal3059[[#Headers],[26]],tabela_registros[REGISTRO],DADOS!$N$4,tabela_registros[TIPO],DADOS!$P$4,tabela_registros[CATEGORIA],despesavariávelconsolidadomar[[#This Row],[DESPESA VARIÁVEL]])</f>
        <v>0</v>
      </c>
      <c r="AE65" s="119" t="n">
        <f aca="false">SUMIFS(tabela_registros[VALOR],tabela_registros[MÊS],$AE$1,tabela_registros[DIA],martotal3059[[#Headers],[27]],tabela_registros[REGISTRO],DADOS!$N$4,tabela_registros[TIPO],DADOS!$P$4,tabela_registros[CATEGORIA],despesavariávelconsolidadomar[[#This Row],[DESPESA VARIÁVEL]])</f>
        <v>0</v>
      </c>
      <c r="AF65" s="119" t="n">
        <f aca="false">SUMIFS(tabela_registros[VALOR],tabela_registros[MÊS],$AE$1,tabela_registros[DIA],martotal3059[[#Headers],[28]],tabela_registros[REGISTRO],DADOS!$N$4,tabela_registros[TIPO],DADOS!$P$4,tabela_registros[CATEGORIA],despesavariávelconsolidadomar[[#This Row],[DESPESA VARIÁVEL]])</f>
        <v>0</v>
      </c>
      <c r="AG65" s="119" t="n">
        <f aca="false">SUMIFS(tabela_registros[VALOR],tabela_registros[MÊS],$AE$1,tabela_registros[DIA],martotal3059[[#Headers],[29]],tabela_registros[REGISTRO],DADOS!$N$4,tabela_registros[TIPO],DADOS!$P$4,tabela_registros[CATEGORIA],despesavariávelconsolidadomar[[#This Row],[DESPESA VARIÁVEL]])</f>
        <v>0</v>
      </c>
      <c r="AH65" s="119" t="n">
        <f aca="false">SUMIFS(tabela_registros[VALOR],tabela_registros[MÊS],$AE$1,tabela_registros[DIA],martotal3059[[#Headers],[30]],tabela_registros[REGISTRO],DADOS!$N$4,tabela_registros[TIPO],DADOS!$P$4,tabela_registros[CATEGORIA],despesavariávelconsolidadomar[[#This Row],[DESPESA VARIÁVEL]])</f>
        <v>0</v>
      </c>
      <c r="AI65" s="217" t="n">
        <f aca="false">SUMIFS(tabela_registros[VALOR],tabela_registros[MÊS],$AE$1,tabela_registros[DIA],martotal3059[[#Headers],[31]],tabela_registros[REGISTRO],DADOS!$N$4,tabela_registros[TIPO],DADOS!$P$4,tabela_registros[CATEGORIA],despesavariávelconsolidadomar[[#This Row],[DESPESA VARIÁVEL]])</f>
        <v>0</v>
      </c>
      <c r="AJ65" s="149" t="n">
        <f aca="false">SUM(despesavariávelconsolidadomar[[#This Row],[1]:[31]])</f>
        <v>0</v>
      </c>
      <c r="AK65" s="143"/>
    </row>
    <row r="66" customFormat="false" ht="18" hidden="false" customHeight="true" outlineLevel="0" collapsed="false">
      <c r="B66" s="143"/>
      <c r="C66" s="144" t="str">
        <f aca="false">DADOS!$T$9</f>
        <v>🎭 LAZER</v>
      </c>
      <c r="D66" s="145" t="str">
        <f aca="false">IF(despesavariávelconsolidadomar[[#This Row],[TOTAL]]=0,"",IF(OR(despesavariávelconsolidadomar[[#This Row],[TOTAL]]=LARGE($AJ$60:$AJ$72,1),despesavariávelconsolidadomar[[#This Row],[TOTAL]]=LARGE($AJ$60:$AJ$72,2),despesavariávelconsolidadomar[[#This Row],[TOTAL]]=LARGE($AJ$60:$AJ$72,3),despesavariávelconsolidadomar[[#This Row],[TOTAL]]=LARGE($AJ$60:$AJ$72,4),despesavariávelconsolidadomar[[#This Row],[TOTAL]]=LARGE($AJ$60:$AJ$72,5)),DADOS!$I$8,""))</f>
        <v/>
      </c>
      <c r="E66" s="148" t="n">
        <f aca="false">SUMIFS(tabela_registros[VALOR],tabela_registros[MÊS],$AE$1,tabela_registros[DIA],martotal3059[[#Headers],[1]],tabela_registros[REGISTRO],DADOS!$N$4,tabela_registros[TIPO],DADOS!$P$4,tabela_registros[CATEGORIA],despesavariávelconsolidadomar[[#This Row],[DESPESA VARIÁVEL]])</f>
        <v>0</v>
      </c>
      <c r="F66" s="119" t="n">
        <f aca="false">SUMIFS(tabela_registros[VALOR],tabela_registros[MÊS],$AE$1,tabela_registros[DIA],martotal3059[[#Headers],[2]],tabela_registros[REGISTRO],DADOS!$N$4,tabela_registros[TIPO],DADOS!$P$4,tabela_registros[CATEGORIA],despesavariávelconsolidadomar[[#This Row],[DESPESA VARIÁVEL]])</f>
        <v>0</v>
      </c>
      <c r="G66" s="119" t="n">
        <f aca="false">SUMIFS(tabela_registros[VALOR],tabela_registros[MÊS],$AE$1,tabela_registros[DIA],martotal3059[[#Headers],[3]],tabela_registros[REGISTRO],DADOS!$N$4,tabela_registros[TIPO],DADOS!$P$4,tabela_registros[CATEGORIA],despesavariávelconsolidadomar[[#This Row],[DESPESA VARIÁVEL]])</f>
        <v>0</v>
      </c>
      <c r="H66" s="119" t="n">
        <f aca="false">SUMIFS(tabela_registros[VALOR],tabela_registros[MÊS],$AE$1,tabela_registros[DIA],martotal3059[[#Headers],[4]],tabela_registros[REGISTRO],DADOS!$N$4,tabela_registros[TIPO],DADOS!$P$4,tabela_registros[CATEGORIA],despesavariávelconsolidadomar[[#This Row],[DESPESA VARIÁVEL]])</f>
        <v>0</v>
      </c>
      <c r="I66" s="119" t="n">
        <f aca="false">SUMIFS(tabela_registros[VALOR],tabela_registros[MÊS],$AE$1,tabela_registros[DIA],martotal3059[[#Headers],[5]],tabela_registros[REGISTRO],DADOS!$N$4,tabela_registros[TIPO],DADOS!$P$4,tabela_registros[CATEGORIA],despesavariávelconsolidadomar[[#This Row],[DESPESA VARIÁVEL]])</f>
        <v>0</v>
      </c>
      <c r="J66" s="119" t="n">
        <f aca="false">SUMIFS(tabela_registros[VALOR],tabela_registros[MÊS],$AE$1,tabela_registros[DIA],martotal3059[[#Headers],[6]],tabela_registros[REGISTRO],DADOS!$N$4,tabela_registros[TIPO],DADOS!$P$4,tabela_registros[CATEGORIA],despesavariávelconsolidadomar[[#This Row],[DESPESA VARIÁVEL]])</f>
        <v>0</v>
      </c>
      <c r="K66" s="119" t="n">
        <f aca="false">SUMIFS(tabela_registros[VALOR],tabela_registros[MÊS],$AE$1,tabela_registros[DIA],martotal3059[[#Headers],[7]],tabela_registros[REGISTRO],DADOS!$N$4,tabela_registros[TIPO],DADOS!$P$4,tabela_registros[CATEGORIA],despesavariávelconsolidadomar[[#This Row],[DESPESA VARIÁVEL]])</f>
        <v>0</v>
      </c>
      <c r="L66" s="119" t="n">
        <f aca="false">SUMIFS(tabela_registros[VALOR],tabela_registros[MÊS],$AE$1,tabela_registros[DIA],martotal3059[[#Headers],[8]],tabela_registros[REGISTRO],DADOS!$N$4,tabela_registros[TIPO],DADOS!$P$4,tabela_registros[CATEGORIA],despesavariávelconsolidadomar[[#This Row],[DESPESA VARIÁVEL]])</f>
        <v>0</v>
      </c>
      <c r="M66" s="119" t="n">
        <f aca="false">SUMIFS(tabela_registros[VALOR],tabela_registros[MÊS],$AE$1,tabela_registros[DIA],martotal3059[[#Headers],[9]],tabela_registros[REGISTRO],DADOS!$N$4,tabela_registros[TIPO],DADOS!$P$4,tabela_registros[CATEGORIA],despesavariávelconsolidadomar[[#This Row],[DESPESA VARIÁVEL]])</f>
        <v>0</v>
      </c>
      <c r="N66" s="119" t="n">
        <f aca="false">SUMIFS(tabela_registros[VALOR],tabela_registros[MÊS],$AE$1,tabela_registros[DIA],martotal3059[[#Headers],[10]],tabela_registros[REGISTRO],DADOS!$N$4,tabela_registros[TIPO],DADOS!$P$4,tabela_registros[CATEGORIA],despesavariávelconsolidadomar[[#This Row],[DESPESA VARIÁVEL]])</f>
        <v>0</v>
      </c>
      <c r="O66" s="119" t="n">
        <f aca="false">SUMIFS(tabela_registros[VALOR],tabela_registros[MÊS],$AE$1,tabela_registros[DIA],martotal3059[[#Headers],[11]],tabela_registros[REGISTRO],DADOS!$N$4,tabela_registros[TIPO],DADOS!$P$4,tabela_registros[CATEGORIA],despesavariávelconsolidadomar[[#This Row],[DESPESA VARIÁVEL]])</f>
        <v>0</v>
      </c>
      <c r="P66" s="119" t="n">
        <f aca="false">SUMIFS(tabela_registros[VALOR],tabela_registros[MÊS],$AE$1,tabela_registros[DIA],martotal3059[[#Headers],[12]],tabela_registros[REGISTRO],DADOS!$N$4,tabela_registros[TIPO],DADOS!$P$4,tabela_registros[CATEGORIA],despesavariávelconsolidadomar[[#This Row],[DESPESA VARIÁVEL]])</f>
        <v>0</v>
      </c>
      <c r="Q66" s="119" t="n">
        <f aca="false">SUMIFS(tabela_registros[VALOR],tabela_registros[MÊS],$AE$1,tabela_registros[DIA],martotal3059[[#Headers],[13]],tabela_registros[REGISTRO],DADOS!$N$4,tabela_registros[TIPO],DADOS!$P$4,tabela_registros[CATEGORIA],despesavariávelconsolidadomar[[#This Row],[DESPESA VARIÁVEL]])</f>
        <v>0</v>
      </c>
      <c r="R66" s="119" t="n">
        <f aca="false">SUMIFS(tabela_registros[VALOR],tabela_registros[MÊS],$AE$1,tabela_registros[DIA],martotal3059[[#Headers],[14]],tabela_registros[REGISTRO],DADOS!$N$4,tabela_registros[TIPO],DADOS!$P$4,tabela_registros[CATEGORIA],despesavariávelconsolidadomar[[#This Row],[DESPESA VARIÁVEL]])</f>
        <v>0</v>
      </c>
      <c r="S66" s="119" t="n">
        <f aca="false">SUMIFS(tabela_registros[VALOR],tabela_registros[MÊS],$AE$1,tabela_registros[DIA],martotal3059[[#Headers],[15]],tabela_registros[REGISTRO],DADOS!$N$4,tabela_registros[TIPO],DADOS!$P$4,tabela_registros[CATEGORIA],despesavariávelconsolidadomar[[#This Row],[DESPESA VARIÁVEL]])</f>
        <v>0</v>
      </c>
      <c r="T66" s="119" t="n">
        <f aca="false">SUMIFS(tabela_registros[VALOR],tabela_registros[MÊS],$AE$1,tabela_registros[DIA],martotal3059[[#Headers],[16]],tabela_registros[REGISTRO],DADOS!$N$4,tabela_registros[TIPO],DADOS!$P$4,tabela_registros[CATEGORIA],despesavariávelconsolidadomar[[#This Row],[DESPESA VARIÁVEL]])</f>
        <v>0</v>
      </c>
      <c r="U66" s="119" t="n">
        <f aca="false">SUMIFS(tabela_registros[VALOR],tabela_registros[MÊS],$AE$1,tabela_registros[DIA],martotal3059[[#Headers],[17]],tabela_registros[REGISTRO],DADOS!$N$4,tabela_registros[TIPO],DADOS!$P$4,tabela_registros[CATEGORIA],despesavariávelconsolidadomar[[#This Row],[DESPESA VARIÁVEL]])</f>
        <v>0</v>
      </c>
      <c r="V66" s="119" t="n">
        <f aca="false">SUMIFS(tabela_registros[VALOR],tabela_registros[MÊS],$AE$1,tabela_registros[DIA],martotal3059[[#Headers],[18]],tabela_registros[REGISTRO],DADOS!$N$4,tabela_registros[TIPO],DADOS!$P$4,tabela_registros[CATEGORIA],despesavariávelconsolidadomar[[#This Row],[DESPESA VARIÁVEL]])</f>
        <v>0</v>
      </c>
      <c r="W66" s="119" t="n">
        <f aca="false">SUMIFS(tabela_registros[VALOR],tabela_registros[MÊS],$AE$1,tabela_registros[DIA],martotal3059[[#Headers],[19]],tabela_registros[REGISTRO],DADOS!$N$4,tabela_registros[TIPO],DADOS!$P$4,tabela_registros[CATEGORIA],despesavariávelconsolidadomar[[#This Row],[DESPESA VARIÁVEL]])</f>
        <v>0</v>
      </c>
      <c r="X66" s="119" t="n">
        <f aca="false">SUMIFS(tabela_registros[VALOR],tabela_registros[MÊS],$AE$1,tabela_registros[DIA],martotal3059[[#Headers],[20]],tabela_registros[REGISTRO],DADOS!$N$4,tabela_registros[TIPO],DADOS!$P$4,tabela_registros[CATEGORIA],despesavariávelconsolidadomar[[#This Row],[DESPESA VARIÁVEL]])</f>
        <v>0</v>
      </c>
      <c r="Y66" s="119" t="n">
        <f aca="false">SUMIFS(tabela_registros[VALOR],tabela_registros[MÊS],$AE$1,tabela_registros[DIA],martotal3059[[#Headers],[21]],tabela_registros[REGISTRO],DADOS!$N$4,tabela_registros[TIPO],DADOS!$P$4,tabela_registros[CATEGORIA],despesavariávelconsolidadomar[[#This Row],[DESPESA VARIÁVEL]])</f>
        <v>0</v>
      </c>
      <c r="Z66" s="119" t="n">
        <f aca="false">SUMIFS(tabela_registros[VALOR],tabela_registros[MÊS],$AE$1,tabela_registros[DIA],martotal3059[[#Headers],[22]],tabela_registros[REGISTRO],DADOS!$N$4,tabela_registros[TIPO],DADOS!$P$4,tabela_registros[CATEGORIA],despesavariávelconsolidadomar[[#This Row],[DESPESA VARIÁVEL]])</f>
        <v>0</v>
      </c>
      <c r="AA66" s="119" t="n">
        <f aca="false">SUMIFS(tabela_registros[VALOR],tabela_registros[MÊS],$AE$1,tabela_registros[DIA],martotal3059[[#Headers],[23]],tabela_registros[REGISTRO],DADOS!$N$4,tabela_registros[TIPO],DADOS!$P$4,tabela_registros[CATEGORIA],despesavariávelconsolidadomar[[#This Row],[DESPESA VARIÁVEL]])</f>
        <v>0</v>
      </c>
      <c r="AB66" s="119" t="n">
        <f aca="false">SUMIFS(tabela_registros[VALOR],tabela_registros[MÊS],$AE$1,tabela_registros[DIA],martotal3059[[#Headers],[24]],tabela_registros[REGISTRO],DADOS!$N$4,tabela_registros[TIPO],DADOS!$P$4,tabela_registros[CATEGORIA],despesavariávelconsolidadomar[[#This Row],[DESPESA VARIÁVEL]])</f>
        <v>0</v>
      </c>
      <c r="AC66" s="119" t="n">
        <f aca="false">SUMIFS(tabela_registros[VALOR],tabela_registros[MÊS],$AE$1,tabela_registros[DIA],martotal3059[[#Headers],[25]],tabela_registros[REGISTRO],DADOS!$N$4,tabela_registros[TIPO],DADOS!$P$4,tabela_registros[CATEGORIA],despesavariávelconsolidadomar[[#This Row],[DESPESA VARIÁVEL]])</f>
        <v>0</v>
      </c>
      <c r="AD66" s="119" t="n">
        <f aca="false">SUMIFS(tabela_registros[VALOR],tabela_registros[MÊS],$AE$1,tabela_registros[DIA],martotal3059[[#Headers],[26]],tabela_registros[REGISTRO],DADOS!$N$4,tabela_registros[TIPO],DADOS!$P$4,tabela_registros[CATEGORIA],despesavariávelconsolidadomar[[#This Row],[DESPESA VARIÁVEL]])</f>
        <v>0</v>
      </c>
      <c r="AE66" s="119" t="n">
        <f aca="false">SUMIFS(tabela_registros[VALOR],tabela_registros[MÊS],$AE$1,tabela_registros[DIA],martotal3059[[#Headers],[27]],tabela_registros[REGISTRO],DADOS!$N$4,tabela_registros[TIPO],DADOS!$P$4,tabela_registros[CATEGORIA],despesavariávelconsolidadomar[[#This Row],[DESPESA VARIÁVEL]])</f>
        <v>0</v>
      </c>
      <c r="AF66" s="119" t="n">
        <f aca="false">SUMIFS(tabela_registros[VALOR],tabela_registros[MÊS],$AE$1,tabela_registros[DIA],martotal3059[[#Headers],[28]],tabela_registros[REGISTRO],DADOS!$N$4,tabela_registros[TIPO],DADOS!$P$4,tabela_registros[CATEGORIA],despesavariávelconsolidadomar[[#This Row],[DESPESA VARIÁVEL]])</f>
        <v>0</v>
      </c>
      <c r="AG66" s="119" t="n">
        <f aca="false">SUMIFS(tabela_registros[VALOR],tabela_registros[MÊS],$AE$1,tabela_registros[DIA],martotal3059[[#Headers],[29]],tabela_registros[REGISTRO],DADOS!$N$4,tabela_registros[TIPO],DADOS!$P$4,tabela_registros[CATEGORIA],despesavariávelconsolidadomar[[#This Row],[DESPESA VARIÁVEL]])</f>
        <v>0</v>
      </c>
      <c r="AH66" s="119" t="n">
        <f aca="false">SUMIFS(tabela_registros[VALOR],tabela_registros[MÊS],$AE$1,tabela_registros[DIA],martotal3059[[#Headers],[30]],tabela_registros[REGISTRO],DADOS!$N$4,tabela_registros[TIPO],DADOS!$P$4,tabela_registros[CATEGORIA],despesavariávelconsolidadomar[[#This Row],[DESPESA VARIÁVEL]])</f>
        <v>0</v>
      </c>
      <c r="AI66" s="217" t="n">
        <f aca="false">SUMIFS(tabela_registros[VALOR],tabela_registros[MÊS],$AE$1,tabela_registros[DIA],martotal3059[[#Headers],[31]],tabela_registros[REGISTRO],DADOS!$N$4,tabela_registros[TIPO],DADOS!$P$4,tabela_registros[CATEGORIA],despesavariávelconsolidadomar[[#This Row],[DESPESA VARIÁVEL]])</f>
        <v>0</v>
      </c>
      <c r="AJ66" s="149" t="n">
        <f aca="false">SUM(despesavariávelconsolidadomar[[#This Row],[1]:[31]])</f>
        <v>0</v>
      </c>
      <c r="AK66" s="143"/>
    </row>
    <row r="67" customFormat="false" ht="18" hidden="false" customHeight="true" outlineLevel="0" collapsed="false">
      <c r="B67" s="143"/>
      <c r="C67" s="144" t="str">
        <f aca="false">DADOS!$T$10</f>
        <v>🛒 MERCADO</v>
      </c>
      <c r="D67" s="145" t="str">
        <f aca="false">IF(despesavariávelconsolidadomar[[#This Row],[TOTAL]]=0,"",IF(OR(despesavariávelconsolidadomar[[#This Row],[TOTAL]]=LARGE($AJ$60:$AJ$72,1),despesavariávelconsolidadomar[[#This Row],[TOTAL]]=LARGE($AJ$60:$AJ$72,2),despesavariávelconsolidadomar[[#This Row],[TOTAL]]=LARGE($AJ$60:$AJ$72,3),despesavariávelconsolidadomar[[#This Row],[TOTAL]]=LARGE($AJ$60:$AJ$72,4),despesavariávelconsolidadomar[[#This Row],[TOTAL]]=LARGE($AJ$60:$AJ$72,5)),DADOS!$I$8,""))</f>
        <v/>
      </c>
      <c r="E67" s="148" t="n">
        <f aca="false">SUMIFS(tabela_registros[VALOR],tabela_registros[MÊS],$AE$1,tabela_registros[DIA],martotal3059[[#Headers],[1]],tabela_registros[REGISTRO],DADOS!$N$4,tabela_registros[TIPO],DADOS!$P$4,tabela_registros[CATEGORIA],despesavariávelconsolidadomar[[#This Row],[DESPESA VARIÁVEL]])</f>
        <v>0</v>
      </c>
      <c r="F67" s="119" t="n">
        <f aca="false">SUMIFS(tabela_registros[VALOR],tabela_registros[MÊS],$AE$1,tabela_registros[DIA],martotal3059[[#Headers],[2]],tabela_registros[REGISTRO],DADOS!$N$4,tabela_registros[TIPO],DADOS!$P$4,tabela_registros[CATEGORIA],despesavariávelconsolidadomar[[#This Row],[DESPESA VARIÁVEL]])</f>
        <v>0</v>
      </c>
      <c r="G67" s="119" t="n">
        <f aca="false">SUMIFS(tabela_registros[VALOR],tabela_registros[MÊS],$AE$1,tabela_registros[DIA],martotal3059[[#Headers],[3]],tabela_registros[REGISTRO],DADOS!$N$4,tabela_registros[TIPO],DADOS!$P$4,tabela_registros[CATEGORIA],despesavariávelconsolidadomar[[#This Row],[DESPESA VARIÁVEL]])</f>
        <v>0</v>
      </c>
      <c r="H67" s="119" t="n">
        <f aca="false">SUMIFS(tabela_registros[VALOR],tabela_registros[MÊS],$AE$1,tabela_registros[DIA],martotal3059[[#Headers],[4]],tabela_registros[REGISTRO],DADOS!$N$4,tabela_registros[TIPO],DADOS!$P$4,tabela_registros[CATEGORIA],despesavariávelconsolidadomar[[#This Row],[DESPESA VARIÁVEL]])</f>
        <v>0</v>
      </c>
      <c r="I67" s="119" t="n">
        <f aca="false">SUMIFS(tabela_registros[VALOR],tabela_registros[MÊS],$AE$1,tabela_registros[DIA],martotal3059[[#Headers],[5]],tabela_registros[REGISTRO],DADOS!$N$4,tabela_registros[TIPO],DADOS!$P$4,tabela_registros[CATEGORIA],despesavariávelconsolidadomar[[#This Row],[DESPESA VARIÁVEL]])</f>
        <v>0</v>
      </c>
      <c r="J67" s="119" t="n">
        <f aca="false">SUMIFS(tabela_registros[VALOR],tabela_registros[MÊS],$AE$1,tabela_registros[DIA],martotal3059[[#Headers],[6]],tabela_registros[REGISTRO],DADOS!$N$4,tabela_registros[TIPO],DADOS!$P$4,tabela_registros[CATEGORIA],despesavariávelconsolidadomar[[#This Row],[DESPESA VARIÁVEL]])</f>
        <v>0</v>
      </c>
      <c r="K67" s="119" t="n">
        <f aca="false">SUMIFS(tabela_registros[VALOR],tabela_registros[MÊS],$AE$1,tabela_registros[DIA],martotal3059[[#Headers],[7]],tabela_registros[REGISTRO],DADOS!$N$4,tabela_registros[TIPO],DADOS!$P$4,tabela_registros[CATEGORIA],despesavariávelconsolidadomar[[#This Row],[DESPESA VARIÁVEL]])</f>
        <v>0</v>
      </c>
      <c r="L67" s="119" t="n">
        <f aca="false">SUMIFS(tabela_registros[VALOR],tabela_registros[MÊS],$AE$1,tabela_registros[DIA],martotal3059[[#Headers],[8]],tabela_registros[REGISTRO],DADOS!$N$4,tabela_registros[TIPO],DADOS!$P$4,tabela_registros[CATEGORIA],despesavariávelconsolidadomar[[#This Row],[DESPESA VARIÁVEL]])</f>
        <v>0</v>
      </c>
      <c r="M67" s="119" t="n">
        <f aca="false">SUMIFS(tabela_registros[VALOR],tabela_registros[MÊS],$AE$1,tabela_registros[DIA],martotal3059[[#Headers],[9]],tabela_registros[REGISTRO],DADOS!$N$4,tabela_registros[TIPO],DADOS!$P$4,tabela_registros[CATEGORIA],despesavariávelconsolidadomar[[#This Row],[DESPESA VARIÁVEL]])</f>
        <v>0</v>
      </c>
      <c r="N67" s="119" t="n">
        <f aca="false">SUMIFS(tabela_registros[VALOR],tabela_registros[MÊS],$AE$1,tabela_registros[DIA],martotal3059[[#Headers],[10]],tabela_registros[REGISTRO],DADOS!$N$4,tabela_registros[TIPO],DADOS!$P$4,tabela_registros[CATEGORIA],despesavariávelconsolidadomar[[#This Row],[DESPESA VARIÁVEL]])</f>
        <v>0</v>
      </c>
      <c r="O67" s="119" t="n">
        <f aca="false">SUMIFS(tabela_registros[VALOR],tabela_registros[MÊS],$AE$1,tabela_registros[DIA],martotal3059[[#Headers],[11]],tabela_registros[REGISTRO],DADOS!$N$4,tabela_registros[TIPO],DADOS!$P$4,tabela_registros[CATEGORIA],despesavariávelconsolidadomar[[#This Row],[DESPESA VARIÁVEL]])</f>
        <v>0</v>
      </c>
      <c r="P67" s="119" t="n">
        <f aca="false">SUMIFS(tabela_registros[VALOR],tabela_registros[MÊS],$AE$1,tabela_registros[DIA],martotal3059[[#Headers],[12]],tabela_registros[REGISTRO],DADOS!$N$4,tabela_registros[TIPO],DADOS!$P$4,tabela_registros[CATEGORIA],despesavariávelconsolidadomar[[#This Row],[DESPESA VARIÁVEL]])</f>
        <v>0</v>
      </c>
      <c r="Q67" s="119" t="n">
        <f aca="false">SUMIFS(tabela_registros[VALOR],tabela_registros[MÊS],$AE$1,tabela_registros[DIA],martotal3059[[#Headers],[13]],tabela_registros[REGISTRO],DADOS!$N$4,tabela_registros[TIPO],DADOS!$P$4,tabela_registros[CATEGORIA],despesavariávelconsolidadomar[[#This Row],[DESPESA VARIÁVEL]])</f>
        <v>0</v>
      </c>
      <c r="R67" s="119" t="n">
        <f aca="false">SUMIFS(tabela_registros[VALOR],tabela_registros[MÊS],$AE$1,tabela_registros[DIA],martotal3059[[#Headers],[14]],tabela_registros[REGISTRO],DADOS!$N$4,tabela_registros[TIPO],DADOS!$P$4,tabela_registros[CATEGORIA],despesavariávelconsolidadomar[[#This Row],[DESPESA VARIÁVEL]])</f>
        <v>0</v>
      </c>
      <c r="S67" s="119" t="n">
        <f aca="false">SUMIFS(tabela_registros[VALOR],tabela_registros[MÊS],$AE$1,tabela_registros[DIA],martotal3059[[#Headers],[15]],tabela_registros[REGISTRO],DADOS!$N$4,tabela_registros[TIPO],DADOS!$P$4,tabela_registros[CATEGORIA],despesavariávelconsolidadomar[[#This Row],[DESPESA VARIÁVEL]])</f>
        <v>0</v>
      </c>
      <c r="T67" s="119" t="n">
        <f aca="false">SUMIFS(tabela_registros[VALOR],tabela_registros[MÊS],$AE$1,tabela_registros[DIA],martotal3059[[#Headers],[16]],tabela_registros[REGISTRO],DADOS!$N$4,tabela_registros[TIPO],DADOS!$P$4,tabela_registros[CATEGORIA],despesavariávelconsolidadomar[[#This Row],[DESPESA VARIÁVEL]])</f>
        <v>0</v>
      </c>
      <c r="U67" s="119" t="n">
        <f aca="false">SUMIFS(tabela_registros[VALOR],tabela_registros[MÊS],$AE$1,tabela_registros[DIA],martotal3059[[#Headers],[17]],tabela_registros[REGISTRO],DADOS!$N$4,tabela_registros[TIPO],DADOS!$P$4,tabela_registros[CATEGORIA],despesavariávelconsolidadomar[[#This Row],[DESPESA VARIÁVEL]])</f>
        <v>0</v>
      </c>
      <c r="V67" s="119" t="n">
        <f aca="false">SUMIFS(tabela_registros[VALOR],tabela_registros[MÊS],$AE$1,tabela_registros[DIA],martotal3059[[#Headers],[18]],tabela_registros[REGISTRO],DADOS!$N$4,tabela_registros[TIPO],DADOS!$P$4,tabela_registros[CATEGORIA],despesavariávelconsolidadomar[[#This Row],[DESPESA VARIÁVEL]])</f>
        <v>0</v>
      </c>
      <c r="W67" s="119" t="n">
        <f aca="false">SUMIFS(tabela_registros[VALOR],tabela_registros[MÊS],$AE$1,tabela_registros[DIA],martotal3059[[#Headers],[19]],tabela_registros[REGISTRO],DADOS!$N$4,tabela_registros[TIPO],DADOS!$P$4,tabela_registros[CATEGORIA],despesavariávelconsolidadomar[[#This Row],[DESPESA VARIÁVEL]])</f>
        <v>0</v>
      </c>
      <c r="X67" s="119" t="n">
        <f aca="false">SUMIFS(tabela_registros[VALOR],tabela_registros[MÊS],$AE$1,tabela_registros[DIA],martotal3059[[#Headers],[20]],tabela_registros[REGISTRO],DADOS!$N$4,tabela_registros[TIPO],DADOS!$P$4,tabela_registros[CATEGORIA],despesavariávelconsolidadomar[[#This Row],[DESPESA VARIÁVEL]])</f>
        <v>0</v>
      </c>
      <c r="Y67" s="119" t="n">
        <f aca="false">SUMIFS(tabela_registros[VALOR],tabela_registros[MÊS],$AE$1,tabela_registros[DIA],martotal3059[[#Headers],[21]],tabela_registros[REGISTRO],DADOS!$N$4,tabela_registros[TIPO],DADOS!$P$4,tabela_registros[CATEGORIA],despesavariávelconsolidadomar[[#This Row],[DESPESA VARIÁVEL]])</f>
        <v>0</v>
      </c>
      <c r="Z67" s="119" t="n">
        <f aca="false">SUMIFS(tabela_registros[VALOR],tabela_registros[MÊS],$AE$1,tabela_registros[DIA],martotal3059[[#Headers],[22]],tabela_registros[REGISTRO],DADOS!$N$4,tabela_registros[TIPO],DADOS!$P$4,tabela_registros[CATEGORIA],despesavariávelconsolidadomar[[#This Row],[DESPESA VARIÁVEL]])</f>
        <v>0</v>
      </c>
      <c r="AA67" s="119" t="n">
        <f aca="false">SUMIFS(tabela_registros[VALOR],tabela_registros[MÊS],$AE$1,tabela_registros[DIA],martotal3059[[#Headers],[23]],tabela_registros[REGISTRO],DADOS!$N$4,tabela_registros[TIPO],DADOS!$P$4,tabela_registros[CATEGORIA],despesavariávelconsolidadomar[[#This Row],[DESPESA VARIÁVEL]])</f>
        <v>0</v>
      </c>
      <c r="AB67" s="119" t="n">
        <f aca="false">SUMIFS(tabela_registros[VALOR],tabela_registros[MÊS],$AE$1,tabela_registros[DIA],martotal3059[[#Headers],[24]],tabela_registros[REGISTRO],DADOS!$N$4,tabela_registros[TIPO],DADOS!$P$4,tabela_registros[CATEGORIA],despesavariávelconsolidadomar[[#This Row],[DESPESA VARIÁVEL]])</f>
        <v>0</v>
      </c>
      <c r="AC67" s="119" t="n">
        <f aca="false">SUMIFS(tabela_registros[VALOR],tabela_registros[MÊS],$AE$1,tabela_registros[DIA],martotal3059[[#Headers],[25]],tabela_registros[REGISTRO],DADOS!$N$4,tabela_registros[TIPO],DADOS!$P$4,tabela_registros[CATEGORIA],despesavariávelconsolidadomar[[#This Row],[DESPESA VARIÁVEL]])</f>
        <v>0</v>
      </c>
      <c r="AD67" s="119" t="n">
        <f aca="false">SUMIFS(tabela_registros[VALOR],tabela_registros[MÊS],$AE$1,tabela_registros[DIA],martotal3059[[#Headers],[26]],tabela_registros[REGISTRO],DADOS!$N$4,tabela_registros[TIPO],DADOS!$P$4,tabela_registros[CATEGORIA],despesavariávelconsolidadomar[[#This Row],[DESPESA VARIÁVEL]])</f>
        <v>0</v>
      </c>
      <c r="AE67" s="119" t="n">
        <f aca="false">SUMIFS(tabela_registros[VALOR],tabela_registros[MÊS],$AE$1,tabela_registros[DIA],martotal3059[[#Headers],[27]],tabela_registros[REGISTRO],DADOS!$N$4,tabela_registros[TIPO],DADOS!$P$4,tabela_registros[CATEGORIA],despesavariávelconsolidadomar[[#This Row],[DESPESA VARIÁVEL]])</f>
        <v>0</v>
      </c>
      <c r="AF67" s="119" t="n">
        <f aca="false">SUMIFS(tabela_registros[VALOR],tabela_registros[MÊS],$AE$1,tabela_registros[DIA],martotal3059[[#Headers],[28]],tabela_registros[REGISTRO],DADOS!$N$4,tabela_registros[TIPO],DADOS!$P$4,tabela_registros[CATEGORIA],despesavariávelconsolidadomar[[#This Row],[DESPESA VARIÁVEL]])</f>
        <v>0</v>
      </c>
      <c r="AG67" s="119" t="n">
        <f aca="false">SUMIFS(tabela_registros[VALOR],tabela_registros[MÊS],$AE$1,tabela_registros[DIA],martotal3059[[#Headers],[29]],tabela_registros[REGISTRO],DADOS!$N$4,tabela_registros[TIPO],DADOS!$P$4,tabela_registros[CATEGORIA],despesavariávelconsolidadomar[[#This Row],[DESPESA VARIÁVEL]])</f>
        <v>0</v>
      </c>
      <c r="AH67" s="119" t="n">
        <f aca="false">SUMIFS(tabela_registros[VALOR],tabela_registros[MÊS],$AE$1,tabela_registros[DIA],martotal3059[[#Headers],[30]],tabela_registros[REGISTRO],DADOS!$N$4,tabela_registros[TIPO],DADOS!$P$4,tabela_registros[CATEGORIA],despesavariávelconsolidadomar[[#This Row],[DESPESA VARIÁVEL]])</f>
        <v>0</v>
      </c>
      <c r="AI67" s="217" t="n">
        <f aca="false">SUMIFS(tabela_registros[VALOR],tabela_registros[MÊS],$AE$1,tabela_registros[DIA],martotal3059[[#Headers],[31]],tabela_registros[REGISTRO],DADOS!$N$4,tabela_registros[TIPO],DADOS!$P$4,tabela_registros[CATEGORIA],despesavariávelconsolidadomar[[#This Row],[DESPESA VARIÁVEL]])</f>
        <v>0</v>
      </c>
      <c r="AJ67" s="149" t="n">
        <f aca="false">SUM(despesavariávelconsolidadomar[[#This Row],[1]:[31]])</f>
        <v>0</v>
      </c>
      <c r="AK67" s="143"/>
    </row>
    <row r="68" customFormat="false" ht="18" hidden="false" customHeight="true" outlineLevel="0" collapsed="false">
      <c r="B68" s="143"/>
      <c r="C68" s="144" t="str">
        <f aca="false">DADOS!$T$11</f>
        <v>🎁 PRESENTES</v>
      </c>
      <c r="D68" s="145" t="str">
        <f aca="false">IF(despesavariávelconsolidadomar[[#This Row],[TOTAL]]=0,"",IF(OR(despesavariávelconsolidadomar[[#This Row],[TOTAL]]=LARGE($AJ$60:$AJ$72,1),despesavariávelconsolidadomar[[#This Row],[TOTAL]]=LARGE($AJ$60:$AJ$72,2),despesavariávelconsolidadomar[[#This Row],[TOTAL]]=LARGE($AJ$60:$AJ$72,3),despesavariávelconsolidadomar[[#This Row],[TOTAL]]=LARGE($AJ$60:$AJ$72,4),despesavariávelconsolidadomar[[#This Row],[TOTAL]]=LARGE($AJ$60:$AJ$72,5)),DADOS!$I$8,""))</f>
        <v/>
      </c>
      <c r="E68" s="148" t="n">
        <f aca="false">SUMIFS(tabela_registros[VALOR],tabela_registros[MÊS],$AE$1,tabela_registros[DIA],martotal3059[[#Headers],[1]],tabela_registros[REGISTRO],DADOS!$N$4,tabela_registros[TIPO],DADOS!$P$4,tabela_registros[CATEGORIA],despesavariávelconsolidadomar[[#This Row],[DESPESA VARIÁVEL]])</f>
        <v>0</v>
      </c>
      <c r="F68" s="119" t="n">
        <f aca="false">SUMIFS(tabela_registros[VALOR],tabela_registros[MÊS],$AE$1,tabela_registros[DIA],martotal3059[[#Headers],[2]],tabela_registros[REGISTRO],DADOS!$N$4,tabela_registros[TIPO],DADOS!$P$4,tabela_registros[CATEGORIA],despesavariávelconsolidadomar[[#This Row],[DESPESA VARIÁVEL]])</f>
        <v>0</v>
      </c>
      <c r="G68" s="119" t="n">
        <f aca="false">SUMIFS(tabela_registros[VALOR],tabela_registros[MÊS],$AE$1,tabela_registros[DIA],martotal3059[[#Headers],[3]],tabela_registros[REGISTRO],DADOS!$N$4,tabela_registros[TIPO],DADOS!$P$4,tabela_registros[CATEGORIA],despesavariávelconsolidadomar[[#This Row],[DESPESA VARIÁVEL]])</f>
        <v>0</v>
      </c>
      <c r="H68" s="119" t="n">
        <f aca="false">SUMIFS(tabela_registros[VALOR],tabela_registros[MÊS],$AE$1,tabela_registros[DIA],martotal3059[[#Headers],[4]],tabela_registros[REGISTRO],DADOS!$N$4,tabela_registros[TIPO],DADOS!$P$4,tabela_registros[CATEGORIA],despesavariávelconsolidadomar[[#This Row],[DESPESA VARIÁVEL]])</f>
        <v>0</v>
      </c>
      <c r="I68" s="119" t="n">
        <f aca="false">SUMIFS(tabela_registros[VALOR],tabela_registros[MÊS],$AE$1,tabela_registros[DIA],martotal3059[[#Headers],[5]],tabela_registros[REGISTRO],DADOS!$N$4,tabela_registros[TIPO],DADOS!$P$4,tabela_registros[CATEGORIA],despesavariávelconsolidadomar[[#This Row],[DESPESA VARIÁVEL]])</f>
        <v>0</v>
      </c>
      <c r="J68" s="119" t="n">
        <f aca="false">SUMIFS(tabela_registros[VALOR],tabela_registros[MÊS],$AE$1,tabela_registros[DIA],martotal3059[[#Headers],[6]],tabela_registros[REGISTRO],DADOS!$N$4,tabela_registros[TIPO],DADOS!$P$4,tabela_registros[CATEGORIA],despesavariávelconsolidadomar[[#This Row],[DESPESA VARIÁVEL]])</f>
        <v>0</v>
      </c>
      <c r="K68" s="119" t="n">
        <f aca="false">SUMIFS(tabela_registros[VALOR],tabela_registros[MÊS],$AE$1,tabela_registros[DIA],martotal3059[[#Headers],[7]],tabela_registros[REGISTRO],DADOS!$N$4,tabela_registros[TIPO],DADOS!$P$4,tabela_registros[CATEGORIA],despesavariávelconsolidadomar[[#This Row],[DESPESA VARIÁVEL]])</f>
        <v>0</v>
      </c>
      <c r="L68" s="119" t="n">
        <f aca="false">SUMIFS(tabela_registros[VALOR],tabela_registros[MÊS],$AE$1,tabela_registros[DIA],martotal3059[[#Headers],[8]],tabela_registros[REGISTRO],DADOS!$N$4,tabela_registros[TIPO],DADOS!$P$4,tabela_registros[CATEGORIA],despesavariávelconsolidadomar[[#This Row],[DESPESA VARIÁVEL]])</f>
        <v>0</v>
      </c>
      <c r="M68" s="119" t="n">
        <f aca="false">SUMIFS(tabela_registros[VALOR],tabela_registros[MÊS],$AE$1,tabela_registros[DIA],martotal3059[[#Headers],[9]],tabela_registros[REGISTRO],DADOS!$N$4,tabela_registros[TIPO],DADOS!$P$4,tabela_registros[CATEGORIA],despesavariávelconsolidadomar[[#This Row],[DESPESA VARIÁVEL]])</f>
        <v>0</v>
      </c>
      <c r="N68" s="119" t="n">
        <f aca="false">SUMIFS(tabela_registros[VALOR],tabela_registros[MÊS],$AE$1,tabela_registros[DIA],martotal3059[[#Headers],[10]],tabela_registros[REGISTRO],DADOS!$N$4,tabela_registros[TIPO],DADOS!$P$4,tabela_registros[CATEGORIA],despesavariávelconsolidadomar[[#This Row],[DESPESA VARIÁVEL]])</f>
        <v>0</v>
      </c>
      <c r="O68" s="119" t="n">
        <f aca="false">SUMIFS(tabela_registros[VALOR],tabela_registros[MÊS],$AE$1,tabela_registros[DIA],martotal3059[[#Headers],[11]],tabela_registros[REGISTRO],DADOS!$N$4,tabela_registros[TIPO],DADOS!$P$4,tabela_registros[CATEGORIA],despesavariávelconsolidadomar[[#This Row],[DESPESA VARIÁVEL]])</f>
        <v>0</v>
      </c>
      <c r="P68" s="119" t="n">
        <f aca="false">SUMIFS(tabela_registros[VALOR],tabela_registros[MÊS],$AE$1,tabela_registros[DIA],martotal3059[[#Headers],[12]],tabela_registros[REGISTRO],DADOS!$N$4,tabela_registros[TIPO],DADOS!$P$4,tabela_registros[CATEGORIA],despesavariávelconsolidadomar[[#This Row],[DESPESA VARIÁVEL]])</f>
        <v>0</v>
      </c>
      <c r="Q68" s="119" t="n">
        <f aca="false">SUMIFS(tabela_registros[VALOR],tabela_registros[MÊS],$AE$1,tabela_registros[DIA],martotal3059[[#Headers],[13]],tabela_registros[REGISTRO],DADOS!$N$4,tabela_registros[TIPO],DADOS!$P$4,tabela_registros[CATEGORIA],despesavariávelconsolidadomar[[#This Row],[DESPESA VARIÁVEL]])</f>
        <v>0</v>
      </c>
      <c r="R68" s="119" t="n">
        <f aca="false">SUMIFS(tabela_registros[VALOR],tabela_registros[MÊS],$AE$1,tabela_registros[DIA],martotal3059[[#Headers],[14]],tabela_registros[REGISTRO],DADOS!$N$4,tabela_registros[TIPO],DADOS!$P$4,tabela_registros[CATEGORIA],despesavariávelconsolidadomar[[#This Row],[DESPESA VARIÁVEL]])</f>
        <v>0</v>
      </c>
      <c r="S68" s="119" t="n">
        <f aca="false">SUMIFS(tabela_registros[VALOR],tabela_registros[MÊS],$AE$1,tabela_registros[DIA],martotal3059[[#Headers],[15]],tabela_registros[REGISTRO],DADOS!$N$4,tabela_registros[TIPO],DADOS!$P$4,tabela_registros[CATEGORIA],despesavariávelconsolidadomar[[#This Row],[DESPESA VARIÁVEL]])</f>
        <v>0</v>
      </c>
      <c r="T68" s="119" t="n">
        <f aca="false">SUMIFS(tabela_registros[VALOR],tabela_registros[MÊS],$AE$1,tabela_registros[DIA],martotal3059[[#Headers],[16]],tabela_registros[REGISTRO],DADOS!$N$4,tabela_registros[TIPO],DADOS!$P$4,tabela_registros[CATEGORIA],despesavariávelconsolidadomar[[#This Row],[DESPESA VARIÁVEL]])</f>
        <v>0</v>
      </c>
      <c r="U68" s="119" t="n">
        <f aca="false">SUMIFS(tabela_registros[VALOR],tabela_registros[MÊS],$AE$1,tabela_registros[DIA],martotal3059[[#Headers],[17]],tabela_registros[REGISTRO],DADOS!$N$4,tabela_registros[TIPO],DADOS!$P$4,tabela_registros[CATEGORIA],despesavariávelconsolidadomar[[#This Row],[DESPESA VARIÁVEL]])</f>
        <v>0</v>
      </c>
      <c r="V68" s="119" t="n">
        <f aca="false">SUMIFS(tabela_registros[VALOR],tabela_registros[MÊS],$AE$1,tabela_registros[DIA],martotal3059[[#Headers],[18]],tabela_registros[REGISTRO],DADOS!$N$4,tabela_registros[TIPO],DADOS!$P$4,tabela_registros[CATEGORIA],despesavariávelconsolidadomar[[#This Row],[DESPESA VARIÁVEL]])</f>
        <v>0</v>
      </c>
      <c r="W68" s="119" t="n">
        <f aca="false">SUMIFS(tabela_registros[VALOR],tabela_registros[MÊS],$AE$1,tabela_registros[DIA],martotal3059[[#Headers],[19]],tabela_registros[REGISTRO],DADOS!$N$4,tabela_registros[TIPO],DADOS!$P$4,tabela_registros[CATEGORIA],despesavariávelconsolidadomar[[#This Row],[DESPESA VARIÁVEL]])</f>
        <v>0</v>
      </c>
      <c r="X68" s="119" t="n">
        <f aca="false">SUMIFS(tabela_registros[VALOR],tabela_registros[MÊS],$AE$1,tabela_registros[DIA],martotal3059[[#Headers],[20]],tabela_registros[REGISTRO],DADOS!$N$4,tabela_registros[TIPO],DADOS!$P$4,tabela_registros[CATEGORIA],despesavariávelconsolidadomar[[#This Row],[DESPESA VARIÁVEL]])</f>
        <v>0</v>
      </c>
      <c r="Y68" s="119" t="n">
        <f aca="false">SUMIFS(tabela_registros[VALOR],tabela_registros[MÊS],$AE$1,tabela_registros[DIA],martotal3059[[#Headers],[21]],tabela_registros[REGISTRO],DADOS!$N$4,tabela_registros[TIPO],DADOS!$P$4,tabela_registros[CATEGORIA],despesavariávelconsolidadomar[[#This Row],[DESPESA VARIÁVEL]])</f>
        <v>0</v>
      </c>
      <c r="Z68" s="119" t="n">
        <f aca="false">SUMIFS(tabela_registros[VALOR],tabela_registros[MÊS],$AE$1,tabela_registros[DIA],martotal3059[[#Headers],[22]],tabela_registros[REGISTRO],DADOS!$N$4,tabela_registros[TIPO],DADOS!$P$4,tabela_registros[CATEGORIA],despesavariávelconsolidadomar[[#This Row],[DESPESA VARIÁVEL]])</f>
        <v>0</v>
      </c>
      <c r="AA68" s="119" t="n">
        <f aca="false">SUMIFS(tabela_registros[VALOR],tabela_registros[MÊS],$AE$1,tabela_registros[DIA],martotal3059[[#Headers],[23]],tabela_registros[REGISTRO],DADOS!$N$4,tabela_registros[TIPO],DADOS!$P$4,tabela_registros[CATEGORIA],despesavariávelconsolidadomar[[#This Row],[DESPESA VARIÁVEL]])</f>
        <v>0</v>
      </c>
      <c r="AB68" s="119" t="n">
        <f aca="false">SUMIFS(tabela_registros[VALOR],tabela_registros[MÊS],$AE$1,tabela_registros[DIA],martotal3059[[#Headers],[24]],tabela_registros[REGISTRO],DADOS!$N$4,tabela_registros[TIPO],DADOS!$P$4,tabela_registros[CATEGORIA],despesavariávelconsolidadomar[[#This Row],[DESPESA VARIÁVEL]])</f>
        <v>0</v>
      </c>
      <c r="AC68" s="119" t="n">
        <f aca="false">SUMIFS(tabela_registros[VALOR],tabela_registros[MÊS],$AE$1,tabela_registros[DIA],martotal3059[[#Headers],[25]],tabela_registros[REGISTRO],DADOS!$N$4,tabela_registros[TIPO],DADOS!$P$4,tabela_registros[CATEGORIA],despesavariávelconsolidadomar[[#This Row],[DESPESA VARIÁVEL]])</f>
        <v>0</v>
      </c>
      <c r="AD68" s="119" t="n">
        <f aca="false">SUMIFS(tabela_registros[VALOR],tabela_registros[MÊS],$AE$1,tabela_registros[DIA],martotal3059[[#Headers],[26]],tabela_registros[REGISTRO],DADOS!$N$4,tabela_registros[TIPO],DADOS!$P$4,tabela_registros[CATEGORIA],despesavariávelconsolidadomar[[#This Row],[DESPESA VARIÁVEL]])</f>
        <v>0</v>
      </c>
      <c r="AE68" s="119" t="n">
        <f aca="false">SUMIFS(tabela_registros[VALOR],tabela_registros[MÊS],$AE$1,tabela_registros[DIA],martotal3059[[#Headers],[27]],tabela_registros[REGISTRO],DADOS!$N$4,tabela_registros[TIPO],DADOS!$P$4,tabela_registros[CATEGORIA],despesavariávelconsolidadomar[[#This Row],[DESPESA VARIÁVEL]])</f>
        <v>0</v>
      </c>
      <c r="AF68" s="119" t="n">
        <f aca="false">SUMIFS(tabela_registros[VALOR],tabela_registros[MÊS],$AE$1,tabela_registros[DIA],martotal3059[[#Headers],[28]],tabela_registros[REGISTRO],DADOS!$N$4,tabela_registros[TIPO],DADOS!$P$4,tabela_registros[CATEGORIA],despesavariávelconsolidadomar[[#This Row],[DESPESA VARIÁVEL]])</f>
        <v>0</v>
      </c>
      <c r="AG68" s="119" t="n">
        <f aca="false">SUMIFS(tabela_registros[VALOR],tabela_registros[MÊS],$AE$1,tabela_registros[DIA],martotal3059[[#Headers],[29]],tabela_registros[REGISTRO],DADOS!$N$4,tabela_registros[TIPO],DADOS!$P$4,tabela_registros[CATEGORIA],despesavariávelconsolidadomar[[#This Row],[DESPESA VARIÁVEL]])</f>
        <v>0</v>
      </c>
      <c r="AH68" s="119" t="n">
        <f aca="false">SUMIFS(tabela_registros[VALOR],tabela_registros[MÊS],$AE$1,tabela_registros[DIA],martotal3059[[#Headers],[30]],tabela_registros[REGISTRO],DADOS!$N$4,tabela_registros[TIPO],DADOS!$P$4,tabela_registros[CATEGORIA],despesavariávelconsolidadomar[[#This Row],[DESPESA VARIÁVEL]])</f>
        <v>0</v>
      </c>
      <c r="AI68" s="217" t="n">
        <f aca="false">SUMIFS(tabela_registros[VALOR],tabela_registros[MÊS],$AE$1,tabela_registros[DIA],martotal3059[[#Headers],[31]],tabela_registros[REGISTRO],DADOS!$N$4,tabela_registros[TIPO],DADOS!$P$4,tabela_registros[CATEGORIA],despesavariávelconsolidadomar[[#This Row],[DESPESA VARIÁVEL]])</f>
        <v>0</v>
      </c>
      <c r="AJ68" s="149" t="n">
        <f aca="false">SUM(despesavariávelconsolidadomar[[#This Row],[1]:[31]])</f>
        <v>0</v>
      </c>
      <c r="AK68" s="143"/>
    </row>
    <row r="69" customFormat="false" ht="18" hidden="false" customHeight="true" outlineLevel="0" collapsed="false">
      <c r="B69" s="143"/>
      <c r="C69" s="144" t="str">
        <f aca="false">DADOS!$T$12</f>
        <v>💊 SAÚDE</v>
      </c>
      <c r="D69" s="145" t="str">
        <f aca="false">IF(despesavariávelconsolidadomar[[#This Row],[TOTAL]]=0,"",IF(OR(despesavariávelconsolidadomar[[#This Row],[TOTAL]]=LARGE($AJ$60:$AJ$72,1),despesavariávelconsolidadomar[[#This Row],[TOTAL]]=LARGE($AJ$60:$AJ$72,2),despesavariávelconsolidadomar[[#This Row],[TOTAL]]=LARGE($AJ$60:$AJ$72,3),despesavariávelconsolidadomar[[#This Row],[TOTAL]]=LARGE($AJ$60:$AJ$72,4),despesavariávelconsolidadomar[[#This Row],[TOTAL]]=LARGE($AJ$60:$AJ$72,5)),DADOS!$I$8,""))</f>
        <v/>
      </c>
      <c r="E69" s="148" t="n">
        <f aca="false">SUMIFS(tabela_registros[VALOR],tabela_registros[MÊS],$AE$1,tabela_registros[DIA],martotal3059[[#Headers],[1]],tabela_registros[REGISTRO],DADOS!$N$4,tabela_registros[TIPO],DADOS!$P$4,tabela_registros[CATEGORIA],despesavariávelconsolidadomar[[#This Row],[DESPESA VARIÁVEL]])</f>
        <v>0</v>
      </c>
      <c r="F69" s="119" t="n">
        <f aca="false">SUMIFS(tabela_registros[VALOR],tabela_registros[MÊS],$AE$1,tabela_registros[DIA],martotal3059[[#Headers],[2]],tabela_registros[REGISTRO],DADOS!$N$4,tabela_registros[TIPO],DADOS!$P$4,tabela_registros[CATEGORIA],despesavariávelconsolidadomar[[#This Row],[DESPESA VARIÁVEL]])</f>
        <v>0</v>
      </c>
      <c r="G69" s="119" t="n">
        <f aca="false">SUMIFS(tabela_registros[VALOR],tabela_registros[MÊS],$AE$1,tabela_registros[DIA],martotal3059[[#Headers],[3]],tabela_registros[REGISTRO],DADOS!$N$4,tabela_registros[TIPO],DADOS!$P$4,tabela_registros[CATEGORIA],despesavariávelconsolidadomar[[#This Row],[DESPESA VARIÁVEL]])</f>
        <v>0</v>
      </c>
      <c r="H69" s="119" t="n">
        <f aca="false">SUMIFS(tabela_registros[VALOR],tabela_registros[MÊS],$AE$1,tabela_registros[DIA],martotal3059[[#Headers],[4]],tabela_registros[REGISTRO],DADOS!$N$4,tabela_registros[TIPO],DADOS!$P$4,tabela_registros[CATEGORIA],despesavariávelconsolidadomar[[#This Row],[DESPESA VARIÁVEL]])</f>
        <v>0</v>
      </c>
      <c r="I69" s="119" t="n">
        <f aca="false">SUMIFS(tabela_registros[VALOR],tabela_registros[MÊS],$AE$1,tabela_registros[DIA],martotal3059[[#Headers],[5]],tabela_registros[REGISTRO],DADOS!$N$4,tabela_registros[TIPO],DADOS!$P$4,tabela_registros[CATEGORIA],despesavariávelconsolidadomar[[#This Row],[DESPESA VARIÁVEL]])</f>
        <v>0</v>
      </c>
      <c r="J69" s="119" t="n">
        <f aca="false">SUMIFS(tabela_registros[VALOR],tabela_registros[MÊS],$AE$1,tabela_registros[DIA],martotal3059[[#Headers],[6]],tabela_registros[REGISTRO],DADOS!$N$4,tabela_registros[TIPO],DADOS!$P$4,tabela_registros[CATEGORIA],despesavariávelconsolidadomar[[#This Row],[DESPESA VARIÁVEL]])</f>
        <v>0</v>
      </c>
      <c r="K69" s="119" t="n">
        <f aca="false">SUMIFS(tabela_registros[VALOR],tabela_registros[MÊS],$AE$1,tabela_registros[DIA],martotal3059[[#Headers],[7]],tabela_registros[REGISTRO],DADOS!$N$4,tabela_registros[TIPO],DADOS!$P$4,tabela_registros[CATEGORIA],despesavariávelconsolidadomar[[#This Row],[DESPESA VARIÁVEL]])</f>
        <v>0</v>
      </c>
      <c r="L69" s="119" t="n">
        <f aca="false">SUMIFS(tabela_registros[VALOR],tabela_registros[MÊS],$AE$1,tabela_registros[DIA],martotal3059[[#Headers],[8]],tabela_registros[REGISTRO],DADOS!$N$4,tabela_registros[TIPO],DADOS!$P$4,tabela_registros[CATEGORIA],despesavariávelconsolidadomar[[#This Row],[DESPESA VARIÁVEL]])</f>
        <v>0</v>
      </c>
      <c r="M69" s="119" t="n">
        <f aca="false">SUMIFS(tabela_registros[VALOR],tabela_registros[MÊS],$AE$1,tabela_registros[DIA],martotal3059[[#Headers],[9]],tabela_registros[REGISTRO],DADOS!$N$4,tabela_registros[TIPO],DADOS!$P$4,tabela_registros[CATEGORIA],despesavariávelconsolidadomar[[#This Row],[DESPESA VARIÁVEL]])</f>
        <v>0</v>
      </c>
      <c r="N69" s="119" t="n">
        <f aca="false">SUMIFS(tabela_registros[VALOR],tabela_registros[MÊS],$AE$1,tabela_registros[DIA],martotal3059[[#Headers],[10]],tabela_registros[REGISTRO],DADOS!$N$4,tabela_registros[TIPO],DADOS!$P$4,tabela_registros[CATEGORIA],despesavariávelconsolidadomar[[#This Row],[DESPESA VARIÁVEL]])</f>
        <v>0</v>
      </c>
      <c r="O69" s="119" t="n">
        <f aca="false">SUMIFS(tabela_registros[VALOR],tabela_registros[MÊS],$AE$1,tabela_registros[DIA],martotal3059[[#Headers],[11]],tabela_registros[REGISTRO],DADOS!$N$4,tabela_registros[TIPO],DADOS!$P$4,tabela_registros[CATEGORIA],despesavariávelconsolidadomar[[#This Row],[DESPESA VARIÁVEL]])</f>
        <v>0</v>
      </c>
      <c r="P69" s="119" t="n">
        <f aca="false">SUMIFS(tabela_registros[VALOR],tabela_registros[MÊS],$AE$1,tabela_registros[DIA],martotal3059[[#Headers],[12]],tabela_registros[REGISTRO],DADOS!$N$4,tabela_registros[TIPO],DADOS!$P$4,tabela_registros[CATEGORIA],despesavariávelconsolidadomar[[#This Row],[DESPESA VARIÁVEL]])</f>
        <v>0</v>
      </c>
      <c r="Q69" s="119" t="n">
        <f aca="false">SUMIFS(tabela_registros[VALOR],tabela_registros[MÊS],$AE$1,tabela_registros[DIA],martotal3059[[#Headers],[13]],tabela_registros[REGISTRO],DADOS!$N$4,tabela_registros[TIPO],DADOS!$P$4,tabela_registros[CATEGORIA],despesavariávelconsolidadomar[[#This Row],[DESPESA VARIÁVEL]])</f>
        <v>0</v>
      </c>
      <c r="R69" s="119" t="n">
        <f aca="false">SUMIFS(tabela_registros[VALOR],tabela_registros[MÊS],$AE$1,tabela_registros[DIA],martotal3059[[#Headers],[14]],tabela_registros[REGISTRO],DADOS!$N$4,tabela_registros[TIPO],DADOS!$P$4,tabela_registros[CATEGORIA],despesavariávelconsolidadomar[[#This Row],[DESPESA VARIÁVEL]])</f>
        <v>0</v>
      </c>
      <c r="S69" s="119" t="n">
        <f aca="false">SUMIFS(tabela_registros[VALOR],tabela_registros[MÊS],$AE$1,tabela_registros[DIA],martotal3059[[#Headers],[15]],tabela_registros[REGISTRO],DADOS!$N$4,tabela_registros[TIPO],DADOS!$P$4,tabela_registros[CATEGORIA],despesavariávelconsolidadomar[[#This Row],[DESPESA VARIÁVEL]])</f>
        <v>0</v>
      </c>
      <c r="T69" s="119" t="n">
        <f aca="false">SUMIFS(tabela_registros[VALOR],tabela_registros[MÊS],$AE$1,tabela_registros[DIA],martotal3059[[#Headers],[16]],tabela_registros[REGISTRO],DADOS!$N$4,tabela_registros[TIPO],DADOS!$P$4,tabela_registros[CATEGORIA],despesavariávelconsolidadomar[[#This Row],[DESPESA VARIÁVEL]])</f>
        <v>0</v>
      </c>
      <c r="U69" s="119" t="n">
        <f aca="false">SUMIFS(tabela_registros[VALOR],tabela_registros[MÊS],$AE$1,tabela_registros[DIA],martotal3059[[#Headers],[17]],tabela_registros[REGISTRO],DADOS!$N$4,tabela_registros[TIPO],DADOS!$P$4,tabela_registros[CATEGORIA],despesavariávelconsolidadomar[[#This Row],[DESPESA VARIÁVEL]])</f>
        <v>0</v>
      </c>
      <c r="V69" s="119" t="n">
        <f aca="false">SUMIFS(tabela_registros[VALOR],tabela_registros[MÊS],$AE$1,tabela_registros[DIA],martotal3059[[#Headers],[18]],tabela_registros[REGISTRO],DADOS!$N$4,tabela_registros[TIPO],DADOS!$P$4,tabela_registros[CATEGORIA],despesavariávelconsolidadomar[[#This Row],[DESPESA VARIÁVEL]])</f>
        <v>0</v>
      </c>
      <c r="W69" s="119" t="n">
        <f aca="false">SUMIFS(tabela_registros[VALOR],tabela_registros[MÊS],$AE$1,tabela_registros[DIA],martotal3059[[#Headers],[19]],tabela_registros[REGISTRO],DADOS!$N$4,tabela_registros[TIPO],DADOS!$P$4,tabela_registros[CATEGORIA],despesavariávelconsolidadomar[[#This Row],[DESPESA VARIÁVEL]])</f>
        <v>0</v>
      </c>
      <c r="X69" s="119" t="n">
        <f aca="false">SUMIFS(tabela_registros[VALOR],tabela_registros[MÊS],$AE$1,tabela_registros[DIA],martotal3059[[#Headers],[20]],tabela_registros[REGISTRO],DADOS!$N$4,tabela_registros[TIPO],DADOS!$P$4,tabela_registros[CATEGORIA],despesavariávelconsolidadomar[[#This Row],[DESPESA VARIÁVEL]])</f>
        <v>0</v>
      </c>
      <c r="Y69" s="119" t="n">
        <f aca="false">SUMIFS(tabela_registros[VALOR],tabela_registros[MÊS],$AE$1,tabela_registros[DIA],martotal3059[[#Headers],[21]],tabela_registros[REGISTRO],DADOS!$N$4,tabela_registros[TIPO],DADOS!$P$4,tabela_registros[CATEGORIA],despesavariávelconsolidadomar[[#This Row],[DESPESA VARIÁVEL]])</f>
        <v>0</v>
      </c>
      <c r="Z69" s="119" t="n">
        <f aca="false">SUMIFS(tabela_registros[VALOR],tabela_registros[MÊS],$AE$1,tabela_registros[DIA],martotal3059[[#Headers],[22]],tabela_registros[REGISTRO],DADOS!$N$4,tabela_registros[TIPO],DADOS!$P$4,tabela_registros[CATEGORIA],despesavariávelconsolidadomar[[#This Row],[DESPESA VARIÁVEL]])</f>
        <v>0</v>
      </c>
      <c r="AA69" s="119" t="n">
        <f aca="false">SUMIFS(tabela_registros[VALOR],tabela_registros[MÊS],$AE$1,tabela_registros[DIA],martotal3059[[#Headers],[23]],tabela_registros[REGISTRO],DADOS!$N$4,tabela_registros[TIPO],DADOS!$P$4,tabela_registros[CATEGORIA],despesavariávelconsolidadomar[[#This Row],[DESPESA VARIÁVEL]])</f>
        <v>0</v>
      </c>
      <c r="AB69" s="119" t="n">
        <f aca="false">SUMIFS(tabela_registros[VALOR],tabela_registros[MÊS],$AE$1,tabela_registros[DIA],martotal3059[[#Headers],[24]],tabela_registros[REGISTRO],DADOS!$N$4,tabela_registros[TIPO],DADOS!$P$4,tabela_registros[CATEGORIA],despesavariávelconsolidadomar[[#This Row],[DESPESA VARIÁVEL]])</f>
        <v>0</v>
      </c>
      <c r="AC69" s="119" t="n">
        <f aca="false">SUMIFS(tabela_registros[VALOR],tabela_registros[MÊS],$AE$1,tabela_registros[DIA],martotal3059[[#Headers],[25]],tabela_registros[REGISTRO],DADOS!$N$4,tabela_registros[TIPO],DADOS!$P$4,tabela_registros[CATEGORIA],despesavariávelconsolidadomar[[#This Row],[DESPESA VARIÁVEL]])</f>
        <v>0</v>
      </c>
      <c r="AD69" s="119" t="n">
        <f aca="false">SUMIFS(tabela_registros[VALOR],tabela_registros[MÊS],$AE$1,tabela_registros[DIA],martotal3059[[#Headers],[26]],tabela_registros[REGISTRO],DADOS!$N$4,tabela_registros[TIPO],DADOS!$P$4,tabela_registros[CATEGORIA],despesavariávelconsolidadomar[[#This Row],[DESPESA VARIÁVEL]])</f>
        <v>0</v>
      </c>
      <c r="AE69" s="119" t="n">
        <f aca="false">SUMIFS(tabela_registros[VALOR],tabela_registros[MÊS],$AE$1,tabela_registros[DIA],martotal3059[[#Headers],[27]],tabela_registros[REGISTRO],DADOS!$N$4,tabela_registros[TIPO],DADOS!$P$4,tabela_registros[CATEGORIA],despesavariávelconsolidadomar[[#This Row],[DESPESA VARIÁVEL]])</f>
        <v>0</v>
      </c>
      <c r="AF69" s="119" t="n">
        <f aca="false">SUMIFS(tabela_registros[VALOR],tabela_registros[MÊS],$AE$1,tabela_registros[DIA],martotal3059[[#Headers],[28]],tabela_registros[REGISTRO],DADOS!$N$4,tabela_registros[TIPO],DADOS!$P$4,tabela_registros[CATEGORIA],despesavariávelconsolidadomar[[#This Row],[DESPESA VARIÁVEL]])</f>
        <v>0</v>
      </c>
      <c r="AG69" s="119" t="n">
        <f aca="false">SUMIFS(tabela_registros[VALOR],tabela_registros[MÊS],$AE$1,tabela_registros[DIA],martotal3059[[#Headers],[29]],tabela_registros[REGISTRO],DADOS!$N$4,tabela_registros[TIPO],DADOS!$P$4,tabela_registros[CATEGORIA],despesavariávelconsolidadomar[[#This Row],[DESPESA VARIÁVEL]])</f>
        <v>0</v>
      </c>
      <c r="AH69" s="119" t="n">
        <f aca="false">SUMIFS(tabela_registros[VALOR],tabela_registros[MÊS],$AE$1,tabela_registros[DIA],martotal3059[[#Headers],[30]],tabela_registros[REGISTRO],DADOS!$N$4,tabela_registros[TIPO],DADOS!$P$4,tabela_registros[CATEGORIA],despesavariávelconsolidadomar[[#This Row],[DESPESA VARIÁVEL]])</f>
        <v>0</v>
      </c>
      <c r="AI69" s="217" t="n">
        <f aca="false">SUMIFS(tabela_registros[VALOR],tabela_registros[MÊS],$AE$1,tabela_registros[DIA],martotal3059[[#Headers],[31]],tabela_registros[REGISTRO],DADOS!$N$4,tabela_registros[TIPO],DADOS!$P$4,tabela_registros[CATEGORIA],despesavariávelconsolidadomar[[#This Row],[DESPESA VARIÁVEL]])</f>
        <v>0</v>
      </c>
      <c r="AJ69" s="149" t="n">
        <f aca="false">SUM(despesavariávelconsolidadomar[[#This Row],[1]:[31]])</f>
        <v>0</v>
      </c>
      <c r="AK69" s="143"/>
    </row>
    <row r="70" customFormat="false" ht="18" hidden="false" customHeight="true" outlineLevel="0" collapsed="false">
      <c r="B70" s="143"/>
      <c r="C70" s="144" t="str">
        <f aca="false">DADOS!$T$13</f>
        <v>🚍 TRANSPORTE</v>
      </c>
      <c r="D70" s="145" t="str">
        <f aca="false">IF(despesavariávelconsolidadomar[[#This Row],[TOTAL]]=0,"",IF(OR(despesavariávelconsolidadomar[[#This Row],[TOTAL]]=LARGE($AJ$60:$AJ$72,1),despesavariávelconsolidadomar[[#This Row],[TOTAL]]=LARGE($AJ$60:$AJ$72,2),despesavariávelconsolidadomar[[#This Row],[TOTAL]]=LARGE($AJ$60:$AJ$72,3),despesavariávelconsolidadomar[[#This Row],[TOTAL]]=LARGE($AJ$60:$AJ$72,4),despesavariávelconsolidadomar[[#This Row],[TOTAL]]=LARGE($AJ$60:$AJ$72,5)),DADOS!$I$8,""))</f>
        <v/>
      </c>
      <c r="E70" s="148" t="n">
        <f aca="false">SUMIFS(tabela_registros[VALOR],tabela_registros[MÊS],$AE$1,tabela_registros[DIA],martotal3059[[#Headers],[1]],tabela_registros[REGISTRO],DADOS!$N$4,tabela_registros[TIPO],DADOS!$P$4,tabela_registros[CATEGORIA],despesavariávelconsolidadomar[[#This Row],[DESPESA VARIÁVEL]])</f>
        <v>0</v>
      </c>
      <c r="F70" s="119" t="n">
        <f aca="false">SUMIFS(tabela_registros[VALOR],tabela_registros[MÊS],$AE$1,tabela_registros[DIA],martotal3059[[#Headers],[2]],tabela_registros[REGISTRO],DADOS!$N$4,tabela_registros[TIPO],DADOS!$P$4,tabela_registros[CATEGORIA],despesavariávelconsolidadomar[[#This Row],[DESPESA VARIÁVEL]])</f>
        <v>0</v>
      </c>
      <c r="G70" s="119" t="n">
        <f aca="false">SUMIFS(tabela_registros[VALOR],tabela_registros[MÊS],$AE$1,tabela_registros[DIA],martotal3059[[#Headers],[3]],tabela_registros[REGISTRO],DADOS!$N$4,tabela_registros[TIPO],DADOS!$P$4,tabela_registros[CATEGORIA],despesavariávelconsolidadomar[[#This Row],[DESPESA VARIÁVEL]])</f>
        <v>0</v>
      </c>
      <c r="H70" s="119" t="n">
        <f aca="false">SUMIFS(tabela_registros[VALOR],tabela_registros[MÊS],$AE$1,tabela_registros[DIA],martotal3059[[#Headers],[4]],tabela_registros[REGISTRO],DADOS!$N$4,tabela_registros[TIPO],DADOS!$P$4,tabela_registros[CATEGORIA],despesavariávelconsolidadomar[[#This Row],[DESPESA VARIÁVEL]])</f>
        <v>0</v>
      </c>
      <c r="I70" s="119" t="n">
        <f aca="false">SUMIFS(tabela_registros[VALOR],tabela_registros[MÊS],$AE$1,tabela_registros[DIA],martotal3059[[#Headers],[5]],tabela_registros[REGISTRO],DADOS!$N$4,tabela_registros[TIPO],DADOS!$P$4,tabela_registros[CATEGORIA],despesavariávelconsolidadomar[[#This Row],[DESPESA VARIÁVEL]])</f>
        <v>0</v>
      </c>
      <c r="J70" s="119" t="n">
        <f aca="false">SUMIFS(tabela_registros[VALOR],tabela_registros[MÊS],$AE$1,tabela_registros[DIA],martotal3059[[#Headers],[6]],tabela_registros[REGISTRO],DADOS!$N$4,tabela_registros[TIPO],DADOS!$P$4,tabela_registros[CATEGORIA],despesavariávelconsolidadomar[[#This Row],[DESPESA VARIÁVEL]])</f>
        <v>0</v>
      </c>
      <c r="K70" s="119" t="n">
        <f aca="false">SUMIFS(tabela_registros[VALOR],tabela_registros[MÊS],$AE$1,tabela_registros[DIA],martotal3059[[#Headers],[7]],tabela_registros[REGISTRO],DADOS!$N$4,tabela_registros[TIPO],DADOS!$P$4,tabela_registros[CATEGORIA],despesavariávelconsolidadomar[[#This Row],[DESPESA VARIÁVEL]])</f>
        <v>0</v>
      </c>
      <c r="L70" s="119" t="n">
        <f aca="false">SUMIFS(tabela_registros[VALOR],tabela_registros[MÊS],$AE$1,tabela_registros[DIA],martotal3059[[#Headers],[8]],tabela_registros[REGISTRO],DADOS!$N$4,tabela_registros[TIPO],DADOS!$P$4,tabela_registros[CATEGORIA],despesavariávelconsolidadomar[[#This Row],[DESPESA VARIÁVEL]])</f>
        <v>0</v>
      </c>
      <c r="M70" s="119" t="n">
        <f aca="false">SUMIFS(tabela_registros[VALOR],tabela_registros[MÊS],$AE$1,tabela_registros[DIA],martotal3059[[#Headers],[9]],tabela_registros[REGISTRO],DADOS!$N$4,tabela_registros[TIPO],DADOS!$P$4,tabela_registros[CATEGORIA],despesavariávelconsolidadomar[[#This Row],[DESPESA VARIÁVEL]])</f>
        <v>0</v>
      </c>
      <c r="N70" s="119" t="n">
        <f aca="false">SUMIFS(tabela_registros[VALOR],tabela_registros[MÊS],$AE$1,tabela_registros[DIA],martotal3059[[#Headers],[10]],tabela_registros[REGISTRO],DADOS!$N$4,tabela_registros[TIPO],DADOS!$P$4,tabela_registros[CATEGORIA],despesavariávelconsolidadomar[[#This Row],[DESPESA VARIÁVEL]])</f>
        <v>0</v>
      </c>
      <c r="O70" s="119" t="n">
        <f aca="false">SUMIFS(tabela_registros[VALOR],tabela_registros[MÊS],$AE$1,tabela_registros[DIA],martotal3059[[#Headers],[11]],tabela_registros[REGISTRO],DADOS!$N$4,tabela_registros[TIPO],DADOS!$P$4,tabela_registros[CATEGORIA],despesavariávelconsolidadomar[[#This Row],[DESPESA VARIÁVEL]])</f>
        <v>0</v>
      </c>
      <c r="P70" s="119" t="n">
        <f aca="false">SUMIFS(tabela_registros[VALOR],tabela_registros[MÊS],$AE$1,tabela_registros[DIA],martotal3059[[#Headers],[12]],tabela_registros[REGISTRO],DADOS!$N$4,tabela_registros[TIPO],DADOS!$P$4,tabela_registros[CATEGORIA],despesavariávelconsolidadomar[[#This Row],[DESPESA VARIÁVEL]])</f>
        <v>0</v>
      </c>
      <c r="Q70" s="119" t="n">
        <f aca="false">SUMIFS(tabela_registros[VALOR],tabela_registros[MÊS],$AE$1,tabela_registros[DIA],martotal3059[[#Headers],[13]],tabela_registros[REGISTRO],DADOS!$N$4,tabela_registros[TIPO],DADOS!$P$4,tabela_registros[CATEGORIA],despesavariávelconsolidadomar[[#This Row],[DESPESA VARIÁVEL]])</f>
        <v>0</v>
      </c>
      <c r="R70" s="119" t="n">
        <f aca="false">SUMIFS(tabela_registros[VALOR],tabela_registros[MÊS],$AE$1,tabela_registros[DIA],martotal3059[[#Headers],[14]],tabela_registros[REGISTRO],DADOS!$N$4,tabela_registros[TIPO],DADOS!$P$4,tabela_registros[CATEGORIA],despesavariávelconsolidadomar[[#This Row],[DESPESA VARIÁVEL]])</f>
        <v>0</v>
      </c>
      <c r="S70" s="119" t="n">
        <f aca="false">SUMIFS(tabela_registros[VALOR],tabela_registros[MÊS],$AE$1,tabela_registros[DIA],martotal3059[[#Headers],[15]],tabela_registros[REGISTRO],DADOS!$N$4,tabela_registros[TIPO],DADOS!$P$4,tabela_registros[CATEGORIA],despesavariávelconsolidadomar[[#This Row],[DESPESA VARIÁVEL]])</f>
        <v>0</v>
      </c>
      <c r="T70" s="119" t="n">
        <f aca="false">SUMIFS(tabela_registros[VALOR],tabela_registros[MÊS],$AE$1,tabela_registros[DIA],martotal3059[[#Headers],[16]],tabela_registros[REGISTRO],DADOS!$N$4,tabela_registros[TIPO],DADOS!$P$4,tabela_registros[CATEGORIA],despesavariávelconsolidadomar[[#This Row],[DESPESA VARIÁVEL]])</f>
        <v>0</v>
      </c>
      <c r="U70" s="119" t="n">
        <f aca="false">SUMIFS(tabela_registros[VALOR],tabela_registros[MÊS],$AE$1,tabela_registros[DIA],martotal3059[[#Headers],[17]],tabela_registros[REGISTRO],DADOS!$N$4,tabela_registros[TIPO],DADOS!$P$4,tabela_registros[CATEGORIA],despesavariávelconsolidadomar[[#This Row],[DESPESA VARIÁVEL]])</f>
        <v>0</v>
      </c>
      <c r="V70" s="119" t="n">
        <f aca="false">SUMIFS(tabela_registros[VALOR],tabela_registros[MÊS],$AE$1,tabela_registros[DIA],martotal3059[[#Headers],[18]],tabela_registros[REGISTRO],DADOS!$N$4,tabela_registros[TIPO],DADOS!$P$4,tabela_registros[CATEGORIA],despesavariávelconsolidadomar[[#This Row],[DESPESA VARIÁVEL]])</f>
        <v>0</v>
      </c>
      <c r="W70" s="119" t="n">
        <f aca="false">SUMIFS(tabela_registros[VALOR],tabela_registros[MÊS],$AE$1,tabela_registros[DIA],martotal3059[[#Headers],[19]],tabela_registros[REGISTRO],DADOS!$N$4,tabela_registros[TIPO],DADOS!$P$4,tabela_registros[CATEGORIA],despesavariávelconsolidadomar[[#This Row],[DESPESA VARIÁVEL]])</f>
        <v>0</v>
      </c>
      <c r="X70" s="119" t="n">
        <f aca="false">SUMIFS(tabela_registros[VALOR],tabela_registros[MÊS],$AE$1,tabela_registros[DIA],martotal3059[[#Headers],[20]],tabela_registros[REGISTRO],DADOS!$N$4,tabela_registros[TIPO],DADOS!$P$4,tabela_registros[CATEGORIA],despesavariávelconsolidadomar[[#This Row],[DESPESA VARIÁVEL]])</f>
        <v>0</v>
      </c>
      <c r="Y70" s="119" t="n">
        <f aca="false">SUMIFS(tabela_registros[VALOR],tabela_registros[MÊS],$AE$1,tabela_registros[DIA],martotal3059[[#Headers],[21]],tabela_registros[REGISTRO],DADOS!$N$4,tabela_registros[TIPO],DADOS!$P$4,tabela_registros[CATEGORIA],despesavariávelconsolidadomar[[#This Row],[DESPESA VARIÁVEL]])</f>
        <v>0</v>
      </c>
      <c r="Z70" s="119" t="n">
        <f aca="false">SUMIFS(tabela_registros[VALOR],tabela_registros[MÊS],$AE$1,tabela_registros[DIA],martotal3059[[#Headers],[22]],tabela_registros[REGISTRO],DADOS!$N$4,tabela_registros[TIPO],DADOS!$P$4,tabela_registros[CATEGORIA],despesavariávelconsolidadomar[[#This Row],[DESPESA VARIÁVEL]])</f>
        <v>0</v>
      </c>
      <c r="AA70" s="119" t="n">
        <f aca="false">SUMIFS(tabela_registros[VALOR],tabela_registros[MÊS],$AE$1,tabela_registros[DIA],martotal3059[[#Headers],[23]],tabela_registros[REGISTRO],DADOS!$N$4,tabela_registros[TIPO],DADOS!$P$4,tabela_registros[CATEGORIA],despesavariávelconsolidadomar[[#This Row],[DESPESA VARIÁVEL]])</f>
        <v>0</v>
      </c>
      <c r="AB70" s="119" t="n">
        <f aca="false">SUMIFS(tabela_registros[VALOR],tabela_registros[MÊS],$AE$1,tabela_registros[DIA],martotal3059[[#Headers],[24]],tabela_registros[REGISTRO],DADOS!$N$4,tabela_registros[TIPO],DADOS!$P$4,tabela_registros[CATEGORIA],despesavariávelconsolidadomar[[#This Row],[DESPESA VARIÁVEL]])</f>
        <v>0</v>
      </c>
      <c r="AC70" s="119" t="n">
        <f aca="false">SUMIFS(tabela_registros[VALOR],tabela_registros[MÊS],$AE$1,tabela_registros[DIA],martotal3059[[#Headers],[25]],tabela_registros[REGISTRO],DADOS!$N$4,tabela_registros[TIPO],DADOS!$P$4,tabela_registros[CATEGORIA],despesavariávelconsolidadomar[[#This Row],[DESPESA VARIÁVEL]])</f>
        <v>0</v>
      </c>
      <c r="AD70" s="119" t="n">
        <f aca="false">SUMIFS(tabela_registros[VALOR],tabela_registros[MÊS],$AE$1,tabela_registros[DIA],martotal3059[[#Headers],[26]],tabela_registros[REGISTRO],DADOS!$N$4,tabela_registros[TIPO],DADOS!$P$4,tabela_registros[CATEGORIA],despesavariávelconsolidadomar[[#This Row],[DESPESA VARIÁVEL]])</f>
        <v>0</v>
      </c>
      <c r="AE70" s="119" t="n">
        <f aca="false">SUMIFS(tabela_registros[VALOR],tabela_registros[MÊS],$AE$1,tabela_registros[DIA],martotal3059[[#Headers],[27]],tabela_registros[REGISTRO],DADOS!$N$4,tabela_registros[TIPO],DADOS!$P$4,tabela_registros[CATEGORIA],despesavariávelconsolidadomar[[#This Row],[DESPESA VARIÁVEL]])</f>
        <v>0</v>
      </c>
      <c r="AF70" s="119" t="n">
        <f aca="false">SUMIFS(tabela_registros[VALOR],tabela_registros[MÊS],$AE$1,tabela_registros[DIA],martotal3059[[#Headers],[28]],tabela_registros[REGISTRO],DADOS!$N$4,tabela_registros[TIPO],DADOS!$P$4,tabela_registros[CATEGORIA],despesavariávelconsolidadomar[[#This Row],[DESPESA VARIÁVEL]])</f>
        <v>0</v>
      </c>
      <c r="AG70" s="119" t="n">
        <f aca="false">SUMIFS(tabela_registros[VALOR],tabela_registros[MÊS],$AE$1,tabela_registros[DIA],martotal3059[[#Headers],[29]],tabela_registros[REGISTRO],DADOS!$N$4,tabela_registros[TIPO],DADOS!$P$4,tabela_registros[CATEGORIA],despesavariávelconsolidadomar[[#This Row],[DESPESA VARIÁVEL]])</f>
        <v>0</v>
      </c>
      <c r="AH70" s="119" t="n">
        <f aca="false">SUMIFS(tabela_registros[VALOR],tabela_registros[MÊS],$AE$1,tabela_registros[DIA],martotal3059[[#Headers],[30]],tabela_registros[REGISTRO],DADOS!$N$4,tabela_registros[TIPO],DADOS!$P$4,tabela_registros[CATEGORIA],despesavariávelconsolidadomar[[#This Row],[DESPESA VARIÁVEL]])</f>
        <v>0</v>
      </c>
      <c r="AI70" s="217" t="n">
        <f aca="false">SUMIFS(tabela_registros[VALOR],tabela_registros[MÊS],$AE$1,tabela_registros[DIA],martotal3059[[#Headers],[31]],tabela_registros[REGISTRO],DADOS!$N$4,tabela_registros[TIPO],DADOS!$P$4,tabela_registros[CATEGORIA],despesavariávelconsolidadomar[[#This Row],[DESPESA VARIÁVEL]])</f>
        <v>0</v>
      </c>
      <c r="AJ70" s="149" t="n">
        <f aca="false">SUM(despesavariávelconsolidadomar[[#This Row],[1]:[31]])</f>
        <v>0</v>
      </c>
      <c r="AK70" s="143"/>
    </row>
    <row r="71" customFormat="false" ht="18" hidden="false" customHeight="true" outlineLevel="0" collapsed="false">
      <c r="B71" s="143"/>
      <c r="C71" s="144" t="str">
        <f aca="false">DADOS!$T$14</f>
        <v>🛍️ VESTUÁRIO</v>
      </c>
      <c r="D71" s="145" t="str">
        <f aca="false">IF(despesavariávelconsolidadomar[[#This Row],[TOTAL]]=0,"",IF(OR(despesavariávelconsolidadomar[[#This Row],[TOTAL]]=LARGE($AJ$60:$AJ$72,1),despesavariávelconsolidadomar[[#This Row],[TOTAL]]=LARGE($AJ$60:$AJ$72,2),despesavariávelconsolidadomar[[#This Row],[TOTAL]]=LARGE($AJ$60:$AJ$72,3),despesavariávelconsolidadomar[[#This Row],[TOTAL]]=LARGE($AJ$60:$AJ$72,4),despesavariávelconsolidadomar[[#This Row],[TOTAL]]=LARGE($AJ$60:$AJ$72,5)),DADOS!$I$8,""))</f>
        <v/>
      </c>
      <c r="E71" s="148" t="n">
        <f aca="false">SUMIFS(tabela_registros[VALOR],tabela_registros[MÊS],$AE$1,tabela_registros[DIA],martotal3059[[#Headers],[1]],tabela_registros[REGISTRO],DADOS!$N$4,tabela_registros[TIPO],DADOS!$P$4,tabela_registros[CATEGORIA],despesavariávelconsolidadomar[[#This Row],[DESPESA VARIÁVEL]])</f>
        <v>0</v>
      </c>
      <c r="F71" s="119" t="n">
        <f aca="false">SUMIFS(tabela_registros[VALOR],tabela_registros[MÊS],$AE$1,tabela_registros[DIA],martotal3059[[#Headers],[2]],tabela_registros[REGISTRO],DADOS!$N$4,tabela_registros[TIPO],DADOS!$P$4,tabela_registros[CATEGORIA],despesavariávelconsolidadomar[[#This Row],[DESPESA VARIÁVEL]])</f>
        <v>0</v>
      </c>
      <c r="G71" s="119" t="n">
        <f aca="false">SUMIFS(tabela_registros[VALOR],tabela_registros[MÊS],$AE$1,tabela_registros[DIA],martotal3059[[#Headers],[3]],tabela_registros[REGISTRO],DADOS!$N$4,tabela_registros[TIPO],DADOS!$P$4,tabela_registros[CATEGORIA],despesavariávelconsolidadomar[[#This Row],[DESPESA VARIÁVEL]])</f>
        <v>0</v>
      </c>
      <c r="H71" s="119" t="n">
        <f aca="false">SUMIFS(tabela_registros[VALOR],tabela_registros[MÊS],$AE$1,tabela_registros[DIA],martotal3059[[#Headers],[4]],tabela_registros[REGISTRO],DADOS!$N$4,tabela_registros[TIPO],DADOS!$P$4,tabela_registros[CATEGORIA],despesavariávelconsolidadomar[[#This Row],[DESPESA VARIÁVEL]])</f>
        <v>0</v>
      </c>
      <c r="I71" s="119" t="n">
        <f aca="false">SUMIFS(tabela_registros[VALOR],tabela_registros[MÊS],$AE$1,tabela_registros[DIA],martotal3059[[#Headers],[5]],tabela_registros[REGISTRO],DADOS!$N$4,tabela_registros[TIPO],DADOS!$P$4,tabela_registros[CATEGORIA],despesavariávelconsolidadomar[[#This Row],[DESPESA VARIÁVEL]])</f>
        <v>0</v>
      </c>
      <c r="J71" s="119" t="n">
        <f aca="false">SUMIFS(tabela_registros[VALOR],tabela_registros[MÊS],$AE$1,tabela_registros[DIA],martotal3059[[#Headers],[6]],tabela_registros[REGISTRO],DADOS!$N$4,tabela_registros[TIPO],DADOS!$P$4,tabela_registros[CATEGORIA],despesavariávelconsolidadomar[[#This Row],[DESPESA VARIÁVEL]])</f>
        <v>0</v>
      </c>
      <c r="K71" s="119" t="n">
        <f aca="false">SUMIFS(tabela_registros[VALOR],tabela_registros[MÊS],$AE$1,tabela_registros[DIA],martotal3059[[#Headers],[7]],tabela_registros[REGISTRO],DADOS!$N$4,tabela_registros[TIPO],DADOS!$P$4,tabela_registros[CATEGORIA],despesavariávelconsolidadomar[[#This Row],[DESPESA VARIÁVEL]])</f>
        <v>0</v>
      </c>
      <c r="L71" s="119" t="n">
        <f aca="false">SUMIFS(tabela_registros[VALOR],tabela_registros[MÊS],$AE$1,tabela_registros[DIA],martotal3059[[#Headers],[8]],tabela_registros[REGISTRO],DADOS!$N$4,tabela_registros[TIPO],DADOS!$P$4,tabela_registros[CATEGORIA],despesavariávelconsolidadomar[[#This Row],[DESPESA VARIÁVEL]])</f>
        <v>0</v>
      </c>
      <c r="M71" s="119" t="n">
        <f aca="false">SUMIFS(tabela_registros[VALOR],tabela_registros[MÊS],$AE$1,tabela_registros[DIA],martotal3059[[#Headers],[9]],tabela_registros[REGISTRO],DADOS!$N$4,tabela_registros[TIPO],DADOS!$P$4,tabela_registros[CATEGORIA],despesavariávelconsolidadomar[[#This Row],[DESPESA VARIÁVEL]])</f>
        <v>0</v>
      </c>
      <c r="N71" s="119" t="n">
        <f aca="false">SUMIFS(tabela_registros[VALOR],tabela_registros[MÊS],$AE$1,tabela_registros[DIA],martotal3059[[#Headers],[10]],tabela_registros[REGISTRO],DADOS!$N$4,tabela_registros[TIPO],DADOS!$P$4,tabela_registros[CATEGORIA],despesavariávelconsolidadomar[[#This Row],[DESPESA VARIÁVEL]])</f>
        <v>0</v>
      </c>
      <c r="O71" s="119" t="n">
        <f aca="false">SUMIFS(tabela_registros[VALOR],tabela_registros[MÊS],$AE$1,tabela_registros[DIA],martotal3059[[#Headers],[11]],tabela_registros[REGISTRO],DADOS!$N$4,tabela_registros[TIPO],DADOS!$P$4,tabela_registros[CATEGORIA],despesavariávelconsolidadomar[[#This Row],[DESPESA VARIÁVEL]])</f>
        <v>0</v>
      </c>
      <c r="P71" s="119" t="n">
        <f aca="false">SUMIFS(tabela_registros[VALOR],tabela_registros[MÊS],$AE$1,tabela_registros[DIA],martotal3059[[#Headers],[12]],tabela_registros[REGISTRO],DADOS!$N$4,tabela_registros[TIPO],DADOS!$P$4,tabela_registros[CATEGORIA],despesavariávelconsolidadomar[[#This Row],[DESPESA VARIÁVEL]])</f>
        <v>0</v>
      </c>
      <c r="Q71" s="119" t="n">
        <f aca="false">SUMIFS(tabela_registros[VALOR],tabela_registros[MÊS],$AE$1,tabela_registros[DIA],martotal3059[[#Headers],[13]],tabela_registros[REGISTRO],DADOS!$N$4,tabela_registros[TIPO],DADOS!$P$4,tabela_registros[CATEGORIA],despesavariávelconsolidadomar[[#This Row],[DESPESA VARIÁVEL]])</f>
        <v>0</v>
      </c>
      <c r="R71" s="119" t="n">
        <f aca="false">SUMIFS(tabela_registros[VALOR],tabela_registros[MÊS],$AE$1,tabela_registros[DIA],martotal3059[[#Headers],[14]],tabela_registros[REGISTRO],DADOS!$N$4,tabela_registros[TIPO],DADOS!$P$4,tabela_registros[CATEGORIA],despesavariávelconsolidadomar[[#This Row],[DESPESA VARIÁVEL]])</f>
        <v>0</v>
      </c>
      <c r="S71" s="119" t="n">
        <f aca="false">SUMIFS(tabela_registros[VALOR],tabela_registros[MÊS],$AE$1,tabela_registros[DIA],martotal3059[[#Headers],[15]],tabela_registros[REGISTRO],DADOS!$N$4,tabela_registros[TIPO],DADOS!$P$4,tabela_registros[CATEGORIA],despesavariávelconsolidadomar[[#This Row],[DESPESA VARIÁVEL]])</f>
        <v>0</v>
      </c>
      <c r="T71" s="119" t="n">
        <f aca="false">SUMIFS(tabela_registros[VALOR],tabela_registros[MÊS],$AE$1,tabela_registros[DIA],martotal3059[[#Headers],[16]],tabela_registros[REGISTRO],DADOS!$N$4,tabela_registros[TIPO],DADOS!$P$4,tabela_registros[CATEGORIA],despesavariávelconsolidadomar[[#This Row],[DESPESA VARIÁVEL]])</f>
        <v>0</v>
      </c>
      <c r="U71" s="119" t="n">
        <f aca="false">SUMIFS(tabela_registros[VALOR],tabela_registros[MÊS],$AE$1,tabela_registros[DIA],martotal3059[[#Headers],[17]],tabela_registros[REGISTRO],DADOS!$N$4,tabela_registros[TIPO],DADOS!$P$4,tabela_registros[CATEGORIA],despesavariávelconsolidadomar[[#This Row],[DESPESA VARIÁVEL]])</f>
        <v>0</v>
      </c>
      <c r="V71" s="119" t="n">
        <f aca="false">SUMIFS(tabela_registros[VALOR],tabela_registros[MÊS],$AE$1,tabela_registros[DIA],martotal3059[[#Headers],[18]],tabela_registros[REGISTRO],DADOS!$N$4,tabela_registros[TIPO],DADOS!$P$4,tabela_registros[CATEGORIA],despesavariávelconsolidadomar[[#This Row],[DESPESA VARIÁVEL]])</f>
        <v>0</v>
      </c>
      <c r="W71" s="119" t="n">
        <f aca="false">SUMIFS(tabela_registros[VALOR],tabela_registros[MÊS],$AE$1,tabela_registros[DIA],martotal3059[[#Headers],[19]],tabela_registros[REGISTRO],DADOS!$N$4,tabela_registros[TIPO],DADOS!$P$4,tabela_registros[CATEGORIA],despesavariávelconsolidadomar[[#This Row],[DESPESA VARIÁVEL]])</f>
        <v>0</v>
      </c>
      <c r="X71" s="119" t="n">
        <f aca="false">SUMIFS(tabela_registros[VALOR],tabela_registros[MÊS],$AE$1,tabela_registros[DIA],martotal3059[[#Headers],[20]],tabela_registros[REGISTRO],DADOS!$N$4,tabela_registros[TIPO],DADOS!$P$4,tabela_registros[CATEGORIA],despesavariávelconsolidadomar[[#This Row],[DESPESA VARIÁVEL]])</f>
        <v>0</v>
      </c>
      <c r="Y71" s="119" t="n">
        <f aca="false">SUMIFS(tabela_registros[VALOR],tabela_registros[MÊS],$AE$1,tabela_registros[DIA],martotal3059[[#Headers],[21]],tabela_registros[REGISTRO],DADOS!$N$4,tabela_registros[TIPO],DADOS!$P$4,tabela_registros[CATEGORIA],despesavariávelconsolidadomar[[#This Row],[DESPESA VARIÁVEL]])</f>
        <v>0</v>
      </c>
      <c r="Z71" s="119" t="n">
        <f aca="false">SUMIFS(tabela_registros[VALOR],tabela_registros[MÊS],$AE$1,tabela_registros[DIA],martotal3059[[#Headers],[22]],tabela_registros[REGISTRO],DADOS!$N$4,tabela_registros[TIPO],DADOS!$P$4,tabela_registros[CATEGORIA],despesavariávelconsolidadomar[[#This Row],[DESPESA VARIÁVEL]])</f>
        <v>0</v>
      </c>
      <c r="AA71" s="119" t="n">
        <f aca="false">SUMIFS(tabela_registros[VALOR],tabela_registros[MÊS],$AE$1,tabela_registros[DIA],martotal3059[[#Headers],[23]],tabela_registros[REGISTRO],DADOS!$N$4,tabela_registros[TIPO],DADOS!$P$4,tabela_registros[CATEGORIA],despesavariávelconsolidadomar[[#This Row],[DESPESA VARIÁVEL]])</f>
        <v>0</v>
      </c>
      <c r="AB71" s="119" t="n">
        <f aca="false">SUMIFS(tabela_registros[VALOR],tabela_registros[MÊS],$AE$1,tabela_registros[DIA],martotal3059[[#Headers],[24]],tabela_registros[REGISTRO],DADOS!$N$4,tabela_registros[TIPO],DADOS!$P$4,tabela_registros[CATEGORIA],despesavariávelconsolidadomar[[#This Row],[DESPESA VARIÁVEL]])</f>
        <v>0</v>
      </c>
      <c r="AC71" s="119" t="n">
        <f aca="false">SUMIFS(tabela_registros[VALOR],tabela_registros[MÊS],$AE$1,tabela_registros[DIA],martotal3059[[#Headers],[25]],tabela_registros[REGISTRO],DADOS!$N$4,tabela_registros[TIPO],DADOS!$P$4,tabela_registros[CATEGORIA],despesavariávelconsolidadomar[[#This Row],[DESPESA VARIÁVEL]])</f>
        <v>0</v>
      </c>
      <c r="AD71" s="119" t="n">
        <f aca="false">SUMIFS(tabela_registros[VALOR],tabela_registros[MÊS],$AE$1,tabela_registros[DIA],martotal3059[[#Headers],[26]],tabela_registros[REGISTRO],DADOS!$N$4,tabela_registros[TIPO],DADOS!$P$4,tabela_registros[CATEGORIA],despesavariávelconsolidadomar[[#This Row],[DESPESA VARIÁVEL]])</f>
        <v>0</v>
      </c>
      <c r="AE71" s="119" t="n">
        <f aca="false">SUMIFS(tabela_registros[VALOR],tabela_registros[MÊS],$AE$1,tabela_registros[DIA],martotal3059[[#Headers],[27]],tabela_registros[REGISTRO],DADOS!$N$4,tabela_registros[TIPO],DADOS!$P$4,tabela_registros[CATEGORIA],despesavariávelconsolidadomar[[#This Row],[DESPESA VARIÁVEL]])</f>
        <v>0</v>
      </c>
      <c r="AF71" s="119" t="n">
        <f aca="false">SUMIFS(tabela_registros[VALOR],tabela_registros[MÊS],$AE$1,tabela_registros[DIA],martotal3059[[#Headers],[28]],tabela_registros[REGISTRO],DADOS!$N$4,tabela_registros[TIPO],DADOS!$P$4,tabela_registros[CATEGORIA],despesavariávelconsolidadomar[[#This Row],[DESPESA VARIÁVEL]])</f>
        <v>0</v>
      </c>
      <c r="AG71" s="119" t="n">
        <f aca="false">SUMIFS(tabela_registros[VALOR],tabela_registros[MÊS],$AE$1,tabela_registros[DIA],martotal3059[[#Headers],[29]],tabela_registros[REGISTRO],DADOS!$N$4,tabela_registros[TIPO],DADOS!$P$4,tabela_registros[CATEGORIA],despesavariávelconsolidadomar[[#This Row],[DESPESA VARIÁVEL]])</f>
        <v>0</v>
      </c>
      <c r="AH71" s="119" t="n">
        <f aca="false">SUMIFS(tabela_registros[VALOR],tabela_registros[MÊS],$AE$1,tabela_registros[DIA],martotal3059[[#Headers],[30]],tabela_registros[REGISTRO],DADOS!$N$4,tabela_registros[TIPO],DADOS!$P$4,tabela_registros[CATEGORIA],despesavariávelconsolidadomar[[#This Row],[DESPESA VARIÁVEL]])</f>
        <v>0</v>
      </c>
      <c r="AI71" s="217" t="n">
        <f aca="false">SUMIFS(tabela_registros[VALOR],tabela_registros[MÊS],$AE$1,tabela_registros[DIA],martotal3059[[#Headers],[31]],tabela_registros[REGISTRO],DADOS!$N$4,tabela_registros[TIPO],DADOS!$P$4,tabela_registros[CATEGORIA],despesavariávelconsolidadomar[[#This Row],[DESPESA VARIÁVEL]])</f>
        <v>0</v>
      </c>
      <c r="AJ71" s="149" t="n">
        <f aca="false">SUM(despesavariávelconsolidadomar[[#This Row],[1]:[31]])</f>
        <v>0</v>
      </c>
      <c r="AK71" s="143"/>
    </row>
    <row r="72" customFormat="false" ht="18" hidden="false" customHeight="true" outlineLevel="0" collapsed="false">
      <c r="B72" s="143"/>
      <c r="C72" s="144" t="str">
        <f aca="false">DADOS!$T$15</f>
        <v>📎 OUTROS</v>
      </c>
      <c r="D72" s="145" t="str">
        <f aca="false">IF(despesavariávelconsolidadomar[[#This Row],[TOTAL]]=0,"",IF(OR(despesavariávelconsolidadomar[[#This Row],[TOTAL]]=LARGE($AJ$60:$AJ$72,1),despesavariávelconsolidadomar[[#This Row],[TOTAL]]=LARGE($AJ$60:$AJ$72,2),despesavariávelconsolidadomar[[#This Row],[TOTAL]]=LARGE($AJ$60:$AJ$72,3),despesavariávelconsolidadomar[[#This Row],[TOTAL]]=LARGE($AJ$60:$AJ$72,4),despesavariávelconsolidadomar[[#This Row],[TOTAL]]=LARGE($AJ$60:$AJ$72,5)),DADOS!$I$8,""))</f>
        <v/>
      </c>
      <c r="E72" s="148" t="n">
        <f aca="false">SUMIFS(tabela_registros[VALOR],tabela_registros[MÊS],$AE$1,tabela_registros[DIA],martotal3059[[#Headers],[1]],tabela_registros[REGISTRO],DADOS!$N$4,tabela_registros[TIPO],DADOS!$P$4,tabela_registros[CATEGORIA],despesavariávelconsolidadomar[[#This Row],[DESPESA VARIÁVEL]])</f>
        <v>0</v>
      </c>
      <c r="F72" s="119" t="n">
        <f aca="false">SUMIFS(tabela_registros[VALOR],tabela_registros[MÊS],$AE$1,tabela_registros[DIA],martotal3059[[#Headers],[2]],tabela_registros[REGISTRO],DADOS!$N$4,tabela_registros[TIPO],DADOS!$P$4,tabela_registros[CATEGORIA],despesavariávelconsolidadomar[[#This Row],[DESPESA VARIÁVEL]])</f>
        <v>0</v>
      </c>
      <c r="G72" s="119" t="n">
        <f aca="false">SUMIFS(tabela_registros[VALOR],tabela_registros[MÊS],$AE$1,tabela_registros[DIA],martotal3059[[#Headers],[3]],tabela_registros[REGISTRO],DADOS!$N$4,tabela_registros[TIPO],DADOS!$P$4,tabela_registros[CATEGORIA],despesavariávelconsolidadomar[[#This Row],[DESPESA VARIÁVEL]])</f>
        <v>0</v>
      </c>
      <c r="H72" s="119" t="n">
        <f aca="false">SUMIFS(tabela_registros[VALOR],tabela_registros[MÊS],$AE$1,tabela_registros[DIA],martotal3059[[#Headers],[4]],tabela_registros[REGISTRO],DADOS!$N$4,tabela_registros[TIPO],DADOS!$P$4,tabela_registros[CATEGORIA],despesavariávelconsolidadomar[[#This Row],[DESPESA VARIÁVEL]])</f>
        <v>0</v>
      </c>
      <c r="I72" s="119" t="n">
        <f aca="false">SUMIFS(tabela_registros[VALOR],tabela_registros[MÊS],$AE$1,tabela_registros[DIA],martotal3059[[#Headers],[5]],tabela_registros[REGISTRO],DADOS!$N$4,tabela_registros[TIPO],DADOS!$P$4,tabela_registros[CATEGORIA],despesavariávelconsolidadomar[[#This Row],[DESPESA VARIÁVEL]])</f>
        <v>0</v>
      </c>
      <c r="J72" s="119" t="n">
        <f aca="false">SUMIFS(tabela_registros[VALOR],tabela_registros[MÊS],$AE$1,tabela_registros[DIA],martotal3059[[#Headers],[6]],tabela_registros[REGISTRO],DADOS!$N$4,tabela_registros[TIPO],DADOS!$P$4,tabela_registros[CATEGORIA],despesavariávelconsolidadomar[[#This Row],[DESPESA VARIÁVEL]])</f>
        <v>0</v>
      </c>
      <c r="K72" s="119" t="n">
        <f aca="false">SUMIFS(tabela_registros[VALOR],tabela_registros[MÊS],$AE$1,tabela_registros[DIA],martotal3059[[#Headers],[7]],tabela_registros[REGISTRO],DADOS!$N$4,tabela_registros[TIPO],DADOS!$P$4,tabela_registros[CATEGORIA],despesavariávelconsolidadomar[[#This Row],[DESPESA VARIÁVEL]])</f>
        <v>0</v>
      </c>
      <c r="L72" s="119" t="n">
        <f aca="false">SUMIFS(tabela_registros[VALOR],tabela_registros[MÊS],$AE$1,tabela_registros[DIA],martotal3059[[#Headers],[8]],tabela_registros[REGISTRO],DADOS!$N$4,tabela_registros[TIPO],DADOS!$P$4,tabela_registros[CATEGORIA],despesavariávelconsolidadomar[[#This Row],[DESPESA VARIÁVEL]])</f>
        <v>0</v>
      </c>
      <c r="M72" s="119" t="n">
        <f aca="false">SUMIFS(tabela_registros[VALOR],tabela_registros[MÊS],$AE$1,tabela_registros[DIA],martotal3059[[#Headers],[9]],tabela_registros[REGISTRO],DADOS!$N$4,tabela_registros[TIPO],DADOS!$P$4,tabela_registros[CATEGORIA],despesavariávelconsolidadomar[[#This Row],[DESPESA VARIÁVEL]])</f>
        <v>0</v>
      </c>
      <c r="N72" s="119" t="n">
        <f aca="false">SUMIFS(tabela_registros[VALOR],tabela_registros[MÊS],$AE$1,tabela_registros[DIA],martotal3059[[#Headers],[10]],tabela_registros[REGISTRO],DADOS!$N$4,tabela_registros[TIPO],DADOS!$P$4,tabela_registros[CATEGORIA],despesavariávelconsolidadomar[[#This Row],[DESPESA VARIÁVEL]])</f>
        <v>0</v>
      </c>
      <c r="O72" s="119" t="n">
        <f aca="false">SUMIFS(tabela_registros[VALOR],tabela_registros[MÊS],$AE$1,tabela_registros[DIA],martotal3059[[#Headers],[11]],tabela_registros[REGISTRO],DADOS!$N$4,tabela_registros[TIPO],DADOS!$P$4,tabela_registros[CATEGORIA],despesavariávelconsolidadomar[[#This Row],[DESPESA VARIÁVEL]])</f>
        <v>0</v>
      </c>
      <c r="P72" s="119" t="n">
        <f aca="false">SUMIFS(tabela_registros[VALOR],tabela_registros[MÊS],$AE$1,tabela_registros[DIA],martotal3059[[#Headers],[12]],tabela_registros[REGISTRO],DADOS!$N$4,tabela_registros[TIPO],DADOS!$P$4,tabela_registros[CATEGORIA],despesavariávelconsolidadomar[[#This Row],[DESPESA VARIÁVEL]])</f>
        <v>0</v>
      </c>
      <c r="Q72" s="119" t="n">
        <f aca="false">SUMIFS(tabela_registros[VALOR],tabela_registros[MÊS],$AE$1,tabela_registros[DIA],martotal3059[[#Headers],[13]],tabela_registros[REGISTRO],DADOS!$N$4,tabela_registros[TIPO],DADOS!$P$4,tabela_registros[CATEGORIA],despesavariávelconsolidadomar[[#This Row],[DESPESA VARIÁVEL]])</f>
        <v>0</v>
      </c>
      <c r="R72" s="119" t="n">
        <f aca="false">SUMIFS(tabela_registros[VALOR],tabela_registros[MÊS],$AE$1,tabela_registros[DIA],martotal3059[[#Headers],[14]],tabela_registros[REGISTRO],DADOS!$N$4,tabela_registros[TIPO],DADOS!$P$4,tabela_registros[CATEGORIA],despesavariávelconsolidadomar[[#This Row],[DESPESA VARIÁVEL]])</f>
        <v>0</v>
      </c>
      <c r="S72" s="119" t="n">
        <f aca="false">SUMIFS(tabela_registros[VALOR],tabela_registros[MÊS],$AE$1,tabela_registros[DIA],martotal3059[[#Headers],[15]],tabela_registros[REGISTRO],DADOS!$N$4,tabela_registros[TIPO],DADOS!$P$4,tabela_registros[CATEGORIA],despesavariávelconsolidadomar[[#This Row],[DESPESA VARIÁVEL]])</f>
        <v>0</v>
      </c>
      <c r="T72" s="119" t="n">
        <f aca="false">SUMIFS(tabela_registros[VALOR],tabela_registros[MÊS],$AE$1,tabela_registros[DIA],martotal3059[[#Headers],[16]],tabela_registros[REGISTRO],DADOS!$N$4,tabela_registros[TIPO],DADOS!$P$4,tabela_registros[CATEGORIA],despesavariávelconsolidadomar[[#This Row],[DESPESA VARIÁVEL]])</f>
        <v>0</v>
      </c>
      <c r="U72" s="119" t="n">
        <f aca="false">SUMIFS(tabela_registros[VALOR],tabela_registros[MÊS],$AE$1,tabela_registros[DIA],martotal3059[[#Headers],[17]],tabela_registros[REGISTRO],DADOS!$N$4,tabela_registros[TIPO],DADOS!$P$4,tabela_registros[CATEGORIA],despesavariávelconsolidadomar[[#This Row],[DESPESA VARIÁVEL]])</f>
        <v>0</v>
      </c>
      <c r="V72" s="119" t="n">
        <f aca="false">SUMIFS(tabela_registros[VALOR],tabela_registros[MÊS],$AE$1,tabela_registros[DIA],martotal3059[[#Headers],[18]],tabela_registros[REGISTRO],DADOS!$N$4,tabela_registros[TIPO],DADOS!$P$4,tabela_registros[CATEGORIA],despesavariávelconsolidadomar[[#This Row],[DESPESA VARIÁVEL]])</f>
        <v>0</v>
      </c>
      <c r="W72" s="119" t="n">
        <f aca="false">SUMIFS(tabela_registros[VALOR],tabela_registros[MÊS],$AE$1,tabela_registros[DIA],martotal3059[[#Headers],[19]],tabela_registros[REGISTRO],DADOS!$N$4,tabela_registros[TIPO],DADOS!$P$4,tabela_registros[CATEGORIA],despesavariávelconsolidadomar[[#This Row],[DESPESA VARIÁVEL]])</f>
        <v>0</v>
      </c>
      <c r="X72" s="119" t="n">
        <f aca="false">SUMIFS(tabela_registros[VALOR],tabela_registros[MÊS],$AE$1,tabela_registros[DIA],martotal3059[[#Headers],[20]],tabela_registros[REGISTRO],DADOS!$N$4,tabela_registros[TIPO],DADOS!$P$4,tabela_registros[CATEGORIA],despesavariávelconsolidadomar[[#This Row],[DESPESA VARIÁVEL]])</f>
        <v>0</v>
      </c>
      <c r="Y72" s="119" t="n">
        <f aca="false">SUMIFS(tabela_registros[VALOR],tabela_registros[MÊS],$AE$1,tabela_registros[DIA],martotal3059[[#Headers],[21]],tabela_registros[REGISTRO],DADOS!$N$4,tabela_registros[TIPO],DADOS!$P$4,tabela_registros[CATEGORIA],despesavariávelconsolidadomar[[#This Row],[DESPESA VARIÁVEL]])</f>
        <v>0</v>
      </c>
      <c r="Z72" s="119" t="n">
        <f aca="false">SUMIFS(tabela_registros[VALOR],tabela_registros[MÊS],$AE$1,tabela_registros[DIA],martotal3059[[#Headers],[22]],tabela_registros[REGISTRO],DADOS!$N$4,tabela_registros[TIPO],DADOS!$P$4,tabela_registros[CATEGORIA],despesavariávelconsolidadomar[[#This Row],[DESPESA VARIÁVEL]])</f>
        <v>0</v>
      </c>
      <c r="AA72" s="119" t="n">
        <f aca="false">SUMIFS(tabela_registros[VALOR],tabela_registros[MÊS],$AE$1,tabela_registros[DIA],martotal3059[[#Headers],[23]],tabela_registros[REGISTRO],DADOS!$N$4,tabela_registros[TIPO],DADOS!$P$4,tabela_registros[CATEGORIA],despesavariávelconsolidadomar[[#This Row],[DESPESA VARIÁVEL]])</f>
        <v>0</v>
      </c>
      <c r="AB72" s="119" t="n">
        <f aca="false">SUMIFS(tabela_registros[VALOR],tabela_registros[MÊS],$AE$1,tabela_registros[DIA],martotal3059[[#Headers],[24]],tabela_registros[REGISTRO],DADOS!$N$4,tabela_registros[TIPO],DADOS!$P$4,tabela_registros[CATEGORIA],despesavariávelconsolidadomar[[#This Row],[DESPESA VARIÁVEL]])</f>
        <v>0</v>
      </c>
      <c r="AC72" s="119" t="n">
        <f aca="false">SUMIFS(tabela_registros[VALOR],tabela_registros[MÊS],$AE$1,tabela_registros[DIA],martotal3059[[#Headers],[25]],tabela_registros[REGISTRO],DADOS!$N$4,tabela_registros[TIPO],DADOS!$P$4,tabela_registros[CATEGORIA],despesavariávelconsolidadomar[[#This Row],[DESPESA VARIÁVEL]])</f>
        <v>0</v>
      </c>
      <c r="AD72" s="119" t="n">
        <f aca="false">SUMIFS(tabela_registros[VALOR],tabela_registros[MÊS],$AE$1,tabela_registros[DIA],martotal3059[[#Headers],[26]],tabela_registros[REGISTRO],DADOS!$N$4,tabela_registros[TIPO],DADOS!$P$4,tabela_registros[CATEGORIA],despesavariávelconsolidadomar[[#This Row],[DESPESA VARIÁVEL]])</f>
        <v>0</v>
      </c>
      <c r="AE72" s="119" t="n">
        <f aca="false">SUMIFS(tabela_registros[VALOR],tabela_registros[MÊS],$AE$1,tabela_registros[DIA],martotal3059[[#Headers],[27]],tabela_registros[REGISTRO],DADOS!$N$4,tabela_registros[TIPO],DADOS!$P$4,tabela_registros[CATEGORIA],despesavariávelconsolidadomar[[#This Row],[DESPESA VARIÁVEL]])</f>
        <v>0</v>
      </c>
      <c r="AF72" s="119" t="n">
        <f aca="false">SUMIFS(tabela_registros[VALOR],tabela_registros[MÊS],$AE$1,tabela_registros[DIA],martotal3059[[#Headers],[28]],tabela_registros[REGISTRO],DADOS!$N$4,tabela_registros[TIPO],DADOS!$P$4,tabela_registros[CATEGORIA],despesavariávelconsolidadomar[[#This Row],[DESPESA VARIÁVEL]])</f>
        <v>0</v>
      </c>
      <c r="AG72" s="119" t="n">
        <f aca="false">SUMIFS(tabela_registros[VALOR],tabela_registros[MÊS],$AE$1,tabela_registros[DIA],martotal3059[[#Headers],[29]],tabela_registros[REGISTRO],DADOS!$N$4,tabela_registros[TIPO],DADOS!$P$4,tabela_registros[CATEGORIA],despesavariávelconsolidadomar[[#This Row],[DESPESA VARIÁVEL]])</f>
        <v>0</v>
      </c>
      <c r="AH72" s="119" t="n">
        <f aca="false">SUMIFS(tabela_registros[VALOR],tabela_registros[MÊS],$AE$1,tabela_registros[DIA],martotal3059[[#Headers],[30]],tabela_registros[REGISTRO],DADOS!$N$4,tabela_registros[TIPO],DADOS!$P$4,tabela_registros[CATEGORIA],despesavariávelconsolidadomar[[#This Row],[DESPESA VARIÁVEL]])</f>
        <v>0</v>
      </c>
      <c r="AI72" s="218" t="n">
        <f aca="false">SUMIFS(tabela_registros[VALOR],tabela_registros[MÊS],$AE$1,tabela_registros[DIA],martotal3059[[#Headers],[31]],tabela_registros[REGISTRO],DADOS!$N$4,tabela_registros[TIPO],DADOS!$P$4,tabela_registros[CATEGORIA],despesavariávelconsolidadomar[[#This Row],[DESPESA VARIÁVEL]])</f>
        <v>0</v>
      </c>
      <c r="AJ72" s="149" t="n">
        <f aca="false">SUM(despesavariávelconsolidadomar[[#This Row],[1]:[31]])</f>
        <v>0</v>
      </c>
      <c r="AK72" s="143"/>
    </row>
    <row r="73" s="122" customFormat="true" ht="21" hidden="false" customHeight="true" outlineLevel="0" collapsed="false">
      <c r="B73" s="152"/>
      <c r="C73" s="153" t="s">
        <v>2</v>
      </c>
      <c r="D73" s="154" t="str">
        <f aca="false">IF(despesavariávelconsolidadomar[[#This Row],[TOTAL]]=0,"",IF(OR(despesavariávelconsolidadomar[[#This Row],[TOTAL]]=SMALL(despesavariávelconsolidadomar[TOTAL],1),despesavariávelconsolidadomar[[#This Row],[TOTAL]]=SMALL(despesavariávelconsolidadomar[TOTAL],2),despesavariávelconsolidadomar[[#This Row],[TOTAL]]=SMALL(despesavariávelconsolidadomar[TOTAL],3),despesavariávelconsolidadomar[[#This Row],[TOTAL]]=SMALL(despesavariávelconsolidadomar[TOTAL],4),despesavariávelconsolidadomar[[#This Row],[TOTAL]]=SMALL(despesavariávelconsolidadomar[TOTAL],5)),DADOS!$I$8,""))</f>
        <v/>
      </c>
      <c r="E73" s="155" t="n">
        <f aca="false">SUM(E60:E72)</f>
        <v>0</v>
      </c>
      <c r="F73" s="156" t="n">
        <f aca="false">SUM(F60:F72)+despesavariávelconsolidadomar[[#This Row],[1]]</f>
        <v>0</v>
      </c>
      <c r="G73" s="156" t="n">
        <f aca="false">SUM(G60:G72)+despesavariávelconsolidadomar[[#This Row],[2]]</f>
        <v>0</v>
      </c>
      <c r="H73" s="156" t="n">
        <f aca="false">SUM(H60:H72)+despesavariávelconsolidadomar[[#This Row],[3]]</f>
        <v>0</v>
      </c>
      <c r="I73" s="156" t="n">
        <f aca="false">SUM(I60:I72)+despesavariávelconsolidadomar[[#This Row],[4]]</f>
        <v>0</v>
      </c>
      <c r="J73" s="156" t="n">
        <f aca="false">SUM(J60:J72)+despesavariávelconsolidadomar[[#This Row],[5]]</f>
        <v>0</v>
      </c>
      <c r="K73" s="156" t="n">
        <f aca="false">SUM(K60:K72)+despesavariávelconsolidadomar[[#This Row],[6]]</f>
        <v>0</v>
      </c>
      <c r="L73" s="156" t="n">
        <f aca="false">SUM(L60:L72)+despesavariávelconsolidadomar[[#This Row],[7]]</f>
        <v>0</v>
      </c>
      <c r="M73" s="156" t="n">
        <f aca="false">SUM(M60:M72)+despesavariávelconsolidadomar[[#This Row],[8]]</f>
        <v>0</v>
      </c>
      <c r="N73" s="156" t="n">
        <f aca="false">SUM(N60:N72)+despesavariávelconsolidadomar[[#This Row],[9]]</f>
        <v>0</v>
      </c>
      <c r="O73" s="156" t="n">
        <f aca="false">SUM(O60:O72)+despesavariávelconsolidadomar[[#This Row],[10]]</f>
        <v>0</v>
      </c>
      <c r="P73" s="156" t="n">
        <f aca="false">SUM(P60:P72)+despesavariávelconsolidadomar[[#This Row],[11]]</f>
        <v>0</v>
      </c>
      <c r="Q73" s="156" t="n">
        <f aca="false">SUM(Q60:Q72)+despesavariávelconsolidadomar[[#This Row],[12]]</f>
        <v>0</v>
      </c>
      <c r="R73" s="156" t="n">
        <f aca="false">SUM(R60:R72)+despesavariávelconsolidadomar[[#This Row],[13]]</f>
        <v>0</v>
      </c>
      <c r="S73" s="156" t="n">
        <f aca="false">SUM(S60:S72)+despesavariávelconsolidadomar[[#This Row],[14]]</f>
        <v>0</v>
      </c>
      <c r="T73" s="156" t="n">
        <f aca="false">SUM(T60:T72)+despesavariávelconsolidadomar[[#This Row],[15]]</f>
        <v>0</v>
      </c>
      <c r="U73" s="156" t="n">
        <f aca="false">SUM(U60:U72)+despesavariávelconsolidadomar[[#This Row],[16]]</f>
        <v>0</v>
      </c>
      <c r="V73" s="156" t="n">
        <f aca="false">SUM(V60:V72)+despesavariávelconsolidadomar[[#This Row],[17]]</f>
        <v>0</v>
      </c>
      <c r="W73" s="156" t="n">
        <f aca="false">SUM(W60:W72)+despesavariávelconsolidadomar[[#This Row],[18]]</f>
        <v>0</v>
      </c>
      <c r="X73" s="156" t="n">
        <f aca="false">SUM(X60:X72)+despesavariávelconsolidadomar[[#This Row],[19]]</f>
        <v>0</v>
      </c>
      <c r="Y73" s="156" t="n">
        <f aca="false">SUM(Y60:Y72)+despesavariávelconsolidadomar[[#This Row],[20]]</f>
        <v>0</v>
      </c>
      <c r="Z73" s="156" t="n">
        <f aca="false">SUM(Z60:Z72)+despesavariávelconsolidadomar[[#This Row],[21]]</f>
        <v>0</v>
      </c>
      <c r="AA73" s="156" t="n">
        <f aca="false">SUM(AA60:AA72)+despesavariávelconsolidadomar[[#This Row],[22]]</f>
        <v>0</v>
      </c>
      <c r="AB73" s="156" t="n">
        <f aca="false">SUM(AB60:AB72)+despesavariávelconsolidadomar[[#This Row],[23]]</f>
        <v>0</v>
      </c>
      <c r="AC73" s="156" t="n">
        <f aca="false">SUM(AC60:AC72)+despesavariávelconsolidadomar[[#This Row],[24]]</f>
        <v>0</v>
      </c>
      <c r="AD73" s="156" t="n">
        <f aca="false">SUM(AD60:AD72)+despesavariávelconsolidadomar[[#This Row],[25]]</f>
        <v>0</v>
      </c>
      <c r="AE73" s="156" t="n">
        <f aca="false">SUM(AE60:AE72)+despesavariávelconsolidadomar[[#This Row],[26]]</f>
        <v>0</v>
      </c>
      <c r="AF73" s="156" t="n">
        <f aca="false">SUM(AF60:AF72)+despesavariávelconsolidadomar[[#This Row],[27]]</f>
        <v>0</v>
      </c>
      <c r="AG73" s="156" t="n">
        <f aca="false">SUM(AG60:AG72)+despesavariávelconsolidadomar[[#This Row],[28]]</f>
        <v>0</v>
      </c>
      <c r="AH73" s="156" t="n">
        <f aca="false">SUM(AH60:AH72)+despesavariávelconsolidadomar[[#This Row],[29]]</f>
        <v>0</v>
      </c>
      <c r="AI73" s="223" t="n">
        <f aca="false">SUM(AI60:AI72)+despesavariávelconsolidadomar[[#This Row],[30]]</f>
        <v>0</v>
      </c>
      <c r="AJ73" s="157" t="n">
        <f aca="false">despesavariávelconsolidadomar[[#This Row],[31]]</f>
        <v>0</v>
      </c>
      <c r="AK73" s="158"/>
    </row>
    <row r="74" customFormat="false" ht="6.75" hidden="false" customHeight="true" outlineLevel="0" collapsed="false">
      <c r="B74" s="97"/>
      <c r="C74" s="159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229"/>
      <c r="AJ74" s="97"/>
      <c r="AK74" s="244"/>
    </row>
    <row r="75" s="78" customFormat="true" ht="12.75" hidden="false" customHeight="false" outlineLevel="0" collapsed="false">
      <c r="E75" s="100"/>
    </row>
    <row r="76" s="78" customFormat="true" ht="12" hidden="false" customHeight="false" outlineLevel="0" collapsed="false"/>
    <row r="77" s="78" customFormat="true" ht="12" hidden="false" customHeight="false" outlineLevel="0" collapsed="false"/>
    <row r="78" customFormat="false" ht="39.75" hidden="false" customHeight="true" outlineLevel="0" collapsed="false">
      <c r="C78" s="101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3" t="s">
        <v>2</v>
      </c>
    </row>
    <row r="79" s="78" customFormat="true" ht="12.75" hidden="false" customHeight="false" outlineLevel="0" collapsed="false">
      <c r="B79" s="161"/>
      <c r="AJ79" s="106" t="s">
        <v>64</v>
      </c>
    </row>
    <row r="80" customFormat="false" ht="6.75" hidden="false" customHeight="true" outlineLevel="0" collapsed="false">
      <c r="B80" s="86"/>
      <c r="C80" s="162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233"/>
      <c r="AK80" s="139"/>
    </row>
    <row r="81" customFormat="false" ht="13.5" hidden="true" customHeight="false" outlineLevel="0" collapsed="false">
      <c r="B81" s="86"/>
      <c r="C81" s="109" t="s">
        <v>68</v>
      </c>
      <c r="D81" s="110" t="s">
        <v>69</v>
      </c>
      <c r="E81" s="110" t="s">
        <v>30</v>
      </c>
      <c r="F81" s="110" t="s">
        <v>31</v>
      </c>
      <c r="G81" s="110" t="s">
        <v>32</v>
      </c>
      <c r="H81" s="110" t="s">
        <v>33</v>
      </c>
      <c r="I81" s="110" t="s">
        <v>34</v>
      </c>
      <c r="J81" s="110" t="s">
        <v>35</v>
      </c>
      <c r="K81" s="110" t="s">
        <v>36</v>
      </c>
      <c r="L81" s="110" t="s">
        <v>37</v>
      </c>
      <c r="M81" s="110" t="s">
        <v>38</v>
      </c>
      <c r="N81" s="110" t="s">
        <v>39</v>
      </c>
      <c r="O81" s="110" t="s">
        <v>40</v>
      </c>
      <c r="P81" s="110" t="s">
        <v>41</v>
      </c>
      <c r="Q81" s="110" t="s">
        <v>81</v>
      </c>
      <c r="R81" s="110" t="s">
        <v>82</v>
      </c>
      <c r="S81" s="110" t="s">
        <v>83</v>
      </c>
      <c r="T81" s="110" t="s">
        <v>84</v>
      </c>
      <c r="U81" s="110" t="s">
        <v>85</v>
      </c>
      <c r="V81" s="110" t="s">
        <v>86</v>
      </c>
      <c r="W81" s="110" t="s">
        <v>87</v>
      </c>
      <c r="X81" s="110" t="s">
        <v>88</v>
      </c>
      <c r="Y81" s="110" t="s">
        <v>89</v>
      </c>
      <c r="Z81" s="110" t="s">
        <v>90</v>
      </c>
      <c r="AA81" s="110" t="s">
        <v>91</v>
      </c>
      <c r="AB81" s="110" t="s">
        <v>92</v>
      </c>
      <c r="AC81" s="110" t="s">
        <v>93</v>
      </c>
      <c r="AD81" s="110" t="s">
        <v>94</v>
      </c>
      <c r="AE81" s="110" t="s">
        <v>95</v>
      </c>
      <c r="AF81" s="110" t="s">
        <v>96</v>
      </c>
      <c r="AG81" s="110" t="s">
        <v>97</v>
      </c>
      <c r="AH81" s="110" t="s">
        <v>98</v>
      </c>
      <c r="AI81" s="110" t="s">
        <v>99</v>
      </c>
      <c r="AJ81" s="111" t="s">
        <v>70</v>
      </c>
      <c r="AK81" s="86"/>
    </row>
    <row r="82" customFormat="false" ht="19.5" hidden="false" customHeight="true" outlineLevel="0" collapsed="false">
      <c r="B82" s="143"/>
      <c r="C82" s="144" t="str">
        <f aca="false">DADOS!$X$3</f>
        <v>💵 ALUGUEL</v>
      </c>
      <c r="D82" s="145" t="str">
        <f aca="false">IF(receitasfixasconsolidadomar[[#This Row],[TOTAL (R$)]]=0,"",IF(OR(receitasfixasconsolidadomar[[#This Row],[TOTAL (R$)]]=LARGE($AJ$82:$AJ$86,1),receitasfixasconsolidadomar[[#This Row],[TOTAL (R$)]]=LARGE($AJ$82:$AJ$86,2)),DADOS!$I$9,""))</f>
        <v/>
      </c>
      <c r="E82" s="146" t="n">
        <f aca="false">SUMIFS(tabela_registros[VALOR],tabela_registros[MÊS],$AE$1,tabela_registros[DIA],receitasfixasconsolidadomar[[#Headers],[1]],tabela_registros[REGISTRO],DADOS!$N$3,tabela_registros[TIPO],DADOS!$V$3,tabela_registros[CATEGORIA],receitasfixasconsolidadomar[[#This Row],[ATUAL]])</f>
        <v>0</v>
      </c>
      <c r="F82" s="114" t="n">
        <f aca="false">SUMIFS(tabela_registros[VALOR],tabela_registros[MÊS],$AE$1,tabela_registros[DIA],receitasfixasconsolidadomar[[#Headers],[2]],tabela_registros[REGISTRO],DADOS!$N$3,tabela_registros[TIPO],DADOS!$V$3,tabela_registros[CATEGORIA],receitasfixasconsolidadomar[[#This Row],[ATUAL]])</f>
        <v>0</v>
      </c>
      <c r="G82" s="114" t="n">
        <f aca="false">SUMIFS(tabela_registros[VALOR],tabela_registros[MÊS],$AE$1,tabela_registros[DIA],receitasfixasconsolidadomar[[#Headers],[3]],tabela_registros[REGISTRO],DADOS!$N$3,tabela_registros[TIPO],DADOS!$V$3,tabela_registros[CATEGORIA],receitasfixasconsolidadomar[[#This Row],[ATUAL]])</f>
        <v>0</v>
      </c>
      <c r="H82" s="114" t="n">
        <f aca="false">SUMIFS(tabela_registros[VALOR],tabela_registros[MÊS],$AE$1,tabela_registros[DIA],receitasfixasconsolidadomar[[#Headers],[4]],tabela_registros[REGISTRO],DADOS!$N$3,tabela_registros[TIPO],DADOS!$V$3,tabela_registros[CATEGORIA],receitasfixasconsolidadomar[[#This Row],[ATUAL]])</f>
        <v>0</v>
      </c>
      <c r="I82" s="114" t="n">
        <f aca="false">SUMIFS(tabela_registros[VALOR],tabela_registros[MÊS],$AE$1,tabela_registros[DIA],receitasfixasconsolidadomar[[#Headers],[5]],tabela_registros[REGISTRO],DADOS!$N$3,tabela_registros[TIPO],DADOS!$V$3,tabela_registros[CATEGORIA],receitasfixasconsolidadomar[[#This Row],[ATUAL]])</f>
        <v>0</v>
      </c>
      <c r="J82" s="114" t="n">
        <f aca="false">SUMIFS(tabela_registros[VALOR],tabela_registros[MÊS],$AE$1,tabela_registros[DIA],receitasfixasconsolidadomar[[#Headers],[6]],tabela_registros[REGISTRO],DADOS!$N$3,tabela_registros[TIPO],DADOS!$V$3,tabela_registros[CATEGORIA],receitasfixasconsolidadomar[[#This Row],[ATUAL]])</f>
        <v>0</v>
      </c>
      <c r="K82" s="114" t="n">
        <f aca="false">SUMIFS(tabela_registros[VALOR],tabela_registros[MÊS],$AE$1,tabela_registros[DIA],receitasfixasconsolidadomar[[#Headers],[7]],tabela_registros[REGISTRO],DADOS!$N$3,tabela_registros[TIPO],DADOS!$V$3,tabela_registros[CATEGORIA],receitasfixasconsolidadomar[[#This Row],[ATUAL]])</f>
        <v>0</v>
      </c>
      <c r="L82" s="114" t="n">
        <f aca="false">SUMIFS(tabela_registros[VALOR],tabela_registros[MÊS],$AE$1,tabela_registros[DIA],receitasfixasconsolidadomar[[#Headers],[8]],tabela_registros[REGISTRO],DADOS!$N$3,tabela_registros[TIPO],DADOS!$V$3,tabela_registros[CATEGORIA],receitasfixasconsolidadomar[[#This Row],[ATUAL]])</f>
        <v>0</v>
      </c>
      <c r="M82" s="114" t="n">
        <f aca="false">SUMIFS(tabela_registros[VALOR],tabela_registros[MÊS],$AE$1,tabela_registros[DIA],receitasfixasconsolidadomar[[#Headers],[9]],tabela_registros[REGISTRO],DADOS!$N$3,tabela_registros[TIPO],DADOS!$V$3,tabela_registros[CATEGORIA],receitasfixasconsolidadomar[[#This Row],[ATUAL]])</f>
        <v>0</v>
      </c>
      <c r="N82" s="114" t="n">
        <f aca="false">SUMIFS(tabela_registros[VALOR],tabela_registros[MÊS],$AE$1,tabela_registros[DIA],receitasfixasconsolidadomar[[#Headers],[10]],tabela_registros[REGISTRO],DADOS!$N$3,tabela_registros[TIPO],DADOS!$V$3,tabela_registros[CATEGORIA],receitasfixasconsolidadomar[[#This Row],[ATUAL]])</f>
        <v>0</v>
      </c>
      <c r="O82" s="114" t="n">
        <f aca="false">SUMIFS(tabela_registros[VALOR],tabela_registros[MÊS],$AE$1,tabela_registros[DIA],receitasfixasconsolidadomar[[#Headers],[11]],tabela_registros[REGISTRO],DADOS!$N$3,tabela_registros[TIPO],DADOS!$V$3,tabela_registros[CATEGORIA],receitasfixasconsolidadomar[[#This Row],[ATUAL]])</f>
        <v>0</v>
      </c>
      <c r="P82" s="114" t="n">
        <f aca="false">SUMIFS(tabela_registros[VALOR],tabela_registros[MÊS],$AE$1,tabela_registros[DIA],receitasfixasconsolidadomar[[#Headers],[12]],tabela_registros[REGISTRO],DADOS!$N$3,tabela_registros[TIPO],DADOS!$V$3,tabela_registros[CATEGORIA],receitasfixasconsolidadomar[[#This Row],[ATUAL]])</f>
        <v>0</v>
      </c>
      <c r="Q82" s="114" t="n">
        <f aca="false">SUMIFS(tabela_registros[VALOR],tabela_registros[MÊS],$AE$1,tabela_registros[DIA],receitasfixasconsolidadomar[[#Headers],[13]],tabela_registros[REGISTRO],DADOS!$N$3,tabela_registros[TIPO],DADOS!$V$3,tabela_registros[CATEGORIA],receitasfixasconsolidadomar[[#This Row],[ATUAL]])</f>
        <v>0</v>
      </c>
      <c r="R82" s="114" t="n">
        <f aca="false">SUMIFS(tabela_registros[VALOR],tabela_registros[MÊS],$AE$1,tabela_registros[DIA],receitasfixasconsolidadomar[[#Headers],[14]],tabela_registros[REGISTRO],DADOS!$N$3,tabela_registros[TIPO],DADOS!$V$3,tabela_registros[CATEGORIA],receitasfixasconsolidadomar[[#This Row],[ATUAL]])</f>
        <v>0</v>
      </c>
      <c r="S82" s="114" t="n">
        <f aca="false">SUMIFS(tabela_registros[VALOR],tabela_registros[MÊS],$AE$1,tabela_registros[DIA],receitasfixasconsolidadomar[[#Headers],[15]],tabela_registros[REGISTRO],DADOS!$N$3,tabela_registros[TIPO],DADOS!$V$3,tabela_registros[CATEGORIA],receitasfixasconsolidadomar[[#This Row],[ATUAL]])</f>
        <v>0</v>
      </c>
      <c r="T82" s="114" t="n">
        <f aca="false">SUMIFS(tabela_registros[VALOR],tabela_registros[MÊS],$AE$1,tabela_registros[DIA],receitasfixasconsolidadomar[[#Headers],[16]],tabela_registros[REGISTRO],DADOS!$N$3,tabela_registros[TIPO],DADOS!$V$3,tabela_registros[CATEGORIA],receitasfixasconsolidadomar[[#This Row],[ATUAL]])</f>
        <v>0</v>
      </c>
      <c r="U82" s="114" t="n">
        <f aca="false">SUMIFS(tabela_registros[VALOR],tabela_registros[MÊS],$AE$1,tabela_registros[DIA],receitasfixasconsolidadomar[[#Headers],[17]],tabela_registros[REGISTRO],DADOS!$N$3,tabela_registros[TIPO],DADOS!$V$3,tabela_registros[CATEGORIA],receitasfixasconsolidadomar[[#This Row],[ATUAL]])</f>
        <v>0</v>
      </c>
      <c r="V82" s="114" t="n">
        <f aca="false">SUMIFS(tabela_registros[VALOR],tabela_registros[MÊS],$AE$1,tabela_registros[DIA],receitasfixasconsolidadomar[[#Headers],[18]],tabela_registros[REGISTRO],DADOS!$N$3,tabela_registros[TIPO],DADOS!$V$3,tabela_registros[CATEGORIA],receitasfixasconsolidadomar[[#This Row],[ATUAL]])</f>
        <v>0</v>
      </c>
      <c r="W82" s="114" t="n">
        <f aca="false">SUMIFS(tabela_registros[VALOR],tabela_registros[MÊS],$AE$1,tabela_registros[DIA],receitasfixasconsolidadomar[[#Headers],[19]],tabela_registros[REGISTRO],DADOS!$N$3,tabela_registros[TIPO],DADOS!$V$3,tabela_registros[CATEGORIA],receitasfixasconsolidadomar[[#This Row],[ATUAL]])</f>
        <v>0</v>
      </c>
      <c r="X82" s="114" t="n">
        <f aca="false">SUMIFS(tabela_registros[VALOR],tabela_registros[MÊS],$AE$1,tabela_registros[DIA],receitasfixasconsolidadomar[[#Headers],[20]],tabela_registros[REGISTRO],DADOS!$N$3,tabela_registros[TIPO],DADOS!$V$3,tabela_registros[CATEGORIA],receitasfixasconsolidadomar[[#This Row],[ATUAL]])</f>
        <v>0</v>
      </c>
      <c r="Y82" s="114" t="n">
        <f aca="false">SUMIFS(tabela_registros[VALOR],tabela_registros[MÊS],$AE$1,tabela_registros[DIA],receitasfixasconsolidadomar[[#Headers],[21]],tabela_registros[REGISTRO],DADOS!$N$3,tabela_registros[TIPO],DADOS!$V$3,tabela_registros[CATEGORIA],receitasfixasconsolidadomar[[#This Row],[ATUAL]])</f>
        <v>0</v>
      </c>
      <c r="Z82" s="114" t="n">
        <f aca="false">SUMIFS(tabela_registros[VALOR],tabela_registros[MÊS],$AE$1,tabela_registros[DIA],receitasfixasconsolidadomar[[#Headers],[22]],tabela_registros[REGISTRO],DADOS!$N$3,tabela_registros[TIPO],DADOS!$V$3,tabela_registros[CATEGORIA],receitasfixasconsolidadomar[[#This Row],[ATUAL]])</f>
        <v>0</v>
      </c>
      <c r="AA82" s="114" t="n">
        <f aca="false">SUMIFS(tabela_registros[VALOR],tabela_registros[MÊS],$AE$1,tabela_registros[DIA],receitasfixasconsolidadomar[[#Headers],[23]],tabela_registros[REGISTRO],DADOS!$N$3,tabela_registros[TIPO],DADOS!$V$3,tabela_registros[CATEGORIA],receitasfixasconsolidadomar[[#This Row],[ATUAL]])</f>
        <v>0</v>
      </c>
      <c r="AB82" s="114" t="n">
        <f aca="false">SUMIFS(tabela_registros[VALOR],tabela_registros[MÊS],$AE$1,tabela_registros[DIA],receitasfixasconsolidadomar[[#Headers],[24]],tabela_registros[REGISTRO],DADOS!$N$3,tabela_registros[TIPO],DADOS!$V$3,tabela_registros[CATEGORIA],receitasfixasconsolidadomar[[#This Row],[ATUAL]])</f>
        <v>0</v>
      </c>
      <c r="AC82" s="114" t="n">
        <f aca="false">SUMIFS(tabela_registros[VALOR],tabela_registros[MÊS],$AE$1,tabela_registros[DIA],receitasfixasconsolidadomar[[#Headers],[25]],tabela_registros[REGISTRO],DADOS!$N$3,tabela_registros[TIPO],DADOS!$V$3,tabela_registros[CATEGORIA],receitasfixasconsolidadomar[[#This Row],[ATUAL]])</f>
        <v>0</v>
      </c>
      <c r="AD82" s="114" t="n">
        <f aca="false">SUMIFS(tabela_registros[VALOR],tabela_registros[MÊS],$AE$1,tabela_registros[DIA],receitasfixasconsolidadomar[[#Headers],[26]],tabela_registros[REGISTRO],DADOS!$N$3,tabela_registros[TIPO],DADOS!$V$3,tabela_registros[CATEGORIA],receitasfixasconsolidadomar[[#This Row],[ATUAL]])</f>
        <v>0</v>
      </c>
      <c r="AE82" s="114" t="n">
        <f aca="false">SUMIFS(tabela_registros[VALOR],tabela_registros[MÊS],$AE$1,tabela_registros[DIA],receitasfixasconsolidadomar[[#Headers],[27]],tabela_registros[REGISTRO],DADOS!$N$3,tabela_registros[TIPO],DADOS!$V$3,tabela_registros[CATEGORIA],receitasfixasconsolidadomar[[#This Row],[ATUAL]])</f>
        <v>0</v>
      </c>
      <c r="AF82" s="114" t="n">
        <f aca="false">SUMIFS(tabela_registros[VALOR],tabela_registros[MÊS],$AE$1,tabela_registros[DIA],receitasfixasconsolidadomar[[#Headers],[28]],tabela_registros[REGISTRO],DADOS!$N$3,tabela_registros[TIPO],DADOS!$V$3,tabela_registros[CATEGORIA],receitasfixasconsolidadomar[[#This Row],[ATUAL]])</f>
        <v>0</v>
      </c>
      <c r="AG82" s="114" t="n">
        <f aca="false">SUMIFS(tabela_registros[VALOR],tabela_registros[MÊS],$AE$1,tabela_registros[DIA],receitasfixasconsolidadomar[[#Headers],[29]],tabela_registros[REGISTRO],DADOS!$N$3,tabela_registros[TIPO],DADOS!$V$3,tabela_registros[CATEGORIA],receitasfixasconsolidadomar[[#This Row],[ATUAL]])</f>
        <v>0</v>
      </c>
      <c r="AH82" s="114" t="n">
        <f aca="false">SUMIFS(tabela_registros[VALOR],tabela_registros[MÊS],$AE$1,tabela_registros[DIA],receitasfixasconsolidadomar[[#Headers],[30]],tabela_registros[REGISTRO],DADOS!$N$3,tabela_registros[TIPO],DADOS!$V$3,tabela_registros[CATEGORIA],receitasfixasconsolidadomar[[#This Row],[ATUAL]])</f>
        <v>0</v>
      </c>
      <c r="AI82" s="216" t="n">
        <f aca="false">SUMIFS(tabela_registros[VALOR],tabela_registros[MÊS],$AE$1,tabela_registros[DIA],receitasfixasconsolidadomar[[#Headers],[31]],tabela_registros[REGISTRO],DADOS!$N$3,tabela_registros[TIPO],DADOS!$V$3,tabela_registros[CATEGORIA],receitasfixasconsolidadomar[[#This Row],[ATUAL]])</f>
        <v>0</v>
      </c>
      <c r="AJ82" s="149" t="n">
        <f aca="false">SUM(receitasfixasconsolidadomar[[#This Row],[1]:[31]])</f>
        <v>0</v>
      </c>
      <c r="AK82" s="165"/>
    </row>
    <row r="83" customFormat="false" ht="19.5" hidden="false" customHeight="true" outlineLevel="0" collapsed="false">
      <c r="B83" s="143"/>
      <c r="C83" s="144" t="str">
        <f aca="false">DADOS!$X$4</f>
        <v>💸APOSENTADORIA</v>
      </c>
      <c r="D83" s="145" t="str">
        <f aca="false">IF(receitasfixasconsolidadomar[[#This Row],[TOTAL (R$)]]=0,"",IF(OR(receitasfixasconsolidadomar[[#This Row],[TOTAL (R$)]]=LARGE($AJ$82:$AJ$86,1),receitasfixasconsolidadomar[[#This Row],[TOTAL (R$)]]=LARGE($AJ$82:$AJ$86,2)),DADOS!$I$9,""))</f>
        <v/>
      </c>
      <c r="E83" s="148" t="n">
        <f aca="false">SUMIFS(tabela_registros[VALOR],tabela_registros[MÊS],$AE$1,tabela_registros[DIA],receitasfixasconsolidadomar[[#Headers],[1]],tabela_registros[REGISTRO],DADOS!$N$3,tabela_registros[TIPO],DADOS!$V$3,tabela_registros[CATEGORIA],receitasfixasconsolidadomar[[#This Row],[ATUAL]])</f>
        <v>0</v>
      </c>
      <c r="F83" s="119" t="n">
        <f aca="false">SUMIFS(tabela_registros[VALOR],tabela_registros[MÊS],$AE$1,tabela_registros[DIA],receitasfixasconsolidadomar[[#Headers],[2]],tabela_registros[REGISTRO],DADOS!$N$3,tabela_registros[TIPO],DADOS!$V$3,tabela_registros[CATEGORIA],receitasfixasconsolidadomar[[#This Row],[ATUAL]])</f>
        <v>0</v>
      </c>
      <c r="G83" s="119" t="n">
        <f aca="false">SUMIFS(tabela_registros[VALOR],tabela_registros[MÊS],$AE$1,tabela_registros[DIA],receitasfixasconsolidadomar[[#Headers],[3]],tabela_registros[REGISTRO],DADOS!$N$3,tabela_registros[TIPO],DADOS!$V$3,tabela_registros[CATEGORIA],receitasfixasconsolidadomar[[#This Row],[ATUAL]])</f>
        <v>0</v>
      </c>
      <c r="H83" s="119" t="n">
        <f aca="false">SUMIFS(tabela_registros[VALOR],tabela_registros[MÊS],$AE$1,tabela_registros[DIA],receitasfixasconsolidadomar[[#Headers],[4]],tabela_registros[REGISTRO],DADOS!$N$3,tabela_registros[TIPO],DADOS!$V$3,tabela_registros[CATEGORIA],receitasfixasconsolidadomar[[#This Row],[ATUAL]])</f>
        <v>0</v>
      </c>
      <c r="I83" s="119" t="n">
        <f aca="false">SUMIFS(tabela_registros[VALOR],tabela_registros[MÊS],$AE$1,tabela_registros[DIA],receitasfixasconsolidadomar[[#Headers],[5]],tabela_registros[REGISTRO],DADOS!$N$3,tabela_registros[TIPO],DADOS!$V$3,tabela_registros[CATEGORIA],receitasfixasconsolidadomar[[#This Row],[ATUAL]])</f>
        <v>0</v>
      </c>
      <c r="J83" s="119" t="n">
        <f aca="false">SUMIFS(tabela_registros[VALOR],tabela_registros[MÊS],$AE$1,tabela_registros[DIA],receitasfixasconsolidadomar[[#Headers],[6]],tabela_registros[REGISTRO],DADOS!$N$3,tabela_registros[TIPO],DADOS!$V$3,tabela_registros[CATEGORIA],receitasfixasconsolidadomar[[#This Row],[ATUAL]])</f>
        <v>0</v>
      </c>
      <c r="K83" s="119" t="n">
        <f aca="false">SUMIFS(tabela_registros[VALOR],tabela_registros[MÊS],$AE$1,tabela_registros[DIA],receitasfixasconsolidadomar[[#Headers],[7]],tabela_registros[REGISTRO],DADOS!$N$3,tabela_registros[TIPO],DADOS!$V$3,tabela_registros[CATEGORIA],receitasfixasconsolidadomar[[#This Row],[ATUAL]])</f>
        <v>0</v>
      </c>
      <c r="L83" s="119" t="n">
        <f aca="false">SUMIFS(tabela_registros[VALOR],tabela_registros[MÊS],$AE$1,tabela_registros[DIA],receitasfixasconsolidadomar[[#Headers],[8]],tabela_registros[REGISTRO],DADOS!$N$3,tabela_registros[TIPO],DADOS!$V$3,tabela_registros[CATEGORIA],receitasfixasconsolidadomar[[#This Row],[ATUAL]])</f>
        <v>0</v>
      </c>
      <c r="M83" s="119" t="n">
        <f aca="false">SUMIFS(tabela_registros[VALOR],tabela_registros[MÊS],$AE$1,tabela_registros[DIA],receitasfixasconsolidadomar[[#Headers],[9]],tabela_registros[REGISTRO],DADOS!$N$3,tabela_registros[TIPO],DADOS!$V$3,tabela_registros[CATEGORIA],receitasfixasconsolidadomar[[#This Row],[ATUAL]])</f>
        <v>0</v>
      </c>
      <c r="N83" s="119" t="n">
        <f aca="false">SUMIFS(tabela_registros[VALOR],tabela_registros[MÊS],$AE$1,tabela_registros[DIA],receitasfixasconsolidadomar[[#Headers],[10]],tabela_registros[REGISTRO],DADOS!$N$3,tabela_registros[TIPO],DADOS!$V$3,tabela_registros[CATEGORIA],receitasfixasconsolidadomar[[#This Row],[ATUAL]])</f>
        <v>0</v>
      </c>
      <c r="O83" s="119" t="n">
        <f aca="false">SUMIFS(tabela_registros[VALOR],tabela_registros[MÊS],$AE$1,tabela_registros[DIA],receitasfixasconsolidadomar[[#Headers],[11]],tabela_registros[REGISTRO],DADOS!$N$3,tabela_registros[TIPO],DADOS!$V$3,tabela_registros[CATEGORIA],receitasfixasconsolidadomar[[#This Row],[ATUAL]])</f>
        <v>0</v>
      </c>
      <c r="P83" s="119" t="n">
        <f aca="false">SUMIFS(tabela_registros[VALOR],tabela_registros[MÊS],$AE$1,tabela_registros[DIA],receitasfixasconsolidadomar[[#Headers],[12]],tabela_registros[REGISTRO],DADOS!$N$3,tabela_registros[TIPO],DADOS!$V$3,tabela_registros[CATEGORIA],receitasfixasconsolidadomar[[#This Row],[ATUAL]])</f>
        <v>0</v>
      </c>
      <c r="Q83" s="119" t="n">
        <f aca="false">SUMIFS(tabela_registros[VALOR],tabela_registros[MÊS],$AE$1,tabela_registros[DIA],receitasfixasconsolidadomar[[#Headers],[13]],tabela_registros[REGISTRO],DADOS!$N$3,tabela_registros[TIPO],DADOS!$V$3,tabela_registros[CATEGORIA],receitasfixasconsolidadomar[[#This Row],[ATUAL]])</f>
        <v>0</v>
      </c>
      <c r="R83" s="119" t="n">
        <f aca="false">SUMIFS(tabela_registros[VALOR],tabela_registros[MÊS],$AE$1,tabela_registros[DIA],receitasfixasconsolidadomar[[#Headers],[14]],tabela_registros[REGISTRO],DADOS!$N$3,tabela_registros[TIPO],DADOS!$V$3,tabela_registros[CATEGORIA],receitasfixasconsolidadomar[[#This Row],[ATUAL]])</f>
        <v>0</v>
      </c>
      <c r="S83" s="119" t="n">
        <f aca="false">SUMIFS(tabela_registros[VALOR],tabela_registros[MÊS],$AE$1,tabela_registros[DIA],receitasfixasconsolidadomar[[#Headers],[15]],tabela_registros[REGISTRO],DADOS!$N$3,tabela_registros[TIPO],DADOS!$V$3,tabela_registros[CATEGORIA],receitasfixasconsolidadomar[[#This Row],[ATUAL]])</f>
        <v>0</v>
      </c>
      <c r="T83" s="119" t="n">
        <f aca="false">SUMIFS(tabela_registros[VALOR],tabela_registros[MÊS],$AE$1,tabela_registros[DIA],receitasfixasconsolidadomar[[#Headers],[16]],tabela_registros[REGISTRO],DADOS!$N$3,tabela_registros[TIPO],DADOS!$V$3,tabela_registros[CATEGORIA],receitasfixasconsolidadomar[[#This Row],[ATUAL]])</f>
        <v>0</v>
      </c>
      <c r="U83" s="119" t="n">
        <f aca="false">SUMIFS(tabela_registros[VALOR],tabela_registros[MÊS],$AE$1,tabela_registros[DIA],receitasfixasconsolidadomar[[#Headers],[17]],tabela_registros[REGISTRO],DADOS!$N$3,tabela_registros[TIPO],DADOS!$V$3,tabela_registros[CATEGORIA],receitasfixasconsolidadomar[[#This Row],[ATUAL]])</f>
        <v>0</v>
      </c>
      <c r="V83" s="119" t="n">
        <f aca="false">SUMIFS(tabela_registros[VALOR],tabela_registros[MÊS],$AE$1,tabela_registros[DIA],receitasfixasconsolidadomar[[#Headers],[18]],tabela_registros[REGISTRO],DADOS!$N$3,tabela_registros[TIPO],DADOS!$V$3,tabela_registros[CATEGORIA],receitasfixasconsolidadomar[[#This Row],[ATUAL]])</f>
        <v>0</v>
      </c>
      <c r="W83" s="119" t="n">
        <f aca="false">SUMIFS(tabela_registros[VALOR],tabela_registros[MÊS],$AE$1,tabela_registros[DIA],receitasfixasconsolidadomar[[#Headers],[19]],tabela_registros[REGISTRO],DADOS!$N$3,tabela_registros[TIPO],DADOS!$V$3,tabela_registros[CATEGORIA],receitasfixasconsolidadomar[[#This Row],[ATUAL]])</f>
        <v>0</v>
      </c>
      <c r="X83" s="119" t="n">
        <f aca="false">SUMIFS(tabela_registros[VALOR],tabela_registros[MÊS],$AE$1,tabela_registros[DIA],receitasfixasconsolidadomar[[#Headers],[20]],tabela_registros[REGISTRO],DADOS!$N$3,tabela_registros[TIPO],DADOS!$V$3,tabela_registros[CATEGORIA],receitasfixasconsolidadomar[[#This Row],[ATUAL]])</f>
        <v>0</v>
      </c>
      <c r="Y83" s="119" t="n">
        <f aca="false">SUMIFS(tabela_registros[VALOR],tabela_registros[MÊS],$AE$1,tabela_registros[DIA],receitasfixasconsolidadomar[[#Headers],[21]],tabela_registros[REGISTRO],DADOS!$N$3,tabela_registros[TIPO],DADOS!$V$3,tabela_registros[CATEGORIA],receitasfixasconsolidadomar[[#This Row],[ATUAL]])</f>
        <v>0</v>
      </c>
      <c r="Z83" s="119" t="n">
        <f aca="false">SUMIFS(tabela_registros[VALOR],tabela_registros[MÊS],$AE$1,tabela_registros[DIA],receitasfixasconsolidadomar[[#Headers],[22]],tabela_registros[REGISTRO],DADOS!$N$3,tabela_registros[TIPO],DADOS!$V$3,tabela_registros[CATEGORIA],receitasfixasconsolidadomar[[#This Row],[ATUAL]])</f>
        <v>0</v>
      </c>
      <c r="AA83" s="119" t="n">
        <f aca="false">SUMIFS(tabela_registros[VALOR],tabela_registros[MÊS],$AE$1,tabela_registros[DIA],receitasfixasconsolidadomar[[#Headers],[23]],tabela_registros[REGISTRO],DADOS!$N$3,tabela_registros[TIPO],DADOS!$V$3,tabela_registros[CATEGORIA],receitasfixasconsolidadomar[[#This Row],[ATUAL]])</f>
        <v>0</v>
      </c>
      <c r="AB83" s="119" t="n">
        <f aca="false">SUMIFS(tabela_registros[VALOR],tabela_registros[MÊS],$AE$1,tabela_registros[DIA],receitasfixasconsolidadomar[[#Headers],[24]],tabela_registros[REGISTRO],DADOS!$N$3,tabela_registros[TIPO],DADOS!$V$3,tabela_registros[CATEGORIA],receitasfixasconsolidadomar[[#This Row],[ATUAL]])</f>
        <v>0</v>
      </c>
      <c r="AC83" s="119" t="n">
        <f aca="false">SUMIFS(tabela_registros[VALOR],tabela_registros[MÊS],$AE$1,tabela_registros[DIA],receitasfixasconsolidadomar[[#Headers],[25]],tabela_registros[REGISTRO],DADOS!$N$3,tabela_registros[TIPO],DADOS!$V$3,tabela_registros[CATEGORIA],receitasfixasconsolidadomar[[#This Row],[ATUAL]])</f>
        <v>0</v>
      </c>
      <c r="AD83" s="119" t="n">
        <f aca="false">SUMIFS(tabela_registros[VALOR],tabela_registros[MÊS],$AE$1,tabela_registros[DIA],receitasfixasconsolidadomar[[#Headers],[26]],tabela_registros[REGISTRO],DADOS!$N$3,tabela_registros[TIPO],DADOS!$V$3,tabela_registros[CATEGORIA],receitasfixasconsolidadomar[[#This Row],[ATUAL]])</f>
        <v>0</v>
      </c>
      <c r="AE83" s="119" t="n">
        <f aca="false">SUMIFS(tabela_registros[VALOR],tabela_registros[MÊS],$AE$1,tabela_registros[DIA],receitasfixasconsolidadomar[[#Headers],[27]],tabela_registros[REGISTRO],DADOS!$N$3,tabela_registros[TIPO],DADOS!$V$3,tabela_registros[CATEGORIA],receitasfixasconsolidadomar[[#This Row],[ATUAL]])</f>
        <v>0</v>
      </c>
      <c r="AF83" s="119" t="n">
        <f aca="false">SUMIFS(tabela_registros[VALOR],tabela_registros[MÊS],$AE$1,tabela_registros[DIA],receitasfixasconsolidadomar[[#Headers],[28]],tabela_registros[REGISTRO],DADOS!$N$3,tabela_registros[TIPO],DADOS!$V$3,tabela_registros[CATEGORIA],receitasfixasconsolidadomar[[#This Row],[ATUAL]])</f>
        <v>0</v>
      </c>
      <c r="AG83" s="119" t="n">
        <f aca="false">SUMIFS(tabela_registros[VALOR],tabela_registros[MÊS],$AE$1,tabela_registros[DIA],receitasfixasconsolidadomar[[#Headers],[29]],tabela_registros[REGISTRO],DADOS!$N$3,tabela_registros[TIPO],DADOS!$V$3,tabela_registros[CATEGORIA],receitasfixasconsolidadomar[[#This Row],[ATUAL]])</f>
        <v>0</v>
      </c>
      <c r="AH83" s="119" t="n">
        <f aca="false">SUMIFS(tabela_registros[VALOR],tabela_registros[MÊS],$AE$1,tabela_registros[DIA],receitasfixasconsolidadomar[[#Headers],[30]],tabela_registros[REGISTRO],DADOS!$N$3,tabela_registros[TIPO],DADOS!$V$3,tabela_registros[CATEGORIA],receitasfixasconsolidadomar[[#This Row],[ATUAL]])</f>
        <v>0</v>
      </c>
      <c r="AI83" s="217" t="n">
        <f aca="false">SUMIFS(tabela_registros[VALOR],tabela_registros[MÊS],$AE$1,tabela_registros[DIA],receitasfixasconsolidadomar[[#Headers],[31]],tabela_registros[REGISTRO],DADOS!$N$3,tabela_registros[TIPO],DADOS!$V$3,tabela_registros[CATEGORIA],receitasfixasconsolidadomar[[#This Row],[ATUAL]])</f>
        <v>0</v>
      </c>
      <c r="AJ83" s="149" t="n">
        <f aca="false">SUM(receitasfixasconsolidadomar[[#This Row],[1]:[31]])</f>
        <v>0</v>
      </c>
      <c r="AK83" s="165"/>
    </row>
    <row r="84" customFormat="false" ht="19.5" hidden="false" customHeight="true" outlineLevel="0" collapsed="false">
      <c r="B84" s="143"/>
      <c r="C84" s="144" t="str">
        <f aca="false">DADOS!$X$5</f>
        <v>🎀 MESADA</v>
      </c>
      <c r="D84" s="145" t="str">
        <f aca="false">IF(receitasfixasconsolidadomar[[#This Row],[TOTAL (R$)]]=0,"",IF(OR(receitasfixasconsolidadomar[[#This Row],[TOTAL (R$)]]=LARGE($AJ$82:$AJ$86,1),receitasfixasconsolidadomar[[#This Row],[TOTAL (R$)]]=LARGE($AJ$82:$AJ$86,2)),DADOS!$I$9,""))</f>
        <v/>
      </c>
      <c r="E84" s="148" t="n">
        <f aca="false">SUMIFS(tabela_registros[VALOR],tabela_registros[MÊS],$AE$1,tabela_registros[DIA],receitasfixasconsolidadomar[[#Headers],[1]],tabela_registros[REGISTRO],DADOS!$N$3,tabela_registros[TIPO],DADOS!$V$3,tabela_registros[CATEGORIA],receitasfixasconsolidadomar[[#This Row],[ATUAL]])</f>
        <v>0</v>
      </c>
      <c r="F84" s="119" t="n">
        <f aca="false">SUMIFS(tabela_registros[VALOR],tabela_registros[MÊS],$AE$1,tabela_registros[DIA],receitasfixasconsolidadomar[[#Headers],[2]],tabela_registros[REGISTRO],DADOS!$N$3,tabela_registros[TIPO],DADOS!$V$3,tabela_registros[CATEGORIA],receitasfixasconsolidadomar[[#This Row],[ATUAL]])</f>
        <v>0</v>
      </c>
      <c r="G84" s="119" t="n">
        <f aca="false">SUMIFS(tabela_registros[VALOR],tabela_registros[MÊS],$AE$1,tabela_registros[DIA],receitasfixasconsolidadomar[[#Headers],[3]],tabela_registros[REGISTRO],DADOS!$N$3,tabela_registros[TIPO],DADOS!$V$3,tabela_registros[CATEGORIA],receitasfixasconsolidadomar[[#This Row],[ATUAL]])</f>
        <v>0</v>
      </c>
      <c r="H84" s="119" t="n">
        <f aca="false">SUMIFS(tabela_registros[VALOR],tabela_registros[MÊS],$AE$1,tabela_registros[DIA],receitasfixasconsolidadomar[[#Headers],[4]],tabela_registros[REGISTRO],DADOS!$N$3,tabela_registros[TIPO],DADOS!$V$3,tabela_registros[CATEGORIA],receitasfixasconsolidadomar[[#This Row],[ATUAL]])</f>
        <v>0</v>
      </c>
      <c r="I84" s="119" t="n">
        <f aca="false">SUMIFS(tabela_registros[VALOR],tabela_registros[MÊS],$AE$1,tabela_registros[DIA],receitasfixasconsolidadomar[[#Headers],[5]],tabela_registros[REGISTRO],DADOS!$N$3,tabela_registros[TIPO],DADOS!$V$3,tabela_registros[CATEGORIA],receitasfixasconsolidadomar[[#This Row],[ATUAL]])</f>
        <v>0</v>
      </c>
      <c r="J84" s="119" t="n">
        <f aca="false">SUMIFS(tabela_registros[VALOR],tabela_registros[MÊS],$AE$1,tabela_registros[DIA],receitasfixasconsolidadomar[[#Headers],[6]],tabela_registros[REGISTRO],DADOS!$N$3,tabela_registros[TIPO],DADOS!$V$3,tabela_registros[CATEGORIA],receitasfixasconsolidadomar[[#This Row],[ATUAL]])</f>
        <v>0</v>
      </c>
      <c r="K84" s="119" t="n">
        <f aca="false">SUMIFS(tabela_registros[VALOR],tabela_registros[MÊS],$AE$1,tabela_registros[DIA],receitasfixasconsolidadomar[[#Headers],[7]],tabela_registros[REGISTRO],DADOS!$N$3,tabela_registros[TIPO],DADOS!$V$3,tabela_registros[CATEGORIA],receitasfixasconsolidadomar[[#This Row],[ATUAL]])</f>
        <v>0</v>
      </c>
      <c r="L84" s="119" t="n">
        <f aca="false">SUMIFS(tabela_registros[VALOR],tabela_registros[MÊS],$AE$1,tabela_registros[DIA],receitasfixasconsolidadomar[[#Headers],[8]],tabela_registros[REGISTRO],DADOS!$N$3,tabela_registros[TIPO],DADOS!$V$3,tabela_registros[CATEGORIA],receitasfixasconsolidadomar[[#This Row],[ATUAL]])</f>
        <v>0</v>
      </c>
      <c r="M84" s="119" t="n">
        <f aca="false">SUMIFS(tabela_registros[VALOR],tabela_registros[MÊS],$AE$1,tabela_registros[DIA],receitasfixasconsolidadomar[[#Headers],[9]],tabela_registros[REGISTRO],DADOS!$N$3,tabela_registros[TIPO],DADOS!$V$3,tabela_registros[CATEGORIA],receitasfixasconsolidadomar[[#This Row],[ATUAL]])</f>
        <v>0</v>
      </c>
      <c r="N84" s="119" t="n">
        <f aca="false">SUMIFS(tabela_registros[VALOR],tabela_registros[MÊS],$AE$1,tabela_registros[DIA],receitasfixasconsolidadomar[[#Headers],[10]],tabela_registros[REGISTRO],DADOS!$N$3,tabela_registros[TIPO],DADOS!$V$3,tabela_registros[CATEGORIA],receitasfixasconsolidadomar[[#This Row],[ATUAL]])</f>
        <v>0</v>
      </c>
      <c r="O84" s="119" t="n">
        <f aca="false">SUMIFS(tabela_registros[VALOR],tabela_registros[MÊS],$AE$1,tabela_registros[DIA],receitasfixasconsolidadomar[[#Headers],[11]],tabela_registros[REGISTRO],DADOS!$N$3,tabela_registros[TIPO],DADOS!$V$3,tabela_registros[CATEGORIA],receitasfixasconsolidadomar[[#This Row],[ATUAL]])</f>
        <v>0</v>
      </c>
      <c r="P84" s="119" t="n">
        <f aca="false">SUMIFS(tabela_registros[VALOR],tabela_registros[MÊS],$AE$1,tabela_registros[DIA],receitasfixasconsolidadomar[[#Headers],[12]],tabela_registros[REGISTRO],DADOS!$N$3,tabela_registros[TIPO],DADOS!$V$3,tabela_registros[CATEGORIA],receitasfixasconsolidadomar[[#This Row],[ATUAL]])</f>
        <v>0</v>
      </c>
      <c r="Q84" s="119" t="n">
        <f aca="false">SUMIFS(tabela_registros[VALOR],tabela_registros[MÊS],$AE$1,tabela_registros[DIA],receitasfixasconsolidadomar[[#Headers],[13]],tabela_registros[REGISTRO],DADOS!$N$3,tabela_registros[TIPO],DADOS!$V$3,tabela_registros[CATEGORIA],receitasfixasconsolidadomar[[#This Row],[ATUAL]])</f>
        <v>0</v>
      </c>
      <c r="R84" s="119" t="n">
        <f aca="false">SUMIFS(tabela_registros[VALOR],tabela_registros[MÊS],$AE$1,tabela_registros[DIA],receitasfixasconsolidadomar[[#Headers],[14]],tabela_registros[REGISTRO],DADOS!$N$3,tabela_registros[TIPO],DADOS!$V$3,tabela_registros[CATEGORIA],receitasfixasconsolidadomar[[#This Row],[ATUAL]])</f>
        <v>0</v>
      </c>
      <c r="S84" s="119" t="n">
        <f aca="false">SUMIFS(tabela_registros[VALOR],tabela_registros[MÊS],$AE$1,tabela_registros[DIA],receitasfixasconsolidadomar[[#Headers],[15]],tabela_registros[REGISTRO],DADOS!$N$3,tabela_registros[TIPO],DADOS!$V$3,tabela_registros[CATEGORIA],receitasfixasconsolidadomar[[#This Row],[ATUAL]])</f>
        <v>0</v>
      </c>
      <c r="T84" s="119" t="n">
        <f aca="false">SUMIFS(tabela_registros[VALOR],tabela_registros[MÊS],$AE$1,tabela_registros[DIA],receitasfixasconsolidadomar[[#Headers],[16]],tabela_registros[REGISTRO],DADOS!$N$3,tabela_registros[TIPO],DADOS!$V$3,tabela_registros[CATEGORIA],receitasfixasconsolidadomar[[#This Row],[ATUAL]])</f>
        <v>0</v>
      </c>
      <c r="U84" s="119" t="n">
        <f aca="false">SUMIFS(tabela_registros[VALOR],tabela_registros[MÊS],$AE$1,tabela_registros[DIA],receitasfixasconsolidadomar[[#Headers],[17]],tabela_registros[REGISTRO],DADOS!$N$3,tabela_registros[TIPO],DADOS!$V$3,tabela_registros[CATEGORIA],receitasfixasconsolidadomar[[#This Row],[ATUAL]])</f>
        <v>0</v>
      </c>
      <c r="V84" s="119" t="n">
        <f aca="false">SUMIFS(tabela_registros[VALOR],tabela_registros[MÊS],$AE$1,tabela_registros[DIA],receitasfixasconsolidadomar[[#Headers],[18]],tabela_registros[REGISTRO],DADOS!$N$3,tabela_registros[TIPO],DADOS!$V$3,tabela_registros[CATEGORIA],receitasfixasconsolidadomar[[#This Row],[ATUAL]])</f>
        <v>0</v>
      </c>
      <c r="W84" s="119" t="n">
        <f aca="false">SUMIFS(tabela_registros[VALOR],tabela_registros[MÊS],$AE$1,tabela_registros[DIA],receitasfixasconsolidadomar[[#Headers],[19]],tabela_registros[REGISTRO],DADOS!$N$3,tabela_registros[TIPO],DADOS!$V$3,tabela_registros[CATEGORIA],receitasfixasconsolidadomar[[#This Row],[ATUAL]])</f>
        <v>0</v>
      </c>
      <c r="X84" s="119" t="n">
        <f aca="false">SUMIFS(tabela_registros[VALOR],tabela_registros[MÊS],$AE$1,tabela_registros[DIA],receitasfixasconsolidadomar[[#Headers],[20]],tabela_registros[REGISTRO],DADOS!$N$3,tabela_registros[TIPO],DADOS!$V$3,tabela_registros[CATEGORIA],receitasfixasconsolidadomar[[#This Row],[ATUAL]])</f>
        <v>0</v>
      </c>
      <c r="Y84" s="119" t="n">
        <f aca="false">SUMIFS(tabela_registros[VALOR],tabela_registros[MÊS],$AE$1,tabela_registros[DIA],receitasfixasconsolidadomar[[#Headers],[21]],tabela_registros[REGISTRO],DADOS!$N$3,tabela_registros[TIPO],DADOS!$V$3,tabela_registros[CATEGORIA],receitasfixasconsolidadomar[[#This Row],[ATUAL]])</f>
        <v>0</v>
      </c>
      <c r="Z84" s="119" t="n">
        <f aca="false">SUMIFS(tabela_registros[VALOR],tabela_registros[MÊS],$AE$1,tabela_registros[DIA],receitasfixasconsolidadomar[[#Headers],[22]],tabela_registros[REGISTRO],DADOS!$N$3,tabela_registros[TIPO],DADOS!$V$3,tabela_registros[CATEGORIA],receitasfixasconsolidadomar[[#This Row],[ATUAL]])</f>
        <v>0</v>
      </c>
      <c r="AA84" s="119" t="n">
        <f aca="false">SUMIFS(tabela_registros[VALOR],tabela_registros[MÊS],$AE$1,tabela_registros[DIA],receitasfixasconsolidadomar[[#Headers],[23]],tabela_registros[REGISTRO],DADOS!$N$3,tabela_registros[TIPO],DADOS!$V$3,tabela_registros[CATEGORIA],receitasfixasconsolidadomar[[#This Row],[ATUAL]])</f>
        <v>0</v>
      </c>
      <c r="AB84" s="119" t="n">
        <f aca="false">SUMIFS(tabela_registros[VALOR],tabela_registros[MÊS],$AE$1,tabela_registros[DIA],receitasfixasconsolidadomar[[#Headers],[24]],tabela_registros[REGISTRO],DADOS!$N$3,tabela_registros[TIPO],DADOS!$V$3,tabela_registros[CATEGORIA],receitasfixasconsolidadomar[[#This Row],[ATUAL]])</f>
        <v>0</v>
      </c>
      <c r="AC84" s="119" t="n">
        <f aca="false">SUMIFS(tabela_registros[VALOR],tabela_registros[MÊS],$AE$1,tabela_registros[DIA],receitasfixasconsolidadomar[[#Headers],[25]],tabela_registros[REGISTRO],DADOS!$N$3,tabela_registros[TIPO],DADOS!$V$3,tabela_registros[CATEGORIA],receitasfixasconsolidadomar[[#This Row],[ATUAL]])</f>
        <v>0</v>
      </c>
      <c r="AD84" s="119" t="n">
        <f aca="false">SUMIFS(tabela_registros[VALOR],tabela_registros[MÊS],$AE$1,tabela_registros[DIA],receitasfixasconsolidadomar[[#Headers],[26]],tabela_registros[REGISTRO],DADOS!$N$3,tabela_registros[TIPO],DADOS!$V$3,tabela_registros[CATEGORIA],receitasfixasconsolidadomar[[#This Row],[ATUAL]])</f>
        <v>0</v>
      </c>
      <c r="AE84" s="119" t="n">
        <f aca="false">SUMIFS(tabela_registros[VALOR],tabela_registros[MÊS],$AE$1,tabela_registros[DIA],receitasfixasconsolidadomar[[#Headers],[27]],tabela_registros[REGISTRO],DADOS!$N$3,tabela_registros[TIPO],DADOS!$V$3,tabela_registros[CATEGORIA],receitasfixasconsolidadomar[[#This Row],[ATUAL]])</f>
        <v>0</v>
      </c>
      <c r="AF84" s="119" t="n">
        <f aca="false">SUMIFS(tabela_registros[VALOR],tabela_registros[MÊS],$AE$1,tabela_registros[DIA],receitasfixasconsolidadomar[[#Headers],[28]],tabela_registros[REGISTRO],DADOS!$N$3,tabela_registros[TIPO],DADOS!$V$3,tabela_registros[CATEGORIA],receitasfixasconsolidadomar[[#This Row],[ATUAL]])</f>
        <v>0</v>
      </c>
      <c r="AG84" s="119" t="n">
        <f aca="false">SUMIFS(tabela_registros[VALOR],tabela_registros[MÊS],$AE$1,tabela_registros[DIA],receitasfixasconsolidadomar[[#Headers],[29]],tabela_registros[REGISTRO],DADOS!$N$3,tabela_registros[TIPO],DADOS!$V$3,tabela_registros[CATEGORIA],receitasfixasconsolidadomar[[#This Row],[ATUAL]])</f>
        <v>0</v>
      </c>
      <c r="AH84" s="119" t="n">
        <f aca="false">SUMIFS(tabela_registros[VALOR],tabela_registros[MÊS],$AE$1,tabela_registros[DIA],receitasfixasconsolidadomar[[#Headers],[30]],tabela_registros[REGISTRO],DADOS!$N$3,tabela_registros[TIPO],DADOS!$V$3,tabela_registros[CATEGORIA],receitasfixasconsolidadomar[[#This Row],[ATUAL]])</f>
        <v>0</v>
      </c>
      <c r="AI84" s="217" t="n">
        <f aca="false">SUMIFS(tabela_registros[VALOR],tabela_registros[MÊS],$AE$1,tabela_registros[DIA],receitasfixasconsolidadomar[[#Headers],[31]],tabela_registros[REGISTRO],DADOS!$N$3,tabela_registros[TIPO],DADOS!$V$3,tabela_registros[CATEGORIA],receitasfixasconsolidadomar[[#This Row],[ATUAL]])</f>
        <v>0</v>
      </c>
      <c r="AJ84" s="149" t="n">
        <f aca="false">SUM(receitasfixasconsolidadomar[[#This Row],[1]:[31]])</f>
        <v>0</v>
      </c>
      <c r="AK84" s="165"/>
    </row>
    <row r="85" customFormat="false" ht="19.5" hidden="false" customHeight="true" outlineLevel="0" collapsed="false">
      <c r="B85" s="143"/>
      <c r="C85" s="144" t="str">
        <f aca="false">DADOS!$X$6</f>
        <v>💰 SALÁRIO</v>
      </c>
      <c r="D85" s="145" t="str">
        <f aca="false">IF(receitasfixasconsolidadomar[[#This Row],[TOTAL (R$)]]=0,"",IF(OR(receitasfixasconsolidadomar[[#This Row],[TOTAL (R$)]]=LARGE($AJ$82:$AJ$86,1),receitasfixasconsolidadomar[[#This Row],[TOTAL (R$)]]=LARGE($AJ$82:$AJ$86,2)),DADOS!$I$9,""))</f>
        <v/>
      </c>
      <c r="E85" s="148" t="n">
        <f aca="false">SUMIFS(tabela_registros[VALOR],tabela_registros[MÊS],$AE$1,tabela_registros[DIA],receitasfixasconsolidadomar[[#Headers],[1]],tabela_registros[REGISTRO],DADOS!$N$3,tabela_registros[TIPO],DADOS!$V$3,tabela_registros[CATEGORIA],receitasfixasconsolidadomar[[#This Row],[ATUAL]])</f>
        <v>0</v>
      </c>
      <c r="F85" s="119" t="n">
        <f aca="false">SUMIFS(tabela_registros[VALOR],tabela_registros[MÊS],$AE$1,tabela_registros[DIA],receitasfixasconsolidadomar[[#Headers],[2]],tabela_registros[REGISTRO],DADOS!$N$3,tabela_registros[TIPO],DADOS!$V$3,tabela_registros[CATEGORIA],receitasfixasconsolidadomar[[#This Row],[ATUAL]])</f>
        <v>0</v>
      </c>
      <c r="G85" s="119" t="n">
        <f aca="false">SUMIFS(tabela_registros[VALOR],tabela_registros[MÊS],$AE$1,tabela_registros[DIA],receitasfixasconsolidadomar[[#Headers],[3]],tabela_registros[REGISTRO],DADOS!$N$3,tabela_registros[TIPO],DADOS!$V$3,tabela_registros[CATEGORIA],receitasfixasconsolidadomar[[#This Row],[ATUAL]])</f>
        <v>0</v>
      </c>
      <c r="H85" s="119" t="n">
        <f aca="false">SUMIFS(tabela_registros[VALOR],tabela_registros[MÊS],$AE$1,tabela_registros[DIA],receitasfixasconsolidadomar[[#Headers],[4]],tabela_registros[REGISTRO],DADOS!$N$3,tabela_registros[TIPO],DADOS!$V$3,tabela_registros[CATEGORIA],receitasfixasconsolidadomar[[#This Row],[ATUAL]])</f>
        <v>0</v>
      </c>
      <c r="I85" s="119" t="n">
        <f aca="false">SUMIFS(tabela_registros[VALOR],tabela_registros[MÊS],$AE$1,tabela_registros[DIA],receitasfixasconsolidadomar[[#Headers],[5]],tabela_registros[REGISTRO],DADOS!$N$3,tabela_registros[TIPO],DADOS!$V$3,tabela_registros[CATEGORIA],receitasfixasconsolidadomar[[#This Row],[ATUAL]])</f>
        <v>0</v>
      </c>
      <c r="J85" s="119" t="n">
        <f aca="false">SUMIFS(tabela_registros[VALOR],tabela_registros[MÊS],$AE$1,tabela_registros[DIA],receitasfixasconsolidadomar[[#Headers],[6]],tabela_registros[REGISTRO],DADOS!$N$3,tabela_registros[TIPO],DADOS!$V$3,tabela_registros[CATEGORIA],receitasfixasconsolidadomar[[#This Row],[ATUAL]])</f>
        <v>0</v>
      </c>
      <c r="K85" s="119" t="n">
        <f aca="false">SUMIFS(tabela_registros[VALOR],tabela_registros[MÊS],$AE$1,tabela_registros[DIA],receitasfixasconsolidadomar[[#Headers],[7]],tabela_registros[REGISTRO],DADOS!$N$3,tabela_registros[TIPO],DADOS!$V$3,tabela_registros[CATEGORIA],receitasfixasconsolidadomar[[#This Row],[ATUAL]])</f>
        <v>0</v>
      </c>
      <c r="L85" s="119" t="n">
        <f aca="false">SUMIFS(tabela_registros[VALOR],tabela_registros[MÊS],$AE$1,tabela_registros[DIA],receitasfixasconsolidadomar[[#Headers],[8]],tabela_registros[REGISTRO],DADOS!$N$3,tabela_registros[TIPO],DADOS!$V$3,tabela_registros[CATEGORIA],receitasfixasconsolidadomar[[#This Row],[ATUAL]])</f>
        <v>0</v>
      </c>
      <c r="M85" s="119" t="n">
        <f aca="false">SUMIFS(tabela_registros[VALOR],tabela_registros[MÊS],$AE$1,tabela_registros[DIA],receitasfixasconsolidadomar[[#Headers],[9]],tabela_registros[REGISTRO],DADOS!$N$3,tabela_registros[TIPO],DADOS!$V$3,tabela_registros[CATEGORIA],receitasfixasconsolidadomar[[#This Row],[ATUAL]])</f>
        <v>0</v>
      </c>
      <c r="N85" s="119" t="n">
        <f aca="false">SUMIFS(tabela_registros[VALOR],tabela_registros[MÊS],$AE$1,tabela_registros[DIA],receitasfixasconsolidadomar[[#Headers],[10]],tabela_registros[REGISTRO],DADOS!$N$3,tabela_registros[TIPO],DADOS!$V$3,tabela_registros[CATEGORIA],receitasfixasconsolidadomar[[#This Row],[ATUAL]])</f>
        <v>0</v>
      </c>
      <c r="O85" s="119" t="n">
        <f aca="false">SUMIFS(tabela_registros[VALOR],tabela_registros[MÊS],$AE$1,tabela_registros[DIA],receitasfixasconsolidadomar[[#Headers],[11]],tabela_registros[REGISTRO],DADOS!$N$3,tabela_registros[TIPO],DADOS!$V$3,tabela_registros[CATEGORIA],receitasfixasconsolidadomar[[#This Row],[ATUAL]])</f>
        <v>0</v>
      </c>
      <c r="P85" s="119" t="n">
        <f aca="false">SUMIFS(tabela_registros[VALOR],tabela_registros[MÊS],$AE$1,tabela_registros[DIA],receitasfixasconsolidadomar[[#Headers],[12]],tabela_registros[REGISTRO],DADOS!$N$3,tabela_registros[TIPO],DADOS!$V$3,tabela_registros[CATEGORIA],receitasfixasconsolidadomar[[#This Row],[ATUAL]])</f>
        <v>0</v>
      </c>
      <c r="Q85" s="119" t="n">
        <f aca="false">SUMIFS(tabela_registros[VALOR],tabela_registros[MÊS],$AE$1,tabela_registros[DIA],receitasfixasconsolidadomar[[#Headers],[13]],tabela_registros[REGISTRO],DADOS!$N$3,tabela_registros[TIPO],DADOS!$V$3,tabela_registros[CATEGORIA],receitasfixasconsolidadomar[[#This Row],[ATUAL]])</f>
        <v>0</v>
      </c>
      <c r="R85" s="119" t="n">
        <f aca="false">SUMIFS(tabela_registros[VALOR],tabela_registros[MÊS],$AE$1,tabela_registros[DIA],receitasfixasconsolidadomar[[#Headers],[14]],tabela_registros[REGISTRO],DADOS!$N$3,tabela_registros[TIPO],DADOS!$V$3,tabela_registros[CATEGORIA],receitasfixasconsolidadomar[[#This Row],[ATUAL]])</f>
        <v>0</v>
      </c>
      <c r="S85" s="119" t="n">
        <f aca="false">SUMIFS(tabela_registros[VALOR],tabela_registros[MÊS],$AE$1,tabela_registros[DIA],receitasfixasconsolidadomar[[#Headers],[15]],tabela_registros[REGISTRO],DADOS!$N$3,tabela_registros[TIPO],DADOS!$V$3,tabela_registros[CATEGORIA],receitasfixasconsolidadomar[[#This Row],[ATUAL]])</f>
        <v>0</v>
      </c>
      <c r="T85" s="119" t="n">
        <f aca="false">SUMIFS(tabela_registros[VALOR],tabela_registros[MÊS],$AE$1,tabela_registros[DIA],receitasfixasconsolidadomar[[#Headers],[16]],tabela_registros[REGISTRO],DADOS!$N$3,tabela_registros[TIPO],DADOS!$V$3,tabela_registros[CATEGORIA],receitasfixasconsolidadomar[[#This Row],[ATUAL]])</f>
        <v>0</v>
      </c>
      <c r="U85" s="119" t="n">
        <f aca="false">SUMIFS(tabela_registros[VALOR],tabela_registros[MÊS],$AE$1,tabela_registros[DIA],receitasfixasconsolidadomar[[#Headers],[17]],tabela_registros[REGISTRO],DADOS!$N$3,tabela_registros[TIPO],DADOS!$V$3,tabela_registros[CATEGORIA],receitasfixasconsolidadomar[[#This Row],[ATUAL]])</f>
        <v>0</v>
      </c>
      <c r="V85" s="119" t="n">
        <f aca="false">SUMIFS(tabela_registros[VALOR],tabela_registros[MÊS],$AE$1,tabela_registros[DIA],receitasfixasconsolidadomar[[#Headers],[18]],tabela_registros[REGISTRO],DADOS!$N$3,tabela_registros[TIPO],DADOS!$V$3,tabela_registros[CATEGORIA],receitasfixasconsolidadomar[[#This Row],[ATUAL]])</f>
        <v>0</v>
      </c>
      <c r="W85" s="119" t="n">
        <f aca="false">SUMIFS(tabela_registros[VALOR],tabela_registros[MÊS],$AE$1,tabela_registros[DIA],receitasfixasconsolidadomar[[#Headers],[19]],tabela_registros[REGISTRO],DADOS!$N$3,tabela_registros[TIPO],DADOS!$V$3,tabela_registros[CATEGORIA],receitasfixasconsolidadomar[[#This Row],[ATUAL]])</f>
        <v>0</v>
      </c>
      <c r="X85" s="119" t="n">
        <f aca="false">SUMIFS(tabela_registros[VALOR],tabela_registros[MÊS],$AE$1,tabela_registros[DIA],receitasfixasconsolidadomar[[#Headers],[20]],tabela_registros[REGISTRO],DADOS!$N$3,tabela_registros[TIPO],DADOS!$V$3,tabela_registros[CATEGORIA],receitasfixasconsolidadomar[[#This Row],[ATUAL]])</f>
        <v>0</v>
      </c>
      <c r="Y85" s="119" t="n">
        <f aca="false">SUMIFS(tabela_registros[VALOR],tabela_registros[MÊS],$AE$1,tabela_registros[DIA],receitasfixasconsolidadomar[[#Headers],[21]],tabela_registros[REGISTRO],DADOS!$N$3,tabela_registros[TIPO],DADOS!$V$3,tabela_registros[CATEGORIA],receitasfixasconsolidadomar[[#This Row],[ATUAL]])</f>
        <v>0</v>
      </c>
      <c r="Z85" s="119" t="n">
        <f aca="false">SUMIFS(tabela_registros[VALOR],tabela_registros[MÊS],$AE$1,tabela_registros[DIA],receitasfixasconsolidadomar[[#Headers],[22]],tabela_registros[REGISTRO],DADOS!$N$3,tabela_registros[TIPO],DADOS!$V$3,tabela_registros[CATEGORIA],receitasfixasconsolidadomar[[#This Row],[ATUAL]])</f>
        <v>0</v>
      </c>
      <c r="AA85" s="119" t="n">
        <f aca="false">SUMIFS(tabela_registros[VALOR],tabela_registros[MÊS],$AE$1,tabela_registros[DIA],receitasfixasconsolidadomar[[#Headers],[23]],tabela_registros[REGISTRO],DADOS!$N$3,tabela_registros[TIPO],DADOS!$V$3,tabela_registros[CATEGORIA],receitasfixasconsolidadomar[[#This Row],[ATUAL]])</f>
        <v>0</v>
      </c>
      <c r="AB85" s="119" t="n">
        <f aca="false">SUMIFS(tabela_registros[VALOR],tabela_registros[MÊS],$AE$1,tabela_registros[DIA],receitasfixasconsolidadomar[[#Headers],[24]],tabela_registros[REGISTRO],DADOS!$N$3,tabela_registros[TIPO],DADOS!$V$3,tabela_registros[CATEGORIA],receitasfixasconsolidadomar[[#This Row],[ATUAL]])</f>
        <v>0</v>
      </c>
      <c r="AC85" s="119" t="n">
        <f aca="false">SUMIFS(tabela_registros[VALOR],tabela_registros[MÊS],$AE$1,tabela_registros[DIA],receitasfixasconsolidadomar[[#Headers],[25]],tabela_registros[REGISTRO],DADOS!$N$3,tabela_registros[TIPO],DADOS!$V$3,tabela_registros[CATEGORIA],receitasfixasconsolidadomar[[#This Row],[ATUAL]])</f>
        <v>0</v>
      </c>
      <c r="AD85" s="119" t="n">
        <f aca="false">SUMIFS(tabela_registros[VALOR],tabela_registros[MÊS],$AE$1,tabela_registros[DIA],receitasfixasconsolidadomar[[#Headers],[26]],tabela_registros[REGISTRO],DADOS!$N$3,tabela_registros[TIPO],DADOS!$V$3,tabela_registros[CATEGORIA],receitasfixasconsolidadomar[[#This Row],[ATUAL]])</f>
        <v>0</v>
      </c>
      <c r="AE85" s="119" t="n">
        <f aca="false">SUMIFS(tabela_registros[VALOR],tabela_registros[MÊS],$AE$1,tabela_registros[DIA],receitasfixasconsolidadomar[[#Headers],[27]],tabela_registros[REGISTRO],DADOS!$N$3,tabela_registros[TIPO],DADOS!$V$3,tabela_registros[CATEGORIA],receitasfixasconsolidadomar[[#This Row],[ATUAL]])</f>
        <v>0</v>
      </c>
      <c r="AF85" s="119" t="n">
        <f aca="false">SUMIFS(tabela_registros[VALOR],tabela_registros[MÊS],$AE$1,tabela_registros[DIA],receitasfixasconsolidadomar[[#Headers],[28]],tabela_registros[REGISTRO],DADOS!$N$3,tabela_registros[TIPO],DADOS!$V$3,tabela_registros[CATEGORIA],receitasfixasconsolidadomar[[#This Row],[ATUAL]])</f>
        <v>0</v>
      </c>
      <c r="AG85" s="119" t="n">
        <f aca="false">SUMIFS(tabela_registros[VALOR],tabela_registros[MÊS],$AE$1,tabela_registros[DIA],receitasfixasconsolidadomar[[#Headers],[29]],tabela_registros[REGISTRO],DADOS!$N$3,tabela_registros[TIPO],DADOS!$V$3,tabela_registros[CATEGORIA],receitasfixasconsolidadomar[[#This Row],[ATUAL]])</f>
        <v>0</v>
      </c>
      <c r="AH85" s="119" t="n">
        <f aca="false">SUMIFS(tabela_registros[VALOR],tabela_registros[MÊS],$AE$1,tabela_registros[DIA],receitasfixasconsolidadomar[[#Headers],[30]],tabela_registros[REGISTRO],DADOS!$N$3,tabela_registros[TIPO],DADOS!$V$3,tabela_registros[CATEGORIA],receitasfixasconsolidadomar[[#This Row],[ATUAL]])</f>
        <v>0</v>
      </c>
      <c r="AI85" s="217" t="n">
        <f aca="false">SUMIFS(tabela_registros[VALOR],tabela_registros[MÊS],$AE$1,tabela_registros[DIA],receitasfixasconsolidadomar[[#Headers],[31]],tabela_registros[REGISTRO],DADOS!$N$3,tabela_registros[TIPO],DADOS!$V$3,tabela_registros[CATEGORIA],receitasfixasconsolidadomar[[#This Row],[ATUAL]])</f>
        <v>0</v>
      </c>
      <c r="AJ85" s="149" t="n">
        <f aca="false">SUM(receitasfixasconsolidadomar[[#This Row],[1]:[31]])</f>
        <v>0</v>
      </c>
      <c r="AK85" s="165"/>
    </row>
    <row r="86" customFormat="false" ht="18" hidden="false" customHeight="true" outlineLevel="0" collapsed="false">
      <c r="B86" s="143"/>
      <c r="C86" s="144" t="str">
        <f aca="false">DADOS!$X$7</f>
        <v>📎 OUTROS</v>
      </c>
      <c r="D86" s="145" t="str">
        <f aca="false">IF(receitasfixasconsolidadomar[[#This Row],[TOTAL (R$)]]=0,"",IF(OR(receitasfixasconsolidadomar[[#This Row],[TOTAL (R$)]]=LARGE($AJ$82:$AJ$86,1),receitasfixasconsolidadomar[[#This Row],[TOTAL (R$)]]=LARGE($AJ$82:$AJ$86,2)),DADOS!$I$9,""))</f>
        <v/>
      </c>
      <c r="E86" s="148" t="n">
        <f aca="false">SUMIFS(tabela_registros[VALOR],tabela_registros[MÊS],$AE$1,tabela_registros[DIA],receitasfixasconsolidadomar[[#Headers],[1]],tabela_registros[REGISTRO],DADOS!$N$3,tabela_registros[TIPO],DADOS!$V$3,tabela_registros[CATEGORIA],receitasfixasconsolidadomar[[#This Row],[ATUAL]])</f>
        <v>0</v>
      </c>
      <c r="F86" s="119" t="n">
        <f aca="false">SUMIFS(tabela_registros[VALOR],tabela_registros[MÊS],$AE$1,tabela_registros[DIA],receitasfixasconsolidadomar[[#Headers],[2]],tabela_registros[REGISTRO],DADOS!$N$3,tabela_registros[TIPO],DADOS!$V$3,tabela_registros[CATEGORIA],receitasfixasconsolidadomar[[#This Row],[ATUAL]])</f>
        <v>0</v>
      </c>
      <c r="G86" s="119" t="n">
        <f aca="false">SUMIFS(tabela_registros[VALOR],tabela_registros[MÊS],$AE$1,tabela_registros[DIA],receitasfixasconsolidadomar[[#Headers],[3]],tabela_registros[REGISTRO],DADOS!$N$3,tabela_registros[TIPO],DADOS!$V$3,tabela_registros[CATEGORIA],receitasfixasconsolidadomar[[#This Row],[ATUAL]])</f>
        <v>0</v>
      </c>
      <c r="H86" s="119" t="n">
        <f aca="false">SUMIFS(tabela_registros[VALOR],tabela_registros[MÊS],$AE$1,tabela_registros[DIA],receitasfixasconsolidadomar[[#Headers],[4]],tabela_registros[REGISTRO],DADOS!$N$3,tabela_registros[TIPO],DADOS!$V$3,tabela_registros[CATEGORIA],receitasfixasconsolidadomar[[#This Row],[ATUAL]])</f>
        <v>0</v>
      </c>
      <c r="I86" s="119" t="n">
        <f aca="false">SUMIFS(tabela_registros[VALOR],tabela_registros[MÊS],$AE$1,tabela_registros[DIA],receitasfixasconsolidadomar[[#Headers],[5]],tabela_registros[REGISTRO],DADOS!$N$3,tabela_registros[TIPO],DADOS!$V$3,tabela_registros[CATEGORIA],receitasfixasconsolidadomar[[#This Row],[ATUAL]])</f>
        <v>0</v>
      </c>
      <c r="J86" s="119" t="n">
        <f aca="false">SUMIFS(tabela_registros[VALOR],tabela_registros[MÊS],$AE$1,tabela_registros[DIA],receitasfixasconsolidadomar[[#Headers],[6]],tabela_registros[REGISTRO],DADOS!$N$3,tabela_registros[TIPO],DADOS!$V$3,tabela_registros[CATEGORIA],receitasfixasconsolidadomar[[#This Row],[ATUAL]])</f>
        <v>0</v>
      </c>
      <c r="K86" s="119" t="n">
        <f aca="false">SUMIFS(tabela_registros[VALOR],tabela_registros[MÊS],$AE$1,tabela_registros[DIA],receitasfixasconsolidadomar[[#Headers],[7]],tabela_registros[REGISTRO],DADOS!$N$3,tabela_registros[TIPO],DADOS!$V$3,tabela_registros[CATEGORIA],receitasfixasconsolidadomar[[#This Row],[ATUAL]])</f>
        <v>0</v>
      </c>
      <c r="L86" s="119" t="n">
        <f aca="false">SUMIFS(tabela_registros[VALOR],tabela_registros[MÊS],$AE$1,tabela_registros[DIA],receitasfixasconsolidadomar[[#Headers],[8]],tabela_registros[REGISTRO],DADOS!$N$3,tabela_registros[TIPO],DADOS!$V$3,tabela_registros[CATEGORIA],receitasfixasconsolidadomar[[#This Row],[ATUAL]])</f>
        <v>0</v>
      </c>
      <c r="M86" s="119" t="n">
        <f aca="false">SUMIFS(tabela_registros[VALOR],tabela_registros[MÊS],$AE$1,tabela_registros[DIA],receitasfixasconsolidadomar[[#Headers],[9]],tabela_registros[REGISTRO],DADOS!$N$3,tabela_registros[TIPO],DADOS!$V$3,tabela_registros[CATEGORIA],receitasfixasconsolidadomar[[#This Row],[ATUAL]])</f>
        <v>0</v>
      </c>
      <c r="N86" s="119" t="n">
        <f aca="false">SUMIFS(tabela_registros[VALOR],tabela_registros[MÊS],$AE$1,tabela_registros[DIA],receitasfixasconsolidadomar[[#Headers],[10]],tabela_registros[REGISTRO],DADOS!$N$3,tabela_registros[TIPO],DADOS!$V$3,tabela_registros[CATEGORIA],receitasfixasconsolidadomar[[#This Row],[ATUAL]])</f>
        <v>0</v>
      </c>
      <c r="O86" s="119" t="n">
        <f aca="false">SUMIFS(tabela_registros[VALOR],tabela_registros[MÊS],$AE$1,tabela_registros[DIA],receitasfixasconsolidadomar[[#Headers],[11]],tabela_registros[REGISTRO],DADOS!$N$3,tabela_registros[TIPO],DADOS!$V$3,tabela_registros[CATEGORIA],receitasfixasconsolidadomar[[#This Row],[ATUAL]])</f>
        <v>0</v>
      </c>
      <c r="P86" s="119" t="n">
        <f aca="false">SUMIFS(tabela_registros[VALOR],tabela_registros[MÊS],$AE$1,tabela_registros[DIA],receitasfixasconsolidadomar[[#Headers],[12]],tabela_registros[REGISTRO],DADOS!$N$3,tabela_registros[TIPO],DADOS!$V$3,tabela_registros[CATEGORIA],receitasfixasconsolidadomar[[#This Row],[ATUAL]])</f>
        <v>0</v>
      </c>
      <c r="Q86" s="119" t="n">
        <f aca="false">SUMIFS(tabela_registros[VALOR],tabela_registros[MÊS],$AE$1,tabela_registros[DIA],receitasfixasconsolidadomar[[#Headers],[13]],tabela_registros[REGISTRO],DADOS!$N$3,tabela_registros[TIPO],DADOS!$V$3,tabela_registros[CATEGORIA],receitasfixasconsolidadomar[[#This Row],[ATUAL]])</f>
        <v>0</v>
      </c>
      <c r="R86" s="119" t="n">
        <f aca="false">SUMIFS(tabela_registros[VALOR],tabela_registros[MÊS],$AE$1,tabela_registros[DIA],receitasfixasconsolidadomar[[#Headers],[14]],tabela_registros[REGISTRO],DADOS!$N$3,tabela_registros[TIPO],DADOS!$V$3,tabela_registros[CATEGORIA],receitasfixasconsolidadomar[[#This Row],[ATUAL]])</f>
        <v>0</v>
      </c>
      <c r="S86" s="119" t="n">
        <f aca="false">SUMIFS(tabela_registros[VALOR],tabela_registros[MÊS],$AE$1,tabela_registros[DIA],receitasfixasconsolidadomar[[#Headers],[15]],tabela_registros[REGISTRO],DADOS!$N$3,tabela_registros[TIPO],DADOS!$V$3,tabela_registros[CATEGORIA],receitasfixasconsolidadomar[[#This Row],[ATUAL]])</f>
        <v>0</v>
      </c>
      <c r="T86" s="119" t="n">
        <f aca="false">SUMIFS(tabela_registros[VALOR],tabela_registros[MÊS],$AE$1,tabela_registros[DIA],receitasfixasconsolidadomar[[#Headers],[16]],tabela_registros[REGISTRO],DADOS!$N$3,tabela_registros[TIPO],DADOS!$V$3,tabela_registros[CATEGORIA],receitasfixasconsolidadomar[[#This Row],[ATUAL]])</f>
        <v>0</v>
      </c>
      <c r="U86" s="119" t="n">
        <f aca="false">SUMIFS(tabela_registros[VALOR],tabela_registros[MÊS],$AE$1,tabela_registros[DIA],receitasfixasconsolidadomar[[#Headers],[17]],tabela_registros[REGISTRO],DADOS!$N$3,tabela_registros[TIPO],DADOS!$V$3,tabela_registros[CATEGORIA],receitasfixasconsolidadomar[[#This Row],[ATUAL]])</f>
        <v>0</v>
      </c>
      <c r="V86" s="119" t="n">
        <f aca="false">SUMIFS(tabela_registros[VALOR],tabela_registros[MÊS],$AE$1,tabela_registros[DIA],receitasfixasconsolidadomar[[#Headers],[18]],tabela_registros[REGISTRO],DADOS!$N$3,tabela_registros[TIPO],DADOS!$V$3,tabela_registros[CATEGORIA],receitasfixasconsolidadomar[[#This Row],[ATUAL]])</f>
        <v>0</v>
      </c>
      <c r="W86" s="119" t="n">
        <f aca="false">SUMIFS(tabela_registros[VALOR],tabela_registros[MÊS],$AE$1,tabela_registros[DIA],receitasfixasconsolidadomar[[#Headers],[19]],tabela_registros[REGISTRO],DADOS!$N$3,tabela_registros[TIPO],DADOS!$V$3,tabela_registros[CATEGORIA],receitasfixasconsolidadomar[[#This Row],[ATUAL]])</f>
        <v>0</v>
      </c>
      <c r="X86" s="119" t="n">
        <f aca="false">SUMIFS(tabela_registros[VALOR],tabela_registros[MÊS],$AE$1,tabela_registros[DIA],receitasfixasconsolidadomar[[#Headers],[20]],tabela_registros[REGISTRO],DADOS!$N$3,tabela_registros[TIPO],DADOS!$V$3,tabela_registros[CATEGORIA],receitasfixasconsolidadomar[[#This Row],[ATUAL]])</f>
        <v>0</v>
      </c>
      <c r="Y86" s="119" t="n">
        <f aca="false">SUMIFS(tabela_registros[VALOR],tabela_registros[MÊS],$AE$1,tabela_registros[DIA],receitasfixasconsolidadomar[[#Headers],[21]],tabela_registros[REGISTRO],DADOS!$N$3,tabela_registros[TIPO],DADOS!$V$3,tabela_registros[CATEGORIA],receitasfixasconsolidadomar[[#This Row],[ATUAL]])</f>
        <v>0</v>
      </c>
      <c r="Z86" s="119" t="n">
        <f aca="false">SUMIFS(tabela_registros[VALOR],tabela_registros[MÊS],$AE$1,tabela_registros[DIA],receitasfixasconsolidadomar[[#Headers],[22]],tabela_registros[REGISTRO],DADOS!$N$3,tabela_registros[TIPO],DADOS!$V$3,tabela_registros[CATEGORIA],receitasfixasconsolidadomar[[#This Row],[ATUAL]])</f>
        <v>0</v>
      </c>
      <c r="AA86" s="119" t="n">
        <f aca="false">SUMIFS(tabela_registros[VALOR],tabela_registros[MÊS],$AE$1,tabela_registros[DIA],receitasfixasconsolidadomar[[#Headers],[23]],tabela_registros[REGISTRO],DADOS!$N$3,tabela_registros[TIPO],DADOS!$V$3,tabela_registros[CATEGORIA],receitasfixasconsolidadomar[[#This Row],[ATUAL]])</f>
        <v>0</v>
      </c>
      <c r="AB86" s="119" t="n">
        <f aca="false">SUMIFS(tabela_registros[VALOR],tabela_registros[MÊS],$AE$1,tabela_registros[DIA],receitasfixasconsolidadomar[[#Headers],[24]],tabela_registros[REGISTRO],DADOS!$N$3,tabela_registros[TIPO],DADOS!$V$3,tabela_registros[CATEGORIA],receitasfixasconsolidadomar[[#This Row],[ATUAL]])</f>
        <v>0</v>
      </c>
      <c r="AC86" s="119" t="n">
        <f aca="false">SUMIFS(tabela_registros[VALOR],tabela_registros[MÊS],$AE$1,tabela_registros[DIA],receitasfixasconsolidadomar[[#Headers],[25]],tabela_registros[REGISTRO],DADOS!$N$3,tabela_registros[TIPO],DADOS!$V$3,tabela_registros[CATEGORIA],receitasfixasconsolidadomar[[#This Row],[ATUAL]])</f>
        <v>0</v>
      </c>
      <c r="AD86" s="119" t="n">
        <f aca="false">SUMIFS(tabela_registros[VALOR],tabela_registros[MÊS],$AE$1,tabela_registros[DIA],receitasfixasconsolidadomar[[#Headers],[26]],tabela_registros[REGISTRO],DADOS!$N$3,tabela_registros[TIPO],DADOS!$V$3,tabela_registros[CATEGORIA],receitasfixasconsolidadomar[[#This Row],[ATUAL]])</f>
        <v>0</v>
      </c>
      <c r="AE86" s="119" t="n">
        <f aca="false">SUMIFS(tabela_registros[VALOR],tabela_registros[MÊS],$AE$1,tabela_registros[DIA],receitasfixasconsolidadomar[[#Headers],[27]],tabela_registros[REGISTRO],DADOS!$N$3,tabela_registros[TIPO],DADOS!$V$3,tabela_registros[CATEGORIA],receitasfixasconsolidadomar[[#This Row],[ATUAL]])</f>
        <v>0</v>
      </c>
      <c r="AF86" s="119" t="n">
        <f aca="false">SUMIFS(tabela_registros[VALOR],tabela_registros[MÊS],$AE$1,tabela_registros[DIA],receitasfixasconsolidadomar[[#Headers],[28]],tabela_registros[REGISTRO],DADOS!$N$3,tabela_registros[TIPO],DADOS!$V$3,tabela_registros[CATEGORIA],receitasfixasconsolidadomar[[#This Row],[ATUAL]])</f>
        <v>0</v>
      </c>
      <c r="AG86" s="119" t="n">
        <f aca="false">SUMIFS(tabela_registros[VALOR],tabela_registros[MÊS],$AE$1,tabela_registros[DIA],receitasfixasconsolidadomar[[#Headers],[29]],tabela_registros[REGISTRO],DADOS!$N$3,tabela_registros[TIPO],DADOS!$V$3,tabela_registros[CATEGORIA],receitasfixasconsolidadomar[[#This Row],[ATUAL]])</f>
        <v>0</v>
      </c>
      <c r="AH86" s="119" t="n">
        <f aca="false">SUMIFS(tabela_registros[VALOR],tabela_registros[MÊS],$AE$1,tabela_registros[DIA],receitasfixasconsolidadomar[[#Headers],[30]],tabela_registros[REGISTRO],DADOS!$N$3,tabela_registros[TIPO],DADOS!$V$3,tabela_registros[CATEGORIA],receitasfixasconsolidadomar[[#This Row],[ATUAL]])</f>
        <v>0</v>
      </c>
      <c r="AI86" s="218" t="n">
        <f aca="false">SUMIFS(tabela_registros[VALOR],tabela_registros[MÊS],$AE$1,tabela_registros[DIA],receitasfixasconsolidadomar[[#Headers],[31]],tabela_registros[REGISTRO],DADOS!$N$3,tabela_registros[TIPO],DADOS!$V$3,tabela_registros[CATEGORIA],receitasfixasconsolidadomar[[#This Row],[ATUAL]])</f>
        <v>0</v>
      </c>
      <c r="AJ86" s="149" t="n">
        <f aca="false">SUM(receitasfixasconsolidadomar[[#This Row],[1]:[31]])</f>
        <v>0</v>
      </c>
      <c r="AK86" s="165"/>
    </row>
    <row r="87" s="122" customFormat="true" ht="21" hidden="false" customHeight="true" outlineLevel="0" collapsed="false">
      <c r="B87" s="152"/>
      <c r="C87" s="153" t="s">
        <v>2</v>
      </c>
      <c r="D87" s="166"/>
      <c r="E87" s="155" t="n">
        <f aca="false">SUM(E82:E86)</f>
        <v>0</v>
      </c>
      <c r="F87" s="156" t="n">
        <f aca="false">SUM(F82:F86)+receitasfixasconsolidadomar[[#This Row],[1]]</f>
        <v>0</v>
      </c>
      <c r="G87" s="156" t="n">
        <f aca="false">SUM(G82:G86)+receitasfixasconsolidadomar[[#This Row],[2]]</f>
        <v>0</v>
      </c>
      <c r="H87" s="156" t="n">
        <f aca="false">SUM(H82:H86)+receitasfixasconsolidadomar[[#This Row],[3]]</f>
        <v>0</v>
      </c>
      <c r="I87" s="156" t="n">
        <f aca="false">SUM(I82:I86)+receitasfixasconsolidadomar[[#This Row],[4]]</f>
        <v>0</v>
      </c>
      <c r="J87" s="156" t="n">
        <f aca="false">SUM(J82:J86)+receitasfixasconsolidadomar[[#This Row],[5]]</f>
        <v>0</v>
      </c>
      <c r="K87" s="156" t="n">
        <f aca="false">SUM(K82:K86)+receitasfixasconsolidadomar[[#This Row],[6]]</f>
        <v>0</v>
      </c>
      <c r="L87" s="156" t="n">
        <f aca="false">SUM(L82:L86)+receitasfixasconsolidadomar[[#This Row],[7]]</f>
        <v>0</v>
      </c>
      <c r="M87" s="156" t="n">
        <f aca="false">SUM(M82:M86)+receitasfixasconsolidadomar[[#This Row],[8]]</f>
        <v>0</v>
      </c>
      <c r="N87" s="156" t="n">
        <f aca="false">SUM(N82:N86)+receitasfixasconsolidadomar[[#This Row],[9]]</f>
        <v>0</v>
      </c>
      <c r="O87" s="156" t="n">
        <f aca="false">SUM(O82:O86)+receitasfixasconsolidadomar[[#This Row],[10]]</f>
        <v>0</v>
      </c>
      <c r="P87" s="156" t="n">
        <f aca="false">SUM(P82:P86)+receitasfixasconsolidadomar[[#This Row],[11]]</f>
        <v>0</v>
      </c>
      <c r="Q87" s="156" t="n">
        <f aca="false">SUM(Q82:Q86)+receitasfixasconsolidadomar[[#This Row],[12]]</f>
        <v>0</v>
      </c>
      <c r="R87" s="156" t="n">
        <f aca="false">SUM(R82:R86)+receitasfixasconsolidadomar[[#This Row],[13]]</f>
        <v>0</v>
      </c>
      <c r="S87" s="156" t="n">
        <f aca="false">SUM(S82:S86)+receitasfixasconsolidadomar[[#This Row],[14]]</f>
        <v>0</v>
      </c>
      <c r="T87" s="156" t="n">
        <f aca="false">SUM(T82:T86)+receitasfixasconsolidadomar[[#This Row],[15]]</f>
        <v>0</v>
      </c>
      <c r="U87" s="156" t="n">
        <f aca="false">SUM(U82:U86)+receitasfixasconsolidadomar[[#This Row],[16]]</f>
        <v>0</v>
      </c>
      <c r="V87" s="156" t="n">
        <f aca="false">SUM(V82:V86)+receitasfixasconsolidadomar[[#This Row],[17]]</f>
        <v>0</v>
      </c>
      <c r="W87" s="156" t="n">
        <f aca="false">SUM(W82:W86)+receitasfixasconsolidadomar[[#This Row],[18]]</f>
        <v>0</v>
      </c>
      <c r="X87" s="156" t="n">
        <f aca="false">SUM(X82:X86)+receitasfixasconsolidadomar[[#This Row],[19]]</f>
        <v>0</v>
      </c>
      <c r="Y87" s="156" t="n">
        <f aca="false">SUM(Y82:Y86)+receitasfixasconsolidadomar[[#This Row],[20]]</f>
        <v>0</v>
      </c>
      <c r="Z87" s="156" t="n">
        <f aca="false">SUM(Z82:Z86)+receitasfixasconsolidadomar[[#This Row],[21]]</f>
        <v>0</v>
      </c>
      <c r="AA87" s="156" t="n">
        <f aca="false">SUM(AA82:AA86)+receitasfixasconsolidadomar[[#This Row],[22]]</f>
        <v>0</v>
      </c>
      <c r="AB87" s="156" t="n">
        <f aca="false">SUM(AB82:AB86)+receitasfixasconsolidadomar[[#This Row],[23]]</f>
        <v>0</v>
      </c>
      <c r="AC87" s="156" t="n">
        <f aca="false">SUM(AC82:AC86)+receitasfixasconsolidadomar[[#This Row],[24]]</f>
        <v>0</v>
      </c>
      <c r="AD87" s="156" t="n">
        <f aca="false">SUM(AD82:AD86)+receitasfixasconsolidadomar[[#This Row],[25]]</f>
        <v>0</v>
      </c>
      <c r="AE87" s="156" t="n">
        <f aca="false">SUM(AE82:AE86)+receitasfixasconsolidadomar[[#This Row],[26]]</f>
        <v>0</v>
      </c>
      <c r="AF87" s="156" t="n">
        <f aca="false">SUM(AF82:AF86)+receitasfixasconsolidadomar[[#This Row],[27]]</f>
        <v>0</v>
      </c>
      <c r="AG87" s="156" t="n">
        <f aca="false">SUM(AG82:AG86)+receitasfixasconsolidadomar[[#This Row],[28]]</f>
        <v>0</v>
      </c>
      <c r="AH87" s="156" t="n">
        <f aca="false">SUM(AH82:AH86)+receitasfixasconsolidadomar[[#This Row],[29]]</f>
        <v>0</v>
      </c>
      <c r="AI87" s="223" t="n">
        <f aca="false">SUM(AI82:AI86)+receitasfixasconsolidadomar[[#This Row],[30]]</f>
        <v>0</v>
      </c>
      <c r="AJ87" s="157" t="n">
        <f aca="false">receitasfixasconsolidadomar[[#This Row],[31]]</f>
        <v>0</v>
      </c>
      <c r="AK87" s="158"/>
    </row>
    <row r="88" customFormat="false" ht="6.75" hidden="false" customHeight="true" outlineLevel="0" collapsed="false">
      <c r="B88" s="97"/>
      <c r="C88" s="162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233"/>
      <c r="AJ88" s="164"/>
      <c r="AK88" s="244"/>
    </row>
    <row r="89" s="78" customFormat="true" ht="12.75" hidden="false" customHeight="false" outlineLevel="0" collapsed="false">
      <c r="E89" s="100"/>
    </row>
    <row r="90" s="78" customFormat="true" ht="12" hidden="false" customHeight="false" outlineLevel="0" collapsed="false"/>
    <row r="91" s="78" customFormat="true" ht="12" hidden="false" customHeight="false" outlineLevel="0" collapsed="false"/>
    <row r="92" customFormat="false" ht="39.75" hidden="false" customHeight="true" outlineLevel="0" collapsed="false">
      <c r="C92" s="101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3" t="s">
        <v>2</v>
      </c>
    </row>
    <row r="93" s="78" customFormat="true" ht="12.75" hidden="false" customHeight="false" outlineLevel="0" collapsed="false">
      <c r="B93" s="161"/>
      <c r="AJ93" s="106" t="s">
        <v>64</v>
      </c>
    </row>
    <row r="94" customFormat="false" ht="6.75" hidden="false" customHeight="true" outlineLevel="0" collapsed="false">
      <c r="B94" s="86"/>
      <c r="C94" s="162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233"/>
      <c r="AK94" s="139"/>
    </row>
    <row r="95" customFormat="false" ht="13.5" hidden="true" customHeight="false" outlineLevel="0" collapsed="false">
      <c r="B95" s="86"/>
      <c r="C95" s="109" t="s">
        <v>68</v>
      </c>
      <c r="D95" s="110" t="s">
        <v>69</v>
      </c>
      <c r="E95" s="110" t="s">
        <v>30</v>
      </c>
      <c r="F95" s="110" t="s">
        <v>31</v>
      </c>
      <c r="G95" s="110" t="s">
        <v>32</v>
      </c>
      <c r="H95" s="110" t="s">
        <v>33</v>
      </c>
      <c r="I95" s="110" t="s">
        <v>34</v>
      </c>
      <c r="J95" s="110" t="s">
        <v>35</v>
      </c>
      <c r="K95" s="110" t="s">
        <v>36</v>
      </c>
      <c r="L95" s="110" t="s">
        <v>37</v>
      </c>
      <c r="M95" s="110" t="s">
        <v>38</v>
      </c>
      <c r="N95" s="110" t="s">
        <v>39</v>
      </c>
      <c r="O95" s="110" t="s">
        <v>40</v>
      </c>
      <c r="P95" s="110" t="s">
        <v>41</v>
      </c>
      <c r="Q95" s="110" t="s">
        <v>81</v>
      </c>
      <c r="R95" s="110" t="s">
        <v>82</v>
      </c>
      <c r="S95" s="110" t="s">
        <v>83</v>
      </c>
      <c r="T95" s="110" t="s">
        <v>84</v>
      </c>
      <c r="U95" s="110" t="s">
        <v>85</v>
      </c>
      <c r="V95" s="110" t="s">
        <v>86</v>
      </c>
      <c r="W95" s="110" t="s">
        <v>87</v>
      </c>
      <c r="X95" s="110" t="s">
        <v>88</v>
      </c>
      <c r="Y95" s="110" t="s">
        <v>89</v>
      </c>
      <c r="Z95" s="110" t="s">
        <v>90</v>
      </c>
      <c r="AA95" s="110" t="s">
        <v>91</v>
      </c>
      <c r="AB95" s="110" t="s">
        <v>92</v>
      </c>
      <c r="AC95" s="110" t="s">
        <v>93</v>
      </c>
      <c r="AD95" s="110" t="s">
        <v>94</v>
      </c>
      <c r="AE95" s="110" t="s">
        <v>95</v>
      </c>
      <c r="AF95" s="110" t="s">
        <v>96</v>
      </c>
      <c r="AG95" s="110" t="s">
        <v>97</v>
      </c>
      <c r="AH95" s="110" t="s">
        <v>98</v>
      </c>
      <c r="AI95" s="110" t="s">
        <v>99</v>
      </c>
      <c r="AJ95" s="111" t="s">
        <v>70</v>
      </c>
      <c r="AK95" s="86"/>
    </row>
    <row r="96" customFormat="false" ht="19.5" hidden="false" customHeight="true" outlineLevel="0" collapsed="false">
      <c r="B96" s="143"/>
      <c r="C96" s="144" t="str">
        <f aca="false">DADOS!$Z$3</f>
        <v>🏅 BÔNUS</v>
      </c>
      <c r="D96" s="145" t="str">
        <f aca="false">IF(receitasvariáveisconsolidadomar[[#This Row],[TOTAL (R$)]]=0,"",IF(OR(receitasvariáveisconsolidadomar[[#This Row],[TOTAL (R$)]]=LARGE($AJ$96:$AJ$103,1),receitasvariáveisconsolidadomar[[#This Row],[TOTAL (R$)]]=LARGE($AJ$96:$AJ$103,2)),DADOS!$I$9,""))</f>
        <v/>
      </c>
      <c r="E96" s="148" t="n">
        <f aca="false">SUMIFS(tabela_registros[VALOR],tabela_registros[MÊS],$AE$1,tabela_registros[DIA],receitasvariáveisconsolidadomar[[#Headers],[1]],tabela_registros[REGISTRO],DADOS!$N$3,tabela_registros[TIPO],DADOS!$V$4,tabela_registros[CATEGORIA],receitasvariáveisconsolidadomar[[#This Row],[ATUAL]])</f>
        <v>0</v>
      </c>
      <c r="F96" s="119" t="n">
        <f aca="false">SUMIFS(tabela_registros[VALOR],tabela_registros[MÊS],$AE$1,tabela_registros[DIA],receitasvariáveisconsolidadomar[[#Headers],[2]],tabela_registros[REGISTRO],DADOS!$N$3,tabela_registros[TIPO],DADOS!$V$4,tabela_registros[CATEGORIA],receitasvariáveisconsolidadomar[[#This Row],[ATUAL]])</f>
        <v>0</v>
      </c>
      <c r="G96" s="119" t="n">
        <f aca="false">SUMIFS(tabela_registros[VALOR],tabela_registros[MÊS],$AE$1,tabela_registros[DIA],receitasvariáveisconsolidadomar[[#Headers],[3]],tabela_registros[REGISTRO],DADOS!$N$3,tabela_registros[TIPO],DADOS!$V$4,tabela_registros[CATEGORIA],receitasvariáveisconsolidadomar[[#This Row],[ATUAL]])</f>
        <v>0</v>
      </c>
      <c r="H96" s="119" t="n">
        <f aca="false">SUMIFS(tabela_registros[VALOR],tabela_registros[MÊS],$AE$1,tabela_registros[DIA],receitasvariáveisconsolidadomar[[#Headers],[4]],tabela_registros[REGISTRO],DADOS!$N$3,tabela_registros[TIPO],DADOS!$V$4,tabela_registros[CATEGORIA],receitasvariáveisconsolidadomar[[#This Row],[ATUAL]])</f>
        <v>0</v>
      </c>
      <c r="I96" s="119" t="n">
        <f aca="false">SUMIFS(tabela_registros[VALOR],tabela_registros[MÊS],$AE$1,tabela_registros[DIA],receitasvariáveisconsolidadomar[[#Headers],[5]],tabela_registros[REGISTRO],DADOS!$N$3,tabela_registros[TIPO],DADOS!$V$4,tabela_registros[CATEGORIA],receitasvariáveisconsolidadomar[[#This Row],[ATUAL]])</f>
        <v>0</v>
      </c>
      <c r="J96" s="119" t="n">
        <f aca="false">SUMIFS(tabela_registros[VALOR],tabela_registros[MÊS],$AE$1,tabela_registros[DIA],receitasvariáveisconsolidadomar[[#Headers],[6]],tabela_registros[REGISTRO],DADOS!$N$3,tabela_registros[TIPO],DADOS!$V$4,tabela_registros[CATEGORIA],receitasvariáveisconsolidadomar[[#This Row],[ATUAL]])</f>
        <v>0</v>
      </c>
      <c r="K96" s="119" t="n">
        <f aca="false">SUMIFS(tabela_registros[VALOR],tabela_registros[MÊS],$AE$1,tabela_registros[DIA],receitasvariáveisconsolidadomar[[#Headers],[7]],tabela_registros[REGISTRO],DADOS!$N$3,tabela_registros[TIPO],DADOS!$V$4,tabela_registros[CATEGORIA],receitasvariáveisconsolidadomar[[#This Row],[ATUAL]])</f>
        <v>0</v>
      </c>
      <c r="L96" s="119" t="n">
        <f aca="false">SUMIFS(tabela_registros[VALOR],tabela_registros[MÊS],$AE$1,tabela_registros[DIA],receitasvariáveisconsolidadomar[[#Headers],[8]],tabela_registros[REGISTRO],DADOS!$N$3,tabela_registros[TIPO],DADOS!$V$4,tabela_registros[CATEGORIA],receitasvariáveisconsolidadomar[[#This Row],[ATUAL]])</f>
        <v>0</v>
      </c>
      <c r="M96" s="119" t="n">
        <f aca="false">SUMIFS(tabela_registros[VALOR],tabela_registros[MÊS],$AE$1,tabela_registros[DIA],receitasvariáveisconsolidadomar[[#Headers],[9]],tabela_registros[REGISTRO],DADOS!$N$3,tabela_registros[TIPO],DADOS!$V$4,tabela_registros[CATEGORIA],receitasvariáveisconsolidadomar[[#This Row],[ATUAL]])</f>
        <v>0</v>
      </c>
      <c r="N96" s="119" t="n">
        <f aca="false">SUMIFS(tabela_registros[VALOR],tabela_registros[MÊS],$AE$1,tabela_registros[DIA],receitasvariáveisconsolidadomar[[#Headers],[10]],tabela_registros[REGISTRO],DADOS!$N$3,tabela_registros[TIPO],DADOS!$V$4,tabela_registros[CATEGORIA],receitasvariáveisconsolidadomar[[#This Row],[ATUAL]])</f>
        <v>0</v>
      </c>
      <c r="O96" s="119" t="n">
        <f aca="false">SUMIFS(tabela_registros[VALOR],tabela_registros[MÊS],$AE$1,tabela_registros[DIA],receitasvariáveisconsolidadomar[[#Headers],[11]],tabela_registros[REGISTRO],DADOS!$N$3,tabela_registros[TIPO],DADOS!$V$4,tabela_registros[CATEGORIA],receitasvariáveisconsolidadomar[[#This Row],[ATUAL]])</f>
        <v>0</v>
      </c>
      <c r="P96" s="119" t="n">
        <f aca="false">SUMIFS(tabela_registros[VALOR],tabela_registros[MÊS],$AE$1,tabela_registros[DIA],receitasvariáveisconsolidadomar[[#Headers],[12]],tabela_registros[REGISTRO],DADOS!$N$3,tabela_registros[TIPO],DADOS!$V$4,tabela_registros[CATEGORIA],receitasvariáveisconsolidadomar[[#This Row],[ATUAL]])</f>
        <v>0</v>
      </c>
      <c r="Q96" s="119" t="n">
        <f aca="false">SUMIFS(tabela_registros[VALOR],tabela_registros[MÊS],$AE$1,tabela_registros[DIA],receitasvariáveisconsolidadomar[[#Headers],[13]],tabela_registros[REGISTRO],DADOS!$N$3,tabela_registros[TIPO],DADOS!$V$4,tabela_registros[CATEGORIA],receitasvariáveisconsolidadomar[[#This Row],[ATUAL]])</f>
        <v>0</v>
      </c>
      <c r="R96" s="119" t="n">
        <f aca="false">SUMIFS(tabela_registros[VALOR],tabela_registros[MÊS],$AE$1,tabela_registros[DIA],receitasvariáveisconsolidadomar[[#Headers],[14]],tabela_registros[REGISTRO],DADOS!$N$3,tabela_registros[TIPO],DADOS!$V$4,tabela_registros[CATEGORIA],receitasvariáveisconsolidadomar[[#This Row],[ATUAL]])</f>
        <v>0</v>
      </c>
      <c r="S96" s="119" t="n">
        <f aca="false">SUMIFS(tabela_registros[VALOR],tabela_registros[MÊS],$AE$1,tabela_registros[DIA],receitasvariáveisconsolidadomar[[#Headers],[15]],tabela_registros[REGISTRO],DADOS!$N$3,tabela_registros[TIPO],DADOS!$V$4,tabela_registros[CATEGORIA],receitasvariáveisconsolidadomar[[#This Row],[ATUAL]])</f>
        <v>0</v>
      </c>
      <c r="T96" s="119" t="n">
        <f aca="false">SUMIFS(tabela_registros[VALOR],tabela_registros[MÊS],$AE$1,tabela_registros[DIA],receitasvariáveisconsolidadomar[[#Headers],[16]],tabela_registros[REGISTRO],DADOS!$N$3,tabela_registros[TIPO],DADOS!$V$4,tabela_registros[CATEGORIA],receitasvariáveisconsolidadomar[[#This Row],[ATUAL]])</f>
        <v>0</v>
      </c>
      <c r="U96" s="119" t="n">
        <f aca="false">SUMIFS(tabela_registros[VALOR],tabela_registros[MÊS],$AE$1,tabela_registros[DIA],receitasvariáveisconsolidadomar[[#Headers],[17]],tabela_registros[REGISTRO],DADOS!$N$3,tabela_registros[TIPO],DADOS!$V$4,tabela_registros[CATEGORIA],receitasvariáveisconsolidadomar[[#This Row],[ATUAL]])</f>
        <v>0</v>
      </c>
      <c r="V96" s="119" t="n">
        <f aca="false">SUMIFS(tabela_registros[VALOR],tabela_registros[MÊS],$AE$1,tabela_registros[DIA],receitasvariáveisconsolidadomar[[#Headers],[18]],tabela_registros[REGISTRO],DADOS!$N$3,tabela_registros[TIPO],DADOS!$V$4,tabela_registros[CATEGORIA],receitasvariáveisconsolidadomar[[#This Row],[ATUAL]])</f>
        <v>0</v>
      </c>
      <c r="W96" s="119" t="n">
        <f aca="false">SUMIFS(tabela_registros[VALOR],tabela_registros[MÊS],$AE$1,tabela_registros[DIA],receitasvariáveisconsolidadomar[[#Headers],[19]],tabela_registros[REGISTRO],DADOS!$N$3,tabela_registros[TIPO],DADOS!$V$4,tabela_registros[CATEGORIA],receitasvariáveisconsolidadomar[[#This Row],[ATUAL]])</f>
        <v>0</v>
      </c>
      <c r="X96" s="119" t="n">
        <f aca="false">SUMIFS(tabela_registros[VALOR],tabela_registros[MÊS],$AE$1,tabela_registros[DIA],receitasvariáveisconsolidadomar[[#Headers],[20]],tabela_registros[REGISTRO],DADOS!$N$3,tabela_registros[TIPO],DADOS!$V$4,tabela_registros[CATEGORIA],receitasvariáveisconsolidadomar[[#This Row],[ATUAL]])</f>
        <v>0</v>
      </c>
      <c r="Y96" s="119" t="n">
        <f aca="false">SUMIFS(tabela_registros[VALOR],tabela_registros[MÊS],$AE$1,tabela_registros[DIA],receitasvariáveisconsolidadomar[[#Headers],[21]],tabela_registros[REGISTRO],DADOS!$N$3,tabela_registros[TIPO],DADOS!$V$4,tabela_registros[CATEGORIA],receitasvariáveisconsolidadomar[[#This Row],[ATUAL]])</f>
        <v>0</v>
      </c>
      <c r="Z96" s="119" t="n">
        <f aca="false">SUMIFS(tabela_registros[VALOR],tabela_registros[MÊS],$AE$1,tabela_registros[DIA],receitasvariáveisconsolidadomar[[#Headers],[22]],tabela_registros[REGISTRO],DADOS!$N$3,tabela_registros[TIPO],DADOS!$V$4,tabela_registros[CATEGORIA],receitasvariáveisconsolidadomar[[#This Row],[ATUAL]])</f>
        <v>0</v>
      </c>
      <c r="AA96" s="119" t="n">
        <f aca="false">SUMIFS(tabela_registros[VALOR],tabela_registros[MÊS],$AE$1,tabela_registros[DIA],receitasvariáveisconsolidadomar[[#Headers],[23]],tabela_registros[REGISTRO],DADOS!$N$3,tabela_registros[TIPO],DADOS!$V$4,tabela_registros[CATEGORIA],receitasvariáveisconsolidadomar[[#This Row],[ATUAL]])</f>
        <v>0</v>
      </c>
      <c r="AB96" s="119" t="n">
        <f aca="false">SUMIFS(tabela_registros[VALOR],tabela_registros[MÊS],$AE$1,tabela_registros[DIA],receitasvariáveisconsolidadomar[[#Headers],[24]],tabela_registros[REGISTRO],DADOS!$N$3,tabela_registros[TIPO],DADOS!$V$4,tabela_registros[CATEGORIA],receitasvariáveisconsolidadomar[[#This Row],[ATUAL]])</f>
        <v>0</v>
      </c>
      <c r="AC96" s="119" t="n">
        <f aca="false">SUMIFS(tabela_registros[VALOR],tabela_registros[MÊS],$AE$1,tabela_registros[DIA],receitasvariáveisconsolidadomar[[#Headers],[25]],tabela_registros[REGISTRO],DADOS!$N$3,tabela_registros[TIPO],DADOS!$V$4,tabela_registros[CATEGORIA],receitasvariáveisconsolidadomar[[#This Row],[ATUAL]])</f>
        <v>0</v>
      </c>
      <c r="AD96" s="119" t="n">
        <f aca="false">SUMIFS(tabela_registros[VALOR],tabela_registros[MÊS],$AE$1,tabela_registros[DIA],receitasvariáveisconsolidadomar[[#Headers],[26]],tabela_registros[REGISTRO],DADOS!$N$3,tabela_registros[TIPO],DADOS!$V$4,tabela_registros[CATEGORIA],receitasvariáveisconsolidadomar[[#This Row],[ATUAL]])</f>
        <v>0</v>
      </c>
      <c r="AE96" s="119" t="n">
        <f aca="false">SUMIFS(tabela_registros[VALOR],tabela_registros[MÊS],$AE$1,tabela_registros[DIA],receitasvariáveisconsolidadomar[[#Headers],[27]],tabela_registros[REGISTRO],DADOS!$N$3,tabela_registros[TIPO],DADOS!$V$4,tabela_registros[CATEGORIA],receitasvariáveisconsolidadomar[[#This Row],[ATUAL]])</f>
        <v>0</v>
      </c>
      <c r="AF96" s="119" t="n">
        <f aca="false">SUMIFS(tabela_registros[VALOR],tabela_registros[MÊS],$AE$1,tabela_registros[DIA],receitasvariáveisconsolidadomar[[#Headers],[28]],tabela_registros[REGISTRO],DADOS!$N$3,tabela_registros[TIPO],DADOS!$V$4,tabela_registros[CATEGORIA],receitasvariáveisconsolidadomar[[#This Row],[ATUAL]])</f>
        <v>0</v>
      </c>
      <c r="AG96" s="119" t="n">
        <f aca="false">SUMIFS(tabela_registros[VALOR],tabela_registros[MÊS],$AE$1,tabela_registros[DIA],receitasvariáveisconsolidadomar[[#Headers],[29]],tabela_registros[REGISTRO],DADOS!$N$3,tabela_registros[TIPO],DADOS!$V$4,tabela_registros[CATEGORIA],receitasvariáveisconsolidadomar[[#This Row],[ATUAL]])</f>
        <v>0</v>
      </c>
      <c r="AH96" s="119" t="n">
        <f aca="false">SUMIFS(tabela_registros[VALOR],tabela_registros[MÊS],$AE$1,tabela_registros[DIA],receitasvariáveisconsolidadomar[[#Headers],[30]],tabela_registros[REGISTRO],DADOS!$N$3,tabela_registros[TIPO],DADOS!$V$4,tabela_registros[CATEGORIA],receitasvariáveisconsolidadomar[[#This Row],[ATUAL]])</f>
        <v>0</v>
      </c>
      <c r="AI96" s="217" t="n">
        <f aca="false">SUMIFS(tabela_registros[VALOR],tabela_registros[MÊS],$AE$1,tabela_registros[DIA],receitasvariáveisconsolidadomar[[#Headers],[31]],tabela_registros[REGISTRO],DADOS!$N$3,tabela_registros[TIPO],DADOS!$V$4,tabela_registros[CATEGORIA],receitasvariáveisconsolidadomar[[#This Row],[ATUAL]])</f>
        <v>0</v>
      </c>
      <c r="AJ96" s="149" t="n">
        <f aca="false">SUM(receitasvariáveisconsolidadomar[[#This Row],[1]:[31]])</f>
        <v>0</v>
      </c>
      <c r="AK96" s="165"/>
    </row>
    <row r="97" customFormat="false" ht="19.5" hidden="false" customHeight="true" outlineLevel="0" collapsed="false">
      <c r="B97" s="143"/>
      <c r="C97" s="144" t="str">
        <f aca="false">DADOS!$Z$4</f>
        <v>🤑 COMISSÃO</v>
      </c>
      <c r="D97" s="145" t="str">
        <f aca="false">IF(receitasvariáveisconsolidadomar[[#This Row],[TOTAL (R$)]]=0,"",IF(OR(receitasvariáveisconsolidadomar[[#This Row],[TOTAL (R$)]]=LARGE($AJ$96:$AJ$103,1),receitasvariáveisconsolidadomar[[#This Row],[TOTAL (R$)]]=LARGE($AJ$96:$AJ$103,2)),DADOS!$I$9,""))</f>
        <v/>
      </c>
      <c r="E97" s="148" t="n">
        <f aca="false">SUMIFS(tabela_registros[VALOR],tabela_registros[MÊS],$AE$1,tabela_registros[DIA],receitasvariáveisconsolidadomar[[#Headers],[1]],tabela_registros[REGISTRO],DADOS!$N$3,tabela_registros[TIPO],DADOS!$V$4,tabela_registros[CATEGORIA],receitasvariáveisconsolidadomar[[#This Row],[ATUAL]])</f>
        <v>0</v>
      </c>
      <c r="F97" s="119" t="n">
        <f aca="false">SUMIFS(tabela_registros[VALOR],tabela_registros[MÊS],$AE$1,tabela_registros[DIA],receitasvariáveisconsolidadomar[[#Headers],[2]],tabela_registros[REGISTRO],DADOS!$N$3,tabela_registros[TIPO],DADOS!$V$4,tabela_registros[CATEGORIA],receitasvariáveisconsolidadomar[[#This Row],[ATUAL]])</f>
        <v>0</v>
      </c>
      <c r="G97" s="119" t="n">
        <f aca="false">SUMIFS(tabela_registros[VALOR],tabela_registros[MÊS],$AE$1,tabela_registros[DIA],receitasvariáveisconsolidadomar[[#Headers],[3]],tabela_registros[REGISTRO],DADOS!$N$3,tabela_registros[TIPO],DADOS!$V$4,tabela_registros[CATEGORIA],receitasvariáveisconsolidadomar[[#This Row],[ATUAL]])</f>
        <v>0</v>
      </c>
      <c r="H97" s="119" t="n">
        <f aca="false">SUMIFS(tabela_registros[VALOR],tabela_registros[MÊS],$AE$1,tabela_registros[DIA],receitasvariáveisconsolidadomar[[#Headers],[4]],tabela_registros[REGISTRO],DADOS!$N$3,tabela_registros[TIPO],DADOS!$V$4,tabela_registros[CATEGORIA],receitasvariáveisconsolidadomar[[#This Row],[ATUAL]])</f>
        <v>0</v>
      </c>
      <c r="I97" s="119" t="n">
        <f aca="false">SUMIFS(tabela_registros[VALOR],tabela_registros[MÊS],$AE$1,tabela_registros[DIA],receitasvariáveisconsolidadomar[[#Headers],[5]],tabela_registros[REGISTRO],DADOS!$N$3,tabela_registros[TIPO],DADOS!$V$4,tabela_registros[CATEGORIA],receitasvariáveisconsolidadomar[[#This Row],[ATUAL]])</f>
        <v>0</v>
      </c>
      <c r="J97" s="119" t="n">
        <f aca="false">SUMIFS(tabela_registros[VALOR],tabela_registros[MÊS],$AE$1,tabela_registros[DIA],receitasvariáveisconsolidadomar[[#Headers],[6]],tabela_registros[REGISTRO],DADOS!$N$3,tabela_registros[TIPO],DADOS!$V$4,tabela_registros[CATEGORIA],receitasvariáveisconsolidadomar[[#This Row],[ATUAL]])</f>
        <v>0</v>
      </c>
      <c r="K97" s="119" t="n">
        <f aca="false">SUMIFS(tabela_registros[VALOR],tabela_registros[MÊS],$AE$1,tabela_registros[DIA],receitasvariáveisconsolidadomar[[#Headers],[7]],tabela_registros[REGISTRO],DADOS!$N$3,tabela_registros[TIPO],DADOS!$V$4,tabela_registros[CATEGORIA],receitasvariáveisconsolidadomar[[#This Row],[ATUAL]])</f>
        <v>0</v>
      </c>
      <c r="L97" s="119" t="n">
        <f aca="false">SUMIFS(tabela_registros[VALOR],tabela_registros[MÊS],$AE$1,tabela_registros[DIA],receitasvariáveisconsolidadomar[[#Headers],[8]],tabela_registros[REGISTRO],DADOS!$N$3,tabela_registros[TIPO],DADOS!$V$4,tabela_registros[CATEGORIA],receitasvariáveisconsolidadomar[[#This Row],[ATUAL]])</f>
        <v>0</v>
      </c>
      <c r="M97" s="119" t="n">
        <f aca="false">SUMIFS(tabela_registros[VALOR],tabela_registros[MÊS],$AE$1,tabela_registros[DIA],receitasvariáveisconsolidadomar[[#Headers],[9]],tabela_registros[REGISTRO],DADOS!$N$3,tabela_registros[TIPO],DADOS!$V$4,tabela_registros[CATEGORIA],receitasvariáveisconsolidadomar[[#This Row],[ATUAL]])</f>
        <v>0</v>
      </c>
      <c r="N97" s="119" t="n">
        <f aca="false">SUMIFS(tabela_registros[VALOR],tabela_registros[MÊS],$AE$1,tabela_registros[DIA],receitasvariáveisconsolidadomar[[#Headers],[10]],tabela_registros[REGISTRO],DADOS!$N$3,tabela_registros[TIPO],DADOS!$V$4,tabela_registros[CATEGORIA],receitasvariáveisconsolidadomar[[#This Row],[ATUAL]])</f>
        <v>0</v>
      </c>
      <c r="O97" s="119" t="n">
        <f aca="false">SUMIFS(tabela_registros[VALOR],tabela_registros[MÊS],$AE$1,tabela_registros[DIA],receitasvariáveisconsolidadomar[[#Headers],[11]],tabela_registros[REGISTRO],DADOS!$N$3,tabela_registros[TIPO],DADOS!$V$4,tabela_registros[CATEGORIA],receitasvariáveisconsolidadomar[[#This Row],[ATUAL]])</f>
        <v>0</v>
      </c>
      <c r="P97" s="119" t="n">
        <f aca="false">SUMIFS(tabela_registros[VALOR],tabela_registros[MÊS],$AE$1,tabela_registros[DIA],receitasvariáveisconsolidadomar[[#Headers],[12]],tabela_registros[REGISTRO],DADOS!$N$3,tabela_registros[TIPO],DADOS!$V$4,tabela_registros[CATEGORIA],receitasvariáveisconsolidadomar[[#This Row],[ATUAL]])</f>
        <v>0</v>
      </c>
      <c r="Q97" s="119" t="n">
        <f aca="false">SUMIFS(tabela_registros[VALOR],tabela_registros[MÊS],$AE$1,tabela_registros[DIA],receitasvariáveisconsolidadomar[[#Headers],[13]],tabela_registros[REGISTRO],DADOS!$N$3,tabela_registros[TIPO],DADOS!$V$4,tabela_registros[CATEGORIA],receitasvariáveisconsolidadomar[[#This Row],[ATUAL]])</f>
        <v>0</v>
      </c>
      <c r="R97" s="119" t="n">
        <f aca="false">SUMIFS(tabela_registros[VALOR],tabela_registros[MÊS],$AE$1,tabela_registros[DIA],receitasvariáveisconsolidadomar[[#Headers],[14]],tabela_registros[REGISTRO],DADOS!$N$3,tabela_registros[TIPO],DADOS!$V$4,tabela_registros[CATEGORIA],receitasvariáveisconsolidadomar[[#This Row],[ATUAL]])</f>
        <v>0</v>
      </c>
      <c r="S97" s="119" t="n">
        <f aca="false">SUMIFS(tabela_registros[VALOR],tabela_registros[MÊS],$AE$1,tabela_registros[DIA],receitasvariáveisconsolidadomar[[#Headers],[15]],tabela_registros[REGISTRO],DADOS!$N$3,tabela_registros[TIPO],DADOS!$V$4,tabela_registros[CATEGORIA],receitasvariáveisconsolidadomar[[#This Row],[ATUAL]])</f>
        <v>0</v>
      </c>
      <c r="T97" s="119" t="n">
        <f aca="false">SUMIFS(tabela_registros[VALOR],tabela_registros[MÊS],$AE$1,tabela_registros[DIA],receitasvariáveisconsolidadomar[[#Headers],[16]],tabela_registros[REGISTRO],DADOS!$N$3,tabela_registros[TIPO],DADOS!$V$4,tabela_registros[CATEGORIA],receitasvariáveisconsolidadomar[[#This Row],[ATUAL]])</f>
        <v>0</v>
      </c>
      <c r="U97" s="119" t="n">
        <f aca="false">SUMIFS(tabela_registros[VALOR],tabela_registros[MÊS],$AE$1,tabela_registros[DIA],receitasvariáveisconsolidadomar[[#Headers],[17]],tabela_registros[REGISTRO],DADOS!$N$3,tabela_registros[TIPO],DADOS!$V$4,tabela_registros[CATEGORIA],receitasvariáveisconsolidadomar[[#This Row],[ATUAL]])</f>
        <v>0</v>
      </c>
      <c r="V97" s="119" t="n">
        <f aca="false">SUMIFS(tabela_registros[VALOR],tabela_registros[MÊS],$AE$1,tabela_registros[DIA],receitasvariáveisconsolidadomar[[#Headers],[18]],tabela_registros[REGISTRO],DADOS!$N$3,tabela_registros[TIPO],DADOS!$V$4,tabela_registros[CATEGORIA],receitasvariáveisconsolidadomar[[#This Row],[ATUAL]])</f>
        <v>0</v>
      </c>
      <c r="W97" s="119" t="n">
        <f aca="false">SUMIFS(tabela_registros[VALOR],tabela_registros[MÊS],$AE$1,tabela_registros[DIA],receitasvariáveisconsolidadomar[[#Headers],[19]],tabela_registros[REGISTRO],DADOS!$N$3,tabela_registros[TIPO],DADOS!$V$4,tabela_registros[CATEGORIA],receitasvariáveisconsolidadomar[[#This Row],[ATUAL]])</f>
        <v>0</v>
      </c>
      <c r="X97" s="119" t="n">
        <f aca="false">SUMIFS(tabela_registros[VALOR],tabela_registros[MÊS],$AE$1,tabela_registros[DIA],receitasvariáveisconsolidadomar[[#Headers],[20]],tabela_registros[REGISTRO],DADOS!$N$3,tabela_registros[TIPO],DADOS!$V$4,tabela_registros[CATEGORIA],receitasvariáveisconsolidadomar[[#This Row],[ATUAL]])</f>
        <v>0</v>
      </c>
      <c r="Y97" s="119" t="n">
        <f aca="false">SUMIFS(tabela_registros[VALOR],tabela_registros[MÊS],$AE$1,tabela_registros[DIA],receitasvariáveisconsolidadomar[[#Headers],[21]],tabela_registros[REGISTRO],DADOS!$N$3,tabela_registros[TIPO],DADOS!$V$4,tabela_registros[CATEGORIA],receitasvariáveisconsolidadomar[[#This Row],[ATUAL]])</f>
        <v>0</v>
      </c>
      <c r="Z97" s="119" t="n">
        <f aca="false">SUMIFS(tabela_registros[VALOR],tabela_registros[MÊS],$AE$1,tabela_registros[DIA],receitasvariáveisconsolidadomar[[#Headers],[22]],tabela_registros[REGISTRO],DADOS!$N$3,tabela_registros[TIPO],DADOS!$V$4,tabela_registros[CATEGORIA],receitasvariáveisconsolidadomar[[#This Row],[ATUAL]])</f>
        <v>0</v>
      </c>
      <c r="AA97" s="119" t="n">
        <f aca="false">SUMIFS(tabela_registros[VALOR],tabela_registros[MÊS],$AE$1,tabela_registros[DIA],receitasvariáveisconsolidadomar[[#Headers],[23]],tabela_registros[REGISTRO],DADOS!$N$3,tabela_registros[TIPO],DADOS!$V$4,tabela_registros[CATEGORIA],receitasvariáveisconsolidadomar[[#This Row],[ATUAL]])</f>
        <v>0</v>
      </c>
      <c r="AB97" s="119" t="n">
        <f aca="false">SUMIFS(tabela_registros[VALOR],tabela_registros[MÊS],$AE$1,tabela_registros[DIA],receitasvariáveisconsolidadomar[[#Headers],[24]],tabela_registros[REGISTRO],DADOS!$N$3,tabela_registros[TIPO],DADOS!$V$4,tabela_registros[CATEGORIA],receitasvariáveisconsolidadomar[[#This Row],[ATUAL]])</f>
        <v>0</v>
      </c>
      <c r="AC97" s="119" t="n">
        <f aca="false">SUMIFS(tabela_registros[VALOR],tabela_registros[MÊS],$AE$1,tabela_registros[DIA],receitasvariáveisconsolidadomar[[#Headers],[25]],tabela_registros[REGISTRO],DADOS!$N$3,tabela_registros[TIPO],DADOS!$V$4,tabela_registros[CATEGORIA],receitasvariáveisconsolidadomar[[#This Row],[ATUAL]])</f>
        <v>0</v>
      </c>
      <c r="AD97" s="119" t="n">
        <f aca="false">SUMIFS(tabela_registros[VALOR],tabela_registros[MÊS],$AE$1,tabela_registros[DIA],receitasvariáveisconsolidadomar[[#Headers],[26]],tabela_registros[REGISTRO],DADOS!$N$3,tabela_registros[TIPO],DADOS!$V$4,tabela_registros[CATEGORIA],receitasvariáveisconsolidadomar[[#This Row],[ATUAL]])</f>
        <v>0</v>
      </c>
      <c r="AE97" s="119" t="n">
        <f aca="false">SUMIFS(tabela_registros[VALOR],tabela_registros[MÊS],$AE$1,tabela_registros[DIA],receitasvariáveisconsolidadomar[[#Headers],[27]],tabela_registros[REGISTRO],DADOS!$N$3,tabela_registros[TIPO],DADOS!$V$4,tabela_registros[CATEGORIA],receitasvariáveisconsolidadomar[[#This Row],[ATUAL]])</f>
        <v>0</v>
      </c>
      <c r="AF97" s="119" t="n">
        <f aca="false">SUMIFS(tabela_registros[VALOR],tabela_registros[MÊS],$AE$1,tabela_registros[DIA],receitasvariáveisconsolidadomar[[#Headers],[28]],tabela_registros[REGISTRO],DADOS!$N$3,tabela_registros[TIPO],DADOS!$V$4,tabela_registros[CATEGORIA],receitasvariáveisconsolidadomar[[#This Row],[ATUAL]])</f>
        <v>0</v>
      </c>
      <c r="AG97" s="119" t="n">
        <f aca="false">SUMIFS(tabela_registros[VALOR],tabela_registros[MÊS],$AE$1,tabela_registros[DIA],receitasvariáveisconsolidadomar[[#Headers],[29]],tabela_registros[REGISTRO],DADOS!$N$3,tabela_registros[TIPO],DADOS!$V$4,tabela_registros[CATEGORIA],receitasvariáveisconsolidadomar[[#This Row],[ATUAL]])</f>
        <v>0</v>
      </c>
      <c r="AH97" s="119" t="n">
        <f aca="false">SUMIFS(tabela_registros[VALOR],tabela_registros[MÊS],$AE$1,tabela_registros[DIA],receitasvariáveisconsolidadomar[[#Headers],[30]],tabela_registros[REGISTRO],DADOS!$N$3,tabela_registros[TIPO],DADOS!$V$4,tabela_registros[CATEGORIA],receitasvariáveisconsolidadomar[[#This Row],[ATUAL]])</f>
        <v>0</v>
      </c>
      <c r="AI97" s="217" t="n">
        <f aca="false">SUMIFS(tabela_registros[VALOR],tabela_registros[MÊS],$AE$1,tabela_registros[DIA],receitasvariáveisconsolidadomar[[#Headers],[31]],tabela_registros[REGISTRO],DADOS!$N$3,tabela_registros[TIPO],DADOS!$V$4,tabela_registros[CATEGORIA],receitasvariáveisconsolidadomar[[#This Row],[ATUAL]])</f>
        <v>0</v>
      </c>
      <c r="AJ97" s="149" t="n">
        <f aca="false">SUM(receitasvariáveisconsolidadomar[[#This Row],[1]:[31]])</f>
        <v>0</v>
      </c>
      <c r="AK97" s="165"/>
    </row>
    <row r="98" customFormat="false" ht="19.5" hidden="false" customHeight="true" outlineLevel="0" collapsed="false">
      <c r="B98" s="143"/>
      <c r="C98" s="144" t="str">
        <f aca="false">DADOS!$Z$5</f>
        <v>🎗️ HERANÇA</v>
      </c>
      <c r="D98" s="145" t="str">
        <f aca="false">IF(receitasvariáveisconsolidadomar[[#This Row],[TOTAL (R$)]]=0,"",IF(OR(receitasvariáveisconsolidadomar[[#This Row],[TOTAL (R$)]]=LARGE($AJ$96:$AJ$103,1),receitasvariáveisconsolidadomar[[#This Row],[TOTAL (R$)]]=LARGE($AJ$96:$AJ$103,2)),DADOS!$I$9,""))</f>
        <v/>
      </c>
      <c r="E98" s="148" t="n">
        <f aca="false">SUMIFS(tabela_registros[VALOR],tabela_registros[MÊS],$AE$1,tabela_registros[DIA],receitasvariáveisconsolidadomar[[#Headers],[1]],tabela_registros[REGISTRO],DADOS!$N$3,tabela_registros[TIPO],DADOS!$V$4,tabela_registros[CATEGORIA],receitasvariáveisconsolidadomar[[#This Row],[ATUAL]])</f>
        <v>0</v>
      </c>
      <c r="F98" s="119" t="n">
        <f aca="false">SUMIFS(tabela_registros[VALOR],tabela_registros[MÊS],$AE$1,tabela_registros[DIA],receitasvariáveisconsolidadomar[[#Headers],[2]],tabela_registros[REGISTRO],DADOS!$N$3,tabela_registros[TIPO],DADOS!$V$4,tabela_registros[CATEGORIA],receitasvariáveisconsolidadomar[[#This Row],[ATUAL]])</f>
        <v>0</v>
      </c>
      <c r="G98" s="119" t="n">
        <f aca="false">SUMIFS(tabela_registros[VALOR],tabela_registros[MÊS],$AE$1,tabela_registros[DIA],receitasvariáveisconsolidadomar[[#Headers],[3]],tabela_registros[REGISTRO],DADOS!$N$3,tabela_registros[TIPO],DADOS!$V$4,tabela_registros[CATEGORIA],receitasvariáveisconsolidadomar[[#This Row],[ATUAL]])</f>
        <v>0</v>
      </c>
      <c r="H98" s="119" t="n">
        <f aca="false">SUMIFS(tabela_registros[VALOR],tabela_registros[MÊS],$AE$1,tabela_registros[DIA],receitasvariáveisconsolidadomar[[#Headers],[4]],tabela_registros[REGISTRO],DADOS!$N$3,tabela_registros[TIPO],DADOS!$V$4,tabela_registros[CATEGORIA],receitasvariáveisconsolidadomar[[#This Row],[ATUAL]])</f>
        <v>0</v>
      </c>
      <c r="I98" s="119" t="n">
        <f aca="false">SUMIFS(tabela_registros[VALOR],tabela_registros[MÊS],$AE$1,tabela_registros[DIA],receitasvariáveisconsolidadomar[[#Headers],[5]],tabela_registros[REGISTRO],DADOS!$N$3,tabela_registros[TIPO],DADOS!$V$4,tabela_registros[CATEGORIA],receitasvariáveisconsolidadomar[[#This Row],[ATUAL]])</f>
        <v>0</v>
      </c>
      <c r="J98" s="119" t="n">
        <f aca="false">SUMIFS(tabela_registros[VALOR],tabela_registros[MÊS],$AE$1,tabela_registros[DIA],receitasvariáveisconsolidadomar[[#Headers],[6]],tabela_registros[REGISTRO],DADOS!$N$3,tabela_registros[TIPO],DADOS!$V$4,tabela_registros[CATEGORIA],receitasvariáveisconsolidadomar[[#This Row],[ATUAL]])</f>
        <v>0</v>
      </c>
      <c r="K98" s="119" t="n">
        <f aca="false">SUMIFS(tabela_registros[VALOR],tabela_registros[MÊS],$AE$1,tabela_registros[DIA],receitasvariáveisconsolidadomar[[#Headers],[7]],tabela_registros[REGISTRO],DADOS!$N$3,tabela_registros[TIPO],DADOS!$V$4,tabela_registros[CATEGORIA],receitasvariáveisconsolidadomar[[#This Row],[ATUAL]])</f>
        <v>0</v>
      </c>
      <c r="L98" s="119" t="n">
        <f aca="false">SUMIFS(tabela_registros[VALOR],tabela_registros[MÊS],$AE$1,tabela_registros[DIA],receitasvariáveisconsolidadomar[[#Headers],[8]],tabela_registros[REGISTRO],DADOS!$N$3,tabela_registros[TIPO],DADOS!$V$4,tabela_registros[CATEGORIA],receitasvariáveisconsolidadomar[[#This Row],[ATUAL]])</f>
        <v>0</v>
      </c>
      <c r="M98" s="119" t="n">
        <f aca="false">SUMIFS(tabela_registros[VALOR],tabela_registros[MÊS],$AE$1,tabela_registros[DIA],receitasvariáveisconsolidadomar[[#Headers],[9]],tabela_registros[REGISTRO],DADOS!$N$3,tabela_registros[TIPO],DADOS!$V$4,tabela_registros[CATEGORIA],receitasvariáveisconsolidadomar[[#This Row],[ATUAL]])</f>
        <v>0</v>
      </c>
      <c r="N98" s="119" t="n">
        <f aca="false">SUMIFS(tabela_registros[VALOR],tabela_registros[MÊS],$AE$1,tabela_registros[DIA],receitasvariáveisconsolidadomar[[#Headers],[10]],tabela_registros[REGISTRO],DADOS!$N$3,tabela_registros[TIPO],DADOS!$V$4,tabela_registros[CATEGORIA],receitasvariáveisconsolidadomar[[#This Row],[ATUAL]])</f>
        <v>0</v>
      </c>
      <c r="O98" s="119" t="n">
        <f aca="false">SUMIFS(tabela_registros[VALOR],tabela_registros[MÊS],$AE$1,tabela_registros[DIA],receitasvariáveisconsolidadomar[[#Headers],[11]],tabela_registros[REGISTRO],DADOS!$N$3,tabela_registros[TIPO],DADOS!$V$4,tabela_registros[CATEGORIA],receitasvariáveisconsolidadomar[[#This Row],[ATUAL]])</f>
        <v>0</v>
      </c>
      <c r="P98" s="119" t="n">
        <f aca="false">SUMIFS(tabela_registros[VALOR],tabela_registros[MÊS],$AE$1,tabela_registros[DIA],receitasvariáveisconsolidadomar[[#Headers],[12]],tabela_registros[REGISTRO],DADOS!$N$3,tabela_registros[TIPO],DADOS!$V$4,tabela_registros[CATEGORIA],receitasvariáveisconsolidadomar[[#This Row],[ATUAL]])</f>
        <v>0</v>
      </c>
      <c r="Q98" s="119" t="n">
        <f aca="false">SUMIFS(tabela_registros[VALOR],tabela_registros[MÊS],$AE$1,tabela_registros[DIA],receitasvariáveisconsolidadomar[[#Headers],[13]],tabela_registros[REGISTRO],DADOS!$N$3,tabela_registros[TIPO],DADOS!$V$4,tabela_registros[CATEGORIA],receitasvariáveisconsolidadomar[[#This Row],[ATUAL]])</f>
        <v>0</v>
      </c>
      <c r="R98" s="119" t="n">
        <f aca="false">SUMIFS(tabela_registros[VALOR],tabela_registros[MÊS],$AE$1,tabela_registros[DIA],receitasvariáveisconsolidadomar[[#Headers],[14]],tabela_registros[REGISTRO],DADOS!$N$3,tabela_registros[TIPO],DADOS!$V$4,tabela_registros[CATEGORIA],receitasvariáveisconsolidadomar[[#This Row],[ATUAL]])</f>
        <v>0</v>
      </c>
      <c r="S98" s="119" t="n">
        <f aca="false">SUMIFS(tabela_registros[VALOR],tabela_registros[MÊS],$AE$1,tabela_registros[DIA],receitasvariáveisconsolidadomar[[#Headers],[15]],tabela_registros[REGISTRO],DADOS!$N$3,tabela_registros[TIPO],DADOS!$V$4,tabela_registros[CATEGORIA],receitasvariáveisconsolidadomar[[#This Row],[ATUAL]])</f>
        <v>0</v>
      </c>
      <c r="T98" s="119" t="n">
        <f aca="false">SUMIFS(tabela_registros[VALOR],tabela_registros[MÊS],$AE$1,tabela_registros[DIA],receitasvariáveisconsolidadomar[[#Headers],[16]],tabela_registros[REGISTRO],DADOS!$N$3,tabela_registros[TIPO],DADOS!$V$4,tabela_registros[CATEGORIA],receitasvariáveisconsolidadomar[[#This Row],[ATUAL]])</f>
        <v>0</v>
      </c>
      <c r="U98" s="119" t="n">
        <f aca="false">SUMIFS(tabela_registros[VALOR],tabela_registros[MÊS],$AE$1,tabela_registros[DIA],receitasvariáveisconsolidadomar[[#Headers],[17]],tabela_registros[REGISTRO],DADOS!$N$3,tabela_registros[TIPO],DADOS!$V$4,tabela_registros[CATEGORIA],receitasvariáveisconsolidadomar[[#This Row],[ATUAL]])</f>
        <v>0</v>
      </c>
      <c r="V98" s="119" t="n">
        <f aca="false">SUMIFS(tabela_registros[VALOR],tabela_registros[MÊS],$AE$1,tabela_registros[DIA],receitasvariáveisconsolidadomar[[#Headers],[18]],tabela_registros[REGISTRO],DADOS!$N$3,tabela_registros[TIPO],DADOS!$V$4,tabela_registros[CATEGORIA],receitasvariáveisconsolidadomar[[#This Row],[ATUAL]])</f>
        <v>0</v>
      </c>
      <c r="W98" s="119" t="n">
        <f aca="false">SUMIFS(tabela_registros[VALOR],tabela_registros[MÊS],$AE$1,tabela_registros[DIA],receitasvariáveisconsolidadomar[[#Headers],[19]],tabela_registros[REGISTRO],DADOS!$N$3,tabela_registros[TIPO],DADOS!$V$4,tabela_registros[CATEGORIA],receitasvariáveisconsolidadomar[[#This Row],[ATUAL]])</f>
        <v>0</v>
      </c>
      <c r="X98" s="119" t="n">
        <f aca="false">SUMIFS(tabela_registros[VALOR],tabela_registros[MÊS],$AE$1,tabela_registros[DIA],receitasvariáveisconsolidadomar[[#Headers],[20]],tabela_registros[REGISTRO],DADOS!$N$3,tabela_registros[TIPO],DADOS!$V$4,tabela_registros[CATEGORIA],receitasvariáveisconsolidadomar[[#This Row],[ATUAL]])</f>
        <v>0</v>
      </c>
      <c r="Y98" s="119" t="n">
        <f aca="false">SUMIFS(tabela_registros[VALOR],tabela_registros[MÊS],$AE$1,tabela_registros[DIA],receitasvariáveisconsolidadomar[[#Headers],[21]],tabela_registros[REGISTRO],DADOS!$N$3,tabela_registros[TIPO],DADOS!$V$4,tabela_registros[CATEGORIA],receitasvariáveisconsolidadomar[[#This Row],[ATUAL]])</f>
        <v>0</v>
      </c>
      <c r="Z98" s="119" t="n">
        <f aca="false">SUMIFS(tabela_registros[VALOR],tabela_registros[MÊS],$AE$1,tabela_registros[DIA],receitasvariáveisconsolidadomar[[#Headers],[22]],tabela_registros[REGISTRO],DADOS!$N$3,tabela_registros[TIPO],DADOS!$V$4,tabela_registros[CATEGORIA],receitasvariáveisconsolidadomar[[#This Row],[ATUAL]])</f>
        <v>0</v>
      </c>
      <c r="AA98" s="119" t="n">
        <f aca="false">SUMIFS(tabela_registros[VALOR],tabela_registros[MÊS],$AE$1,tabela_registros[DIA],receitasvariáveisconsolidadomar[[#Headers],[23]],tabela_registros[REGISTRO],DADOS!$N$3,tabela_registros[TIPO],DADOS!$V$4,tabela_registros[CATEGORIA],receitasvariáveisconsolidadomar[[#This Row],[ATUAL]])</f>
        <v>0</v>
      </c>
      <c r="AB98" s="119" t="n">
        <f aca="false">SUMIFS(tabela_registros[VALOR],tabela_registros[MÊS],$AE$1,tabela_registros[DIA],receitasvariáveisconsolidadomar[[#Headers],[24]],tabela_registros[REGISTRO],DADOS!$N$3,tabela_registros[TIPO],DADOS!$V$4,tabela_registros[CATEGORIA],receitasvariáveisconsolidadomar[[#This Row],[ATUAL]])</f>
        <v>0</v>
      </c>
      <c r="AC98" s="119" t="n">
        <f aca="false">SUMIFS(tabela_registros[VALOR],tabela_registros[MÊS],$AE$1,tabela_registros[DIA],receitasvariáveisconsolidadomar[[#Headers],[25]],tabela_registros[REGISTRO],DADOS!$N$3,tabela_registros[TIPO],DADOS!$V$4,tabela_registros[CATEGORIA],receitasvariáveisconsolidadomar[[#This Row],[ATUAL]])</f>
        <v>0</v>
      </c>
      <c r="AD98" s="119" t="n">
        <f aca="false">SUMIFS(tabela_registros[VALOR],tabela_registros[MÊS],$AE$1,tabela_registros[DIA],receitasvariáveisconsolidadomar[[#Headers],[26]],tabela_registros[REGISTRO],DADOS!$N$3,tabela_registros[TIPO],DADOS!$V$4,tabela_registros[CATEGORIA],receitasvariáveisconsolidadomar[[#This Row],[ATUAL]])</f>
        <v>0</v>
      </c>
      <c r="AE98" s="119" t="n">
        <f aca="false">SUMIFS(tabela_registros[VALOR],tabela_registros[MÊS],$AE$1,tabela_registros[DIA],receitasvariáveisconsolidadomar[[#Headers],[27]],tabela_registros[REGISTRO],DADOS!$N$3,tabela_registros[TIPO],DADOS!$V$4,tabela_registros[CATEGORIA],receitasvariáveisconsolidadomar[[#This Row],[ATUAL]])</f>
        <v>0</v>
      </c>
      <c r="AF98" s="119" t="n">
        <f aca="false">SUMIFS(tabela_registros[VALOR],tabela_registros[MÊS],$AE$1,tabela_registros[DIA],receitasvariáveisconsolidadomar[[#Headers],[28]],tabela_registros[REGISTRO],DADOS!$N$3,tabela_registros[TIPO],DADOS!$V$4,tabela_registros[CATEGORIA],receitasvariáveisconsolidadomar[[#This Row],[ATUAL]])</f>
        <v>0</v>
      </c>
      <c r="AG98" s="119" t="n">
        <f aca="false">SUMIFS(tabela_registros[VALOR],tabela_registros[MÊS],$AE$1,tabela_registros[DIA],receitasvariáveisconsolidadomar[[#Headers],[29]],tabela_registros[REGISTRO],DADOS!$N$3,tabela_registros[TIPO],DADOS!$V$4,tabela_registros[CATEGORIA],receitasvariáveisconsolidadomar[[#This Row],[ATUAL]])</f>
        <v>0</v>
      </c>
      <c r="AH98" s="119" t="n">
        <f aca="false">SUMIFS(tabela_registros[VALOR],tabela_registros[MÊS],$AE$1,tabela_registros[DIA],receitasvariáveisconsolidadomar[[#Headers],[30]],tabela_registros[REGISTRO],DADOS!$N$3,tabela_registros[TIPO],DADOS!$V$4,tabela_registros[CATEGORIA],receitasvariáveisconsolidadomar[[#This Row],[ATUAL]])</f>
        <v>0</v>
      </c>
      <c r="AI98" s="217" t="n">
        <f aca="false">SUMIFS(tabela_registros[VALOR],tabela_registros[MÊS],$AE$1,tabela_registros[DIA],receitasvariáveisconsolidadomar[[#Headers],[31]],tabela_registros[REGISTRO],DADOS!$N$3,tabela_registros[TIPO],DADOS!$V$4,tabela_registros[CATEGORIA],receitasvariáveisconsolidadomar[[#This Row],[ATUAL]])</f>
        <v>0</v>
      </c>
      <c r="AJ98" s="149" t="n">
        <f aca="false">SUM(receitasvariáveisconsolidadomar[[#This Row],[1]:[31]])</f>
        <v>0</v>
      </c>
      <c r="AK98" s="165"/>
    </row>
    <row r="99" customFormat="false" ht="19.5" hidden="false" customHeight="true" outlineLevel="0" collapsed="false">
      <c r="B99" s="143"/>
      <c r="C99" s="144" t="str">
        <f aca="false">DADOS!$Z$6</f>
        <v>💲 INVESTIMENTOS</v>
      </c>
      <c r="D99" s="145" t="str">
        <f aca="false">IF(receitasvariáveisconsolidadomar[[#This Row],[TOTAL (R$)]]=0,"",IF(OR(receitasvariáveisconsolidadomar[[#This Row],[TOTAL (R$)]]=LARGE($AJ$96:$AJ$103,1),receitasvariáveisconsolidadomar[[#This Row],[TOTAL (R$)]]=LARGE($AJ$96:$AJ$103,2)),DADOS!$I$9,""))</f>
        <v/>
      </c>
      <c r="E99" s="148" t="n">
        <f aca="false">SUMIFS(tabela_registros[VALOR],tabela_registros[MÊS],$AE$1,tabela_registros[DIA],receitasvariáveisconsolidadomar[[#Headers],[1]],tabela_registros[REGISTRO],DADOS!$N$3,tabela_registros[TIPO],DADOS!$V$4,tabela_registros[CATEGORIA],receitasvariáveisconsolidadomar[[#This Row],[ATUAL]])</f>
        <v>0</v>
      </c>
      <c r="F99" s="119" t="n">
        <f aca="false">SUMIFS(tabela_registros[VALOR],tabela_registros[MÊS],$AE$1,tabela_registros[DIA],receitasvariáveisconsolidadomar[[#Headers],[2]],tabela_registros[REGISTRO],DADOS!$N$3,tabela_registros[TIPO],DADOS!$V$4,tabela_registros[CATEGORIA],receitasvariáveisconsolidadomar[[#This Row],[ATUAL]])</f>
        <v>0</v>
      </c>
      <c r="G99" s="119" t="n">
        <f aca="false">SUMIFS(tabela_registros[VALOR],tabela_registros[MÊS],$AE$1,tabela_registros[DIA],receitasvariáveisconsolidadomar[[#Headers],[3]],tabela_registros[REGISTRO],DADOS!$N$3,tabela_registros[TIPO],DADOS!$V$4,tabela_registros[CATEGORIA],receitasvariáveisconsolidadomar[[#This Row],[ATUAL]])</f>
        <v>0</v>
      </c>
      <c r="H99" s="119" t="n">
        <f aca="false">SUMIFS(tabela_registros[VALOR],tabela_registros[MÊS],$AE$1,tabela_registros[DIA],receitasvariáveisconsolidadomar[[#Headers],[4]],tabela_registros[REGISTRO],DADOS!$N$3,tabela_registros[TIPO],DADOS!$V$4,tabela_registros[CATEGORIA],receitasvariáveisconsolidadomar[[#This Row],[ATUAL]])</f>
        <v>0</v>
      </c>
      <c r="I99" s="119" t="n">
        <f aca="false">SUMIFS(tabela_registros[VALOR],tabela_registros[MÊS],$AE$1,tabela_registros[DIA],receitasvariáveisconsolidadomar[[#Headers],[5]],tabela_registros[REGISTRO],DADOS!$N$3,tabela_registros[TIPO],DADOS!$V$4,tabela_registros[CATEGORIA],receitasvariáveisconsolidadomar[[#This Row],[ATUAL]])</f>
        <v>0</v>
      </c>
      <c r="J99" s="119" t="n">
        <f aca="false">SUMIFS(tabela_registros[VALOR],tabela_registros[MÊS],$AE$1,tabela_registros[DIA],receitasvariáveisconsolidadomar[[#Headers],[6]],tabela_registros[REGISTRO],DADOS!$N$3,tabela_registros[TIPO],DADOS!$V$4,tabela_registros[CATEGORIA],receitasvariáveisconsolidadomar[[#This Row],[ATUAL]])</f>
        <v>0</v>
      </c>
      <c r="K99" s="119" t="n">
        <f aca="false">SUMIFS(tabela_registros[VALOR],tabela_registros[MÊS],$AE$1,tabela_registros[DIA],receitasvariáveisconsolidadomar[[#Headers],[7]],tabela_registros[REGISTRO],DADOS!$N$3,tabela_registros[TIPO],DADOS!$V$4,tabela_registros[CATEGORIA],receitasvariáveisconsolidadomar[[#This Row],[ATUAL]])</f>
        <v>0</v>
      </c>
      <c r="L99" s="119" t="n">
        <f aca="false">SUMIFS(tabela_registros[VALOR],tabela_registros[MÊS],$AE$1,tabela_registros[DIA],receitasvariáveisconsolidadomar[[#Headers],[8]],tabela_registros[REGISTRO],DADOS!$N$3,tabela_registros[TIPO],DADOS!$V$4,tabela_registros[CATEGORIA],receitasvariáveisconsolidadomar[[#This Row],[ATUAL]])</f>
        <v>0</v>
      </c>
      <c r="M99" s="119" t="n">
        <f aca="false">SUMIFS(tabela_registros[VALOR],tabela_registros[MÊS],$AE$1,tabela_registros[DIA],receitasvariáveisconsolidadomar[[#Headers],[9]],tabela_registros[REGISTRO],DADOS!$N$3,tabela_registros[TIPO],DADOS!$V$4,tabela_registros[CATEGORIA],receitasvariáveisconsolidadomar[[#This Row],[ATUAL]])</f>
        <v>0</v>
      </c>
      <c r="N99" s="119" t="n">
        <f aca="false">SUMIFS(tabela_registros[VALOR],tabela_registros[MÊS],$AE$1,tabela_registros[DIA],receitasvariáveisconsolidadomar[[#Headers],[10]],tabela_registros[REGISTRO],DADOS!$N$3,tabela_registros[TIPO],DADOS!$V$4,tabela_registros[CATEGORIA],receitasvariáveisconsolidadomar[[#This Row],[ATUAL]])</f>
        <v>0</v>
      </c>
      <c r="O99" s="119" t="n">
        <f aca="false">SUMIFS(tabela_registros[VALOR],tabela_registros[MÊS],$AE$1,tabela_registros[DIA],receitasvariáveisconsolidadomar[[#Headers],[11]],tabela_registros[REGISTRO],DADOS!$N$3,tabela_registros[TIPO],DADOS!$V$4,tabela_registros[CATEGORIA],receitasvariáveisconsolidadomar[[#This Row],[ATUAL]])</f>
        <v>0</v>
      </c>
      <c r="P99" s="119" t="n">
        <f aca="false">SUMIFS(tabela_registros[VALOR],tabela_registros[MÊS],$AE$1,tabela_registros[DIA],receitasvariáveisconsolidadomar[[#Headers],[12]],tabela_registros[REGISTRO],DADOS!$N$3,tabela_registros[TIPO],DADOS!$V$4,tabela_registros[CATEGORIA],receitasvariáveisconsolidadomar[[#This Row],[ATUAL]])</f>
        <v>0</v>
      </c>
      <c r="Q99" s="119" t="n">
        <f aca="false">SUMIFS(tabela_registros[VALOR],tabela_registros[MÊS],$AE$1,tabela_registros[DIA],receitasvariáveisconsolidadomar[[#Headers],[13]],tabela_registros[REGISTRO],DADOS!$N$3,tabela_registros[TIPO],DADOS!$V$4,tabela_registros[CATEGORIA],receitasvariáveisconsolidadomar[[#This Row],[ATUAL]])</f>
        <v>0</v>
      </c>
      <c r="R99" s="119" t="n">
        <f aca="false">SUMIFS(tabela_registros[VALOR],tabela_registros[MÊS],$AE$1,tabela_registros[DIA],receitasvariáveisconsolidadomar[[#Headers],[14]],tabela_registros[REGISTRO],DADOS!$N$3,tabela_registros[TIPO],DADOS!$V$4,tabela_registros[CATEGORIA],receitasvariáveisconsolidadomar[[#This Row],[ATUAL]])</f>
        <v>0</v>
      </c>
      <c r="S99" s="119" t="n">
        <f aca="false">SUMIFS(tabela_registros[VALOR],tabela_registros[MÊS],$AE$1,tabela_registros[DIA],receitasvariáveisconsolidadomar[[#Headers],[15]],tabela_registros[REGISTRO],DADOS!$N$3,tabela_registros[TIPO],DADOS!$V$4,tabela_registros[CATEGORIA],receitasvariáveisconsolidadomar[[#This Row],[ATUAL]])</f>
        <v>0</v>
      </c>
      <c r="T99" s="119" t="n">
        <f aca="false">SUMIFS(tabela_registros[VALOR],tabela_registros[MÊS],$AE$1,tabela_registros[DIA],receitasvariáveisconsolidadomar[[#Headers],[16]],tabela_registros[REGISTRO],DADOS!$N$3,tabela_registros[TIPO],DADOS!$V$4,tabela_registros[CATEGORIA],receitasvariáveisconsolidadomar[[#This Row],[ATUAL]])</f>
        <v>0</v>
      </c>
      <c r="U99" s="119" t="n">
        <f aca="false">SUMIFS(tabela_registros[VALOR],tabela_registros[MÊS],$AE$1,tabela_registros[DIA],receitasvariáveisconsolidadomar[[#Headers],[17]],tabela_registros[REGISTRO],DADOS!$N$3,tabela_registros[TIPO],DADOS!$V$4,tabela_registros[CATEGORIA],receitasvariáveisconsolidadomar[[#This Row],[ATUAL]])</f>
        <v>0</v>
      </c>
      <c r="V99" s="119" t="n">
        <f aca="false">SUMIFS(tabela_registros[VALOR],tabela_registros[MÊS],$AE$1,tabela_registros[DIA],receitasvariáveisconsolidadomar[[#Headers],[18]],tabela_registros[REGISTRO],DADOS!$N$3,tabela_registros[TIPO],DADOS!$V$4,tabela_registros[CATEGORIA],receitasvariáveisconsolidadomar[[#This Row],[ATUAL]])</f>
        <v>0</v>
      </c>
      <c r="W99" s="119" t="n">
        <f aca="false">SUMIFS(tabela_registros[VALOR],tabela_registros[MÊS],$AE$1,tabela_registros[DIA],receitasvariáveisconsolidadomar[[#Headers],[19]],tabela_registros[REGISTRO],DADOS!$N$3,tabela_registros[TIPO],DADOS!$V$4,tabela_registros[CATEGORIA],receitasvariáveisconsolidadomar[[#This Row],[ATUAL]])</f>
        <v>0</v>
      </c>
      <c r="X99" s="119" t="n">
        <f aca="false">SUMIFS(tabela_registros[VALOR],tabela_registros[MÊS],$AE$1,tabela_registros[DIA],receitasvariáveisconsolidadomar[[#Headers],[20]],tabela_registros[REGISTRO],DADOS!$N$3,tabela_registros[TIPO],DADOS!$V$4,tabela_registros[CATEGORIA],receitasvariáveisconsolidadomar[[#This Row],[ATUAL]])</f>
        <v>0</v>
      </c>
      <c r="Y99" s="119" t="n">
        <f aca="false">SUMIFS(tabela_registros[VALOR],tabela_registros[MÊS],$AE$1,tabela_registros[DIA],receitasvariáveisconsolidadomar[[#Headers],[21]],tabela_registros[REGISTRO],DADOS!$N$3,tabela_registros[TIPO],DADOS!$V$4,tabela_registros[CATEGORIA],receitasvariáveisconsolidadomar[[#This Row],[ATUAL]])</f>
        <v>0</v>
      </c>
      <c r="Z99" s="119" t="n">
        <f aca="false">SUMIFS(tabela_registros[VALOR],tabela_registros[MÊS],$AE$1,tabela_registros[DIA],receitasvariáveisconsolidadomar[[#Headers],[22]],tabela_registros[REGISTRO],DADOS!$N$3,tabela_registros[TIPO],DADOS!$V$4,tabela_registros[CATEGORIA],receitasvariáveisconsolidadomar[[#This Row],[ATUAL]])</f>
        <v>0</v>
      </c>
      <c r="AA99" s="119" t="n">
        <f aca="false">SUMIFS(tabela_registros[VALOR],tabela_registros[MÊS],$AE$1,tabela_registros[DIA],receitasvariáveisconsolidadomar[[#Headers],[23]],tabela_registros[REGISTRO],DADOS!$N$3,tabela_registros[TIPO],DADOS!$V$4,tabela_registros[CATEGORIA],receitasvariáveisconsolidadomar[[#This Row],[ATUAL]])</f>
        <v>0</v>
      </c>
      <c r="AB99" s="119" t="n">
        <f aca="false">SUMIFS(tabela_registros[VALOR],tabela_registros[MÊS],$AE$1,tabela_registros[DIA],receitasvariáveisconsolidadomar[[#Headers],[24]],tabela_registros[REGISTRO],DADOS!$N$3,tabela_registros[TIPO],DADOS!$V$4,tabela_registros[CATEGORIA],receitasvariáveisconsolidadomar[[#This Row],[ATUAL]])</f>
        <v>0</v>
      </c>
      <c r="AC99" s="119" t="n">
        <f aca="false">SUMIFS(tabela_registros[VALOR],tabela_registros[MÊS],$AE$1,tabela_registros[DIA],receitasvariáveisconsolidadomar[[#Headers],[25]],tabela_registros[REGISTRO],DADOS!$N$3,tabela_registros[TIPO],DADOS!$V$4,tabela_registros[CATEGORIA],receitasvariáveisconsolidadomar[[#This Row],[ATUAL]])</f>
        <v>0</v>
      </c>
      <c r="AD99" s="119" t="n">
        <f aca="false">SUMIFS(tabela_registros[VALOR],tabela_registros[MÊS],$AE$1,tabela_registros[DIA],receitasvariáveisconsolidadomar[[#Headers],[26]],tabela_registros[REGISTRO],DADOS!$N$3,tabela_registros[TIPO],DADOS!$V$4,tabela_registros[CATEGORIA],receitasvariáveisconsolidadomar[[#This Row],[ATUAL]])</f>
        <v>0</v>
      </c>
      <c r="AE99" s="119" t="n">
        <f aca="false">SUMIFS(tabela_registros[VALOR],tabela_registros[MÊS],$AE$1,tabela_registros[DIA],receitasvariáveisconsolidadomar[[#Headers],[27]],tabela_registros[REGISTRO],DADOS!$N$3,tabela_registros[TIPO],DADOS!$V$4,tabela_registros[CATEGORIA],receitasvariáveisconsolidadomar[[#This Row],[ATUAL]])</f>
        <v>0</v>
      </c>
      <c r="AF99" s="119" t="n">
        <f aca="false">SUMIFS(tabela_registros[VALOR],tabela_registros[MÊS],$AE$1,tabela_registros[DIA],receitasvariáveisconsolidadomar[[#Headers],[28]],tabela_registros[REGISTRO],DADOS!$N$3,tabela_registros[TIPO],DADOS!$V$4,tabela_registros[CATEGORIA],receitasvariáveisconsolidadomar[[#This Row],[ATUAL]])</f>
        <v>0</v>
      </c>
      <c r="AG99" s="119" t="n">
        <f aca="false">SUMIFS(tabela_registros[VALOR],tabela_registros[MÊS],$AE$1,tabela_registros[DIA],receitasvariáveisconsolidadomar[[#Headers],[29]],tabela_registros[REGISTRO],DADOS!$N$3,tabela_registros[TIPO],DADOS!$V$4,tabela_registros[CATEGORIA],receitasvariáveisconsolidadomar[[#This Row],[ATUAL]])</f>
        <v>0</v>
      </c>
      <c r="AH99" s="119" t="n">
        <f aca="false">SUMIFS(tabela_registros[VALOR],tabela_registros[MÊS],$AE$1,tabela_registros[DIA],receitasvariáveisconsolidadomar[[#Headers],[30]],tabela_registros[REGISTRO],DADOS!$N$3,tabela_registros[TIPO],DADOS!$V$4,tabela_registros[CATEGORIA],receitasvariáveisconsolidadomar[[#This Row],[ATUAL]])</f>
        <v>0</v>
      </c>
      <c r="AI99" s="217" t="n">
        <f aca="false">SUMIFS(tabela_registros[VALOR],tabela_registros[MÊS],$AE$1,tabela_registros[DIA],receitasvariáveisconsolidadomar[[#Headers],[31]],tabela_registros[REGISTRO],DADOS!$N$3,tabela_registros[TIPO],DADOS!$V$4,tabela_registros[CATEGORIA],receitasvariáveisconsolidadomar[[#This Row],[ATUAL]])</f>
        <v>0</v>
      </c>
      <c r="AJ99" s="149" t="n">
        <f aca="false">SUM(receitasvariáveisconsolidadomar[[#This Row],[1]:[31]])</f>
        <v>0</v>
      </c>
      <c r="AK99" s="165"/>
    </row>
    <row r="100" customFormat="false" ht="19.5" hidden="false" customHeight="true" outlineLevel="0" collapsed="false">
      <c r="B100" s="143"/>
      <c r="C100" s="144" t="str">
        <f aca="false">DADOS!$Z$7</f>
        <v>🧾 NOTA DE SERVIÇO</v>
      </c>
      <c r="D100" s="145" t="str">
        <f aca="false">IF(receitasvariáveisconsolidadomar[[#This Row],[TOTAL (R$)]]=0,"",IF(OR(receitasvariáveisconsolidadomar[[#This Row],[TOTAL (R$)]]=LARGE($AJ$96:$AJ$103,1),receitasvariáveisconsolidadomar[[#This Row],[TOTAL (R$)]]=LARGE($AJ$96:$AJ$103,2)),DADOS!$I$9,""))</f>
        <v/>
      </c>
      <c r="E100" s="148" t="n">
        <f aca="false">SUMIFS(tabela_registros[VALOR],tabela_registros[MÊS],$AE$1,tabela_registros[DIA],receitasvariáveisconsolidadomar[[#Headers],[1]],tabela_registros[REGISTRO],DADOS!$N$3,tabela_registros[TIPO],DADOS!$V$4,tabela_registros[CATEGORIA],receitasvariáveisconsolidadomar[[#This Row],[ATUAL]])</f>
        <v>0</v>
      </c>
      <c r="F100" s="119" t="n">
        <f aca="false">SUMIFS(tabela_registros[VALOR],tabela_registros[MÊS],$AE$1,tabela_registros[DIA],receitasvariáveisconsolidadomar[[#Headers],[2]],tabela_registros[REGISTRO],DADOS!$N$3,tabela_registros[TIPO],DADOS!$V$4,tabela_registros[CATEGORIA],receitasvariáveisconsolidadomar[[#This Row],[ATUAL]])</f>
        <v>0</v>
      </c>
      <c r="G100" s="119" t="n">
        <f aca="false">SUMIFS(tabela_registros[VALOR],tabela_registros[MÊS],$AE$1,tabela_registros[DIA],receitasvariáveisconsolidadomar[[#Headers],[3]],tabela_registros[REGISTRO],DADOS!$N$3,tabela_registros[TIPO],DADOS!$V$4,tabela_registros[CATEGORIA],receitasvariáveisconsolidadomar[[#This Row],[ATUAL]])</f>
        <v>0</v>
      </c>
      <c r="H100" s="119" t="n">
        <f aca="false">SUMIFS(tabela_registros[VALOR],tabela_registros[MÊS],$AE$1,tabela_registros[DIA],receitasvariáveisconsolidadomar[[#Headers],[4]],tabela_registros[REGISTRO],DADOS!$N$3,tabela_registros[TIPO],DADOS!$V$4,tabela_registros[CATEGORIA],receitasvariáveisconsolidadomar[[#This Row],[ATUAL]])</f>
        <v>0</v>
      </c>
      <c r="I100" s="119" t="n">
        <f aca="false">SUMIFS(tabela_registros[VALOR],tabela_registros[MÊS],$AE$1,tabela_registros[DIA],receitasvariáveisconsolidadomar[[#Headers],[5]],tabela_registros[REGISTRO],DADOS!$N$3,tabela_registros[TIPO],DADOS!$V$4,tabela_registros[CATEGORIA],receitasvariáveisconsolidadomar[[#This Row],[ATUAL]])</f>
        <v>0</v>
      </c>
      <c r="J100" s="119" t="n">
        <f aca="false">SUMIFS(tabela_registros[VALOR],tabela_registros[MÊS],$AE$1,tabela_registros[DIA],receitasvariáveisconsolidadomar[[#Headers],[6]],tabela_registros[REGISTRO],DADOS!$N$3,tabela_registros[TIPO],DADOS!$V$4,tabela_registros[CATEGORIA],receitasvariáveisconsolidadomar[[#This Row],[ATUAL]])</f>
        <v>0</v>
      </c>
      <c r="K100" s="119" t="n">
        <f aca="false">SUMIFS(tabela_registros[VALOR],tabela_registros[MÊS],$AE$1,tabela_registros[DIA],receitasvariáveisconsolidadomar[[#Headers],[7]],tabela_registros[REGISTRO],DADOS!$N$3,tabela_registros[TIPO],DADOS!$V$4,tabela_registros[CATEGORIA],receitasvariáveisconsolidadomar[[#This Row],[ATUAL]])</f>
        <v>0</v>
      </c>
      <c r="L100" s="119" t="n">
        <f aca="false">SUMIFS(tabela_registros[VALOR],tabela_registros[MÊS],$AE$1,tabela_registros[DIA],receitasvariáveisconsolidadomar[[#Headers],[8]],tabela_registros[REGISTRO],DADOS!$N$3,tabela_registros[TIPO],DADOS!$V$4,tabela_registros[CATEGORIA],receitasvariáveisconsolidadomar[[#This Row],[ATUAL]])</f>
        <v>0</v>
      </c>
      <c r="M100" s="119" t="n">
        <f aca="false">SUMIFS(tabela_registros[VALOR],tabela_registros[MÊS],$AE$1,tabela_registros[DIA],receitasvariáveisconsolidadomar[[#Headers],[9]],tabela_registros[REGISTRO],DADOS!$N$3,tabela_registros[TIPO],DADOS!$V$4,tabela_registros[CATEGORIA],receitasvariáveisconsolidadomar[[#This Row],[ATUAL]])</f>
        <v>0</v>
      </c>
      <c r="N100" s="119" t="n">
        <f aca="false">SUMIFS(tabela_registros[VALOR],tabela_registros[MÊS],$AE$1,tabela_registros[DIA],receitasvariáveisconsolidadomar[[#Headers],[10]],tabela_registros[REGISTRO],DADOS!$N$3,tabela_registros[TIPO],DADOS!$V$4,tabela_registros[CATEGORIA],receitasvariáveisconsolidadomar[[#This Row],[ATUAL]])</f>
        <v>0</v>
      </c>
      <c r="O100" s="119" t="n">
        <f aca="false">SUMIFS(tabela_registros[VALOR],tabela_registros[MÊS],$AE$1,tabela_registros[DIA],receitasvariáveisconsolidadomar[[#Headers],[11]],tabela_registros[REGISTRO],DADOS!$N$3,tabela_registros[TIPO],DADOS!$V$4,tabela_registros[CATEGORIA],receitasvariáveisconsolidadomar[[#This Row],[ATUAL]])</f>
        <v>0</v>
      </c>
      <c r="P100" s="119" t="n">
        <f aca="false">SUMIFS(tabela_registros[VALOR],tabela_registros[MÊS],$AE$1,tabela_registros[DIA],receitasvariáveisconsolidadomar[[#Headers],[12]],tabela_registros[REGISTRO],DADOS!$N$3,tabela_registros[TIPO],DADOS!$V$4,tabela_registros[CATEGORIA],receitasvariáveisconsolidadomar[[#This Row],[ATUAL]])</f>
        <v>0</v>
      </c>
      <c r="Q100" s="119" t="n">
        <f aca="false">SUMIFS(tabela_registros[VALOR],tabela_registros[MÊS],$AE$1,tabela_registros[DIA],receitasvariáveisconsolidadomar[[#Headers],[13]],tabela_registros[REGISTRO],DADOS!$N$3,tabela_registros[TIPO],DADOS!$V$4,tabela_registros[CATEGORIA],receitasvariáveisconsolidadomar[[#This Row],[ATUAL]])</f>
        <v>0</v>
      </c>
      <c r="R100" s="119" t="n">
        <f aca="false">SUMIFS(tabela_registros[VALOR],tabela_registros[MÊS],$AE$1,tabela_registros[DIA],receitasvariáveisconsolidadomar[[#Headers],[14]],tabela_registros[REGISTRO],DADOS!$N$3,tabela_registros[TIPO],DADOS!$V$4,tabela_registros[CATEGORIA],receitasvariáveisconsolidadomar[[#This Row],[ATUAL]])</f>
        <v>0</v>
      </c>
      <c r="S100" s="119" t="n">
        <f aca="false">SUMIFS(tabela_registros[VALOR],tabela_registros[MÊS],$AE$1,tabela_registros[DIA],receitasvariáveisconsolidadomar[[#Headers],[15]],tabela_registros[REGISTRO],DADOS!$N$3,tabela_registros[TIPO],DADOS!$V$4,tabela_registros[CATEGORIA],receitasvariáveisconsolidadomar[[#This Row],[ATUAL]])</f>
        <v>0</v>
      </c>
      <c r="T100" s="119" t="n">
        <f aca="false">SUMIFS(tabela_registros[VALOR],tabela_registros[MÊS],$AE$1,tabela_registros[DIA],receitasvariáveisconsolidadomar[[#Headers],[16]],tabela_registros[REGISTRO],DADOS!$N$3,tabela_registros[TIPO],DADOS!$V$4,tabela_registros[CATEGORIA],receitasvariáveisconsolidadomar[[#This Row],[ATUAL]])</f>
        <v>0</v>
      </c>
      <c r="U100" s="119" t="n">
        <f aca="false">SUMIFS(tabela_registros[VALOR],tabela_registros[MÊS],$AE$1,tabela_registros[DIA],receitasvariáveisconsolidadomar[[#Headers],[17]],tabela_registros[REGISTRO],DADOS!$N$3,tabela_registros[TIPO],DADOS!$V$4,tabela_registros[CATEGORIA],receitasvariáveisconsolidadomar[[#This Row],[ATUAL]])</f>
        <v>0</v>
      </c>
      <c r="V100" s="119" t="n">
        <f aca="false">SUMIFS(tabela_registros[VALOR],tabela_registros[MÊS],$AE$1,tabela_registros[DIA],receitasvariáveisconsolidadomar[[#Headers],[18]],tabela_registros[REGISTRO],DADOS!$N$3,tabela_registros[TIPO],DADOS!$V$4,tabela_registros[CATEGORIA],receitasvariáveisconsolidadomar[[#This Row],[ATUAL]])</f>
        <v>0</v>
      </c>
      <c r="W100" s="119" t="n">
        <f aca="false">SUMIFS(tabela_registros[VALOR],tabela_registros[MÊS],$AE$1,tabela_registros[DIA],receitasvariáveisconsolidadomar[[#Headers],[19]],tabela_registros[REGISTRO],DADOS!$N$3,tabela_registros[TIPO],DADOS!$V$4,tabela_registros[CATEGORIA],receitasvariáveisconsolidadomar[[#This Row],[ATUAL]])</f>
        <v>0</v>
      </c>
      <c r="X100" s="119" t="n">
        <f aca="false">SUMIFS(tabela_registros[VALOR],tabela_registros[MÊS],$AE$1,tabela_registros[DIA],receitasvariáveisconsolidadomar[[#Headers],[20]],tabela_registros[REGISTRO],DADOS!$N$3,tabela_registros[TIPO],DADOS!$V$4,tabela_registros[CATEGORIA],receitasvariáveisconsolidadomar[[#This Row],[ATUAL]])</f>
        <v>0</v>
      </c>
      <c r="Y100" s="119" t="n">
        <f aca="false">SUMIFS(tabela_registros[VALOR],tabela_registros[MÊS],$AE$1,tabela_registros[DIA],receitasvariáveisconsolidadomar[[#Headers],[21]],tabela_registros[REGISTRO],DADOS!$N$3,tabela_registros[TIPO],DADOS!$V$4,tabela_registros[CATEGORIA],receitasvariáveisconsolidadomar[[#This Row],[ATUAL]])</f>
        <v>0</v>
      </c>
      <c r="Z100" s="119" t="n">
        <f aca="false">SUMIFS(tabela_registros[VALOR],tabela_registros[MÊS],$AE$1,tabela_registros[DIA],receitasvariáveisconsolidadomar[[#Headers],[22]],tabela_registros[REGISTRO],DADOS!$N$3,tabela_registros[TIPO],DADOS!$V$4,tabela_registros[CATEGORIA],receitasvariáveisconsolidadomar[[#This Row],[ATUAL]])</f>
        <v>0</v>
      </c>
      <c r="AA100" s="119" t="n">
        <f aca="false">SUMIFS(tabela_registros[VALOR],tabela_registros[MÊS],$AE$1,tabela_registros[DIA],receitasvariáveisconsolidadomar[[#Headers],[23]],tabela_registros[REGISTRO],DADOS!$N$3,tabela_registros[TIPO],DADOS!$V$4,tabela_registros[CATEGORIA],receitasvariáveisconsolidadomar[[#This Row],[ATUAL]])</f>
        <v>0</v>
      </c>
      <c r="AB100" s="119" t="n">
        <f aca="false">SUMIFS(tabela_registros[VALOR],tabela_registros[MÊS],$AE$1,tabela_registros[DIA],receitasvariáveisconsolidadomar[[#Headers],[24]],tabela_registros[REGISTRO],DADOS!$N$3,tabela_registros[TIPO],DADOS!$V$4,tabela_registros[CATEGORIA],receitasvariáveisconsolidadomar[[#This Row],[ATUAL]])</f>
        <v>0</v>
      </c>
      <c r="AC100" s="119" t="n">
        <f aca="false">SUMIFS(tabela_registros[VALOR],tabela_registros[MÊS],$AE$1,tabela_registros[DIA],receitasvariáveisconsolidadomar[[#Headers],[25]],tabela_registros[REGISTRO],DADOS!$N$3,tabela_registros[TIPO],DADOS!$V$4,tabela_registros[CATEGORIA],receitasvariáveisconsolidadomar[[#This Row],[ATUAL]])</f>
        <v>0</v>
      </c>
      <c r="AD100" s="119" t="n">
        <f aca="false">SUMIFS(tabela_registros[VALOR],tabela_registros[MÊS],$AE$1,tabela_registros[DIA],receitasvariáveisconsolidadomar[[#Headers],[26]],tabela_registros[REGISTRO],DADOS!$N$3,tabela_registros[TIPO],DADOS!$V$4,tabela_registros[CATEGORIA],receitasvariáveisconsolidadomar[[#This Row],[ATUAL]])</f>
        <v>0</v>
      </c>
      <c r="AE100" s="119" t="n">
        <f aca="false">SUMIFS(tabela_registros[VALOR],tabela_registros[MÊS],$AE$1,tabela_registros[DIA],receitasvariáveisconsolidadomar[[#Headers],[27]],tabela_registros[REGISTRO],DADOS!$N$3,tabela_registros[TIPO],DADOS!$V$4,tabela_registros[CATEGORIA],receitasvariáveisconsolidadomar[[#This Row],[ATUAL]])</f>
        <v>0</v>
      </c>
      <c r="AF100" s="119" t="n">
        <f aca="false">SUMIFS(tabela_registros[VALOR],tabela_registros[MÊS],$AE$1,tabela_registros[DIA],receitasvariáveisconsolidadomar[[#Headers],[28]],tabela_registros[REGISTRO],DADOS!$N$3,tabela_registros[TIPO],DADOS!$V$4,tabela_registros[CATEGORIA],receitasvariáveisconsolidadomar[[#This Row],[ATUAL]])</f>
        <v>0</v>
      </c>
      <c r="AG100" s="119" t="n">
        <f aca="false">SUMIFS(tabela_registros[VALOR],tabela_registros[MÊS],$AE$1,tabela_registros[DIA],receitasvariáveisconsolidadomar[[#Headers],[29]],tabela_registros[REGISTRO],DADOS!$N$3,tabela_registros[TIPO],DADOS!$V$4,tabela_registros[CATEGORIA],receitasvariáveisconsolidadomar[[#This Row],[ATUAL]])</f>
        <v>0</v>
      </c>
      <c r="AH100" s="119" t="n">
        <f aca="false">SUMIFS(tabela_registros[VALOR],tabela_registros[MÊS],$AE$1,tabela_registros[DIA],receitasvariáveisconsolidadomar[[#Headers],[30]],tabela_registros[REGISTRO],DADOS!$N$3,tabela_registros[TIPO],DADOS!$V$4,tabela_registros[CATEGORIA],receitasvariáveisconsolidadomar[[#This Row],[ATUAL]])</f>
        <v>0</v>
      </c>
      <c r="AI100" s="217" t="n">
        <f aca="false">SUMIFS(tabela_registros[VALOR],tabela_registros[MÊS],$AE$1,tabela_registros[DIA],receitasvariáveisconsolidadomar[[#Headers],[31]],tabela_registros[REGISTRO],DADOS!$N$3,tabela_registros[TIPO],DADOS!$V$4,tabela_registros[CATEGORIA],receitasvariáveisconsolidadomar[[#This Row],[ATUAL]])</f>
        <v>0</v>
      </c>
      <c r="AJ100" s="237" t="n">
        <f aca="false">SUM(receitasvariáveisconsolidadomar[[#This Row],[1]:[31]])</f>
        <v>0</v>
      </c>
      <c r="AK100" s="165"/>
    </row>
    <row r="101" customFormat="false" ht="19.5" hidden="false" customHeight="true" outlineLevel="0" collapsed="false">
      <c r="B101" s="143"/>
      <c r="C101" s="144" t="str">
        <f aca="false">DADOS!$Z$8</f>
        <v>🎁 PRESENTE</v>
      </c>
      <c r="D101" s="145" t="str">
        <f aca="false">IF(receitasvariáveisconsolidadomar[[#This Row],[TOTAL (R$)]]=0,"",IF(OR(receitasvariáveisconsolidadomar[[#This Row],[TOTAL (R$)]]=LARGE($AJ$96:$AJ$103,1),receitasvariáveisconsolidadomar[[#This Row],[TOTAL (R$)]]=LARGE($AJ$96:$AJ$103,2)),DADOS!$I$9,""))</f>
        <v/>
      </c>
      <c r="E101" s="148" t="n">
        <f aca="false">SUMIFS(tabela_registros[VALOR],tabela_registros[MÊS],$AE$1,tabela_registros[DIA],receitasvariáveisconsolidadomar[[#Headers],[1]],tabela_registros[REGISTRO],DADOS!$N$3,tabela_registros[TIPO],DADOS!$V$4,tabela_registros[CATEGORIA],receitasvariáveisconsolidadomar[[#This Row],[ATUAL]])</f>
        <v>0</v>
      </c>
      <c r="F101" s="119" t="n">
        <f aca="false">SUMIFS(tabela_registros[VALOR],tabela_registros[MÊS],$AE$1,tabela_registros[DIA],receitasvariáveisconsolidadomar[[#Headers],[2]],tabela_registros[REGISTRO],DADOS!$N$3,tabela_registros[TIPO],DADOS!$V$4,tabela_registros[CATEGORIA],receitasvariáveisconsolidadomar[[#This Row],[ATUAL]])</f>
        <v>0</v>
      </c>
      <c r="G101" s="119" t="n">
        <f aca="false">SUMIFS(tabela_registros[VALOR],tabela_registros[MÊS],$AE$1,tabela_registros[DIA],receitasvariáveisconsolidadomar[[#Headers],[3]],tabela_registros[REGISTRO],DADOS!$N$3,tabela_registros[TIPO],DADOS!$V$4,tabela_registros[CATEGORIA],receitasvariáveisconsolidadomar[[#This Row],[ATUAL]])</f>
        <v>0</v>
      </c>
      <c r="H101" s="119" t="n">
        <f aca="false">SUMIFS(tabela_registros[VALOR],tabela_registros[MÊS],$AE$1,tabela_registros[DIA],receitasvariáveisconsolidadomar[[#Headers],[4]],tabela_registros[REGISTRO],DADOS!$N$3,tabela_registros[TIPO],DADOS!$V$4,tabela_registros[CATEGORIA],receitasvariáveisconsolidadomar[[#This Row],[ATUAL]])</f>
        <v>0</v>
      </c>
      <c r="I101" s="119" t="n">
        <f aca="false">SUMIFS(tabela_registros[VALOR],tabela_registros[MÊS],$AE$1,tabela_registros[DIA],receitasvariáveisconsolidadomar[[#Headers],[5]],tabela_registros[REGISTRO],DADOS!$N$3,tabela_registros[TIPO],DADOS!$V$4,tabela_registros[CATEGORIA],receitasvariáveisconsolidadomar[[#This Row],[ATUAL]])</f>
        <v>0</v>
      </c>
      <c r="J101" s="119" t="n">
        <f aca="false">SUMIFS(tabela_registros[VALOR],tabela_registros[MÊS],$AE$1,tabela_registros[DIA],receitasvariáveisconsolidadomar[[#Headers],[6]],tabela_registros[REGISTRO],DADOS!$N$3,tabela_registros[TIPO],DADOS!$V$4,tabela_registros[CATEGORIA],receitasvariáveisconsolidadomar[[#This Row],[ATUAL]])</f>
        <v>0</v>
      </c>
      <c r="K101" s="119" t="n">
        <f aca="false">SUMIFS(tabela_registros[VALOR],tabela_registros[MÊS],$AE$1,tabela_registros[DIA],receitasvariáveisconsolidadomar[[#Headers],[7]],tabela_registros[REGISTRO],DADOS!$N$3,tabela_registros[TIPO],DADOS!$V$4,tabela_registros[CATEGORIA],receitasvariáveisconsolidadomar[[#This Row],[ATUAL]])</f>
        <v>0</v>
      </c>
      <c r="L101" s="119" t="n">
        <f aca="false">SUMIFS(tabela_registros[VALOR],tabela_registros[MÊS],$AE$1,tabela_registros[DIA],receitasvariáveisconsolidadomar[[#Headers],[8]],tabela_registros[REGISTRO],DADOS!$N$3,tabela_registros[TIPO],DADOS!$V$4,tabela_registros[CATEGORIA],receitasvariáveisconsolidadomar[[#This Row],[ATUAL]])</f>
        <v>0</v>
      </c>
      <c r="M101" s="119" t="n">
        <f aca="false">SUMIFS(tabela_registros[VALOR],tabela_registros[MÊS],$AE$1,tabela_registros[DIA],receitasvariáveisconsolidadomar[[#Headers],[9]],tabela_registros[REGISTRO],DADOS!$N$3,tabela_registros[TIPO],DADOS!$V$4,tabela_registros[CATEGORIA],receitasvariáveisconsolidadomar[[#This Row],[ATUAL]])</f>
        <v>0</v>
      </c>
      <c r="N101" s="119" t="n">
        <f aca="false">SUMIFS(tabela_registros[VALOR],tabela_registros[MÊS],$AE$1,tabela_registros[DIA],receitasvariáveisconsolidadomar[[#Headers],[10]],tabela_registros[REGISTRO],DADOS!$N$3,tabela_registros[TIPO],DADOS!$V$4,tabela_registros[CATEGORIA],receitasvariáveisconsolidadomar[[#This Row],[ATUAL]])</f>
        <v>0</v>
      </c>
      <c r="O101" s="119" t="n">
        <f aca="false">SUMIFS(tabela_registros[VALOR],tabela_registros[MÊS],$AE$1,tabela_registros[DIA],receitasvariáveisconsolidadomar[[#Headers],[11]],tabela_registros[REGISTRO],DADOS!$N$3,tabela_registros[TIPO],DADOS!$V$4,tabela_registros[CATEGORIA],receitasvariáveisconsolidadomar[[#This Row],[ATUAL]])</f>
        <v>0</v>
      </c>
      <c r="P101" s="119" t="n">
        <f aca="false">SUMIFS(tabela_registros[VALOR],tabela_registros[MÊS],$AE$1,tabela_registros[DIA],receitasvariáveisconsolidadomar[[#Headers],[12]],tabela_registros[REGISTRO],DADOS!$N$3,tabela_registros[TIPO],DADOS!$V$4,tabela_registros[CATEGORIA],receitasvariáveisconsolidadomar[[#This Row],[ATUAL]])</f>
        <v>0</v>
      </c>
      <c r="Q101" s="119" t="n">
        <f aca="false">SUMIFS(tabela_registros[VALOR],tabela_registros[MÊS],$AE$1,tabela_registros[DIA],receitasvariáveisconsolidadomar[[#Headers],[13]],tabela_registros[REGISTRO],DADOS!$N$3,tabela_registros[TIPO],DADOS!$V$4,tabela_registros[CATEGORIA],receitasvariáveisconsolidadomar[[#This Row],[ATUAL]])</f>
        <v>0</v>
      </c>
      <c r="R101" s="119" t="n">
        <f aca="false">SUMIFS(tabela_registros[VALOR],tabela_registros[MÊS],$AE$1,tabela_registros[DIA],receitasvariáveisconsolidadomar[[#Headers],[14]],tabela_registros[REGISTRO],DADOS!$N$3,tabela_registros[TIPO],DADOS!$V$4,tabela_registros[CATEGORIA],receitasvariáveisconsolidadomar[[#This Row],[ATUAL]])</f>
        <v>0</v>
      </c>
      <c r="S101" s="119" t="n">
        <f aca="false">SUMIFS(tabela_registros[VALOR],tabela_registros[MÊS],$AE$1,tabela_registros[DIA],receitasvariáveisconsolidadomar[[#Headers],[15]],tabela_registros[REGISTRO],DADOS!$N$3,tabela_registros[TIPO],DADOS!$V$4,tabela_registros[CATEGORIA],receitasvariáveisconsolidadomar[[#This Row],[ATUAL]])</f>
        <v>0</v>
      </c>
      <c r="T101" s="119" t="n">
        <f aca="false">SUMIFS(tabela_registros[VALOR],tabela_registros[MÊS],$AE$1,tabela_registros[DIA],receitasvariáveisconsolidadomar[[#Headers],[16]],tabela_registros[REGISTRO],DADOS!$N$3,tabela_registros[TIPO],DADOS!$V$4,tabela_registros[CATEGORIA],receitasvariáveisconsolidadomar[[#This Row],[ATUAL]])</f>
        <v>0</v>
      </c>
      <c r="U101" s="119" t="n">
        <f aca="false">SUMIFS(tabela_registros[VALOR],tabela_registros[MÊS],$AE$1,tabela_registros[DIA],receitasvariáveisconsolidadomar[[#Headers],[17]],tabela_registros[REGISTRO],DADOS!$N$3,tabela_registros[TIPO],DADOS!$V$4,tabela_registros[CATEGORIA],receitasvariáveisconsolidadomar[[#This Row],[ATUAL]])</f>
        <v>0</v>
      </c>
      <c r="V101" s="119" t="n">
        <f aca="false">SUMIFS(tabela_registros[VALOR],tabela_registros[MÊS],$AE$1,tabela_registros[DIA],receitasvariáveisconsolidadomar[[#Headers],[18]],tabela_registros[REGISTRO],DADOS!$N$3,tabela_registros[TIPO],DADOS!$V$4,tabela_registros[CATEGORIA],receitasvariáveisconsolidadomar[[#This Row],[ATUAL]])</f>
        <v>0</v>
      </c>
      <c r="W101" s="119" t="n">
        <f aca="false">SUMIFS(tabela_registros[VALOR],tabela_registros[MÊS],$AE$1,tabela_registros[DIA],receitasvariáveisconsolidadomar[[#Headers],[19]],tabela_registros[REGISTRO],DADOS!$N$3,tabela_registros[TIPO],DADOS!$V$4,tabela_registros[CATEGORIA],receitasvariáveisconsolidadomar[[#This Row],[ATUAL]])</f>
        <v>0</v>
      </c>
      <c r="X101" s="119" t="n">
        <f aca="false">SUMIFS(tabela_registros[VALOR],tabela_registros[MÊS],$AE$1,tabela_registros[DIA],receitasvariáveisconsolidadomar[[#Headers],[20]],tabela_registros[REGISTRO],DADOS!$N$3,tabela_registros[TIPO],DADOS!$V$4,tabela_registros[CATEGORIA],receitasvariáveisconsolidadomar[[#This Row],[ATUAL]])</f>
        <v>0</v>
      </c>
      <c r="Y101" s="119" t="n">
        <f aca="false">SUMIFS(tabela_registros[VALOR],tabela_registros[MÊS],$AE$1,tabela_registros[DIA],receitasvariáveisconsolidadomar[[#Headers],[21]],tabela_registros[REGISTRO],DADOS!$N$3,tabela_registros[TIPO],DADOS!$V$4,tabela_registros[CATEGORIA],receitasvariáveisconsolidadomar[[#This Row],[ATUAL]])</f>
        <v>0</v>
      </c>
      <c r="Z101" s="119" t="n">
        <f aca="false">SUMIFS(tabela_registros[VALOR],tabela_registros[MÊS],$AE$1,tabela_registros[DIA],receitasvariáveisconsolidadomar[[#Headers],[22]],tabela_registros[REGISTRO],DADOS!$N$3,tabela_registros[TIPO],DADOS!$V$4,tabela_registros[CATEGORIA],receitasvariáveisconsolidadomar[[#This Row],[ATUAL]])</f>
        <v>0</v>
      </c>
      <c r="AA101" s="119" t="n">
        <f aca="false">SUMIFS(tabela_registros[VALOR],tabela_registros[MÊS],$AE$1,tabela_registros[DIA],receitasvariáveisconsolidadomar[[#Headers],[23]],tabela_registros[REGISTRO],DADOS!$N$3,tabela_registros[TIPO],DADOS!$V$4,tabela_registros[CATEGORIA],receitasvariáveisconsolidadomar[[#This Row],[ATUAL]])</f>
        <v>0</v>
      </c>
      <c r="AB101" s="119" t="n">
        <f aca="false">SUMIFS(tabela_registros[VALOR],tabela_registros[MÊS],$AE$1,tabela_registros[DIA],receitasvariáveisconsolidadomar[[#Headers],[24]],tabela_registros[REGISTRO],DADOS!$N$3,tabela_registros[TIPO],DADOS!$V$4,tabela_registros[CATEGORIA],receitasvariáveisconsolidadomar[[#This Row],[ATUAL]])</f>
        <v>0</v>
      </c>
      <c r="AC101" s="119" t="n">
        <f aca="false">SUMIFS(tabela_registros[VALOR],tabela_registros[MÊS],$AE$1,tabela_registros[DIA],receitasvariáveisconsolidadomar[[#Headers],[25]],tabela_registros[REGISTRO],DADOS!$N$3,tabela_registros[TIPO],DADOS!$V$4,tabela_registros[CATEGORIA],receitasvariáveisconsolidadomar[[#This Row],[ATUAL]])</f>
        <v>0</v>
      </c>
      <c r="AD101" s="119" t="n">
        <f aca="false">SUMIFS(tabela_registros[VALOR],tabela_registros[MÊS],$AE$1,tabela_registros[DIA],receitasvariáveisconsolidadomar[[#Headers],[26]],tabela_registros[REGISTRO],DADOS!$N$3,tabela_registros[TIPO],DADOS!$V$4,tabela_registros[CATEGORIA],receitasvariáveisconsolidadomar[[#This Row],[ATUAL]])</f>
        <v>0</v>
      </c>
      <c r="AE101" s="119" t="n">
        <f aca="false">SUMIFS(tabela_registros[VALOR],tabela_registros[MÊS],$AE$1,tabela_registros[DIA],receitasvariáveisconsolidadomar[[#Headers],[27]],tabela_registros[REGISTRO],DADOS!$N$3,tabela_registros[TIPO],DADOS!$V$4,tabela_registros[CATEGORIA],receitasvariáveisconsolidadomar[[#This Row],[ATUAL]])</f>
        <v>0</v>
      </c>
      <c r="AF101" s="119" t="n">
        <f aca="false">SUMIFS(tabela_registros[VALOR],tabela_registros[MÊS],$AE$1,tabela_registros[DIA],receitasvariáveisconsolidadomar[[#Headers],[28]],tabela_registros[REGISTRO],DADOS!$N$3,tabela_registros[TIPO],DADOS!$V$4,tabela_registros[CATEGORIA],receitasvariáveisconsolidadomar[[#This Row],[ATUAL]])</f>
        <v>0</v>
      </c>
      <c r="AG101" s="119" t="n">
        <f aca="false">SUMIFS(tabela_registros[VALOR],tabela_registros[MÊS],$AE$1,tabela_registros[DIA],receitasvariáveisconsolidadomar[[#Headers],[29]],tabela_registros[REGISTRO],DADOS!$N$3,tabela_registros[TIPO],DADOS!$V$4,tabela_registros[CATEGORIA],receitasvariáveisconsolidadomar[[#This Row],[ATUAL]])</f>
        <v>0</v>
      </c>
      <c r="AH101" s="119" t="n">
        <f aca="false">SUMIFS(tabela_registros[VALOR],tabela_registros[MÊS],$AE$1,tabela_registros[DIA],receitasvariáveisconsolidadomar[[#Headers],[30]],tabela_registros[REGISTRO],DADOS!$N$3,tabela_registros[TIPO],DADOS!$V$4,tabela_registros[CATEGORIA],receitasvariáveisconsolidadomar[[#This Row],[ATUAL]])</f>
        <v>0</v>
      </c>
      <c r="AI101" s="217" t="n">
        <f aca="false">SUMIFS(tabela_registros[VALOR],tabela_registros[MÊS],$AE$1,tabela_registros[DIA],receitasvariáveisconsolidadomar[[#Headers],[31]],tabela_registros[REGISTRO],DADOS!$N$3,tabela_registros[TIPO],DADOS!$V$4,tabela_registros[CATEGORIA],receitasvariáveisconsolidadomar[[#This Row],[ATUAL]])</f>
        <v>0</v>
      </c>
      <c r="AJ101" s="237" t="n">
        <f aca="false">SUM(receitasvariáveisconsolidadomar[[#This Row],[1]:[31]])</f>
        <v>0</v>
      </c>
      <c r="AK101" s="165"/>
    </row>
    <row r="102" customFormat="false" ht="19.5" hidden="false" customHeight="true" outlineLevel="0" collapsed="false">
      <c r="B102" s="143"/>
      <c r="C102" s="144" t="str">
        <f aca="false">DADOS!$Z$9</f>
        <v>👷‍♀️ TRABALHO TEMPORÁRIO</v>
      </c>
      <c r="D102" s="145" t="str">
        <f aca="false">IF(receitasvariáveisconsolidadomar[[#This Row],[TOTAL (R$)]]=0,"",IF(OR(receitasvariáveisconsolidadomar[[#This Row],[TOTAL (R$)]]=LARGE($AJ$96:$AJ$103,1),receitasvariáveisconsolidadomar[[#This Row],[TOTAL (R$)]]=LARGE($AJ$96:$AJ$103,2)),DADOS!$I$9,""))</f>
        <v/>
      </c>
      <c r="E102" s="148" t="n">
        <f aca="false">SUMIFS(tabela_registros[VALOR],tabela_registros[MÊS],$AE$1,tabela_registros[DIA],receitasvariáveisconsolidadomar[[#Headers],[1]],tabela_registros[REGISTRO],DADOS!$N$3,tabela_registros[TIPO],DADOS!$V$4,tabela_registros[CATEGORIA],receitasvariáveisconsolidadomar[[#This Row],[ATUAL]])</f>
        <v>0</v>
      </c>
      <c r="F102" s="119" t="n">
        <f aca="false">SUMIFS(tabela_registros[VALOR],tabela_registros[MÊS],$AE$1,tabela_registros[DIA],receitasvariáveisconsolidadomar[[#Headers],[2]],tabela_registros[REGISTRO],DADOS!$N$3,tabela_registros[TIPO],DADOS!$V$4,tabela_registros[CATEGORIA],receitasvariáveisconsolidadomar[[#This Row],[ATUAL]])</f>
        <v>0</v>
      </c>
      <c r="G102" s="119" t="n">
        <f aca="false">SUMIFS(tabela_registros[VALOR],tabela_registros[MÊS],$AE$1,tabela_registros[DIA],receitasvariáveisconsolidadomar[[#Headers],[3]],tabela_registros[REGISTRO],DADOS!$N$3,tabela_registros[TIPO],DADOS!$V$4,tabela_registros[CATEGORIA],receitasvariáveisconsolidadomar[[#This Row],[ATUAL]])</f>
        <v>0</v>
      </c>
      <c r="H102" s="119" t="n">
        <f aca="false">SUMIFS(tabela_registros[VALOR],tabela_registros[MÊS],$AE$1,tabela_registros[DIA],receitasvariáveisconsolidadomar[[#Headers],[4]],tabela_registros[REGISTRO],DADOS!$N$3,tabela_registros[TIPO],DADOS!$V$4,tabela_registros[CATEGORIA],receitasvariáveisconsolidadomar[[#This Row],[ATUAL]])</f>
        <v>0</v>
      </c>
      <c r="I102" s="119" t="n">
        <f aca="false">SUMIFS(tabela_registros[VALOR],tabela_registros[MÊS],$AE$1,tabela_registros[DIA],receitasvariáveisconsolidadomar[[#Headers],[5]],tabela_registros[REGISTRO],DADOS!$N$3,tabela_registros[TIPO],DADOS!$V$4,tabela_registros[CATEGORIA],receitasvariáveisconsolidadomar[[#This Row],[ATUAL]])</f>
        <v>0</v>
      </c>
      <c r="J102" s="119" t="n">
        <f aca="false">SUMIFS(tabela_registros[VALOR],tabela_registros[MÊS],$AE$1,tabela_registros[DIA],receitasvariáveisconsolidadomar[[#Headers],[6]],tabela_registros[REGISTRO],DADOS!$N$3,tabela_registros[TIPO],DADOS!$V$4,tabela_registros[CATEGORIA],receitasvariáveisconsolidadomar[[#This Row],[ATUAL]])</f>
        <v>0</v>
      </c>
      <c r="K102" s="119" t="n">
        <f aca="false">SUMIFS(tabela_registros[VALOR],tabela_registros[MÊS],$AE$1,tabela_registros[DIA],receitasvariáveisconsolidadomar[[#Headers],[7]],tabela_registros[REGISTRO],DADOS!$N$3,tabela_registros[TIPO],DADOS!$V$4,tabela_registros[CATEGORIA],receitasvariáveisconsolidadomar[[#This Row],[ATUAL]])</f>
        <v>0</v>
      </c>
      <c r="L102" s="119" t="n">
        <f aca="false">SUMIFS(tabela_registros[VALOR],tabela_registros[MÊS],$AE$1,tabela_registros[DIA],receitasvariáveisconsolidadomar[[#Headers],[8]],tabela_registros[REGISTRO],DADOS!$N$3,tabela_registros[TIPO],DADOS!$V$4,tabela_registros[CATEGORIA],receitasvariáveisconsolidadomar[[#This Row],[ATUAL]])</f>
        <v>0</v>
      </c>
      <c r="M102" s="119" t="n">
        <f aca="false">SUMIFS(tabela_registros[VALOR],tabela_registros[MÊS],$AE$1,tabela_registros[DIA],receitasvariáveisconsolidadomar[[#Headers],[9]],tabela_registros[REGISTRO],DADOS!$N$3,tabela_registros[TIPO],DADOS!$V$4,tabela_registros[CATEGORIA],receitasvariáveisconsolidadomar[[#This Row],[ATUAL]])</f>
        <v>0</v>
      </c>
      <c r="N102" s="119" t="n">
        <f aca="false">SUMIFS(tabela_registros[VALOR],tabela_registros[MÊS],$AE$1,tabela_registros[DIA],receitasvariáveisconsolidadomar[[#Headers],[10]],tabela_registros[REGISTRO],DADOS!$N$3,tabela_registros[TIPO],DADOS!$V$4,tabela_registros[CATEGORIA],receitasvariáveisconsolidadomar[[#This Row],[ATUAL]])</f>
        <v>0</v>
      </c>
      <c r="O102" s="119" t="n">
        <f aca="false">SUMIFS(tabela_registros[VALOR],tabela_registros[MÊS],$AE$1,tabela_registros[DIA],receitasvariáveisconsolidadomar[[#Headers],[11]],tabela_registros[REGISTRO],DADOS!$N$3,tabela_registros[TIPO],DADOS!$V$4,tabela_registros[CATEGORIA],receitasvariáveisconsolidadomar[[#This Row],[ATUAL]])</f>
        <v>0</v>
      </c>
      <c r="P102" s="119" t="n">
        <f aca="false">SUMIFS(tabela_registros[VALOR],tabela_registros[MÊS],$AE$1,tabela_registros[DIA],receitasvariáveisconsolidadomar[[#Headers],[12]],tabela_registros[REGISTRO],DADOS!$N$3,tabela_registros[TIPO],DADOS!$V$4,tabela_registros[CATEGORIA],receitasvariáveisconsolidadomar[[#This Row],[ATUAL]])</f>
        <v>0</v>
      </c>
      <c r="Q102" s="119" t="n">
        <f aca="false">SUMIFS(tabela_registros[VALOR],tabela_registros[MÊS],$AE$1,tabela_registros[DIA],receitasvariáveisconsolidadomar[[#Headers],[13]],tabela_registros[REGISTRO],DADOS!$N$3,tabela_registros[TIPO],DADOS!$V$4,tabela_registros[CATEGORIA],receitasvariáveisconsolidadomar[[#This Row],[ATUAL]])</f>
        <v>0</v>
      </c>
      <c r="R102" s="119" t="n">
        <f aca="false">SUMIFS(tabela_registros[VALOR],tabela_registros[MÊS],$AE$1,tabela_registros[DIA],receitasvariáveisconsolidadomar[[#Headers],[14]],tabela_registros[REGISTRO],DADOS!$N$3,tabela_registros[TIPO],DADOS!$V$4,tabela_registros[CATEGORIA],receitasvariáveisconsolidadomar[[#This Row],[ATUAL]])</f>
        <v>0</v>
      </c>
      <c r="S102" s="119" t="n">
        <f aca="false">SUMIFS(tabela_registros[VALOR],tabela_registros[MÊS],$AE$1,tabela_registros[DIA],receitasvariáveisconsolidadomar[[#Headers],[15]],tabela_registros[REGISTRO],DADOS!$N$3,tabela_registros[TIPO],DADOS!$V$4,tabela_registros[CATEGORIA],receitasvariáveisconsolidadomar[[#This Row],[ATUAL]])</f>
        <v>0</v>
      </c>
      <c r="T102" s="119" t="n">
        <f aca="false">SUMIFS(tabela_registros[VALOR],tabela_registros[MÊS],$AE$1,tabela_registros[DIA],receitasvariáveisconsolidadomar[[#Headers],[16]],tabela_registros[REGISTRO],DADOS!$N$3,tabela_registros[TIPO],DADOS!$V$4,tabela_registros[CATEGORIA],receitasvariáveisconsolidadomar[[#This Row],[ATUAL]])</f>
        <v>0</v>
      </c>
      <c r="U102" s="119" t="n">
        <f aca="false">SUMIFS(tabela_registros[VALOR],tabela_registros[MÊS],$AE$1,tabela_registros[DIA],receitasvariáveisconsolidadomar[[#Headers],[17]],tabela_registros[REGISTRO],DADOS!$N$3,tabela_registros[TIPO],DADOS!$V$4,tabela_registros[CATEGORIA],receitasvariáveisconsolidadomar[[#This Row],[ATUAL]])</f>
        <v>0</v>
      </c>
      <c r="V102" s="119" t="n">
        <f aca="false">SUMIFS(tabela_registros[VALOR],tabela_registros[MÊS],$AE$1,tabela_registros[DIA],receitasvariáveisconsolidadomar[[#Headers],[18]],tabela_registros[REGISTRO],DADOS!$N$3,tabela_registros[TIPO],DADOS!$V$4,tabela_registros[CATEGORIA],receitasvariáveisconsolidadomar[[#This Row],[ATUAL]])</f>
        <v>0</v>
      </c>
      <c r="W102" s="119" t="n">
        <f aca="false">SUMIFS(tabela_registros[VALOR],tabela_registros[MÊS],$AE$1,tabela_registros[DIA],receitasvariáveisconsolidadomar[[#Headers],[19]],tabela_registros[REGISTRO],DADOS!$N$3,tabela_registros[TIPO],DADOS!$V$4,tabela_registros[CATEGORIA],receitasvariáveisconsolidadomar[[#This Row],[ATUAL]])</f>
        <v>0</v>
      </c>
      <c r="X102" s="119" t="n">
        <f aca="false">SUMIFS(tabela_registros[VALOR],tabela_registros[MÊS],$AE$1,tabela_registros[DIA],receitasvariáveisconsolidadomar[[#Headers],[20]],tabela_registros[REGISTRO],DADOS!$N$3,tabela_registros[TIPO],DADOS!$V$4,tabela_registros[CATEGORIA],receitasvariáveisconsolidadomar[[#This Row],[ATUAL]])</f>
        <v>0</v>
      </c>
      <c r="Y102" s="119" t="n">
        <f aca="false">SUMIFS(tabela_registros[VALOR],tabela_registros[MÊS],$AE$1,tabela_registros[DIA],receitasvariáveisconsolidadomar[[#Headers],[21]],tabela_registros[REGISTRO],DADOS!$N$3,tabela_registros[TIPO],DADOS!$V$4,tabela_registros[CATEGORIA],receitasvariáveisconsolidadomar[[#This Row],[ATUAL]])</f>
        <v>0</v>
      </c>
      <c r="Z102" s="119" t="n">
        <f aca="false">SUMIFS(tabela_registros[VALOR],tabela_registros[MÊS],$AE$1,tabela_registros[DIA],receitasvariáveisconsolidadomar[[#Headers],[22]],tabela_registros[REGISTRO],DADOS!$N$3,tabela_registros[TIPO],DADOS!$V$4,tabela_registros[CATEGORIA],receitasvariáveisconsolidadomar[[#This Row],[ATUAL]])</f>
        <v>0</v>
      </c>
      <c r="AA102" s="119" t="n">
        <f aca="false">SUMIFS(tabela_registros[VALOR],tabela_registros[MÊS],$AE$1,tabela_registros[DIA],receitasvariáveisconsolidadomar[[#Headers],[23]],tabela_registros[REGISTRO],DADOS!$N$3,tabela_registros[TIPO],DADOS!$V$4,tabela_registros[CATEGORIA],receitasvariáveisconsolidadomar[[#This Row],[ATUAL]])</f>
        <v>0</v>
      </c>
      <c r="AB102" s="119" t="n">
        <f aca="false">SUMIFS(tabela_registros[VALOR],tabela_registros[MÊS],$AE$1,tabela_registros[DIA],receitasvariáveisconsolidadomar[[#Headers],[24]],tabela_registros[REGISTRO],DADOS!$N$3,tabela_registros[TIPO],DADOS!$V$4,tabela_registros[CATEGORIA],receitasvariáveisconsolidadomar[[#This Row],[ATUAL]])</f>
        <v>0</v>
      </c>
      <c r="AC102" s="119" t="n">
        <f aca="false">SUMIFS(tabela_registros[VALOR],tabela_registros[MÊS],$AE$1,tabela_registros[DIA],receitasvariáveisconsolidadomar[[#Headers],[25]],tabela_registros[REGISTRO],DADOS!$N$3,tabela_registros[TIPO],DADOS!$V$4,tabela_registros[CATEGORIA],receitasvariáveisconsolidadomar[[#This Row],[ATUAL]])</f>
        <v>0</v>
      </c>
      <c r="AD102" s="119" t="n">
        <f aca="false">SUMIFS(tabela_registros[VALOR],tabela_registros[MÊS],$AE$1,tabela_registros[DIA],receitasvariáveisconsolidadomar[[#Headers],[26]],tabela_registros[REGISTRO],DADOS!$N$3,tabela_registros[TIPO],DADOS!$V$4,tabela_registros[CATEGORIA],receitasvariáveisconsolidadomar[[#This Row],[ATUAL]])</f>
        <v>0</v>
      </c>
      <c r="AE102" s="119" t="n">
        <f aca="false">SUMIFS(tabela_registros[VALOR],tabela_registros[MÊS],$AE$1,tabela_registros[DIA],receitasvariáveisconsolidadomar[[#Headers],[27]],tabela_registros[REGISTRO],DADOS!$N$3,tabela_registros[TIPO],DADOS!$V$4,tabela_registros[CATEGORIA],receitasvariáveisconsolidadomar[[#This Row],[ATUAL]])</f>
        <v>0</v>
      </c>
      <c r="AF102" s="119" t="n">
        <f aca="false">SUMIFS(tabela_registros[VALOR],tabela_registros[MÊS],$AE$1,tabela_registros[DIA],receitasvariáveisconsolidadomar[[#Headers],[28]],tabela_registros[REGISTRO],DADOS!$N$3,tabela_registros[TIPO],DADOS!$V$4,tabela_registros[CATEGORIA],receitasvariáveisconsolidadomar[[#This Row],[ATUAL]])</f>
        <v>0</v>
      </c>
      <c r="AG102" s="119" t="n">
        <f aca="false">SUMIFS(tabela_registros[VALOR],tabela_registros[MÊS],$AE$1,tabela_registros[DIA],receitasvariáveisconsolidadomar[[#Headers],[29]],tabela_registros[REGISTRO],DADOS!$N$3,tabela_registros[TIPO],DADOS!$V$4,tabela_registros[CATEGORIA],receitasvariáveisconsolidadomar[[#This Row],[ATUAL]])</f>
        <v>0</v>
      </c>
      <c r="AH102" s="119" t="n">
        <f aca="false">SUMIFS(tabela_registros[VALOR],tabela_registros[MÊS],$AE$1,tabela_registros[DIA],receitasvariáveisconsolidadomar[[#Headers],[30]],tabela_registros[REGISTRO],DADOS!$N$3,tabela_registros[TIPO],DADOS!$V$4,tabela_registros[CATEGORIA],receitasvariáveisconsolidadomar[[#This Row],[ATUAL]])</f>
        <v>0</v>
      </c>
      <c r="AI102" s="217" t="n">
        <f aca="false">SUMIFS(tabela_registros[VALOR],tabela_registros[MÊS],$AE$1,tabela_registros[DIA],receitasvariáveisconsolidadomar[[#Headers],[31]],tabela_registros[REGISTRO],DADOS!$N$3,tabela_registros[TIPO],DADOS!$V$4,tabela_registros[CATEGORIA],receitasvariáveisconsolidadomar[[#This Row],[ATUAL]])</f>
        <v>0</v>
      </c>
      <c r="AJ102" s="237" t="n">
        <f aca="false">SUM(receitasvariáveisconsolidadomar[[#This Row],[1]:[31]])</f>
        <v>0</v>
      </c>
      <c r="AK102" s="165"/>
    </row>
    <row r="103" customFormat="false" ht="18" hidden="false" customHeight="true" outlineLevel="0" collapsed="false">
      <c r="B103" s="143"/>
      <c r="C103" s="144" t="str">
        <f aca="false">DADOS!$Z$10</f>
        <v>📎 OUTROS</v>
      </c>
      <c r="D103" s="145" t="str">
        <f aca="false">IF(receitasvariáveisconsolidadomar[[#This Row],[TOTAL (R$)]]=0,"",IF(OR(receitasvariáveisconsolidadomar[[#This Row],[TOTAL (R$)]]=LARGE($AJ$96:$AJ$103,1),receitasvariáveisconsolidadomar[[#This Row],[TOTAL (R$)]]=LARGE($AJ$96:$AJ$103,2)),DADOS!$I$9,""))</f>
        <v/>
      </c>
      <c r="E103" s="148" t="n">
        <f aca="false">SUMIFS(tabela_registros[VALOR],tabela_registros[MÊS],$AE$1,tabela_registros[DIA],receitasvariáveisconsolidadomar[[#Headers],[1]],tabela_registros[REGISTRO],DADOS!$N$3,tabela_registros[TIPO],DADOS!$V$4,tabela_registros[CATEGORIA],receitasvariáveisconsolidadomar[[#This Row],[ATUAL]])</f>
        <v>0</v>
      </c>
      <c r="F103" s="119" t="n">
        <f aca="false">SUMIFS(tabela_registros[VALOR],tabela_registros[MÊS],$AE$1,tabela_registros[DIA],receitasvariáveisconsolidadomar[[#Headers],[2]],tabela_registros[REGISTRO],DADOS!$N$3,tabela_registros[TIPO],DADOS!$V$4,tabela_registros[CATEGORIA],receitasvariáveisconsolidadomar[[#This Row],[ATUAL]])</f>
        <v>0</v>
      </c>
      <c r="G103" s="119" t="n">
        <f aca="false">SUMIFS(tabela_registros[VALOR],tabela_registros[MÊS],$AE$1,tabela_registros[DIA],receitasvariáveisconsolidadomar[[#Headers],[3]],tabela_registros[REGISTRO],DADOS!$N$3,tabela_registros[TIPO],DADOS!$V$4,tabela_registros[CATEGORIA],receitasvariáveisconsolidadomar[[#This Row],[ATUAL]])</f>
        <v>0</v>
      </c>
      <c r="H103" s="119" t="n">
        <f aca="false">SUMIFS(tabela_registros[VALOR],tabela_registros[MÊS],$AE$1,tabela_registros[DIA],receitasvariáveisconsolidadomar[[#Headers],[4]],tabela_registros[REGISTRO],DADOS!$N$3,tabela_registros[TIPO],DADOS!$V$4,tabela_registros[CATEGORIA],receitasvariáveisconsolidadomar[[#This Row],[ATUAL]])</f>
        <v>0</v>
      </c>
      <c r="I103" s="119" t="n">
        <f aca="false">SUMIFS(tabela_registros[VALOR],tabela_registros[MÊS],$AE$1,tabela_registros[DIA],receitasvariáveisconsolidadomar[[#Headers],[5]],tabela_registros[REGISTRO],DADOS!$N$3,tabela_registros[TIPO],DADOS!$V$4,tabela_registros[CATEGORIA],receitasvariáveisconsolidadomar[[#This Row],[ATUAL]])</f>
        <v>0</v>
      </c>
      <c r="J103" s="119" t="n">
        <f aca="false">SUMIFS(tabela_registros[VALOR],tabela_registros[MÊS],$AE$1,tabela_registros[DIA],receitasvariáveisconsolidadomar[[#Headers],[6]],tabela_registros[REGISTRO],DADOS!$N$3,tabela_registros[TIPO],DADOS!$V$4,tabela_registros[CATEGORIA],receitasvariáveisconsolidadomar[[#This Row],[ATUAL]])</f>
        <v>0</v>
      </c>
      <c r="K103" s="119" t="n">
        <f aca="false">SUMIFS(tabela_registros[VALOR],tabela_registros[MÊS],$AE$1,tabela_registros[DIA],receitasvariáveisconsolidadomar[[#Headers],[7]],tabela_registros[REGISTRO],DADOS!$N$3,tabela_registros[TIPO],DADOS!$V$4,tabela_registros[CATEGORIA],receitasvariáveisconsolidadomar[[#This Row],[ATUAL]])</f>
        <v>0</v>
      </c>
      <c r="L103" s="119" t="n">
        <f aca="false">SUMIFS(tabela_registros[VALOR],tabela_registros[MÊS],$AE$1,tabela_registros[DIA],receitasvariáveisconsolidadomar[[#Headers],[8]],tabela_registros[REGISTRO],DADOS!$N$3,tabela_registros[TIPO],DADOS!$V$4,tabela_registros[CATEGORIA],receitasvariáveisconsolidadomar[[#This Row],[ATUAL]])</f>
        <v>0</v>
      </c>
      <c r="M103" s="119" t="n">
        <f aca="false">SUMIFS(tabela_registros[VALOR],tabela_registros[MÊS],$AE$1,tabela_registros[DIA],receitasvariáveisconsolidadomar[[#Headers],[9]],tabela_registros[REGISTRO],DADOS!$N$3,tabela_registros[TIPO],DADOS!$V$4,tabela_registros[CATEGORIA],receitasvariáveisconsolidadomar[[#This Row],[ATUAL]])</f>
        <v>0</v>
      </c>
      <c r="N103" s="119" t="n">
        <f aca="false">SUMIFS(tabela_registros[VALOR],tabela_registros[MÊS],$AE$1,tabela_registros[DIA],receitasvariáveisconsolidadomar[[#Headers],[10]],tabela_registros[REGISTRO],DADOS!$N$3,tabela_registros[TIPO],DADOS!$V$4,tabela_registros[CATEGORIA],receitasvariáveisconsolidadomar[[#This Row],[ATUAL]])</f>
        <v>0</v>
      </c>
      <c r="O103" s="119" t="n">
        <f aca="false">SUMIFS(tabela_registros[VALOR],tabela_registros[MÊS],$AE$1,tabela_registros[DIA],receitasvariáveisconsolidadomar[[#Headers],[11]],tabela_registros[REGISTRO],DADOS!$N$3,tabela_registros[TIPO],DADOS!$V$4,tabela_registros[CATEGORIA],receitasvariáveisconsolidadomar[[#This Row],[ATUAL]])</f>
        <v>0</v>
      </c>
      <c r="P103" s="119" t="n">
        <f aca="false">SUMIFS(tabela_registros[VALOR],tabela_registros[MÊS],$AE$1,tabela_registros[DIA],receitasvariáveisconsolidadomar[[#Headers],[12]],tabela_registros[REGISTRO],DADOS!$N$3,tabela_registros[TIPO],DADOS!$V$4,tabela_registros[CATEGORIA],receitasvariáveisconsolidadomar[[#This Row],[ATUAL]])</f>
        <v>0</v>
      </c>
      <c r="Q103" s="119" t="n">
        <f aca="false">SUMIFS(tabela_registros[VALOR],tabela_registros[MÊS],$AE$1,tabela_registros[DIA],receitasvariáveisconsolidadomar[[#Headers],[13]],tabela_registros[REGISTRO],DADOS!$N$3,tabela_registros[TIPO],DADOS!$V$4,tabela_registros[CATEGORIA],receitasvariáveisconsolidadomar[[#This Row],[ATUAL]])</f>
        <v>0</v>
      </c>
      <c r="R103" s="119" t="n">
        <f aca="false">SUMIFS(tabela_registros[VALOR],tabela_registros[MÊS],$AE$1,tabela_registros[DIA],receitasvariáveisconsolidadomar[[#Headers],[14]],tabela_registros[REGISTRO],DADOS!$N$3,tabela_registros[TIPO],DADOS!$V$4,tabela_registros[CATEGORIA],receitasvariáveisconsolidadomar[[#This Row],[ATUAL]])</f>
        <v>0</v>
      </c>
      <c r="S103" s="119" t="n">
        <f aca="false">SUMIFS(tabela_registros[VALOR],tabela_registros[MÊS],$AE$1,tabela_registros[DIA],receitasvariáveisconsolidadomar[[#Headers],[15]],tabela_registros[REGISTRO],DADOS!$N$3,tabela_registros[TIPO],DADOS!$V$4,tabela_registros[CATEGORIA],receitasvariáveisconsolidadomar[[#This Row],[ATUAL]])</f>
        <v>0</v>
      </c>
      <c r="T103" s="119" t="n">
        <f aca="false">SUMIFS(tabela_registros[VALOR],tabela_registros[MÊS],$AE$1,tabela_registros[DIA],receitasvariáveisconsolidadomar[[#Headers],[16]],tabela_registros[REGISTRO],DADOS!$N$3,tabela_registros[TIPO],DADOS!$V$4,tabela_registros[CATEGORIA],receitasvariáveisconsolidadomar[[#This Row],[ATUAL]])</f>
        <v>0</v>
      </c>
      <c r="U103" s="119" t="n">
        <f aca="false">SUMIFS(tabela_registros[VALOR],tabela_registros[MÊS],$AE$1,tabela_registros[DIA],receitasvariáveisconsolidadomar[[#Headers],[17]],tabela_registros[REGISTRO],DADOS!$N$3,tabela_registros[TIPO],DADOS!$V$4,tabela_registros[CATEGORIA],receitasvariáveisconsolidadomar[[#This Row],[ATUAL]])</f>
        <v>0</v>
      </c>
      <c r="V103" s="119" t="n">
        <f aca="false">SUMIFS(tabela_registros[VALOR],tabela_registros[MÊS],$AE$1,tabela_registros[DIA],receitasvariáveisconsolidadomar[[#Headers],[18]],tabela_registros[REGISTRO],DADOS!$N$3,tabela_registros[TIPO],DADOS!$V$4,tabela_registros[CATEGORIA],receitasvariáveisconsolidadomar[[#This Row],[ATUAL]])</f>
        <v>0</v>
      </c>
      <c r="W103" s="119" t="n">
        <f aca="false">SUMIFS(tabela_registros[VALOR],tabela_registros[MÊS],$AE$1,tabela_registros[DIA],receitasvariáveisconsolidadomar[[#Headers],[19]],tabela_registros[REGISTRO],DADOS!$N$3,tabela_registros[TIPO],DADOS!$V$4,tabela_registros[CATEGORIA],receitasvariáveisconsolidadomar[[#This Row],[ATUAL]])</f>
        <v>0</v>
      </c>
      <c r="X103" s="119" t="n">
        <f aca="false">SUMIFS(tabela_registros[VALOR],tabela_registros[MÊS],$AE$1,tabela_registros[DIA],receitasvariáveisconsolidadomar[[#Headers],[20]],tabela_registros[REGISTRO],DADOS!$N$3,tabela_registros[TIPO],DADOS!$V$4,tabela_registros[CATEGORIA],receitasvariáveisconsolidadomar[[#This Row],[ATUAL]])</f>
        <v>0</v>
      </c>
      <c r="Y103" s="119" t="n">
        <f aca="false">SUMIFS(tabela_registros[VALOR],tabela_registros[MÊS],$AE$1,tabela_registros[DIA],receitasvariáveisconsolidadomar[[#Headers],[21]],tabela_registros[REGISTRO],DADOS!$N$3,tabela_registros[TIPO],DADOS!$V$4,tabela_registros[CATEGORIA],receitasvariáveisconsolidadomar[[#This Row],[ATUAL]])</f>
        <v>0</v>
      </c>
      <c r="Z103" s="119" t="n">
        <f aca="false">SUMIFS(tabela_registros[VALOR],tabela_registros[MÊS],$AE$1,tabela_registros[DIA],receitasvariáveisconsolidadomar[[#Headers],[22]],tabela_registros[REGISTRO],DADOS!$N$3,tabela_registros[TIPO],DADOS!$V$4,tabela_registros[CATEGORIA],receitasvariáveisconsolidadomar[[#This Row],[ATUAL]])</f>
        <v>0</v>
      </c>
      <c r="AA103" s="119" t="n">
        <f aca="false">SUMIFS(tabela_registros[VALOR],tabela_registros[MÊS],$AE$1,tabela_registros[DIA],receitasvariáveisconsolidadomar[[#Headers],[23]],tabela_registros[REGISTRO],DADOS!$N$3,tabela_registros[TIPO],DADOS!$V$4,tabela_registros[CATEGORIA],receitasvariáveisconsolidadomar[[#This Row],[ATUAL]])</f>
        <v>0</v>
      </c>
      <c r="AB103" s="119" t="n">
        <f aca="false">SUMIFS(tabela_registros[VALOR],tabela_registros[MÊS],$AE$1,tabela_registros[DIA],receitasvariáveisconsolidadomar[[#Headers],[24]],tabela_registros[REGISTRO],DADOS!$N$3,tabela_registros[TIPO],DADOS!$V$4,tabela_registros[CATEGORIA],receitasvariáveisconsolidadomar[[#This Row],[ATUAL]])</f>
        <v>0</v>
      </c>
      <c r="AC103" s="119" t="n">
        <f aca="false">SUMIFS(tabela_registros[VALOR],tabela_registros[MÊS],$AE$1,tabela_registros[DIA],receitasvariáveisconsolidadomar[[#Headers],[25]],tabela_registros[REGISTRO],DADOS!$N$3,tabela_registros[TIPO],DADOS!$V$4,tabela_registros[CATEGORIA],receitasvariáveisconsolidadomar[[#This Row],[ATUAL]])</f>
        <v>0</v>
      </c>
      <c r="AD103" s="119" t="n">
        <f aca="false">SUMIFS(tabela_registros[VALOR],tabela_registros[MÊS],$AE$1,tabela_registros[DIA],receitasvariáveisconsolidadomar[[#Headers],[26]],tabela_registros[REGISTRO],DADOS!$N$3,tabela_registros[TIPO],DADOS!$V$4,tabela_registros[CATEGORIA],receitasvariáveisconsolidadomar[[#This Row],[ATUAL]])</f>
        <v>0</v>
      </c>
      <c r="AE103" s="119" t="n">
        <f aca="false">SUMIFS(tabela_registros[VALOR],tabela_registros[MÊS],$AE$1,tabela_registros[DIA],receitasvariáveisconsolidadomar[[#Headers],[27]],tabela_registros[REGISTRO],DADOS!$N$3,tabela_registros[TIPO],DADOS!$V$4,tabela_registros[CATEGORIA],receitasvariáveisconsolidadomar[[#This Row],[ATUAL]])</f>
        <v>0</v>
      </c>
      <c r="AF103" s="119" t="n">
        <f aca="false">SUMIFS(tabela_registros[VALOR],tabela_registros[MÊS],$AE$1,tabela_registros[DIA],receitasvariáveisconsolidadomar[[#Headers],[28]],tabela_registros[REGISTRO],DADOS!$N$3,tabela_registros[TIPO],DADOS!$V$4,tabela_registros[CATEGORIA],receitasvariáveisconsolidadomar[[#This Row],[ATUAL]])</f>
        <v>0</v>
      </c>
      <c r="AG103" s="119" t="n">
        <f aca="false">SUMIFS(tabela_registros[VALOR],tabela_registros[MÊS],$AE$1,tabela_registros[DIA],receitasvariáveisconsolidadomar[[#Headers],[29]],tabela_registros[REGISTRO],DADOS!$N$3,tabela_registros[TIPO],DADOS!$V$4,tabela_registros[CATEGORIA],receitasvariáveisconsolidadomar[[#This Row],[ATUAL]])</f>
        <v>0</v>
      </c>
      <c r="AH103" s="119" t="n">
        <f aca="false">SUMIFS(tabela_registros[VALOR],tabela_registros[MÊS],$AE$1,tabela_registros[DIA],receitasvariáveisconsolidadomar[[#Headers],[30]],tabela_registros[REGISTRO],DADOS!$N$3,tabela_registros[TIPO],DADOS!$V$4,tabela_registros[CATEGORIA],receitasvariáveisconsolidadomar[[#This Row],[ATUAL]])</f>
        <v>0</v>
      </c>
      <c r="AI103" s="218" t="n">
        <f aca="false">SUMIFS(tabela_registros[VALOR],tabela_registros[MÊS],$AE$1,tabela_registros[DIA],receitasvariáveisconsolidadomar[[#Headers],[31]],tabela_registros[REGISTRO],DADOS!$N$3,tabela_registros[TIPO],DADOS!$V$4,tabela_registros[CATEGORIA],receitasvariáveisconsolidadomar[[#This Row],[ATUAL]])</f>
        <v>0</v>
      </c>
      <c r="AJ103" s="149" t="n">
        <f aca="false">SUM(receitasvariáveisconsolidadomar[[#This Row],[1]:[31]])</f>
        <v>0</v>
      </c>
      <c r="AK103" s="165"/>
    </row>
    <row r="104" s="122" customFormat="true" ht="21" hidden="false" customHeight="true" outlineLevel="0" collapsed="false">
      <c r="B104" s="152"/>
      <c r="C104" s="153" t="s">
        <v>2</v>
      </c>
      <c r="D104" s="166"/>
      <c r="E104" s="155" t="n">
        <f aca="false">SUM(E96:E103)</f>
        <v>0</v>
      </c>
      <c r="F104" s="156" t="n">
        <f aca="false">SUM(F96:F103)+receitasvariáveisconsolidadomar[[#This Row],[1]]</f>
        <v>0</v>
      </c>
      <c r="G104" s="156" t="n">
        <f aca="false">SUM(G96:G103)+receitasvariáveisconsolidadomar[[#This Row],[2]]</f>
        <v>0</v>
      </c>
      <c r="H104" s="156" t="n">
        <f aca="false">SUM(H96:H103)+receitasvariáveisconsolidadomar[[#This Row],[3]]</f>
        <v>0</v>
      </c>
      <c r="I104" s="156" t="n">
        <f aca="false">SUM(I96:I103)+receitasvariáveisconsolidadomar[[#This Row],[4]]</f>
        <v>0</v>
      </c>
      <c r="J104" s="156" t="n">
        <f aca="false">SUM(J96:J103)+receitasvariáveisconsolidadomar[[#This Row],[5]]</f>
        <v>0</v>
      </c>
      <c r="K104" s="156" t="n">
        <f aca="false">SUM(K96:K103)+receitasvariáveisconsolidadomar[[#This Row],[6]]</f>
        <v>0</v>
      </c>
      <c r="L104" s="156" t="n">
        <f aca="false">SUM(L96:L103)+receitasvariáveisconsolidadomar[[#This Row],[7]]</f>
        <v>0</v>
      </c>
      <c r="M104" s="156" t="n">
        <f aca="false">SUM(M96:M103)+receitasvariáveisconsolidadomar[[#This Row],[8]]</f>
        <v>0</v>
      </c>
      <c r="N104" s="156" t="n">
        <f aca="false">SUM(N96:N103)+receitasvariáveisconsolidadomar[[#This Row],[9]]</f>
        <v>0</v>
      </c>
      <c r="O104" s="156" t="n">
        <f aca="false">SUM(O96:O103)+receitasvariáveisconsolidadomar[[#This Row],[10]]</f>
        <v>0</v>
      </c>
      <c r="P104" s="156" t="n">
        <f aca="false">SUM(P96:P103)+receitasvariáveisconsolidadomar[[#This Row],[11]]</f>
        <v>0</v>
      </c>
      <c r="Q104" s="156" t="n">
        <f aca="false">SUM(Q96:Q103)+receitasvariáveisconsolidadomar[[#This Row],[12]]</f>
        <v>0</v>
      </c>
      <c r="R104" s="156" t="n">
        <f aca="false">SUM(R96:R103)+receitasvariáveisconsolidadomar[[#This Row],[13]]</f>
        <v>0</v>
      </c>
      <c r="S104" s="156" t="n">
        <f aca="false">SUM(S96:S103)+receitasvariáveisconsolidadomar[[#This Row],[14]]</f>
        <v>0</v>
      </c>
      <c r="T104" s="156" t="n">
        <f aca="false">SUM(T96:T103)+receitasvariáveisconsolidadomar[[#This Row],[15]]</f>
        <v>0</v>
      </c>
      <c r="U104" s="156" t="n">
        <f aca="false">SUM(U96:U103)+receitasvariáveisconsolidadomar[[#This Row],[16]]</f>
        <v>0</v>
      </c>
      <c r="V104" s="156" t="n">
        <f aca="false">SUM(V96:V103)+receitasvariáveisconsolidadomar[[#This Row],[17]]</f>
        <v>0</v>
      </c>
      <c r="W104" s="156" t="n">
        <f aca="false">SUM(W96:W103)+receitasvariáveisconsolidadomar[[#This Row],[18]]</f>
        <v>0</v>
      </c>
      <c r="X104" s="156" t="n">
        <f aca="false">SUM(X96:X103)+receitasvariáveisconsolidadomar[[#This Row],[19]]</f>
        <v>0</v>
      </c>
      <c r="Y104" s="156" t="n">
        <f aca="false">SUM(Y96:Y103)+receitasvariáveisconsolidadomar[[#This Row],[20]]</f>
        <v>0</v>
      </c>
      <c r="Z104" s="156" t="n">
        <f aca="false">SUM(Z96:Z103)+receitasvariáveisconsolidadomar[[#This Row],[21]]</f>
        <v>0</v>
      </c>
      <c r="AA104" s="156" t="n">
        <f aca="false">SUM(AA96:AA103)+receitasvariáveisconsolidadomar[[#This Row],[22]]</f>
        <v>0</v>
      </c>
      <c r="AB104" s="156" t="n">
        <f aca="false">SUM(AB96:AB103)+receitasvariáveisconsolidadomar[[#This Row],[23]]</f>
        <v>0</v>
      </c>
      <c r="AC104" s="156" t="n">
        <f aca="false">SUM(AC96:AC103)+receitasvariáveisconsolidadomar[[#This Row],[24]]</f>
        <v>0</v>
      </c>
      <c r="AD104" s="156" t="n">
        <f aca="false">SUM(AD96:AD103)+receitasvariáveisconsolidadomar[[#This Row],[25]]</f>
        <v>0</v>
      </c>
      <c r="AE104" s="156" t="n">
        <f aca="false">SUM(AE96:AE103)+receitasvariáveisconsolidadomar[[#This Row],[26]]</f>
        <v>0</v>
      </c>
      <c r="AF104" s="156" t="n">
        <f aca="false">SUM(AF96:AF103)+receitasvariáveisconsolidadomar[[#This Row],[27]]</f>
        <v>0</v>
      </c>
      <c r="AG104" s="156" t="n">
        <f aca="false">SUM(AG96:AG103)+receitasvariáveisconsolidadomar[[#This Row],[28]]</f>
        <v>0</v>
      </c>
      <c r="AH104" s="156" t="n">
        <f aca="false">SUM(AH96:AH103)+receitasvariáveisconsolidadomar[[#This Row],[29]]</f>
        <v>0</v>
      </c>
      <c r="AI104" s="223" t="n">
        <f aca="false">SUM(AI96:AI103)+receitasvariáveisconsolidadomar[[#This Row],[30]]</f>
        <v>0</v>
      </c>
      <c r="AJ104" s="157" t="n">
        <f aca="false">receitasvariáveisconsolidadomar[[#This Row],[31]]</f>
        <v>0</v>
      </c>
      <c r="AK104" s="158"/>
    </row>
    <row r="105" customFormat="false" ht="6.75" hidden="false" customHeight="true" outlineLevel="0" collapsed="false">
      <c r="B105" s="97"/>
      <c r="C105" s="162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233"/>
      <c r="AJ105" s="164"/>
      <c r="AK105" s="244"/>
    </row>
    <row r="106" s="78" customFormat="true" ht="12.75" hidden="false" customHeight="false" outlineLevel="0" collapsed="false">
      <c r="E106" s="100"/>
    </row>
    <row r="107" s="78" customFormat="true" ht="12" hidden="false" customHeight="false" outlineLevel="0" collapsed="false"/>
    <row r="108" s="78" customFormat="true" ht="12" hidden="false" customHeight="false" outlineLevel="0" collapsed="false"/>
    <row r="109" customFormat="false" ht="39.75" hidden="false" customHeight="true" outlineLevel="0" collapsed="false">
      <c r="C109" s="101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3" t="s">
        <v>2</v>
      </c>
    </row>
    <row r="110" s="78" customFormat="true" ht="12.75" hidden="false" customHeight="false" outlineLevel="0" collapsed="false">
      <c r="B110" s="161"/>
      <c r="AJ110" s="106" t="s">
        <v>64</v>
      </c>
    </row>
    <row r="111" customFormat="false" ht="6.75" hidden="false" customHeight="true" outlineLevel="0" collapsed="false">
      <c r="B111" s="86"/>
      <c r="C111" s="162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233"/>
      <c r="AK111" s="139"/>
    </row>
    <row r="112" customFormat="false" ht="13.5" hidden="true" customHeight="false" outlineLevel="0" collapsed="false">
      <c r="B112" s="86"/>
      <c r="C112" s="109" t="s">
        <v>68</v>
      </c>
      <c r="D112" s="110" t="s">
        <v>69</v>
      </c>
      <c r="E112" s="110" t="s">
        <v>30</v>
      </c>
      <c r="F112" s="110" t="s">
        <v>31</v>
      </c>
      <c r="G112" s="110" t="s">
        <v>32</v>
      </c>
      <c r="H112" s="110" t="s">
        <v>33</v>
      </c>
      <c r="I112" s="110" t="s">
        <v>34</v>
      </c>
      <c r="J112" s="110" t="s">
        <v>35</v>
      </c>
      <c r="K112" s="110" t="s">
        <v>36</v>
      </c>
      <c r="L112" s="110" t="s">
        <v>37</v>
      </c>
      <c r="M112" s="110" t="s">
        <v>38</v>
      </c>
      <c r="N112" s="110" t="s">
        <v>39</v>
      </c>
      <c r="O112" s="110" t="s">
        <v>40</v>
      </c>
      <c r="P112" s="110" t="s">
        <v>41</v>
      </c>
      <c r="Q112" s="110" t="s">
        <v>81</v>
      </c>
      <c r="R112" s="110" t="s">
        <v>82</v>
      </c>
      <c r="S112" s="110" t="s">
        <v>83</v>
      </c>
      <c r="T112" s="110" t="s">
        <v>84</v>
      </c>
      <c r="U112" s="110" t="s">
        <v>85</v>
      </c>
      <c r="V112" s="110" t="s">
        <v>86</v>
      </c>
      <c r="W112" s="110" t="s">
        <v>87</v>
      </c>
      <c r="X112" s="110" t="s">
        <v>88</v>
      </c>
      <c r="Y112" s="110" t="s">
        <v>89</v>
      </c>
      <c r="Z112" s="110" t="s">
        <v>90</v>
      </c>
      <c r="AA112" s="110" t="s">
        <v>91</v>
      </c>
      <c r="AB112" s="110" t="s">
        <v>92</v>
      </c>
      <c r="AC112" s="110" t="s">
        <v>93</v>
      </c>
      <c r="AD112" s="110" t="s">
        <v>94</v>
      </c>
      <c r="AE112" s="110" t="s">
        <v>95</v>
      </c>
      <c r="AF112" s="110" t="s">
        <v>96</v>
      </c>
      <c r="AG112" s="110" t="s">
        <v>97</v>
      </c>
      <c r="AH112" s="110" t="s">
        <v>98</v>
      </c>
      <c r="AI112" s="110" t="s">
        <v>99</v>
      </c>
      <c r="AJ112" s="111" t="s">
        <v>70</v>
      </c>
      <c r="AK112" s="86"/>
    </row>
    <row r="113" customFormat="false" ht="19.5" hidden="false" customHeight="true" outlineLevel="0" collapsed="false">
      <c r="B113" s="143"/>
      <c r="C113" s="144" t="str">
        <f aca="false">DADOS!$AD$3</f>
        <v>📝 CDB</v>
      </c>
      <c r="D113" s="145" t="str">
        <f aca="false">IF(investirrendafixaconsolidadomar[[#This Row],[TOTAL (R$)]]=0,"",IF(OR(investirrendafixaconsolidadomar[[#This Row],[TOTAL (R$)]]=LARGE($AJ$113:$AJ$122,1),investirrendafixaconsolidadomar[[#This Row],[TOTAL (R$)]]=LARGE($AJ$113:$AJ$122,2)),DADOS!$I$10,""))</f>
        <v/>
      </c>
      <c r="E113" s="148" t="n">
        <f aca="false">SUMIFS(tabela_registros[VALOR],tabela_registros[MÊS],$AE$1,tabela_registros[DIA],investirrendafixaconsolidadomar[[#Headers],[1]],tabela_registros[REGISTRO],DADOS!$N$5,tabela_registros[TIPO],DADOS!$AB$3,tabela_registros[CATEGORIA],investirrendafixaconsolidadomar[[#This Row],[ATUAL]])</f>
        <v>0</v>
      </c>
      <c r="F113" s="119" t="n">
        <f aca="false">SUMIFS(tabela_registros[VALOR],tabela_registros[MÊS],$AE$1,tabela_registros[DIA],investirrendafixaconsolidadomar[[#Headers],[2]],tabela_registros[REGISTRO],DADOS!$N$5,tabela_registros[TIPO],DADOS!$AB$3,tabela_registros[CATEGORIA],investirrendafixaconsolidadomar[[#This Row],[ATUAL]])</f>
        <v>0</v>
      </c>
      <c r="G113" s="119" t="n">
        <f aca="false">SUMIFS(tabela_registros[VALOR],tabela_registros[MÊS],$AE$1,tabela_registros[DIA],investirrendafixaconsolidadomar[[#Headers],[3]],tabela_registros[REGISTRO],DADOS!$N$5,tabela_registros[TIPO],DADOS!$AB$3,tabela_registros[CATEGORIA],investirrendafixaconsolidadomar[[#This Row],[ATUAL]])</f>
        <v>0</v>
      </c>
      <c r="H113" s="119" t="n">
        <f aca="false">SUMIFS(tabela_registros[VALOR],tabela_registros[MÊS],$AE$1,tabela_registros[DIA],investirrendafixaconsolidadomar[[#Headers],[4]],tabela_registros[REGISTRO],DADOS!$N$5,tabela_registros[TIPO],DADOS!$AB$3,tabela_registros[CATEGORIA],investirrendafixaconsolidadomar[[#This Row],[ATUAL]])</f>
        <v>0</v>
      </c>
      <c r="I113" s="119" t="n">
        <f aca="false">SUMIFS(tabela_registros[VALOR],tabela_registros[MÊS],$AE$1,tabela_registros[DIA],investirrendafixaconsolidadomar[[#Headers],[5]],tabela_registros[REGISTRO],DADOS!$N$5,tabela_registros[TIPO],DADOS!$AB$3,tabela_registros[CATEGORIA],investirrendafixaconsolidadomar[[#This Row],[ATUAL]])</f>
        <v>0</v>
      </c>
      <c r="J113" s="119" t="n">
        <f aca="false">SUMIFS(tabela_registros[VALOR],tabela_registros[MÊS],$AE$1,tabela_registros[DIA],investirrendafixaconsolidadomar[[#Headers],[6]],tabela_registros[REGISTRO],DADOS!$N$5,tabela_registros[TIPO],DADOS!$AB$3,tabela_registros[CATEGORIA],investirrendafixaconsolidadomar[[#This Row],[ATUAL]])</f>
        <v>0</v>
      </c>
      <c r="K113" s="119" t="n">
        <f aca="false">SUMIFS(tabela_registros[VALOR],tabela_registros[MÊS],$AE$1,tabela_registros[DIA],investirrendafixaconsolidadomar[[#Headers],[7]],tabela_registros[REGISTRO],DADOS!$N$5,tabela_registros[TIPO],DADOS!$AB$3,tabela_registros[CATEGORIA],investirrendafixaconsolidadomar[[#This Row],[ATUAL]])</f>
        <v>0</v>
      </c>
      <c r="L113" s="119" t="n">
        <f aca="false">SUMIFS(tabela_registros[VALOR],tabela_registros[MÊS],$AE$1,tabela_registros[DIA],investirrendafixaconsolidadomar[[#Headers],[8]],tabela_registros[REGISTRO],DADOS!$N$5,tabela_registros[TIPO],DADOS!$AB$3,tabela_registros[CATEGORIA],investirrendafixaconsolidadomar[[#This Row],[ATUAL]])</f>
        <v>0</v>
      </c>
      <c r="M113" s="119" t="n">
        <f aca="false">SUMIFS(tabela_registros[VALOR],tabela_registros[MÊS],$AE$1,tabela_registros[DIA],investirrendafixaconsolidadomar[[#Headers],[9]],tabela_registros[REGISTRO],DADOS!$N$5,tabela_registros[TIPO],DADOS!$AB$3,tabela_registros[CATEGORIA],investirrendafixaconsolidadomar[[#This Row],[ATUAL]])</f>
        <v>0</v>
      </c>
      <c r="N113" s="119" t="n">
        <f aca="false">SUMIFS(tabela_registros[VALOR],tabela_registros[MÊS],$AE$1,tabela_registros[DIA],investirrendafixaconsolidadomar[[#Headers],[10]],tabela_registros[REGISTRO],DADOS!$N$5,tabela_registros[TIPO],DADOS!$AB$3,tabela_registros[CATEGORIA],investirrendafixaconsolidadomar[[#This Row],[ATUAL]])</f>
        <v>0</v>
      </c>
      <c r="O113" s="119" t="n">
        <f aca="false">SUMIFS(tabela_registros[VALOR],tabela_registros[MÊS],$AE$1,tabela_registros[DIA],investirrendafixaconsolidadomar[[#Headers],[11]],tabela_registros[REGISTRO],DADOS!$N$5,tabela_registros[TIPO],DADOS!$AB$3,tabela_registros[CATEGORIA],investirrendafixaconsolidadomar[[#This Row],[ATUAL]])</f>
        <v>0</v>
      </c>
      <c r="P113" s="119" t="n">
        <f aca="false">SUMIFS(tabela_registros[VALOR],tabela_registros[MÊS],$AE$1,tabela_registros[DIA],investirrendafixaconsolidadomar[[#Headers],[12]],tabela_registros[REGISTRO],DADOS!$N$5,tabela_registros[TIPO],DADOS!$AB$3,tabela_registros[CATEGORIA],investirrendafixaconsolidadomar[[#This Row],[ATUAL]])</f>
        <v>0</v>
      </c>
      <c r="Q113" s="119" t="n">
        <f aca="false">SUMIFS(tabela_registros[VALOR],tabela_registros[MÊS],$AE$1,tabela_registros[DIA],investirrendafixaconsolidadomar[[#Headers],[13]],tabela_registros[REGISTRO],DADOS!$N$5,tabela_registros[TIPO],DADOS!$AB$3,tabela_registros[CATEGORIA],investirrendafixaconsolidadomar[[#This Row],[ATUAL]])</f>
        <v>0</v>
      </c>
      <c r="R113" s="119" t="n">
        <f aca="false">SUMIFS(tabela_registros[VALOR],tabela_registros[MÊS],$AE$1,tabela_registros[DIA],investirrendafixaconsolidadomar[[#Headers],[14]],tabela_registros[REGISTRO],DADOS!$N$5,tabela_registros[TIPO],DADOS!$AB$3,tabela_registros[CATEGORIA],investirrendafixaconsolidadomar[[#This Row],[ATUAL]])</f>
        <v>0</v>
      </c>
      <c r="S113" s="119" t="n">
        <f aca="false">SUMIFS(tabela_registros[VALOR],tabela_registros[MÊS],$AE$1,tabela_registros[DIA],investirrendafixaconsolidadomar[[#Headers],[15]],tabela_registros[REGISTRO],DADOS!$N$5,tabela_registros[TIPO],DADOS!$AB$3,tabela_registros[CATEGORIA],investirrendafixaconsolidadomar[[#This Row],[ATUAL]])</f>
        <v>0</v>
      </c>
      <c r="T113" s="119" t="n">
        <f aca="false">SUMIFS(tabela_registros[VALOR],tabela_registros[MÊS],$AE$1,tabela_registros[DIA],investirrendafixaconsolidadomar[[#Headers],[16]],tabela_registros[REGISTRO],DADOS!$N$5,tabela_registros[TIPO],DADOS!$AB$3,tabela_registros[CATEGORIA],investirrendafixaconsolidadomar[[#This Row],[ATUAL]])</f>
        <v>0</v>
      </c>
      <c r="U113" s="119" t="n">
        <f aca="false">SUMIFS(tabela_registros[VALOR],tabela_registros[MÊS],$AE$1,tabela_registros[DIA],investirrendafixaconsolidadomar[[#Headers],[17]],tabela_registros[REGISTRO],DADOS!$N$5,tabela_registros[TIPO],DADOS!$AB$3,tabela_registros[CATEGORIA],investirrendafixaconsolidadomar[[#This Row],[ATUAL]])</f>
        <v>0</v>
      </c>
      <c r="V113" s="119" t="n">
        <f aca="false">SUMIFS(tabela_registros[VALOR],tabela_registros[MÊS],$AE$1,tabela_registros[DIA],investirrendafixaconsolidadomar[[#Headers],[18]],tabela_registros[REGISTRO],DADOS!$N$5,tabela_registros[TIPO],DADOS!$AB$3,tabela_registros[CATEGORIA],investirrendafixaconsolidadomar[[#This Row],[ATUAL]])</f>
        <v>0</v>
      </c>
      <c r="W113" s="119" t="n">
        <f aca="false">SUMIFS(tabela_registros[VALOR],tabela_registros[MÊS],$AE$1,tabela_registros[DIA],investirrendafixaconsolidadomar[[#Headers],[19]],tabela_registros[REGISTRO],DADOS!$N$5,tabela_registros[TIPO],DADOS!$AB$3,tabela_registros[CATEGORIA],investirrendafixaconsolidadomar[[#This Row],[ATUAL]])</f>
        <v>0</v>
      </c>
      <c r="X113" s="119" t="n">
        <f aca="false">SUMIFS(tabela_registros[VALOR],tabela_registros[MÊS],$AE$1,tabela_registros[DIA],investirrendafixaconsolidadomar[[#Headers],[20]],tabela_registros[REGISTRO],DADOS!$N$5,tabela_registros[TIPO],DADOS!$AB$3,tabela_registros[CATEGORIA],investirrendafixaconsolidadomar[[#This Row],[ATUAL]])</f>
        <v>0</v>
      </c>
      <c r="Y113" s="119" t="n">
        <f aca="false">SUMIFS(tabela_registros[VALOR],tabela_registros[MÊS],$AE$1,tabela_registros[DIA],investirrendafixaconsolidadomar[[#Headers],[21]],tabela_registros[REGISTRO],DADOS!$N$5,tabela_registros[TIPO],DADOS!$AB$3,tabela_registros[CATEGORIA],investirrendafixaconsolidadomar[[#This Row],[ATUAL]])</f>
        <v>0</v>
      </c>
      <c r="Z113" s="119" t="n">
        <f aca="false">SUMIFS(tabela_registros[VALOR],tabela_registros[MÊS],$AE$1,tabela_registros[DIA],investirrendafixaconsolidadomar[[#Headers],[22]],tabela_registros[REGISTRO],DADOS!$N$5,tabela_registros[TIPO],DADOS!$AB$3,tabela_registros[CATEGORIA],investirrendafixaconsolidadomar[[#This Row],[ATUAL]])</f>
        <v>0</v>
      </c>
      <c r="AA113" s="119" t="n">
        <f aca="false">SUMIFS(tabela_registros[VALOR],tabela_registros[MÊS],$AE$1,tabela_registros[DIA],investirrendafixaconsolidadomar[[#Headers],[23]],tabela_registros[REGISTRO],DADOS!$N$5,tabela_registros[TIPO],DADOS!$AB$3,tabela_registros[CATEGORIA],investirrendafixaconsolidadomar[[#This Row],[ATUAL]])</f>
        <v>0</v>
      </c>
      <c r="AB113" s="119" t="n">
        <f aca="false">SUMIFS(tabela_registros[VALOR],tabela_registros[MÊS],$AE$1,tabela_registros[DIA],investirrendafixaconsolidadomar[[#Headers],[24]],tabela_registros[REGISTRO],DADOS!$N$5,tabela_registros[TIPO],DADOS!$AB$3,tabela_registros[CATEGORIA],investirrendafixaconsolidadomar[[#This Row],[ATUAL]])</f>
        <v>0</v>
      </c>
      <c r="AC113" s="119" t="n">
        <f aca="false">SUMIFS(tabela_registros[VALOR],tabela_registros[MÊS],$AE$1,tabela_registros[DIA],investirrendafixaconsolidadomar[[#Headers],[25]],tabela_registros[REGISTRO],DADOS!$N$5,tabela_registros[TIPO],DADOS!$AB$3,tabela_registros[CATEGORIA],investirrendafixaconsolidadomar[[#This Row],[ATUAL]])</f>
        <v>0</v>
      </c>
      <c r="AD113" s="119" t="n">
        <f aca="false">SUMIFS(tabela_registros[VALOR],tabela_registros[MÊS],$AE$1,tabela_registros[DIA],investirrendafixaconsolidadomar[[#Headers],[26]],tabela_registros[REGISTRO],DADOS!$N$5,tabela_registros[TIPO],DADOS!$AB$3,tabela_registros[CATEGORIA],investirrendafixaconsolidadomar[[#This Row],[ATUAL]])</f>
        <v>0</v>
      </c>
      <c r="AE113" s="119" t="n">
        <f aca="false">SUMIFS(tabela_registros[VALOR],tabela_registros[MÊS],$AE$1,tabela_registros[DIA],investirrendafixaconsolidadomar[[#Headers],[27]],tabela_registros[REGISTRO],DADOS!$N$5,tabela_registros[TIPO],DADOS!$AB$3,tabela_registros[CATEGORIA],investirrendafixaconsolidadomar[[#This Row],[ATUAL]])</f>
        <v>0</v>
      </c>
      <c r="AF113" s="119" t="n">
        <f aca="false">SUMIFS(tabela_registros[VALOR],tabela_registros[MÊS],$AE$1,tabela_registros[DIA],investirrendafixaconsolidadomar[[#Headers],[28]],tabela_registros[REGISTRO],DADOS!$N$5,tabela_registros[TIPO],DADOS!$AB$3,tabela_registros[CATEGORIA],investirrendafixaconsolidadomar[[#This Row],[ATUAL]])</f>
        <v>0</v>
      </c>
      <c r="AG113" s="119" t="n">
        <f aca="false">SUMIFS(tabela_registros[VALOR],tabela_registros[MÊS],$AE$1,tabela_registros[DIA],investirrendafixaconsolidadomar[[#Headers],[29]],tabela_registros[REGISTRO],DADOS!$N$5,tabela_registros[TIPO],DADOS!$AB$3,tabela_registros[CATEGORIA],investirrendafixaconsolidadomar[[#This Row],[ATUAL]])</f>
        <v>0</v>
      </c>
      <c r="AH113" s="119" t="n">
        <f aca="false">SUMIFS(tabela_registros[VALOR],tabela_registros[MÊS],$AE$1,tabela_registros[DIA],investirrendafixaconsolidadomar[[#Headers],[30]],tabela_registros[REGISTRO],DADOS!$N$5,tabela_registros[TIPO],DADOS!$AB$3,tabela_registros[CATEGORIA],investirrendafixaconsolidadomar[[#This Row],[ATUAL]])</f>
        <v>0</v>
      </c>
      <c r="AI113" s="217" t="n">
        <f aca="false">SUMIFS(tabela_registros[VALOR],tabela_registros[MÊS],$AE$1,tabela_registros[DIA],investirrendafixaconsolidadomar[[#Headers],[31]],tabela_registros[REGISTRO],DADOS!$N$5,tabela_registros[TIPO],DADOS!$AB$3,tabela_registros[CATEGORIA],investirrendafixaconsolidadomar[[#This Row],[ATUAL]])</f>
        <v>0</v>
      </c>
      <c r="AJ113" s="149" t="n">
        <f aca="false">SUM(investirrendafixaconsolidadomar[[#This Row],[1]:[31]])</f>
        <v>0</v>
      </c>
      <c r="AK113" s="165"/>
    </row>
    <row r="114" customFormat="false" ht="19.5" hidden="false" customHeight="true" outlineLevel="0" collapsed="false">
      <c r="B114" s="143"/>
      <c r="C114" s="144" t="str">
        <f aca="false">DADOS!$AD$4</f>
        <v>📝 CRA</v>
      </c>
      <c r="D114" s="145" t="str">
        <f aca="false">IF(investirrendafixaconsolidadomar[[#This Row],[TOTAL (R$)]]=0,"",IF(OR(investirrendafixaconsolidadomar[[#This Row],[TOTAL (R$)]]=LARGE($AJ$113:$AJ$122,1),investirrendafixaconsolidadomar[[#This Row],[TOTAL (R$)]]=LARGE($AJ$113:$AJ$122,2)),DADOS!$I$10,""))</f>
        <v/>
      </c>
      <c r="E114" s="148" t="n">
        <f aca="false">SUMIFS(tabela_registros[VALOR],tabela_registros[MÊS],$AE$1,tabela_registros[DIA],investirrendafixaconsolidadomar[[#Headers],[1]],tabela_registros[REGISTRO],DADOS!$N$5,tabela_registros[TIPO],DADOS!$AB$3,tabela_registros[CATEGORIA],investirrendafixaconsolidadomar[[#This Row],[ATUAL]])</f>
        <v>0</v>
      </c>
      <c r="F114" s="119" t="n">
        <f aca="false">SUMIFS(tabela_registros[VALOR],tabela_registros[MÊS],$AE$1,tabela_registros[DIA],investirrendafixaconsolidadomar[[#Headers],[2]],tabela_registros[REGISTRO],DADOS!$N$5,tabela_registros[TIPO],DADOS!$AB$3,tabela_registros[CATEGORIA],investirrendafixaconsolidadomar[[#This Row],[ATUAL]])</f>
        <v>0</v>
      </c>
      <c r="G114" s="119" t="n">
        <f aca="false">SUMIFS(tabela_registros[VALOR],tabela_registros[MÊS],$AE$1,tabela_registros[DIA],investirrendafixaconsolidadomar[[#Headers],[3]],tabela_registros[REGISTRO],DADOS!$N$5,tabela_registros[TIPO],DADOS!$AB$3,tabela_registros[CATEGORIA],investirrendafixaconsolidadomar[[#This Row],[ATUAL]])</f>
        <v>0</v>
      </c>
      <c r="H114" s="119" t="n">
        <f aca="false">SUMIFS(tabela_registros[VALOR],tabela_registros[MÊS],$AE$1,tabela_registros[DIA],investirrendafixaconsolidadomar[[#Headers],[4]],tabela_registros[REGISTRO],DADOS!$N$5,tabela_registros[TIPO],DADOS!$AB$3,tabela_registros[CATEGORIA],investirrendafixaconsolidadomar[[#This Row],[ATUAL]])</f>
        <v>0</v>
      </c>
      <c r="I114" s="119" t="n">
        <f aca="false">SUMIFS(tabela_registros[VALOR],tabela_registros[MÊS],$AE$1,tabela_registros[DIA],investirrendafixaconsolidadomar[[#Headers],[5]],tabela_registros[REGISTRO],DADOS!$N$5,tabela_registros[TIPO],DADOS!$AB$3,tabela_registros[CATEGORIA],investirrendafixaconsolidadomar[[#This Row],[ATUAL]])</f>
        <v>0</v>
      </c>
      <c r="J114" s="119" t="n">
        <f aca="false">SUMIFS(tabela_registros[VALOR],tabela_registros[MÊS],$AE$1,tabela_registros[DIA],investirrendafixaconsolidadomar[[#Headers],[6]],tabela_registros[REGISTRO],DADOS!$N$5,tabela_registros[TIPO],DADOS!$AB$3,tabela_registros[CATEGORIA],investirrendafixaconsolidadomar[[#This Row],[ATUAL]])</f>
        <v>0</v>
      </c>
      <c r="K114" s="119" t="n">
        <f aca="false">SUMIFS(tabela_registros[VALOR],tabela_registros[MÊS],$AE$1,tabela_registros[DIA],investirrendafixaconsolidadomar[[#Headers],[7]],tabela_registros[REGISTRO],DADOS!$N$5,tabela_registros[TIPO],DADOS!$AB$3,tabela_registros[CATEGORIA],investirrendafixaconsolidadomar[[#This Row],[ATUAL]])</f>
        <v>0</v>
      </c>
      <c r="L114" s="119" t="n">
        <f aca="false">SUMIFS(tabela_registros[VALOR],tabela_registros[MÊS],$AE$1,tabela_registros[DIA],investirrendafixaconsolidadomar[[#Headers],[8]],tabela_registros[REGISTRO],DADOS!$N$5,tabela_registros[TIPO],DADOS!$AB$3,tabela_registros[CATEGORIA],investirrendafixaconsolidadomar[[#This Row],[ATUAL]])</f>
        <v>0</v>
      </c>
      <c r="M114" s="119" t="n">
        <f aca="false">SUMIFS(tabela_registros[VALOR],tabela_registros[MÊS],$AE$1,tabela_registros[DIA],investirrendafixaconsolidadomar[[#Headers],[9]],tabela_registros[REGISTRO],DADOS!$N$5,tabela_registros[TIPO],DADOS!$AB$3,tabela_registros[CATEGORIA],investirrendafixaconsolidadomar[[#This Row],[ATUAL]])</f>
        <v>0</v>
      </c>
      <c r="N114" s="119" t="n">
        <f aca="false">SUMIFS(tabela_registros[VALOR],tabela_registros[MÊS],$AE$1,tabela_registros[DIA],investirrendafixaconsolidadomar[[#Headers],[10]],tabela_registros[REGISTRO],DADOS!$N$5,tabela_registros[TIPO],DADOS!$AB$3,tabela_registros[CATEGORIA],investirrendafixaconsolidadomar[[#This Row],[ATUAL]])</f>
        <v>0</v>
      </c>
      <c r="O114" s="119" t="n">
        <f aca="false">SUMIFS(tabela_registros[VALOR],tabela_registros[MÊS],$AE$1,tabela_registros[DIA],investirrendafixaconsolidadomar[[#Headers],[11]],tabela_registros[REGISTRO],DADOS!$N$5,tabela_registros[TIPO],DADOS!$AB$3,tabela_registros[CATEGORIA],investirrendafixaconsolidadomar[[#This Row],[ATUAL]])</f>
        <v>0</v>
      </c>
      <c r="P114" s="119" t="n">
        <f aca="false">SUMIFS(tabela_registros[VALOR],tabela_registros[MÊS],$AE$1,tabela_registros[DIA],investirrendafixaconsolidadomar[[#Headers],[12]],tabela_registros[REGISTRO],DADOS!$N$5,tabela_registros[TIPO],DADOS!$AB$3,tabela_registros[CATEGORIA],investirrendafixaconsolidadomar[[#This Row],[ATUAL]])</f>
        <v>0</v>
      </c>
      <c r="Q114" s="119" t="n">
        <f aca="false">SUMIFS(tabela_registros[VALOR],tabela_registros[MÊS],$AE$1,tabela_registros[DIA],investirrendafixaconsolidadomar[[#Headers],[13]],tabela_registros[REGISTRO],DADOS!$N$5,tabela_registros[TIPO],DADOS!$AB$3,tabela_registros[CATEGORIA],investirrendafixaconsolidadomar[[#This Row],[ATUAL]])</f>
        <v>0</v>
      </c>
      <c r="R114" s="119" t="n">
        <f aca="false">SUMIFS(tabela_registros[VALOR],tabela_registros[MÊS],$AE$1,tabela_registros[DIA],investirrendafixaconsolidadomar[[#Headers],[14]],tabela_registros[REGISTRO],DADOS!$N$5,tabela_registros[TIPO],DADOS!$AB$3,tabela_registros[CATEGORIA],investirrendafixaconsolidadomar[[#This Row],[ATUAL]])</f>
        <v>0</v>
      </c>
      <c r="S114" s="119" t="n">
        <f aca="false">SUMIFS(tabela_registros[VALOR],tabela_registros[MÊS],$AE$1,tabela_registros[DIA],investirrendafixaconsolidadomar[[#Headers],[15]],tabela_registros[REGISTRO],DADOS!$N$5,tabela_registros[TIPO],DADOS!$AB$3,tabela_registros[CATEGORIA],investirrendafixaconsolidadomar[[#This Row],[ATUAL]])</f>
        <v>0</v>
      </c>
      <c r="T114" s="119" t="n">
        <f aca="false">SUMIFS(tabela_registros[VALOR],tabela_registros[MÊS],$AE$1,tabela_registros[DIA],investirrendafixaconsolidadomar[[#Headers],[16]],tabela_registros[REGISTRO],DADOS!$N$5,tabela_registros[TIPO],DADOS!$AB$3,tabela_registros[CATEGORIA],investirrendafixaconsolidadomar[[#This Row],[ATUAL]])</f>
        <v>0</v>
      </c>
      <c r="U114" s="119" t="n">
        <f aca="false">SUMIFS(tabela_registros[VALOR],tabela_registros[MÊS],$AE$1,tabela_registros[DIA],investirrendafixaconsolidadomar[[#Headers],[17]],tabela_registros[REGISTRO],DADOS!$N$5,tabela_registros[TIPO],DADOS!$AB$3,tabela_registros[CATEGORIA],investirrendafixaconsolidadomar[[#This Row],[ATUAL]])</f>
        <v>0</v>
      </c>
      <c r="V114" s="119" t="n">
        <f aca="false">SUMIFS(tabela_registros[VALOR],tabela_registros[MÊS],$AE$1,tabela_registros[DIA],investirrendafixaconsolidadomar[[#Headers],[18]],tabela_registros[REGISTRO],DADOS!$N$5,tabela_registros[TIPO],DADOS!$AB$3,tabela_registros[CATEGORIA],investirrendafixaconsolidadomar[[#This Row],[ATUAL]])</f>
        <v>0</v>
      </c>
      <c r="W114" s="119" t="n">
        <f aca="false">SUMIFS(tabela_registros[VALOR],tabela_registros[MÊS],$AE$1,tabela_registros[DIA],investirrendafixaconsolidadomar[[#Headers],[19]],tabela_registros[REGISTRO],DADOS!$N$5,tabela_registros[TIPO],DADOS!$AB$3,tabela_registros[CATEGORIA],investirrendafixaconsolidadomar[[#This Row],[ATUAL]])</f>
        <v>0</v>
      </c>
      <c r="X114" s="119" t="n">
        <f aca="false">SUMIFS(tabela_registros[VALOR],tabela_registros[MÊS],$AE$1,tabela_registros[DIA],investirrendafixaconsolidadomar[[#Headers],[20]],tabela_registros[REGISTRO],DADOS!$N$5,tabela_registros[TIPO],DADOS!$AB$3,tabela_registros[CATEGORIA],investirrendafixaconsolidadomar[[#This Row],[ATUAL]])</f>
        <v>0</v>
      </c>
      <c r="Y114" s="119" t="n">
        <f aca="false">SUMIFS(tabela_registros[VALOR],tabela_registros[MÊS],$AE$1,tabela_registros[DIA],investirrendafixaconsolidadomar[[#Headers],[21]],tabela_registros[REGISTRO],DADOS!$N$5,tabela_registros[TIPO],DADOS!$AB$3,tabela_registros[CATEGORIA],investirrendafixaconsolidadomar[[#This Row],[ATUAL]])</f>
        <v>0</v>
      </c>
      <c r="Z114" s="119" t="n">
        <f aca="false">SUMIFS(tabela_registros[VALOR],tabela_registros[MÊS],$AE$1,tabela_registros[DIA],investirrendafixaconsolidadomar[[#Headers],[22]],tabela_registros[REGISTRO],DADOS!$N$5,tabela_registros[TIPO],DADOS!$AB$3,tabela_registros[CATEGORIA],investirrendafixaconsolidadomar[[#This Row],[ATUAL]])</f>
        <v>0</v>
      </c>
      <c r="AA114" s="119" t="n">
        <f aca="false">SUMIFS(tabela_registros[VALOR],tabela_registros[MÊS],$AE$1,tabela_registros[DIA],investirrendafixaconsolidadomar[[#Headers],[23]],tabela_registros[REGISTRO],DADOS!$N$5,tabela_registros[TIPO],DADOS!$AB$3,tabela_registros[CATEGORIA],investirrendafixaconsolidadomar[[#This Row],[ATUAL]])</f>
        <v>0</v>
      </c>
      <c r="AB114" s="119" t="n">
        <f aca="false">SUMIFS(tabela_registros[VALOR],tabela_registros[MÊS],$AE$1,tabela_registros[DIA],investirrendafixaconsolidadomar[[#Headers],[24]],tabela_registros[REGISTRO],DADOS!$N$5,tabela_registros[TIPO],DADOS!$AB$3,tabela_registros[CATEGORIA],investirrendafixaconsolidadomar[[#This Row],[ATUAL]])</f>
        <v>0</v>
      </c>
      <c r="AC114" s="119" t="n">
        <f aca="false">SUMIFS(tabela_registros[VALOR],tabela_registros[MÊS],$AE$1,tabela_registros[DIA],investirrendafixaconsolidadomar[[#Headers],[25]],tabela_registros[REGISTRO],DADOS!$N$5,tabela_registros[TIPO],DADOS!$AB$3,tabela_registros[CATEGORIA],investirrendafixaconsolidadomar[[#This Row],[ATUAL]])</f>
        <v>0</v>
      </c>
      <c r="AD114" s="119" t="n">
        <f aca="false">SUMIFS(tabela_registros[VALOR],tabela_registros[MÊS],$AE$1,tabela_registros[DIA],investirrendafixaconsolidadomar[[#Headers],[26]],tabela_registros[REGISTRO],DADOS!$N$5,tabela_registros[TIPO],DADOS!$AB$3,tabela_registros[CATEGORIA],investirrendafixaconsolidadomar[[#This Row],[ATUAL]])</f>
        <v>0</v>
      </c>
      <c r="AE114" s="119" t="n">
        <f aca="false">SUMIFS(tabela_registros[VALOR],tabela_registros[MÊS],$AE$1,tabela_registros[DIA],investirrendafixaconsolidadomar[[#Headers],[27]],tabela_registros[REGISTRO],DADOS!$N$5,tabela_registros[TIPO],DADOS!$AB$3,tabela_registros[CATEGORIA],investirrendafixaconsolidadomar[[#This Row],[ATUAL]])</f>
        <v>0</v>
      </c>
      <c r="AF114" s="119" t="n">
        <f aca="false">SUMIFS(tabela_registros[VALOR],tabela_registros[MÊS],$AE$1,tabela_registros[DIA],investirrendafixaconsolidadomar[[#Headers],[28]],tabela_registros[REGISTRO],DADOS!$N$5,tabela_registros[TIPO],DADOS!$AB$3,tabela_registros[CATEGORIA],investirrendafixaconsolidadomar[[#This Row],[ATUAL]])</f>
        <v>0</v>
      </c>
      <c r="AG114" s="119" t="n">
        <f aca="false">SUMIFS(tabela_registros[VALOR],tabela_registros[MÊS],$AE$1,tabela_registros[DIA],investirrendafixaconsolidadomar[[#Headers],[29]],tabela_registros[REGISTRO],DADOS!$N$5,tabela_registros[TIPO],DADOS!$AB$3,tabela_registros[CATEGORIA],investirrendafixaconsolidadomar[[#This Row],[ATUAL]])</f>
        <v>0</v>
      </c>
      <c r="AH114" s="119" t="n">
        <f aca="false">SUMIFS(tabela_registros[VALOR],tabela_registros[MÊS],$AE$1,tabela_registros[DIA],investirrendafixaconsolidadomar[[#Headers],[30]],tabela_registros[REGISTRO],DADOS!$N$5,tabela_registros[TIPO],DADOS!$AB$3,tabela_registros[CATEGORIA],investirrendafixaconsolidadomar[[#This Row],[ATUAL]])</f>
        <v>0</v>
      </c>
      <c r="AI114" s="217" t="n">
        <f aca="false">SUMIFS(tabela_registros[VALOR],tabela_registros[MÊS],$AE$1,tabela_registros[DIA],investirrendafixaconsolidadomar[[#Headers],[31]],tabela_registros[REGISTRO],DADOS!$N$5,tabela_registros[TIPO],DADOS!$AB$3,tabela_registros[CATEGORIA],investirrendafixaconsolidadomar[[#This Row],[ATUAL]])</f>
        <v>0</v>
      </c>
      <c r="AJ114" s="149" t="n">
        <f aca="false">SUM(investirrendafixaconsolidadomar[[#This Row],[1]:[31]])</f>
        <v>0</v>
      </c>
      <c r="AK114" s="165"/>
    </row>
    <row r="115" customFormat="false" ht="19.5" hidden="false" customHeight="true" outlineLevel="0" collapsed="false">
      <c r="B115" s="143"/>
      <c r="C115" s="144" t="str">
        <f aca="false">DADOS!$AD$5</f>
        <v>📝 CRI</v>
      </c>
      <c r="D115" s="145" t="str">
        <f aca="false">IF(investirrendafixaconsolidadomar[[#This Row],[TOTAL (R$)]]=0,"",IF(OR(investirrendafixaconsolidadomar[[#This Row],[TOTAL (R$)]]=LARGE($AJ$113:$AJ$122,1),investirrendafixaconsolidadomar[[#This Row],[TOTAL (R$)]]=LARGE($AJ$113:$AJ$122,2)),DADOS!$I$10,""))</f>
        <v/>
      </c>
      <c r="E115" s="148" t="n">
        <f aca="false">SUMIFS(tabela_registros[VALOR],tabela_registros[MÊS],$AE$1,tabela_registros[DIA],investirrendafixaconsolidadomar[[#Headers],[1]],tabela_registros[REGISTRO],DADOS!$N$5,tabela_registros[TIPO],DADOS!$AB$3,tabela_registros[CATEGORIA],investirrendafixaconsolidadomar[[#This Row],[ATUAL]])</f>
        <v>0</v>
      </c>
      <c r="F115" s="119" t="n">
        <f aca="false">SUMIFS(tabela_registros[VALOR],tabela_registros[MÊS],$AE$1,tabela_registros[DIA],investirrendafixaconsolidadomar[[#Headers],[2]],tabela_registros[REGISTRO],DADOS!$N$5,tabela_registros[TIPO],DADOS!$AB$3,tabela_registros[CATEGORIA],investirrendafixaconsolidadomar[[#This Row],[ATUAL]])</f>
        <v>0</v>
      </c>
      <c r="G115" s="119" t="n">
        <f aca="false">SUMIFS(tabela_registros[VALOR],tabela_registros[MÊS],$AE$1,tabela_registros[DIA],investirrendafixaconsolidadomar[[#Headers],[3]],tabela_registros[REGISTRO],DADOS!$N$5,tabela_registros[TIPO],DADOS!$AB$3,tabela_registros[CATEGORIA],investirrendafixaconsolidadomar[[#This Row],[ATUAL]])</f>
        <v>0</v>
      </c>
      <c r="H115" s="119" t="n">
        <f aca="false">SUMIFS(tabela_registros[VALOR],tabela_registros[MÊS],$AE$1,tabela_registros[DIA],investirrendafixaconsolidadomar[[#Headers],[4]],tabela_registros[REGISTRO],DADOS!$N$5,tabela_registros[TIPO],DADOS!$AB$3,tabela_registros[CATEGORIA],investirrendafixaconsolidadomar[[#This Row],[ATUAL]])</f>
        <v>0</v>
      </c>
      <c r="I115" s="119" t="n">
        <f aca="false">SUMIFS(tabela_registros[VALOR],tabela_registros[MÊS],$AE$1,tabela_registros[DIA],investirrendafixaconsolidadomar[[#Headers],[5]],tabela_registros[REGISTRO],DADOS!$N$5,tabela_registros[TIPO],DADOS!$AB$3,tabela_registros[CATEGORIA],investirrendafixaconsolidadomar[[#This Row],[ATUAL]])</f>
        <v>0</v>
      </c>
      <c r="J115" s="119" t="n">
        <f aca="false">SUMIFS(tabela_registros[VALOR],tabela_registros[MÊS],$AE$1,tabela_registros[DIA],investirrendafixaconsolidadomar[[#Headers],[6]],tabela_registros[REGISTRO],DADOS!$N$5,tabela_registros[TIPO],DADOS!$AB$3,tabela_registros[CATEGORIA],investirrendafixaconsolidadomar[[#This Row],[ATUAL]])</f>
        <v>0</v>
      </c>
      <c r="K115" s="119" t="n">
        <f aca="false">SUMIFS(tabela_registros[VALOR],tabela_registros[MÊS],$AE$1,tabela_registros[DIA],investirrendafixaconsolidadomar[[#Headers],[7]],tabela_registros[REGISTRO],DADOS!$N$5,tabela_registros[TIPO],DADOS!$AB$3,tabela_registros[CATEGORIA],investirrendafixaconsolidadomar[[#This Row],[ATUAL]])</f>
        <v>0</v>
      </c>
      <c r="L115" s="119" t="n">
        <f aca="false">SUMIFS(tabela_registros[VALOR],tabela_registros[MÊS],$AE$1,tabela_registros[DIA],investirrendafixaconsolidadomar[[#Headers],[8]],tabela_registros[REGISTRO],DADOS!$N$5,tabela_registros[TIPO],DADOS!$AB$3,tabela_registros[CATEGORIA],investirrendafixaconsolidadomar[[#This Row],[ATUAL]])</f>
        <v>0</v>
      </c>
      <c r="M115" s="119" t="n">
        <f aca="false">SUMIFS(tabela_registros[VALOR],tabela_registros[MÊS],$AE$1,tabela_registros[DIA],investirrendafixaconsolidadomar[[#Headers],[9]],tabela_registros[REGISTRO],DADOS!$N$5,tabela_registros[TIPO],DADOS!$AB$3,tabela_registros[CATEGORIA],investirrendafixaconsolidadomar[[#This Row],[ATUAL]])</f>
        <v>0</v>
      </c>
      <c r="N115" s="119" t="n">
        <f aca="false">SUMIFS(tabela_registros[VALOR],tabela_registros[MÊS],$AE$1,tabela_registros[DIA],investirrendafixaconsolidadomar[[#Headers],[10]],tabela_registros[REGISTRO],DADOS!$N$5,tabela_registros[TIPO],DADOS!$AB$3,tabela_registros[CATEGORIA],investirrendafixaconsolidadomar[[#This Row],[ATUAL]])</f>
        <v>0</v>
      </c>
      <c r="O115" s="119" t="n">
        <f aca="false">SUMIFS(tabela_registros[VALOR],tabela_registros[MÊS],$AE$1,tabela_registros[DIA],investirrendafixaconsolidadomar[[#Headers],[11]],tabela_registros[REGISTRO],DADOS!$N$5,tabela_registros[TIPO],DADOS!$AB$3,tabela_registros[CATEGORIA],investirrendafixaconsolidadomar[[#This Row],[ATUAL]])</f>
        <v>0</v>
      </c>
      <c r="P115" s="119" t="n">
        <f aca="false">SUMIFS(tabela_registros[VALOR],tabela_registros[MÊS],$AE$1,tabela_registros[DIA],investirrendafixaconsolidadomar[[#Headers],[12]],tabela_registros[REGISTRO],DADOS!$N$5,tabela_registros[TIPO],DADOS!$AB$3,tabela_registros[CATEGORIA],investirrendafixaconsolidadomar[[#This Row],[ATUAL]])</f>
        <v>0</v>
      </c>
      <c r="Q115" s="119" t="n">
        <f aca="false">SUMIFS(tabela_registros[VALOR],tabela_registros[MÊS],$AE$1,tabela_registros[DIA],investirrendafixaconsolidadomar[[#Headers],[13]],tabela_registros[REGISTRO],DADOS!$N$5,tabela_registros[TIPO],DADOS!$AB$3,tabela_registros[CATEGORIA],investirrendafixaconsolidadomar[[#This Row],[ATUAL]])</f>
        <v>0</v>
      </c>
      <c r="R115" s="119" t="n">
        <f aca="false">SUMIFS(tabela_registros[VALOR],tabela_registros[MÊS],$AE$1,tabela_registros[DIA],investirrendafixaconsolidadomar[[#Headers],[14]],tabela_registros[REGISTRO],DADOS!$N$5,tabela_registros[TIPO],DADOS!$AB$3,tabela_registros[CATEGORIA],investirrendafixaconsolidadomar[[#This Row],[ATUAL]])</f>
        <v>0</v>
      </c>
      <c r="S115" s="119" t="n">
        <f aca="false">SUMIFS(tabela_registros[VALOR],tabela_registros[MÊS],$AE$1,tabela_registros[DIA],investirrendafixaconsolidadomar[[#Headers],[15]],tabela_registros[REGISTRO],DADOS!$N$5,tabela_registros[TIPO],DADOS!$AB$3,tabela_registros[CATEGORIA],investirrendafixaconsolidadomar[[#This Row],[ATUAL]])</f>
        <v>0</v>
      </c>
      <c r="T115" s="119" t="n">
        <f aca="false">SUMIFS(tabela_registros[VALOR],tabela_registros[MÊS],$AE$1,tabela_registros[DIA],investirrendafixaconsolidadomar[[#Headers],[16]],tabela_registros[REGISTRO],DADOS!$N$5,tabela_registros[TIPO],DADOS!$AB$3,tabela_registros[CATEGORIA],investirrendafixaconsolidadomar[[#This Row],[ATUAL]])</f>
        <v>0</v>
      </c>
      <c r="U115" s="119" t="n">
        <f aca="false">SUMIFS(tabela_registros[VALOR],tabela_registros[MÊS],$AE$1,tabela_registros[DIA],investirrendafixaconsolidadomar[[#Headers],[17]],tabela_registros[REGISTRO],DADOS!$N$5,tabela_registros[TIPO],DADOS!$AB$3,tabela_registros[CATEGORIA],investirrendafixaconsolidadomar[[#This Row],[ATUAL]])</f>
        <v>0</v>
      </c>
      <c r="V115" s="119" t="n">
        <f aca="false">SUMIFS(tabela_registros[VALOR],tabela_registros[MÊS],$AE$1,tabela_registros[DIA],investirrendafixaconsolidadomar[[#Headers],[18]],tabela_registros[REGISTRO],DADOS!$N$5,tabela_registros[TIPO],DADOS!$AB$3,tabela_registros[CATEGORIA],investirrendafixaconsolidadomar[[#This Row],[ATUAL]])</f>
        <v>0</v>
      </c>
      <c r="W115" s="119" t="n">
        <f aca="false">SUMIFS(tabela_registros[VALOR],tabela_registros[MÊS],$AE$1,tabela_registros[DIA],investirrendafixaconsolidadomar[[#Headers],[19]],tabela_registros[REGISTRO],DADOS!$N$5,tabela_registros[TIPO],DADOS!$AB$3,tabela_registros[CATEGORIA],investirrendafixaconsolidadomar[[#This Row],[ATUAL]])</f>
        <v>0</v>
      </c>
      <c r="X115" s="119" t="n">
        <f aca="false">SUMIFS(tabela_registros[VALOR],tabela_registros[MÊS],$AE$1,tabela_registros[DIA],investirrendafixaconsolidadomar[[#Headers],[20]],tabela_registros[REGISTRO],DADOS!$N$5,tabela_registros[TIPO],DADOS!$AB$3,tabela_registros[CATEGORIA],investirrendafixaconsolidadomar[[#This Row],[ATUAL]])</f>
        <v>0</v>
      </c>
      <c r="Y115" s="119" t="n">
        <f aca="false">SUMIFS(tabela_registros[VALOR],tabela_registros[MÊS],$AE$1,tabela_registros[DIA],investirrendafixaconsolidadomar[[#Headers],[21]],tabela_registros[REGISTRO],DADOS!$N$5,tabela_registros[TIPO],DADOS!$AB$3,tabela_registros[CATEGORIA],investirrendafixaconsolidadomar[[#This Row],[ATUAL]])</f>
        <v>0</v>
      </c>
      <c r="Z115" s="119" t="n">
        <f aca="false">SUMIFS(tabela_registros[VALOR],tabela_registros[MÊS],$AE$1,tabela_registros[DIA],investirrendafixaconsolidadomar[[#Headers],[22]],tabela_registros[REGISTRO],DADOS!$N$5,tabela_registros[TIPO],DADOS!$AB$3,tabela_registros[CATEGORIA],investirrendafixaconsolidadomar[[#This Row],[ATUAL]])</f>
        <v>0</v>
      </c>
      <c r="AA115" s="119" t="n">
        <f aca="false">SUMIFS(tabela_registros[VALOR],tabela_registros[MÊS],$AE$1,tabela_registros[DIA],investirrendafixaconsolidadomar[[#Headers],[23]],tabela_registros[REGISTRO],DADOS!$N$5,tabela_registros[TIPO],DADOS!$AB$3,tabela_registros[CATEGORIA],investirrendafixaconsolidadomar[[#This Row],[ATUAL]])</f>
        <v>0</v>
      </c>
      <c r="AB115" s="119" t="n">
        <f aca="false">SUMIFS(tabela_registros[VALOR],tabela_registros[MÊS],$AE$1,tabela_registros[DIA],investirrendafixaconsolidadomar[[#Headers],[24]],tabela_registros[REGISTRO],DADOS!$N$5,tabela_registros[TIPO],DADOS!$AB$3,tabela_registros[CATEGORIA],investirrendafixaconsolidadomar[[#This Row],[ATUAL]])</f>
        <v>0</v>
      </c>
      <c r="AC115" s="119" t="n">
        <f aca="false">SUMIFS(tabela_registros[VALOR],tabela_registros[MÊS],$AE$1,tabela_registros[DIA],investirrendafixaconsolidadomar[[#Headers],[25]],tabela_registros[REGISTRO],DADOS!$N$5,tabela_registros[TIPO],DADOS!$AB$3,tabela_registros[CATEGORIA],investirrendafixaconsolidadomar[[#This Row],[ATUAL]])</f>
        <v>0</v>
      </c>
      <c r="AD115" s="119" t="n">
        <f aca="false">SUMIFS(tabela_registros[VALOR],tabela_registros[MÊS],$AE$1,tabela_registros[DIA],investirrendafixaconsolidadomar[[#Headers],[26]],tabela_registros[REGISTRO],DADOS!$N$5,tabela_registros[TIPO],DADOS!$AB$3,tabela_registros[CATEGORIA],investirrendafixaconsolidadomar[[#This Row],[ATUAL]])</f>
        <v>0</v>
      </c>
      <c r="AE115" s="119" t="n">
        <f aca="false">SUMIFS(tabela_registros[VALOR],tabela_registros[MÊS],$AE$1,tabela_registros[DIA],investirrendafixaconsolidadomar[[#Headers],[27]],tabela_registros[REGISTRO],DADOS!$N$5,tabela_registros[TIPO],DADOS!$AB$3,tabela_registros[CATEGORIA],investirrendafixaconsolidadomar[[#This Row],[ATUAL]])</f>
        <v>0</v>
      </c>
      <c r="AF115" s="119" t="n">
        <f aca="false">SUMIFS(tabela_registros[VALOR],tabela_registros[MÊS],$AE$1,tabela_registros[DIA],investirrendafixaconsolidadomar[[#Headers],[28]],tabela_registros[REGISTRO],DADOS!$N$5,tabela_registros[TIPO],DADOS!$AB$3,tabela_registros[CATEGORIA],investirrendafixaconsolidadomar[[#This Row],[ATUAL]])</f>
        <v>0</v>
      </c>
      <c r="AG115" s="119" t="n">
        <f aca="false">SUMIFS(tabela_registros[VALOR],tabela_registros[MÊS],$AE$1,tabela_registros[DIA],investirrendafixaconsolidadomar[[#Headers],[29]],tabela_registros[REGISTRO],DADOS!$N$5,tabela_registros[TIPO],DADOS!$AB$3,tabela_registros[CATEGORIA],investirrendafixaconsolidadomar[[#This Row],[ATUAL]])</f>
        <v>0</v>
      </c>
      <c r="AH115" s="119" t="n">
        <f aca="false">SUMIFS(tabela_registros[VALOR],tabela_registros[MÊS],$AE$1,tabela_registros[DIA],investirrendafixaconsolidadomar[[#Headers],[30]],tabela_registros[REGISTRO],DADOS!$N$5,tabela_registros[TIPO],DADOS!$AB$3,tabela_registros[CATEGORIA],investirrendafixaconsolidadomar[[#This Row],[ATUAL]])</f>
        <v>0</v>
      </c>
      <c r="AI115" s="217" t="n">
        <f aca="false">SUMIFS(tabela_registros[VALOR],tabela_registros[MÊS],$AE$1,tabela_registros[DIA],investirrendafixaconsolidadomar[[#Headers],[31]],tabela_registros[REGISTRO],DADOS!$N$5,tabela_registros[TIPO],DADOS!$AB$3,tabela_registros[CATEGORIA],investirrendafixaconsolidadomar[[#This Row],[ATUAL]])</f>
        <v>0</v>
      </c>
      <c r="AJ115" s="149" t="n">
        <f aca="false">SUM(investirrendafixaconsolidadomar[[#This Row],[1]:[31]])</f>
        <v>0</v>
      </c>
      <c r="AK115" s="165"/>
    </row>
    <row r="116" customFormat="false" ht="19.5" hidden="false" customHeight="true" outlineLevel="0" collapsed="false">
      <c r="B116" s="143"/>
      <c r="C116" s="144" t="str">
        <f aca="false">DADOS!$AD$6</f>
        <v>📝 DEBÊNTURE</v>
      </c>
      <c r="D116" s="145" t="str">
        <f aca="false">IF(investirrendafixaconsolidadomar[[#This Row],[TOTAL (R$)]]=0,"",IF(OR(investirrendafixaconsolidadomar[[#This Row],[TOTAL (R$)]]=LARGE($AJ$113:$AJ$122,1),investirrendafixaconsolidadomar[[#This Row],[TOTAL (R$)]]=LARGE($AJ$113:$AJ$122,2)),DADOS!$I$10,""))</f>
        <v/>
      </c>
      <c r="E116" s="148" t="n">
        <f aca="false">SUMIFS(tabela_registros[VALOR],tabela_registros[MÊS],$AE$1,tabela_registros[DIA],investirrendafixaconsolidadomar[[#Headers],[1]],tabela_registros[REGISTRO],DADOS!$N$5,tabela_registros[TIPO],DADOS!$AB$3,tabela_registros[CATEGORIA],investirrendafixaconsolidadomar[[#This Row],[ATUAL]])</f>
        <v>0</v>
      </c>
      <c r="F116" s="119" t="n">
        <f aca="false">SUMIFS(tabela_registros[VALOR],tabela_registros[MÊS],$AE$1,tabela_registros[DIA],investirrendafixaconsolidadomar[[#Headers],[2]],tabela_registros[REGISTRO],DADOS!$N$5,tabela_registros[TIPO],DADOS!$AB$3,tabela_registros[CATEGORIA],investirrendafixaconsolidadomar[[#This Row],[ATUAL]])</f>
        <v>0</v>
      </c>
      <c r="G116" s="119" t="n">
        <f aca="false">SUMIFS(tabela_registros[VALOR],tabela_registros[MÊS],$AE$1,tabela_registros[DIA],investirrendafixaconsolidadomar[[#Headers],[3]],tabela_registros[REGISTRO],DADOS!$N$5,tabela_registros[TIPO],DADOS!$AB$3,tabela_registros[CATEGORIA],investirrendafixaconsolidadomar[[#This Row],[ATUAL]])</f>
        <v>0</v>
      </c>
      <c r="H116" s="119" t="n">
        <f aca="false">SUMIFS(tabela_registros[VALOR],tabela_registros[MÊS],$AE$1,tabela_registros[DIA],investirrendafixaconsolidadomar[[#Headers],[4]],tabela_registros[REGISTRO],DADOS!$N$5,tabela_registros[TIPO],DADOS!$AB$3,tabela_registros[CATEGORIA],investirrendafixaconsolidadomar[[#This Row],[ATUAL]])</f>
        <v>0</v>
      </c>
      <c r="I116" s="119" t="n">
        <f aca="false">SUMIFS(tabela_registros[VALOR],tabela_registros[MÊS],$AE$1,tabela_registros[DIA],investirrendafixaconsolidadomar[[#Headers],[5]],tabela_registros[REGISTRO],DADOS!$N$5,tabela_registros[TIPO],DADOS!$AB$3,tabela_registros[CATEGORIA],investirrendafixaconsolidadomar[[#This Row],[ATUAL]])</f>
        <v>0</v>
      </c>
      <c r="J116" s="119" t="n">
        <f aca="false">SUMIFS(tabela_registros[VALOR],tabela_registros[MÊS],$AE$1,tabela_registros[DIA],investirrendafixaconsolidadomar[[#Headers],[6]],tabela_registros[REGISTRO],DADOS!$N$5,tabela_registros[TIPO],DADOS!$AB$3,tabela_registros[CATEGORIA],investirrendafixaconsolidadomar[[#This Row],[ATUAL]])</f>
        <v>0</v>
      </c>
      <c r="K116" s="119" t="n">
        <f aca="false">SUMIFS(tabela_registros[VALOR],tabela_registros[MÊS],$AE$1,tabela_registros[DIA],investirrendafixaconsolidadomar[[#Headers],[7]],tabela_registros[REGISTRO],DADOS!$N$5,tabela_registros[TIPO],DADOS!$AB$3,tabela_registros[CATEGORIA],investirrendafixaconsolidadomar[[#This Row],[ATUAL]])</f>
        <v>0</v>
      </c>
      <c r="L116" s="119" t="n">
        <f aca="false">SUMIFS(tabela_registros[VALOR],tabela_registros[MÊS],$AE$1,tabela_registros[DIA],investirrendafixaconsolidadomar[[#Headers],[8]],tabela_registros[REGISTRO],DADOS!$N$5,tabela_registros[TIPO],DADOS!$AB$3,tabela_registros[CATEGORIA],investirrendafixaconsolidadomar[[#This Row],[ATUAL]])</f>
        <v>0</v>
      </c>
      <c r="M116" s="119" t="n">
        <f aca="false">SUMIFS(tabela_registros[VALOR],tabela_registros[MÊS],$AE$1,tabela_registros[DIA],investirrendafixaconsolidadomar[[#Headers],[9]],tabela_registros[REGISTRO],DADOS!$N$5,tabela_registros[TIPO],DADOS!$AB$3,tabela_registros[CATEGORIA],investirrendafixaconsolidadomar[[#This Row],[ATUAL]])</f>
        <v>0</v>
      </c>
      <c r="N116" s="119" t="n">
        <f aca="false">SUMIFS(tabela_registros[VALOR],tabela_registros[MÊS],$AE$1,tabela_registros[DIA],investirrendafixaconsolidadomar[[#Headers],[10]],tabela_registros[REGISTRO],DADOS!$N$5,tabela_registros[TIPO],DADOS!$AB$3,tabela_registros[CATEGORIA],investirrendafixaconsolidadomar[[#This Row],[ATUAL]])</f>
        <v>0</v>
      </c>
      <c r="O116" s="119" t="n">
        <f aca="false">SUMIFS(tabela_registros[VALOR],tabela_registros[MÊS],$AE$1,tabela_registros[DIA],investirrendafixaconsolidadomar[[#Headers],[11]],tabela_registros[REGISTRO],DADOS!$N$5,tabela_registros[TIPO],DADOS!$AB$3,tabela_registros[CATEGORIA],investirrendafixaconsolidadomar[[#This Row],[ATUAL]])</f>
        <v>0</v>
      </c>
      <c r="P116" s="119" t="n">
        <f aca="false">SUMIFS(tabela_registros[VALOR],tabela_registros[MÊS],$AE$1,tabela_registros[DIA],investirrendafixaconsolidadomar[[#Headers],[12]],tabela_registros[REGISTRO],DADOS!$N$5,tabela_registros[TIPO],DADOS!$AB$3,tabela_registros[CATEGORIA],investirrendafixaconsolidadomar[[#This Row],[ATUAL]])</f>
        <v>0</v>
      </c>
      <c r="Q116" s="119" t="n">
        <f aca="false">SUMIFS(tabela_registros[VALOR],tabela_registros[MÊS],$AE$1,tabela_registros[DIA],investirrendafixaconsolidadomar[[#Headers],[13]],tabela_registros[REGISTRO],DADOS!$N$5,tabela_registros[TIPO],DADOS!$AB$3,tabela_registros[CATEGORIA],investirrendafixaconsolidadomar[[#This Row],[ATUAL]])</f>
        <v>0</v>
      </c>
      <c r="R116" s="119" t="n">
        <f aca="false">SUMIFS(tabela_registros[VALOR],tabela_registros[MÊS],$AE$1,tabela_registros[DIA],investirrendafixaconsolidadomar[[#Headers],[14]],tabela_registros[REGISTRO],DADOS!$N$5,tabela_registros[TIPO],DADOS!$AB$3,tabela_registros[CATEGORIA],investirrendafixaconsolidadomar[[#This Row],[ATUAL]])</f>
        <v>0</v>
      </c>
      <c r="S116" s="119" t="n">
        <f aca="false">SUMIFS(tabela_registros[VALOR],tabela_registros[MÊS],$AE$1,tabela_registros[DIA],investirrendafixaconsolidadomar[[#Headers],[15]],tabela_registros[REGISTRO],DADOS!$N$5,tabela_registros[TIPO],DADOS!$AB$3,tabela_registros[CATEGORIA],investirrendafixaconsolidadomar[[#This Row],[ATUAL]])</f>
        <v>0</v>
      </c>
      <c r="T116" s="119" t="n">
        <f aca="false">SUMIFS(tabela_registros[VALOR],tabela_registros[MÊS],$AE$1,tabela_registros[DIA],investirrendafixaconsolidadomar[[#Headers],[16]],tabela_registros[REGISTRO],DADOS!$N$5,tabela_registros[TIPO],DADOS!$AB$3,tabela_registros[CATEGORIA],investirrendafixaconsolidadomar[[#This Row],[ATUAL]])</f>
        <v>0</v>
      </c>
      <c r="U116" s="119" t="n">
        <f aca="false">SUMIFS(tabela_registros[VALOR],tabela_registros[MÊS],$AE$1,tabela_registros[DIA],investirrendafixaconsolidadomar[[#Headers],[17]],tabela_registros[REGISTRO],DADOS!$N$5,tabela_registros[TIPO],DADOS!$AB$3,tabela_registros[CATEGORIA],investirrendafixaconsolidadomar[[#This Row],[ATUAL]])</f>
        <v>0</v>
      </c>
      <c r="V116" s="119" t="n">
        <f aca="false">SUMIFS(tabela_registros[VALOR],tabela_registros[MÊS],$AE$1,tabela_registros[DIA],investirrendafixaconsolidadomar[[#Headers],[18]],tabela_registros[REGISTRO],DADOS!$N$5,tabela_registros[TIPO],DADOS!$AB$3,tabela_registros[CATEGORIA],investirrendafixaconsolidadomar[[#This Row],[ATUAL]])</f>
        <v>0</v>
      </c>
      <c r="W116" s="119" t="n">
        <f aca="false">SUMIFS(tabela_registros[VALOR],tabela_registros[MÊS],$AE$1,tabela_registros[DIA],investirrendafixaconsolidadomar[[#Headers],[19]],tabela_registros[REGISTRO],DADOS!$N$5,tabela_registros[TIPO],DADOS!$AB$3,tabela_registros[CATEGORIA],investirrendafixaconsolidadomar[[#This Row],[ATUAL]])</f>
        <v>0</v>
      </c>
      <c r="X116" s="119" t="n">
        <f aca="false">SUMIFS(tabela_registros[VALOR],tabela_registros[MÊS],$AE$1,tabela_registros[DIA],investirrendafixaconsolidadomar[[#Headers],[20]],tabela_registros[REGISTRO],DADOS!$N$5,tabela_registros[TIPO],DADOS!$AB$3,tabela_registros[CATEGORIA],investirrendafixaconsolidadomar[[#This Row],[ATUAL]])</f>
        <v>0</v>
      </c>
      <c r="Y116" s="119" t="n">
        <f aca="false">SUMIFS(tabela_registros[VALOR],tabela_registros[MÊS],$AE$1,tabela_registros[DIA],investirrendafixaconsolidadomar[[#Headers],[21]],tabela_registros[REGISTRO],DADOS!$N$5,tabela_registros[TIPO],DADOS!$AB$3,tabela_registros[CATEGORIA],investirrendafixaconsolidadomar[[#This Row],[ATUAL]])</f>
        <v>0</v>
      </c>
      <c r="Z116" s="119" t="n">
        <f aca="false">SUMIFS(tabela_registros[VALOR],tabela_registros[MÊS],$AE$1,tabela_registros[DIA],investirrendafixaconsolidadomar[[#Headers],[22]],tabela_registros[REGISTRO],DADOS!$N$5,tabela_registros[TIPO],DADOS!$AB$3,tabela_registros[CATEGORIA],investirrendafixaconsolidadomar[[#This Row],[ATUAL]])</f>
        <v>0</v>
      </c>
      <c r="AA116" s="119" t="n">
        <f aca="false">SUMIFS(tabela_registros[VALOR],tabela_registros[MÊS],$AE$1,tabela_registros[DIA],investirrendafixaconsolidadomar[[#Headers],[23]],tabela_registros[REGISTRO],DADOS!$N$5,tabela_registros[TIPO],DADOS!$AB$3,tabela_registros[CATEGORIA],investirrendafixaconsolidadomar[[#This Row],[ATUAL]])</f>
        <v>0</v>
      </c>
      <c r="AB116" s="119" t="n">
        <f aca="false">SUMIFS(tabela_registros[VALOR],tabela_registros[MÊS],$AE$1,tabela_registros[DIA],investirrendafixaconsolidadomar[[#Headers],[24]],tabela_registros[REGISTRO],DADOS!$N$5,tabela_registros[TIPO],DADOS!$AB$3,tabela_registros[CATEGORIA],investirrendafixaconsolidadomar[[#This Row],[ATUAL]])</f>
        <v>0</v>
      </c>
      <c r="AC116" s="119" t="n">
        <f aca="false">SUMIFS(tabela_registros[VALOR],tabela_registros[MÊS],$AE$1,tabela_registros[DIA],investirrendafixaconsolidadomar[[#Headers],[25]],tabela_registros[REGISTRO],DADOS!$N$5,tabela_registros[TIPO],DADOS!$AB$3,tabela_registros[CATEGORIA],investirrendafixaconsolidadomar[[#This Row],[ATUAL]])</f>
        <v>0</v>
      </c>
      <c r="AD116" s="119" t="n">
        <f aca="false">SUMIFS(tabela_registros[VALOR],tabela_registros[MÊS],$AE$1,tabela_registros[DIA],investirrendafixaconsolidadomar[[#Headers],[26]],tabela_registros[REGISTRO],DADOS!$N$5,tabela_registros[TIPO],DADOS!$AB$3,tabela_registros[CATEGORIA],investirrendafixaconsolidadomar[[#This Row],[ATUAL]])</f>
        <v>0</v>
      </c>
      <c r="AE116" s="119" t="n">
        <f aca="false">SUMIFS(tabela_registros[VALOR],tabela_registros[MÊS],$AE$1,tabela_registros[DIA],investirrendafixaconsolidadomar[[#Headers],[27]],tabela_registros[REGISTRO],DADOS!$N$5,tabela_registros[TIPO],DADOS!$AB$3,tabela_registros[CATEGORIA],investirrendafixaconsolidadomar[[#This Row],[ATUAL]])</f>
        <v>0</v>
      </c>
      <c r="AF116" s="119" t="n">
        <f aca="false">SUMIFS(tabela_registros[VALOR],tabela_registros[MÊS],$AE$1,tabela_registros[DIA],investirrendafixaconsolidadomar[[#Headers],[28]],tabela_registros[REGISTRO],DADOS!$N$5,tabela_registros[TIPO],DADOS!$AB$3,tabela_registros[CATEGORIA],investirrendafixaconsolidadomar[[#This Row],[ATUAL]])</f>
        <v>0</v>
      </c>
      <c r="AG116" s="119" t="n">
        <f aca="false">SUMIFS(tabela_registros[VALOR],tabela_registros[MÊS],$AE$1,tabela_registros[DIA],investirrendafixaconsolidadomar[[#Headers],[29]],tabela_registros[REGISTRO],DADOS!$N$5,tabela_registros[TIPO],DADOS!$AB$3,tabela_registros[CATEGORIA],investirrendafixaconsolidadomar[[#This Row],[ATUAL]])</f>
        <v>0</v>
      </c>
      <c r="AH116" s="119" t="n">
        <f aca="false">SUMIFS(tabela_registros[VALOR],tabela_registros[MÊS],$AE$1,tabela_registros[DIA],investirrendafixaconsolidadomar[[#Headers],[30]],tabela_registros[REGISTRO],DADOS!$N$5,tabela_registros[TIPO],DADOS!$AB$3,tabela_registros[CATEGORIA],investirrendafixaconsolidadomar[[#This Row],[ATUAL]])</f>
        <v>0</v>
      </c>
      <c r="AI116" s="217" t="n">
        <f aca="false">SUMIFS(tabela_registros[VALOR],tabela_registros[MÊS],$AE$1,tabela_registros[DIA],investirrendafixaconsolidadomar[[#Headers],[31]],tabela_registros[REGISTRO],DADOS!$N$5,tabela_registros[TIPO],DADOS!$AB$3,tabela_registros[CATEGORIA],investirrendafixaconsolidadomar[[#This Row],[ATUAL]])</f>
        <v>0</v>
      </c>
      <c r="AJ116" s="149" t="n">
        <f aca="false">SUM(investirrendafixaconsolidadomar[[#This Row],[1]:[31]])</f>
        <v>0</v>
      </c>
      <c r="AK116" s="165"/>
    </row>
    <row r="117" customFormat="false" ht="19.5" hidden="false" customHeight="true" outlineLevel="0" collapsed="false">
      <c r="B117" s="143"/>
      <c r="C117" s="144" t="str">
        <f aca="false">DADOS!$AD$7</f>
        <v>📝 EXTERIOR</v>
      </c>
      <c r="D117" s="145" t="str">
        <f aca="false">IF(investirrendafixaconsolidadomar[[#This Row],[TOTAL (R$)]]=0,"",IF(OR(investirrendafixaconsolidadomar[[#This Row],[TOTAL (R$)]]=LARGE($AJ$113:$AJ$122,1),investirrendafixaconsolidadomar[[#This Row],[TOTAL (R$)]]=LARGE($AJ$113:$AJ$122,2)),DADOS!$I$10,""))</f>
        <v/>
      </c>
      <c r="E117" s="148" t="n">
        <f aca="false">SUMIFS(tabela_registros[VALOR],tabela_registros[MÊS],$AE$1,tabela_registros[DIA],investirrendafixaconsolidadomar[[#Headers],[1]],tabela_registros[REGISTRO],DADOS!$N$5,tabela_registros[TIPO],DADOS!$AB$3,tabela_registros[CATEGORIA],investirrendafixaconsolidadomar[[#This Row],[ATUAL]])</f>
        <v>0</v>
      </c>
      <c r="F117" s="119" t="n">
        <f aca="false">SUMIFS(tabela_registros[VALOR],tabela_registros[MÊS],$AE$1,tabela_registros[DIA],investirrendafixaconsolidadomar[[#Headers],[2]],tabela_registros[REGISTRO],DADOS!$N$5,tabela_registros[TIPO],DADOS!$AB$3,tabela_registros[CATEGORIA],investirrendafixaconsolidadomar[[#This Row],[ATUAL]])</f>
        <v>0</v>
      </c>
      <c r="G117" s="119" t="n">
        <f aca="false">SUMIFS(tabela_registros[VALOR],tabela_registros[MÊS],$AE$1,tabela_registros[DIA],investirrendafixaconsolidadomar[[#Headers],[3]],tabela_registros[REGISTRO],DADOS!$N$5,tabela_registros[TIPO],DADOS!$AB$3,tabela_registros[CATEGORIA],investirrendafixaconsolidadomar[[#This Row],[ATUAL]])</f>
        <v>0</v>
      </c>
      <c r="H117" s="119" t="n">
        <f aca="false">SUMIFS(tabela_registros[VALOR],tabela_registros[MÊS],$AE$1,tabela_registros[DIA],investirrendafixaconsolidadomar[[#Headers],[4]],tabela_registros[REGISTRO],DADOS!$N$5,tabela_registros[TIPO],DADOS!$AB$3,tabela_registros[CATEGORIA],investirrendafixaconsolidadomar[[#This Row],[ATUAL]])</f>
        <v>0</v>
      </c>
      <c r="I117" s="119" t="n">
        <f aca="false">SUMIFS(tabela_registros[VALOR],tabela_registros[MÊS],$AE$1,tabela_registros[DIA],investirrendafixaconsolidadomar[[#Headers],[5]],tabela_registros[REGISTRO],DADOS!$N$5,tabela_registros[TIPO],DADOS!$AB$3,tabela_registros[CATEGORIA],investirrendafixaconsolidadomar[[#This Row],[ATUAL]])</f>
        <v>0</v>
      </c>
      <c r="J117" s="119" t="n">
        <f aca="false">SUMIFS(tabela_registros[VALOR],tabela_registros[MÊS],$AE$1,tabela_registros[DIA],investirrendafixaconsolidadomar[[#Headers],[6]],tabela_registros[REGISTRO],DADOS!$N$5,tabela_registros[TIPO],DADOS!$AB$3,tabela_registros[CATEGORIA],investirrendafixaconsolidadomar[[#This Row],[ATUAL]])</f>
        <v>0</v>
      </c>
      <c r="K117" s="119" t="n">
        <f aca="false">SUMIFS(tabela_registros[VALOR],tabela_registros[MÊS],$AE$1,tabela_registros[DIA],investirrendafixaconsolidadomar[[#Headers],[7]],tabela_registros[REGISTRO],DADOS!$N$5,tabela_registros[TIPO],DADOS!$AB$3,tabela_registros[CATEGORIA],investirrendafixaconsolidadomar[[#This Row],[ATUAL]])</f>
        <v>0</v>
      </c>
      <c r="L117" s="119" t="n">
        <f aca="false">SUMIFS(tabela_registros[VALOR],tabela_registros[MÊS],$AE$1,tabela_registros[DIA],investirrendafixaconsolidadomar[[#Headers],[8]],tabela_registros[REGISTRO],DADOS!$N$5,tabela_registros[TIPO],DADOS!$AB$3,tabela_registros[CATEGORIA],investirrendafixaconsolidadomar[[#This Row],[ATUAL]])</f>
        <v>0</v>
      </c>
      <c r="M117" s="119" t="n">
        <f aca="false">SUMIFS(tabela_registros[VALOR],tabela_registros[MÊS],$AE$1,tabela_registros[DIA],investirrendafixaconsolidadomar[[#Headers],[9]],tabela_registros[REGISTRO],DADOS!$N$5,tabela_registros[TIPO],DADOS!$AB$3,tabela_registros[CATEGORIA],investirrendafixaconsolidadomar[[#This Row],[ATUAL]])</f>
        <v>0</v>
      </c>
      <c r="N117" s="119" t="n">
        <f aca="false">SUMIFS(tabela_registros[VALOR],tabela_registros[MÊS],$AE$1,tabela_registros[DIA],investirrendafixaconsolidadomar[[#Headers],[10]],tabela_registros[REGISTRO],DADOS!$N$5,tabela_registros[TIPO],DADOS!$AB$3,tabela_registros[CATEGORIA],investirrendafixaconsolidadomar[[#This Row],[ATUAL]])</f>
        <v>0</v>
      </c>
      <c r="O117" s="119" t="n">
        <f aca="false">SUMIFS(tabela_registros[VALOR],tabela_registros[MÊS],$AE$1,tabela_registros[DIA],investirrendafixaconsolidadomar[[#Headers],[11]],tabela_registros[REGISTRO],DADOS!$N$5,tabela_registros[TIPO],DADOS!$AB$3,tabela_registros[CATEGORIA],investirrendafixaconsolidadomar[[#This Row],[ATUAL]])</f>
        <v>0</v>
      </c>
      <c r="P117" s="119" t="n">
        <f aca="false">SUMIFS(tabela_registros[VALOR],tabela_registros[MÊS],$AE$1,tabela_registros[DIA],investirrendafixaconsolidadomar[[#Headers],[12]],tabela_registros[REGISTRO],DADOS!$N$5,tabela_registros[TIPO],DADOS!$AB$3,tabela_registros[CATEGORIA],investirrendafixaconsolidadomar[[#This Row],[ATUAL]])</f>
        <v>0</v>
      </c>
      <c r="Q117" s="119" t="n">
        <f aca="false">SUMIFS(tabela_registros[VALOR],tabela_registros[MÊS],$AE$1,tabela_registros[DIA],investirrendafixaconsolidadomar[[#Headers],[13]],tabela_registros[REGISTRO],DADOS!$N$5,tabela_registros[TIPO],DADOS!$AB$3,tabela_registros[CATEGORIA],investirrendafixaconsolidadomar[[#This Row],[ATUAL]])</f>
        <v>0</v>
      </c>
      <c r="R117" s="119" t="n">
        <f aca="false">SUMIFS(tabela_registros[VALOR],tabela_registros[MÊS],$AE$1,tabela_registros[DIA],investirrendafixaconsolidadomar[[#Headers],[14]],tabela_registros[REGISTRO],DADOS!$N$5,tabela_registros[TIPO],DADOS!$AB$3,tabela_registros[CATEGORIA],investirrendafixaconsolidadomar[[#This Row],[ATUAL]])</f>
        <v>0</v>
      </c>
      <c r="S117" s="119" t="n">
        <f aca="false">SUMIFS(tabela_registros[VALOR],tabela_registros[MÊS],$AE$1,tabela_registros[DIA],investirrendafixaconsolidadomar[[#Headers],[15]],tabela_registros[REGISTRO],DADOS!$N$5,tabela_registros[TIPO],DADOS!$AB$3,tabela_registros[CATEGORIA],investirrendafixaconsolidadomar[[#This Row],[ATUAL]])</f>
        <v>0</v>
      </c>
      <c r="T117" s="119" t="n">
        <f aca="false">SUMIFS(tabela_registros[VALOR],tabela_registros[MÊS],$AE$1,tabela_registros[DIA],investirrendafixaconsolidadomar[[#Headers],[16]],tabela_registros[REGISTRO],DADOS!$N$5,tabela_registros[TIPO],DADOS!$AB$3,tabela_registros[CATEGORIA],investirrendafixaconsolidadomar[[#This Row],[ATUAL]])</f>
        <v>0</v>
      </c>
      <c r="U117" s="119" t="n">
        <f aca="false">SUMIFS(tabela_registros[VALOR],tabela_registros[MÊS],$AE$1,tabela_registros[DIA],investirrendafixaconsolidadomar[[#Headers],[17]],tabela_registros[REGISTRO],DADOS!$N$5,tabela_registros[TIPO],DADOS!$AB$3,tabela_registros[CATEGORIA],investirrendafixaconsolidadomar[[#This Row],[ATUAL]])</f>
        <v>0</v>
      </c>
      <c r="V117" s="119" t="n">
        <f aca="false">SUMIFS(tabela_registros[VALOR],tabela_registros[MÊS],$AE$1,tabela_registros[DIA],investirrendafixaconsolidadomar[[#Headers],[18]],tabela_registros[REGISTRO],DADOS!$N$5,tabela_registros[TIPO],DADOS!$AB$3,tabela_registros[CATEGORIA],investirrendafixaconsolidadomar[[#This Row],[ATUAL]])</f>
        <v>0</v>
      </c>
      <c r="W117" s="119" t="n">
        <f aca="false">SUMIFS(tabela_registros[VALOR],tabela_registros[MÊS],$AE$1,tabela_registros[DIA],investirrendafixaconsolidadomar[[#Headers],[19]],tabela_registros[REGISTRO],DADOS!$N$5,tabela_registros[TIPO],DADOS!$AB$3,tabela_registros[CATEGORIA],investirrendafixaconsolidadomar[[#This Row],[ATUAL]])</f>
        <v>0</v>
      </c>
      <c r="X117" s="119" t="n">
        <f aca="false">SUMIFS(tabela_registros[VALOR],tabela_registros[MÊS],$AE$1,tabela_registros[DIA],investirrendafixaconsolidadomar[[#Headers],[20]],tabela_registros[REGISTRO],DADOS!$N$5,tabela_registros[TIPO],DADOS!$AB$3,tabela_registros[CATEGORIA],investirrendafixaconsolidadomar[[#This Row],[ATUAL]])</f>
        <v>0</v>
      </c>
      <c r="Y117" s="119" t="n">
        <f aca="false">SUMIFS(tabela_registros[VALOR],tabela_registros[MÊS],$AE$1,tabela_registros[DIA],investirrendafixaconsolidadomar[[#Headers],[21]],tabela_registros[REGISTRO],DADOS!$N$5,tabela_registros[TIPO],DADOS!$AB$3,tabela_registros[CATEGORIA],investirrendafixaconsolidadomar[[#This Row],[ATUAL]])</f>
        <v>0</v>
      </c>
      <c r="Z117" s="119" t="n">
        <f aca="false">SUMIFS(tabela_registros[VALOR],tabela_registros[MÊS],$AE$1,tabela_registros[DIA],investirrendafixaconsolidadomar[[#Headers],[22]],tabela_registros[REGISTRO],DADOS!$N$5,tabela_registros[TIPO],DADOS!$AB$3,tabela_registros[CATEGORIA],investirrendafixaconsolidadomar[[#This Row],[ATUAL]])</f>
        <v>0</v>
      </c>
      <c r="AA117" s="119" t="n">
        <f aca="false">SUMIFS(tabela_registros[VALOR],tabela_registros[MÊS],$AE$1,tabela_registros[DIA],investirrendafixaconsolidadomar[[#Headers],[23]],tabela_registros[REGISTRO],DADOS!$N$5,tabela_registros[TIPO],DADOS!$AB$3,tabela_registros[CATEGORIA],investirrendafixaconsolidadomar[[#This Row],[ATUAL]])</f>
        <v>0</v>
      </c>
      <c r="AB117" s="119" t="n">
        <f aca="false">SUMIFS(tabela_registros[VALOR],tabela_registros[MÊS],$AE$1,tabela_registros[DIA],investirrendafixaconsolidadomar[[#Headers],[24]],tabela_registros[REGISTRO],DADOS!$N$5,tabela_registros[TIPO],DADOS!$AB$3,tabela_registros[CATEGORIA],investirrendafixaconsolidadomar[[#This Row],[ATUAL]])</f>
        <v>0</v>
      </c>
      <c r="AC117" s="119" t="n">
        <f aca="false">SUMIFS(tabela_registros[VALOR],tabela_registros[MÊS],$AE$1,tabela_registros[DIA],investirrendafixaconsolidadomar[[#Headers],[25]],tabela_registros[REGISTRO],DADOS!$N$5,tabela_registros[TIPO],DADOS!$AB$3,tabela_registros[CATEGORIA],investirrendafixaconsolidadomar[[#This Row],[ATUAL]])</f>
        <v>0</v>
      </c>
      <c r="AD117" s="119" t="n">
        <f aca="false">SUMIFS(tabela_registros[VALOR],tabela_registros[MÊS],$AE$1,tabela_registros[DIA],investirrendafixaconsolidadomar[[#Headers],[26]],tabela_registros[REGISTRO],DADOS!$N$5,tabela_registros[TIPO],DADOS!$AB$3,tabela_registros[CATEGORIA],investirrendafixaconsolidadomar[[#This Row],[ATUAL]])</f>
        <v>0</v>
      </c>
      <c r="AE117" s="119" t="n">
        <f aca="false">SUMIFS(tabela_registros[VALOR],tabela_registros[MÊS],$AE$1,tabela_registros[DIA],investirrendafixaconsolidadomar[[#Headers],[27]],tabela_registros[REGISTRO],DADOS!$N$5,tabela_registros[TIPO],DADOS!$AB$3,tabela_registros[CATEGORIA],investirrendafixaconsolidadomar[[#This Row],[ATUAL]])</f>
        <v>0</v>
      </c>
      <c r="AF117" s="119" t="n">
        <f aca="false">SUMIFS(tabela_registros[VALOR],tabela_registros[MÊS],$AE$1,tabela_registros[DIA],investirrendafixaconsolidadomar[[#Headers],[28]],tabela_registros[REGISTRO],DADOS!$N$5,tabela_registros[TIPO],DADOS!$AB$3,tabela_registros[CATEGORIA],investirrendafixaconsolidadomar[[#This Row],[ATUAL]])</f>
        <v>0</v>
      </c>
      <c r="AG117" s="119" t="n">
        <f aca="false">SUMIFS(tabela_registros[VALOR],tabela_registros[MÊS],$AE$1,tabela_registros[DIA],investirrendafixaconsolidadomar[[#Headers],[29]],tabela_registros[REGISTRO],DADOS!$N$5,tabela_registros[TIPO],DADOS!$AB$3,tabela_registros[CATEGORIA],investirrendafixaconsolidadomar[[#This Row],[ATUAL]])</f>
        <v>0</v>
      </c>
      <c r="AH117" s="119" t="n">
        <f aca="false">SUMIFS(tabela_registros[VALOR],tabela_registros[MÊS],$AE$1,tabela_registros[DIA],investirrendafixaconsolidadomar[[#Headers],[30]],tabela_registros[REGISTRO],DADOS!$N$5,tabela_registros[TIPO],DADOS!$AB$3,tabela_registros[CATEGORIA],investirrendafixaconsolidadomar[[#This Row],[ATUAL]])</f>
        <v>0</v>
      </c>
      <c r="AI117" s="217" t="n">
        <f aca="false">SUMIFS(tabela_registros[VALOR],tabela_registros[MÊS],$AE$1,tabela_registros[DIA],investirrendafixaconsolidadomar[[#Headers],[31]],tabela_registros[REGISTRO],DADOS!$N$5,tabela_registros[TIPO],DADOS!$AB$3,tabela_registros[CATEGORIA],investirrendafixaconsolidadomar[[#This Row],[ATUAL]])</f>
        <v>0</v>
      </c>
      <c r="AJ117" s="149" t="n">
        <f aca="false">SUM(investirrendafixaconsolidadomar[[#This Row],[1]:[31]])</f>
        <v>0</v>
      </c>
      <c r="AK117" s="165"/>
    </row>
    <row r="118" customFormat="false" ht="19.5" hidden="false" customHeight="true" outlineLevel="0" collapsed="false">
      <c r="B118" s="143"/>
      <c r="C118" s="144" t="str">
        <f aca="false">DADOS!$AD$8</f>
        <v>📝 LC</v>
      </c>
      <c r="D118" s="145" t="str">
        <f aca="false">IF(investirrendafixaconsolidadomar[[#This Row],[TOTAL (R$)]]=0,"",IF(OR(investirrendafixaconsolidadomar[[#This Row],[TOTAL (R$)]]=LARGE($AJ$113:$AJ$122,1),investirrendafixaconsolidadomar[[#This Row],[TOTAL (R$)]]=LARGE($AJ$113:$AJ$122,2)),DADOS!$I$10,""))</f>
        <v/>
      </c>
      <c r="E118" s="148" t="n">
        <f aca="false">SUMIFS(tabela_registros[VALOR],tabela_registros[MÊS],$AE$1,tabela_registros[DIA],investirrendafixaconsolidadomar[[#Headers],[1]],tabela_registros[REGISTRO],DADOS!$N$5,tabela_registros[TIPO],DADOS!$AB$3,tabela_registros[CATEGORIA],investirrendafixaconsolidadomar[[#This Row],[ATUAL]])</f>
        <v>0</v>
      </c>
      <c r="F118" s="119" t="n">
        <f aca="false">SUMIFS(tabela_registros[VALOR],tabela_registros[MÊS],$AE$1,tabela_registros[DIA],investirrendafixaconsolidadomar[[#Headers],[2]],tabela_registros[REGISTRO],DADOS!$N$5,tabela_registros[TIPO],DADOS!$AB$3,tabela_registros[CATEGORIA],investirrendafixaconsolidadomar[[#This Row],[ATUAL]])</f>
        <v>0</v>
      </c>
      <c r="G118" s="119" t="n">
        <f aca="false">SUMIFS(tabela_registros[VALOR],tabela_registros[MÊS],$AE$1,tabela_registros[DIA],investirrendafixaconsolidadomar[[#Headers],[3]],tabela_registros[REGISTRO],DADOS!$N$5,tabela_registros[TIPO],DADOS!$AB$3,tabela_registros[CATEGORIA],investirrendafixaconsolidadomar[[#This Row],[ATUAL]])</f>
        <v>0</v>
      </c>
      <c r="H118" s="119" t="n">
        <f aca="false">SUMIFS(tabela_registros[VALOR],tabela_registros[MÊS],$AE$1,tabela_registros[DIA],investirrendafixaconsolidadomar[[#Headers],[4]],tabela_registros[REGISTRO],DADOS!$N$5,tabela_registros[TIPO],DADOS!$AB$3,tabela_registros[CATEGORIA],investirrendafixaconsolidadomar[[#This Row],[ATUAL]])</f>
        <v>0</v>
      </c>
      <c r="I118" s="119" t="n">
        <f aca="false">SUMIFS(tabela_registros[VALOR],tabela_registros[MÊS],$AE$1,tabela_registros[DIA],investirrendafixaconsolidadomar[[#Headers],[5]],tabela_registros[REGISTRO],DADOS!$N$5,tabela_registros[TIPO],DADOS!$AB$3,tabela_registros[CATEGORIA],investirrendafixaconsolidadomar[[#This Row],[ATUAL]])</f>
        <v>0</v>
      </c>
      <c r="J118" s="119" t="n">
        <f aca="false">SUMIFS(tabela_registros[VALOR],tabela_registros[MÊS],$AE$1,tabela_registros[DIA],investirrendafixaconsolidadomar[[#Headers],[6]],tabela_registros[REGISTRO],DADOS!$N$5,tabela_registros[TIPO],DADOS!$AB$3,tabela_registros[CATEGORIA],investirrendafixaconsolidadomar[[#This Row],[ATUAL]])</f>
        <v>0</v>
      </c>
      <c r="K118" s="119" t="n">
        <f aca="false">SUMIFS(tabela_registros[VALOR],tabela_registros[MÊS],$AE$1,tabela_registros[DIA],investirrendafixaconsolidadomar[[#Headers],[7]],tabela_registros[REGISTRO],DADOS!$N$5,tabela_registros[TIPO],DADOS!$AB$3,tabela_registros[CATEGORIA],investirrendafixaconsolidadomar[[#This Row],[ATUAL]])</f>
        <v>0</v>
      </c>
      <c r="L118" s="119" t="n">
        <f aca="false">SUMIFS(tabela_registros[VALOR],tabela_registros[MÊS],$AE$1,tabela_registros[DIA],investirrendafixaconsolidadomar[[#Headers],[8]],tabela_registros[REGISTRO],DADOS!$N$5,tabela_registros[TIPO],DADOS!$AB$3,tabela_registros[CATEGORIA],investirrendafixaconsolidadomar[[#This Row],[ATUAL]])</f>
        <v>0</v>
      </c>
      <c r="M118" s="119" t="n">
        <f aca="false">SUMIFS(tabela_registros[VALOR],tabela_registros[MÊS],$AE$1,tabela_registros[DIA],investirrendafixaconsolidadomar[[#Headers],[9]],tabela_registros[REGISTRO],DADOS!$N$5,tabela_registros[TIPO],DADOS!$AB$3,tabela_registros[CATEGORIA],investirrendafixaconsolidadomar[[#This Row],[ATUAL]])</f>
        <v>0</v>
      </c>
      <c r="N118" s="119" t="n">
        <f aca="false">SUMIFS(tabela_registros[VALOR],tabela_registros[MÊS],$AE$1,tabela_registros[DIA],investirrendafixaconsolidadomar[[#Headers],[10]],tabela_registros[REGISTRO],DADOS!$N$5,tabela_registros[TIPO],DADOS!$AB$3,tabela_registros[CATEGORIA],investirrendafixaconsolidadomar[[#This Row],[ATUAL]])</f>
        <v>0</v>
      </c>
      <c r="O118" s="119" t="n">
        <f aca="false">SUMIFS(tabela_registros[VALOR],tabela_registros[MÊS],$AE$1,tabela_registros[DIA],investirrendafixaconsolidadomar[[#Headers],[11]],tabela_registros[REGISTRO],DADOS!$N$5,tabela_registros[TIPO],DADOS!$AB$3,tabela_registros[CATEGORIA],investirrendafixaconsolidadomar[[#This Row],[ATUAL]])</f>
        <v>0</v>
      </c>
      <c r="P118" s="119" t="n">
        <f aca="false">SUMIFS(tabela_registros[VALOR],tabela_registros[MÊS],$AE$1,tabela_registros[DIA],investirrendafixaconsolidadomar[[#Headers],[12]],tabela_registros[REGISTRO],DADOS!$N$5,tabela_registros[TIPO],DADOS!$AB$3,tabela_registros[CATEGORIA],investirrendafixaconsolidadomar[[#This Row],[ATUAL]])</f>
        <v>0</v>
      </c>
      <c r="Q118" s="119" t="n">
        <f aca="false">SUMIFS(tabela_registros[VALOR],tabela_registros[MÊS],$AE$1,tabela_registros[DIA],investirrendafixaconsolidadomar[[#Headers],[13]],tabela_registros[REGISTRO],DADOS!$N$5,tabela_registros[TIPO],DADOS!$AB$3,tabela_registros[CATEGORIA],investirrendafixaconsolidadomar[[#This Row],[ATUAL]])</f>
        <v>0</v>
      </c>
      <c r="R118" s="119" t="n">
        <f aca="false">SUMIFS(tabela_registros[VALOR],tabela_registros[MÊS],$AE$1,tabela_registros[DIA],investirrendafixaconsolidadomar[[#Headers],[14]],tabela_registros[REGISTRO],DADOS!$N$5,tabela_registros[TIPO],DADOS!$AB$3,tabela_registros[CATEGORIA],investirrendafixaconsolidadomar[[#This Row],[ATUAL]])</f>
        <v>0</v>
      </c>
      <c r="S118" s="119" t="n">
        <f aca="false">SUMIFS(tabela_registros[VALOR],tabela_registros[MÊS],$AE$1,tabela_registros[DIA],investirrendafixaconsolidadomar[[#Headers],[15]],tabela_registros[REGISTRO],DADOS!$N$5,tabela_registros[TIPO],DADOS!$AB$3,tabela_registros[CATEGORIA],investirrendafixaconsolidadomar[[#This Row],[ATUAL]])</f>
        <v>0</v>
      </c>
      <c r="T118" s="119" t="n">
        <f aca="false">SUMIFS(tabela_registros[VALOR],tabela_registros[MÊS],$AE$1,tabela_registros[DIA],investirrendafixaconsolidadomar[[#Headers],[16]],tabela_registros[REGISTRO],DADOS!$N$5,tabela_registros[TIPO],DADOS!$AB$3,tabela_registros[CATEGORIA],investirrendafixaconsolidadomar[[#This Row],[ATUAL]])</f>
        <v>0</v>
      </c>
      <c r="U118" s="119" t="n">
        <f aca="false">SUMIFS(tabela_registros[VALOR],tabela_registros[MÊS],$AE$1,tabela_registros[DIA],investirrendafixaconsolidadomar[[#Headers],[17]],tabela_registros[REGISTRO],DADOS!$N$5,tabela_registros[TIPO],DADOS!$AB$3,tabela_registros[CATEGORIA],investirrendafixaconsolidadomar[[#This Row],[ATUAL]])</f>
        <v>0</v>
      </c>
      <c r="V118" s="119" t="n">
        <f aca="false">SUMIFS(tabela_registros[VALOR],tabela_registros[MÊS],$AE$1,tabela_registros[DIA],investirrendafixaconsolidadomar[[#Headers],[18]],tabela_registros[REGISTRO],DADOS!$N$5,tabela_registros[TIPO],DADOS!$AB$3,tabela_registros[CATEGORIA],investirrendafixaconsolidadomar[[#This Row],[ATUAL]])</f>
        <v>0</v>
      </c>
      <c r="W118" s="119" t="n">
        <f aca="false">SUMIFS(tabela_registros[VALOR],tabela_registros[MÊS],$AE$1,tabela_registros[DIA],investirrendafixaconsolidadomar[[#Headers],[19]],tabela_registros[REGISTRO],DADOS!$N$5,tabela_registros[TIPO],DADOS!$AB$3,tabela_registros[CATEGORIA],investirrendafixaconsolidadomar[[#This Row],[ATUAL]])</f>
        <v>0</v>
      </c>
      <c r="X118" s="119" t="n">
        <f aca="false">SUMIFS(tabela_registros[VALOR],tabela_registros[MÊS],$AE$1,tabela_registros[DIA],investirrendafixaconsolidadomar[[#Headers],[20]],tabela_registros[REGISTRO],DADOS!$N$5,tabela_registros[TIPO],DADOS!$AB$3,tabela_registros[CATEGORIA],investirrendafixaconsolidadomar[[#This Row],[ATUAL]])</f>
        <v>0</v>
      </c>
      <c r="Y118" s="119" t="n">
        <f aca="false">SUMIFS(tabela_registros[VALOR],tabela_registros[MÊS],$AE$1,tabela_registros[DIA],investirrendafixaconsolidadomar[[#Headers],[21]],tabela_registros[REGISTRO],DADOS!$N$5,tabela_registros[TIPO],DADOS!$AB$3,tabela_registros[CATEGORIA],investirrendafixaconsolidadomar[[#This Row],[ATUAL]])</f>
        <v>0</v>
      </c>
      <c r="Z118" s="119" t="n">
        <f aca="false">SUMIFS(tabela_registros[VALOR],tabela_registros[MÊS],$AE$1,tabela_registros[DIA],investirrendafixaconsolidadomar[[#Headers],[22]],tabela_registros[REGISTRO],DADOS!$N$5,tabela_registros[TIPO],DADOS!$AB$3,tabela_registros[CATEGORIA],investirrendafixaconsolidadomar[[#This Row],[ATUAL]])</f>
        <v>0</v>
      </c>
      <c r="AA118" s="119" t="n">
        <f aca="false">SUMIFS(tabela_registros[VALOR],tabela_registros[MÊS],$AE$1,tabela_registros[DIA],investirrendafixaconsolidadomar[[#Headers],[23]],tabela_registros[REGISTRO],DADOS!$N$5,tabela_registros[TIPO],DADOS!$AB$3,tabela_registros[CATEGORIA],investirrendafixaconsolidadomar[[#This Row],[ATUAL]])</f>
        <v>0</v>
      </c>
      <c r="AB118" s="119" t="n">
        <f aca="false">SUMIFS(tabela_registros[VALOR],tabela_registros[MÊS],$AE$1,tabela_registros[DIA],investirrendafixaconsolidadomar[[#Headers],[24]],tabela_registros[REGISTRO],DADOS!$N$5,tabela_registros[TIPO],DADOS!$AB$3,tabela_registros[CATEGORIA],investirrendafixaconsolidadomar[[#This Row],[ATUAL]])</f>
        <v>0</v>
      </c>
      <c r="AC118" s="119" t="n">
        <f aca="false">SUMIFS(tabela_registros[VALOR],tabela_registros[MÊS],$AE$1,tabela_registros[DIA],investirrendafixaconsolidadomar[[#Headers],[25]],tabela_registros[REGISTRO],DADOS!$N$5,tabela_registros[TIPO],DADOS!$AB$3,tabela_registros[CATEGORIA],investirrendafixaconsolidadomar[[#This Row],[ATUAL]])</f>
        <v>0</v>
      </c>
      <c r="AD118" s="119" t="n">
        <f aca="false">SUMIFS(tabela_registros[VALOR],tabela_registros[MÊS],$AE$1,tabela_registros[DIA],investirrendafixaconsolidadomar[[#Headers],[26]],tabela_registros[REGISTRO],DADOS!$N$5,tabela_registros[TIPO],DADOS!$AB$3,tabela_registros[CATEGORIA],investirrendafixaconsolidadomar[[#This Row],[ATUAL]])</f>
        <v>0</v>
      </c>
      <c r="AE118" s="119" t="n">
        <f aca="false">SUMIFS(tabela_registros[VALOR],tabela_registros[MÊS],$AE$1,tabela_registros[DIA],investirrendafixaconsolidadomar[[#Headers],[27]],tabela_registros[REGISTRO],DADOS!$N$5,tabela_registros[TIPO],DADOS!$AB$3,tabela_registros[CATEGORIA],investirrendafixaconsolidadomar[[#This Row],[ATUAL]])</f>
        <v>0</v>
      </c>
      <c r="AF118" s="119" t="n">
        <f aca="false">SUMIFS(tabela_registros[VALOR],tabela_registros[MÊS],$AE$1,tabela_registros[DIA],investirrendafixaconsolidadomar[[#Headers],[28]],tabela_registros[REGISTRO],DADOS!$N$5,tabela_registros[TIPO],DADOS!$AB$3,tabela_registros[CATEGORIA],investirrendafixaconsolidadomar[[#This Row],[ATUAL]])</f>
        <v>0</v>
      </c>
      <c r="AG118" s="119" t="n">
        <f aca="false">SUMIFS(tabela_registros[VALOR],tabela_registros[MÊS],$AE$1,tabela_registros[DIA],investirrendafixaconsolidadomar[[#Headers],[29]],tabela_registros[REGISTRO],DADOS!$N$5,tabela_registros[TIPO],DADOS!$AB$3,tabela_registros[CATEGORIA],investirrendafixaconsolidadomar[[#This Row],[ATUAL]])</f>
        <v>0</v>
      </c>
      <c r="AH118" s="119" t="n">
        <f aca="false">SUMIFS(tabela_registros[VALOR],tabela_registros[MÊS],$AE$1,tabela_registros[DIA],investirrendafixaconsolidadomar[[#Headers],[30]],tabela_registros[REGISTRO],DADOS!$N$5,tabela_registros[TIPO],DADOS!$AB$3,tabela_registros[CATEGORIA],investirrendafixaconsolidadomar[[#This Row],[ATUAL]])</f>
        <v>0</v>
      </c>
      <c r="AI118" s="217" t="n">
        <f aca="false">SUMIFS(tabela_registros[VALOR],tabela_registros[MÊS],$AE$1,tabela_registros[DIA],investirrendafixaconsolidadomar[[#Headers],[31]],tabela_registros[REGISTRO],DADOS!$N$5,tabela_registros[TIPO],DADOS!$AB$3,tabela_registros[CATEGORIA],investirrendafixaconsolidadomar[[#This Row],[ATUAL]])</f>
        <v>0</v>
      </c>
      <c r="AJ118" s="149" t="n">
        <f aca="false">SUM(investirrendafixaconsolidadomar[[#This Row],[1]:[31]])</f>
        <v>0</v>
      </c>
      <c r="AK118" s="165"/>
    </row>
    <row r="119" customFormat="false" ht="19.5" hidden="false" customHeight="true" outlineLevel="0" collapsed="false">
      <c r="B119" s="143"/>
      <c r="C119" s="144" t="str">
        <f aca="false">DADOS!$AD$9</f>
        <v>📝 LCA</v>
      </c>
      <c r="D119" s="145" t="str">
        <f aca="false">IF(investirrendafixaconsolidadomar[[#This Row],[TOTAL (R$)]]=0,"",IF(OR(investirrendafixaconsolidadomar[[#This Row],[TOTAL (R$)]]=LARGE($AJ$113:$AJ$122,1),investirrendafixaconsolidadomar[[#This Row],[TOTAL (R$)]]=LARGE($AJ$113:$AJ$122,2)),DADOS!$I$10,""))</f>
        <v/>
      </c>
      <c r="E119" s="148" t="n">
        <f aca="false">SUMIFS(tabela_registros[VALOR],tabela_registros[MÊS],$AE$1,tabela_registros[DIA],investirrendafixaconsolidadomar[[#Headers],[1]],tabela_registros[REGISTRO],DADOS!$N$5,tabela_registros[TIPO],DADOS!$AB$3,tabela_registros[CATEGORIA],investirrendafixaconsolidadomar[[#This Row],[ATUAL]])</f>
        <v>0</v>
      </c>
      <c r="F119" s="119" t="n">
        <f aca="false">SUMIFS(tabela_registros[VALOR],tabela_registros[MÊS],$AE$1,tabela_registros[DIA],investirrendafixaconsolidadomar[[#Headers],[2]],tabela_registros[REGISTRO],DADOS!$N$5,tabela_registros[TIPO],DADOS!$AB$3,tabela_registros[CATEGORIA],investirrendafixaconsolidadomar[[#This Row],[ATUAL]])</f>
        <v>0</v>
      </c>
      <c r="G119" s="119" t="n">
        <f aca="false">SUMIFS(tabela_registros[VALOR],tabela_registros[MÊS],$AE$1,tabela_registros[DIA],investirrendafixaconsolidadomar[[#Headers],[3]],tabela_registros[REGISTRO],DADOS!$N$5,tabela_registros[TIPO],DADOS!$AB$3,tabela_registros[CATEGORIA],investirrendafixaconsolidadomar[[#This Row],[ATUAL]])</f>
        <v>0</v>
      </c>
      <c r="H119" s="119" t="n">
        <f aca="false">SUMIFS(tabela_registros[VALOR],tabela_registros[MÊS],$AE$1,tabela_registros[DIA],investirrendafixaconsolidadomar[[#Headers],[4]],tabela_registros[REGISTRO],DADOS!$N$5,tabela_registros[TIPO],DADOS!$AB$3,tabela_registros[CATEGORIA],investirrendafixaconsolidadomar[[#This Row],[ATUAL]])</f>
        <v>0</v>
      </c>
      <c r="I119" s="119" t="n">
        <f aca="false">SUMIFS(tabela_registros[VALOR],tabela_registros[MÊS],$AE$1,tabela_registros[DIA],investirrendafixaconsolidadomar[[#Headers],[5]],tabela_registros[REGISTRO],DADOS!$N$5,tabela_registros[TIPO],DADOS!$AB$3,tabela_registros[CATEGORIA],investirrendafixaconsolidadomar[[#This Row],[ATUAL]])</f>
        <v>0</v>
      </c>
      <c r="J119" s="119" t="n">
        <f aca="false">SUMIFS(tabela_registros[VALOR],tabela_registros[MÊS],$AE$1,tabela_registros[DIA],investirrendafixaconsolidadomar[[#Headers],[6]],tabela_registros[REGISTRO],DADOS!$N$5,tabela_registros[TIPO],DADOS!$AB$3,tabela_registros[CATEGORIA],investirrendafixaconsolidadomar[[#This Row],[ATUAL]])</f>
        <v>0</v>
      </c>
      <c r="K119" s="119" t="n">
        <f aca="false">SUMIFS(tabela_registros[VALOR],tabela_registros[MÊS],$AE$1,tabela_registros[DIA],investirrendafixaconsolidadomar[[#Headers],[7]],tabela_registros[REGISTRO],DADOS!$N$5,tabela_registros[TIPO],DADOS!$AB$3,tabela_registros[CATEGORIA],investirrendafixaconsolidadomar[[#This Row],[ATUAL]])</f>
        <v>0</v>
      </c>
      <c r="L119" s="119" t="n">
        <f aca="false">SUMIFS(tabela_registros[VALOR],tabela_registros[MÊS],$AE$1,tabela_registros[DIA],investirrendafixaconsolidadomar[[#Headers],[8]],tabela_registros[REGISTRO],DADOS!$N$5,tabela_registros[TIPO],DADOS!$AB$3,tabela_registros[CATEGORIA],investirrendafixaconsolidadomar[[#This Row],[ATUAL]])</f>
        <v>0</v>
      </c>
      <c r="M119" s="119" t="n">
        <f aca="false">SUMIFS(tabela_registros[VALOR],tabela_registros[MÊS],$AE$1,tabela_registros[DIA],investirrendafixaconsolidadomar[[#Headers],[9]],tabela_registros[REGISTRO],DADOS!$N$5,tabela_registros[TIPO],DADOS!$AB$3,tabela_registros[CATEGORIA],investirrendafixaconsolidadomar[[#This Row],[ATUAL]])</f>
        <v>0</v>
      </c>
      <c r="N119" s="119" t="n">
        <f aca="false">SUMIFS(tabela_registros[VALOR],tabela_registros[MÊS],$AE$1,tabela_registros[DIA],investirrendafixaconsolidadomar[[#Headers],[10]],tabela_registros[REGISTRO],DADOS!$N$5,tabela_registros[TIPO],DADOS!$AB$3,tabela_registros[CATEGORIA],investirrendafixaconsolidadomar[[#This Row],[ATUAL]])</f>
        <v>0</v>
      </c>
      <c r="O119" s="119" t="n">
        <f aca="false">SUMIFS(tabela_registros[VALOR],tabela_registros[MÊS],$AE$1,tabela_registros[DIA],investirrendafixaconsolidadomar[[#Headers],[11]],tabela_registros[REGISTRO],DADOS!$N$5,tabela_registros[TIPO],DADOS!$AB$3,tabela_registros[CATEGORIA],investirrendafixaconsolidadomar[[#This Row],[ATUAL]])</f>
        <v>0</v>
      </c>
      <c r="P119" s="119" t="n">
        <f aca="false">SUMIFS(tabela_registros[VALOR],tabela_registros[MÊS],$AE$1,tabela_registros[DIA],investirrendafixaconsolidadomar[[#Headers],[12]],tabela_registros[REGISTRO],DADOS!$N$5,tabela_registros[TIPO],DADOS!$AB$3,tabela_registros[CATEGORIA],investirrendafixaconsolidadomar[[#This Row],[ATUAL]])</f>
        <v>0</v>
      </c>
      <c r="Q119" s="119" t="n">
        <f aca="false">SUMIFS(tabela_registros[VALOR],tabela_registros[MÊS],$AE$1,tabela_registros[DIA],investirrendafixaconsolidadomar[[#Headers],[13]],tabela_registros[REGISTRO],DADOS!$N$5,tabela_registros[TIPO],DADOS!$AB$3,tabela_registros[CATEGORIA],investirrendafixaconsolidadomar[[#This Row],[ATUAL]])</f>
        <v>0</v>
      </c>
      <c r="R119" s="119" t="n">
        <f aca="false">SUMIFS(tabela_registros[VALOR],tabela_registros[MÊS],$AE$1,tabela_registros[DIA],investirrendafixaconsolidadomar[[#Headers],[14]],tabela_registros[REGISTRO],DADOS!$N$5,tabela_registros[TIPO],DADOS!$AB$3,tabela_registros[CATEGORIA],investirrendafixaconsolidadomar[[#This Row],[ATUAL]])</f>
        <v>0</v>
      </c>
      <c r="S119" s="119" t="n">
        <f aca="false">SUMIFS(tabela_registros[VALOR],tabela_registros[MÊS],$AE$1,tabela_registros[DIA],investirrendafixaconsolidadomar[[#Headers],[15]],tabela_registros[REGISTRO],DADOS!$N$5,tabela_registros[TIPO],DADOS!$AB$3,tabela_registros[CATEGORIA],investirrendafixaconsolidadomar[[#This Row],[ATUAL]])</f>
        <v>0</v>
      </c>
      <c r="T119" s="119" t="n">
        <f aca="false">SUMIFS(tabela_registros[VALOR],tabela_registros[MÊS],$AE$1,tabela_registros[DIA],investirrendafixaconsolidadomar[[#Headers],[16]],tabela_registros[REGISTRO],DADOS!$N$5,tabela_registros[TIPO],DADOS!$AB$3,tabela_registros[CATEGORIA],investirrendafixaconsolidadomar[[#This Row],[ATUAL]])</f>
        <v>0</v>
      </c>
      <c r="U119" s="119" t="n">
        <f aca="false">SUMIFS(tabela_registros[VALOR],tabela_registros[MÊS],$AE$1,tabela_registros[DIA],investirrendafixaconsolidadomar[[#Headers],[17]],tabela_registros[REGISTRO],DADOS!$N$5,tabela_registros[TIPO],DADOS!$AB$3,tabela_registros[CATEGORIA],investirrendafixaconsolidadomar[[#This Row],[ATUAL]])</f>
        <v>0</v>
      </c>
      <c r="V119" s="119" t="n">
        <f aca="false">SUMIFS(tabela_registros[VALOR],tabela_registros[MÊS],$AE$1,tabela_registros[DIA],investirrendafixaconsolidadomar[[#Headers],[18]],tabela_registros[REGISTRO],DADOS!$N$5,tabela_registros[TIPO],DADOS!$AB$3,tabela_registros[CATEGORIA],investirrendafixaconsolidadomar[[#This Row],[ATUAL]])</f>
        <v>0</v>
      </c>
      <c r="W119" s="119" t="n">
        <f aca="false">SUMIFS(tabela_registros[VALOR],tabela_registros[MÊS],$AE$1,tabela_registros[DIA],investirrendafixaconsolidadomar[[#Headers],[19]],tabela_registros[REGISTRO],DADOS!$N$5,tabela_registros[TIPO],DADOS!$AB$3,tabela_registros[CATEGORIA],investirrendafixaconsolidadomar[[#This Row],[ATUAL]])</f>
        <v>0</v>
      </c>
      <c r="X119" s="119" t="n">
        <f aca="false">SUMIFS(tabela_registros[VALOR],tabela_registros[MÊS],$AE$1,tabela_registros[DIA],investirrendafixaconsolidadomar[[#Headers],[20]],tabela_registros[REGISTRO],DADOS!$N$5,tabela_registros[TIPO],DADOS!$AB$3,tabela_registros[CATEGORIA],investirrendafixaconsolidadomar[[#This Row],[ATUAL]])</f>
        <v>0</v>
      </c>
      <c r="Y119" s="119" t="n">
        <f aca="false">SUMIFS(tabela_registros[VALOR],tabela_registros[MÊS],$AE$1,tabela_registros[DIA],investirrendafixaconsolidadomar[[#Headers],[21]],tabela_registros[REGISTRO],DADOS!$N$5,tabela_registros[TIPO],DADOS!$AB$3,tabela_registros[CATEGORIA],investirrendafixaconsolidadomar[[#This Row],[ATUAL]])</f>
        <v>0</v>
      </c>
      <c r="Z119" s="119" t="n">
        <f aca="false">SUMIFS(tabela_registros[VALOR],tabela_registros[MÊS],$AE$1,tabela_registros[DIA],investirrendafixaconsolidadomar[[#Headers],[22]],tabela_registros[REGISTRO],DADOS!$N$5,tabela_registros[TIPO],DADOS!$AB$3,tabela_registros[CATEGORIA],investirrendafixaconsolidadomar[[#This Row],[ATUAL]])</f>
        <v>0</v>
      </c>
      <c r="AA119" s="119" t="n">
        <f aca="false">SUMIFS(tabela_registros[VALOR],tabela_registros[MÊS],$AE$1,tabela_registros[DIA],investirrendafixaconsolidadomar[[#Headers],[23]],tabela_registros[REGISTRO],DADOS!$N$5,tabela_registros[TIPO],DADOS!$AB$3,tabela_registros[CATEGORIA],investirrendafixaconsolidadomar[[#This Row],[ATUAL]])</f>
        <v>0</v>
      </c>
      <c r="AB119" s="119" t="n">
        <f aca="false">SUMIFS(tabela_registros[VALOR],tabela_registros[MÊS],$AE$1,tabela_registros[DIA],investirrendafixaconsolidadomar[[#Headers],[24]],tabela_registros[REGISTRO],DADOS!$N$5,tabela_registros[TIPO],DADOS!$AB$3,tabela_registros[CATEGORIA],investirrendafixaconsolidadomar[[#This Row],[ATUAL]])</f>
        <v>0</v>
      </c>
      <c r="AC119" s="119" t="n">
        <f aca="false">SUMIFS(tabela_registros[VALOR],tabela_registros[MÊS],$AE$1,tabela_registros[DIA],investirrendafixaconsolidadomar[[#Headers],[25]],tabela_registros[REGISTRO],DADOS!$N$5,tabela_registros[TIPO],DADOS!$AB$3,tabela_registros[CATEGORIA],investirrendafixaconsolidadomar[[#This Row],[ATUAL]])</f>
        <v>0</v>
      </c>
      <c r="AD119" s="119" t="n">
        <f aca="false">SUMIFS(tabela_registros[VALOR],tabela_registros[MÊS],$AE$1,tabela_registros[DIA],investirrendafixaconsolidadomar[[#Headers],[26]],tabela_registros[REGISTRO],DADOS!$N$5,tabela_registros[TIPO],DADOS!$AB$3,tabela_registros[CATEGORIA],investirrendafixaconsolidadomar[[#This Row],[ATUAL]])</f>
        <v>0</v>
      </c>
      <c r="AE119" s="119" t="n">
        <f aca="false">SUMIFS(tabela_registros[VALOR],tabela_registros[MÊS],$AE$1,tabela_registros[DIA],investirrendafixaconsolidadomar[[#Headers],[27]],tabela_registros[REGISTRO],DADOS!$N$5,tabela_registros[TIPO],DADOS!$AB$3,tabela_registros[CATEGORIA],investirrendafixaconsolidadomar[[#This Row],[ATUAL]])</f>
        <v>0</v>
      </c>
      <c r="AF119" s="119" t="n">
        <f aca="false">SUMIFS(tabela_registros[VALOR],tabela_registros[MÊS],$AE$1,tabela_registros[DIA],investirrendafixaconsolidadomar[[#Headers],[28]],tabela_registros[REGISTRO],DADOS!$N$5,tabela_registros[TIPO],DADOS!$AB$3,tabela_registros[CATEGORIA],investirrendafixaconsolidadomar[[#This Row],[ATUAL]])</f>
        <v>0</v>
      </c>
      <c r="AG119" s="119" t="n">
        <f aca="false">SUMIFS(tabela_registros[VALOR],tabela_registros[MÊS],$AE$1,tabela_registros[DIA],investirrendafixaconsolidadomar[[#Headers],[29]],tabela_registros[REGISTRO],DADOS!$N$5,tabela_registros[TIPO],DADOS!$AB$3,tabela_registros[CATEGORIA],investirrendafixaconsolidadomar[[#This Row],[ATUAL]])</f>
        <v>0</v>
      </c>
      <c r="AH119" s="119" t="n">
        <f aca="false">SUMIFS(tabela_registros[VALOR],tabela_registros[MÊS],$AE$1,tabela_registros[DIA],investirrendafixaconsolidadomar[[#Headers],[30]],tabela_registros[REGISTRO],DADOS!$N$5,tabela_registros[TIPO],DADOS!$AB$3,tabela_registros[CATEGORIA],investirrendafixaconsolidadomar[[#This Row],[ATUAL]])</f>
        <v>0</v>
      </c>
      <c r="AI119" s="217" t="n">
        <f aca="false">SUMIFS(tabela_registros[VALOR],tabela_registros[MÊS],$AE$1,tabela_registros[DIA],investirrendafixaconsolidadomar[[#Headers],[31]],tabela_registros[REGISTRO],DADOS!$N$5,tabela_registros[TIPO],DADOS!$AB$3,tabela_registros[CATEGORIA],investirrendafixaconsolidadomar[[#This Row],[ATUAL]])</f>
        <v>0</v>
      </c>
      <c r="AJ119" s="149" t="n">
        <f aca="false">SUM(investirrendafixaconsolidadomar[[#This Row],[1]:[31]])</f>
        <v>0</v>
      </c>
      <c r="AK119" s="165"/>
    </row>
    <row r="120" customFormat="false" ht="19.5" hidden="false" customHeight="true" outlineLevel="0" collapsed="false">
      <c r="B120" s="143"/>
      <c r="C120" s="144" t="str">
        <f aca="false">DADOS!$AD$10</f>
        <v>📝 LCI</v>
      </c>
      <c r="D120" s="145" t="str">
        <f aca="false">IF(investirrendafixaconsolidadomar[[#This Row],[TOTAL (R$)]]=0,"",IF(OR(investirrendafixaconsolidadomar[[#This Row],[TOTAL (R$)]]=LARGE($AJ$113:$AJ$122,1),investirrendafixaconsolidadomar[[#This Row],[TOTAL (R$)]]=LARGE($AJ$113:$AJ$122,2)),DADOS!$I$10,""))</f>
        <v/>
      </c>
      <c r="E120" s="148" t="n">
        <f aca="false">SUMIFS(tabela_registros[VALOR],tabela_registros[MÊS],$AE$1,tabela_registros[DIA],investirrendafixaconsolidadomar[[#Headers],[1]],tabela_registros[REGISTRO],DADOS!$N$5,tabela_registros[TIPO],DADOS!$AB$3,tabela_registros[CATEGORIA],investirrendafixaconsolidadomar[[#This Row],[ATUAL]])</f>
        <v>0</v>
      </c>
      <c r="F120" s="119" t="n">
        <f aca="false">SUMIFS(tabela_registros[VALOR],tabela_registros[MÊS],$AE$1,tabela_registros[DIA],investirrendafixaconsolidadomar[[#Headers],[2]],tabela_registros[REGISTRO],DADOS!$N$5,tabela_registros[TIPO],DADOS!$AB$3,tabela_registros[CATEGORIA],investirrendafixaconsolidadomar[[#This Row],[ATUAL]])</f>
        <v>0</v>
      </c>
      <c r="G120" s="119" t="n">
        <f aca="false">SUMIFS(tabela_registros[VALOR],tabela_registros[MÊS],$AE$1,tabela_registros[DIA],investirrendafixaconsolidadomar[[#Headers],[3]],tabela_registros[REGISTRO],DADOS!$N$5,tabela_registros[TIPO],DADOS!$AB$3,tabela_registros[CATEGORIA],investirrendafixaconsolidadomar[[#This Row],[ATUAL]])</f>
        <v>0</v>
      </c>
      <c r="H120" s="119" t="n">
        <f aca="false">SUMIFS(tabela_registros[VALOR],tabela_registros[MÊS],$AE$1,tabela_registros[DIA],investirrendafixaconsolidadomar[[#Headers],[4]],tabela_registros[REGISTRO],DADOS!$N$5,tabela_registros[TIPO],DADOS!$AB$3,tabela_registros[CATEGORIA],investirrendafixaconsolidadomar[[#This Row],[ATUAL]])</f>
        <v>0</v>
      </c>
      <c r="I120" s="119" t="n">
        <f aca="false">SUMIFS(tabela_registros[VALOR],tabela_registros[MÊS],$AE$1,tabela_registros[DIA],investirrendafixaconsolidadomar[[#Headers],[5]],tabela_registros[REGISTRO],DADOS!$N$5,tabela_registros[TIPO],DADOS!$AB$3,tabela_registros[CATEGORIA],investirrendafixaconsolidadomar[[#This Row],[ATUAL]])</f>
        <v>0</v>
      </c>
      <c r="J120" s="119" t="n">
        <f aca="false">SUMIFS(tabela_registros[VALOR],tabela_registros[MÊS],$AE$1,tabela_registros[DIA],investirrendafixaconsolidadomar[[#Headers],[6]],tabela_registros[REGISTRO],DADOS!$N$5,tabela_registros[TIPO],DADOS!$AB$3,tabela_registros[CATEGORIA],investirrendafixaconsolidadomar[[#This Row],[ATUAL]])</f>
        <v>0</v>
      </c>
      <c r="K120" s="119" t="n">
        <f aca="false">SUMIFS(tabela_registros[VALOR],tabela_registros[MÊS],$AE$1,tabela_registros[DIA],investirrendafixaconsolidadomar[[#Headers],[7]],tabela_registros[REGISTRO],DADOS!$N$5,tabela_registros[TIPO],DADOS!$AB$3,tabela_registros[CATEGORIA],investirrendafixaconsolidadomar[[#This Row],[ATUAL]])</f>
        <v>0</v>
      </c>
      <c r="L120" s="119" t="n">
        <f aca="false">SUMIFS(tabela_registros[VALOR],tabela_registros[MÊS],$AE$1,tabela_registros[DIA],investirrendafixaconsolidadomar[[#Headers],[8]],tabela_registros[REGISTRO],DADOS!$N$5,tabela_registros[TIPO],DADOS!$AB$3,tabela_registros[CATEGORIA],investirrendafixaconsolidadomar[[#This Row],[ATUAL]])</f>
        <v>0</v>
      </c>
      <c r="M120" s="119" t="n">
        <f aca="false">SUMIFS(tabela_registros[VALOR],tabela_registros[MÊS],$AE$1,tabela_registros[DIA],investirrendafixaconsolidadomar[[#Headers],[9]],tabela_registros[REGISTRO],DADOS!$N$5,tabela_registros[TIPO],DADOS!$AB$3,tabela_registros[CATEGORIA],investirrendafixaconsolidadomar[[#This Row],[ATUAL]])</f>
        <v>0</v>
      </c>
      <c r="N120" s="119" t="n">
        <f aca="false">SUMIFS(tabela_registros[VALOR],tabela_registros[MÊS],$AE$1,tabela_registros[DIA],investirrendafixaconsolidadomar[[#Headers],[10]],tabela_registros[REGISTRO],DADOS!$N$5,tabela_registros[TIPO],DADOS!$AB$3,tabela_registros[CATEGORIA],investirrendafixaconsolidadomar[[#This Row],[ATUAL]])</f>
        <v>0</v>
      </c>
      <c r="O120" s="119" t="n">
        <f aca="false">SUMIFS(tabela_registros[VALOR],tabela_registros[MÊS],$AE$1,tabela_registros[DIA],investirrendafixaconsolidadomar[[#Headers],[11]],tabela_registros[REGISTRO],DADOS!$N$5,tabela_registros[TIPO],DADOS!$AB$3,tabela_registros[CATEGORIA],investirrendafixaconsolidadomar[[#This Row],[ATUAL]])</f>
        <v>0</v>
      </c>
      <c r="P120" s="119" t="n">
        <f aca="false">SUMIFS(tabela_registros[VALOR],tabela_registros[MÊS],$AE$1,tabela_registros[DIA],investirrendafixaconsolidadomar[[#Headers],[12]],tabela_registros[REGISTRO],DADOS!$N$5,tabela_registros[TIPO],DADOS!$AB$3,tabela_registros[CATEGORIA],investirrendafixaconsolidadomar[[#This Row],[ATUAL]])</f>
        <v>0</v>
      </c>
      <c r="Q120" s="119" t="n">
        <f aca="false">SUMIFS(tabela_registros[VALOR],tabela_registros[MÊS],$AE$1,tabela_registros[DIA],investirrendafixaconsolidadomar[[#Headers],[13]],tabela_registros[REGISTRO],DADOS!$N$5,tabela_registros[TIPO],DADOS!$AB$3,tabela_registros[CATEGORIA],investirrendafixaconsolidadomar[[#This Row],[ATUAL]])</f>
        <v>0</v>
      </c>
      <c r="R120" s="119" t="n">
        <f aca="false">SUMIFS(tabela_registros[VALOR],tabela_registros[MÊS],$AE$1,tabela_registros[DIA],investirrendafixaconsolidadomar[[#Headers],[14]],tabela_registros[REGISTRO],DADOS!$N$5,tabela_registros[TIPO],DADOS!$AB$3,tabela_registros[CATEGORIA],investirrendafixaconsolidadomar[[#This Row],[ATUAL]])</f>
        <v>0</v>
      </c>
      <c r="S120" s="119" t="n">
        <f aca="false">SUMIFS(tabela_registros[VALOR],tabela_registros[MÊS],$AE$1,tabela_registros[DIA],investirrendafixaconsolidadomar[[#Headers],[15]],tabela_registros[REGISTRO],DADOS!$N$5,tabela_registros[TIPO],DADOS!$AB$3,tabela_registros[CATEGORIA],investirrendafixaconsolidadomar[[#This Row],[ATUAL]])</f>
        <v>0</v>
      </c>
      <c r="T120" s="119" t="n">
        <f aca="false">SUMIFS(tabela_registros[VALOR],tabela_registros[MÊS],$AE$1,tabela_registros[DIA],investirrendafixaconsolidadomar[[#Headers],[16]],tabela_registros[REGISTRO],DADOS!$N$5,tabela_registros[TIPO],DADOS!$AB$3,tabela_registros[CATEGORIA],investirrendafixaconsolidadomar[[#This Row],[ATUAL]])</f>
        <v>0</v>
      </c>
      <c r="U120" s="119" t="n">
        <f aca="false">SUMIFS(tabela_registros[VALOR],tabela_registros[MÊS],$AE$1,tabela_registros[DIA],investirrendafixaconsolidadomar[[#Headers],[17]],tabela_registros[REGISTRO],DADOS!$N$5,tabela_registros[TIPO],DADOS!$AB$3,tabela_registros[CATEGORIA],investirrendafixaconsolidadomar[[#This Row],[ATUAL]])</f>
        <v>0</v>
      </c>
      <c r="V120" s="119" t="n">
        <f aca="false">SUMIFS(tabela_registros[VALOR],tabela_registros[MÊS],$AE$1,tabela_registros[DIA],investirrendafixaconsolidadomar[[#Headers],[18]],tabela_registros[REGISTRO],DADOS!$N$5,tabela_registros[TIPO],DADOS!$AB$3,tabela_registros[CATEGORIA],investirrendafixaconsolidadomar[[#This Row],[ATUAL]])</f>
        <v>0</v>
      </c>
      <c r="W120" s="119" t="n">
        <f aca="false">SUMIFS(tabela_registros[VALOR],tabela_registros[MÊS],$AE$1,tabela_registros[DIA],investirrendafixaconsolidadomar[[#Headers],[19]],tabela_registros[REGISTRO],DADOS!$N$5,tabela_registros[TIPO],DADOS!$AB$3,tabela_registros[CATEGORIA],investirrendafixaconsolidadomar[[#This Row],[ATUAL]])</f>
        <v>0</v>
      </c>
      <c r="X120" s="119" t="n">
        <f aca="false">SUMIFS(tabela_registros[VALOR],tabela_registros[MÊS],$AE$1,tabela_registros[DIA],investirrendafixaconsolidadomar[[#Headers],[20]],tabela_registros[REGISTRO],DADOS!$N$5,tabela_registros[TIPO],DADOS!$AB$3,tabela_registros[CATEGORIA],investirrendafixaconsolidadomar[[#This Row],[ATUAL]])</f>
        <v>0</v>
      </c>
      <c r="Y120" s="119" t="n">
        <f aca="false">SUMIFS(tabela_registros[VALOR],tabela_registros[MÊS],$AE$1,tabela_registros[DIA],investirrendafixaconsolidadomar[[#Headers],[21]],tabela_registros[REGISTRO],DADOS!$N$5,tabela_registros[TIPO],DADOS!$AB$3,tabela_registros[CATEGORIA],investirrendafixaconsolidadomar[[#This Row],[ATUAL]])</f>
        <v>0</v>
      </c>
      <c r="Z120" s="119" t="n">
        <f aca="false">SUMIFS(tabela_registros[VALOR],tabela_registros[MÊS],$AE$1,tabela_registros[DIA],investirrendafixaconsolidadomar[[#Headers],[22]],tabela_registros[REGISTRO],DADOS!$N$5,tabela_registros[TIPO],DADOS!$AB$3,tabela_registros[CATEGORIA],investirrendafixaconsolidadomar[[#This Row],[ATUAL]])</f>
        <v>0</v>
      </c>
      <c r="AA120" s="119" t="n">
        <f aca="false">SUMIFS(tabela_registros[VALOR],tabela_registros[MÊS],$AE$1,tabela_registros[DIA],investirrendafixaconsolidadomar[[#Headers],[23]],tabela_registros[REGISTRO],DADOS!$N$5,tabela_registros[TIPO],DADOS!$AB$3,tabela_registros[CATEGORIA],investirrendafixaconsolidadomar[[#This Row],[ATUAL]])</f>
        <v>0</v>
      </c>
      <c r="AB120" s="119" t="n">
        <f aca="false">SUMIFS(tabela_registros[VALOR],tabela_registros[MÊS],$AE$1,tabela_registros[DIA],investirrendafixaconsolidadomar[[#Headers],[24]],tabela_registros[REGISTRO],DADOS!$N$5,tabela_registros[TIPO],DADOS!$AB$3,tabela_registros[CATEGORIA],investirrendafixaconsolidadomar[[#This Row],[ATUAL]])</f>
        <v>0</v>
      </c>
      <c r="AC120" s="119" t="n">
        <f aca="false">SUMIFS(tabela_registros[VALOR],tabela_registros[MÊS],$AE$1,tabela_registros[DIA],investirrendafixaconsolidadomar[[#Headers],[25]],tabela_registros[REGISTRO],DADOS!$N$5,tabela_registros[TIPO],DADOS!$AB$3,tabela_registros[CATEGORIA],investirrendafixaconsolidadomar[[#This Row],[ATUAL]])</f>
        <v>0</v>
      </c>
      <c r="AD120" s="119" t="n">
        <f aca="false">SUMIFS(tabela_registros[VALOR],tabela_registros[MÊS],$AE$1,tabela_registros[DIA],investirrendafixaconsolidadomar[[#Headers],[26]],tabela_registros[REGISTRO],DADOS!$N$5,tabela_registros[TIPO],DADOS!$AB$3,tabela_registros[CATEGORIA],investirrendafixaconsolidadomar[[#This Row],[ATUAL]])</f>
        <v>0</v>
      </c>
      <c r="AE120" s="119" t="n">
        <f aca="false">SUMIFS(tabela_registros[VALOR],tabela_registros[MÊS],$AE$1,tabela_registros[DIA],investirrendafixaconsolidadomar[[#Headers],[27]],tabela_registros[REGISTRO],DADOS!$N$5,tabela_registros[TIPO],DADOS!$AB$3,tabela_registros[CATEGORIA],investirrendafixaconsolidadomar[[#This Row],[ATUAL]])</f>
        <v>0</v>
      </c>
      <c r="AF120" s="119" t="n">
        <f aca="false">SUMIFS(tabela_registros[VALOR],tabela_registros[MÊS],$AE$1,tabela_registros[DIA],investirrendafixaconsolidadomar[[#Headers],[28]],tabela_registros[REGISTRO],DADOS!$N$5,tabela_registros[TIPO],DADOS!$AB$3,tabela_registros[CATEGORIA],investirrendafixaconsolidadomar[[#This Row],[ATUAL]])</f>
        <v>0</v>
      </c>
      <c r="AG120" s="119" t="n">
        <f aca="false">SUMIFS(tabela_registros[VALOR],tabela_registros[MÊS],$AE$1,tabela_registros[DIA],investirrendafixaconsolidadomar[[#Headers],[29]],tabela_registros[REGISTRO],DADOS!$N$5,tabela_registros[TIPO],DADOS!$AB$3,tabela_registros[CATEGORIA],investirrendafixaconsolidadomar[[#This Row],[ATUAL]])</f>
        <v>0</v>
      </c>
      <c r="AH120" s="119" t="n">
        <f aca="false">SUMIFS(tabela_registros[VALOR],tabela_registros[MÊS],$AE$1,tabela_registros[DIA],investirrendafixaconsolidadomar[[#Headers],[30]],tabela_registros[REGISTRO],DADOS!$N$5,tabela_registros[TIPO],DADOS!$AB$3,tabela_registros[CATEGORIA],investirrendafixaconsolidadomar[[#This Row],[ATUAL]])</f>
        <v>0</v>
      </c>
      <c r="AI120" s="217" t="n">
        <f aca="false">SUMIFS(tabela_registros[VALOR],tabela_registros[MÊS],$AE$1,tabela_registros[DIA],investirrendafixaconsolidadomar[[#Headers],[31]],tabela_registros[REGISTRO],DADOS!$N$5,tabela_registros[TIPO],DADOS!$AB$3,tabela_registros[CATEGORIA],investirrendafixaconsolidadomar[[#This Row],[ATUAL]])</f>
        <v>0</v>
      </c>
      <c r="AJ120" s="149" t="n">
        <f aca="false">SUM(investirrendafixaconsolidadomar[[#This Row],[1]:[31]])</f>
        <v>0</v>
      </c>
      <c r="AK120" s="165"/>
    </row>
    <row r="121" customFormat="false" ht="19.5" hidden="false" customHeight="true" outlineLevel="0" collapsed="false">
      <c r="B121" s="143"/>
      <c r="C121" s="144" t="str">
        <f aca="false">DADOS!$AD$11</f>
        <v>📝 TESOURO DIRETO</v>
      </c>
      <c r="D121" s="145" t="str">
        <f aca="false">IF(investirrendafixaconsolidadomar[[#This Row],[TOTAL (R$)]]=0,"",IF(OR(investirrendafixaconsolidadomar[[#This Row],[TOTAL (R$)]]=LARGE($AJ$113:$AJ$122,1),investirrendafixaconsolidadomar[[#This Row],[TOTAL (R$)]]=LARGE($AJ$113:$AJ$122,2)),DADOS!$I$10,""))</f>
        <v/>
      </c>
      <c r="E121" s="148" t="n">
        <f aca="false">SUMIFS(tabela_registros[VALOR],tabela_registros[MÊS],$AE$1,tabela_registros[DIA],investirrendafixaconsolidadomar[[#Headers],[1]],tabela_registros[REGISTRO],DADOS!$N$5,tabela_registros[TIPO],DADOS!$AB$3,tabela_registros[CATEGORIA],investirrendafixaconsolidadomar[[#This Row],[ATUAL]])</f>
        <v>0</v>
      </c>
      <c r="F121" s="119" t="n">
        <f aca="false">SUMIFS(tabela_registros[VALOR],tabela_registros[MÊS],$AE$1,tabela_registros[DIA],investirrendafixaconsolidadomar[[#Headers],[2]],tabela_registros[REGISTRO],DADOS!$N$5,tabela_registros[TIPO],DADOS!$AB$3,tabela_registros[CATEGORIA],investirrendafixaconsolidadomar[[#This Row],[ATUAL]])</f>
        <v>0</v>
      </c>
      <c r="G121" s="119" t="n">
        <f aca="false">SUMIFS(tabela_registros[VALOR],tabela_registros[MÊS],$AE$1,tabela_registros[DIA],investirrendafixaconsolidadomar[[#Headers],[3]],tabela_registros[REGISTRO],DADOS!$N$5,tabela_registros[TIPO],DADOS!$AB$3,tabela_registros[CATEGORIA],investirrendafixaconsolidadomar[[#This Row],[ATUAL]])</f>
        <v>0</v>
      </c>
      <c r="H121" s="119" t="n">
        <f aca="false">SUMIFS(tabela_registros[VALOR],tabela_registros[MÊS],$AE$1,tabela_registros[DIA],investirrendafixaconsolidadomar[[#Headers],[4]],tabela_registros[REGISTRO],DADOS!$N$5,tabela_registros[TIPO],DADOS!$AB$3,tabela_registros[CATEGORIA],investirrendafixaconsolidadomar[[#This Row],[ATUAL]])</f>
        <v>0</v>
      </c>
      <c r="I121" s="119" t="n">
        <f aca="false">SUMIFS(tabela_registros[VALOR],tabela_registros[MÊS],$AE$1,tabela_registros[DIA],investirrendafixaconsolidadomar[[#Headers],[5]],tabela_registros[REGISTRO],DADOS!$N$5,tabela_registros[TIPO],DADOS!$AB$3,tabela_registros[CATEGORIA],investirrendafixaconsolidadomar[[#This Row],[ATUAL]])</f>
        <v>0</v>
      </c>
      <c r="J121" s="119" t="n">
        <f aca="false">SUMIFS(tabela_registros[VALOR],tabela_registros[MÊS],$AE$1,tabela_registros[DIA],investirrendafixaconsolidadomar[[#Headers],[6]],tabela_registros[REGISTRO],DADOS!$N$5,tabela_registros[TIPO],DADOS!$AB$3,tabela_registros[CATEGORIA],investirrendafixaconsolidadomar[[#This Row],[ATUAL]])</f>
        <v>0</v>
      </c>
      <c r="K121" s="119" t="n">
        <f aca="false">SUMIFS(tabela_registros[VALOR],tabela_registros[MÊS],$AE$1,tabela_registros[DIA],investirrendafixaconsolidadomar[[#Headers],[7]],tabela_registros[REGISTRO],DADOS!$N$5,tabela_registros[TIPO],DADOS!$AB$3,tabela_registros[CATEGORIA],investirrendafixaconsolidadomar[[#This Row],[ATUAL]])</f>
        <v>0</v>
      </c>
      <c r="L121" s="119" t="n">
        <f aca="false">SUMIFS(tabela_registros[VALOR],tabela_registros[MÊS],$AE$1,tabela_registros[DIA],investirrendafixaconsolidadomar[[#Headers],[8]],tabela_registros[REGISTRO],DADOS!$N$5,tabela_registros[TIPO],DADOS!$AB$3,tabela_registros[CATEGORIA],investirrendafixaconsolidadomar[[#This Row],[ATUAL]])</f>
        <v>0</v>
      </c>
      <c r="M121" s="119" t="n">
        <f aca="false">SUMIFS(tabela_registros[VALOR],tabela_registros[MÊS],$AE$1,tabela_registros[DIA],investirrendafixaconsolidadomar[[#Headers],[9]],tabela_registros[REGISTRO],DADOS!$N$5,tabela_registros[TIPO],DADOS!$AB$3,tabela_registros[CATEGORIA],investirrendafixaconsolidadomar[[#This Row],[ATUAL]])</f>
        <v>0</v>
      </c>
      <c r="N121" s="119" t="n">
        <f aca="false">SUMIFS(tabela_registros[VALOR],tabela_registros[MÊS],$AE$1,tabela_registros[DIA],investirrendafixaconsolidadomar[[#Headers],[10]],tabela_registros[REGISTRO],DADOS!$N$5,tabela_registros[TIPO],DADOS!$AB$3,tabela_registros[CATEGORIA],investirrendafixaconsolidadomar[[#This Row],[ATUAL]])</f>
        <v>0</v>
      </c>
      <c r="O121" s="119" t="n">
        <f aca="false">SUMIFS(tabela_registros[VALOR],tabela_registros[MÊS],$AE$1,tabela_registros[DIA],investirrendafixaconsolidadomar[[#Headers],[11]],tabela_registros[REGISTRO],DADOS!$N$5,tabela_registros[TIPO],DADOS!$AB$3,tabela_registros[CATEGORIA],investirrendafixaconsolidadomar[[#This Row],[ATUAL]])</f>
        <v>0</v>
      </c>
      <c r="P121" s="119" t="n">
        <f aca="false">SUMIFS(tabela_registros[VALOR],tabela_registros[MÊS],$AE$1,tabela_registros[DIA],investirrendafixaconsolidadomar[[#Headers],[12]],tabela_registros[REGISTRO],DADOS!$N$5,tabela_registros[TIPO],DADOS!$AB$3,tabela_registros[CATEGORIA],investirrendafixaconsolidadomar[[#This Row],[ATUAL]])</f>
        <v>0</v>
      </c>
      <c r="Q121" s="119" t="n">
        <f aca="false">SUMIFS(tabela_registros[VALOR],tabela_registros[MÊS],$AE$1,tabela_registros[DIA],investirrendafixaconsolidadomar[[#Headers],[13]],tabela_registros[REGISTRO],DADOS!$N$5,tabela_registros[TIPO],DADOS!$AB$3,tabela_registros[CATEGORIA],investirrendafixaconsolidadomar[[#This Row],[ATUAL]])</f>
        <v>0</v>
      </c>
      <c r="R121" s="119" t="n">
        <f aca="false">SUMIFS(tabela_registros[VALOR],tabela_registros[MÊS],$AE$1,tabela_registros[DIA],investirrendafixaconsolidadomar[[#Headers],[14]],tabela_registros[REGISTRO],DADOS!$N$5,tabela_registros[TIPO],DADOS!$AB$3,tabela_registros[CATEGORIA],investirrendafixaconsolidadomar[[#This Row],[ATUAL]])</f>
        <v>0</v>
      </c>
      <c r="S121" s="119" t="n">
        <f aca="false">SUMIFS(tabela_registros[VALOR],tabela_registros[MÊS],$AE$1,tabela_registros[DIA],investirrendafixaconsolidadomar[[#Headers],[15]],tabela_registros[REGISTRO],DADOS!$N$5,tabela_registros[TIPO],DADOS!$AB$3,tabela_registros[CATEGORIA],investirrendafixaconsolidadomar[[#This Row],[ATUAL]])</f>
        <v>0</v>
      </c>
      <c r="T121" s="119" t="n">
        <f aca="false">SUMIFS(tabela_registros[VALOR],tabela_registros[MÊS],$AE$1,tabela_registros[DIA],investirrendafixaconsolidadomar[[#Headers],[16]],tabela_registros[REGISTRO],DADOS!$N$5,tabela_registros[TIPO],DADOS!$AB$3,tabela_registros[CATEGORIA],investirrendafixaconsolidadomar[[#This Row],[ATUAL]])</f>
        <v>0</v>
      </c>
      <c r="U121" s="119" t="n">
        <f aca="false">SUMIFS(tabela_registros[VALOR],tabela_registros[MÊS],$AE$1,tabela_registros[DIA],investirrendafixaconsolidadomar[[#Headers],[17]],tabela_registros[REGISTRO],DADOS!$N$5,tabela_registros[TIPO],DADOS!$AB$3,tabela_registros[CATEGORIA],investirrendafixaconsolidadomar[[#This Row],[ATUAL]])</f>
        <v>0</v>
      </c>
      <c r="V121" s="119" t="n">
        <f aca="false">SUMIFS(tabela_registros[VALOR],tabela_registros[MÊS],$AE$1,tabela_registros[DIA],investirrendafixaconsolidadomar[[#Headers],[18]],tabela_registros[REGISTRO],DADOS!$N$5,tabela_registros[TIPO],DADOS!$AB$3,tabela_registros[CATEGORIA],investirrendafixaconsolidadomar[[#This Row],[ATUAL]])</f>
        <v>0</v>
      </c>
      <c r="W121" s="119" t="n">
        <f aca="false">SUMIFS(tabela_registros[VALOR],tabela_registros[MÊS],$AE$1,tabela_registros[DIA],investirrendafixaconsolidadomar[[#Headers],[19]],tabela_registros[REGISTRO],DADOS!$N$5,tabela_registros[TIPO],DADOS!$AB$3,tabela_registros[CATEGORIA],investirrendafixaconsolidadomar[[#This Row],[ATUAL]])</f>
        <v>0</v>
      </c>
      <c r="X121" s="119" t="n">
        <f aca="false">SUMIFS(tabela_registros[VALOR],tabela_registros[MÊS],$AE$1,tabela_registros[DIA],investirrendafixaconsolidadomar[[#Headers],[20]],tabela_registros[REGISTRO],DADOS!$N$5,tabela_registros[TIPO],DADOS!$AB$3,tabela_registros[CATEGORIA],investirrendafixaconsolidadomar[[#This Row],[ATUAL]])</f>
        <v>0</v>
      </c>
      <c r="Y121" s="119" t="n">
        <f aca="false">SUMIFS(tabela_registros[VALOR],tabela_registros[MÊS],$AE$1,tabela_registros[DIA],investirrendafixaconsolidadomar[[#Headers],[21]],tabela_registros[REGISTRO],DADOS!$N$5,tabela_registros[TIPO],DADOS!$AB$3,tabela_registros[CATEGORIA],investirrendafixaconsolidadomar[[#This Row],[ATUAL]])</f>
        <v>0</v>
      </c>
      <c r="Z121" s="119" t="n">
        <f aca="false">SUMIFS(tabela_registros[VALOR],tabela_registros[MÊS],$AE$1,tabela_registros[DIA],investirrendafixaconsolidadomar[[#Headers],[22]],tabela_registros[REGISTRO],DADOS!$N$5,tabela_registros[TIPO],DADOS!$AB$3,tabela_registros[CATEGORIA],investirrendafixaconsolidadomar[[#This Row],[ATUAL]])</f>
        <v>0</v>
      </c>
      <c r="AA121" s="119" t="n">
        <f aca="false">SUMIFS(tabela_registros[VALOR],tabela_registros[MÊS],$AE$1,tabela_registros[DIA],investirrendafixaconsolidadomar[[#Headers],[23]],tabela_registros[REGISTRO],DADOS!$N$5,tabela_registros[TIPO],DADOS!$AB$3,tabela_registros[CATEGORIA],investirrendafixaconsolidadomar[[#This Row],[ATUAL]])</f>
        <v>0</v>
      </c>
      <c r="AB121" s="119" t="n">
        <f aca="false">SUMIFS(tabela_registros[VALOR],tabela_registros[MÊS],$AE$1,tabela_registros[DIA],investirrendafixaconsolidadomar[[#Headers],[24]],tabela_registros[REGISTRO],DADOS!$N$5,tabela_registros[TIPO],DADOS!$AB$3,tabela_registros[CATEGORIA],investirrendafixaconsolidadomar[[#This Row],[ATUAL]])</f>
        <v>0</v>
      </c>
      <c r="AC121" s="119" t="n">
        <f aca="false">SUMIFS(tabela_registros[VALOR],tabela_registros[MÊS],$AE$1,tabela_registros[DIA],investirrendafixaconsolidadomar[[#Headers],[25]],tabela_registros[REGISTRO],DADOS!$N$5,tabela_registros[TIPO],DADOS!$AB$3,tabela_registros[CATEGORIA],investirrendafixaconsolidadomar[[#This Row],[ATUAL]])</f>
        <v>0</v>
      </c>
      <c r="AD121" s="119" t="n">
        <f aca="false">SUMIFS(tabela_registros[VALOR],tabela_registros[MÊS],$AE$1,tabela_registros[DIA],investirrendafixaconsolidadomar[[#Headers],[26]],tabela_registros[REGISTRO],DADOS!$N$5,tabela_registros[TIPO],DADOS!$AB$3,tabela_registros[CATEGORIA],investirrendafixaconsolidadomar[[#This Row],[ATUAL]])</f>
        <v>0</v>
      </c>
      <c r="AE121" s="119" t="n">
        <f aca="false">SUMIFS(tabela_registros[VALOR],tabela_registros[MÊS],$AE$1,tabela_registros[DIA],investirrendafixaconsolidadomar[[#Headers],[27]],tabela_registros[REGISTRO],DADOS!$N$5,tabela_registros[TIPO],DADOS!$AB$3,tabela_registros[CATEGORIA],investirrendafixaconsolidadomar[[#This Row],[ATUAL]])</f>
        <v>0</v>
      </c>
      <c r="AF121" s="119" t="n">
        <f aca="false">SUMIFS(tabela_registros[VALOR],tabela_registros[MÊS],$AE$1,tabela_registros[DIA],investirrendafixaconsolidadomar[[#Headers],[28]],tabela_registros[REGISTRO],DADOS!$N$5,tabela_registros[TIPO],DADOS!$AB$3,tabela_registros[CATEGORIA],investirrendafixaconsolidadomar[[#This Row],[ATUAL]])</f>
        <v>0</v>
      </c>
      <c r="AG121" s="119" t="n">
        <f aca="false">SUMIFS(tabela_registros[VALOR],tabela_registros[MÊS],$AE$1,tabela_registros[DIA],investirrendafixaconsolidadomar[[#Headers],[29]],tabela_registros[REGISTRO],DADOS!$N$5,tabela_registros[TIPO],DADOS!$AB$3,tabela_registros[CATEGORIA],investirrendafixaconsolidadomar[[#This Row],[ATUAL]])</f>
        <v>0</v>
      </c>
      <c r="AH121" s="119" t="n">
        <f aca="false">SUMIFS(tabela_registros[VALOR],tabela_registros[MÊS],$AE$1,tabela_registros[DIA],investirrendafixaconsolidadomar[[#Headers],[30]],tabela_registros[REGISTRO],DADOS!$N$5,tabela_registros[TIPO],DADOS!$AB$3,tabela_registros[CATEGORIA],investirrendafixaconsolidadomar[[#This Row],[ATUAL]])</f>
        <v>0</v>
      </c>
      <c r="AI121" s="217" t="n">
        <f aca="false">SUMIFS(tabela_registros[VALOR],tabela_registros[MÊS],$AE$1,tabela_registros[DIA],investirrendafixaconsolidadomar[[#Headers],[31]],tabela_registros[REGISTRO],DADOS!$N$5,tabela_registros[TIPO],DADOS!$AB$3,tabela_registros[CATEGORIA],investirrendafixaconsolidadomar[[#This Row],[ATUAL]])</f>
        <v>0</v>
      </c>
      <c r="AJ121" s="149" t="n">
        <f aca="false">SUM(investirrendafixaconsolidadomar[[#This Row],[1]:[31]])</f>
        <v>0</v>
      </c>
      <c r="AK121" s="165"/>
    </row>
    <row r="122" customFormat="false" ht="19.5" hidden="false" customHeight="true" outlineLevel="0" collapsed="false">
      <c r="B122" s="143"/>
      <c r="C122" s="144" t="str">
        <f aca="false">DADOS!$AD$12</f>
        <v>📎 OUTROS</v>
      </c>
      <c r="D122" s="145" t="str">
        <f aca="false">IF(investirrendafixaconsolidadomar[[#This Row],[TOTAL (R$)]]=0,"",IF(OR(investirrendafixaconsolidadomar[[#This Row],[TOTAL (R$)]]=LARGE($AJ$113:$AJ$122,1),investirrendafixaconsolidadomar[[#This Row],[TOTAL (R$)]]=LARGE($AJ$113:$AJ$122,2)),DADOS!$I$10,""))</f>
        <v/>
      </c>
      <c r="E122" s="148" t="n">
        <f aca="false">SUMIFS(tabela_registros[VALOR],tabela_registros[MÊS],$AE$1,tabela_registros[DIA],investirrendafixaconsolidadomar[[#Headers],[1]],tabela_registros[REGISTRO],DADOS!$N$5,tabela_registros[TIPO],DADOS!$AB$3,tabela_registros[CATEGORIA],investirrendafixaconsolidadomar[[#This Row],[ATUAL]])</f>
        <v>0</v>
      </c>
      <c r="F122" s="119" t="n">
        <f aca="false">SUMIFS(tabela_registros[VALOR],tabela_registros[MÊS],$AE$1,tabela_registros[DIA],investirrendafixaconsolidadomar[[#Headers],[2]],tabela_registros[REGISTRO],DADOS!$N$5,tabela_registros[TIPO],DADOS!$AB$3,tabela_registros[CATEGORIA],investirrendafixaconsolidadomar[[#This Row],[ATUAL]])</f>
        <v>0</v>
      </c>
      <c r="G122" s="119" t="n">
        <f aca="false">SUMIFS(tabela_registros[VALOR],tabela_registros[MÊS],$AE$1,tabela_registros[DIA],investirrendafixaconsolidadomar[[#Headers],[3]],tabela_registros[REGISTRO],DADOS!$N$5,tabela_registros[TIPO],DADOS!$AB$3,tabela_registros[CATEGORIA],investirrendafixaconsolidadomar[[#This Row],[ATUAL]])</f>
        <v>0</v>
      </c>
      <c r="H122" s="119" t="n">
        <f aca="false">SUMIFS(tabela_registros[VALOR],tabela_registros[MÊS],$AE$1,tabela_registros[DIA],investirrendafixaconsolidadomar[[#Headers],[4]],tabela_registros[REGISTRO],DADOS!$N$5,tabela_registros[TIPO],DADOS!$AB$3,tabela_registros[CATEGORIA],investirrendafixaconsolidadomar[[#This Row],[ATUAL]])</f>
        <v>0</v>
      </c>
      <c r="I122" s="119" t="n">
        <f aca="false">SUMIFS(tabela_registros[VALOR],tabela_registros[MÊS],$AE$1,tabela_registros[DIA],investirrendafixaconsolidadomar[[#Headers],[5]],tabela_registros[REGISTRO],DADOS!$N$5,tabela_registros[TIPO],DADOS!$AB$3,tabela_registros[CATEGORIA],investirrendafixaconsolidadomar[[#This Row],[ATUAL]])</f>
        <v>0</v>
      </c>
      <c r="J122" s="119" t="n">
        <f aca="false">SUMIFS(tabela_registros[VALOR],tabela_registros[MÊS],$AE$1,tabela_registros[DIA],investirrendafixaconsolidadomar[[#Headers],[6]],tabela_registros[REGISTRO],DADOS!$N$5,tabela_registros[TIPO],DADOS!$AB$3,tabela_registros[CATEGORIA],investirrendafixaconsolidadomar[[#This Row],[ATUAL]])</f>
        <v>0</v>
      </c>
      <c r="K122" s="119" t="n">
        <f aca="false">SUMIFS(tabela_registros[VALOR],tabela_registros[MÊS],$AE$1,tabela_registros[DIA],investirrendafixaconsolidadomar[[#Headers],[7]],tabela_registros[REGISTRO],DADOS!$N$5,tabela_registros[TIPO],DADOS!$AB$3,tabela_registros[CATEGORIA],investirrendafixaconsolidadomar[[#This Row],[ATUAL]])</f>
        <v>0</v>
      </c>
      <c r="L122" s="119" t="n">
        <f aca="false">SUMIFS(tabela_registros[VALOR],tabela_registros[MÊS],$AE$1,tabela_registros[DIA],investirrendafixaconsolidadomar[[#Headers],[8]],tabela_registros[REGISTRO],DADOS!$N$5,tabela_registros[TIPO],DADOS!$AB$3,tabela_registros[CATEGORIA],investirrendafixaconsolidadomar[[#This Row],[ATUAL]])</f>
        <v>0</v>
      </c>
      <c r="M122" s="119" t="n">
        <f aca="false">SUMIFS(tabela_registros[VALOR],tabela_registros[MÊS],$AE$1,tabela_registros[DIA],investirrendafixaconsolidadomar[[#Headers],[9]],tabela_registros[REGISTRO],DADOS!$N$5,tabela_registros[TIPO],DADOS!$AB$3,tabela_registros[CATEGORIA],investirrendafixaconsolidadomar[[#This Row],[ATUAL]])</f>
        <v>0</v>
      </c>
      <c r="N122" s="119" t="n">
        <f aca="false">SUMIFS(tabela_registros[VALOR],tabela_registros[MÊS],$AE$1,tabela_registros[DIA],investirrendafixaconsolidadomar[[#Headers],[10]],tabela_registros[REGISTRO],DADOS!$N$5,tabela_registros[TIPO],DADOS!$AB$3,tabela_registros[CATEGORIA],investirrendafixaconsolidadomar[[#This Row],[ATUAL]])</f>
        <v>0</v>
      </c>
      <c r="O122" s="119" t="n">
        <f aca="false">SUMIFS(tabela_registros[VALOR],tabela_registros[MÊS],$AE$1,tabela_registros[DIA],investirrendafixaconsolidadomar[[#Headers],[11]],tabela_registros[REGISTRO],DADOS!$N$5,tabela_registros[TIPO],DADOS!$AB$3,tabela_registros[CATEGORIA],investirrendafixaconsolidadomar[[#This Row],[ATUAL]])</f>
        <v>0</v>
      </c>
      <c r="P122" s="119" t="n">
        <f aca="false">SUMIFS(tabela_registros[VALOR],tabela_registros[MÊS],$AE$1,tabela_registros[DIA],investirrendafixaconsolidadomar[[#Headers],[12]],tabela_registros[REGISTRO],DADOS!$N$5,tabela_registros[TIPO],DADOS!$AB$3,tabela_registros[CATEGORIA],investirrendafixaconsolidadomar[[#This Row],[ATUAL]])</f>
        <v>0</v>
      </c>
      <c r="Q122" s="119" t="n">
        <f aca="false">SUMIFS(tabela_registros[VALOR],tabela_registros[MÊS],$AE$1,tabela_registros[DIA],investirrendafixaconsolidadomar[[#Headers],[13]],tabela_registros[REGISTRO],DADOS!$N$5,tabela_registros[TIPO],DADOS!$AB$3,tabela_registros[CATEGORIA],investirrendafixaconsolidadomar[[#This Row],[ATUAL]])</f>
        <v>0</v>
      </c>
      <c r="R122" s="119" t="n">
        <f aca="false">SUMIFS(tabela_registros[VALOR],tabela_registros[MÊS],$AE$1,tabela_registros[DIA],investirrendafixaconsolidadomar[[#Headers],[14]],tabela_registros[REGISTRO],DADOS!$N$5,tabela_registros[TIPO],DADOS!$AB$3,tabela_registros[CATEGORIA],investirrendafixaconsolidadomar[[#This Row],[ATUAL]])</f>
        <v>0</v>
      </c>
      <c r="S122" s="119" t="n">
        <f aca="false">SUMIFS(tabela_registros[VALOR],tabela_registros[MÊS],$AE$1,tabela_registros[DIA],investirrendafixaconsolidadomar[[#Headers],[15]],tabela_registros[REGISTRO],DADOS!$N$5,tabela_registros[TIPO],DADOS!$AB$3,tabela_registros[CATEGORIA],investirrendafixaconsolidadomar[[#This Row],[ATUAL]])</f>
        <v>0</v>
      </c>
      <c r="T122" s="119" t="n">
        <f aca="false">SUMIFS(tabela_registros[VALOR],tabela_registros[MÊS],$AE$1,tabela_registros[DIA],investirrendafixaconsolidadomar[[#Headers],[16]],tabela_registros[REGISTRO],DADOS!$N$5,tabela_registros[TIPO],DADOS!$AB$3,tabela_registros[CATEGORIA],investirrendafixaconsolidadomar[[#This Row],[ATUAL]])</f>
        <v>0</v>
      </c>
      <c r="U122" s="119" t="n">
        <f aca="false">SUMIFS(tabela_registros[VALOR],tabela_registros[MÊS],$AE$1,tabela_registros[DIA],investirrendafixaconsolidadomar[[#Headers],[17]],tabela_registros[REGISTRO],DADOS!$N$5,tabela_registros[TIPO],DADOS!$AB$3,tabela_registros[CATEGORIA],investirrendafixaconsolidadomar[[#This Row],[ATUAL]])</f>
        <v>0</v>
      </c>
      <c r="V122" s="119" t="n">
        <f aca="false">SUMIFS(tabela_registros[VALOR],tabela_registros[MÊS],$AE$1,tabela_registros[DIA],investirrendafixaconsolidadomar[[#Headers],[18]],tabela_registros[REGISTRO],DADOS!$N$5,tabela_registros[TIPO],DADOS!$AB$3,tabela_registros[CATEGORIA],investirrendafixaconsolidadomar[[#This Row],[ATUAL]])</f>
        <v>0</v>
      </c>
      <c r="W122" s="119" t="n">
        <f aca="false">SUMIFS(tabela_registros[VALOR],tabela_registros[MÊS],$AE$1,tabela_registros[DIA],investirrendafixaconsolidadomar[[#Headers],[19]],tabela_registros[REGISTRO],DADOS!$N$5,tabela_registros[TIPO],DADOS!$AB$3,tabela_registros[CATEGORIA],investirrendafixaconsolidadomar[[#This Row],[ATUAL]])</f>
        <v>0</v>
      </c>
      <c r="X122" s="119" t="n">
        <f aca="false">SUMIFS(tabela_registros[VALOR],tabela_registros[MÊS],$AE$1,tabela_registros[DIA],investirrendafixaconsolidadomar[[#Headers],[20]],tabela_registros[REGISTRO],DADOS!$N$5,tabela_registros[TIPO],DADOS!$AB$3,tabela_registros[CATEGORIA],investirrendafixaconsolidadomar[[#This Row],[ATUAL]])</f>
        <v>0</v>
      </c>
      <c r="Y122" s="119" t="n">
        <f aca="false">SUMIFS(tabela_registros[VALOR],tabela_registros[MÊS],$AE$1,tabela_registros[DIA],investirrendafixaconsolidadomar[[#Headers],[21]],tabela_registros[REGISTRO],DADOS!$N$5,tabela_registros[TIPO],DADOS!$AB$3,tabela_registros[CATEGORIA],investirrendafixaconsolidadomar[[#This Row],[ATUAL]])</f>
        <v>0</v>
      </c>
      <c r="Z122" s="119" t="n">
        <f aca="false">SUMIFS(tabela_registros[VALOR],tabela_registros[MÊS],$AE$1,tabela_registros[DIA],investirrendafixaconsolidadomar[[#Headers],[22]],tabela_registros[REGISTRO],DADOS!$N$5,tabela_registros[TIPO],DADOS!$AB$3,tabela_registros[CATEGORIA],investirrendafixaconsolidadomar[[#This Row],[ATUAL]])</f>
        <v>0</v>
      </c>
      <c r="AA122" s="119" t="n">
        <f aca="false">SUMIFS(tabela_registros[VALOR],tabela_registros[MÊS],$AE$1,tabela_registros[DIA],investirrendafixaconsolidadomar[[#Headers],[23]],tabela_registros[REGISTRO],DADOS!$N$5,tabela_registros[TIPO],DADOS!$AB$3,tabela_registros[CATEGORIA],investirrendafixaconsolidadomar[[#This Row],[ATUAL]])</f>
        <v>0</v>
      </c>
      <c r="AB122" s="119" t="n">
        <f aca="false">SUMIFS(tabela_registros[VALOR],tabela_registros[MÊS],$AE$1,tabela_registros[DIA],investirrendafixaconsolidadomar[[#Headers],[24]],tabela_registros[REGISTRO],DADOS!$N$5,tabela_registros[TIPO],DADOS!$AB$3,tabela_registros[CATEGORIA],investirrendafixaconsolidadomar[[#This Row],[ATUAL]])</f>
        <v>0</v>
      </c>
      <c r="AC122" s="119" t="n">
        <f aca="false">SUMIFS(tabela_registros[VALOR],tabela_registros[MÊS],$AE$1,tabela_registros[DIA],investirrendafixaconsolidadomar[[#Headers],[25]],tabela_registros[REGISTRO],DADOS!$N$5,tabela_registros[TIPO],DADOS!$AB$3,tabela_registros[CATEGORIA],investirrendafixaconsolidadomar[[#This Row],[ATUAL]])</f>
        <v>0</v>
      </c>
      <c r="AD122" s="119" t="n">
        <f aca="false">SUMIFS(tabela_registros[VALOR],tabela_registros[MÊS],$AE$1,tabela_registros[DIA],investirrendafixaconsolidadomar[[#Headers],[26]],tabela_registros[REGISTRO],DADOS!$N$5,tabela_registros[TIPO],DADOS!$AB$3,tabela_registros[CATEGORIA],investirrendafixaconsolidadomar[[#This Row],[ATUAL]])</f>
        <v>0</v>
      </c>
      <c r="AE122" s="119" t="n">
        <f aca="false">SUMIFS(tabela_registros[VALOR],tabela_registros[MÊS],$AE$1,tabela_registros[DIA],investirrendafixaconsolidadomar[[#Headers],[27]],tabela_registros[REGISTRO],DADOS!$N$5,tabela_registros[TIPO],DADOS!$AB$3,tabela_registros[CATEGORIA],investirrendafixaconsolidadomar[[#This Row],[ATUAL]])</f>
        <v>0</v>
      </c>
      <c r="AF122" s="119" t="n">
        <f aca="false">SUMIFS(tabela_registros[VALOR],tabela_registros[MÊS],$AE$1,tabela_registros[DIA],investirrendafixaconsolidadomar[[#Headers],[28]],tabela_registros[REGISTRO],DADOS!$N$5,tabela_registros[TIPO],DADOS!$AB$3,tabela_registros[CATEGORIA],investirrendafixaconsolidadomar[[#This Row],[ATUAL]])</f>
        <v>0</v>
      </c>
      <c r="AG122" s="119" t="n">
        <f aca="false">SUMIFS(tabela_registros[VALOR],tabela_registros[MÊS],$AE$1,tabela_registros[DIA],investirrendafixaconsolidadomar[[#Headers],[29]],tabela_registros[REGISTRO],DADOS!$N$5,tabela_registros[TIPO],DADOS!$AB$3,tabela_registros[CATEGORIA],investirrendafixaconsolidadomar[[#This Row],[ATUAL]])</f>
        <v>0</v>
      </c>
      <c r="AH122" s="119" t="n">
        <f aca="false">SUMIFS(tabela_registros[VALOR],tabela_registros[MÊS],$AE$1,tabela_registros[DIA],investirrendafixaconsolidadomar[[#Headers],[30]],tabela_registros[REGISTRO],DADOS!$N$5,tabela_registros[TIPO],DADOS!$AB$3,tabela_registros[CATEGORIA],investirrendafixaconsolidadomar[[#This Row],[ATUAL]])</f>
        <v>0</v>
      </c>
      <c r="AI122" s="218" t="n">
        <f aca="false">SUMIFS(tabela_registros[VALOR],tabela_registros[MÊS],$AE$1,tabela_registros[DIA],investirrendafixaconsolidadomar[[#Headers],[31]],tabela_registros[REGISTRO],DADOS!$N$5,tabela_registros[TIPO],DADOS!$AB$3,tabela_registros[CATEGORIA],investirrendafixaconsolidadomar[[#This Row],[ATUAL]])</f>
        <v>0</v>
      </c>
      <c r="AJ122" s="149" t="n">
        <f aca="false">SUM(investirrendafixaconsolidadomar[[#This Row],[1]:[31]])</f>
        <v>0</v>
      </c>
      <c r="AK122" s="165"/>
    </row>
    <row r="123" s="122" customFormat="true" ht="21" hidden="false" customHeight="true" outlineLevel="0" collapsed="false">
      <c r="B123" s="152"/>
      <c r="C123" s="153" t="s">
        <v>2</v>
      </c>
      <c r="D123" s="166"/>
      <c r="E123" s="155" t="n">
        <f aca="false">SUM(E113:E122)</f>
        <v>0</v>
      </c>
      <c r="F123" s="156" t="n">
        <f aca="false">SUM(F113:F122)+investirrendafixaconsolidadomar[[#This Row],[1]]</f>
        <v>0</v>
      </c>
      <c r="G123" s="156" t="n">
        <f aca="false">SUM(G113:G122)+investirrendafixaconsolidadomar[[#This Row],[2]]</f>
        <v>0</v>
      </c>
      <c r="H123" s="156" t="n">
        <f aca="false">SUM(H113:H122)+investirrendafixaconsolidadomar[[#This Row],[3]]</f>
        <v>0</v>
      </c>
      <c r="I123" s="156" t="n">
        <f aca="false">SUM(I113:I122)+investirrendafixaconsolidadomar[[#This Row],[4]]</f>
        <v>0</v>
      </c>
      <c r="J123" s="156" t="n">
        <f aca="false">SUM(J113:J122)+investirrendafixaconsolidadomar[[#This Row],[5]]</f>
        <v>0</v>
      </c>
      <c r="K123" s="156" t="n">
        <f aca="false">SUM(K113:K122)+investirrendafixaconsolidadomar[[#This Row],[6]]</f>
        <v>0</v>
      </c>
      <c r="L123" s="156" t="n">
        <f aca="false">SUM(L113:L122)+investirrendafixaconsolidadomar[[#This Row],[7]]</f>
        <v>0</v>
      </c>
      <c r="M123" s="156" t="n">
        <f aca="false">SUM(M113:M122)+investirrendafixaconsolidadomar[[#This Row],[8]]</f>
        <v>0</v>
      </c>
      <c r="N123" s="156" t="n">
        <f aca="false">SUM(N113:N122)+investirrendafixaconsolidadomar[[#This Row],[9]]</f>
        <v>0</v>
      </c>
      <c r="O123" s="156" t="n">
        <f aca="false">SUM(O113:O122)+investirrendafixaconsolidadomar[[#This Row],[10]]</f>
        <v>0</v>
      </c>
      <c r="P123" s="156" t="n">
        <f aca="false">SUM(P113:P122)+investirrendafixaconsolidadomar[[#This Row],[11]]</f>
        <v>0</v>
      </c>
      <c r="Q123" s="156" t="n">
        <f aca="false">SUM(Q113:Q122)+investirrendafixaconsolidadomar[[#This Row],[12]]</f>
        <v>0</v>
      </c>
      <c r="R123" s="156" t="n">
        <f aca="false">SUM(R113:R122)+investirrendafixaconsolidadomar[[#This Row],[13]]</f>
        <v>0</v>
      </c>
      <c r="S123" s="156" t="n">
        <f aca="false">SUM(S113:S122)+investirrendafixaconsolidadomar[[#This Row],[14]]</f>
        <v>0</v>
      </c>
      <c r="T123" s="156" t="n">
        <f aca="false">SUM(T113:T122)+investirrendafixaconsolidadomar[[#This Row],[15]]</f>
        <v>0</v>
      </c>
      <c r="U123" s="156" t="n">
        <f aca="false">SUM(U113:U122)+investirrendafixaconsolidadomar[[#This Row],[16]]</f>
        <v>0</v>
      </c>
      <c r="V123" s="156" t="n">
        <f aca="false">SUM(V113:V122)+investirrendafixaconsolidadomar[[#This Row],[17]]</f>
        <v>0</v>
      </c>
      <c r="W123" s="156" t="n">
        <f aca="false">SUM(W113:W122)+investirrendafixaconsolidadomar[[#This Row],[18]]</f>
        <v>0</v>
      </c>
      <c r="X123" s="156" t="n">
        <f aca="false">SUM(X113:X122)+investirrendafixaconsolidadomar[[#This Row],[19]]</f>
        <v>0</v>
      </c>
      <c r="Y123" s="156" t="n">
        <f aca="false">SUM(Y113:Y122)+investirrendafixaconsolidadomar[[#This Row],[20]]</f>
        <v>0</v>
      </c>
      <c r="Z123" s="156" t="n">
        <f aca="false">SUM(Z113:Z122)+investirrendafixaconsolidadomar[[#This Row],[21]]</f>
        <v>0</v>
      </c>
      <c r="AA123" s="156" t="n">
        <f aca="false">SUM(AA113:AA122)+investirrendafixaconsolidadomar[[#This Row],[22]]</f>
        <v>0</v>
      </c>
      <c r="AB123" s="156" t="n">
        <f aca="false">SUM(AB113:AB122)+investirrendafixaconsolidadomar[[#This Row],[23]]</f>
        <v>0</v>
      </c>
      <c r="AC123" s="156" t="n">
        <f aca="false">SUM(AC113:AC122)+investirrendafixaconsolidadomar[[#This Row],[24]]</f>
        <v>0</v>
      </c>
      <c r="AD123" s="156" t="n">
        <f aca="false">SUM(AD113:AD122)+investirrendafixaconsolidadomar[[#This Row],[25]]</f>
        <v>0</v>
      </c>
      <c r="AE123" s="156" t="n">
        <f aca="false">SUM(AE113:AE122)+investirrendafixaconsolidadomar[[#This Row],[26]]</f>
        <v>0</v>
      </c>
      <c r="AF123" s="156" t="n">
        <f aca="false">SUM(AF113:AF122)+investirrendafixaconsolidadomar[[#This Row],[27]]</f>
        <v>0</v>
      </c>
      <c r="AG123" s="156" t="n">
        <f aca="false">SUM(AG113:AG122)+investirrendafixaconsolidadomar[[#This Row],[28]]</f>
        <v>0</v>
      </c>
      <c r="AH123" s="156" t="n">
        <f aca="false">SUM(AH113:AH122)+investirrendafixaconsolidadomar[[#This Row],[29]]</f>
        <v>0</v>
      </c>
      <c r="AI123" s="223" t="n">
        <f aca="false">SUM(AI113:AI122)+investirrendafixaconsolidadomar[[#This Row],[30]]</f>
        <v>0</v>
      </c>
      <c r="AJ123" s="157" t="n">
        <f aca="false">investirrendafixaconsolidadomar[[#This Row],[31]]</f>
        <v>0</v>
      </c>
      <c r="AK123" s="158"/>
    </row>
    <row r="124" customFormat="false" ht="6.75" hidden="false" customHeight="true" outlineLevel="0" collapsed="false">
      <c r="B124" s="97"/>
      <c r="C124" s="162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233"/>
      <c r="AJ124" s="164"/>
      <c r="AK124" s="244"/>
    </row>
    <row r="125" s="78" customFormat="true" ht="12.75" hidden="false" customHeight="false" outlineLevel="0" collapsed="false">
      <c r="E125" s="100"/>
    </row>
    <row r="126" s="78" customFormat="true" ht="12" hidden="false" customHeight="false" outlineLevel="0" collapsed="false"/>
    <row r="127" s="78" customFormat="true" ht="12" hidden="false" customHeight="false" outlineLevel="0" collapsed="false"/>
    <row r="128" customFormat="false" ht="39.75" hidden="false" customHeight="true" outlineLevel="0" collapsed="false">
      <c r="C128" s="101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3" t="s">
        <v>2</v>
      </c>
    </row>
    <row r="129" s="78" customFormat="true" ht="12.75" hidden="false" customHeight="false" outlineLevel="0" collapsed="false">
      <c r="B129" s="161"/>
      <c r="AJ129" s="106" t="s">
        <v>64</v>
      </c>
    </row>
    <row r="130" customFormat="false" ht="6.75" hidden="false" customHeight="true" outlineLevel="0" collapsed="false">
      <c r="B130" s="86"/>
      <c r="C130" s="162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233"/>
      <c r="AK130" s="139"/>
    </row>
    <row r="131" customFormat="false" ht="13.5" hidden="true" customHeight="false" outlineLevel="0" collapsed="false">
      <c r="B131" s="86"/>
      <c r="C131" s="109" t="s">
        <v>68</v>
      </c>
      <c r="D131" s="110" t="s">
        <v>69</v>
      </c>
      <c r="E131" s="110" t="s">
        <v>30</v>
      </c>
      <c r="F131" s="110" t="s">
        <v>31</v>
      </c>
      <c r="G131" s="110" t="s">
        <v>32</v>
      </c>
      <c r="H131" s="110" t="s">
        <v>33</v>
      </c>
      <c r="I131" s="110" t="s">
        <v>34</v>
      </c>
      <c r="J131" s="110" t="s">
        <v>35</v>
      </c>
      <c r="K131" s="110" t="s">
        <v>36</v>
      </c>
      <c r="L131" s="110" t="s">
        <v>37</v>
      </c>
      <c r="M131" s="110" t="s">
        <v>38</v>
      </c>
      <c r="N131" s="110" t="s">
        <v>39</v>
      </c>
      <c r="O131" s="110" t="s">
        <v>40</v>
      </c>
      <c r="P131" s="110" t="s">
        <v>41</v>
      </c>
      <c r="Q131" s="110" t="s">
        <v>81</v>
      </c>
      <c r="R131" s="110" t="s">
        <v>82</v>
      </c>
      <c r="S131" s="110" t="s">
        <v>83</v>
      </c>
      <c r="T131" s="110" t="s">
        <v>84</v>
      </c>
      <c r="U131" s="110" t="s">
        <v>85</v>
      </c>
      <c r="V131" s="110" t="s">
        <v>86</v>
      </c>
      <c r="W131" s="110" t="s">
        <v>87</v>
      </c>
      <c r="X131" s="110" t="s">
        <v>88</v>
      </c>
      <c r="Y131" s="110" t="s">
        <v>89</v>
      </c>
      <c r="Z131" s="110" t="s">
        <v>90</v>
      </c>
      <c r="AA131" s="110" t="s">
        <v>91</v>
      </c>
      <c r="AB131" s="110" t="s">
        <v>92</v>
      </c>
      <c r="AC131" s="110" t="s">
        <v>93</v>
      </c>
      <c r="AD131" s="110" t="s">
        <v>94</v>
      </c>
      <c r="AE131" s="110" t="s">
        <v>95</v>
      </c>
      <c r="AF131" s="110" t="s">
        <v>96</v>
      </c>
      <c r="AG131" s="110" t="s">
        <v>97</v>
      </c>
      <c r="AH131" s="110" t="s">
        <v>98</v>
      </c>
      <c r="AI131" s="110" t="s">
        <v>99</v>
      </c>
      <c r="AJ131" s="111" t="s">
        <v>70</v>
      </c>
      <c r="AK131" s="86"/>
    </row>
    <row r="132" customFormat="false" ht="19.5" hidden="false" customHeight="true" outlineLevel="0" collapsed="false">
      <c r="B132" s="143"/>
      <c r="C132" s="144" t="str">
        <f aca="false">DADOS!$AF$3</f>
        <v>📝 AÇÃO</v>
      </c>
      <c r="D132" s="145" t="str">
        <f aca="false">IF(investirrendavariávelconsolidadomar[[#This Row],[TOTAL (R$)]]=0,"",IF(OR(investirrendavariávelconsolidadomar[[#This Row],[TOTAL (R$)]]=LARGE($AJ$132:$AJ$141,1),investirrendavariávelconsolidadomar[[#This Row],[TOTAL (R$)]]=LARGE($AJ$132:$AJ$141,2)),DADOS!$I$10,""))</f>
        <v/>
      </c>
      <c r="E132" s="148" t="n">
        <f aca="false">SUMIFS(tabela_registros[VALOR],tabela_registros[MÊS],$AE$1,tabela_registros[DIA],investirrendavariávelconsolidadomar[[#Headers],[1]],tabela_registros[REGISTRO],DADOS!$N$5,tabela_registros[TIPO],DADOS!$AB$4,tabela_registros[CATEGORIA],investirrendavariávelconsolidadomar[[#This Row],[ATUAL]])</f>
        <v>0</v>
      </c>
      <c r="F132" s="119" t="n">
        <f aca="false">SUMIFS(tabela_registros[VALOR],tabela_registros[MÊS],$AE$1,tabela_registros[DIA],investirrendavariávelconsolidadomar[[#Headers],[2]],tabela_registros[REGISTRO],DADOS!$N$5,tabela_registros[TIPO],DADOS!$AB$4,tabela_registros[CATEGORIA],investirrendavariávelconsolidadomar[[#This Row],[ATUAL]])</f>
        <v>0</v>
      </c>
      <c r="G132" s="119" t="n">
        <f aca="false">SUMIFS(tabela_registros[VALOR],tabela_registros[MÊS],$AE$1,tabela_registros[DIA],investirrendavariávelconsolidadomar[[#Headers],[3]],tabela_registros[REGISTRO],DADOS!$N$5,tabela_registros[TIPO],DADOS!$AB$4,tabela_registros[CATEGORIA],investirrendavariávelconsolidadomar[[#This Row],[ATUAL]])</f>
        <v>0</v>
      </c>
      <c r="H132" s="119" t="n">
        <f aca="false">SUMIFS(tabela_registros[VALOR],tabela_registros[MÊS],$AE$1,tabela_registros[DIA],investirrendavariávelconsolidadomar[[#Headers],[4]],tabela_registros[REGISTRO],DADOS!$N$5,tabela_registros[TIPO],DADOS!$AB$4,tabela_registros[CATEGORIA],investirrendavariávelconsolidadomar[[#This Row],[ATUAL]])</f>
        <v>0</v>
      </c>
      <c r="I132" s="119" t="n">
        <f aca="false">SUMIFS(tabela_registros[VALOR],tabela_registros[MÊS],$AE$1,tabela_registros[DIA],investirrendavariávelconsolidadomar[[#Headers],[5]],tabela_registros[REGISTRO],DADOS!$N$5,tabela_registros[TIPO],DADOS!$AB$4,tabela_registros[CATEGORIA],investirrendavariávelconsolidadomar[[#This Row],[ATUAL]])</f>
        <v>0</v>
      </c>
      <c r="J132" s="119" t="n">
        <f aca="false">SUMIFS(tabela_registros[VALOR],tabela_registros[MÊS],$AE$1,tabela_registros[DIA],investirrendavariávelconsolidadomar[[#Headers],[6]],tabela_registros[REGISTRO],DADOS!$N$5,tabela_registros[TIPO],DADOS!$AB$4,tabela_registros[CATEGORIA],investirrendavariávelconsolidadomar[[#This Row],[ATUAL]])</f>
        <v>0</v>
      </c>
      <c r="K132" s="119" t="n">
        <f aca="false">SUMIFS(tabela_registros[VALOR],tabela_registros[MÊS],$AE$1,tabela_registros[DIA],investirrendavariávelconsolidadomar[[#Headers],[7]],tabela_registros[REGISTRO],DADOS!$N$5,tabela_registros[TIPO],DADOS!$AB$4,tabela_registros[CATEGORIA],investirrendavariávelconsolidadomar[[#This Row],[ATUAL]])</f>
        <v>0</v>
      </c>
      <c r="L132" s="119" t="n">
        <f aca="false">SUMIFS(tabela_registros[VALOR],tabela_registros[MÊS],$AE$1,tabela_registros[DIA],investirrendavariávelconsolidadomar[[#Headers],[8]],tabela_registros[REGISTRO],DADOS!$N$5,tabela_registros[TIPO],DADOS!$AB$4,tabela_registros[CATEGORIA],investirrendavariávelconsolidadomar[[#This Row],[ATUAL]])</f>
        <v>0</v>
      </c>
      <c r="M132" s="119" t="n">
        <f aca="false">SUMIFS(tabela_registros[VALOR],tabela_registros[MÊS],$AE$1,tabela_registros[DIA],investirrendavariávelconsolidadomar[[#Headers],[9]],tabela_registros[REGISTRO],DADOS!$N$5,tabela_registros[TIPO],DADOS!$AB$4,tabela_registros[CATEGORIA],investirrendavariávelconsolidadomar[[#This Row],[ATUAL]])</f>
        <v>0</v>
      </c>
      <c r="N132" s="119" t="n">
        <f aca="false">SUMIFS(tabela_registros[VALOR],tabela_registros[MÊS],$AE$1,tabela_registros[DIA],investirrendavariávelconsolidadomar[[#Headers],[10]],tabela_registros[REGISTRO],DADOS!$N$5,tabela_registros[TIPO],DADOS!$AB$4,tabela_registros[CATEGORIA],investirrendavariávelconsolidadomar[[#This Row],[ATUAL]])</f>
        <v>0</v>
      </c>
      <c r="O132" s="119" t="n">
        <f aca="false">SUMIFS(tabela_registros[VALOR],tabela_registros[MÊS],$AE$1,tabela_registros[DIA],investirrendavariávelconsolidadomar[[#Headers],[11]],tabela_registros[REGISTRO],DADOS!$N$5,tabela_registros[TIPO],DADOS!$AB$4,tabela_registros[CATEGORIA],investirrendavariávelconsolidadomar[[#This Row],[ATUAL]])</f>
        <v>0</v>
      </c>
      <c r="P132" s="119" t="n">
        <f aca="false">SUMIFS(tabela_registros[VALOR],tabela_registros[MÊS],$AE$1,tabela_registros[DIA],investirrendavariávelconsolidadomar[[#Headers],[12]],tabela_registros[REGISTRO],DADOS!$N$5,tabela_registros[TIPO],DADOS!$AB$4,tabela_registros[CATEGORIA],investirrendavariávelconsolidadomar[[#This Row],[ATUAL]])</f>
        <v>0</v>
      </c>
      <c r="Q132" s="119" t="n">
        <f aca="false">SUMIFS(tabela_registros[VALOR],tabela_registros[MÊS],$AE$1,tabela_registros[DIA],investirrendavariávelconsolidadomar[[#Headers],[13]],tabela_registros[REGISTRO],DADOS!$N$5,tabela_registros[TIPO],DADOS!$AB$4,tabela_registros[CATEGORIA],investirrendavariávelconsolidadomar[[#This Row],[ATUAL]])</f>
        <v>0</v>
      </c>
      <c r="R132" s="119" t="n">
        <f aca="false">SUMIFS(tabela_registros[VALOR],tabela_registros[MÊS],$AE$1,tabela_registros[DIA],investirrendavariávelconsolidadomar[[#Headers],[14]],tabela_registros[REGISTRO],DADOS!$N$5,tabela_registros[TIPO],DADOS!$AB$4,tabela_registros[CATEGORIA],investirrendavariávelconsolidadomar[[#This Row],[ATUAL]])</f>
        <v>0</v>
      </c>
      <c r="S132" s="119" t="n">
        <f aca="false">SUMIFS(tabela_registros[VALOR],tabela_registros[MÊS],$AE$1,tabela_registros[DIA],investirrendavariávelconsolidadomar[[#Headers],[15]],tabela_registros[REGISTRO],DADOS!$N$5,tabela_registros[TIPO],DADOS!$AB$4,tabela_registros[CATEGORIA],investirrendavariávelconsolidadomar[[#This Row],[ATUAL]])</f>
        <v>0</v>
      </c>
      <c r="T132" s="119" t="n">
        <f aca="false">SUMIFS(tabela_registros[VALOR],tabela_registros[MÊS],$AE$1,tabela_registros[DIA],investirrendavariávelconsolidadomar[[#Headers],[16]],tabela_registros[REGISTRO],DADOS!$N$5,tabela_registros[TIPO],DADOS!$AB$4,tabela_registros[CATEGORIA],investirrendavariávelconsolidadomar[[#This Row],[ATUAL]])</f>
        <v>0</v>
      </c>
      <c r="U132" s="119" t="n">
        <f aca="false">SUMIFS(tabela_registros[VALOR],tabela_registros[MÊS],$AE$1,tabela_registros[DIA],investirrendavariávelconsolidadomar[[#Headers],[17]],tabela_registros[REGISTRO],DADOS!$N$5,tabela_registros[TIPO],DADOS!$AB$4,tabela_registros[CATEGORIA],investirrendavariávelconsolidadomar[[#This Row],[ATUAL]])</f>
        <v>0</v>
      </c>
      <c r="V132" s="119" t="n">
        <f aca="false">SUMIFS(tabela_registros[VALOR],tabela_registros[MÊS],$AE$1,tabela_registros[DIA],investirrendavariávelconsolidadomar[[#Headers],[18]],tabela_registros[REGISTRO],DADOS!$N$5,tabela_registros[TIPO],DADOS!$AB$4,tabela_registros[CATEGORIA],investirrendavariávelconsolidadomar[[#This Row],[ATUAL]])</f>
        <v>0</v>
      </c>
      <c r="W132" s="119" t="n">
        <f aca="false">SUMIFS(tabela_registros[VALOR],tabela_registros[MÊS],$AE$1,tabela_registros[DIA],investirrendavariávelconsolidadomar[[#Headers],[19]],tabela_registros[REGISTRO],DADOS!$N$5,tabela_registros[TIPO],DADOS!$AB$4,tabela_registros[CATEGORIA],investirrendavariávelconsolidadomar[[#This Row],[ATUAL]])</f>
        <v>0</v>
      </c>
      <c r="X132" s="119" t="n">
        <f aca="false">SUMIFS(tabela_registros[VALOR],tabela_registros[MÊS],$AE$1,tabela_registros[DIA],investirrendavariávelconsolidadomar[[#Headers],[20]],tabela_registros[REGISTRO],DADOS!$N$5,tabela_registros[TIPO],DADOS!$AB$4,tabela_registros[CATEGORIA],investirrendavariávelconsolidadomar[[#This Row],[ATUAL]])</f>
        <v>0</v>
      </c>
      <c r="Y132" s="119" t="n">
        <f aca="false">SUMIFS(tabela_registros[VALOR],tabela_registros[MÊS],$AE$1,tabela_registros[DIA],investirrendavariávelconsolidadomar[[#Headers],[21]],tabela_registros[REGISTRO],DADOS!$N$5,tabela_registros[TIPO],DADOS!$AB$4,tabela_registros[CATEGORIA],investirrendavariávelconsolidadomar[[#This Row],[ATUAL]])</f>
        <v>0</v>
      </c>
      <c r="Z132" s="119" t="n">
        <f aca="false">SUMIFS(tabela_registros[VALOR],tabela_registros[MÊS],$AE$1,tabela_registros[DIA],investirrendavariávelconsolidadomar[[#Headers],[22]],tabela_registros[REGISTRO],DADOS!$N$5,tabela_registros[TIPO],DADOS!$AB$4,tabela_registros[CATEGORIA],investirrendavariávelconsolidadomar[[#This Row],[ATUAL]])</f>
        <v>0</v>
      </c>
      <c r="AA132" s="119" t="n">
        <f aca="false">SUMIFS(tabela_registros[VALOR],tabela_registros[MÊS],$AE$1,tabela_registros[DIA],investirrendavariávelconsolidadomar[[#Headers],[23]],tabela_registros[REGISTRO],DADOS!$N$5,tabela_registros[TIPO],DADOS!$AB$4,tabela_registros[CATEGORIA],investirrendavariávelconsolidadomar[[#This Row],[ATUAL]])</f>
        <v>0</v>
      </c>
      <c r="AB132" s="119" t="n">
        <f aca="false">SUMIFS(tabela_registros[VALOR],tabela_registros[MÊS],$AE$1,tabela_registros[DIA],investirrendavariávelconsolidadomar[[#Headers],[24]],tabela_registros[REGISTRO],DADOS!$N$5,tabela_registros[TIPO],DADOS!$AB$4,tabela_registros[CATEGORIA],investirrendavariávelconsolidadomar[[#This Row],[ATUAL]])</f>
        <v>0</v>
      </c>
      <c r="AC132" s="119" t="n">
        <f aca="false">SUMIFS(tabela_registros[VALOR],tabela_registros[MÊS],$AE$1,tabela_registros[DIA],investirrendavariávelconsolidadomar[[#Headers],[25]],tabela_registros[REGISTRO],DADOS!$N$5,tabela_registros[TIPO],DADOS!$AB$4,tabela_registros[CATEGORIA],investirrendavariávelconsolidadomar[[#This Row],[ATUAL]])</f>
        <v>0</v>
      </c>
      <c r="AD132" s="119" t="n">
        <f aca="false">SUMIFS(tabela_registros[VALOR],tabela_registros[MÊS],$AE$1,tabela_registros[DIA],investirrendavariávelconsolidadomar[[#Headers],[26]],tabela_registros[REGISTRO],DADOS!$N$5,tabela_registros[TIPO],DADOS!$AB$4,tabela_registros[CATEGORIA],investirrendavariávelconsolidadomar[[#This Row],[ATUAL]])</f>
        <v>0</v>
      </c>
      <c r="AE132" s="119" t="n">
        <f aca="false">SUMIFS(tabela_registros[VALOR],tabela_registros[MÊS],$AE$1,tabela_registros[DIA],investirrendavariávelconsolidadomar[[#Headers],[27]],tabela_registros[REGISTRO],DADOS!$N$5,tabela_registros[TIPO],DADOS!$AB$4,tabela_registros[CATEGORIA],investirrendavariávelconsolidadomar[[#This Row],[ATUAL]])</f>
        <v>0</v>
      </c>
      <c r="AF132" s="119" t="n">
        <f aca="false">SUMIFS(tabela_registros[VALOR],tabela_registros[MÊS],$AE$1,tabela_registros[DIA],investirrendavariávelconsolidadomar[[#Headers],[28]],tabela_registros[REGISTRO],DADOS!$N$5,tabela_registros[TIPO],DADOS!$AB$4,tabela_registros[CATEGORIA],investirrendavariávelconsolidadomar[[#This Row],[ATUAL]])</f>
        <v>0</v>
      </c>
      <c r="AG132" s="119" t="n">
        <f aca="false">SUMIFS(tabela_registros[VALOR],tabela_registros[MÊS],$AE$1,tabela_registros[DIA],investirrendavariávelconsolidadomar[[#Headers],[29]],tabela_registros[REGISTRO],DADOS!$N$5,tabela_registros[TIPO],DADOS!$AB$4,tabela_registros[CATEGORIA],investirrendavariávelconsolidadomar[[#This Row],[ATUAL]])</f>
        <v>0</v>
      </c>
      <c r="AH132" s="119" t="n">
        <f aca="false">SUMIFS(tabela_registros[VALOR],tabela_registros[MÊS],$AE$1,tabela_registros[DIA],investirrendavariávelconsolidadomar[[#Headers],[30]],tabela_registros[REGISTRO],DADOS!$N$5,tabela_registros[TIPO],DADOS!$AB$4,tabela_registros[CATEGORIA],investirrendavariávelconsolidadomar[[#This Row],[ATUAL]])</f>
        <v>0</v>
      </c>
      <c r="AI132" s="217" t="n">
        <f aca="false">SUMIFS(tabela_registros[VALOR],tabela_registros[MÊS],$AE$1,tabela_registros[DIA],investirrendavariávelconsolidadomar[[#Headers],[31]],tabela_registros[REGISTRO],DADOS!$N$5,tabela_registros[TIPO],DADOS!$AB$4,tabela_registros[CATEGORIA],investirrendavariávelconsolidadomar[[#This Row],[ATUAL]])</f>
        <v>0</v>
      </c>
      <c r="AJ132" s="149" t="n">
        <f aca="false">SUM(investirrendavariávelconsolidadomar[[#This Row],[1]:[31]])</f>
        <v>0</v>
      </c>
      <c r="AK132" s="165"/>
    </row>
    <row r="133" customFormat="false" ht="19.5" hidden="false" customHeight="true" outlineLevel="0" collapsed="false">
      <c r="B133" s="143"/>
      <c r="C133" s="144" t="str">
        <f aca="false">DADOS!$AF$4</f>
        <v>📝 COMÓDITE</v>
      </c>
      <c r="D133" s="145" t="str">
        <f aca="false">IF(investirrendavariávelconsolidadomar[[#This Row],[TOTAL (R$)]]=0,"",IF(OR(investirrendavariávelconsolidadomar[[#This Row],[TOTAL (R$)]]=LARGE($AJ$132:$AJ$141,1),investirrendavariávelconsolidadomar[[#This Row],[TOTAL (R$)]]=LARGE($AJ$132:$AJ$141,2)),DADOS!$I$10,""))</f>
        <v/>
      </c>
      <c r="E133" s="148" t="n">
        <f aca="false">SUMIFS(tabela_registros[VALOR],tabela_registros[MÊS],$AE$1,tabela_registros[DIA],investirrendavariávelconsolidadomar[[#Headers],[1]],tabela_registros[REGISTRO],DADOS!$N$5,tabela_registros[TIPO],DADOS!$AB$4,tabela_registros[CATEGORIA],investirrendavariávelconsolidadomar[[#This Row],[ATUAL]])</f>
        <v>0</v>
      </c>
      <c r="F133" s="119" t="n">
        <f aca="false">SUMIFS(tabela_registros[VALOR],tabela_registros[MÊS],$AE$1,tabela_registros[DIA],investirrendavariávelconsolidadomar[[#Headers],[2]],tabela_registros[REGISTRO],DADOS!$N$5,tabela_registros[TIPO],DADOS!$AB$4,tabela_registros[CATEGORIA],investirrendavariávelconsolidadomar[[#This Row],[ATUAL]])</f>
        <v>0</v>
      </c>
      <c r="G133" s="119" t="n">
        <f aca="false">SUMIFS(tabela_registros[VALOR],tabela_registros[MÊS],$AE$1,tabela_registros[DIA],investirrendavariávelconsolidadomar[[#Headers],[3]],tabela_registros[REGISTRO],DADOS!$N$5,tabela_registros[TIPO],DADOS!$AB$4,tabela_registros[CATEGORIA],investirrendavariávelconsolidadomar[[#This Row],[ATUAL]])</f>
        <v>0</v>
      </c>
      <c r="H133" s="119" t="n">
        <f aca="false">SUMIFS(tabela_registros[VALOR],tabela_registros[MÊS],$AE$1,tabela_registros[DIA],investirrendavariávelconsolidadomar[[#Headers],[4]],tabela_registros[REGISTRO],DADOS!$N$5,tabela_registros[TIPO],DADOS!$AB$4,tabela_registros[CATEGORIA],investirrendavariávelconsolidadomar[[#This Row],[ATUAL]])</f>
        <v>0</v>
      </c>
      <c r="I133" s="119" t="n">
        <f aca="false">SUMIFS(tabela_registros[VALOR],tabela_registros[MÊS],$AE$1,tabela_registros[DIA],investirrendavariávelconsolidadomar[[#Headers],[5]],tabela_registros[REGISTRO],DADOS!$N$5,tabela_registros[TIPO],DADOS!$AB$4,tabela_registros[CATEGORIA],investirrendavariávelconsolidadomar[[#This Row],[ATUAL]])</f>
        <v>0</v>
      </c>
      <c r="J133" s="119" t="n">
        <f aca="false">SUMIFS(tabela_registros[VALOR],tabela_registros[MÊS],$AE$1,tabela_registros[DIA],investirrendavariávelconsolidadomar[[#Headers],[6]],tabela_registros[REGISTRO],DADOS!$N$5,tabela_registros[TIPO],DADOS!$AB$4,tabela_registros[CATEGORIA],investirrendavariávelconsolidadomar[[#This Row],[ATUAL]])</f>
        <v>0</v>
      </c>
      <c r="K133" s="119" t="n">
        <f aca="false">SUMIFS(tabela_registros[VALOR],tabela_registros[MÊS],$AE$1,tabela_registros[DIA],investirrendavariávelconsolidadomar[[#Headers],[7]],tabela_registros[REGISTRO],DADOS!$N$5,tabela_registros[TIPO],DADOS!$AB$4,tabela_registros[CATEGORIA],investirrendavariávelconsolidadomar[[#This Row],[ATUAL]])</f>
        <v>0</v>
      </c>
      <c r="L133" s="119" t="n">
        <f aca="false">SUMIFS(tabela_registros[VALOR],tabela_registros[MÊS],$AE$1,tabela_registros[DIA],investirrendavariávelconsolidadomar[[#Headers],[8]],tabela_registros[REGISTRO],DADOS!$N$5,tabela_registros[TIPO],DADOS!$AB$4,tabela_registros[CATEGORIA],investirrendavariávelconsolidadomar[[#This Row],[ATUAL]])</f>
        <v>0</v>
      </c>
      <c r="M133" s="119" t="n">
        <f aca="false">SUMIFS(tabela_registros[VALOR],tabela_registros[MÊS],$AE$1,tabela_registros[DIA],investirrendavariávelconsolidadomar[[#Headers],[9]],tabela_registros[REGISTRO],DADOS!$N$5,tabela_registros[TIPO],DADOS!$AB$4,tabela_registros[CATEGORIA],investirrendavariávelconsolidadomar[[#This Row],[ATUAL]])</f>
        <v>0</v>
      </c>
      <c r="N133" s="119" t="n">
        <f aca="false">SUMIFS(tabela_registros[VALOR],tabela_registros[MÊS],$AE$1,tabela_registros[DIA],investirrendavariávelconsolidadomar[[#Headers],[10]],tabela_registros[REGISTRO],DADOS!$N$5,tabela_registros[TIPO],DADOS!$AB$4,tabela_registros[CATEGORIA],investirrendavariávelconsolidadomar[[#This Row],[ATUAL]])</f>
        <v>0</v>
      </c>
      <c r="O133" s="119" t="n">
        <f aca="false">SUMIFS(tabela_registros[VALOR],tabela_registros[MÊS],$AE$1,tabela_registros[DIA],investirrendavariávelconsolidadomar[[#Headers],[11]],tabela_registros[REGISTRO],DADOS!$N$5,tabela_registros[TIPO],DADOS!$AB$4,tabela_registros[CATEGORIA],investirrendavariávelconsolidadomar[[#This Row],[ATUAL]])</f>
        <v>0</v>
      </c>
      <c r="P133" s="119" t="n">
        <f aca="false">SUMIFS(tabela_registros[VALOR],tabela_registros[MÊS],$AE$1,tabela_registros[DIA],investirrendavariávelconsolidadomar[[#Headers],[12]],tabela_registros[REGISTRO],DADOS!$N$5,tabela_registros[TIPO],DADOS!$AB$4,tabela_registros[CATEGORIA],investirrendavariávelconsolidadomar[[#This Row],[ATUAL]])</f>
        <v>0</v>
      </c>
      <c r="Q133" s="119" t="n">
        <f aca="false">SUMIFS(tabela_registros[VALOR],tabela_registros[MÊS],$AE$1,tabela_registros[DIA],investirrendavariávelconsolidadomar[[#Headers],[13]],tabela_registros[REGISTRO],DADOS!$N$5,tabela_registros[TIPO],DADOS!$AB$4,tabela_registros[CATEGORIA],investirrendavariávelconsolidadomar[[#This Row],[ATUAL]])</f>
        <v>0</v>
      </c>
      <c r="R133" s="119" t="n">
        <f aca="false">SUMIFS(tabela_registros[VALOR],tabela_registros[MÊS],$AE$1,tabela_registros[DIA],investirrendavariávelconsolidadomar[[#Headers],[14]],tabela_registros[REGISTRO],DADOS!$N$5,tabela_registros[TIPO],DADOS!$AB$4,tabela_registros[CATEGORIA],investirrendavariávelconsolidadomar[[#This Row],[ATUAL]])</f>
        <v>0</v>
      </c>
      <c r="S133" s="119" t="n">
        <f aca="false">SUMIFS(tabela_registros[VALOR],tabela_registros[MÊS],$AE$1,tabela_registros[DIA],investirrendavariávelconsolidadomar[[#Headers],[15]],tabela_registros[REGISTRO],DADOS!$N$5,tabela_registros[TIPO],DADOS!$AB$4,tabela_registros[CATEGORIA],investirrendavariávelconsolidadomar[[#This Row],[ATUAL]])</f>
        <v>0</v>
      </c>
      <c r="T133" s="119" t="n">
        <f aca="false">SUMIFS(tabela_registros[VALOR],tabela_registros[MÊS],$AE$1,tabela_registros[DIA],investirrendavariávelconsolidadomar[[#Headers],[16]],tabela_registros[REGISTRO],DADOS!$N$5,tabela_registros[TIPO],DADOS!$AB$4,tabela_registros[CATEGORIA],investirrendavariávelconsolidadomar[[#This Row],[ATUAL]])</f>
        <v>0</v>
      </c>
      <c r="U133" s="119" t="n">
        <f aca="false">SUMIFS(tabela_registros[VALOR],tabela_registros[MÊS],$AE$1,tabela_registros[DIA],investirrendavariávelconsolidadomar[[#Headers],[17]],tabela_registros[REGISTRO],DADOS!$N$5,tabela_registros[TIPO],DADOS!$AB$4,tabela_registros[CATEGORIA],investirrendavariávelconsolidadomar[[#This Row],[ATUAL]])</f>
        <v>0</v>
      </c>
      <c r="V133" s="119" t="n">
        <f aca="false">SUMIFS(tabela_registros[VALOR],tabela_registros[MÊS],$AE$1,tabela_registros[DIA],investirrendavariávelconsolidadomar[[#Headers],[18]],tabela_registros[REGISTRO],DADOS!$N$5,tabela_registros[TIPO],DADOS!$AB$4,tabela_registros[CATEGORIA],investirrendavariávelconsolidadomar[[#This Row],[ATUAL]])</f>
        <v>0</v>
      </c>
      <c r="W133" s="119" t="n">
        <f aca="false">SUMIFS(tabela_registros[VALOR],tabela_registros[MÊS],$AE$1,tabela_registros[DIA],investirrendavariávelconsolidadomar[[#Headers],[19]],tabela_registros[REGISTRO],DADOS!$N$5,tabela_registros[TIPO],DADOS!$AB$4,tabela_registros[CATEGORIA],investirrendavariávelconsolidadomar[[#This Row],[ATUAL]])</f>
        <v>0</v>
      </c>
      <c r="X133" s="119" t="n">
        <f aca="false">SUMIFS(tabela_registros[VALOR],tabela_registros[MÊS],$AE$1,tabela_registros[DIA],investirrendavariávelconsolidadomar[[#Headers],[20]],tabela_registros[REGISTRO],DADOS!$N$5,tabela_registros[TIPO],DADOS!$AB$4,tabela_registros[CATEGORIA],investirrendavariávelconsolidadomar[[#This Row],[ATUAL]])</f>
        <v>0</v>
      </c>
      <c r="Y133" s="119" t="n">
        <f aca="false">SUMIFS(tabela_registros[VALOR],tabela_registros[MÊS],$AE$1,tabela_registros[DIA],investirrendavariávelconsolidadomar[[#Headers],[21]],tabela_registros[REGISTRO],DADOS!$N$5,tabela_registros[TIPO],DADOS!$AB$4,tabela_registros[CATEGORIA],investirrendavariávelconsolidadomar[[#This Row],[ATUAL]])</f>
        <v>0</v>
      </c>
      <c r="Z133" s="119" t="n">
        <f aca="false">SUMIFS(tabela_registros[VALOR],tabela_registros[MÊS],$AE$1,tabela_registros[DIA],investirrendavariávelconsolidadomar[[#Headers],[22]],tabela_registros[REGISTRO],DADOS!$N$5,tabela_registros[TIPO],DADOS!$AB$4,tabela_registros[CATEGORIA],investirrendavariávelconsolidadomar[[#This Row],[ATUAL]])</f>
        <v>0</v>
      </c>
      <c r="AA133" s="119" t="n">
        <f aca="false">SUMIFS(tabela_registros[VALOR],tabela_registros[MÊS],$AE$1,tabela_registros[DIA],investirrendavariávelconsolidadomar[[#Headers],[23]],tabela_registros[REGISTRO],DADOS!$N$5,tabela_registros[TIPO],DADOS!$AB$4,tabela_registros[CATEGORIA],investirrendavariávelconsolidadomar[[#This Row],[ATUAL]])</f>
        <v>0</v>
      </c>
      <c r="AB133" s="119" t="n">
        <f aca="false">SUMIFS(tabela_registros[VALOR],tabela_registros[MÊS],$AE$1,tabela_registros[DIA],investirrendavariávelconsolidadomar[[#Headers],[24]],tabela_registros[REGISTRO],DADOS!$N$5,tabela_registros[TIPO],DADOS!$AB$4,tabela_registros[CATEGORIA],investirrendavariávelconsolidadomar[[#This Row],[ATUAL]])</f>
        <v>0</v>
      </c>
      <c r="AC133" s="119" t="n">
        <f aca="false">SUMIFS(tabela_registros[VALOR],tabela_registros[MÊS],$AE$1,tabela_registros[DIA],investirrendavariávelconsolidadomar[[#Headers],[25]],tabela_registros[REGISTRO],DADOS!$N$5,tabela_registros[TIPO],DADOS!$AB$4,tabela_registros[CATEGORIA],investirrendavariávelconsolidadomar[[#This Row],[ATUAL]])</f>
        <v>0</v>
      </c>
      <c r="AD133" s="119" t="n">
        <f aca="false">SUMIFS(tabela_registros[VALOR],tabela_registros[MÊS],$AE$1,tabela_registros[DIA],investirrendavariávelconsolidadomar[[#Headers],[26]],tabela_registros[REGISTRO],DADOS!$N$5,tabela_registros[TIPO],DADOS!$AB$4,tabela_registros[CATEGORIA],investirrendavariávelconsolidadomar[[#This Row],[ATUAL]])</f>
        <v>0</v>
      </c>
      <c r="AE133" s="119" t="n">
        <f aca="false">SUMIFS(tabela_registros[VALOR],tabela_registros[MÊS],$AE$1,tabela_registros[DIA],investirrendavariávelconsolidadomar[[#Headers],[27]],tabela_registros[REGISTRO],DADOS!$N$5,tabela_registros[TIPO],DADOS!$AB$4,tabela_registros[CATEGORIA],investirrendavariávelconsolidadomar[[#This Row],[ATUAL]])</f>
        <v>0</v>
      </c>
      <c r="AF133" s="119" t="n">
        <f aca="false">SUMIFS(tabela_registros[VALOR],tabela_registros[MÊS],$AE$1,tabela_registros[DIA],investirrendavariávelconsolidadomar[[#Headers],[28]],tabela_registros[REGISTRO],DADOS!$N$5,tabela_registros[TIPO],DADOS!$AB$4,tabela_registros[CATEGORIA],investirrendavariávelconsolidadomar[[#This Row],[ATUAL]])</f>
        <v>0</v>
      </c>
      <c r="AG133" s="119" t="n">
        <f aca="false">SUMIFS(tabela_registros[VALOR],tabela_registros[MÊS],$AE$1,tabela_registros[DIA],investirrendavariávelconsolidadomar[[#Headers],[29]],tabela_registros[REGISTRO],DADOS!$N$5,tabela_registros[TIPO],DADOS!$AB$4,tabela_registros[CATEGORIA],investirrendavariávelconsolidadomar[[#This Row],[ATUAL]])</f>
        <v>0</v>
      </c>
      <c r="AH133" s="119" t="n">
        <f aca="false">SUMIFS(tabela_registros[VALOR],tabela_registros[MÊS],$AE$1,tabela_registros[DIA],investirrendavariávelconsolidadomar[[#Headers],[30]],tabela_registros[REGISTRO],DADOS!$N$5,tabela_registros[TIPO],DADOS!$AB$4,tabela_registros[CATEGORIA],investirrendavariávelconsolidadomar[[#This Row],[ATUAL]])</f>
        <v>0</v>
      </c>
      <c r="AI133" s="217" t="n">
        <f aca="false">SUMIFS(tabela_registros[VALOR],tabela_registros[MÊS],$AE$1,tabela_registros[DIA],investirrendavariávelconsolidadomar[[#Headers],[31]],tabela_registros[REGISTRO],DADOS!$N$5,tabela_registros[TIPO],DADOS!$AB$4,tabela_registros[CATEGORIA],investirrendavariávelconsolidadomar[[#This Row],[ATUAL]])</f>
        <v>0</v>
      </c>
      <c r="AJ133" s="149" t="n">
        <f aca="false">SUM(investirrendavariávelconsolidadomar[[#This Row],[1]:[31]])</f>
        <v>0</v>
      </c>
      <c r="AK133" s="165"/>
    </row>
    <row r="134" customFormat="false" ht="19.5" hidden="false" customHeight="true" outlineLevel="0" collapsed="false">
      <c r="B134" s="143"/>
      <c r="C134" s="144" t="str">
        <f aca="false">DADOS!$AF$5</f>
        <v>📝 CONTRATO DE FUTUROS</v>
      </c>
      <c r="D134" s="145" t="str">
        <f aca="false">IF(investirrendavariávelconsolidadomar[[#This Row],[TOTAL (R$)]]=0,"",IF(OR(investirrendavariávelconsolidadomar[[#This Row],[TOTAL (R$)]]=LARGE($AJ$132:$AJ$141,1),investirrendavariávelconsolidadomar[[#This Row],[TOTAL (R$)]]=LARGE($AJ$132:$AJ$141,2)),DADOS!$I$10,""))</f>
        <v/>
      </c>
      <c r="E134" s="148" t="n">
        <f aca="false">SUMIFS(tabela_registros[VALOR],tabela_registros[MÊS],$AE$1,tabela_registros[DIA],investirrendavariávelconsolidadomar[[#Headers],[1]],tabela_registros[REGISTRO],DADOS!$N$5,tabela_registros[TIPO],DADOS!$AB$4,tabela_registros[CATEGORIA],investirrendavariávelconsolidadomar[[#This Row],[ATUAL]])</f>
        <v>0</v>
      </c>
      <c r="F134" s="119" t="n">
        <f aca="false">SUMIFS(tabela_registros[VALOR],tabela_registros[MÊS],$AE$1,tabela_registros[DIA],investirrendavariávelconsolidadomar[[#Headers],[2]],tabela_registros[REGISTRO],DADOS!$N$5,tabela_registros[TIPO],DADOS!$AB$4,tabela_registros[CATEGORIA],investirrendavariávelconsolidadomar[[#This Row],[ATUAL]])</f>
        <v>0</v>
      </c>
      <c r="G134" s="119" t="n">
        <f aca="false">SUMIFS(tabela_registros[VALOR],tabela_registros[MÊS],$AE$1,tabela_registros[DIA],investirrendavariávelconsolidadomar[[#Headers],[3]],tabela_registros[REGISTRO],DADOS!$N$5,tabela_registros[TIPO],DADOS!$AB$4,tabela_registros[CATEGORIA],investirrendavariávelconsolidadomar[[#This Row],[ATUAL]])</f>
        <v>0</v>
      </c>
      <c r="H134" s="119" t="n">
        <f aca="false">SUMIFS(tabela_registros[VALOR],tabela_registros[MÊS],$AE$1,tabela_registros[DIA],investirrendavariávelconsolidadomar[[#Headers],[4]],tabela_registros[REGISTRO],DADOS!$N$5,tabela_registros[TIPO],DADOS!$AB$4,tabela_registros[CATEGORIA],investirrendavariávelconsolidadomar[[#This Row],[ATUAL]])</f>
        <v>0</v>
      </c>
      <c r="I134" s="119" t="n">
        <f aca="false">SUMIFS(tabela_registros[VALOR],tabela_registros[MÊS],$AE$1,tabela_registros[DIA],investirrendavariávelconsolidadomar[[#Headers],[5]],tabela_registros[REGISTRO],DADOS!$N$5,tabela_registros[TIPO],DADOS!$AB$4,tabela_registros[CATEGORIA],investirrendavariávelconsolidadomar[[#This Row],[ATUAL]])</f>
        <v>0</v>
      </c>
      <c r="J134" s="119" t="n">
        <f aca="false">SUMIFS(tabela_registros[VALOR],tabela_registros[MÊS],$AE$1,tabela_registros[DIA],investirrendavariávelconsolidadomar[[#Headers],[6]],tabela_registros[REGISTRO],DADOS!$N$5,tabela_registros[TIPO],DADOS!$AB$4,tabela_registros[CATEGORIA],investirrendavariávelconsolidadomar[[#This Row],[ATUAL]])</f>
        <v>0</v>
      </c>
      <c r="K134" s="119" t="n">
        <f aca="false">SUMIFS(tabela_registros[VALOR],tabela_registros[MÊS],$AE$1,tabela_registros[DIA],investirrendavariávelconsolidadomar[[#Headers],[7]],tabela_registros[REGISTRO],DADOS!$N$5,tabela_registros[TIPO],DADOS!$AB$4,tabela_registros[CATEGORIA],investirrendavariávelconsolidadomar[[#This Row],[ATUAL]])</f>
        <v>0</v>
      </c>
      <c r="L134" s="119" t="n">
        <f aca="false">SUMIFS(tabela_registros[VALOR],tabela_registros[MÊS],$AE$1,tabela_registros[DIA],investirrendavariávelconsolidadomar[[#Headers],[8]],tabela_registros[REGISTRO],DADOS!$N$5,tabela_registros[TIPO],DADOS!$AB$4,tabela_registros[CATEGORIA],investirrendavariávelconsolidadomar[[#This Row],[ATUAL]])</f>
        <v>0</v>
      </c>
      <c r="M134" s="119" t="n">
        <f aca="false">SUMIFS(tabela_registros[VALOR],tabela_registros[MÊS],$AE$1,tabela_registros[DIA],investirrendavariávelconsolidadomar[[#Headers],[9]],tabela_registros[REGISTRO],DADOS!$N$5,tabela_registros[TIPO],DADOS!$AB$4,tabela_registros[CATEGORIA],investirrendavariávelconsolidadomar[[#This Row],[ATUAL]])</f>
        <v>0</v>
      </c>
      <c r="N134" s="119" t="n">
        <f aca="false">SUMIFS(tabela_registros[VALOR],tabela_registros[MÊS],$AE$1,tabela_registros[DIA],investirrendavariávelconsolidadomar[[#Headers],[10]],tabela_registros[REGISTRO],DADOS!$N$5,tabela_registros[TIPO],DADOS!$AB$4,tabela_registros[CATEGORIA],investirrendavariávelconsolidadomar[[#This Row],[ATUAL]])</f>
        <v>0</v>
      </c>
      <c r="O134" s="119" t="n">
        <f aca="false">SUMIFS(tabela_registros[VALOR],tabela_registros[MÊS],$AE$1,tabela_registros[DIA],investirrendavariávelconsolidadomar[[#Headers],[11]],tabela_registros[REGISTRO],DADOS!$N$5,tabela_registros[TIPO],DADOS!$AB$4,tabela_registros[CATEGORIA],investirrendavariávelconsolidadomar[[#This Row],[ATUAL]])</f>
        <v>0</v>
      </c>
      <c r="P134" s="119" t="n">
        <f aca="false">SUMIFS(tabela_registros[VALOR],tabela_registros[MÊS],$AE$1,tabela_registros[DIA],investirrendavariávelconsolidadomar[[#Headers],[12]],tabela_registros[REGISTRO],DADOS!$N$5,tabela_registros[TIPO],DADOS!$AB$4,tabela_registros[CATEGORIA],investirrendavariávelconsolidadomar[[#This Row],[ATUAL]])</f>
        <v>0</v>
      </c>
      <c r="Q134" s="119" t="n">
        <f aca="false">SUMIFS(tabela_registros[VALOR],tabela_registros[MÊS],$AE$1,tabela_registros[DIA],investirrendavariávelconsolidadomar[[#Headers],[13]],tabela_registros[REGISTRO],DADOS!$N$5,tabela_registros[TIPO],DADOS!$AB$4,tabela_registros[CATEGORIA],investirrendavariávelconsolidadomar[[#This Row],[ATUAL]])</f>
        <v>0</v>
      </c>
      <c r="R134" s="119" t="n">
        <f aca="false">SUMIFS(tabela_registros[VALOR],tabela_registros[MÊS],$AE$1,tabela_registros[DIA],investirrendavariávelconsolidadomar[[#Headers],[14]],tabela_registros[REGISTRO],DADOS!$N$5,tabela_registros[TIPO],DADOS!$AB$4,tabela_registros[CATEGORIA],investirrendavariávelconsolidadomar[[#This Row],[ATUAL]])</f>
        <v>0</v>
      </c>
      <c r="S134" s="119" t="n">
        <f aca="false">SUMIFS(tabela_registros[VALOR],tabela_registros[MÊS],$AE$1,tabela_registros[DIA],investirrendavariávelconsolidadomar[[#Headers],[15]],tabela_registros[REGISTRO],DADOS!$N$5,tabela_registros[TIPO],DADOS!$AB$4,tabela_registros[CATEGORIA],investirrendavariávelconsolidadomar[[#This Row],[ATUAL]])</f>
        <v>0</v>
      </c>
      <c r="T134" s="119" t="n">
        <f aca="false">SUMIFS(tabela_registros[VALOR],tabela_registros[MÊS],$AE$1,tabela_registros[DIA],investirrendavariávelconsolidadomar[[#Headers],[16]],tabela_registros[REGISTRO],DADOS!$N$5,tabela_registros[TIPO],DADOS!$AB$4,tabela_registros[CATEGORIA],investirrendavariávelconsolidadomar[[#This Row],[ATUAL]])</f>
        <v>0</v>
      </c>
      <c r="U134" s="119" t="n">
        <f aca="false">SUMIFS(tabela_registros[VALOR],tabela_registros[MÊS],$AE$1,tabela_registros[DIA],investirrendavariávelconsolidadomar[[#Headers],[17]],tabela_registros[REGISTRO],DADOS!$N$5,tabela_registros[TIPO],DADOS!$AB$4,tabela_registros[CATEGORIA],investirrendavariávelconsolidadomar[[#This Row],[ATUAL]])</f>
        <v>0</v>
      </c>
      <c r="V134" s="119" t="n">
        <f aca="false">SUMIFS(tabela_registros[VALOR],tabela_registros[MÊS],$AE$1,tabela_registros[DIA],investirrendavariávelconsolidadomar[[#Headers],[18]],tabela_registros[REGISTRO],DADOS!$N$5,tabela_registros[TIPO],DADOS!$AB$4,tabela_registros[CATEGORIA],investirrendavariávelconsolidadomar[[#This Row],[ATUAL]])</f>
        <v>0</v>
      </c>
      <c r="W134" s="119" t="n">
        <f aca="false">SUMIFS(tabela_registros[VALOR],tabela_registros[MÊS],$AE$1,tabela_registros[DIA],investirrendavariávelconsolidadomar[[#Headers],[19]],tabela_registros[REGISTRO],DADOS!$N$5,tabela_registros[TIPO],DADOS!$AB$4,tabela_registros[CATEGORIA],investirrendavariávelconsolidadomar[[#This Row],[ATUAL]])</f>
        <v>0</v>
      </c>
      <c r="X134" s="119" t="n">
        <f aca="false">SUMIFS(tabela_registros[VALOR],tabela_registros[MÊS],$AE$1,tabela_registros[DIA],investirrendavariávelconsolidadomar[[#Headers],[20]],tabela_registros[REGISTRO],DADOS!$N$5,tabela_registros[TIPO],DADOS!$AB$4,tabela_registros[CATEGORIA],investirrendavariávelconsolidadomar[[#This Row],[ATUAL]])</f>
        <v>0</v>
      </c>
      <c r="Y134" s="119" t="n">
        <f aca="false">SUMIFS(tabela_registros[VALOR],tabela_registros[MÊS],$AE$1,tabela_registros[DIA],investirrendavariávelconsolidadomar[[#Headers],[21]],tabela_registros[REGISTRO],DADOS!$N$5,tabela_registros[TIPO],DADOS!$AB$4,tabela_registros[CATEGORIA],investirrendavariávelconsolidadomar[[#This Row],[ATUAL]])</f>
        <v>0</v>
      </c>
      <c r="Z134" s="119" t="n">
        <f aca="false">SUMIFS(tabela_registros[VALOR],tabela_registros[MÊS],$AE$1,tabela_registros[DIA],investirrendavariávelconsolidadomar[[#Headers],[22]],tabela_registros[REGISTRO],DADOS!$N$5,tabela_registros[TIPO],DADOS!$AB$4,tabela_registros[CATEGORIA],investirrendavariávelconsolidadomar[[#This Row],[ATUAL]])</f>
        <v>0</v>
      </c>
      <c r="AA134" s="119" t="n">
        <f aca="false">SUMIFS(tabela_registros[VALOR],tabela_registros[MÊS],$AE$1,tabela_registros[DIA],investirrendavariávelconsolidadomar[[#Headers],[23]],tabela_registros[REGISTRO],DADOS!$N$5,tabela_registros[TIPO],DADOS!$AB$4,tabela_registros[CATEGORIA],investirrendavariávelconsolidadomar[[#This Row],[ATUAL]])</f>
        <v>0</v>
      </c>
      <c r="AB134" s="119" t="n">
        <f aca="false">SUMIFS(tabela_registros[VALOR],tabela_registros[MÊS],$AE$1,tabela_registros[DIA],investirrendavariávelconsolidadomar[[#Headers],[24]],tabela_registros[REGISTRO],DADOS!$N$5,tabela_registros[TIPO],DADOS!$AB$4,tabela_registros[CATEGORIA],investirrendavariávelconsolidadomar[[#This Row],[ATUAL]])</f>
        <v>0</v>
      </c>
      <c r="AC134" s="119" t="n">
        <f aca="false">SUMIFS(tabela_registros[VALOR],tabela_registros[MÊS],$AE$1,tabela_registros[DIA],investirrendavariávelconsolidadomar[[#Headers],[25]],tabela_registros[REGISTRO],DADOS!$N$5,tabela_registros[TIPO],DADOS!$AB$4,tabela_registros[CATEGORIA],investirrendavariávelconsolidadomar[[#This Row],[ATUAL]])</f>
        <v>0</v>
      </c>
      <c r="AD134" s="119" t="n">
        <f aca="false">SUMIFS(tabela_registros[VALOR],tabela_registros[MÊS],$AE$1,tabela_registros[DIA],investirrendavariávelconsolidadomar[[#Headers],[26]],tabela_registros[REGISTRO],DADOS!$N$5,tabela_registros[TIPO],DADOS!$AB$4,tabela_registros[CATEGORIA],investirrendavariávelconsolidadomar[[#This Row],[ATUAL]])</f>
        <v>0</v>
      </c>
      <c r="AE134" s="119" t="n">
        <f aca="false">SUMIFS(tabela_registros[VALOR],tabela_registros[MÊS],$AE$1,tabela_registros[DIA],investirrendavariávelconsolidadomar[[#Headers],[27]],tabela_registros[REGISTRO],DADOS!$N$5,tabela_registros[TIPO],DADOS!$AB$4,tabela_registros[CATEGORIA],investirrendavariávelconsolidadomar[[#This Row],[ATUAL]])</f>
        <v>0</v>
      </c>
      <c r="AF134" s="119" t="n">
        <f aca="false">SUMIFS(tabela_registros[VALOR],tabela_registros[MÊS],$AE$1,tabela_registros[DIA],investirrendavariávelconsolidadomar[[#Headers],[28]],tabela_registros[REGISTRO],DADOS!$N$5,tabela_registros[TIPO],DADOS!$AB$4,tabela_registros[CATEGORIA],investirrendavariávelconsolidadomar[[#This Row],[ATUAL]])</f>
        <v>0</v>
      </c>
      <c r="AG134" s="119" t="n">
        <f aca="false">SUMIFS(tabela_registros[VALOR],tabela_registros[MÊS],$AE$1,tabela_registros[DIA],investirrendavariávelconsolidadomar[[#Headers],[29]],tabela_registros[REGISTRO],DADOS!$N$5,tabela_registros[TIPO],DADOS!$AB$4,tabela_registros[CATEGORIA],investirrendavariávelconsolidadomar[[#This Row],[ATUAL]])</f>
        <v>0</v>
      </c>
      <c r="AH134" s="119" t="n">
        <f aca="false">SUMIFS(tabela_registros[VALOR],tabela_registros[MÊS],$AE$1,tabela_registros[DIA],investirrendavariávelconsolidadomar[[#Headers],[30]],tabela_registros[REGISTRO],DADOS!$N$5,tabela_registros[TIPO],DADOS!$AB$4,tabela_registros[CATEGORIA],investirrendavariávelconsolidadomar[[#This Row],[ATUAL]])</f>
        <v>0</v>
      </c>
      <c r="AI134" s="217" t="n">
        <f aca="false">SUMIFS(tabela_registros[VALOR],tabela_registros[MÊS],$AE$1,tabela_registros[DIA],investirrendavariávelconsolidadomar[[#Headers],[31]],tabela_registros[REGISTRO],DADOS!$N$5,tabela_registros[TIPO],DADOS!$AB$4,tabela_registros[CATEGORIA],investirrendavariávelconsolidadomar[[#This Row],[ATUAL]])</f>
        <v>0</v>
      </c>
      <c r="AJ134" s="149" t="n">
        <f aca="false">SUM(investirrendavariávelconsolidadomar[[#This Row],[1]:[31]])</f>
        <v>0</v>
      </c>
      <c r="AK134" s="165"/>
    </row>
    <row r="135" customFormat="false" ht="19.5" hidden="false" customHeight="true" outlineLevel="0" collapsed="false">
      <c r="B135" s="143"/>
      <c r="C135" s="144" t="str">
        <f aca="false">DADOS!$AF$6</f>
        <v>📝 CONTRATO DE OPÇÕES</v>
      </c>
      <c r="D135" s="145" t="str">
        <f aca="false">IF(investirrendavariávelconsolidadomar[[#This Row],[TOTAL (R$)]]=0,"",IF(OR(investirrendavariávelconsolidadomar[[#This Row],[TOTAL (R$)]]=LARGE($AJ$132:$AJ$141,1),investirrendavariávelconsolidadomar[[#This Row],[TOTAL (R$)]]=LARGE($AJ$132:$AJ$141,2)),DADOS!$I$10,""))</f>
        <v/>
      </c>
      <c r="E135" s="148" t="n">
        <f aca="false">SUMIFS(tabela_registros[VALOR],tabela_registros[MÊS],$AE$1,tabela_registros[DIA],investirrendavariávelconsolidadomar[[#Headers],[1]],tabela_registros[REGISTRO],DADOS!$N$5,tabela_registros[TIPO],DADOS!$AB$4,tabela_registros[CATEGORIA],investirrendavariávelconsolidadomar[[#This Row],[ATUAL]])</f>
        <v>0</v>
      </c>
      <c r="F135" s="119" t="n">
        <f aca="false">SUMIFS(tabela_registros[VALOR],tabela_registros[MÊS],$AE$1,tabela_registros[DIA],investirrendavariávelconsolidadomar[[#Headers],[2]],tabela_registros[REGISTRO],DADOS!$N$5,tabela_registros[TIPO],DADOS!$AB$4,tabela_registros[CATEGORIA],investirrendavariávelconsolidadomar[[#This Row],[ATUAL]])</f>
        <v>0</v>
      </c>
      <c r="G135" s="119" t="n">
        <f aca="false">SUMIFS(tabela_registros[VALOR],tabela_registros[MÊS],$AE$1,tabela_registros[DIA],investirrendavariávelconsolidadomar[[#Headers],[3]],tabela_registros[REGISTRO],DADOS!$N$5,tabela_registros[TIPO],DADOS!$AB$4,tabela_registros[CATEGORIA],investirrendavariávelconsolidadomar[[#This Row],[ATUAL]])</f>
        <v>0</v>
      </c>
      <c r="H135" s="119" t="n">
        <f aca="false">SUMIFS(tabela_registros[VALOR],tabela_registros[MÊS],$AE$1,tabela_registros[DIA],investirrendavariávelconsolidadomar[[#Headers],[4]],tabela_registros[REGISTRO],DADOS!$N$5,tabela_registros[TIPO],DADOS!$AB$4,tabela_registros[CATEGORIA],investirrendavariávelconsolidadomar[[#This Row],[ATUAL]])</f>
        <v>0</v>
      </c>
      <c r="I135" s="119" t="n">
        <f aca="false">SUMIFS(tabela_registros[VALOR],tabela_registros[MÊS],$AE$1,tabela_registros[DIA],investirrendavariávelconsolidadomar[[#Headers],[5]],tabela_registros[REGISTRO],DADOS!$N$5,tabela_registros[TIPO],DADOS!$AB$4,tabela_registros[CATEGORIA],investirrendavariávelconsolidadomar[[#This Row],[ATUAL]])</f>
        <v>0</v>
      </c>
      <c r="J135" s="119" t="n">
        <f aca="false">SUMIFS(tabela_registros[VALOR],tabela_registros[MÊS],$AE$1,tabela_registros[DIA],investirrendavariávelconsolidadomar[[#Headers],[6]],tabela_registros[REGISTRO],DADOS!$N$5,tabela_registros[TIPO],DADOS!$AB$4,tabela_registros[CATEGORIA],investirrendavariávelconsolidadomar[[#This Row],[ATUAL]])</f>
        <v>0</v>
      </c>
      <c r="K135" s="119" t="n">
        <f aca="false">SUMIFS(tabela_registros[VALOR],tabela_registros[MÊS],$AE$1,tabela_registros[DIA],investirrendavariávelconsolidadomar[[#Headers],[7]],tabela_registros[REGISTRO],DADOS!$N$5,tabela_registros[TIPO],DADOS!$AB$4,tabela_registros[CATEGORIA],investirrendavariávelconsolidadomar[[#This Row],[ATUAL]])</f>
        <v>0</v>
      </c>
      <c r="L135" s="119" t="n">
        <f aca="false">SUMIFS(tabela_registros[VALOR],tabela_registros[MÊS],$AE$1,tabela_registros[DIA],investirrendavariávelconsolidadomar[[#Headers],[8]],tabela_registros[REGISTRO],DADOS!$N$5,tabela_registros[TIPO],DADOS!$AB$4,tabela_registros[CATEGORIA],investirrendavariávelconsolidadomar[[#This Row],[ATUAL]])</f>
        <v>0</v>
      </c>
      <c r="M135" s="119" t="n">
        <f aca="false">SUMIFS(tabela_registros[VALOR],tabela_registros[MÊS],$AE$1,tabela_registros[DIA],investirrendavariávelconsolidadomar[[#Headers],[9]],tabela_registros[REGISTRO],DADOS!$N$5,tabela_registros[TIPO],DADOS!$AB$4,tabela_registros[CATEGORIA],investirrendavariávelconsolidadomar[[#This Row],[ATUAL]])</f>
        <v>0</v>
      </c>
      <c r="N135" s="119" t="n">
        <f aca="false">SUMIFS(tabela_registros[VALOR],tabela_registros[MÊS],$AE$1,tabela_registros[DIA],investirrendavariávelconsolidadomar[[#Headers],[10]],tabela_registros[REGISTRO],DADOS!$N$5,tabela_registros[TIPO],DADOS!$AB$4,tabela_registros[CATEGORIA],investirrendavariávelconsolidadomar[[#This Row],[ATUAL]])</f>
        <v>0</v>
      </c>
      <c r="O135" s="119" t="n">
        <f aca="false">SUMIFS(tabela_registros[VALOR],tabela_registros[MÊS],$AE$1,tabela_registros[DIA],investirrendavariávelconsolidadomar[[#Headers],[11]],tabela_registros[REGISTRO],DADOS!$N$5,tabela_registros[TIPO],DADOS!$AB$4,tabela_registros[CATEGORIA],investirrendavariávelconsolidadomar[[#This Row],[ATUAL]])</f>
        <v>0</v>
      </c>
      <c r="P135" s="119" t="n">
        <f aca="false">SUMIFS(tabela_registros[VALOR],tabela_registros[MÊS],$AE$1,tabela_registros[DIA],investirrendavariávelconsolidadomar[[#Headers],[12]],tabela_registros[REGISTRO],DADOS!$N$5,tabela_registros[TIPO],DADOS!$AB$4,tabela_registros[CATEGORIA],investirrendavariávelconsolidadomar[[#This Row],[ATUAL]])</f>
        <v>0</v>
      </c>
      <c r="Q135" s="119" t="n">
        <f aca="false">SUMIFS(tabela_registros[VALOR],tabela_registros[MÊS],$AE$1,tabela_registros[DIA],investirrendavariávelconsolidadomar[[#Headers],[13]],tabela_registros[REGISTRO],DADOS!$N$5,tabela_registros[TIPO],DADOS!$AB$4,tabela_registros[CATEGORIA],investirrendavariávelconsolidadomar[[#This Row],[ATUAL]])</f>
        <v>0</v>
      </c>
      <c r="R135" s="119" t="n">
        <f aca="false">SUMIFS(tabela_registros[VALOR],tabela_registros[MÊS],$AE$1,tabela_registros[DIA],investirrendavariávelconsolidadomar[[#Headers],[14]],tabela_registros[REGISTRO],DADOS!$N$5,tabela_registros[TIPO],DADOS!$AB$4,tabela_registros[CATEGORIA],investirrendavariávelconsolidadomar[[#This Row],[ATUAL]])</f>
        <v>0</v>
      </c>
      <c r="S135" s="119" t="n">
        <f aca="false">SUMIFS(tabela_registros[VALOR],tabela_registros[MÊS],$AE$1,tabela_registros[DIA],investirrendavariávelconsolidadomar[[#Headers],[15]],tabela_registros[REGISTRO],DADOS!$N$5,tabela_registros[TIPO],DADOS!$AB$4,tabela_registros[CATEGORIA],investirrendavariávelconsolidadomar[[#This Row],[ATUAL]])</f>
        <v>0</v>
      </c>
      <c r="T135" s="119" t="n">
        <f aca="false">SUMIFS(tabela_registros[VALOR],tabela_registros[MÊS],$AE$1,tabela_registros[DIA],investirrendavariávelconsolidadomar[[#Headers],[16]],tabela_registros[REGISTRO],DADOS!$N$5,tabela_registros[TIPO],DADOS!$AB$4,tabela_registros[CATEGORIA],investirrendavariávelconsolidadomar[[#This Row],[ATUAL]])</f>
        <v>0</v>
      </c>
      <c r="U135" s="119" t="n">
        <f aca="false">SUMIFS(tabela_registros[VALOR],tabela_registros[MÊS],$AE$1,tabela_registros[DIA],investirrendavariávelconsolidadomar[[#Headers],[17]],tabela_registros[REGISTRO],DADOS!$N$5,tabela_registros[TIPO],DADOS!$AB$4,tabela_registros[CATEGORIA],investirrendavariávelconsolidadomar[[#This Row],[ATUAL]])</f>
        <v>0</v>
      </c>
      <c r="V135" s="119" t="n">
        <f aca="false">SUMIFS(tabela_registros[VALOR],tabela_registros[MÊS],$AE$1,tabela_registros[DIA],investirrendavariávelconsolidadomar[[#Headers],[18]],tabela_registros[REGISTRO],DADOS!$N$5,tabela_registros[TIPO],DADOS!$AB$4,tabela_registros[CATEGORIA],investirrendavariávelconsolidadomar[[#This Row],[ATUAL]])</f>
        <v>0</v>
      </c>
      <c r="W135" s="119" t="n">
        <f aca="false">SUMIFS(tabela_registros[VALOR],tabela_registros[MÊS],$AE$1,tabela_registros[DIA],investirrendavariávelconsolidadomar[[#Headers],[19]],tabela_registros[REGISTRO],DADOS!$N$5,tabela_registros[TIPO],DADOS!$AB$4,tabela_registros[CATEGORIA],investirrendavariávelconsolidadomar[[#This Row],[ATUAL]])</f>
        <v>0</v>
      </c>
      <c r="X135" s="119" t="n">
        <f aca="false">SUMIFS(tabela_registros[VALOR],tabela_registros[MÊS],$AE$1,tabela_registros[DIA],investirrendavariávelconsolidadomar[[#Headers],[20]],tabela_registros[REGISTRO],DADOS!$N$5,tabela_registros[TIPO],DADOS!$AB$4,tabela_registros[CATEGORIA],investirrendavariávelconsolidadomar[[#This Row],[ATUAL]])</f>
        <v>0</v>
      </c>
      <c r="Y135" s="119" t="n">
        <f aca="false">SUMIFS(tabela_registros[VALOR],tabela_registros[MÊS],$AE$1,tabela_registros[DIA],investirrendavariávelconsolidadomar[[#Headers],[21]],tabela_registros[REGISTRO],DADOS!$N$5,tabela_registros[TIPO],DADOS!$AB$4,tabela_registros[CATEGORIA],investirrendavariávelconsolidadomar[[#This Row],[ATUAL]])</f>
        <v>0</v>
      </c>
      <c r="Z135" s="119" t="n">
        <f aca="false">SUMIFS(tabela_registros[VALOR],tabela_registros[MÊS],$AE$1,tabela_registros[DIA],investirrendavariávelconsolidadomar[[#Headers],[22]],tabela_registros[REGISTRO],DADOS!$N$5,tabela_registros[TIPO],DADOS!$AB$4,tabela_registros[CATEGORIA],investirrendavariávelconsolidadomar[[#This Row],[ATUAL]])</f>
        <v>0</v>
      </c>
      <c r="AA135" s="119" t="n">
        <f aca="false">SUMIFS(tabela_registros[VALOR],tabela_registros[MÊS],$AE$1,tabela_registros[DIA],investirrendavariávelconsolidadomar[[#Headers],[23]],tabela_registros[REGISTRO],DADOS!$N$5,tabela_registros[TIPO],DADOS!$AB$4,tabela_registros[CATEGORIA],investirrendavariávelconsolidadomar[[#This Row],[ATUAL]])</f>
        <v>0</v>
      </c>
      <c r="AB135" s="119" t="n">
        <f aca="false">SUMIFS(tabela_registros[VALOR],tabela_registros[MÊS],$AE$1,tabela_registros[DIA],investirrendavariávelconsolidadomar[[#Headers],[24]],tabela_registros[REGISTRO],DADOS!$N$5,tabela_registros[TIPO],DADOS!$AB$4,tabela_registros[CATEGORIA],investirrendavariávelconsolidadomar[[#This Row],[ATUAL]])</f>
        <v>0</v>
      </c>
      <c r="AC135" s="119" t="n">
        <f aca="false">SUMIFS(tabela_registros[VALOR],tabela_registros[MÊS],$AE$1,tabela_registros[DIA],investirrendavariávelconsolidadomar[[#Headers],[25]],tabela_registros[REGISTRO],DADOS!$N$5,tabela_registros[TIPO],DADOS!$AB$4,tabela_registros[CATEGORIA],investirrendavariávelconsolidadomar[[#This Row],[ATUAL]])</f>
        <v>0</v>
      </c>
      <c r="AD135" s="119" t="n">
        <f aca="false">SUMIFS(tabela_registros[VALOR],tabela_registros[MÊS],$AE$1,tabela_registros[DIA],investirrendavariávelconsolidadomar[[#Headers],[26]],tabela_registros[REGISTRO],DADOS!$N$5,tabela_registros[TIPO],DADOS!$AB$4,tabela_registros[CATEGORIA],investirrendavariávelconsolidadomar[[#This Row],[ATUAL]])</f>
        <v>0</v>
      </c>
      <c r="AE135" s="119" t="n">
        <f aca="false">SUMIFS(tabela_registros[VALOR],tabela_registros[MÊS],$AE$1,tabela_registros[DIA],investirrendavariávelconsolidadomar[[#Headers],[27]],tabela_registros[REGISTRO],DADOS!$N$5,tabela_registros[TIPO],DADOS!$AB$4,tabela_registros[CATEGORIA],investirrendavariávelconsolidadomar[[#This Row],[ATUAL]])</f>
        <v>0</v>
      </c>
      <c r="AF135" s="119" t="n">
        <f aca="false">SUMIFS(tabela_registros[VALOR],tabela_registros[MÊS],$AE$1,tabela_registros[DIA],investirrendavariávelconsolidadomar[[#Headers],[28]],tabela_registros[REGISTRO],DADOS!$N$5,tabela_registros[TIPO],DADOS!$AB$4,tabela_registros[CATEGORIA],investirrendavariávelconsolidadomar[[#This Row],[ATUAL]])</f>
        <v>0</v>
      </c>
      <c r="AG135" s="119" t="n">
        <f aca="false">SUMIFS(tabela_registros[VALOR],tabela_registros[MÊS],$AE$1,tabela_registros[DIA],investirrendavariávelconsolidadomar[[#Headers],[29]],tabela_registros[REGISTRO],DADOS!$N$5,tabela_registros[TIPO],DADOS!$AB$4,tabela_registros[CATEGORIA],investirrendavariávelconsolidadomar[[#This Row],[ATUAL]])</f>
        <v>0</v>
      </c>
      <c r="AH135" s="119" t="n">
        <f aca="false">SUMIFS(tabela_registros[VALOR],tabela_registros[MÊS],$AE$1,tabela_registros[DIA],investirrendavariávelconsolidadomar[[#Headers],[30]],tabela_registros[REGISTRO],DADOS!$N$5,tabela_registros[TIPO],DADOS!$AB$4,tabela_registros[CATEGORIA],investirrendavariávelconsolidadomar[[#This Row],[ATUAL]])</f>
        <v>0</v>
      </c>
      <c r="AI135" s="217" t="n">
        <f aca="false">SUMIFS(tabela_registros[VALOR],tabela_registros[MÊS],$AE$1,tabela_registros[DIA],investirrendavariávelconsolidadomar[[#Headers],[31]],tabela_registros[REGISTRO],DADOS!$N$5,tabela_registros[TIPO],DADOS!$AB$4,tabela_registros[CATEGORIA],investirrendavariávelconsolidadomar[[#This Row],[ATUAL]])</f>
        <v>0</v>
      </c>
      <c r="AJ135" s="149" t="n">
        <f aca="false">SUM(investirrendavariávelconsolidadomar[[#This Row],[1]:[31]])</f>
        <v>0</v>
      </c>
      <c r="AK135" s="165"/>
    </row>
    <row r="136" customFormat="false" ht="19.5" hidden="false" customHeight="true" outlineLevel="0" collapsed="false">
      <c r="B136" s="143"/>
      <c r="C136" s="144" t="str">
        <f aca="false">DADOS!$AF$7</f>
        <v>📝 CRIPTOMOEDA</v>
      </c>
      <c r="D136" s="145" t="str">
        <f aca="false">IF(investirrendavariávelconsolidadomar[[#This Row],[TOTAL (R$)]]=0,"",IF(OR(investirrendavariávelconsolidadomar[[#This Row],[TOTAL (R$)]]=LARGE($AJ$132:$AJ$141,1),investirrendavariávelconsolidadomar[[#This Row],[TOTAL (R$)]]=LARGE($AJ$132:$AJ$141,2)),DADOS!$I$10,""))</f>
        <v/>
      </c>
      <c r="E136" s="148" t="n">
        <f aca="false">SUMIFS(tabela_registros[VALOR],tabela_registros[MÊS],$AE$1,tabela_registros[DIA],investirrendavariávelconsolidadomar[[#Headers],[1]],tabela_registros[REGISTRO],DADOS!$N$5,tabela_registros[TIPO],DADOS!$AB$4,tabela_registros[CATEGORIA],investirrendavariávelconsolidadomar[[#This Row],[ATUAL]])</f>
        <v>0</v>
      </c>
      <c r="F136" s="119" t="n">
        <f aca="false">SUMIFS(tabela_registros[VALOR],tabela_registros[MÊS],$AE$1,tabela_registros[DIA],investirrendavariávelconsolidadomar[[#Headers],[2]],tabela_registros[REGISTRO],DADOS!$N$5,tabela_registros[TIPO],DADOS!$AB$4,tabela_registros[CATEGORIA],investirrendavariávelconsolidadomar[[#This Row],[ATUAL]])</f>
        <v>0</v>
      </c>
      <c r="G136" s="119" t="n">
        <f aca="false">SUMIFS(tabela_registros[VALOR],tabela_registros[MÊS],$AE$1,tabela_registros[DIA],investirrendavariávelconsolidadomar[[#Headers],[3]],tabela_registros[REGISTRO],DADOS!$N$5,tabela_registros[TIPO],DADOS!$AB$4,tabela_registros[CATEGORIA],investirrendavariávelconsolidadomar[[#This Row],[ATUAL]])</f>
        <v>0</v>
      </c>
      <c r="H136" s="119" t="n">
        <f aca="false">SUMIFS(tabela_registros[VALOR],tabela_registros[MÊS],$AE$1,tabela_registros[DIA],investirrendavariávelconsolidadomar[[#Headers],[4]],tabela_registros[REGISTRO],DADOS!$N$5,tabela_registros[TIPO],DADOS!$AB$4,tabela_registros[CATEGORIA],investirrendavariávelconsolidadomar[[#This Row],[ATUAL]])</f>
        <v>0</v>
      </c>
      <c r="I136" s="119" t="n">
        <f aca="false">SUMIFS(tabela_registros[VALOR],tabela_registros[MÊS],$AE$1,tabela_registros[DIA],investirrendavariávelconsolidadomar[[#Headers],[5]],tabela_registros[REGISTRO],DADOS!$N$5,tabela_registros[TIPO],DADOS!$AB$4,tabela_registros[CATEGORIA],investirrendavariávelconsolidadomar[[#This Row],[ATUAL]])</f>
        <v>0</v>
      </c>
      <c r="J136" s="119" t="n">
        <f aca="false">SUMIFS(tabela_registros[VALOR],tabela_registros[MÊS],$AE$1,tabela_registros[DIA],investirrendavariávelconsolidadomar[[#Headers],[6]],tabela_registros[REGISTRO],DADOS!$N$5,tabela_registros[TIPO],DADOS!$AB$4,tabela_registros[CATEGORIA],investirrendavariávelconsolidadomar[[#This Row],[ATUAL]])</f>
        <v>0</v>
      </c>
      <c r="K136" s="119" t="n">
        <f aca="false">SUMIFS(tabela_registros[VALOR],tabela_registros[MÊS],$AE$1,tabela_registros[DIA],investirrendavariávelconsolidadomar[[#Headers],[7]],tabela_registros[REGISTRO],DADOS!$N$5,tabela_registros[TIPO],DADOS!$AB$4,tabela_registros[CATEGORIA],investirrendavariávelconsolidadomar[[#This Row],[ATUAL]])</f>
        <v>0</v>
      </c>
      <c r="L136" s="119" t="n">
        <f aca="false">SUMIFS(tabela_registros[VALOR],tabela_registros[MÊS],$AE$1,tabela_registros[DIA],investirrendavariávelconsolidadomar[[#Headers],[8]],tabela_registros[REGISTRO],DADOS!$N$5,tabela_registros[TIPO],DADOS!$AB$4,tabela_registros[CATEGORIA],investirrendavariávelconsolidadomar[[#This Row],[ATUAL]])</f>
        <v>0</v>
      </c>
      <c r="M136" s="119" t="n">
        <f aca="false">SUMIFS(tabela_registros[VALOR],tabela_registros[MÊS],$AE$1,tabela_registros[DIA],investirrendavariávelconsolidadomar[[#Headers],[9]],tabela_registros[REGISTRO],DADOS!$N$5,tabela_registros[TIPO],DADOS!$AB$4,tabela_registros[CATEGORIA],investirrendavariávelconsolidadomar[[#This Row],[ATUAL]])</f>
        <v>0</v>
      </c>
      <c r="N136" s="119" t="n">
        <f aca="false">SUMIFS(tabela_registros[VALOR],tabela_registros[MÊS],$AE$1,tabela_registros[DIA],investirrendavariávelconsolidadomar[[#Headers],[10]],tabela_registros[REGISTRO],DADOS!$N$5,tabela_registros[TIPO],DADOS!$AB$4,tabela_registros[CATEGORIA],investirrendavariávelconsolidadomar[[#This Row],[ATUAL]])</f>
        <v>0</v>
      </c>
      <c r="O136" s="119" t="n">
        <f aca="false">SUMIFS(tabela_registros[VALOR],tabela_registros[MÊS],$AE$1,tabela_registros[DIA],investirrendavariávelconsolidadomar[[#Headers],[11]],tabela_registros[REGISTRO],DADOS!$N$5,tabela_registros[TIPO],DADOS!$AB$4,tabela_registros[CATEGORIA],investirrendavariávelconsolidadomar[[#This Row],[ATUAL]])</f>
        <v>0</v>
      </c>
      <c r="P136" s="119" t="n">
        <f aca="false">SUMIFS(tabela_registros[VALOR],tabela_registros[MÊS],$AE$1,tabela_registros[DIA],investirrendavariávelconsolidadomar[[#Headers],[12]],tabela_registros[REGISTRO],DADOS!$N$5,tabela_registros[TIPO],DADOS!$AB$4,tabela_registros[CATEGORIA],investirrendavariávelconsolidadomar[[#This Row],[ATUAL]])</f>
        <v>0</v>
      </c>
      <c r="Q136" s="119" t="n">
        <f aca="false">SUMIFS(tabela_registros[VALOR],tabela_registros[MÊS],$AE$1,tabela_registros[DIA],investirrendavariávelconsolidadomar[[#Headers],[13]],tabela_registros[REGISTRO],DADOS!$N$5,tabela_registros[TIPO],DADOS!$AB$4,tabela_registros[CATEGORIA],investirrendavariávelconsolidadomar[[#This Row],[ATUAL]])</f>
        <v>0</v>
      </c>
      <c r="R136" s="119" t="n">
        <f aca="false">SUMIFS(tabela_registros[VALOR],tabela_registros[MÊS],$AE$1,tabela_registros[DIA],investirrendavariávelconsolidadomar[[#Headers],[14]],tabela_registros[REGISTRO],DADOS!$N$5,tabela_registros[TIPO],DADOS!$AB$4,tabela_registros[CATEGORIA],investirrendavariávelconsolidadomar[[#This Row],[ATUAL]])</f>
        <v>0</v>
      </c>
      <c r="S136" s="119" t="n">
        <f aca="false">SUMIFS(tabela_registros[VALOR],tabela_registros[MÊS],$AE$1,tabela_registros[DIA],investirrendavariávelconsolidadomar[[#Headers],[15]],tabela_registros[REGISTRO],DADOS!$N$5,tabela_registros[TIPO],DADOS!$AB$4,tabela_registros[CATEGORIA],investirrendavariávelconsolidadomar[[#This Row],[ATUAL]])</f>
        <v>0</v>
      </c>
      <c r="T136" s="119" t="n">
        <f aca="false">SUMIFS(tabela_registros[VALOR],tabela_registros[MÊS],$AE$1,tabela_registros[DIA],investirrendavariávelconsolidadomar[[#Headers],[16]],tabela_registros[REGISTRO],DADOS!$N$5,tabela_registros[TIPO],DADOS!$AB$4,tabela_registros[CATEGORIA],investirrendavariávelconsolidadomar[[#This Row],[ATUAL]])</f>
        <v>0</v>
      </c>
      <c r="U136" s="119" t="n">
        <f aca="false">SUMIFS(tabela_registros[VALOR],tabela_registros[MÊS],$AE$1,tabela_registros[DIA],investirrendavariávelconsolidadomar[[#Headers],[17]],tabela_registros[REGISTRO],DADOS!$N$5,tabela_registros[TIPO],DADOS!$AB$4,tabela_registros[CATEGORIA],investirrendavariávelconsolidadomar[[#This Row],[ATUAL]])</f>
        <v>0</v>
      </c>
      <c r="V136" s="119" t="n">
        <f aca="false">SUMIFS(tabela_registros[VALOR],tabela_registros[MÊS],$AE$1,tabela_registros[DIA],investirrendavariávelconsolidadomar[[#Headers],[18]],tabela_registros[REGISTRO],DADOS!$N$5,tabela_registros[TIPO],DADOS!$AB$4,tabela_registros[CATEGORIA],investirrendavariávelconsolidadomar[[#This Row],[ATUAL]])</f>
        <v>0</v>
      </c>
      <c r="W136" s="119" t="n">
        <f aca="false">SUMIFS(tabela_registros[VALOR],tabela_registros[MÊS],$AE$1,tabela_registros[DIA],investirrendavariávelconsolidadomar[[#Headers],[19]],tabela_registros[REGISTRO],DADOS!$N$5,tabela_registros[TIPO],DADOS!$AB$4,tabela_registros[CATEGORIA],investirrendavariávelconsolidadomar[[#This Row],[ATUAL]])</f>
        <v>0</v>
      </c>
      <c r="X136" s="119" t="n">
        <f aca="false">SUMIFS(tabela_registros[VALOR],tabela_registros[MÊS],$AE$1,tabela_registros[DIA],investirrendavariávelconsolidadomar[[#Headers],[20]],tabela_registros[REGISTRO],DADOS!$N$5,tabela_registros[TIPO],DADOS!$AB$4,tabela_registros[CATEGORIA],investirrendavariávelconsolidadomar[[#This Row],[ATUAL]])</f>
        <v>0</v>
      </c>
      <c r="Y136" s="119" t="n">
        <f aca="false">SUMIFS(tabela_registros[VALOR],tabela_registros[MÊS],$AE$1,tabela_registros[DIA],investirrendavariávelconsolidadomar[[#Headers],[21]],tabela_registros[REGISTRO],DADOS!$N$5,tabela_registros[TIPO],DADOS!$AB$4,tabela_registros[CATEGORIA],investirrendavariávelconsolidadomar[[#This Row],[ATUAL]])</f>
        <v>0</v>
      </c>
      <c r="Z136" s="119" t="n">
        <f aca="false">SUMIFS(tabela_registros[VALOR],tabela_registros[MÊS],$AE$1,tabela_registros[DIA],investirrendavariávelconsolidadomar[[#Headers],[22]],tabela_registros[REGISTRO],DADOS!$N$5,tabela_registros[TIPO],DADOS!$AB$4,tabela_registros[CATEGORIA],investirrendavariávelconsolidadomar[[#This Row],[ATUAL]])</f>
        <v>0</v>
      </c>
      <c r="AA136" s="119" t="n">
        <f aca="false">SUMIFS(tabela_registros[VALOR],tabela_registros[MÊS],$AE$1,tabela_registros[DIA],investirrendavariávelconsolidadomar[[#Headers],[23]],tabela_registros[REGISTRO],DADOS!$N$5,tabela_registros[TIPO],DADOS!$AB$4,tabela_registros[CATEGORIA],investirrendavariávelconsolidadomar[[#This Row],[ATUAL]])</f>
        <v>0</v>
      </c>
      <c r="AB136" s="119" t="n">
        <f aca="false">SUMIFS(tabela_registros[VALOR],tabela_registros[MÊS],$AE$1,tabela_registros[DIA],investirrendavariávelconsolidadomar[[#Headers],[24]],tabela_registros[REGISTRO],DADOS!$N$5,tabela_registros[TIPO],DADOS!$AB$4,tabela_registros[CATEGORIA],investirrendavariávelconsolidadomar[[#This Row],[ATUAL]])</f>
        <v>0</v>
      </c>
      <c r="AC136" s="119" t="n">
        <f aca="false">SUMIFS(tabela_registros[VALOR],tabela_registros[MÊS],$AE$1,tabela_registros[DIA],investirrendavariávelconsolidadomar[[#Headers],[25]],tabela_registros[REGISTRO],DADOS!$N$5,tabela_registros[TIPO],DADOS!$AB$4,tabela_registros[CATEGORIA],investirrendavariávelconsolidadomar[[#This Row],[ATUAL]])</f>
        <v>0</v>
      </c>
      <c r="AD136" s="119" t="n">
        <f aca="false">SUMIFS(tabela_registros[VALOR],tabela_registros[MÊS],$AE$1,tabela_registros[DIA],investirrendavariávelconsolidadomar[[#Headers],[26]],tabela_registros[REGISTRO],DADOS!$N$5,tabela_registros[TIPO],DADOS!$AB$4,tabela_registros[CATEGORIA],investirrendavariávelconsolidadomar[[#This Row],[ATUAL]])</f>
        <v>0</v>
      </c>
      <c r="AE136" s="119" t="n">
        <f aca="false">SUMIFS(tabela_registros[VALOR],tabela_registros[MÊS],$AE$1,tabela_registros[DIA],investirrendavariávelconsolidadomar[[#Headers],[27]],tabela_registros[REGISTRO],DADOS!$N$5,tabela_registros[TIPO],DADOS!$AB$4,tabela_registros[CATEGORIA],investirrendavariávelconsolidadomar[[#This Row],[ATUAL]])</f>
        <v>0</v>
      </c>
      <c r="AF136" s="119" t="n">
        <f aca="false">SUMIFS(tabela_registros[VALOR],tabela_registros[MÊS],$AE$1,tabela_registros[DIA],investirrendavariávelconsolidadomar[[#Headers],[28]],tabela_registros[REGISTRO],DADOS!$N$5,tabela_registros[TIPO],DADOS!$AB$4,tabela_registros[CATEGORIA],investirrendavariávelconsolidadomar[[#This Row],[ATUAL]])</f>
        <v>0</v>
      </c>
      <c r="AG136" s="119" t="n">
        <f aca="false">SUMIFS(tabela_registros[VALOR],tabela_registros[MÊS],$AE$1,tabela_registros[DIA],investirrendavariávelconsolidadomar[[#Headers],[29]],tabela_registros[REGISTRO],DADOS!$N$5,tabela_registros[TIPO],DADOS!$AB$4,tabela_registros[CATEGORIA],investirrendavariávelconsolidadomar[[#This Row],[ATUAL]])</f>
        <v>0</v>
      </c>
      <c r="AH136" s="119" t="n">
        <f aca="false">SUMIFS(tabela_registros[VALOR],tabela_registros[MÊS],$AE$1,tabela_registros[DIA],investirrendavariávelconsolidadomar[[#Headers],[30]],tabela_registros[REGISTRO],DADOS!$N$5,tabela_registros[TIPO],DADOS!$AB$4,tabela_registros[CATEGORIA],investirrendavariávelconsolidadomar[[#This Row],[ATUAL]])</f>
        <v>0</v>
      </c>
      <c r="AI136" s="217" t="n">
        <f aca="false">SUMIFS(tabela_registros[VALOR],tabela_registros[MÊS],$AE$1,tabela_registros[DIA],investirrendavariávelconsolidadomar[[#Headers],[31]],tabela_registros[REGISTRO],DADOS!$N$5,tabela_registros[TIPO],DADOS!$AB$4,tabela_registros[CATEGORIA],investirrendavariávelconsolidadomar[[#This Row],[ATUAL]])</f>
        <v>0</v>
      </c>
      <c r="AJ136" s="237" t="n">
        <f aca="false">SUM(investirrendavariávelconsolidadomar[[#This Row],[1]:[31]])</f>
        <v>0</v>
      </c>
      <c r="AK136" s="165"/>
    </row>
    <row r="137" customFormat="false" ht="19.5" hidden="false" customHeight="true" outlineLevel="0" collapsed="false">
      <c r="B137" s="143"/>
      <c r="C137" s="144" t="str">
        <f aca="false">DADOS!$AF$8</f>
        <v>📝 ETF</v>
      </c>
      <c r="D137" s="145" t="str">
        <f aca="false">IF(investirrendavariávelconsolidadomar[[#This Row],[TOTAL (R$)]]=0,"",IF(OR(investirrendavariávelconsolidadomar[[#This Row],[TOTAL (R$)]]=LARGE($AJ$132:$AJ$141,1),investirrendavariávelconsolidadomar[[#This Row],[TOTAL (R$)]]=LARGE($AJ$132:$AJ$141,2)),DADOS!$I$10,""))</f>
        <v/>
      </c>
      <c r="E137" s="148" t="n">
        <f aca="false">SUMIFS(tabela_registros[VALOR],tabela_registros[MÊS],$AE$1,tabela_registros[DIA],investirrendavariávelconsolidadomar[[#Headers],[1]],tabela_registros[REGISTRO],DADOS!$N$5,tabela_registros[TIPO],DADOS!$AB$4,tabela_registros[CATEGORIA],investirrendavariávelconsolidadomar[[#This Row],[ATUAL]])</f>
        <v>0</v>
      </c>
      <c r="F137" s="119" t="n">
        <f aca="false">SUMIFS(tabela_registros[VALOR],tabela_registros[MÊS],$AE$1,tabela_registros[DIA],investirrendavariávelconsolidadomar[[#Headers],[2]],tabela_registros[REGISTRO],DADOS!$N$5,tabela_registros[TIPO],DADOS!$AB$4,tabela_registros[CATEGORIA],investirrendavariávelconsolidadomar[[#This Row],[ATUAL]])</f>
        <v>0</v>
      </c>
      <c r="G137" s="119" t="n">
        <f aca="false">SUMIFS(tabela_registros[VALOR],tabela_registros[MÊS],$AE$1,tabela_registros[DIA],investirrendavariávelconsolidadomar[[#Headers],[3]],tabela_registros[REGISTRO],DADOS!$N$5,tabela_registros[TIPO],DADOS!$AB$4,tabela_registros[CATEGORIA],investirrendavariávelconsolidadomar[[#This Row],[ATUAL]])</f>
        <v>0</v>
      </c>
      <c r="H137" s="119" t="n">
        <f aca="false">SUMIFS(tabela_registros[VALOR],tabela_registros[MÊS],$AE$1,tabela_registros[DIA],investirrendavariávelconsolidadomar[[#Headers],[4]],tabela_registros[REGISTRO],DADOS!$N$5,tabela_registros[TIPO],DADOS!$AB$4,tabela_registros[CATEGORIA],investirrendavariávelconsolidadomar[[#This Row],[ATUAL]])</f>
        <v>0</v>
      </c>
      <c r="I137" s="119" t="n">
        <f aca="false">SUMIFS(tabela_registros[VALOR],tabela_registros[MÊS],$AE$1,tabela_registros[DIA],investirrendavariávelconsolidadomar[[#Headers],[5]],tabela_registros[REGISTRO],DADOS!$N$5,tabela_registros[TIPO],DADOS!$AB$4,tabela_registros[CATEGORIA],investirrendavariávelconsolidadomar[[#This Row],[ATUAL]])</f>
        <v>0</v>
      </c>
      <c r="J137" s="119" t="n">
        <f aca="false">SUMIFS(tabela_registros[VALOR],tabela_registros[MÊS],$AE$1,tabela_registros[DIA],investirrendavariávelconsolidadomar[[#Headers],[6]],tabela_registros[REGISTRO],DADOS!$N$5,tabela_registros[TIPO],DADOS!$AB$4,tabela_registros[CATEGORIA],investirrendavariávelconsolidadomar[[#This Row],[ATUAL]])</f>
        <v>0</v>
      </c>
      <c r="K137" s="119" t="n">
        <f aca="false">SUMIFS(tabela_registros[VALOR],tabela_registros[MÊS],$AE$1,tabela_registros[DIA],investirrendavariávelconsolidadomar[[#Headers],[7]],tabela_registros[REGISTRO],DADOS!$N$5,tabela_registros[TIPO],DADOS!$AB$4,tabela_registros[CATEGORIA],investirrendavariávelconsolidadomar[[#This Row],[ATUAL]])</f>
        <v>0</v>
      </c>
      <c r="L137" s="119" t="n">
        <f aca="false">SUMIFS(tabela_registros[VALOR],tabela_registros[MÊS],$AE$1,tabela_registros[DIA],investirrendavariávelconsolidadomar[[#Headers],[8]],tabela_registros[REGISTRO],DADOS!$N$5,tabela_registros[TIPO],DADOS!$AB$4,tabela_registros[CATEGORIA],investirrendavariávelconsolidadomar[[#This Row],[ATUAL]])</f>
        <v>0</v>
      </c>
      <c r="M137" s="119" t="n">
        <f aca="false">SUMIFS(tabela_registros[VALOR],tabela_registros[MÊS],$AE$1,tabela_registros[DIA],investirrendavariávelconsolidadomar[[#Headers],[9]],tabela_registros[REGISTRO],DADOS!$N$5,tabela_registros[TIPO],DADOS!$AB$4,tabela_registros[CATEGORIA],investirrendavariávelconsolidadomar[[#This Row],[ATUAL]])</f>
        <v>0</v>
      </c>
      <c r="N137" s="119" t="n">
        <f aca="false">SUMIFS(tabela_registros[VALOR],tabela_registros[MÊS],$AE$1,tabela_registros[DIA],investirrendavariávelconsolidadomar[[#Headers],[10]],tabela_registros[REGISTRO],DADOS!$N$5,tabela_registros[TIPO],DADOS!$AB$4,tabela_registros[CATEGORIA],investirrendavariávelconsolidadomar[[#This Row],[ATUAL]])</f>
        <v>0</v>
      </c>
      <c r="O137" s="119" t="n">
        <f aca="false">SUMIFS(tabela_registros[VALOR],tabela_registros[MÊS],$AE$1,tabela_registros[DIA],investirrendavariávelconsolidadomar[[#Headers],[11]],tabela_registros[REGISTRO],DADOS!$N$5,tabela_registros[TIPO],DADOS!$AB$4,tabela_registros[CATEGORIA],investirrendavariávelconsolidadomar[[#This Row],[ATUAL]])</f>
        <v>0</v>
      </c>
      <c r="P137" s="119" t="n">
        <f aca="false">SUMIFS(tabela_registros[VALOR],tabela_registros[MÊS],$AE$1,tabela_registros[DIA],investirrendavariávelconsolidadomar[[#Headers],[12]],tabela_registros[REGISTRO],DADOS!$N$5,tabela_registros[TIPO],DADOS!$AB$4,tabela_registros[CATEGORIA],investirrendavariávelconsolidadomar[[#This Row],[ATUAL]])</f>
        <v>0</v>
      </c>
      <c r="Q137" s="119" t="n">
        <f aca="false">SUMIFS(tabela_registros[VALOR],tabela_registros[MÊS],$AE$1,tabela_registros[DIA],investirrendavariávelconsolidadomar[[#Headers],[13]],tabela_registros[REGISTRO],DADOS!$N$5,tabela_registros[TIPO],DADOS!$AB$4,tabela_registros[CATEGORIA],investirrendavariávelconsolidadomar[[#This Row],[ATUAL]])</f>
        <v>0</v>
      </c>
      <c r="R137" s="119" t="n">
        <f aca="false">SUMIFS(tabela_registros[VALOR],tabela_registros[MÊS],$AE$1,tabela_registros[DIA],investirrendavariávelconsolidadomar[[#Headers],[14]],tabela_registros[REGISTRO],DADOS!$N$5,tabela_registros[TIPO],DADOS!$AB$4,tabela_registros[CATEGORIA],investirrendavariávelconsolidadomar[[#This Row],[ATUAL]])</f>
        <v>0</v>
      </c>
      <c r="S137" s="119" t="n">
        <f aca="false">SUMIFS(tabela_registros[VALOR],tabela_registros[MÊS],$AE$1,tabela_registros[DIA],investirrendavariávelconsolidadomar[[#Headers],[15]],tabela_registros[REGISTRO],DADOS!$N$5,tabela_registros[TIPO],DADOS!$AB$4,tabela_registros[CATEGORIA],investirrendavariávelconsolidadomar[[#This Row],[ATUAL]])</f>
        <v>0</v>
      </c>
      <c r="T137" s="119" t="n">
        <f aca="false">SUMIFS(tabela_registros[VALOR],tabela_registros[MÊS],$AE$1,tabela_registros[DIA],investirrendavariávelconsolidadomar[[#Headers],[16]],tabela_registros[REGISTRO],DADOS!$N$5,tabela_registros[TIPO],DADOS!$AB$4,tabela_registros[CATEGORIA],investirrendavariávelconsolidadomar[[#This Row],[ATUAL]])</f>
        <v>0</v>
      </c>
      <c r="U137" s="119" t="n">
        <f aca="false">SUMIFS(tabela_registros[VALOR],tabela_registros[MÊS],$AE$1,tabela_registros[DIA],investirrendavariávelconsolidadomar[[#Headers],[17]],tabela_registros[REGISTRO],DADOS!$N$5,tabela_registros[TIPO],DADOS!$AB$4,tabela_registros[CATEGORIA],investirrendavariávelconsolidadomar[[#This Row],[ATUAL]])</f>
        <v>0</v>
      </c>
      <c r="V137" s="119" t="n">
        <f aca="false">SUMIFS(tabela_registros[VALOR],tabela_registros[MÊS],$AE$1,tabela_registros[DIA],investirrendavariávelconsolidadomar[[#Headers],[18]],tabela_registros[REGISTRO],DADOS!$N$5,tabela_registros[TIPO],DADOS!$AB$4,tabela_registros[CATEGORIA],investirrendavariávelconsolidadomar[[#This Row],[ATUAL]])</f>
        <v>0</v>
      </c>
      <c r="W137" s="119" t="n">
        <f aca="false">SUMIFS(tabela_registros[VALOR],tabela_registros[MÊS],$AE$1,tabela_registros[DIA],investirrendavariávelconsolidadomar[[#Headers],[19]],tabela_registros[REGISTRO],DADOS!$N$5,tabela_registros[TIPO],DADOS!$AB$4,tabela_registros[CATEGORIA],investirrendavariávelconsolidadomar[[#This Row],[ATUAL]])</f>
        <v>0</v>
      </c>
      <c r="X137" s="119" t="n">
        <f aca="false">SUMIFS(tabela_registros[VALOR],tabela_registros[MÊS],$AE$1,tabela_registros[DIA],investirrendavariávelconsolidadomar[[#Headers],[20]],tabela_registros[REGISTRO],DADOS!$N$5,tabela_registros[TIPO],DADOS!$AB$4,tabela_registros[CATEGORIA],investirrendavariávelconsolidadomar[[#This Row],[ATUAL]])</f>
        <v>0</v>
      </c>
      <c r="Y137" s="119" t="n">
        <f aca="false">SUMIFS(tabela_registros[VALOR],tabela_registros[MÊS],$AE$1,tabela_registros[DIA],investirrendavariávelconsolidadomar[[#Headers],[21]],tabela_registros[REGISTRO],DADOS!$N$5,tabela_registros[TIPO],DADOS!$AB$4,tabela_registros[CATEGORIA],investirrendavariávelconsolidadomar[[#This Row],[ATUAL]])</f>
        <v>0</v>
      </c>
      <c r="Z137" s="119" t="n">
        <f aca="false">SUMIFS(tabela_registros[VALOR],tabela_registros[MÊS],$AE$1,tabela_registros[DIA],investirrendavariávelconsolidadomar[[#Headers],[22]],tabela_registros[REGISTRO],DADOS!$N$5,tabela_registros[TIPO],DADOS!$AB$4,tabela_registros[CATEGORIA],investirrendavariávelconsolidadomar[[#This Row],[ATUAL]])</f>
        <v>0</v>
      </c>
      <c r="AA137" s="119" t="n">
        <f aca="false">SUMIFS(tabela_registros[VALOR],tabela_registros[MÊS],$AE$1,tabela_registros[DIA],investirrendavariávelconsolidadomar[[#Headers],[23]],tabela_registros[REGISTRO],DADOS!$N$5,tabela_registros[TIPO],DADOS!$AB$4,tabela_registros[CATEGORIA],investirrendavariávelconsolidadomar[[#This Row],[ATUAL]])</f>
        <v>0</v>
      </c>
      <c r="AB137" s="119" t="n">
        <f aca="false">SUMIFS(tabela_registros[VALOR],tabela_registros[MÊS],$AE$1,tabela_registros[DIA],investirrendavariávelconsolidadomar[[#Headers],[24]],tabela_registros[REGISTRO],DADOS!$N$5,tabela_registros[TIPO],DADOS!$AB$4,tabela_registros[CATEGORIA],investirrendavariávelconsolidadomar[[#This Row],[ATUAL]])</f>
        <v>0</v>
      </c>
      <c r="AC137" s="119" t="n">
        <f aca="false">SUMIFS(tabela_registros[VALOR],tabela_registros[MÊS],$AE$1,tabela_registros[DIA],investirrendavariávelconsolidadomar[[#Headers],[25]],tabela_registros[REGISTRO],DADOS!$N$5,tabela_registros[TIPO],DADOS!$AB$4,tabela_registros[CATEGORIA],investirrendavariávelconsolidadomar[[#This Row],[ATUAL]])</f>
        <v>0</v>
      </c>
      <c r="AD137" s="119" t="n">
        <f aca="false">SUMIFS(tabela_registros[VALOR],tabela_registros[MÊS],$AE$1,tabela_registros[DIA],investirrendavariávelconsolidadomar[[#Headers],[26]],tabela_registros[REGISTRO],DADOS!$N$5,tabela_registros[TIPO],DADOS!$AB$4,tabela_registros[CATEGORIA],investirrendavariávelconsolidadomar[[#This Row],[ATUAL]])</f>
        <v>0</v>
      </c>
      <c r="AE137" s="119" t="n">
        <f aca="false">SUMIFS(tabela_registros[VALOR],tabela_registros[MÊS],$AE$1,tabela_registros[DIA],investirrendavariávelconsolidadomar[[#Headers],[27]],tabela_registros[REGISTRO],DADOS!$N$5,tabela_registros[TIPO],DADOS!$AB$4,tabela_registros[CATEGORIA],investirrendavariávelconsolidadomar[[#This Row],[ATUAL]])</f>
        <v>0</v>
      </c>
      <c r="AF137" s="119" t="n">
        <f aca="false">SUMIFS(tabela_registros[VALOR],tabela_registros[MÊS],$AE$1,tabela_registros[DIA],investirrendavariávelconsolidadomar[[#Headers],[28]],tabela_registros[REGISTRO],DADOS!$N$5,tabela_registros[TIPO],DADOS!$AB$4,tabela_registros[CATEGORIA],investirrendavariávelconsolidadomar[[#This Row],[ATUAL]])</f>
        <v>0</v>
      </c>
      <c r="AG137" s="119" t="n">
        <f aca="false">SUMIFS(tabela_registros[VALOR],tabela_registros[MÊS],$AE$1,tabela_registros[DIA],investirrendavariávelconsolidadomar[[#Headers],[29]],tabela_registros[REGISTRO],DADOS!$N$5,tabela_registros[TIPO],DADOS!$AB$4,tabela_registros[CATEGORIA],investirrendavariávelconsolidadomar[[#This Row],[ATUAL]])</f>
        <v>0</v>
      </c>
      <c r="AH137" s="119" t="n">
        <f aca="false">SUMIFS(tabela_registros[VALOR],tabela_registros[MÊS],$AE$1,tabela_registros[DIA],investirrendavariávelconsolidadomar[[#Headers],[30]],tabela_registros[REGISTRO],DADOS!$N$5,tabela_registros[TIPO],DADOS!$AB$4,tabela_registros[CATEGORIA],investirrendavariávelconsolidadomar[[#This Row],[ATUAL]])</f>
        <v>0</v>
      </c>
      <c r="AI137" s="217" t="n">
        <f aca="false">SUMIFS(tabela_registros[VALOR],tabela_registros[MÊS],$AE$1,tabela_registros[DIA],investirrendavariávelconsolidadomar[[#Headers],[31]],tabela_registros[REGISTRO],DADOS!$N$5,tabela_registros[TIPO],DADOS!$AB$4,tabela_registros[CATEGORIA],investirrendavariávelconsolidadomar[[#This Row],[ATUAL]])</f>
        <v>0</v>
      </c>
      <c r="AJ137" s="237" t="n">
        <f aca="false">SUM(investirrendavariávelconsolidadomar[[#This Row],[1]:[31]])</f>
        <v>0</v>
      </c>
      <c r="AK137" s="165"/>
    </row>
    <row r="138" customFormat="false" ht="19.5" hidden="false" customHeight="true" outlineLevel="0" collapsed="false">
      <c r="B138" s="143"/>
      <c r="C138" s="144" t="str">
        <f aca="false">DADOS!$AF$9</f>
        <v>📝 EXTERIOR</v>
      </c>
      <c r="D138" s="145" t="str">
        <f aca="false">IF(investirrendavariávelconsolidadomar[[#This Row],[TOTAL (R$)]]=0,"",IF(OR(investirrendavariávelconsolidadomar[[#This Row],[TOTAL (R$)]]=LARGE($AJ$132:$AJ$141,1),investirrendavariávelconsolidadomar[[#This Row],[TOTAL (R$)]]=LARGE($AJ$132:$AJ$141,2)),DADOS!$I$10,""))</f>
        <v/>
      </c>
      <c r="E138" s="148" t="n">
        <f aca="false">SUMIFS(tabela_registros[VALOR],tabela_registros[MÊS],$AE$1,tabela_registros[DIA],investirrendavariávelconsolidadomar[[#Headers],[1]],tabela_registros[REGISTRO],DADOS!$N$5,tabela_registros[TIPO],DADOS!$AB$4,tabela_registros[CATEGORIA],investirrendavariávelconsolidadomar[[#This Row],[ATUAL]])</f>
        <v>0</v>
      </c>
      <c r="F138" s="119" t="n">
        <f aca="false">SUMIFS(tabela_registros[VALOR],tabela_registros[MÊS],$AE$1,tabela_registros[DIA],investirrendavariávelconsolidadomar[[#Headers],[2]],tabela_registros[REGISTRO],DADOS!$N$5,tabela_registros[TIPO],DADOS!$AB$4,tabela_registros[CATEGORIA],investirrendavariávelconsolidadomar[[#This Row],[ATUAL]])</f>
        <v>0</v>
      </c>
      <c r="G138" s="119" t="n">
        <f aca="false">SUMIFS(tabela_registros[VALOR],tabela_registros[MÊS],$AE$1,tabela_registros[DIA],investirrendavariávelconsolidadomar[[#Headers],[3]],tabela_registros[REGISTRO],DADOS!$N$5,tabela_registros[TIPO],DADOS!$AB$4,tabela_registros[CATEGORIA],investirrendavariávelconsolidadomar[[#This Row],[ATUAL]])</f>
        <v>0</v>
      </c>
      <c r="H138" s="119" t="n">
        <f aca="false">SUMIFS(tabela_registros[VALOR],tabela_registros[MÊS],$AE$1,tabela_registros[DIA],investirrendavariávelconsolidadomar[[#Headers],[4]],tabela_registros[REGISTRO],DADOS!$N$5,tabela_registros[TIPO],DADOS!$AB$4,tabela_registros[CATEGORIA],investirrendavariávelconsolidadomar[[#This Row],[ATUAL]])</f>
        <v>0</v>
      </c>
      <c r="I138" s="119" t="n">
        <f aca="false">SUMIFS(tabela_registros[VALOR],tabela_registros[MÊS],$AE$1,tabela_registros[DIA],investirrendavariávelconsolidadomar[[#Headers],[5]],tabela_registros[REGISTRO],DADOS!$N$5,tabela_registros[TIPO],DADOS!$AB$4,tabela_registros[CATEGORIA],investirrendavariávelconsolidadomar[[#This Row],[ATUAL]])</f>
        <v>0</v>
      </c>
      <c r="J138" s="119" t="n">
        <f aca="false">SUMIFS(tabela_registros[VALOR],tabela_registros[MÊS],$AE$1,tabela_registros[DIA],investirrendavariávelconsolidadomar[[#Headers],[6]],tabela_registros[REGISTRO],DADOS!$N$5,tabela_registros[TIPO],DADOS!$AB$4,tabela_registros[CATEGORIA],investirrendavariávelconsolidadomar[[#This Row],[ATUAL]])</f>
        <v>0</v>
      </c>
      <c r="K138" s="119" t="n">
        <f aca="false">SUMIFS(tabela_registros[VALOR],tabela_registros[MÊS],$AE$1,tabela_registros[DIA],investirrendavariávelconsolidadomar[[#Headers],[7]],tabela_registros[REGISTRO],DADOS!$N$5,tabela_registros[TIPO],DADOS!$AB$4,tabela_registros[CATEGORIA],investirrendavariávelconsolidadomar[[#This Row],[ATUAL]])</f>
        <v>0</v>
      </c>
      <c r="L138" s="119" t="n">
        <f aca="false">SUMIFS(tabela_registros[VALOR],tabela_registros[MÊS],$AE$1,tabela_registros[DIA],investirrendavariávelconsolidadomar[[#Headers],[8]],tabela_registros[REGISTRO],DADOS!$N$5,tabela_registros[TIPO],DADOS!$AB$4,tabela_registros[CATEGORIA],investirrendavariávelconsolidadomar[[#This Row],[ATUAL]])</f>
        <v>0</v>
      </c>
      <c r="M138" s="119" t="n">
        <f aca="false">SUMIFS(tabela_registros[VALOR],tabela_registros[MÊS],$AE$1,tabela_registros[DIA],investirrendavariávelconsolidadomar[[#Headers],[9]],tabela_registros[REGISTRO],DADOS!$N$5,tabela_registros[TIPO],DADOS!$AB$4,tabela_registros[CATEGORIA],investirrendavariávelconsolidadomar[[#This Row],[ATUAL]])</f>
        <v>0</v>
      </c>
      <c r="N138" s="119" t="n">
        <f aca="false">SUMIFS(tabela_registros[VALOR],tabela_registros[MÊS],$AE$1,tabela_registros[DIA],investirrendavariávelconsolidadomar[[#Headers],[10]],tabela_registros[REGISTRO],DADOS!$N$5,tabela_registros[TIPO],DADOS!$AB$4,tabela_registros[CATEGORIA],investirrendavariávelconsolidadomar[[#This Row],[ATUAL]])</f>
        <v>0</v>
      </c>
      <c r="O138" s="119" t="n">
        <f aca="false">SUMIFS(tabela_registros[VALOR],tabela_registros[MÊS],$AE$1,tabela_registros[DIA],investirrendavariávelconsolidadomar[[#Headers],[11]],tabela_registros[REGISTRO],DADOS!$N$5,tabela_registros[TIPO],DADOS!$AB$4,tabela_registros[CATEGORIA],investirrendavariávelconsolidadomar[[#This Row],[ATUAL]])</f>
        <v>0</v>
      </c>
      <c r="P138" s="119" t="n">
        <f aca="false">SUMIFS(tabela_registros[VALOR],tabela_registros[MÊS],$AE$1,tabela_registros[DIA],investirrendavariávelconsolidadomar[[#Headers],[12]],tabela_registros[REGISTRO],DADOS!$N$5,tabela_registros[TIPO],DADOS!$AB$4,tabela_registros[CATEGORIA],investirrendavariávelconsolidadomar[[#This Row],[ATUAL]])</f>
        <v>0</v>
      </c>
      <c r="Q138" s="119" t="n">
        <f aca="false">SUMIFS(tabela_registros[VALOR],tabela_registros[MÊS],$AE$1,tabela_registros[DIA],investirrendavariávelconsolidadomar[[#Headers],[13]],tabela_registros[REGISTRO],DADOS!$N$5,tabela_registros[TIPO],DADOS!$AB$4,tabela_registros[CATEGORIA],investirrendavariávelconsolidadomar[[#This Row],[ATUAL]])</f>
        <v>0</v>
      </c>
      <c r="R138" s="119" t="n">
        <f aca="false">SUMIFS(tabela_registros[VALOR],tabela_registros[MÊS],$AE$1,tabela_registros[DIA],investirrendavariávelconsolidadomar[[#Headers],[14]],tabela_registros[REGISTRO],DADOS!$N$5,tabela_registros[TIPO],DADOS!$AB$4,tabela_registros[CATEGORIA],investirrendavariávelconsolidadomar[[#This Row],[ATUAL]])</f>
        <v>0</v>
      </c>
      <c r="S138" s="119" t="n">
        <f aca="false">SUMIFS(tabela_registros[VALOR],tabela_registros[MÊS],$AE$1,tabela_registros[DIA],investirrendavariávelconsolidadomar[[#Headers],[15]],tabela_registros[REGISTRO],DADOS!$N$5,tabela_registros[TIPO],DADOS!$AB$4,tabela_registros[CATEGORIA],investirrendavariávelconsolidadomar[[#This Row],[ATUAL]])</f>
        <v>0</v>
      </c>
      <c r="T138" s="119" t="n">
        <f aca="false">SUMIFS(tabela_registros[VALOR],tabela_registros[MÊS],$AE$1,tabela_registros[DIA],investirrendavariávelconsolidadomar[[#Headers],[16]],tabela_registros[REGISTRO],DADOS!$N$5,tabela_registros[TIPO],DADOS!$AB$4,tabela_registros[CATEGORIA],investirrendavariávelconsolidadomar[[#This Row],[ATUAL]])</f>
        <v>0</v>
      </c>
      <c r="U138" s="119" t="n">
        <f aca="false">SUMIFS(tabela_registros[VALOR],tabela_registros[MÊS],$AE$1,tabela_registros[DIA],investirrendavariávelconsolidadomar[[#Headers],[17]],tabela_registros[REGISTRO],DADOS!$N$5,tabela_registros[TIPO],DADOS!$AB$4,tabela_registros[CATEGORIA],investirrendavariávelconsolidadomar[[#This Row],[ATUAL]])</f>
        <v>0</v>
      </c>
      <c r="V138" s="119" t="n">
        <f aca="false">SUMIFS(tabela_registros[VALOR],tabela_registros[MÊS],$AE$1,tabela_registros[DIA],investirrendavariávelconsolidadomar[[#Headers],[18]],tabela_registros[REGISTRO],DADOS!$N$5,tabela_registros[TIPO],DADOS!$AB$4,tabela_registros[CATEGORIA],investirrendavariávelconsolidadomar[[#This Row],[ATUAL]])</f>
        <v>0</v>
      </c>
      <c r="W138" s="119" t="n">
        <f aca="false">SUMIFS(tabela_registros[VALOR],tabela_registros[MÊS],$AE$1,tabela_registros[DIA],investirrendavariávelconsolidadomar[[#Headers],[19]],tabela_registros[REGISTRO],DADOS!$N$5,tabela_registros[TIPO],DADOS!$AB$4,tabela_registros[CATEGORIA],investirrendavariávelconsolidadomar[[#This Row],[ATUAL]])</f>
        <v>0</v>
      </c>
      <c r="X138" s="119" t="n">
        <f aca="false">SUMIFS(tabela_registros[VALOR],tabela_registros[MÊS],$AE$1,tabela_registros[DIA],investirrendavariávelconsolidadomar[[#Headers],[20]],tabela_registros[REGISTRO],DADOS!$N$5,tabela_registros[TIPO],DADOS!$AB$4,tabela_registros[CATEGORIA],investirrendavariávelconsolidadomar[[#This Row],[ATUAL]])</f>
        <v>0</v>
      </c>
      <c r="Y138" s="119" t="n">
        <f aca="false">SUMIFS(tabela_registros[VALOR],tabela_registros[MÊS],$AE$1,tabela_registros[DIA],investirrendavariávelconsolidadomar[[#Headers],[21]],tabela_registros[REGISTRO],DADOS!$N$5,tabela_registros[TIPO],DADOS!$AB$4,tabela_registros[CATEGORIA],investirrendavariávelconsolidadomar[[#This Row],[ATUAL]])</f>
        <v>0</v>
      </c>
      <c r="Z138" s="119" t="n">
        <f aca="false">SUMIFS(tabela_registros[VALOR],tabela_registros[MÊS],$AE$1,tabela_registros[DIA],investirrendavariávelconsolidadomar[[#Headers],[22]],tabela_registros[REGISTRO],DADOS!$N$5,tabela_registros[TIPO],DADOS!$AB$4,tabela_registros[CATEGORIA],investirrendavariávelconsolidadomar[[#This Row],[ATUAL]])</f>
        <v>0</v>
      </c>
      <c r="AA138" s="119" t="n">
        <f aca="false">SUMIFS(tabela_registros[VALOR],tabela_registros[MÊS],$AE$1,tabela_registros[DIA],investirrendavariávelconsolidadomar[[#Headers],[23]],tabela_registros[REGISTRO],DADOS!$N$5,tabela_registros[TIPO],DADOS!$AB$4,tabela_registros[CATEGORIA],investirrendavariávelconsolidadomar[[#This Row],[ATUAL]])</f>
        <v>0</v>
      </c>
      <c r="AB138" s="119" t="n">
        <f aca="false">SUMIFS(tabela_registros[VALOR],tabela_registros[MÊS],$AE$1,tabela_registros[DIA],investirrendavariávelconsolidadomar[[#Headers],[24]],tabela_registros[REGISTRO],DADOS!$N$5,tabela_registros[TIPO],DADOS!$AB$4,tabela_registros[CATEGORIA],investirrendavariávelconsolidadomar[[#This Row],[ATUAL]])</f>
        <v>0</v>
      </c>
      <c r="AC138" s="119" t="n">
        <f aca="false">SUMIFS(tabela_registros[VALOR],tabela_registros[MÊS],$AE$1,tabela_registros[DIA],investirrendavariávelconsolidadomar[[#Headers],[25]],tabela_registros[REGISTRO],DADOS!$N$5,tabela_registros[TIPO],DADOS!$AB$4,tabela_registros[CATEGORIA],investirrendavariávelconsolidadomar[[#This Row],[ATUAL]])</f>
        <v>0</v>
      </c>
      <c r="AD138" s="119" t="n">
        <f aca="false">SUMIFS(tabela_registros[VALOR],tabela_registros[MÊS],$AE$1,tabela_registros[DIA],investirrendavariávelconsolidadomar[[#Headers],[26]],tabela_registros[REGISTRO],DADOS!$N$5,tabela_registros[TIPO],DADOS!$AB$4,tabela_registros[CATEGORIA],investirrendavariávelconsolidadomar[[#This Row],[ATUAL]])</f>
        <v>0</v>
      </c>
      <c r="AE138" s="119" t="n">
        <f aca="false">SUMIFS(tabela_registros[VALOR],tabela_registros[MÊS],$AE$1,tabela_registros[DIA],investirrendavariávelconsolidadomar[[#Headers],[27]],tabela_registros[REGISTRO],DADOS!$N$5,tabela_registros[TIPO],DADOS!$AB$4,tabela_registros[CATEGORIA],investirrendavariávelconsolidadomar[[#This Row],[ATUAL]])</f>
        <v>0</v>
      </c>
      <c r="AF138" s="119" t="n">
        <f aca="false">SUMIFS(tabela_registros[VALOR],tabela_registros[MÊS],$AE$1,tabela_registros[DIA],investirrendavariávelconsolidadomar[[#Headers],[28]],tabela_registros[REGISTRO],DADOS!$N$5,tabela_registros[TIPO],DADOS!$AB$4,tabela_registros[CATEGORIA],investirrendavariávelconsolidadomar[[#This Row],[ATUAL]])</f>
        <v>0</v>
      </c>
      <c r="AG138" s="119" t="n">
        <f aca="false">SUMIFS(tabela_registros[VALOR],tabela_registros[MÊS],$AE$1,tabela_registros[DIA],investirrendavariávelconsolidadomar[[#Headers],[29]],tabela_registros[REGISTRO],DADOS!$N$5,tabela_registros[TIPO],DADOS!$AB$4,tabela_registros[CATEGORIA],investirrendavariávelconsolidadomar[[#This Row],[ATUAL]])</f>
        <v>0</v>
      </c>
      <c r="AH138" s="119" t="n">
        <f aca="false">SUMIFS(tabela_registros[VALOR],tabela_registros[MÊS],$AE$1,tabela_registros[DIA],investirrendavariávelconsolidadomar[[#Headers],[30]],tabela_registros[REGISTRO],DADOS!$N$5,tabela_registros[TIPO],DADOS!$AB$4,tabela_registros[CATEGORIA],investirrendavariávelconsolidadomar[[#This Row],[ATUAL]])</f>
        <v>0</v>
      </c>
      <c r="AI138" s="217" t="n">
        <f aca="false">SUMIFS(tabela_registros[VALOR],tabela_registros[MÊS],$AE$1,tabela_registros[DIA],investirrendavariávelconsolidadomar[[#Headers],[31]],tabela_registros[REGISTRO],DADOS!$N$5,tabela_registros[TIPO],DADOS!$AB$4,tabela_registros[CATEGORIA],investirrendavariávelconsolidadomar[[#This Row],[ATUAL]])</f>
        <v>0</v>
      </c>
      <c r="AJ138" s="237" t="n">
        <f aca="false">SUM(investirrendavariávelconsolidadomar[[#This Row],[1]:[31]])</f>
        <v>0</v>
      </c>
      <c r="AK138" s="165"/>
    </row>
    <row r="139" customFormat="false" ht="19.5" hidden="false" customHeight="true" outlineLevel="0" collapsed="false">
      <c r="B139" s="143"/>
      <c r="C139" s="144" t="str">
        <f aca="false">DADOS!$AF$10</f>
        <v>📝 FII</v>
      </c>
      <c r="D139" s="145" t="str">
        <f aca="false">IF(investirrendavariávelconsolidadomar[[#This Row],[TOTAL (R$)]]=0,"",IF(OR(investirrendavariávelconsolidadomar[[#This Row],[TOTAL (R$)]]=LARGE($AJ$132:$AJ$141,1),investirrendavariávelconsolidadomar[[#This Row],[TOTAL (R$)]]=LARGE($AJ$132:$AJ$141,2)),DADOS!$I$10,""))</f>
        <v/>
      </c>
      <c r="E139" s="148" t="n">
        <f aca="false">SUMIFS(tabela_registros[VALOR],tabela_registros[MÊS],$AE$1,tabela_registros[DIA],investirrendavariávelconsolidadomar[[#Headers],[1]],tabela_registros[REGISTRO],DADOS!$N$5,tabela_registros[TIPO],DADOS!$AB$4,tabela_registros[CATEGORIA],investirrendavariávelconsolidadomar[[#This Row],[ATUAL]])</f>
        <v>0</v>
      </c>
      <c r="F139" s="119" t="n">
        <f aca="false">SUMIFS(tabela_registros[VALOR],tabela_registros[MÊS],$AE$1,tabela_registros[DIA],investirrendavariávelconsolidadomar[[#Headers],[2]],tabela_registros[REGISTRO],DADOS!$N$5,tabela_registros[TIPO],DADOS!$AB$4,tabela_registros[CATEGORIA],investirrendavariávelconsolidadomar[[#This Row],[ATUAL]])</f>
        <v>0</v>
      </c>
      <c r="G139" s="119" t="n">
        <f aca="false">SUMIFS(tabela_registros[VALOR],tabela_registros[MÊS],$AE$1,tabela_registros[DIA],investirrendavariávelconsolidadomar[[#Headers],[3]],tabela_registros[REGISTRO],DADOS!$N$5,tabela_registros[TIPO],DADOS!$AB$4,tabela_registros[CATEGORIA],investirrendavariávelconsolidadomar[[#This Row],[ATUAL]])</f>
        <v>0</v>
      </c>
      <c r="H139" s="119" t="n">
        <f aca="false">SUMIFS(tabela_registros[VALOR],tabela_registros[MÊS],$AE$1,tabela_registros[DIA],investirrendavariávelconsolidadomar[[#Headers],[4]],tabela_registros[REGISTRO],DADOS!$N$5,tabela_registros[TIPO],DADOS!$AB$4,tabela_registros[CATEGORIA],investirrendavariávelconsolidadomar[[#This Row],[ATUAL]])</f>
        <v>0</v>
      </c>
      <c r="I139" s="119" t="n">
        <f aca="false">SUMIFS(tabela_registros[VALOR],tabela_registros[MÊS],$AE$1,tabela_registros[DIA],investirrendavariávelconsolidadomar[[#Headers],[5]],tabela_registros[REGISTRO],DADOS!$N$5,tabela_registros[TIPO],DADOS!$AB$4,tabela_registros[CATEGORIA],investirrendavariávelconsolidadomar[[#This Row],[ATUAL]])</f>
        <v>0</v>
      </c>
      <c r="J139" s="119" t="n">
        <f aca="false">SUMIFS(tabela_registros[VALOR],tabela_registros[MÊS],$AE$1,tabela_registros[DIA],investirrendavariávelconsolidadomar[[#Headers],[6]],tabela_registros[REGISTRO],DADOS!$N$5,tabela_registros[TIPO],DADOS!$AB$4,tabela_registros[CATEGORIA],investirrendavariávelconsolidadomar[[#This Row],[ATUAL]])</f>
        <v>0</v>
      </c>
      <c r="K139" s="119" t="n">
        <f aca="false">SUMIFS(tabela_registros[VALOR],tabela_registros[MÊS],$AE$1,tabela_registros[DIA],investirrendavariávelconsolidadomar[[#Headers],[7]],tabela_registros[REGISTRO],DADOS!$N$5,tabela_registros[TIPO],DADOS!$AB$4,tabela_registros[CATEGORIA],investirrendavariávelconsolidadomar[[#This Row],[ATUAL]])</f>
        <v>0</v>
      </c>
      <c r="L139" s="119" t="n">
        <f aca="false">SUMIFS(tabela_registros[VALOR],tabela_registros[MÊS],$AE$1,tabela_registros[DIA],investirrendavariávelconsolidadomar[[#Headers],[8]],tabela_registros[REGISTRO],DADOS!$N$5,tabela_registros[TIPO],DADOS!$AB$4,tabela_registros[CATEGORIA],investirrendavariávelconsolidadomar[[#This Row],[ATUAL]])</f>
        <v>0</v>
      </c>
      <c r="M139" s="119" t="n">
        <f aca="false">SUMIFS(tabela_registros[VALOR],tabela_registros[MÊS],$AE$1,tabela_registros[DIA],investirrendavariávelconsolidadomar[[#Headers],[9]],tabela_registros[REGISTRO],DADOS!$N$5,tabela_registros[TIPO],DADOS!$AB$4,tabela_registros[CATEGORIA],investirrendavariávelconsolidadomar[[#This Row],[ATUAL]])</f>
        <v>0</v>
      </c>
      <c r="N139" s="119" t="n">
        <f aca="false">SUMIFS(tabela_registros[VALOR],tabela_registros[MÊS],$AE$1,tabela_registros[DIA],investirrendavariávelconsolidadomar[[#Headers],[10]],tabela_registros[REGISTRO],DADOS!$N$5,tabela_registros[TIPO],DADOS!$AB$4,tabela_registros[CATEGORIA],investirrendavariávelconsolidadomar[[#This Row],[ATUAL]])</f>
        <v>0</v>
      </c>
      <c r="O139" s="119" t="n">
        <f aca="false">SUMIFS(tabela_registros[VALOR],tabela_registros[MÊS],$AE$1,tabela_registros[DIA],investirrendavariávelconsolidadomar[[#Headers],[11]],tabela_registros[REGISTRO],DADOS!$N$5,tabela_registros[TIPO],DADOS!$AB$4,tabela_registros[CATEGORIA],investirrendavariávelconsolidadomar[[#This Row],[ATUAL]])</f>
        <v>0</v>
      </c>
      <c r="P139" s="119" t="n">
        <f aca="false">SUMIFS(tabela_registros[VALOR],tabela_registros[MÊS],$AE$1,tabela_registros[DIA],investirrendavariávelconsolidadomar[[#Headers],[12]],tabela_registros[REGISTRO],DADOS!$N$5,tabela_registros[TIPO],DADOS!$AB$4,tabela_registros[CATEGORIA],investirrendavariávelconsolidadomar[[#This Row],[ATUAL]])</f>
        <v>0</v>
      </c>
      <c r="Q139" s="119" t="n">
        <f aca="false">SUMIFS(tabela_registros[VALOR],tabela_registros[MÊS],$AE$1,tabela_registros[DIA],investirrendavariávelconsolidadomar[[#Headers],[13]],tabela_registros[REGISTRO],DADOS!$N$5,tabela_registros[TIPO],DADOS!$AB$4,tabela_registros[CATEGORIA],investirrendavariávelconsolidadomar[[#This Row],[ATUAL]])</f>
        <v>0</v>
      </c>
      <c r="R139" s="119" t="n">
        <f aca="false">SUMIFS(tabela_registros[VALOR],tabela_registros[MÊS],$AE$1,tabela_registros[DIA],investirrendavariávelconsolidadomar[[#Headers],[14]],tabela_registros[REGISTRO],DADOS!$N$5,tabela_registros[TIPO],DADOS!$AB$4,tabela_registros[CATEGORIA],investirrendavariávelconsolidadomar[[#This Row],[ATUAL]])</f>
        <v>0</v>
      </c>
      <c r="S139" s="119" t="n">
        <f aca="false">SUMIFS(tabela_registros[VALOR],tabela_registros[MÊS],$AE$1,tabela_registros[DIA],investirrendavariávelconsolidadomar[[#Headers],[15]],tabela_registros[REGISTRO],DADOS!$N$5,tabela_registros[TIPO],DADOS!$AB$4,tabela_registros[CATEGORIA],investirrendavariávelconsolidadomar[[#This Row],[ATUAL]])</f>
        <v>0</v>
      </c>
      <c r="T139" s="119" t="n">
        <f aca="false">SUMIFS(tabela_registros[VALOR],tabela_registros[MÊS],$AE$1,tabela_registros[DIA],investirrendavariávelconsolidadomar[[#Headers],[16]],tabela_registros[REGISTRO],DADOS!$N$5,tabela_registros[TIPO],DADOS!$AB$4,tabela_registros[CATEGORIA],investirrendavariávelconsolidadomar[[#This Row],[ATUAL]])</f>
        <v>0</v>
      </c>
      <c r="U139" s="119" t="n">
        <f aca="false">SUMIFS(tabela_registros[VALOR],tabela_registros[MÊS],$AE$1,tabela_registros[DIA],investirrendavariávelconsolidadomar[[#Headers],[17]],tabela_registros[REGISTRO],DADOS!$N$5,tabela_registros[TIPO],DADOS!$AB$4,tabela_registros[CATEGORIA],investirrendavariávelconsolidadomar[[#This Row],[ATUAL]])</f>
        <v>0</v>
      </c>
      <c r="V139" s="119" t="n">
        <f aca="false">SUMIFS(tabela_registros[VALOR],tabela_registros[MÊS],$AE$1,tabela_registros[DIA],investirrendavariávelconsolidadomar[[#Headers],[18]],tabela_registros[REGISTRO],DADOS!$N$5,tabela_registros[TIPO],DADOS!$AB$4,tabela_registros[CATEGORIA],investirrendavariávelconsolidadomar[[#This Row],[ATUAL]])</f>
        <v>0</v>
      </c>
      <c r="W139" s="119" t="n">
        <f aca="false">SUMIFS(tabela_registros[VALOR],tabela_registros[MÊS],$AE$1,tabela_registros[DIA],investirrendavariávelconsolidadomar[[#Headers],[19]],tabela_registros[REGISTRO],DADOS!$N$5,tabela_registros[TIPO],DADOS!$AB$4,tabela_registros[CATEGORIA],investirrendavariávelconsolidadomar[[#This Row],[ATUAL]])</f>
        <v>0</v>
      </c>
      <c r="X139" s="119" t="n">
        <f aca="false">SUMIFS(tabela_registros[VALOR],tabela_registros[MÊS],$AE$1,tabela_registros[DIA],investirrendavariávelconsolidadomar[[#Headers],[20]],tabela_registros[REGISTRO],DADOS!$N$5,tabela_registros[TIPO],DADOS!$AB$4,tabela_registros[CATEGORIA],investirrendavariávelconsolidadomar[[#This Row],[ATUAL]])</f>
        <v>0</v>
      </c>
      <c r="Y139" s="119" t="n">
        <f aca="false">SUMIFS(tabela_registros[VALOR],tabela_registros[MÊS],$AE$1,tabela_registros[DIA],investirrendavariávelconsolidadomar[[#Headers],[21]],tabela_registros[REGISTRO],DADOS!$N$5,tabela_registros[TIPO],DADOS!$AB$4,tabela_registros[CATEGORIA],investirrendavariávelconsolidadomar[[#This Row],[ATUAL]])</f>
        <v>0</v>
      </c>
      <c r="Z139" s="119" t="n">
        <f aca="false">SUMIFS(tabela_registros[VALOR],tabela_registros[MÊS],$AE$1,tabela_registros[DIA],investirrendavariávelconsolidadomar[[#Headers],[22]],tabela_registros[REGISTRO],DADOS!$N$5,tabela_registros[TIPO],DADOS!$AB$4,tabela_registros[CATEGORIA],investirrendavariávelconsolidadomar[[#This Row],[ATUAL]])</f>
        <v>0</v>
      </c>
      <c r="AA139" s="119" t="n">
        <f aca="false">SUMIFS(tabela_registros[VALOR],tabela_registros[MÊS],$AE$1,tabela_registros[DIA],investirrendavariávelconsolidadomar[[#Headers],[23]],tabela_registros[REGISTRO],DADOS!$N$5,tabela_registros[TIPO],DADOS!$AB$4,tabela_registros[CATEGORIA],investirrendavariávelconsolidadomar[[#This Row],[ATUAL]])</f>
        <v>0</v>
      </c>
      <c r="AB139" s="119" t="n">
        <f aca="false">SUMIFS(tabela_registros[VALOR],tabela_registros[MÊS],$AE$1,tabela_registros[DIA],investirrendavariávelconsolidadomar[[#Headers],[24]],tabela_registros[REGISTRO],DADOS!$N$5,tabela_registros[TIPO],DADOS!$AB$4,tabela_registros[CATEGORIA],investirrendavariávelconsolidadomar[[#This Row],[ATUAL]])</f>
        <v>0</v>
      </c>
      <c r="AC139" s="119" t="n">
        <f aca="false">SUMIFS(tabela_registros[VALOR],tabela_registros[MÊS],$AE$1,tabela_registros[DIA],investirrendavariávelconsolidadomar[[#Headers],[25]],tabela_registros[REGISTRO],DADOS!$N$5,tabela_registros[TIPO],DADOS!$AB$4,tabela_registros[CATEGORIA],investirrendavariávelconsolidadomar[[#This Row],[ATUAL]])</f>
        <v>0</v>
      </c>
      <c r="AD139" s="119" t="n">
        <f aca="false">SUMIFS(tabela_registros[VALOR],tabela_registros[MÊS],$AE$1,tabela_registros[DIA],investirrendavariávelconsolidadomar[[#Headers],[26]],tabela_registros[REGISTRO],DADOS!$N$5,tabela_registros[TIPO],DADOS!$AB$4,tabela_registros[CATEGORIA],investirrendavariávelconsolidadomar[[#This Row],[ATUAL]])</f>
        <v>0</v>
      </c>
      <c r="AE139" s="119" t="n">
        <f aca="false">SUMIFS(tabela_registros[VALOR],tabela_registros[MÊS],$AE$1,tabela_registros[DIA],investirrendavariávelconsolidadomar[[#Headers],[27]],tabela_registros[REGISTRO],DADOS!$N$5,tabela_registros[TIPO],DADOS!$AB$4,tabela_registros[CATEGORIA],investirrendavariávelconsolidadomar[[#This Row],[ATUAL]])</f>
        <v>0</v>
      </c>
      <c r="AF139" s="119" t="n">
        <f aca="false">SUMIFS(tabela_registros[VALOR],tabela_registros[MÊS],$AE$1,tabela_registros[DIA],investirrendavariávelconsolidadomar[[#Headers],[28]],tabela_registros[REGISTRO],DADOS!$N$5,tabela_registros[TIPO],DADOS!$AB$4,tabela_registros[CATEGORIA],investirrendavariávelconsolidadomar[[#This Row],[ATUAL]])</f>
        <v>0</v>
      </c>
      <c r="AG139" s="119" t="n">
        <f aca="false">SUMIFS(tabela_registros[VALOR],tabela_registros[MÊS],$AE$1,tabela_registros[DIA],investirrendavariávelconsolidadomar[[#Headers],[29]],tabela_registros[REGISTRO],DADOS!$N$5,tabela_registros[TIPO],DADOS!$AB$4,tabela_registros[CATEGORIA],investirrendavariávelconsolidadomar[[#This Row],[ATUAL]])</f>
        <v>0</v>
      </c>
      <c r="AH139" s="119" t="n">
        <f aca="false">SUMIFS(tabela_registros[VALOR],tabela_registros[MÊS],$AE$1,tabela_registros[DIA],investirrendavariávelconsolidadomar[[#Headers],[30]],tabela_registros[REGISTRO],DADOS!$N$5,tabela_registros[TIPO],DADOS!$AB$4,tabela_registros[CATEGORIA],investirrendavariávelconsolidadomar[[#This Row],[ATUAL]])</f>
        <v>0</v>
      </c>
      <c r="AI139" s="217" t="n">
        <f aca="false">SUMIFS(tabela_registros[VALOR],tabela_registros[MÊS],$AE$1,tabela_registros[DIA],investirrendavariávelconsolidadomar[[#Headers],[31]],tabela_registros[REGISTRO],DADOS!$N$5,tabela_registros[TIPO],DADOS!$AB$4,tabela_registros[CATEGORIA],investirrendavariávelconsolidadomar[[#This Row],[ATUAL]])</f>
        <v>0</v>
      </c>
      <c r="AJ139" s="237" t="n">
        <f aca="false">SUM(investirrendavariávelconsolidadomar[[#This Row],[1]:[31]])</f>
        <v>0</v>
      </c>
      <c r="AK139" s="165"/>
    </row>
    <row r="140" customFormat="false" ht="19.5" hidden="false" customHeight="true" outlineLevel="0" collapsed="false">
      <c r="B140" s="143"/>
      <c r="C140" s="144" t="str">
        <f aca="false">DADOS!$AF$11</f>
        <v>📝 MOEDA</v>
      </c>
      <c r="D140" s="145" t="str">
        <f aca="false">IF(investirrendavariávelconsolidadomar[[#This Row],[TOTAL (R$)]]=0,"",IF(OR(investirrendavariávelconsolidadomar[[#This Row],[TOTAL (R$)]]=LARGE($AJ$132:$AJ$141,1),investirrendavariávelconsolidadomar[[#This Row],[TOTAL (R$)]]=LARGE($AJ$132:$AJ$141,2)),DADOS!$I$10,""))</f>
        <v/>
      </c>
      <c r="E140" s="148" t="n">
        <f aca="false">SUMIFS(tabela_registros[VALOR],tabela_registros[MÊS],$AE$1,tabela_registros[DIA],investirrendavariávelconsolidadomar[[#Headers],[1]],tabela_registros[REGISTRO],DADOS!$N$5,tabela_registros[TIPO],DADOS!$AB$4,tabela_registros[CATEGORIA],investirrendavariávelconsolidadomar[[#This Row],[ATUAL]])</f>
        <v>0</v>
      </c>
      <c r="F140" s="119" t="n">
        <f aca="false">SUMIFS(tabela_registros[VALOR],tabela_registros[MÊS],$AE$1,tabela_registros[DIA],investirrendavariávelconsolidadomar[[#Headers],[2]],tabela_registros[REGISTRO],DADOS!$N$5,tabela_registros[TIPO],DADOS!$AB$4,tabela_registros[CATEGORIA],investirrendavariávelconsolidadomar[[#This Row],[ATUAL]])</f>
        <v>0</v>
      </c>
      <c r="G140" s="119" t="n">
        <f aca="false">SUMIFS(tabela_registros[VALOR],tabela_registros[MÊS],$AE$1,tabela_registros[DIA],investirrendavariávelconsolidadomar[[#Headers],[3]],tabela_registros[REGISTRO],DADOS!$N$5,tabela_registros[TIPO],DADOS!$AB$4,tabela_registros[CATEGORIA],investirrendavariávelconsolidadomar[[#This Row],[ATUAL]])</f>
        <v>0</v>
      </c>
      <c r="H140" s="119" t="n">
        <f aca="false">SUMIFS(tabela_registros[VALOR],tabela_registros[MÊS],$AE$1,tabela_registros[DIA],investirrendavariávelconsolidadomar[[#Headers],[4]],tabela_registros[REGISTRO],DADOS!$N$5,tabela_registros[TIPO],DADOS!$AB$4,tabela_registros[CATEGORIA],investirrendavariávelconsolidadomar[[#This Row],[ATUAL]])</f>
        <v>0</v>
      </c>
      <c r="I140" s="119" t="n">
        <f aca="false">SUMIFS(tabela_registros[VALOR],tabela_registros[MÊS],$AE$1,tabela_registros[DIA],investirrendavariávelconsolidadomar[[#Headers],[5]],tabela_registros[REGISTRO],DADOS!$N$5,tabela_registros[TIPO],DADOS!$AB$4,tabela_registros[CATEGORIA],investirrendavariávelconsolidadomar[[#This Row],[ATUAL]])</f>
        <v>0</v>
      </c>
      <c r="J140" s="119" t="n">
        <f aca="false">SUMIFS(tabela_registros[VALOR],tabela_registros[MÊS],$AE$1,tabela_registros[DIA],investirrendavariávelconsolidadomar[[#Headers],[6]],tabela_registros[REGISTRO],DADOS!$N$5,tabela_registros[TIPO],DADOS!$AB$4,tabela_registros[CATEGORIA],investirrendavariávelconsolidadomar[[#This Row],[ATUAL]])</f>
        <v>0</v>
      </c>
      <c r="K140" s="119" t="n">
        <f aca="false">SUMIFS(tabela_registros[VALOR],tabela_registros[MÊS],$AE$1,tabela_registros[DIA],investirrendavariávelconsolidadomar[[#Headers],[7]],tabela_registros[REGISTRO],DADOS!$N$5,tabela_registros[TIPO],DADOS!$AB$4,tabela_registros[CATEGORIA],investirrendavariávelconsolidadomar[[#This Row],[ATUAL]])</f>
        <v>0</v>
      </c>
      <c r="L140" s="119" t="n">
        <f aca="false">SUMIFS(tabela_registros[VALOR],tabela_registros[MÊS],$AE$1,tabela_registros[DIA],investirrendavariávelconsolidadomar[[#Headers],[8]],tabela_registros[REGISTRO],DADOS!$N$5,tabela_registros[TIPO],DADOS!$AB$4,tabela_registros[CATEGORIA],investirrendavariávelconsolidadomar[[#This Row],[ATUAL]])</f>
        <v>0</v>
      </c>
      <c r="M140" s="119" t="n">
        <f aca="false">SUMIFS(tabela_registros[VALOR],tabela_registros[MÊS],$AE$1,tabela_registros[DIA],investirrendavariávelconsolidadomar[[#Headers],[9]],tabela_registros[REGISTRO],DADOS!$N$5,tabela_registros[TIPO],DADOS!$AB$4,tabela_registros[CATEGORIA],investirrendavariávelconsolidadomar[[#This Row],[ATUAL]])</f>
        <v>0</v>
      </c>
      <c r="N140" s="119" t="n">
        <f aca="false">SUMIFS(tabela_registros[VALOR],tabela_registros[MÊS],$AE$1,tabela_registros[DIA],investirrendavariávelconsolidadomar[[#Headers],[10]],tabela_registros[REGISTRO],DADOS!$N$5,tabela_registros[TIPO],DADOS!$AB$4,tabela_registros[CATEGORIA],investirrendavariávelconsolidadomar[[#This Row],[ATUAL]])</f>
        <v>0</v>
      </c>
      <c r="O140" s="119" t="n">
        <f aca="false">SUMIFS(tabela_registros[VALOR],tabela_registros[MÊS],$AE$1,tabela_registros[DIA],investirrendavariávelconsolidadomar[[#Headers],[11]],tabela_registros[REGISTRO],DADOS!$N$5,tabela_registros[TIPO],DADOS!$AB$4,tabela_registros[CATEGORIA],investirrendavariávelconsolidadomar[[#This Row],[ATUAL]])</f>
        <v>0</v>
      </c>
      <c r="P140" s="119" t="n">
        <f aca="false">SUMIFS(tabela_registros[VALOR],tabela_registros[MÊS],$AE$1,tabela_registros[DIA],investirrendavariávelconsolidadomar[[#Headers],[12]],tabela_registros[REGISTRO],DADOS!$N$5,tabela_registros[TIPO],DADOS!$AB$4,tabela_registros[CATEGORIA],investirrendavariávelconsolidadomar[[#This Row],[ATUAL]])</f>
        <v>0</v>
      </c>
      <c r="Q140" s="119" t="n">
        <f aca="false">SUMIFS(tabela_registros[VALOR],tabela_registros[MÊS],$AE$1,tabela_registros[DIA],investirrendavariávelconsolidadomar[[#Headers],[13]],tabela_registros[REGISTRO],DADOS!$N$5,tabela_registros[TIPO],DADOS!$AB$4,tabela_registros[CATEGORIA],investirrendavariávelconsolidadomar[[#This Row],[ATUAL]])</f>
        <v>0</v>
      </c>
      <c r="R140" s="119" t="n">
        <f aca="false">SUMIFS(tabela_registros[VALOR],tabela_registros[MÊS],$AE$1,tabela_registros[DIA],investirrendavariávelconsolidadomar[[#Headers],[14]],tabela_registros[REGISTRO],DADOS!$N$5,tabela_registros[TIPO],DADOS!$AB$4,tabela_registros[CATEGORIA],investirrendavariávelconsolidadomar[[#This Row],[ATUAL]])</f>
        <v>0</v>
      </c>
      <c r="S140" s="119" t="n">
        <f aca="false">SUMIFS(tabela_registros[VALOR],tabela_registros[MÊS],$AE$1,tabela_registros[DIA],investirrendavariávelconsolidadomar[[#Headers],[15]],tabela_registros[REGISTRO],DADOS!$N$5,tabela_registros[TIPO],DADOS!$AB$4,tabela_registros[CATEGORIA],investirrendavariávelconsolidadomar[[#This Row],[ATUAL]])</f>
        <v>0</v>
      </c>
      <c r="T140" s="119" t="n">
        <f aca="false">SUMIFS(tabela_registros[VALOR],tabela_registros[MÊS],$AE$1,tabela_registros[DIA],investirrendavariávelconsolidadomar[[#Headers],[16]],tabela_registros[REGISTRO],DADOS!$N$5,tabela_registros[TIPO],DADOS!$AB$4,tabela_registros[CATEGORIA],investirrendavariávelconsolidadomar[[#This Row],[ATUAL]])</f>
        <v>0</v>
      </c>
      <c r="U140" s="119" t="n">
        <f aca="false">SUMIFS(tabela_registros[VALOR],tabela_registros[MÊS],$AE$1,tabela_registros[DIA],investirrendavariávelconsolidadomar[[#Headers],[17]],tabela_registros[REGISTRO],DADOS!$N$5,tabela_registros[TIPO],DADOS!$AB$4,tabela_registros[CATEGORIA],investirrendavariávelconsolidadomar[[#This Row],[ATUAL]])</f>
        <v>0</v>
      </c>
      <c r="V140" s="119" t="n">
        <f aca="false">SUMIFS(tabela_registros[VALOR],tabela_registros[MÊS],$AE$1,tabela_registros[DIA],investirrendavariávelconsolidadomar[[#Headers],[18]],tabela_registros[REGISTRO],DADOS!$N$5,tabela_registros[TIPO],DADOS!$AB$4,tabela_registros[CATEGORIA],investirrendavariávelconsolidadomar[[#This Row],[ATUAL]])</f>
        <v>0</v>
      </c>
      <c r="W140" s="119" t="n">
        <f aca="false">SUMIFS(tabela_registros[VALOR],tabela_registros[MÊS],$AE$1,tabela_registros[DIA],investirrendavariávelconsolidadomar[[#Headers],[19]],tabela_registros[REGISTRO],DADOS!$N$5,tabela_registros[TIPO],DADOS!$AB$4,tabela_registros[CATEGORIA],investirrendavariávelconsolidadomar[[#This Row],[ATUAL]])</f>
        <v>0</v>
      </c>
      <c r="X140" s="119" t="n">
        <f aca="false">SUMIFS(tabela_registros[VALOR],tabela_registros[MÊS],$AE$1,tabela_registros[DIA],investirrendavariávelconsolidadomar[[#Headers],[20]],tabela_registros[REGISTRO],DADOS!$N$5,tabela_registros[TIPO],DADOS!$AB$4,tabela_registros[CATEGORIA],investirrendavariávelconsolidadomar[[#This Row],[ATUAL]])</f>
        <v>0</v>
      </c>
      <c r="Y140" s="119" t="n">
        <f aca="false">SUMIFS(tabela_registros[VALOR],tabela_registros[MÊS],$AE$1,tabela_registros[DIA],investirrendavariávelconsolidadomar[[#Headers],[21]],tabela_registros[REGISTRO],DADOS!$N$5,tabela_registros[TIPO],DADOS!$AB$4,tabela_registros[CATEGORIA],investirrendavariávelconsolidadomar[[#This Row],[ATUAL]])</f>
        <v>0</v>
      </c>
      <c r="Z140" s="119" t="n">
        <f aca="false">SUMIFS(tabela_registros[VALOR],tabela_registros[MÊS],$AE$1,tabela_registros[DIA],investirrendavariávelconsolidadomar[[#Headers],[22]],tabela_registros[REGISTRO],DADOS!$N$5,tabela_registros[TIPO],DADOS!$AB$4,tabela_registros[CATEGORIA],investirrendavariávelconsolidadomar[[#This Row],[ATUAL]])</f>
        <v>0</v>
      </c>
      <c r="AA140" s="119" t="n">
        <f aca="false">SUMIFS(tabela_registros[VALOR],tabela_registros[MÊS],$AE$1,tabela_registros[DIA],investirrendavariávelconsolidadomar[[#Headers],[23]],tabela_registros[REGISTRO],DADOS!$N$5,tabela_registros[TIPO],DADOS!$AB$4,tabela_registros[CATEGORIA],investirrendavariávelconsolidadomar[[#This Row],[ATUAL]])</f>
        <v>0</v>
      </c>
      <c r="AB140" s="119" t="n">
        <f aca="false">SUMIFS(tabela_registros[VALOR],tabela_registros[MÊS],$AE$1,tabela_registros[DIA],investirrendavariávelconsolidadomar[[#Headers],[24]],tabela_registros[REGISTRO],DADOS!$N$5,tabela_registros[TIPO],DADOS!$AB$4,tabela_registros[CATEGORIA],investirrendavariávelconsolidadomar[[#This Row],[ATUAL]])</f>
        <v>0</v>
      </c>
      <c r="AC140" s="119" t="n">
        <f aca="false">SUMIFS(tabela_registros[VALOR],tabela_registros[MÊS],$AE$1,tabela_registros[DIA],investirrendavariávelconsolidadomar[[#Headers],[25]],tabela_registros[REGISTRO],DADOS!$N$5,tabela_registros[TIPO],DADOS!$AB$4,tabela_registros[CATEGORIA],investirrendavariávelconsolidadomar[[#This Row],[ATUAL]])</f>
        <v>0</v>
      </c>
      <c r="AD140" s="119" t="n">
        <f aca="false">SUMIFS(tabela_registros[VALOR],tabela_registros[MÊS],$AE$1,tabela_registros[DIA],investirrendavariávelconsolidadomar[[#Headers],[26]],tabela_registros[REGISTRO],DADOS!$N$5,tabela_registros[TIPO],DADOS!$AB$4,tabela_registros[CATEGORIA],investirrendavariávelconsolidadomar[[#This Row],[ATUAL]])</f>
        <v>0</v>
      </c>
      <c r="AE140" s="119" t="n">
        <f aca="false">SUMIFS(tabela_registros[VALOR],tabela_registros[MÊS],$AE$1,tabela_registros[DIA],investirrendavariávelconsolidadomar[[#Headers],[27]],tabela_registros[REGISTRO],DADOS!$N$5,tabela_registros[TIPO],DADOS!$AB$4,tabela_registros[CATEGORIA],investirrendavariávelconsolidadomar[[#This Row],[ATUAL]])</f>
        <v>0</v>
      </c>
      <c r="AF140" s="119" t="n">
        <f aca="false">SUMIFS(tabela_registros[VALOR],tabela_registros[MÊS],$AE$1,tabela_registros[DIA],investirrendavariávelconsolidadomar[[#Headers],[28]],tabela_registros[REGISTRO],DADOS!$N$5,tabela_registros[TIPO],DADOS!$AB$4,tabela_registros[CATEGORIA],investirrendavariávelconsolidadomar[[#This Row],[ATUAL]])</f>
        <v>0</v>
      </c>
      <c r="AG140" s="119" t="n">
        <f aca="false">SUMIFS(tabela_registros[VALOR],tabela_registros[MÊS],$AE$1,tabela_registros[DIA],investirrendavariávelconsolidadomar[[#Headers],[29]],tabela_registros[REGISTRO],DADOS!$N$5,tabela_registros[TIPO],DADOS!$AB$4,tabela_registros[CATEGORIA],investirrendavariávelconsolidadomar[[#This Row],[ATUAL]])</f>
        <v>0</v>
      </c>
      <c r="AH140" s="119" t="n">
        <f aca="false">SUMIFS(tabela_registros[VALOR],tabela_registros[MÊS],$AE$1,tabela_registros[DIA],investirrendavariávelconsolidadomar[[#Headers],[30]],tabela_registros[REGISTRO],DADOS!$N$5,tabela_registros[TIPO],DADOS!$AB$4,tabela_registros[CATEGORIA],investirrendavariávelconsolidadomar[[#This Row],[ATUAL]])</f>
        <v>0</v>
      </c>
      <c r="AI140" s="217" t="n">
        <f aca="false">SUMIFS(tabela_registros[VALOR],tabela_registros[MÊS],$AE$1,tabela_registros[DIA],investirrendavariávelconsolidadomar[[#Headers],[31]],tabela_registros[REGISTRO],DADOS!$N$5,tabela_registros[TIPO],DADOS!$AB$4,tabela_registros[CATEGORIA],investirrendavariávelconsolidadomar[[#This Row],[ATUAL]])</f>
        <v>0</v>
      </c>
      <c r="AJ140" s="237" t="n">
        <f aca="false">SUM(investirrendavariávelconsolidadomar[[#This Row],[1]:[31]])</f>
        <v>0</v>
      </c>
      <c r="AK140" s="165"/>
    </row>
    <row r="141" customFormat="false" ht="19.5" hidden="false" customHeight="true" outlineLevel="0" collapsed="false">
      <c r="B141" s="143"/>
      <c r="C141" s="144" t="str">
        <f aca="false">DADOS!$AF$12</f>
        <v>📎 OUTROS</v>
      </c>
      <c r="D141" s="145" t="str">
        <f aca="false">IF(investirrendavariávelconsolidadomar[[#This Row],[TOTAL (R$)]]=0,"",IF(OR(investirrendavariávelconsolidadomar[[#This Row],[TOTAL (R$)]]=LARGE($AJ$132:$AJ$141,1),investirrendavariávelconsolidadomar[[#This Row],[TOTAL (R$)]]=LARGE($AJ$132:$AJ$141,2)),DADOS!$I$10,""))</f>
        <v/>
      </c>
      <c r="E141" s="148" t="n">
        <f aca="false">SUMIFS(tabela_registros[VALOR],tabela_registros[MÊS],$AE$1,tabela_registros[DIA],investirrendavariávelconsolidadomar[[#Headers],[1]],tabela_registros[REGISTRO],DADOS!$N$5,tabela_registros[TIPO],DADOS!$AB$4,tabela_registros[CATEGORIA],investirrendavariávelconsolidadomar[[#This Row],[ATUAL]])</f>
        <v>0</v>
      </c>
      <c r="F141" s="119" t="n">
        <f aca="false">SUMIFS(tabela_registros[VALOR],tabela_registros[MÊS],$AE$1,tabela_registros[DIA],investirrendavariávelconsolidadomar[[#Headers],[2]],tabela_registros[REGISTRO],DADOS!$N$5,tabela_registros[TIPO],DADOS!$AB$4,tabela_registros[CATEGORIA],investirrendavariávelconsolidadomar[[#This Row],[ATUAL]])</f>
        <v>0</v>
      </c>
      <c r="G141" s="119" t="n">
        <f aca="false">SUMIFS(tabela_registros[VALOR],tabela_registros[MÊS],$AE$1,tabela_registros[DIA],investirrendavariávelconsolidadomar[[#Headers],[3]],tabela_registros[REGISTRO],DADOS!$N$5,tabela_registros[TIPO],DADOS!$AB$4,tabela_registros[CATEGORIA],investirrendavariávelconsolidadomar[[#This Row],[ATUAL]])</f>
        <v>0</v>
      </c>
      <c r="H141" s="119" t="n">
        <f aca="false">SUMIFS(tabela_registros[VALOR],tabela_registros[MÊS],$AE$1,tabela_registros[DIA],investirrendavariávelconsolidadomar[[#Headers],[4]],tabela_registros[REGISTRO],DADOS!$N$5,tabela_registros[TIPO],DADOS!$AB$4,tabela_registros[CATEGORIA],investirrendavariávelconsolidadomar[[#This Row],[ATUAL]])</f>
        <v>0</v>
      </c>
      <c r="I141" s="119" t="n">
        <f aca="false">SUMIFS(tabela_registros[VALOR],tabela_registros[MÊS],$AE$1,tabela_registros[DIA],investirrendavariávelconsolidadomar[[#Headers],[5]],tabela_registros[REGISTRO],DADOS!$N$5,tabela_registros[TIPO],DADOS!$AB$4,tabela_registros[CATEGORIA],investirrendavariávelconsolidadomar[[#This Row],[ATUAL]])</f>
        <v>0</v>
      </c>
      <c r="J141" s="119" t="n">
        <f aca="false">SUMIFS(tabela_registros[VALOR],tabela_registros[MÊS],$AE$1,tabela_registros[DIA],investirrendavariávelconsolidadomar[[#Headers],[6]],tabela_registros[REGISTRO],DADOS!$N$5,tabela_registros[TIPO],DADOS!$AB$4,tabela_registros[CATEGORIA],investirrendavariávelconsolidadomar[[#This Row],[ATUAL]])</f>
        <v>0</v>
      </c>
      <c r="K141" s="119" t="n">
        <f aca="false">SUMIFS(tabela_registros[VALOR],tabela_registros[MÊS],$AE$1,tabela_registros[DIA],investirrendavariávelconsolidadomar[[#Headers],[7]],tabela_registros[REGISTRO],DADOS!$N$5,tabela_registros[TIPO],DADOS!$AB$4,tabela_registros[CATEGORIA],investirrendavariávelconsolidadomar[[#This Row],[ATUAL]])</f>
        <v>0</v>
      </c>
      <c r="L141" s="119" t="n">
        <f aca="false">SUMIFS(tabela_registros[VALOR],tabela_registros[MÊS],$AE$1,tabela_registros[DIA],investirrendavariávelconsolidadomar[[#Headers],[8]],tabela_registros[REGISTRO],DADOS!$N$5,tabela_registros[TIPO],DADOS!$AB$4,tabela_registros[CATEGORIA],investirrendavariávelconsolidadomar[[#This Row],[ATUAL]])</f>
        <v>0</v>
      </c>
      <c r="M141" s="119" t="n">
        <f aca="false">SUMIFS(tabela_registros[VALOR],tabela_registros[MÊS],$AE$1,tabela_registros[DIA],investirrendavariávelconsolidadomar[[#Headers],[9]],tabela_registros[REGISTRO],DADOS!$N$5,tabela_registros[TIPO],DADOS!$AB$4,tabela_registros[CATEGORIA],investirrendavariávelconsolidadomar[[#This Row],[ATUAL]])</f>
        <v>0</v>
      </c>
      <c r="N141" s="119" t="n">
        <f aca="false">SUMIFS(tabela_registros[VALOR],tabela_registros[MÊS],$AE$1,tabela_registros[DIA],investirrendavariávelconsolidadomar[[#Headers],[10]],tabela_registros[REGISTRO],DADOS!$N$5,tabela_registros[TIPO],DADOS!$AB$4,tabela_registros[CATEGORIA],investirrendavariávelconsolidadomar[[#This Row],[ATUAL]])</f>
        <v>0</v>
      </c>
      <c r="O141" s="119" t="n">
        <f aca="false">SUMIFS(tabela_registros[VALOR],tabela_registros[MÊS],$AE$1,tabela_registros[DIA],investirrendavariávelconsolidadomar[[#Headers],[11]],tabela_registros[REGISTRO],DADOS!$N$5,tabela_registros[TIPO],DADOS!$AB$4,tabela_registros[CATEGORIA],investirrendavariávelconsolidadomar[[#This Row],[ATUAL]])</f>
        <v>0</v>
      </c>
      <c r="P141" s="119" t="n">
        <f aca="false">SUMIFS(tabela_registros[VALOR],tabela_registros[MÊS],$AE$1,tabela_registros[DIA],investirrendavariávelconsolidadomar[[#Headers],[12]],tabela_registros[REGISTRO],DADOS!$N$5,tabela_registros[TIPO],DADOS!$AB$4,tabela_registros[CATEGORIA],investirrendavariávelconsolidadomar[[#This Row],[ATUAL]])</f>
        <v>0</v>
      </c>
      <c r="Q141" s="119" t="n">
        <f aca="false">SUMIFS(tabela_registros[VALOR],tabela_registros[MÊS],$AE$1,tabela_registros[DIA],investirrendavariávelconsolidadomar[[#Headers],[13]],tabela_registros[REGISTRO],DADOS!$N$5,tabela_registros[TIPO],DADOS!$AB$4,tabela_registros[CATEGORIA],investirrendavariávelconsolidadomar[[#This Row],[ATUAL]])</f>
        <v>0</v>
      </c>
      <c r="R141" s="119" t="n">
        <f aca="false">SUMIFS(tabela_registros[VALOR],tabela_registros[MÊS],$AE$1,tabela_registros[DIA],investirrendavariávelconsolidadomar[[#Headers],[14]],tabela_registros[REGISTRO],DADOS!$N$5,tabela_registros[TIPO],DADOS!$AB$4,tabela_registros[CATEGORIA],investirrendavariávelconsolidadomar[[#This Row],[ATUAL]])</f>
        <v>0</v>
      </c>
      <c r="S141" s="119" t="n">
        <f aca="false">SUMIFS(tabela_registros[VALOR],tabela_registros[MÊS],$AE$1,tabela_registros[DIA],investirrendavariávelconsolidadomar[[#Headers],[15]],tabela_registros[REGISTRO],DADOS!$N$5,tabela_registros[TIPO],DADOS!$AB$4,tabela_registros[CATEGORIA],investirrendavariávelconsolidadomar[[#This Row],[ATUAL]])</f>
        <v>0</v>
      </c>
      <c r="T141" s="119" t="n">
        <f aca="false">SUMIFS(tabela_registros[VALOR],tabela_registros[MÊS],$AE$1,tabela_registros[DIA],investirrendavariávelconsolidadomar[[#Headers],[16]],tabela_registros[REGISTRO],DADOS!$N$5,tabela_registros[TIPO],DADOS!$AB$4,tabela_registros[CATEGORIA],investirrendavariávelconsolidadomar[[#This Row],[ATUAL]])</f>
        <v>0</v>
      </c>
      <c r="U141" s="119" t="n">
        <f aca="false">SUMIFS(tabela_registros[VALOR],tabela_registros[MÊS],$AE$1,tabela_registros[DIA],investirrendavariávelconsolidadomar[[#Headers],[17]],tabela_registros[REGISTRO],DADOS!$N$5,tabela_registros[TIPO],DADOS!$AB$4,tabela_registros[CATEGORIA],investirrendavariávelconsolidadomar[[#This Row],[ATUAL]])</f>
        <v>0</v>
      </c>
      <c r="V141" s="119" t="n">
        <f aca="false">SUMIFS(tabela_registros[VALOR],tabela_registros[MÊS],$AE$1,tabela_registros[DIA],investirrendavariávelconsolidadomar[[#Headers],[18]],tabela_registros[REGISTRO],DADOS!$N$5,tabela_registros[TIPO],DADOS!$AB$4,tabela_registros[CATEGORIA],investirrendavariávelconsolidadomar[[#This Row],[ATUAL]])</f>
        <v>0</v>
      </c>
      <c r="W141" s="119" t="n">
        <f aca="false">SUMIFS(tabela_registros[VALOR],tabela_registros[MÊS],$AE$1,tabela_registros[DIA],investirrendavariávelconsolidadomar[[#Headers],[19]],tabela_registros[REGISTRO],DADOS!$N$5,tabela_registros[TIPO],DADOS!$AB$4,tabela_registros[CATEGORIA],investirrendavariávelconsolidadomar[[#This Row],[ATUAL]])</f>
        <v>0</v>
      </c>
      <c r="X141" s="119" t="n">
        <f aca="false">SUMIFS(tabela_registros[VALOR],tabela_registros[MÊS],$AE$1,tabela_registros[DIA],investirrendavariávelconsolidadomar[[#Headers],[20]],tabela_registros[REGISTRO],DADOS!$N$5,tabela_registros[TIPO],DADOS!$AB$4,tabela_registros[CATEGORIA],investirrendavariávelconsolidadomar[[#This Row],[ATUAL]])</f>
        <v>0</v>
      </c>
      <c r="Y141" s="119" t="n">
        <f aca="false">SUMIFS(tabela_registros[VALOR],tabela_registros[MÊS],$AE$1,tabela_registros[DIA],investirrendavariávelconsolidadomar[[#Headers],[21]],tabela_registros[REGISTRO],DADOS!$N$5,tabela_registros[TIPO],DADOS!$AB$4,tabela_registros[CATEGORIA],investirrendavariávelconsolidadomar[[#This Row],[ATUAL]])</f>
        <v>0</v>
      </c>
      <c r="Z141" s="119" t="n">
        <f aca="false">SUMIFS(tabela_registros[VALOR],tabela_registros[MÊS],$AE$1,tabela_registros[DIA],investirrendavariávelconsolidadomar[[#Headers],[22]],tabela_registros[REGISTRO],DADOS!$N$5,tabela_registros[TIPO],DADOS!$AB$4,tabela_registros[CATEGORIA],investirrendavariávelconsolidadomar[[#This Row],[ATUAL]])</f>
        <v>0</v>
      </c>
      <c r="AA141" s="119" t="n">
        <f aca="false">SUMIFS(tabela_registros[VALOR],tabela_registros[MÊS],$AE$1,tabela_registros[DIA],investirrendavariávelconsolidadomar[[#Headers],[23]],tabela_registros[REGISTRO],DADOS!$N$5,tabela_registros[TIPO],DADOS!$AB$4,tabela_registros[CATEGORIA],investirrendavariávelconsolidadomar[[#This Row],[ATUAL]])</f>
        <v>0</v>
      </c>
      <c r="AB141" s="119" t="n">
        <f aca="false">SUMIFS(tabela_registros[VALOR],tabela_registros[MÊS],$AE$1,tabela_registros[DIA],investirrendavariávelconsolidadomar[[#Headers],[24]],tabela_registros[REGISTRO],DADOS!$N$5,tabela_registros[TIPO],DADOS!$AB$4,tabela_registros[CATEGORIA],investirrendavariávelconsolidadomar[[#This Row],[ATUAL]])</f>
        <v>0</v>
      </c>
      <c r="AC141" s="119" t="n">
        <f aca="false">SUMIFS(tabela_registros[VALOR],tabela_registros[MÊS],$AE$1,tabela_registros[DIA],investirrendavariávelconsolidadomar[[#Headers],[25]],tabela_registros[REGISTRO],DADOS!$N$5,tabela_registros[TIPO],DADOS!$AB$4,tabela_registros[CATEGORIA],investirrendavariávelconsolidadomar[[#This Row],[ATUAL]])</f>
        <v>0</v>
      </c>
      <c r="AD141" s="119" t="n">
        <f aca="false">SUMIFS(tabela_registros[VALOR],tabela_registros[MÊS],$AE$1,tabela_registros[DIA],investirrendavariávelconsolidadomar[[#Headers],[26]],tabela_registros[REGISTRO],DADOS!$N$5,tabela_registros[TIPO],DADOS!$AB$4,tabela_registros[CATEGORIA],investirrendavariávelconsolidadomar[[#This Row],[ATUAL]])</f>
        <v>0</v>
      </c>
      <c r="AE141" s="119" t="n">
        <f aca="false">SUMIFS(tabela_registros[VALOR],tabela_registros[MÊS],$AE$1,tabela_registros[DIA],investirrendavariávelconsolidadomar[[#Headers],[27]],tabela_registros[REGISTRO],DADOS!$N$5,tabela_registros[TIPO],DADOS!$AB$4,tabela_registros[CATEGORIA],investirrendavariávelconsolidadomar[[#This Row],[ATUAL]])</f>
        <v>0</v>
      </c>
      <c r="AF141" s="119" t="n">
        <f aca="false">SUMIFS(tabela_registros[VALOR],tabela_registros[MÊS],$AE$1,tabela_registros[DIA],investirrendavariávelconsolidadomar[[#Headers],[28]],tabela_registros[REGISTRO],DADOS!$N$5,tabela_registros[TIPO],DADOS!$AB$4,tabela_registros[CATEGORIA],investirrendavariávelconsolidadomar[[#This Row],[ATUAL]])</f>
        <v>0</v>
      </c>
      <c r="AG141" s="119" t="n">
        <f aca="false">SUMIFS(tabela_registros[VALOR],tabela_registros[MÊS],$AE$1,tabela_registros[DIA],investirrendavariávelconsolidadomar[[#Headers],[29]],tabela_registros[REGISTRO],DADOS!$N$5,tabela_registros[TIPO],DADOS!$AB$4,tabela_registros[CATEGORIA],investirrendavariávelconsolidadomar[[#This Row],[ATUAL]])</f>
        <v>0</v>
      </c>
      <c r="AH141" s="119" t="n">
        <f aca="false">SUMIFS(tabela_registros[VALOR],tabela_registros[MÊS],$AE$1,tabela_registros[DIA],investirrendavariávelconsolidadomar[[#Headers],[30]],tabela_registros[REGISTRO],DADOS!$N$5,tabela_registros[TIPO],DADOS!$AB$4,tabela_registros[CATEGORIA],investirrendavariávelconsolidadomar[[#This Row],[ATUAL]])</f>
        <v>0</v>
      </c>
      <c r="AI141" s="218" t="n">
        <f aca="false">SUMIFS(tabela_registros[VALOR],tabela_registros[MÊS],$AE$1,tabela_registros[DIA],investirrendavariávelconsolidadomar[[#Headers],[31]],tabela_registros[REGISTRO],DADOS!$N$5,tabela_registros[TIPO],DADOS!$AB$4,tabela_registros[CATEGORIA],investirrendavariávelconsolidadomar[[#This Row],[ATUAL]])</f>
        <v>0</v>
      </c>
      <c r="AJ141" s="149" t="n">
        <f aca="false">SUM(investirrendavariávelconsolidadomar[[#This Row],[1]:[31]])</f>
        <v>0</v>
      </c>
      <c r="AK141" s="165"/>
    </row>
    <row r="142" s="122" customFormat="true" ht="21" hidden="false" customHeight="true" outlineLevel="0" collapsed="false">
      <c r="B142" s="152"/>
      <c r="C142" s="153" t="s">
        <v>2</v>
      </c>
      <c r="D142" s="166"/>
      <c r="E142" s="155" t="n">
        <f aca="false">SUM(E132:E141)</f>
        <v>0</v>
      </c>
      <c r="F142" s="156" t="n">
        <f aca="false">SUM(F132:F141)+investirrendavariávelconsolidadomar[[#This Row],[1]]</f>
        <v>0</v>
      </c>
      <c r="G142" s="156" t="n">
        <f aca="false">SUM(G132:G141)+investirrendavariávelconsolidadomar[[#This Row],[2]]</f>
        <v>0</v>
      </c>
      <c r="H142" s="156" t="n">
        <f aca="false">SUM(H132:H141)+investirrendavariávelconsolidadomar[[#This Row],[3]]</f>
        <v>0</v>
      </c>
      <c r="I142" s="156" t="n">
        <f aca="false">SUM(I132:I141)+investirrendavariávelconsolidadomar[[#This Row],[4]]</f>
        <v>0</v>
      </c>
      <c r="J142" s="156" t="n">
        <f aca="false">SUM(J132:J141)+investirrendavariávelconsolidadomar[[#This Row],[5]]</f>
        <v>0</v>
      </c>
      <c r="K142" s="156" t="n">
        <f aca="false">SUM(K132:K141)+investirrendavariávelconsolidadomar[[#This Row],[6]]</f>
        <v>0</v>
      </c>
      <c r="L142" s="156" t="n">
        <f aca="false">SUM(L132:L141)+investirrendavariávelconsolidadomar[[#This Row],[7]]</f>
        <v>0</v>
      </c>
      <c r="M142" s="156" t="n">
        <f aca="false">SUM(M132:M141)+investirrendavariávelconsolidadomar[[#This Row],[8]]</f>
        <v>0</v>
      </c>
      <c r="N142" s="156" t="n">
        <f aca="false">SUM(N132:N141)+investirrendavariávelconsolidadomar[[#This Row],[9]]</f>
        <v>0</v>
      </c>
      <c r="O142" s="156" t="n">
        <f aca="false">SUM(O132:O141)+investirrendavariávelconsolidadomar[[#This Row],[10]]</f>
        <v>0</v>
      </c>
      <c r="P142" s="156" t="n">
        <f aca="false">SUM(P132:P141)+investirrendavariávelconsolidadomar[[#This Row],[11]]</f>
        <v>0</v>
      </c>
      <c r="Q142" s="156" t="n">
        <f aca="false">SUM(Q132:Q141)+investirrendavariávelconsolidadomar[[#This Row],[12]]</f>
        <v>0</v>
      </c>
      <c r="R142" s="156" t="n">
        <f aca="false">SUM(R132:R141)+investirrendavariávelconsolidadomar[[#This Row],[13]]</f>
        <v>0</v>
      </c>
      <c r="S142" s="156" t="n">
        <f aca="false">SUM(S132:S141)+investirrendavariávelconsolidadomar[[#This Row],[14]]</f>
        <v>0</v>
      </c>
      <c r="T142" s="156" t="n">
        <f aca="false">SUM(T132:T141)+investirrendavariávelconsolidadomar[[#This Row],[15]]</f>
        <v>0</v>
      </c>
      <c r="U142" s="156" t="n">
        <f aca="false">SUM(U132:U141)+investirrendavariávelconsolidadomar[[#This Row],[16]]</f>
        <v>0</v>
      </c>
      <c r="V142" s="156" t="n">
        <f aca="false">SUM(V132:V141)+investirrendavariávelconsolidadomar[[#This Row],[17]]</f>
        <v>0</v>
      </c>
      <c r="W142" s="156" t="n">
        <f aca="false">SUM(W132:W141)+investirrendavariávelconsolidadomar[[#This Row],[18]]</f>
        <v>0</v>
      </c>
      <c r="X142" s="156" t="n">
        <f aca="false">SUM(X132:X141)+investirrendavariávelconsolidadomar[[#This Row],[19]]</f>
        <v>0</v>
      </c>
      <c r="Y142" s="156" t="n">
        <f aca="false">SUM(Y132:Y141)+investirrendavariávelconsolidadomar[[#This Row],[20]]</f>
        <v>0</v>
      </c>
      <c r="Z142" s="156" t="n">
        <f aca="false">SUM(Z132:Z141)+investirrendavariávelconsolidadomar[[#This Row],[21]]</f>
        <v>0</v>
      </c>
      <c r="AA142" s="156" t="n">
        <f aca="false">SUM(AA132:AA141)+investirrendavariávelconsolidadomar[[#This Row],[22]]</f>
        <v>0</v>
      </c>
      <c r="AB142" s="156" t="n">
        <f aca="false">SUM(AB132:AB141)+investirrendavariávelconsolidadomar[[#This Row],[23]]</f>
        <v>0</v>
      </c>
      <c r="AC142" s="156" t="n">
        <f aca="false">SUM(AC132:AC141)+investirrendavariávelconsolidadomar[[#This Row],[24]]</f>
        <v>0</v>
      </c>
      <c r="AD142" s="156" t="n">
        <f aca="false">SUM(AD132:AD141)+investirrendavariávelconsolidadomar[[#This Row],[25]]</f>
        <v>0</v>
      </c>
      <c r="AE142" s="156" t="n">
        <f aca="false">SUM(AE132:AE141)+investirrendavariávelconsolidadomar[[#This Row],[26]]</f>
        <v>0</v>
      </c>
      <c r="AF142" s="156" t="n">
        <f aca="false">SUM(AF132:AF141)+investirrendavariávelconsolidadomar[[#This Row],[27]]</f>
        <v>0</v>
      </c>
      <c r="AG142" s="156" t="n">
        <f aca="false">SUM(AG132:AG141)+investirrendavariávelconsolidadomar[[#This Row],[28]]</f>
        <v>0</v>
      </c>
      <c r="AH142" s="156" t="n">
        <f aca="false">SUM(AH132:AH141)+investirrendavariávelconsolidadomar[[#This Row],[29]]</f>
        <v>0</v>
      </c>
      <c r="AI142" s="223" t="n">
        <f aca="false">SUM(AI132:AI141)+investirrendavariávelconsolidadomar[[#This Row],[30]]</f>
        <v>0</v>
      </c>
      <c r="AJ142" s="157" t="n">
        <f aca="false">investirrendavariávelconsolidadomar[[#This Row],[31]]</f>
        <v>0</v>
      </c>
      <c r="AK142" s="158"/>
    </row>
    <row r="143" customFormat="false" ht="6.75" hidden="false" customHeight="true" outlineLevel="0" collapsed="false">
      <c r="B143" s="97"/>
      <c r="C143" s="162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233"/>
      <c r="AJ143" s="164"/>
      <c r="AK143" s="244"/>
    </row>
    <row r="144" s="78" customFormat="true" ht="12.75" hidden="false" customHeight="false" outlineLevel="0" collapsed="false">
      <c r="E144" s="100"/>
    </row>
    <row r="145" s="78" customFormat="true" ht="12" hidden="false" customHeight="false" outlineLevel="0" collapsed="false"/>
    <row r="146" s="78" customFormat="true" ht="12" hidden="false" customHeight="false" outlineLevel="0" collapsed="false"/>
    <row r="147" customFormat="false" ht="39.75" hidden="false" customHeight="true" outlineLevel="0" collapsed="false">
      <c r="C147" s="101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3" t="s">
        <v>2</v>
      </c>
    </row>
    <row r="148" s="78" customFormat="true" ht="12.75" hidden="false" customHeight="false" outlineLevel="0" collapsed="false">
      <c r="B148" s="161"/>
      <c r="AJ148" s="106" t="s">
        <v>64</v>
      </c>
    </row>
    <row r="149" customFormat="false" ht="6.75" hidden="false" customHeight="true" outlineLevel="0" collapsed="false">
      <c r="B149" s="86"/>
      <c r="C149" s="162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233"/>
      <c r="AK149" s="139"/>
    </row>
    <row r="150" customFormat="false" ht="13.5" hidden="true" customHeight="false" outlineLevel="0" collapsed="false">
      <c r="B150" s="86"/>
      <c r="C150" s="109" t="s">
        <v>68</v>
      </c>
      <c r="D150" s="110" t="s">
        <v>69</v>
      </c>
      <c r="E150" s="110" t="s">
        <v>30</v>
      </c>
      <c r="F150" s="110" t="s">
        <v>31</v>
      </c>
      <c r="G150" s="110" t="s">
        <v>32</v>
      </c>
      <c r="H150" s="110" t="s">
        <v>33</v>
      </c>
      <c r="I150" s="110" t="s">
        <v>34</v>
      </c>
      <c r="J150" s="110" t="s">
        <v>35</v>
      </c>
      <c r="K150" s="110" t="s">
        <v>36</v>
      </c>
      <c r="L150" s="110" t="s">
        <v>37</v>
      </c>
      <c r="M150" s="110" t="s">
        <v>38</v>
      </c>
      <c r="N150" s="110" t="s">
        <v>39</v>
      </c>
      <c r="O150" s="110" t="s">
        <v>40</v>
      </c>
      <c r="P150" s="110" t="s">
        <v>41</v>
      </c>
      <c r="Q150" s="110" t="s">
        <v>81</v>
      </c>
      <c r="R150" s="110" t="s">
        <v>82</v>
      </c>
      <c r="S150" s="110" t="s">
        <v>83</v>
      </c>
      <c r="T150" s="110" t="s">
        <v>84</v>
      </c>
      <c r="U150" s="110" t="s">
        <v>85</v>
      </c>
      <c r="V150" s="110" t="s">
        <v>86</v>
      </c>
      <c r="W150" s="110" t="s">
        <v>87</v>
      </c>
      <c r="X150" s="110" t="s">
        <v>88</v>
      </c>
      <c r="Y150" s="110" t="s">
        <v>89</v>
      </c>
      <c r="Z150" s="110" t="s">
        <v>90</v>
      </c>
      <c r="AA150" s="110" t="s">
        <v>91</v>
      </c>
      <c r="AB150" s="110" t="s">
        <v>92</v>
      </c>
      <c r="AC150" s="110" t="s">
        <v>93</v>
      </c>
      <c r="AD150" s="110" t="s">
        <v>94</v>
      </c>
      <c r="AE150" s="110" t="s">
        <v>95</v>
      </c>
      <c r="AF150" s="110" t="s">
        <v>96</v>
      </c>
      <c r="AG150" s="110" t="s">
        <v>97</v>
      </c>
      <c r="AH150" s="110" t="s">
        <v>98</v>
      </c>
      <c r="AI150" s="110" t="s">
        <v>99</v>
      </c>
      <c r="AJ150" s="111" t="s">
        <v>70</v>
      </c>
      <c r="AK150" s="86"/>
    </row>
    <row r="151" customFormat="false" ht="19.5" hidden="false" customHeight="true" outlineLevel="0" collapsed="false">
      <c r="B151" s="143"/>
      <c r="C151" s="144" t="str">
        <f aca="false">DADOS!$AH$3</f>
        <v>📝 COE</v>
      </c>
      <c r="D151" s="145" t="str">
        <f aca="false">IF(investiroutrosconsolidadomar[[#This Row],[TOTAL (R$)]]=0,"",IF(OR(investiroutrosconsolidadomar[[#This Row],[TOTAL (R$)]]=LARGE($AJ$151:$AJ$158,1),investiroutrosconsolidadomar[[#This Row],[TOTAL (R$)]]=LARGE($AJ$151:$AJ$158,2)),DADOS!$I$10,""))</f>
        <v/>
      </c>
      <c r="E151" s="148" t="n">
        <f aca="false">SUMIFS(tabela_registros[VALOR],tabela_registros[MÊS],$AE$1,tabela_registros[DIA],investiroutrosconsolidadomar[[#Headers],[1]],tabela_registros[REGISTRO],DADOS!$N$5,tabela_registros[TIPO],DADOS!$AB$5,tabela_registros[CATEGORIA],investiroutrosconsolidadomar[[#This Row],[ATUAL]])</f>
        <v>0</v>
      </c>
      <c r="F151" s="119" t="n">
        <f aca="false">SUMIFS(tabela_registros[VALOR],tabela_registros[MÊS],$AE$1,tabela_registros[DIA],investiroutrosconsolidadomar[[#Headers],[2]],tabela_registros[REGISTRO],DADOS!$N$5,tabela_registros[TIPO],DADOS!$AB$5,tabela_registros[CATEGORIA],investiroutrosconsolidadomar[[#This Row],[ATUAL]])</f>
        <v>0</v>
      </c>
      <c r="G151" s="119" t="n">
        <f aca="false">SUMIFS(tabela_registros[VALOR],tabela_registros[MÊS],$AE$1,tabela_registros[DIA],investiroutrosconsolidadomar[[#Headers],[3]],tabela_registros[REGISTRO],DADOS!$N$5,tabela_registros[TIPO],DADOS!$AB$5,tabela_registros[CATEGORIA],investiroutrosconsolidadomar[[#This Row],[ATUAL]])</f>
        <v>0</v>
      </c>
      <c r="H151" s="119" t="n">
        <f aca="false">SUMIFS(tabela_registros[VALOR],tabela_registros[MÊS],$AE$1,tabela_registros[DIA],investiroutrosconsolidadomar[[#Headers],[4]],tabela_registros[REGISTRO],DADOS!$N$5,tabela_registros[TIPO],DADOS!$AB$5,tabela_registros[CATEGORIA],investiroutrosconsolidadomar[[#This Row],[ATUAL]])</f>
        <v>0</v>
      </c>
      <c r="I151" s="119" t="n">
        <f aca="false">SUMIFS(tabela_registros[VALOR],tabela_registros[MÊS],$AE$1,tabela_registros[DIA],investiroutrosconsolidadomar[[#Headers],[5]],tabela_registros[REGISTRO],DADOS!$N$5,tabela_registros[TIPO],DADOS!$AB$5,tabela_registros[CATEGORIA],investiroutrosconsolidadomar[[#This Row],[ATUAL]])</f>
        <v>0</v>
      </c>
      <c r="J151" s="119" t="n">
        <f aca="false">SUMIFS(tabela_registros[VALOR],tabela_registros[MÊS],$AE$1,tabela_registros[DIA],investiroutrosconsolidadomar[[#Headers],[6]],tabela_registros[REGISTRO],DADOS!$N$5,tabela_registros[TIPO],DADOS!$AB$5,tabela_registros[CATEGORIA],investiroutrosconsolidadomar[[#This Row],[ATUAL]])</f>
        <v>0</v>
      </c>
      <c r="K151" s="119" t="n">
        <f aca="false">SUMIFS(tabela_registros[VALOR],tabela_registros[MÊS],$AE$1,tabela_registros[DIA],investiroutrosconsolidadomar[[#Headers],[7]],tabela_registros[REGISTRO],DADOS!$N$5,tabela_registros[TIPO],DADOS!$AB$5,tabela_registros[CATEGORIA],investiroutrosconsolidadomar[[#This Row],[ATUAL]])</f>
        <v>0</v>
      </c>
      <c r="L151" s="119" t="n">
        <f aca="false">SUMIFS(tabela_registros[VALOR],tabela_registros[MÊS],$AE$1,tabela_registros[DIA],investiroutrosconsolidadomar[[#Headers],[8]],tabela_registros[REGISTRO],DADOS!$N$5,tabela_registros[TIPO],DADOS!$AB$5,tabela_registros[CATEGORIA],investiroutrosconsolidadomar[[#This Row],[ATUAL]])</f>
        <v>0</v>
      </c>
      <c r="M151" s="119" t="n">
        <f aca="false">SUMIFS(tabela_registros[VALOR],tabela_registros[MÊS],$AE$1,tabela_registros[DIA],investiroutrosconsolidadomar[[#Headers],[9]],tabela_registros[REGISTRO],DADOS!$N$5,tabela_registros[TIPO],DADOS!$AB$5,tabela_registros[CATEGORIA],investiroutrosconsolidadomar[[#This Row],[ATUAL]])</f>
        <v>0</v>
      </c>
      <c r="N151" s="119" t="n">
        <f aca="false">SUMIFS(tabela_registros[VALOR],tabela_registros[MÊS],$AE$1,tabela_registros[DIA],investiroutrosconsolidadomar[[#Headers],[10]],tabela_registros[REGISTRO],DADOS!$N$5,tabela_registros[TIPO],DADOS!$AB$5,tabela_registros[CATEGORIA],investiroutrosconsolidadomar[[#This Row],[ATUAL]])</f>
        <v>0</v>
      </c>
      <c r="O151" s="119" t="n">
        <f aca="false">SUMIFS(tabela_registros[VALOR],tabela_registros[MÊS],$AE$1,tabela_registros[DIA],investiroutrosconsolidadomar[[#Headers],[11]],tabela_registros[REGISTRO],DADOS!$N$5,tabela_registros[TIPO],DADOS!$AB$5,tabela_registros[CATEGORIA],investiroutrosconsolidadomar[[#This Row],[ATUAL]])</f>
        <v>0</v>
      </c>
      <c r="P151" s="119" t="n">
        <f aca="false">SUMIFS(tabela_registros[VALOR],tabela_registros[MÊS],$AE$1,tabela_registros[DIA],investiroutrosconsolidadomar[[#Headers],[12]],tabela_registros[REGISTRO],DADOS!$N$5,tabela_registros[TIPO],DADOS!$AB$5,tabela_registros[CATEGORIA],investiroutrosconsolidadomar[[#This Row],[ATUAL]])</f>
        <v>0</v>
      </c>
      <c r="Q151" s="119" t="n">
        <f aca="false">SUMIFS(tabela_registros[VALOR],tabela_registros[MÊS],$AE$1,tabela_registros[DIA],investiroutrosconsolidadomar[[#Headers],[13]],tabela_registros[REGISTRO],DADOS!$N$5,tabela_registros[TIPO],DADOS!$AB$5,tabela_registros[CATEGORIA],investiroutrosconsolidadomar[[#This Row],[ATUAL]])</f>
        <v>0</v>
      </c>
      <c r="R151" s="119" t="n">
        <f aca="false">SUMIFS(tabela_registros[VALOR],tabela_registros[MÊS],$AE$1,tabela_registros[DIA],investiroutrosconsolidadomar[[#Headers],[14]],tabela_registros[REGISTRO],DADOS!$N$5,tabela_registros[TIPO],DADOS!$AB$5,tabela_registros[CATEGORIA],investiroutrosconsolidadomar[[#This Row],[ATUAL]])</f>
        <v>0</v>
      </c>
      <c r="S151" s="119" t="n">
        <f aca="false">SUMIFS(tabela_registros[VALOR],tabela_registros[MÊS],$AE$1,tabela_registros[DIA],investiroutrosconsolidadomar[[#Headers],[15]],tabela_registros[REGISTRO],DADOS!$N$5,tabela_registros[TIPO],DADOS!$AB$5,tabela_registros[CATEGORIA],investiroutrosconsolidadomar[[#This Row],[ATUAL]])</f>
        <v>0</v>
      </c>
      <c r="T151" s="119" t="n">
        <f aca="false">SUMIFS(tabela_registros[VALOR],tabela_registros[MÊS],$AE$1,tabela_registros[DIA],investiroutrosconsolidadomar[[#Headers],[16]],tabela_registros[REGISTRO],DADOS!$N$5,tabela_registros[TIPO],DADOS!$AB$5,tabela_registros[CATEGORIA],investiroutrosconsolidadomar[[#This Row],[ATUAL]])</f>
        <v>0</v>
      </c>
      <c r="U151" s="119" t="n">
        <f aca="false">SUMIFS(tabela_registros[VALOR],tabela_registros[MÊS],$AE$1,tabela_registros[DIA],investiroutrosconsolidadomar[[#Headers],[17]],tabela_registros[REGISTRO],DADOS!$N$5,tabela_registros[TIPO],DADOS!$AB$5,tabela_registros[CATEGORIA],investiroutrosconsolidadomar[[#This Row],[ATUAL]])</f>
        <v>0</v>
      </c>
      <c r="V151" s="119" t="n">
        <f aca="false">SUMIFS(tabela_registros[VALOR],tabela_registros[MÊS],$AE$1,tabela_registros[DIA],investiroutrosconsolidadomar[[#Headers],[18]],tabela_registros[REGISTRO],DADOS!$N$5,tabela_registros[TIPO],DADOS!$AB$5,tabela_registros[CATEGORIA],investiroutrosconsolidadomar[[#This Row],[ATUAL]])</f>
        <v>0</v>
      </c>
      <c r="W151" s="119" t="n">
        <f aca="false">SUMIFS(tabela_registros[VALOR],tabela_registros[MÊS],$AE$1,tabela_registros[DIA],investiroutrosconsolidadomar[[#Headers],[19]],tabela_registros[REGISTRO],DADOS!$N$5,tabela_registros[TIPO],DADOS!$AB$5,tabela_registros[CATEGORIA],investiroutrosconsolidadomar[[#This Row],[ATUAL]])</f>
        <v>0</v>
      </c>
      <c r="X151" s="119" t="n">
        <f aca="false">SUMIFS(tabela_registros[VALOR],tabela_registros[MÊS],$AE$1,tabela_registros[DIA],investiroutrosconsolidadomar[[#Headers],[20]],tabela_registros[REGISTRO],DADOS!$N$5,tabela_registros[TIPO],DADOS!$AB$5,tabela_registros[CATEGORIA],investiroutrosconsolidadomar[[#This Row],[ATUAL]])</f>
        <v>0</v>
      </c>
      <c r="Y151" s="119" t="n">
        <f aca="false">SUMIFS(tabela_registros[VALOR],tabela_registros[MÊS],$AE$1,tabela_registros[DIA],investiroutrosconsolidadomar[[#Headers],[21]],tabela_registros[REGISTRO],DADOS!$N$5,tabela_registros[TIPO],DADOS!$AB$5,tabela_registros[CATEGORIA],investiroutrosconsolidadomar[[#This Row],[ATUAL]])</f>
        <v>0</v>
      </c>
      <c r="Z151" s="119" t="n">
        <f aca="false">SUMIFS(tabela_registros[VALOR],tabela_registros[MÊS],$AE$1,tabela_registros[DIA],investiroutrosconsolidadomar[[#Headers],[22]],tabela_registros[REGISTRO],DADOS!$N$5,tabela_registros[TIPO],DADOS!$AB$5,tabela_registros[CATEGORIA],investiroutrosconsolidadomar[[#This Row],[ATUAL]])</f>
        <v>0</v>
      </c>
      <c r="AA151" s="119" t="n">
        <f aca="false">SUMIFS(tabela_registros[VALOR],tabela_registros[MÊS],$AE$1,tabela_registros[DIA],investiroutrosconsolidadomar[[#Headers],[23]],tabela_registros[REGISTRO],DADOS!$N$5,tabela_registros[TIPO],DADOS!$AB$5,tabela_registros[CATEGORIA],investiroutrosconsolidadomar[[#This Row],[ATUAL]])</f>
        <v>0</v>
      </c>
      <c r="AB151" s="119" t="n">
        <f aca="false">SUMIFS(tabela_registros[VALOR],tabela_registros[MÊS],$AE$1,tabela_registros[DIA],investiroutrosconsolidadomar[[#Headers],[24]],tabela_registros[REGISTRO],DADOS!$N$5,tabela_registros[TIPO],DADOS!$AB$5,tabela_registros[CATEGORIA],investiroutrosconsolidadomar[[#This Row],[ATUAL]])</f>
        <v>0</v>
      </c>
      <c r="AC151" s="119" t="n">
        <f aca="false">SUMIFS(tabela_registros[VALOR],tabela_registros[MÊS],$AE$1,tabela_registros[DIA],investiroutrosconsolidadomar[[#Headers],[25]],tabela_registros[REGISTRO],DADOS!$N$5,tabela_registros[TIPO],DADOS!$AB$5,tabela_registros[CATEGORIA],investiroutrosconsolidadomar[[#This Row],[ATUAL]])</f>
        <v>0</v>
      </c>
      <c r="AD151" s="119" t="n">
        <f aca="false">SUMIFS(tabela_registros[VALOR],tabela_registros[MÊS],$AE$1,tabela_registros[DIA],investiroutrosconsolidadomar[[#Headers],[26]],tabela_registros[REGISTRO],DADOS!$N$5,tabela_registros[TIPO],DADOS!$AB$5,tabela_registros[CATEGORIA],investiroutrosconsolidadomar[[#This Row],[ATUAL]])</f>
        <v>0</v>
      </c>
      <c r="AE151" s="119" t="n">
        <f aca="false">SUMIFS(tabela_registros[VALOR],tabela_registros[MÊS],$AE$1,tabela_registros[DIA],investiroutrosconsolidadomar[[#Headers],[27]],tabela_registros[REGISTRO],DADOS!$N$5,tabela_registros[TIPO],DADOS!$AB$5,tabela_registros[CATEGORIA],investiroutrosconsolidadomar[[#This Row],[ATUAL]])</f>
        <v>0</v>
      </c>
      <c r="AF151" s="119" t="n">
        <f aca="false">SUMIFS(tabela_registros[VALOR],tabela_registros[MÊS],$AE$1,tabela_registros[DIA],investiroutrosconsolidadomar[[#Headers],[28]],tabela_registros[REGISTRO],DADOS!$N$5,tabela_registros[TIPO],DADOS!$AB$5,tabela_registros[CATEGORIA],investiroutrosconsolidadomar[[#This Row],[ATUAL]])</f>
        <v>0</v>
      </c>
      <c r="AG151" s="119" t="n">
        <f aca="false">SUMIFS(tabela_registros[VALOR],tabela_registros[MÊS],$AE$1,tabela_registros[DIA],investiroutrosconsolidadomar[[#Headers],[29]],tabela_registros[REGISTRO],DADOS!$N$5,tabela_registros[TIPO],DADOS!$AB$5,tabela_registros[CATEGORIA],investiroutrosconsolidadomar[[#This Row],[ATUAL]])</f>
        <v>0</v>
      </c>
      <c r="AH151" s="119" t="n">
        <f aca="false">SUMIFS(tabela_registros[VALOR],tabela_registros[MÊS],$AE$1,tabela_registros[DIA],investiroutrosconsolidadomar[[#Headers],[30]],tabela_registros[REGISTRO],DADOS!$N$5,tabela_registros[TIPO],DADOS!$AB$5,tabela_registros[CATEGORIA],investiroutrosconsolidadomar[[#This Row],[ATUAL]])</f>
        <v>0</v>
      </c>
      <c r="AI151" s="217" t="n">
        <f aca="false">SUMIFS(tabela_registros[VALOR],tabela_registros[MÊS],$AE$1,tabela_registros[DIA],investiroutrosconsolidadomar[[#Headers],[31]],tabela_registros[REGISTRO],DADOS!$N$5,tabela_registros[TIPO],DADOS!$AB$5,tabela_registros[CATEGORIA],investiroutrosconsolidadomar[[#This Row],[ATUAL]])</f>
        <v>0</v>
      </c>
      <c r="AJ151" s="149" t="n">
        <f aca="false">SUM(investiroutrosconsolidadomar[[#This Row],[1]:[31]])</f>
        <v>0</v>
      </c>
      <c r="AK151" s="165"/>
    </row>
    <row r="152" customFormat="false" ht="19.5" hidden="false" customHeight="true" outlineLevel="0" collapsed="false">
      <c r="B152" s="143"/>
      <c r="C152" s="144" t="str">
        <f aca="false">DADOS!$AH$4</f>
        <v>📝 FOREX</v>
      </c>
      <c r="D152" s="145" t="str">
        <f aca="false">IF(investiroutrosconsolidadomar[[#This Row],[TOTAL (R$)]]=0,"",IF(OR(investiroutrosconsolidadomar[[#This Row],[TOTAL (R$)]]=LARGE($AJ$151:$AJ$158,1),investiroutrosconsolidadomar[[#This Row],[TOTAL (R$)]]=LARGE($AJ$151:$AJ$158,2)),DADOS!$I$10,""))</f>
        <v/>
      </c>
      <c r="E152" s="148" t="n">
        <f aca="false">SUMIFS(tabela_registros[VALOR],tabela_registros[MÊS],$AE$1,tabela_registros[DIA],investiroutrosconsolidadomar[[#Headers],[1]],tabela_registros[REGISTRO],DADOS!$N$5,tabela_registros[TIPO],DADOS!$AB$5,tabela_registros[CATEGORIA],investiroutrosconsolidadomar[[#This Row],[ATUAL]])</f>
        <v>0</v>
      </c>
      <c r="F152" s="119" t="n">
        <f aca="false">SUMIFS(tabela_registros[VALOR],tabela_registros[MÊS],$AE$1,tabela_registros[DIA],investiroutrosconsolidadomar[[#Headers],[2]],tabela_registros[REGISTRO],DADOS!$N$5,tabela_registros[TIPO],DADOS!$AB$5,tabela_registros[CATEGORIA],investiroutrosconsolidadomar[[#This Row],[ATUAL]])</f>
        <v>0</v>
      </c>
      <c r="G152" s="119" t="n">
        <f aca="false">SUMIFS(tabela_registros[VALOR],tabela_registros[MÊS],$AE$1,tabela_registros[DIA],investiroutrosconsolidadomar[[#Headers],[3]],tabela_registros[REGISTRO],DADOS!$N$5,tabela_registros[TIPO],DADOS!$AB$5,tabela_registros[CATEGORIA],investiroutrosconsolidadomar[[#This Row],[ATUAL]])</f>
        <v>0</v>
      </c>
      <c r="H152" s="119" t="n">
        <f aca="false">SUMIFS(tabela_registros[VALOR],tabela_registros[MÊS],$AE$1,tabela_registros[DIA],investiroutrosconsolidadomar[[#Headers],[4]],tabela_registros[REGISTRO],DADOS!$N$5,tabela_registros[TIPO],DADOS!$AB$5,tabela_registros[CATEGORIA],investiroutrosconsolidadomar[[#This Row],[ATUAL]])</f>
        <v>0</v>
      </c>
      <c r="I152" s="119" t="n">
        <f aca="false">SUMIFS(tabela_registros[VALOR],tabela_registros[MÊS],$AE$1,tabela_registros[DIA],investiroutrosconsolidadomar[[#Headers],[5]],tabela_registros[REGISTRO],DADOS!$N$5,tabela_registros[TIPO],DADOS!$AB$5,tabela_registros[CATEGORIA],investiroutrosconsolidadomar[[#This Row],[ATUAL]])</f>
        <v>0</v>
      </c>
      <c r="J152" s="119" t="n">
        <f aca="false">SUMIFS(tabela_registros[VALOR],tabela_registros[MÊS],$AE$1,tabela_registros[DIA],investiroutrosconsolidadomar[[#Headers],[6]],tabela_registros[REGISTRO],DADOS!$N$5,tabela_registros[TIPO],DADOS!$AB$5,tabela_registros[CATEGORIA],investiroutrosconsolidadomar[[#This Row],[ATUAL]])</f>
        <v>0</v>
      </c>
      <c r="K152" s="119" t="n">
        <f aca="false">SUMIFS(tabela_registros[VALOR],tabela_registros[MÊS],$AE$1,tabela_registros[DIA],investiroutrosconsolidadomar[[#Headers],[7]],tabela_registros[REGISTRO],DADOS!$N$5,tabela_registros[TIPO],DADOS!$AB$5,tabela_registros[CATEGORIA],investiroutrosconsolidadomar[[#This Row],[ATUAL]])</f>
        <v>0</v>
      </c>
      <c r="L152" s="119" t="n">
        <f aca="false">SUMIFS(tabela_registros[VALOR],tabela_registros[MÊS],$AE$1,tabela_registros[DIA],investiroutrosconsolidadomar[[#Headers],[8]],tabela_registros[REGISTRO],DADOS!$N$5,tabela_registros[TIPO],DADOS!$AB$5,tabela_registros[CATEGORIA],investiroutrosconsolidadomar[[#This Row],[ATUAL]])</f>
        <v>0</v>
      </c>
      <c r="M152" s="119" t="n">
        <f aca="false">SUMIFS(tabela_registros[VALOR],tabela_registros[MÊS],$AE$1,tabela_registros[DIA],investiroutrosconsolidadomar[[#Headers],[9]],tabela_registros[REGISTRO],DADOS!$N$5,tabela_registros[TIPO],DADOS!$AB$5,tabela_registros[CATEGORIA],investiroutrosconsolidadomar[[#This Row],[ATUAL]])</f>
        <v>0</v>
      </c>
      <c r="N152" s="119" t="n">
        <f aca="false">SUMIFS(tabela_registros[VALOR],tabela_registros[MÊS],$AE$1,tabela_registros[DIA],investiroutrosconsolidadomar[[#Headers],[10]],tabela_registros[REGISTRO],DADOS!$N$5,tabela_registros[TIPO],DADOS!$AB$5,tabela_registros[CATEGORIA],investiroutrosconsolidadomar[[#This Row],[ATUAL]])</f>
        <v>0</v>
      </c>
      <c r="O152" s="119" t="n">
        <f aca="false">SUMIFS(tabela_registros[VALOR],tabela_registros[MÊS],$AE$1,tabela_registros[DIA],investiroutrosconsolidadomar[[#Headers],[11]],tabela_registros[REGISTRO],DADOS!$N$5,tabela_registros[TIPO],DADOS!$AB$5,tabela_registros[CATEGORIA],investiroutrosconsolidadomar[[#This Row],[ATUAL]])</f>
        <v>0</v>
      </c>
      <c r="P152" s="119" t="n">
        <f aca="false">SUMIFS(tabela_registros[VALOR],tabela_registros[MÊS],$AE$1,tabela_registros[DIA],investiroutrosconsolidadomar[[#Headers],[12]],tabela_registros[REGISTRO],DADOS!$N$5,tabela_registros[TIPO],DADOS!$AB$5,tabela_registros[CATEGORIA],investiroutrosconsolidadomar[[#This Row],[ATUAL]])</f>
        <v>0</v>
      </c>
      <c r="Q152" s="119" t="n">
        <f aca="false">SUMIFS(tabela_registros[VALOR],tabela_registros[MÊS],$AE$1,tabela_registros[DIA],investiroutrosconsolidadomar[[#Headers],[13]],tabela_registros[REGISTRO],DADOS!$N$5,tabela_registros[TIPO],DADOS!$AB$5,tabela_registros[CATEGORIA],investiroutrosconsolidadomar[[#This Row],[ATUAL]])</f>
        <v>0</v>
      </c>
      <c r="R152" s="119" t="n">
        <f aca="false">SUMIFS(tabela_registros[VALOR],tabela_registros[MÊS],$AE$1,tabela_registros[DIA],investiroutrosconsolidadomar[[#Headers],[14]],tabela_registros[REGISTRO],DADOS!$N$5,tabela_registros[TIPO],DADOS!$AB$5,tabela_registros[CATEGORIA],investiroutrosconsolidadomar[[#This Row],[ATUAL]])</f>
        <v>0</v>
      </c>
      <c r="S152" s="119" t="n">
        <f aca="false">SUMIFS(tabela_registros[VALOR],tabela_registros[MÊS],$AE$1,tabela_registros[DIA],investiroutrosconsolidadomar[[#Headers],[15]],tabela_registros[REGISTRO],DADOS!$N$5,tabela_registros[TIPO],DADOS!$AB$5,tabela_registros[CATEGORIA],investiroutrosconsolidadomar[[#This Row],[ATUAL]])</f>
        <v>0</v>
      </c>
      <c r="T152" s="119" t="n">
        <f aca="false">SUMIFS(tabela_registros[VALOR],tabela_registros[MÊS],$AE$1,tabela_registros[DIA],investiroutrosconsolidadomar[[#Headers],[16]],tabela_registros[REGISTRO],DADOS!$N$5,tabela_registros[TIPO],DADOS!$AB$5,tabela_registros[CATEGORIA],investiroutrosconsolidadomar[[#This Row],[ATUAL]])</f>
        <v>0</v>
      </c>
      <c r="U152" s="119" t="n">
        <f aca="false">SUMIFS(tabela_registros[VALOR],tabela_registros[MÊS],$AE$1,tabela_registros[DIA],investiroutrosconsolidadomar[[#Headers],[17]],tabela_registros[REGISTRO],DADOS!$N$5,tabela_registros[TIPO],DADOS!$AB$5,tabela_registros[CATEGORIA],investiroutrosconsolidadomar[[#This Row],[ATUAL]])</f>
        <v>0</v>
      </c>
      <c r="V152" s="119" t="n">
        <f aca="false">SUMIFS(tabela_registros[VALOR],tabela_registros[MÊS],$AE$1,tabela_registros[DIA],investiroutrosconsolidadomar[[#Headers],[18]],tabela_registros[REGISTRO],DADOS!$N$5,tabela_registros[TIPO],DADOS!$AB$5,tabela_registros[CATEGORIA],investiroutrosconsolidadomar[[#This Row],[ATUAL]])</f>
        <v>0</v>
      </c>
      <c r="W152" s="119" t="n">
        <f aca="false">SUMIFS(tabela_registros[VALOR],tabela_registros[MÊS],$AE$1,tabela_registros[DIA],investiroutrosconsolidadomar[[#Headers],[19]],tabela_registros[REGISTRO],DADOS!$N$5,tabela_registros[TIPO],DADOS!$AB$5,tabela_registros[CATEGORIA],investiroutrosconsolidadomar[[#This Row],[ATUAL]])</f>
        <v>0</v>
      </c>
      <c r="X152" s="119" t="n">
        <f aca="false">SUMIFS(tabela_registros[VALOR],tabela_registros[MÊS],$AE$1,tabela_registros[DIA],investiroutrosconsolidadomar[[#Headers],[20]],tabela_registros[REGISTRO],DADOS!$N$5,tabela_registros[TIPO],DADOS!$AB$5,tabela_registros[CATEGORIA],investiroutrosconsolidadomar[[#This Row],[ATUAL]])</f>
        <v>0</v>
      </c>
      <c r="Y152" s="119" t="n">
        <f aca="false">SUMIFS(tabela_registros[VALOR],tabela_registros[MÊS],$AE$1,tabela_registros[DIA],investiroutrosconsolidadomar[[#Headers],[21]],tabela_registros[REGISTRO],DADOS!$N$5,tabela_registros[TIPO],DADOS!$AB$5,tabela_registros[CATEGORIA],investiroutrosconsolidadomar[[#This Row],[ATUAL]])</f>
        <v>0</v>
      </c>
      <c r="Z152" s="119" t="n">
        <f aca="false">SUMIFS(tabela_registros[VALOR],tabela_registros[MÊS],$AE$1,tabela_registros[DIA],investiroutrosconsolidadomar[[#Headers],[22]],tabela_registros[REGISTRO],DADOS!$N$5,tabela_registros[TIPO],DADOS!$AB$5,tabela_registros[CATEGORIA],investiroutrosconsolidadomar[[#This Row],[ATUAL]])</f>
        <v>0</v>
      </c>
      <c r="AA152" s="119" t="n">
        <f aca="false">SUMIFS(tabela_registros[VALOR],tabela_registros[MÊS],$AE$1,tabela_registros[DIA],investiroutrosconsolidadomar[[#Headers],[23]],tabela_registros[REGISTRO],DADOS!$N$5,tabela_registros[TIPO],DADOS!$AB$5,tabela_registros[CATEGORIA],investiroutrosconsolidadomar[[#This Row],[ATUAL]])</f>
        <v>0</v>
      </c>
      <c r="AB152" s="119" t="n">
        <f aca="false">SUMIFS(tabela_registros[VALOR],tabela_registros[MÊS],$AE$1,tabela_registros[DIA],investiroutrosconsolidadomar[[#Headers],[24]],tabela_registros[REGISTRO],DADOS!$N$5,tabela_registros[TIPO],DADOS!$AB$5,tabela_registros[CATEGORIA],investiroutrosconsolidadomar[[#This Row],[ATUAL]])</f>
        <v>0</v>
      </c>
      <c r="AC152" s="119" t="n">
        <f aca="false">SUMIFS(tabela_registros[VALOR],tabela_registros[MÊS],$AE$1,tabela_registros[DIA],investiroutrosconsolidadomar[[#Headers],[25]],tabela_registros[REGISTRO],DADOS!$N$5,tabela_registros[TIPO],DADOS!$AB$5,tabela_registros[CATEGORIA],investiroutrosconsolidadomar[[#This Row],[ATUAL]])</f>
        <v>0</v>
      </c>
      <c r="AD152" s="119" t="n">
        <f aca="false">SUMIFS(tabela_registros[VALOR],tabela_registros[MÊS],$AE$1,tabela_registros[DIA],investiroutrosconsolidadomar[[#Headers],[26]],tabela_registros[REGISTRO],DADOS!$N$5,tabela_registros[TIPO],DADOS!$AB$5,tabela_registros[CATEGORIA],investiroutrosconsolidadomar[[#This Row],[ATUAL]])</f>
        <v>0</v>
      </c>
      <c r="AE152" s="119" t="n">
        <f aca="false">SUMIFS(tabela_registros[VALOR],tabela_registros[MÊS],$AE$1,tabela_registros[DIA],investiroutrosconsolidadomar[[#Headers],[27]],tabela_registros[REGISTRO],DADOS!$N$5,tabela_registros[TIPO],DADOS!$AB$5,tabela_registros[CATEGORIA],investiroutrosconsolidadomar[[#This Row],[ATUAL]])</f>
        <v>0</v>
      </c>
      <c r="AF152" s="119" t="n">
        <f aca="false">SUMIFS(tabela_registros[VALOR],tabela_registros[MÊS],$AE$1,tabela_registros[DIA],investiroutrosconsolidadomar[[#Headers],[28]],tabela_registros[REGISTRO],DADOS!$N$5,tabela_registros[TIPO],DADOS!$AB$5,tabela_registros[CATEGORIA],investiroutrosconsolidadomar[[#This Row],[ATUAL]])</f>
        <v>0</v>
      </c>
      <c r="AG152" s="119" t="n">
        <f aca="false">SUMIFS(tabela_registros[VALOR],tabela_registros[MÊS],$AE$1,tabela_registros[DIA],investiroutrosconsolidadomar[[#Headers],[29]],tabela_registros[REGISTRO],DADOS!$N$5,tabela_registros[TIPO],DADOS!$AB$5,tabela_registros[CATEGORIA],investiroutrosconsolidadomar[[#This Row],[ATUAL]])</f>
        <v>0</v>
      </c>
      <c r="AH152" s="119" t="n">
        <f aca="false">SUMIFS(tabela_registros[VALOR],tabela_registros[MÊS],$AE$1,tabela_registros[DIA],investiroutrosconsolidadomar[[#Headers],[30]],tabela_registros[REGISTRO],DADOS!$N$5,tabela_registros[TIPO],DADOS!$AB$5,tabela_registros[CATEGORIA],investiroutrosconsolidadomar[[#This Row],[ATUAL]])</f>
        <v>0</v>
      </c>
      <c r="AI152" s="217" t="n">
        <f aca="false">SUMIFS(tabela_registros[VALOR],tabela_registros[MÊS],$AE$1,tabela_registros[DIA],investiroutrosconsolidadomar[[#Headers],[31]],tabela_registros[REGISTRO],DADOS!$N$5,tabela_registros[TIPO],DADOS!$AB$5,tabela_registros[CATEGORIA],investiroutrosconsolidadomar[[#This Row],[ATUAL]])</f>
        <v>0</v>
      </c>
      <c r="AJ152" s="149" t="n">
        <f aca="false">SUM(investiroutrosconsolidadomar[[#This Row],[1]:[31]])</f>
        <v>0</v>
      </c>
      <c r="AK152" s="165"/>
    </row>
    <row r="153" customFormat="false" ht="19.5" hidden="false" customHeight="true" outlineLevel="0" collapsed="false">
      <c r="B153" s="143"/>
      <c r="C153" s="144" t="str">
        <f aca="false">DADOS!$AH$5</f>
        <v>📝 FUNDO DE INVESTIMENTO</v>
      </c>
      <c r="D153" s="145" t="str">
        <f aca="false">IF(investiroutrosconsolidadomar[[#This Row],[TOTAL (R$)]]=0,"",IF(OR(investiroutrosconsolidadomar[[#This Row],[TOTAL (R$)]]=LARGE($AJ$151:$AJ$158,1),investiroutrosconsolidadomar[[#This Row],[TOTAL (R$)]]=LARGE($AJ$151:$AJ$158,2)),DADOS!$I$10,""))</f>
        <v/>
      </c>
      <c r="E153" s="148" t="n">
        <f aca="false">SUMIFS(tabela_registros[VALOR],tabela_registros[MÊS],$AE$1,tabela_registros[DIA],investiroutrosconsolidadomar[[#Headers],[1]],tabela_registros[REGISTRO],DADOS!$N$5,tabela_registros[TIPO],DADOS!$AB$5,tabela_registros[CATEGORIA],investiroutrosconsolidadomar[[#This Row],[ATUAL]])</f>
        <v>0</v>
      </c>
      <c r="F153" s="119" t="n">
        <f aca="false">SUMIFS(tabela_registros[VALOR],tabela_registros[MÊS],$AE$1,tabela_registros[DIA],investiroutrosconsolidadomar[[#Headers],[2]],tabela_registros[REGISTRO],DADOS!$N$5,tabela_registros[TIPO],DADOS!$AB$5,tabela_registros[CATEGORIA],investiroutrosconsolidadomar[[#This Row],[ATUAL]])</f>
        <v>0</v>
      </c>
      <c r="G153" s="119" t="n">
        <f aca="false">SUMIFS(tabela_registros[VALOR],tabela_registros[MÊS],$AE$1,tabela_registros[DIA],investiroutrosconsolidadomar[[#Headers],[3]],tabela_registros[REGISTRO],DADOS!$N$5,tabela_registros[TIPO],DADOS!$AB$5,tabela_registros[CATEGORIA],investiroutrosconsolidadomar[[#This Row],[ATUAL]])</f>
        <v>0</v>
      </c>
      <c r="H153" s="119" t="n">
        <f aca="false">SUMIFS(tabela_registros[VALOR],tabela_registros[MÊS],$AE$1,tabela_registros[DIA],investiroutrosconsolidadomar[[#Headers],[4]],tabela_registros[REGISTRO],DADOS!$N$5,tabela_registros[TIPO],DADOS!$AB$5,tabela_registros[CATEGORIA],investiroutrosconsolidadomar[[#This Row],[ATUAL]])</f>
        <v>0</v>
      </c>
      <c r="I153" s="119" t="n">
        <f aca="false">SUMIFS(tabela_registros[VALOR],tabela_registros[MÊS],$AE$1,tabela_registros[DIA],investiroutrosconsolidadomar[[#Headers],[5]],tabela_registros[REGISTRO],DADOS!$N$5,tabela_registros[TIPO],DADOS!$AB$5,tabela_registros[CATEGORIA],investiroutrosconsolidadomar[[#This Row],[ATUAL]])</f>
        <v>0</v>
      </c>
      <c r="J153" s="119" t="n">
        <f aca="false">SUMIFS(tabela_registros[VALOR],tabela_registros[MÊS],$AE$1,tabela_registros[DIA],investiroutrosconsolidadomar[[#Headers],[6]],tabela_registros[REGISTRO],DADOS!$N$5,tabela_registros[TIPO],DADOS!$AB$5,tabela_registros[CATEGORIA],investiroutrosconsolidadomar[[#This Row],[ATUAL]])</f>
        <v>0</v>
      </c>
      <c r="K153" s="119" t="n">
        <f aca="false">SUMIFS(tabela_registros[VALOR],tabela_registros[MÊS],$AE$1,tabela_registros[DIA],investiroutrosconsolidadomar[[#Headers],[7]],tabela_registros[REGISTRO],DADOS!$N$5,tabela_registros[TIPO],DADOS!$AB$5,tabela_registros[CATEGORIA],investiroutrosconsolidadomar[[#This Row],[ATUAL]])</f>
        <v>0</v>
      </c>
      <c r="L153" s="119" t="n">
        <f aca="false">SUMIFS(tabela_registros[VALOR],tabela_registros[MÊS],$AE$1,tabela_registros[DIA],investiroutrosconsolidadomar[[#Headers],[8]],tabela_registros[REGISTRO],DADOS!$N$5,tabela_registros[TIPO],DADOS!$AB$5,tabela_registros[CATEGORIA],investiroutrosconsolidadomar[[#This Row],[ATUAL]])</f>
        <v>0</v>
      </c>
      <c r="M153" s="119" t="n">
        <f aca="false">SUMIFS(tabela_registros[VALOR],tabela_registros[MÊS],$AE$1,tabela_registros[DIA],investiroutrosconsolidadomar[[#Headers],[9]],tabela_registros[REGISTRO],DADOS!$N$5,tabela_registros[TIPO],DADOS!$AB$5,tabela_registros[CATEGORIA],investiroutrosconsolidadomar[[#This Row],[ATUAL]])</f>
        <v>0</v>
      </c>
      <c r="N153" s="119" t="n">
        <f aca="false">SUMIFS(tabela_registros[VALOR],tabela_registros[MÊS],$AE$1,tabela_registros[DIA],investiroutrosconsolidadomar[[#Headers],[10]],tabela_registros[REGISTRO],DADOS!$N$5,tabela_registros[TIPO],DADOS!$AB$5,tabela_registros[CATEGORIA],investiroutrosconsolidadomar[[#This Row],[ATUAL]])</f>
        <v>0</v>
      </c>
      <c r="O153" s="119" t="n">
        <f aca="false">SUMIFS(tabela_registros[VALOR],tabela_registros[MÊS],$AE$1,tabela_registros[DIA],investiroutrosconsolidadomar[[#Headers],[11]],tabela_registros[REGISTRO],DADOS!$N$5,tabela_registros[TIPO],DADOS!$AB$5,tabela_registros[CATEGORIA],investiroutrosconsolidadomar[[#This Row],[ATUAL]])</f>
        <v>0</v>
      </c>
      <c r="P153" s="119" t="n">
        <f aca="false">SUMIFS(tabela_registros[VALOR],tabela_registros[MÊS],$AE$1,tabela_registros[DIA],investiroutrosconsolidadomar[[#Headers],[12]],tabela_registros[REGISTRO],DADOS!$N$5,tabela_registros[TIPO],DADOS!$AB$5,tabela_registros[CATEGORIA],investiroutrosconsolidadomar[[#This Row],[ATUAL]])</f>
        <v>0</v>
      </c>
      <c r="Q153" s="119" t="n">
        <f aca="false">SUMIFS(tabela_registros[VALOR],tabela_registros[MÊS],$AE$1,tabela_registros[DIA],investiroutrosconsolidadomar[[#Headers],[13]],tabela_registros[REGISTRO],DADOS!$N$5,tabela_registros[TIPO],DADOS!$AB$5,tabela_registros[CATEGORIA],investiroutrosconsolidadomar[[#This Row],[ATUAL]])</f>
        <v>0</v>
      </c>
      <c r="R153" s="119" t="n">
        <f aca="false">SUMIFS(tabela_registros[VALOR],tabela_registros[MÊS],$AE$1,tabela_registros[DIA],investiroutrosconsolidadomar[[#Headers],[14]],tabela_registros[REGISTRO],DADOS!$N$5,tabela_registros[TIPO],DADOS!$AB$5,tabela_registros[CATEGORIA],investiroutrosconsolidadomar[[#This Row],[ATUAL]])</f>
        <v>0</v>
      </c>
      <c r="S153" s="119" t="n">
        <f aca="false">SUMIFS(tabela_registros[VALOR],tabela_registros[MÊS],$AE$1,tabela_registros[DIA],investiroutrosconsolidadomar[[#Headers],[15]],tabela_registros[REGISTRO],DADOS!$N$5,tabela_registros[TIPO],DADOS!$AB$5,tabela_registros[CATEGORIA],investiroutrosconsolidadomar[[#This Row],[ATUAL]])</f>
        <v>0</v>
      </c>
      <c r="T153" s="119" t="n">
        <f aca="false">SUMIFS(tabela_registros[VALOR],tabela_registros[MÊS],$AE$1,tabela_registros[DIA],investiroutrosconsolidadomar[[#Headers],[16]],tabela_registros[REGISTRO],DADOS!$N$5,tabela_registros[TIPO],DADOS!$AB$5,tabela_registros[CATEGORIA],investiroutrosconsolidadomar[[#This Row],[ATUAL]])</f>
        <v>0</v>
      </c>
      <c r="U153" s="119" t="n">
        <f aca="false">SUMIFS(tabela_registros[VALOR],tabela_registros[MÊS],$AE$1,tabela_registros[DIA],investiroutrosconsolidadomar[[#Headers],[17]],tabela_registros[REGISTRO],DADOS!$N$5,tabela_registros[TIPO],DADOS!$AB$5,tabela_registros[CATEGORIA],investiroutrosconsolidadomar[[#This Row],[ATUAL]])</f>
        <v>0</v>
      </c>
      <c r="V153" s="119" t="n">
        <f aca="false">SUMIFS(tabela_registros[VALOR],tabela_registros[MÊS],$AE$1,tabela_registros[DIA],investiroutrosconsolidadomar[[#Headers],[18]],tabela_registros[REGISTRO],DADOS!$N$5,tabela_registros[TIPO],DADOS!$AB$5,tabela_registros[CATEGORIA],investiroutrosconsolidadomar[[#This Row],[ATUAL]])</f>
        <v>0</v>
      </c>
      <c r="W153" s="119" t="n">
        <f aca="false">SUMIFS(tabela_registros[VALOR],tabela_registros[MÊS],$AE$1,tabela_registros[DIA],investiroutrosconsolidadomar[[#Headers],[19]],tabela_registros[REGISTRO],DADOS!$N$5,tabela_registros[TIPO],DADOS!$AB$5,tabela_registros[CATEGORIA],investiroutrosconsolidadomar[[#This Row],[ATUAL]])</f>
        <v>0</v>
      </c>
      <c r="X153" s="119" t="n">
        <f aca="false">SUMIFS(tabela_registros[VALOR],tabela_registros[MÊS],$AE$1,tabela_registros[DIA],investiroutrosconsolidadomar[[#Headers],[20]],tabela_registros[REGISTRO],DADOS!$N$5,tabela_registros[TIPO],DADOS!$AB$5,tabela_registros[CATEGORIA],investiroutrosconsolidadomar[[#This Row],[ATUAL]])</f>
        <v>0</v>
      </c>
      <c r="Y153" s="119" t="n">
        <f aca="false">SUMIFS(tabela_registros[VALOR],tabela_registros[MÊS],$AE$1,tabela_registros[DIA],investiroutrosconsolidadomar[[#Headers],[21]],tabela_registros[REGISTRO],DADOS!$N$5,tabela_registros[TIPO],DADOS!$AB$5,tabela_registros[CATEGORIA],investiroutrosconsolidadomar[[#This Row],[ATUAL]])</f>
        <v>0</v>
      </c>
      <c r="Z153" s="119" t="n">
        <f aca="false">SUMIFS(tabela_registros[VALOR],tabela_registros[MÊS],$AE$1,tabela_registros[DIA],investiroutrosconsolidadomar[[#Headers],[22]],tabela_registros[REGISTRO],DADOS!$N$5,tabela_registros[TIPO],DADOS!$AB$5,tabela_registros[CATEGORIA],investiroutrosconsolidadomar[[#This Row],[ATUAL]])</f>
        <v>0</v>
      </c>
      <c r="AA153" s="119" t="n">
        <f aca="false">SUMIFS(tabela_registros[VALOR],tabela_registros[MÊS],$AE$1,tabela_registros[DIA],investiroutrosconsolidadomar[[#Headers],[23]],tabela_registros[REGISTRO],DADOS!$N$5,tabela_registros[TIPO],DADOS!$AB$5,tabela_registros[CATEGORIA],investiroutrosconsolidadomar[[#This Row],[ATUAL]])</f>
        <v>0</v>
      </c>
      <c r="AB153" s="119" t="n">
        <f aca="false">SUMIFS(tabela_registros[VALOR],tabela_registros[MÊS],$AE$1,tabela_registros[DIA],investiroutrosconsolidadomar[[#Headers],[24]],tabela_registros[REGISTRO],DADOS!$N$5,tabela_registros[TIPO],DADOS!$AB$5,tabela_registros[CATEGORIA],investiroutrosconsolidadomar[[#This Row],[ATUAL]])</f>
        <v>0</v>
      </c>
      <c r="AC153" s="119" t="n">
        <f aca="false">SUMIFS(tabela_registros[VALOR],tabela_registros[MÊS],$AE$1,tabela_registros[DIA],investiroutrosconsolidadomar[[#Headers],[25]],tabela_registros[REGISTRO],DADOS!$N$5,tabela_registros[TIPO],DADOS!$AB$5,tabela_registros[CATEGORIA],investiroutrosconsolidadomar[[#This Row],[ATUAL]])</f>
        <v>0</v>
      </c>
      <c r="AD153" s="119" t="n">
        <f aca="false">SUMIFS(tabela_registros[VALOR],tabela_registros[MÊS],$AE$1,tabela_registros[DIA],investiroutrosconsolidadomar[[#Headers],[26]],tabela_registros[REGISTRO],DADOS!$N$5,tabela_registros[TIPO],DADOS!$AB$5,tabela_registros[CATEGORIA],investiroutrosconsolidadomar[[#This Row],[ATUAL]])</f>
        <v>0</v>
      </c>
      <c r="AE153" s="119" t="n">
        <f aca="false">SUMIFS(tabela_registros[VALOR],tabela_registros[MÊS],$AE$1,tabela_registros[DIA],investiroutrosconsolidadomar[[#Headers],[27]],tabela_registros[REGISTRO],DADOS!$N$5,tabela_registros[TIPO],DADOS!$AB$5,tabela_registros[CATEGORIA],investiroutrosconsolidadomar[[#This Row],[ATUAL]])</f>
        <v>0</v>
      </c>
      <c r="AF153" s="119" t="n">
        <f aca="false">SUMIFS(tabela_registros[VALOR],tabela_registros[MÊS],$AE$1,tabela_registros[DIA],investiroutrosconsolidadomar[[#Headers],[28]],tabela_registros[REGISTRO],DADOS!$N$5,tabela_registros[TIPO],DADOS!$AB$5,tabela_registros[CATEGORIA],investiroutrosconsolidadomar[[#This Row],[ATUAL]])</f>
        <v>0</v>
      </c>
      <c r="AG153" s="119" t="n">
        <f aca="false">SUMIFS(tabela_registros[VALOR],tabela_registros[MÊS],$AE$1,tabela_registros[DIA],investiroutrosconsolidadomar[[#Headers],[29]],tabela_registros[REGISTRO],DADOS!$N$5,tabela_registros[TIPO],DADOS!$AB$5,tabela_registros[CATEGORIA],investiroutrosconsolidadomar[[#This Row],[ATUAL]])</f>
        <v>0</v>
      </c>
      <c r="AH153" s="119" t="n">
        <f aca="false">SUMIFS(tabela_registros[VALOR],tabela_registros[MÊS],$AE$1,tabela_registros[DIA],investiroutrosconsolidadomar[[#Headers],[30]],tabela_registros[REGISTRO],DADOS!$N$5,tabela_registros[TIPO],DADOS!$AB$5,tabela_registros[CATEGORIA],investiroutrosconsolidadomar[[#This Row],[ATUAL]])</f>
        <v>0</v>
      </c>
      <c r="AI153" s="217" t="n">
        <f aca="false">SUMIFS(tabela_registros[VALOR],tabela_registros[MÊS],$AE$1,tabela_registros[DIA],investiroutrosconsolidadomar[[#Headers],[31]],tabela_registros[REGISTRO],DADOS!$N$5,tabela_registros[TIPO],DADOS!$AB$5,tabela_registros[CATEGORIA],investiroutrosconsolidadomar[[#This Row],[ATUAL]])</f>
        <v>0</v>
      </c>
      <c r="AJ153" s="149" t="n">
        <f aca="false">SUM(investiroutrosconsolidadomar[[#This Row],[1]:[31]])</f>
        <v>0</v>
      </c>
      <c r="AK153" s="165"/>
    </row>
    <row r="154" customFormat="false" ht="19.5" hidden="false" customHeight="true" outlineLevel="0" collapsed="false">
      <c r="B154" s="143"/>
      <c r="C154" s="144" t="str">
        <f aca="false">DADOS!$AH$6</f>
        <v>📝 NOVA EMPRESA</v>
      </c>
      <c r="D154" s="145" t="str">
        <f aca="false">IF(investiroutrosconsolidadomar[[#This Row],[TOTAL (R$)]]=0,"",IF(OR(investiroutrosconsolidadomar[[#This Row],[TOTAL (R$)]]=LARGE($AJ$151:$AJ$158,1),investiroutrosconsolidadomar[[#This Row],[TOTAL (R$)]]=LARGE($AJ$151:$AJ$158,2)),DADOS!$I$10,""))</f>
        <v/>
      </c>
      <c r="E154" s="148" t="n">
        <f aca="false">SUMIFS(tabela_registros[VALOR],tabela_registros[MÊS],$AE$1,tabela_registros[DIA],investiroutrosconsolidadomar[[#Headers],[1]],tabela_registros[REGISTRO],DADOS!$N$5,tabela_registros[TIPO],DADOS!$AB$5,tabela_registros[CATEGORIA],investiroutrosconsolidadomar[[#This Row],[ATUAL]])</f>
        <v>0</v>
      </c>
      <c r="F154" s="119" t="n">
        <f aca="false">SUMIFS(tabela_registros[VALOR],tabela_registros[MÊS],$AE$1,tabela_registros[DIA],investiroutrosconsolidadomar[[#Headers],[2]],tabela_registros[REGISTRO],DADOS!$N$5,tabela_registros[TIPO],DADOS!$AB$5,tabela_registros[CATEGORIA],investiroutrosconsolidadomar[[#This Row],[ATUAL]])</f>
        <v>0</v>
      </c>
      <c r="G154" s="119" t="n">
        <f aca="false">SUMIFS(tabela_registros[VALOR],tabela_registros[MÊS],$AE$1,tabela_registros[DIA],investiroutrosconsolidadomar[[#Headers],[3]],tabela_registros[REGISTRO],DADOS!$N$5,tabela_registros[TIPO],DADOS!$AB$5,tabela_registros[CATEGORIA],investiroutrosconsolidadomar[[#This Row],[ATUAL]])</f>
        <v>0</v>
      </c>
      <c r="H154" s="119" t="n">
        <f aca="false">SUMIFS(tabela_registros[VALOR],tabela_registros[MÊS],$AE$1,tabela_registros[DIA],investiroutrosconsolidadomar[[#Headers],[4]],tabela_registros[REGISTRO],DADOS!$N$5,tabela_registros[TIPO],DADOS!$AB$5,tabela_registros[CATEGORIA],investiroutrosconsolidadomar[[#This Row],[ATUAL]])</f>
        <v>0</v>
      </c>
      <c r="I154" s="119" t="n">
        <f aca="false">SUMIFS(tabela_registros[VALOR],tabela_registros[MÊS],$AE$1,tabela_registros[DIA],investiroutrosconsolidadomar[[#Headers],[5]],tabela_registros[REGISTRO],DADOS!$N$5,tabela_registros[TIPO],DADOS!$AB$5,tabela_registros[CATEGORIA],investiroutrosconsolidadomar[[#This Row],[ATUAL]])</f>
        <v>0</v>
      </c>
      <c r="J154" s="119" t="n">
        <f aca="false">SUMIFS(tabela_registros[VALOR],tabela_registros[MÊS],$AE$1,tabela_registros[DIA],investiroutrosconsolidadomar[[#Headers],[6]],tabela_registros[REGISTRO],DADOS!$N$5,tabela_registros[TIPO],DADOS!$AB$5,tabela_registros[CATEGORIA],investiroutrosconsolidadomar[[#This Row],[ATUAL]])</f>
        <v>0</v>
      </c>
      <c r="K154" s="119" t="n">
        <f aca="false">SUMIFS(tabela_registros[VALOR],tabela_registros[MÊS],$AE$1,tabela_registros[DIA],investiroutrosconsolidadomar[[#Headers],[7]],tabela_registros[REGISTRO],DADOS!$N$5,tabela_registros[TIPO],DADOS!$AB$5,tabela_registros[CATEGORIA],investiroutrosconsolidadomar[[#This Row],[ATUAL]])</f>
        <v>0</v>
      </c>
      <c r="L154" s="119" t="n">
        <f aca="false">SUMIFS(tabela_registros[VALOR],tabela_registros[MÊS],$AE$1,tabela_registros[DIA],investiroutrosconsolidadomar[[#Headers],[8]],tabela_registros[REGISTRO],DADOS!$N$5,tabela_registros[TIPO],DADOS!$AB$5,tabela_registros[CATEGORIA],investiroutrosconsolidadomar[[#This Row],[ATUAL]])</f>
        <v>0</v>
      </c>
      <c r="M154" s="119" t="n">
        <f aca="false">SUMIFS(tabela_registros[VALOR],tabela_registros[MÊS],$AE$1,tabela_registros[DIA],investiroutrosconsolidadomar[[#Headers],[9]],tabela_registros[REGISTRO],DADOS!$N$5,tabela_registros[TIPO],DADOS!$AB$5,tabela_registros[CATEGORIA],investiroutrosconsolidadomar[[#This Row],[ATUAL]])</f>
        <v>0</v>
      </c>
      <c r="N154" s="119" t="n">
        <f aca="false">SUMIFS(tabela_registros[VALOR],tabela_registros[MÊS],$AE$1,tabela_registros[DIA],investiroutrosconsolidadomar[[#Headers],[10]],tabela_registros[REGISTRO],DADOS!$N$5,tabela_registros[TIPO],DADOS!$AB$5,tabela_registros[CATEGORIA],investiroutrosconsolidadomar[[#This Row],[ATUAL]])</f>
        <v>0</v>
      </c>
      <c r="O154" s="119" t="n">
        <f aca="false">SUMIFS(tabela_registros[VALOR],tabela_registros[MÊS],$AE$1,tabela_registros[DIA],investiroutrosconsolidadomar[[#Headers],[11]],tabela_registros[REGISTRO],DADOS!$N$5,tabela_registros[TIPO],DADOS!$AB$5,tabela_registros[CATEGORIA],investiroutrosconsolidadomar[[#This Row],[ATUAL]])</f>
        <v>0</v>
      </c>
      <c r="P154" s="119" t="n">
        <f aca="false">SUMIFS(tabela_registros[VALOR],tabela_registros[MÊS],$AE$1,tabela_registros[DIA],investiroutrosconsolidadomar[[#Headers],[12]],tabela_registros[REGISTRO],DADOS!$N$5,tabela_registros[TIPO],DADOS!$AB$5,tabela_registros[CATEGORIA],investiroutrosconsolidadomar[[#This Row],[ATUAL]])</f>
        <v>0</v>
      </c>
      <c r="Q154" s="119" t="n">
        <f aca="false">SUMIFS(tabela_registros[VALOR],tabela_registros[MÊS],$AE$1,tabela_registros[DIA],investiroutrosconsolidadomar[[#Headers],[13]],tabela_registros[REGISTRO],DADOS!$N$5,tabela_registros[TIPO],DADOS!$AB$5,tabela_registros[CATEGORIA],investiroutrosconsolidadomar[[#This Row],[ATUAL]])</f>
        <v>0</v>
      </c>
      <c r="R154" s="119" t="n">
        <f aca="false">SUMIFS(tabela_registros[VALOR],tabela_registros[MÊS],$AE$1,tabela_registros[DIA],investiroutrosconsolidadomar[[#Headers],[14]],tabela_registros[REGISTRO],DADOS!$N$5,tabela_registros[TIPO],DADOS!$AB$5,tabela_registros[CATEGORIA],investiroutrosconsolidadomar[[#This Row],[ATUAL]])</f>
        <v>0</v>
      </c>
      <c r="S154" s="119" t="n">
        <f aca="false">SUMIFS(tabela_registros[VALOR],tabela_registros[MÊS],$AE$1,tabela_registros[DIA],investiroutrosconsolidadomar[[#Headers],[15]],tabela_registros[REGISTRO],DADOS!$N$5,tabela_registros[TIPO],DADOS!$AB$5,tabela_registros[CATEGORIA],investiroutrosconsolidadomar[[#This Row],[ATUAL]])</f>
        <v>0</v>
      </c>
      <c r="T154" s="119" t="n">
        <f aca="false">SUMIFS(tabela_registros[VALOR],tabela_registros[MÊS],$AE$1,tabela_registros[DIA],investiroutrosconsolidadomar[[#Headers],[16]],tabela_registros[REGISTRO],DADOS!$N$5,tabela_registros[TIPO],DADOS!$AB$5,tabela_registros[CATEGORIA],investiroutrosconsolidadomar[[#This Row],[ATUAL]])</f>
        <v>0</v>
      </c>
      <c r="U154" s="119" t="n">
        <f aca="false">SUMIFS(tabela_registros[VALOR],tabela_registros[MÊS],$AE$1,tabela_registros[DIA],investiroutrosconsolidadomar[[#Headers],[17]],tabela_registros[REGISTRO],DADOS!$N$5,tabela_registros[TIPO],DADOS!$AB$5,tabela_registros[CATEGORIA],investiroutrosconsolidadomar[[#This Row],[ATUAL]])</f>
        <v>0</v>
      </c>
      <c r="V154" s="119" t="n">
        <f aca="false">SUMIFS(tabela_registros[VALOR],tabela_registros[MÊS],$AE$1,tabela_registros[DIA],investiroutrosconsolidadomar[[#Headers],[18]],tabela_registros[REGISTRO],DADOS!$N$5,tabela_registros[TIPO],DADOS!$AB$5,tabela_registros[CATEGORIA],investiroutrosconsolidadomar[[#This Row],[ATUAL]])</f>
        <v>0</v>
      </c>
      <c r="W154" s="119" t="n">
        <f aca="false">SUMIFS(tabela_registros[VALOR],tabela_registros[MÊS],$AE$1,tabela_registros[DIA],investiroutrosconsolidadomar[[#Headers],[19]],tabela_registros[REGISTRO],DADOS!$N$5,tabela_registros[TIPO],DADOS!$AB$5,tabela_registros[CATEGORIA],investiroutrosconsolidadomar[[#This Row],[ATUAL]])</f>
        <v>0</v>
      </c>
      <c r="X154" s="119" t="n">
        <f aca="false">SUMIFS(tabela_registros[VALOR],tabela_registros[MÊS],$AE$1,tabela_registros[DIA],investiroutrosconsolidadomar[[#Headers],[20]],tabela_registros[REGISTRO],DADOS!$N$5,tabela_registros[TIPO],DADOS!$AB$5,tabela_registros[CATEGORIA],investiroutrosconsolidadomar[[#This Row],[ATUAL]])</f>
        <v>0</v>
      </c>
      <c r="Y154" s="119" t="n">
        <f aca="false">SUMIFS(tabela_registros[VALOR],tabela_registros[MÊS],$AE$1,tabela_registros[DIA],investiroutrosconsolidadomar[[#Headers],[21]],tabela_registros[REGISTRO],DADOS!$N$5,tabela_registros[TIPO],DADOS!$AB$5,tabela_registros[CATEGORIA],investiroutrosconsolidadomar[[#This Row],[ATUAL]])</f>
        <v>0</v>
      </c>
      <c r="Z154" s="119" t="n">
        <f aca="false">SUMIFS(tabela_registros[VALOR],tabela_registros[MÊS],$AE$1,tabela_registros[DIA],investiroutrosconsolidadomar[[#Headers],[22]],tabela_registros[REGISTRO],DADOS!$N$5,tabela_registros[TIPO],DADOS!$AB$5,tabela_registros[CATEGORIA],investiroutrosconsolidadomar[[#This Row],[ATUAL]])</f>
        <v>0</v>
      </c>
      <c r="AA154" s="119" t="n">
        <f aca="false">SUMIFS(tabela_registros[VALOR],tabela_registros[MÊS],$AE$1,tabela_registros[DIA],investiroutrosconsolidadomar[[#Headers],[23]],tabela_registros[REGISTRO],DADOS!$N$5,tabela_registros[TIPO],DADOS!$AB$5,tabela_registros[CATEGORIA],investiroutrosconsolidadomar[[#This Row],[ATUAL]])</f>
        <v>0</v>
      </c>
      <c r="AB154" s="119" t="n">
        <f aca="false">SUMIFS(tabela_registros[VALOR],tabela_registros[MÊS],$AE$1,tabela_registros[DIA],investiroutrosconsolidadomar[[#Headers],[24]],tabela_registros[REGISTRO],DADOS!$N$5,tabela_registros[TIPO],DADOS!$AB$5,tabela_registros[CATEGORIA],investiroutrosconsolidadomar[[#This Row],[ATUAL]])</f>
        <v>0</v>
      </c>
      <c r="AC154" s="119" t="n">
        <f aca="false">SUMIFS(tabela_registros[VALOR],tabela_registros[MÊS],$AE$1,tabela_registros[DIA],investiroutrosconsolidadomar[[#Headers],[25]],tabela_registros[REGISTRO],DADOS!$N$5,tabela_registros[TIPO],DADOS!$AB$5,tabela_registros[CATEGORIA],investiroutrosconsolidadomar[[#This Row],[ATUAL]])</f>
        <v>0</v>
      </c>
      <c r="AD154" s="119" t="n">
        <f aca="false">SUMIFS(tabela_registros[VALOR],tabela_registros[MÊS],$AE$1,tabela_registros[DIA],investiroutrosconsolidadomar[[#Headers],[26]],tabela_registros[REGISTRO],DADOS!$N$5,tabela_registros[TIPO],DADOS!$AB$5,tabela_registros[CATEGORIA],investiroutrosconsolidadomar[[#This Row],[ATUAL]])</f>
        <v>0</v>
      </c>
      <c r="AE154" s="119" t="n">
        <f aca="false">SUMIFS(tabela_registros[VALOR],tabela_registros[MÊS],$AE$1,tabela_registros[DIA],investiroutrosconsolidadomar[[#Headers],[27]],tabela_registros[REGISTRO],DADOS!$N$5,tabela_registros[TIPO],DADOS!$AB$5,tabela_registros[CATEGORIA],investiroutrosconsolidadomar[[#This Row],[ATUAL]])</f>
        <v>0</v>
      </c>
      <c r="AF154" s="119" t="n">
        <f aca="false">SUMIFS(tabela_registros[VALOR],tabela_registros[MÊS],$AE$1,tabela_registros[DIA],investiroutrosconsolidadomar[[#Headers],[28]],tabela_registros[REGISTRO],DADOS!$N$5,tabela_registros[TIPO],DADOS!$AB$5,tabela_registros[CATEGORIA],investiroutrosconsolidadomar[[#This Row],[ATUAL]])</f>
        <v>0</v>
      </c>
      <c r="AG154" s="119" t="n">
        <f aca="false">SUMIFS(tabela_registros[VALOR],tabela_registros[MÊS],$AE$1,tabela_registros[DIA],investiroutrosconsolidadomar[[#Headers],[29]],tabela_registros[REGISTRO],DADOS!$N$5,tabela_registros[TIPO],DADOS!$AB$5,tabela_registros[CATEGORIA],investiroutrosconsolidadomar[[#This Row],[ATUAL]])</f>
        <v>0</v>
      </c>
      <c r="AH154" s="119" t="n">
        <f aca="false">SUMIFS(tabela_registros[VALOR],tabela_registros[MÊS],$AE$1,tabela_registros[DIA],investiroutrosconsolidadomar[[#Headers],[30]],tabela_registros[REGISTRO],DADOS!$N$5,tabela_registros[TIPO],DADOS!$AB$5,tabela_registros[CATEGORIA],investiroutrosconsolidadomar[[#This Row],[ATUAL]])</f>
        <v>0</v>
      </c>
      <c r="AI154" s="217" t="n">
        <f aca="false">SUMIFS(tabela_registros[VALOR],tabela_registros[MÊS],$AE$1,tabela_registros[DIA],investiroutrosconsolidadomar[[#Headers],[31]],tabela_registros[REGISTRO],DADOS!$N$5,tabela_registros[TIPO],DADOS!$AB$5,tabela_registros[CATEGORIA],investiroutrosconsolidadomar[[#This Row],[ATUAL]])</f>
        <v>0</v>
      </c>
      <c r="AJ154" s="149" t="n">
        <f aca="false">SUM(investiroutrosconsolidadomar[[#This Row],[1]:[31]])</f>
        <v>0</v>
      </c>
      <c r="AK154" s="165"/>
    </row>
    <row r="155" customFormat="false" ht="19.5" hidden="false" customHeight="true" outlineLevel="0" collapsed="false">
      <c r="B155" s="143"/>
      <c r="C155" s="144" t="str">
        <f aca="false">DADOS!$AH$7</f>
        <v>📝 PEER TO COMPANY</v>
      </c>
      <c r="D155" s="145" t="str">
        <f aca="false">IF(investiroutrosconsolidadomar[[#This Row],[TOTAL (R$)]]=0,"",IF(OR(investiroutrosconsolidadomar[[#This Row],[TOTAL (R$)]]=LARGE($AJ$151:$AJ$158,1),investiroutrosconsolidadomar[[#This Row],[TOTAL (R$)]]=LARGE($AJ$151:$AJ$158,2)),DADOS!$I$10,""))</f>
        <v/>
      </c>
      <c r="E155" s="148" t="n">
        <f aca="false">SUMIFS(tabela_registros[VALOR],tabela_registros[MÊS],$AE$1,tabela_registros[DIA],investiroutrosconsolidadomar[[#Headers],[1]],tabela_registros[REGISTRO],DADOS!$N$5,tabela_registros[TIPO],DADOS!$AB$5,tabela_registros[CATEGORIA],investiroutrosconsolidadomar[[#This Row],[ATUAL]])</f>
        <v>0</v>
      </c>
      <c r="F155" s="119" t="n">
        <f aca="false">SUMIFS(tabela_registros[VALOR],tabela_registros[MÊS],$AE$1,tabela_registros[DIA],investiroutrosconsolidadomar[[#Headers],[2]],tabela_registros[REGISTRO],DADOS!$N$5,tabela_registros[TIPO],DADOS!$AB$5,tabela_registros[CATEGORIA],investiroutrosconsolidadomar[[#This Row],[ATUAL]])</f>
        <v>0</v>
      </c>
      <c r="G155" s="119" t="n">
        <f aca="false">SUMIFS(tabela_registros[VALOR],tabela_registros[MÊS],$AE$1,tabela_registros[DIA],investiroutrosconsolidadomar[[#Headers],[3]],tabela_registros[REGISTRO],DADOS!$N$5,tabela_registros[TIPO],DADOS!$AB$5,tabela_registros[CATEGORIA],investiroutrosconsolidadomar[[#This Row],[ATUAL]])</f>
        <v>0</v>
      </c>
      <c r="H155" s="119" t="n">
        <f aca="false">SUMIFS(tabela_registros[VALOR],tabela_registros[MÊS],$AE$1,tabela_registros[DIA],investiroutrosconsolidadomar[[#Headers],[4]],tabela_registros[REGISTRO],DADOS!$N$5,tabela_registros[TIPO],DADOS!$AB$5,tabela_registros[CATEGORIA],investiroutrosconsolidadomar[[#This Row],[ATUAL]])</f>
        <v>0</v>
      </c>
      <c r="I155" s="119" t="n">
        <f aca="false">SUMIFS(tabela_registros[VALOR],tabela_registros[MÊS],$AE$1,tabela_registros[DIA],investiroutrosconsolidadomar[[#Headers],[5]],tabela_registros[REGISTRO],DADOS!$N$5,tabela_registros[TIPO],DADOS!$AB$5,tabela_registros[CATEGORIA],investiroutrosconsolidadomar[[#This Row],[ATUAL]])</f>
        <v>0</v>
      </c>
      <c r="J155" s="119" t="n">
        <f aca="false">SUMIFS(tabela_registros[VALOR],tabela_registros[MÊS],$AE$1,tabela_registros[DIA],investiroutrosconsolidadomar[[#Headers],[6]],tabela_registros[REGISTRO],DADOS!$N$5,tabela_registros[TIPO],DADOS!$AB$5,tabela_registros[CATEGORIA],investiroutrosconsolidadomar[[#This Row],[ATUAL]])</f>
        <v>0</v>
      </c>
      <c r="K155" s="119" t="n">
        <f aca="false">SUMIFS(tabela_registros[VALOR],tabela_registros[MÊS],$AE$1,tabela_registros[DIA],investiroutrosconsolidadomar[[#Headers],[7]],tabela_registros[REGISTRO],DADOS!$N$5,tabela_registros[TIPO],DADOS!$AB$5,tabela_registros[CATEGORIA],investiroutrosconsolidadomar[[#This Row],[ATUAL]])</f>
        <v>0</v>
      </c>
      <c r="L155" s="119" t="n">
        <f aca="false">SUMIFS(tabela_registros[VALOR],tabela_registros[MÊS],$AE$1,tabela_registros[DIA],investiroutrosconsolidadomar[[#Headers],[8]],tabela_registros[REGISTRO],DADOS!$N$5,tabela_registros[TIPO],DADOS!$AB$5,tabela_registros[CATEGORIA],investiroutrosconsolidadomar[[#This Row],[ATUAL]])</f>
        <v>0</v>
      </c>
      <c r="M155" s="119" t="n">
        <f aca="false">SUMIFS(tabela_registros[VALOR],tabela_registros[MÊS],$AE$1,tabela_registros[DIA],investiroutrosconsolidadomar[[#Headers],[9]],tabela_registros[REGISTRO],DADOS!$N$5,tabela_registros[TIPO],DADOS!$AB$5,tabela_registros[CATEGORIA],investiroutrosconsolidadomar[[#This Row],[ATUAL]])</f>
        <v>0</v>
      </c>
      <c r="N155" s="119" t="n">
        <f aca="false">SUMIFS(tabela_registros[VALOR],tabela_registros[MÊS],$AE$1,tabela_registros[DIA],investiroutrosconsolidadomar[[#Headers],[10]],tabela_registros[REGISTRO],DADOS!$N$5,tabela_registros[TIPO],DADOS!$AB$5,tabela_registros[CATEGORIA],investiroutrosconsolidadomar[[#This Row],[ATUAL]])</f>
        <v>0</v>
      </c>
      <c r="O155" s="119" t="n">
        <f aca="false">SUMIFS(tabela_registros[VALOR],tabela_registros[MÊS],$AE$1,tabela_registros[DIA],investiroutrosconsolidadomar[[#Headers],[11]],tabela_registros[REGISTRO],DADOS!$N$5,tabela_registros[TIPO],DADOS!$AB$5,tabela_registros[CATEGORIA],investiroutrosconsolidadomar[[#This Row],[ATUAL]])</f>
        <v>0</v>
      </c>
      <c r="P155" s="119" t="n">
        <f aca="false">SUMIFS(tabela_registros[VALOR],tabela_registros[MÊS],$AE$1,tabela_registros[DIA],investiroutrosconsolidadomar[[#Headers],[12]],tabela_registros[REGISTRO],DADOS!$N$5,tabela_registros[TIPO],DADOS!$AB$5,tabela_registros[CATEGORIA],investiroutrosconsolidadomar[[#This Row],[ATUAL]])</f>
        <v>0</v>
      </c>
      <c r="Q155" s="119" t="n">
        <f aca="false">SUMIFS(tabela_registros[VALOR],tabela_registros[MÊS],$AE$1,tabela_registros[DIA],investiroutrosconsolidadomar[[#Headers],[13]],tabela_registros[REGISTRO],DADOS!$N$5,tabela_registros[TIPO],DADOS!$AB$5,tabela_registros[CATEGORIA],investiroutrosconsolidadomar[[#This Row],[ATUAL]])</f>
        <v>0</v>
      </c>
      <c r="R155" s="119" t="n">
        <f aca="false">SUMIFS(tabela_registros[VALOR],tabela_registros[MÊS],$AE$1,tabela_registros[DIA],investiroutrosconsolidadomar[[#Headers],[14]],tabela_registros[REGISTRO],DADOS!$N$5,tabela_registros[TIPO],DADOS!$AB$5,tabela_registros[CATEGORIA],investiroutrosconsolidadomar[[#This Row],[ATUAL]])</f>
        <v>0</v>
      </c>
      <c r="S155" s="119" t="n">
        <f aca="false">SUMIFS(tabela_registros[VALOR],tabela_registros[MÊS],$AE$1,tabela_registros[DIA],investiroutrosconsolidadomar[[#Headers],[15]],tabela_registros[REGISTRO],DADOS!$N$5,tabela_registros[TIPO],DADOS!$AB$5,tabela_registros[CATEGORIA],investiroutrosconsolidadomar[[#This Row],[ATUAL]])</f>
        <v>0</v>
      </c>
      <c r="T155" s="119" t="n">
        <f aca="false">SUMIFS(tabela_registros[VALOR],tabela_registros[MÊS],$AE$1,tabela_registros[DIA],investiroutrosconsolidadomar[[#Headers],[16]],tabela_registros[REGISTRO],DADOS!$N$5,tabela_registros[TIPO],DADOS!$AB$5,tabela_registros[CATEGORIA],investiroutrosconsolidadomar[[#This Row],[ATUAL]])</f>
        <v>0</v>
      </c>
      <c r="U155" s="119" t="n">
        <f aca="false">SUMIFS(tabela_registros[VALOR],tabela_registros[MÊS],$AE$1,tabela_registros[DIA],investiroutrosconsolidadomar[[#Headers],[17]],tabela_registros[REGISTRO],DADOS!$N$5,tabela_registros[TIPO],DADOS!$AB$5,tabela_registros[CATEGORIA],investiroutrosconsolidadomar[[#This Row],[ATUAL]])</f>
        <v>0</v>
      </c>
      <c r="V155" s="119" t="n">
        <f aca="false">SUMIFS(tabela_registros[VALOR],tabela_registros[MÊS],$AE$1,tabela_registros[DIA],investiroutrosconsolidadomar[[#Headers],[18]],tabela_registros[REGISTRO],DADOS!$N$5,tabela_registros[TIPO],DADOS!$AB$5,tabela_registros[CATEGORIA],investiroutrosconsolidadomar[[#This Row],[ATUAL]])</f>
        <v>0</v>
      </c>
      <c r="W155" s="119" t="n">
        <f aca="false">SUMIFS(tabela_registros[VALOR],tabela_registros[MÊS],$AE$1,tabela_registros[DIA],investiroutrosconsolidadomar[[#Headers],[19]],tabela_registros[REGISTRO],DADOS!$N$5,tabela_registros[TIPO],DADOS!$AB$5,tabela_registros[CATEGORIA],investiroutrosconsolidadomar[[#This Row],[ATUAL]])</f>
        <v>0</v>
      </c>
      <c r="X155" s="119" t="n">
        <f aca="false">SUMIFS(tabela_registros[VALOR],tabela_registros[MÊS],$AE$1,tabela_registros[DIA],investiroutrosconsolidadomar[[#Headers],[20]],tabela_registros[REGISTRO],DADOS!$N$5,tabela_registros[TIPO],DADOS!$AB$5,tabela_registros[CATEGORIA],investiroutrosconsolidadomar[[#This Row],[ATUAL]])</f>
        <v>0</v>
      </c>
      <c r="Y155" s="119" t="n">
        <f aca="false">SUMIFS(tabela_registros[VALOR],tabela_registros[MÊS],$AE$1,tabela_registros[DIA],investiroutrosconsolidadomar[[#Headers],[21]],tabela_registros[REGISTRO],DADOS!$N$5,tabela_registros[TIPO],DADOS!$AB$5,tabela_registros[CATEGORIA],investiroutrosconsolidadomar[[#This Row],[ATUAL]])</f>
        <v>0</v>
      </c>
      <c r="Z155" s="119" t="n">
        <f aca="false">SUMIFS(tabela_registros[VALOR],tabela_registros[MÊS],$AE$1,tabela_registros[DIA],investiroutrosconsolidadomar[[#Headers],[22]],tabela_registros[REGISTRO],DADOS!$N$5,tabela_registros[TIPO],DADOS!$AB$5,tabela_registros[CATEGORIA],investiroutrosconsolidadomar[[#This Row],[ATUAL]])</f>
        <v>0</v>
      </c>
      <c r="AA155" s="119" t="n">
        <f aca="false">SUMIFS(tabela_registros[VALOR],tabela_registros[MÊS],$AE$1,tabela_registros[DIA],investiroutrosconsolidadomar[[#Headers],[23]],tabela_registros[REGISTRO],DADOS!$N$5,tabela_registros[TIPO],DADOS!$AB$5,tabela_registros[CATEGORIA],investiroutrosconsolidadomar[[#This Row],[ATUAL]])</f>
        <v>0</v>
      </c>
      <c r="AB155" s="119" t="n">
        <f aca="false">SUMIFS(tabela_registros[VALOR],tabela_registros[MÊS],$AE$1,tabela_registros[DIA],investiroutrosconsolidadomar[[#Headers],[24]],tabela_registros[REGISTRO],DADOS!$N$5,tabela_registros[TIPO],DADOS!$AB$5,tabela_registros[CATEGORIA],investiroutrosconsolidadomar[[#This Row],[ATUAL]])</f>
        <v>0</v>
      </c>
      <c r="AC155" s="119" t="n">
        <f aca="false">SUMIFS(tabela_registros[VALOR],tabela_registros[MÊS],$AE$1,tabela_registros[DIA],investiroutrosconsolidadomar[[#Headers],[25]],tabela_registros[REGISTRO],DADOS!$N$5,tabela_registros[TIPO],DADOS!$AB$5,tabela_registros[CATEGORIA],investiroutrosconsolidadomar[[#This Row],[ATUAL]])</f>
        <v>0</v>
      </c>
      <c r="AD155" s="119" t="n">
        <f aca="false">SUMIFS(tabela_registros[VALOR],tabela_registros[MÊS],$AE$1,tabela_registros[DIA],investiroutrosconsolidadomar[[#Headers],[26]],tabela_registros[REGISTRO],DADOS!$N$5,tabela_registros[TIPO],DADOS!$AB$5,tabela_registros[CATEGORIA],investiroutrosconsolidadomar[[#This Row],[ATUAL]])</f>
        <v>0</v>
      </c>
      <c r="AE155" s="119" t="n">
        <f aca="false">SUMIFS(tabela_registros[VALOR],tabela_registros[MÊS],$AE$1,tabela_registros[DIA],investiroutrosconsolidadomar[[#Headers],[27]],tabela_registros[REGISTRO],DADOS!$N$5,tabela_registros[TIPO],DADOS!$AB$5,tabela_registros[CATEGORIA],investiroutrosconsolidadomar[[#This Row],[ATUAL]])</f>
        <v>0</v>
      </c>
      <c r="AF155" s="119" t="n">
        <f aca="false">SUMIFS(tabela_registros[VALOR],tabela_registros[MÊS],$AE$1,tabela_registros[DIA],investiroutrosconsolidadomar[[#Headers],[28]],tabela_registros[REGISTRO],DADOS!$N$5,tabela_registros[TIPO],DADOS!$AB$5,tabela_registros[CATEGORIA],investiroutrosconsolidadomar[[#This Row],[ATUAL]])</f>
        <v>0</v>
      </c>
      <c r="AG155" s="119" t="n">
        <f aca="false">SUMIFS(tabela_registros[VALOR],tabela_registros[MÊS],$AE$1,tabela_registros[DIA],investiroutrosconsolidadomar[[#Headers],[29]],tabela_registros[REGISTRO],DADOS!$N$5,tabela_registros[TIPO],DADOS!$AB$5,tabela_registros[CATEGORIA],investiroutrosconsolidadomar[[#This Row],[ATUAL]])</f>
        <v>0</v>
      </c>
      <c r="AH155" s="119" t="n">
        <f aca="false">SUMIFS(tabela_registros[VALOR],tabela_registros[MÊS],$AE$1,tabela_registros[DIA],investiroutrosconsolidadomar[[#Headers],[30]],tabela_registros[REGISTRO],DADOS!$N$5,tabela_registros[TIPO],DADOS!$AB$5,tabela_registros[CATEGORIA],investiroutrosconsolidadomar[[#This Row],[ATUAL]])</f>
        <v>0</v>
      </c>
      <c r="AI155" s="217" t="n">
        <f aca="false">SUMIFS(tabela_registros[VALOR],tabela_registros[MÊS],$AE$1,tabela_registros[DIA],investiroutrosconsolidadomar[[#Headers],[31]],tabela_registros[REGISTRO],DADOS!$N$5,tabela_registros[TIPO],DADOS!$AB$5,tabela_registros[CATEGORIA],investiroutrosconsolidadomar[[#This Row],[ATUAL]])</f>
        <v>0</v>
      </c>
      <c r="AJ155" s="149" t="n">
        <f aca="false">SUM(investiroutrosconsolidadomar[[#This Row],[1]:[31]])</f>
        <v>0</v>
      </c>
      <c r="AK155" s="165"/>
    </row>
    <row r="156" customFormat="false" ht="19.5" hidden="false" customHeight="true" outlineLevel="0" collapsed="false">
      <c r="B156" s="143"/>
      <c r="C156" s="144" t="str">
        <f aca="false">DADOS!$AH$8</f>
        <v>📝 PEER TO PEER</v>
      </c>
      <c r="D156" s="145" t="str">
        <f aca="false">IF(investiroutrosconsolidadomar[[#This Row],[TOTAL (R$)]]=0,"",IF(OR(investiroutrosconsolidadomar[[#This Row],[TOTAL (R$)]]=LARGE($AJ$151:$AJ$158,1),investiroutrosconsolidadomar[[#This Row],[TOTAL (R$)]]=LARGE($AJ$151:$AJ$158,2)),DADOS!$I$10,""))</f>
        <v/>
      </c>
      <c r="E156" s="148" t="n">
        <f aca="false">SUMIFS(tabela_registros[VALOR],tabela_registros[MÊS],$AE$1,tabela_registros[DIA],investiroutrosconsolidadomar[[#Headers],[1]],tabela_registros[REGISTRO],DADOS!$N$5,tabela_registros[TIPO],DADOS!$AB$5,tabela_registros[CATEGORIA],investiroutrosconsolidadomar[[#This Row],[ATUAL]])</f>
        <v>0</v>
      </c>
      <c r="F156" s="119" t="n">
        <f aca="false">SUMIFS(tabela_registros[VALOR],tabela_registros[MÊS],$AE$1,tabela_registros[DIA],investiroutrosconsolidadomar[[#Headers],[2]],tabela_registros[REGISTRO],DADOS!$N$5,tabela_registros[TIPO],DADOS!$AB$5,tabela_registros[CATEGORIA],investiroutrosconsolidadomar[[#This Row],[ATUAL]])</f>
        <v>0</v>
      </c>
      <c r="G156" s="119" t="n">
        <f aca="false">SUMIFS(tabela_registros[VALOR],tabela_registros[MÊS],$AE$1,tabela_registros[DIA],investiroutrosconsolidadomar[[#Headers],[3]],tabela_registros[REGISTRO],DADOS!$N$5,tabela_registros[TIPO],DADOS!$AB$5,tabela_registros[CATEGORIA],investiroutrosconsolidadomar[[#This Row],[ATUAL]])</f>
        <v>0</v>
      </c>
      <c r="H156" s="119" t="n">
        <f aca="false">SUMIFS(tabela_registros[VALOR],tabela_registros[MÊS],$AE$1,tabela_registros[DIA],investiroutrosconsolidadomar[[#Headers],[4]],tabela_registros[REGISTRO],DADOS!$N$5,tabela_registros[TIPO],DADOS!$AB$5,tabela_registros[CATEGORIA],investiroutrosconsolidadomar[[#This Row],[ATUAL]])</f>
        <v>0</v>
      </c>
      <c r="I156" s="119" t="n">
        <f aca="false">SUMIFS(tabela_registros[VALOR],tabela_registros[MÊS],$AE$1,tabela_registros[DIA],investiroutrosconsolidadomar[[#Headers],[5]],tabela_registros[REGISTRO],DADOS!$N$5,tabela_registros[TIPO],DADOS!$AB$5,tabela_registros[CATEGORIA],investiroutrosconsolidadomar[[#This Row],[ATUAL]])</f>
        <v>0</v>
      </c>
      <c r="J156" s="119" t="n">
        <f aca="false">SUMIFS(tabela_registros[VALOR],tabela_registros[MÊS],$AE$1,tabela_registros[DIA],investiroutrosconsolidadomar[[#Headers],[6]],tabela_registros[REGISTRO],DADOS!$N$5,tabela_registros[TIPO],DADOS!$AB$5,tabela_registros[CATEGORIA],investiroutrosconsolidadomar[[#This Row],[ATUAL]])</f>
        <v>0</v>
      </c>
      <c r="K156" s="119" t="n">
        <f aca="false">SUMIFS(tabela_registros[VALOR],tabela_registros[MÊS],$AE$1,tabela_registros[DIA],investiroutrosconsolidadomar[[#Headers],[7]],tabela_registros[REGISTRO],DADOS!$N$5,tabela_registros[TIPO],DADOS!$AB$5,tabela_registros[CATEGORIA],investiroutrosconsolidadomar[[#This Row],[ATUAL]])</f>
        <v>0</v>
      </c>
      <c r="L156" s="119" t="n">
        <f aca="false">SUMIFS(tabela_registros[VALOR],tabela_registros[MÊS],$AE$1,tabela_registros[DIA],investiroutrosconsolidadomar[[#Headers],[8]],tabela_registros[REGISTRO],DADOS!$N$5,tabela_registros[TIPO],DADOS!$AB$5,tabela_registros[CATEGORIA],investiroutrosconsolidadomar[[#This Row],[ATUAL]])</f>
        <v>0</v>
      </c>
      <c r="M156" s="119" t="n">
        <f aca="false">SUMIFS(tabela_registros[VALOR],tabela_registros[MÊS],$AE$1,tabela_registros[DIA],investiroutrosconsolidadomar[[#Headers],[9]],tabela_registros[REGISTRO],DADOS!$N$5,tabela_registros[TIPO],DADOS!$AB$5,tabela_registros[CATEGORIA],investiroutrosconsolidadomar[[#This Row],[ATUAL]])</f>
        <v>0</v>
      </c>
      <c r="N156" s="119" t="n">
        <f aca="false">SUMIFS(tabela_registros[VALOR],tabela_registros[MÊS],$AE$1,tabela_registros[DIA],investiroutrosconsolidadomar[[#Headers],[10]],tabela_registros[REGISTRO],DADOS!$N$5,tabela_registros[TIPO],DADOS!$AB$5,tabela_registros[CATEGORIA],investiroutrosconsolidadomar[[#This Row],[ATUAL]])</f>
        <v>0</v>
      </c>
      <c r="O156" s="119" t="n">
        <f aca="false">SUMIFS(tabela_registros[VALOR],tabela_registros[MÊS],$AE$1,tabela_registros[DIA],investiroutrosconsolidadomar[[#Headers],[11]],tabela_registros[REGISTRO],DADOS!$N$5,tabela_registros[TIPO],DADOS!$AB$5,tabela_registros[CATEGORIA],investiroutrosconsolidadomar[[#This Row],[ATUAL]])</f>
        <v>0</v>
      </c>
      <c r="P156" s="119" t="n">
        <f aca="false">SUMIFS(tabela_registros[VALOR],tabela_registros[MÊS],$AE$1,tabela_registros[DIA],investiroutrosconsolidadomar[[#Headers],[12]],tabela_registros[REGISTRO],DADOS!$N$5,tabela_registros[TIPO],DADOS!$AB$5,tabela_registros[CATEGORIA],investiroutrosconsolidadomar[[#This Row],[ATUAL]])</f>
        <v>0</v>
      </c>
      <c r="Q156" s="119" t="n">
        <f aca="false">SUMIFS(tabela_registros[VALOR],tabela_registros[MÊS],$AE$1,tabela_registros[DIA],investiroutrosconsolidadomar[[#Headers],[13]],tabela_registros[REGISTRO],DADOS!$N$5,tabela_registros[TIPO],DADOS!$AB$5,tabela_registros[CATEGORIA],investiroutrosconsolidadomar[[#This Row],[ATUAL]])</f>
        <v>0</v>
      </c>
      <c r="R156" s="119" t="n">
        <f aca="false">SUMIFS(tabela_registros[VALOR],tabela_registros[MÊS],$AE$1,tabela_registros[DIA],investiroutrosconsolidadomar[[#Headers],[14]],tabela_registros[REGISTRO],DADOS!$N$5,tabela_registros[TIPO],DADOS!$AB$5,tabela_registros[CATEGORIA],investiroutrosconsolidadomar[[#This Row],[ATUAL]])</f>
        <v>0</v>
      </c>
      <c r="S156" s="119" t="n">
        <f aca="false">SUMIFS(tabela_registros[VALOR],tabela_registros[MÊS],$AE$1,tabela_registros[DIA],investiroutrosconsolidadomar[[#Headers],[15]],tabela_registros[REGISTRO],DADOS!$N$5,tabela_registros[TIPO],DADOS!$AB$5,tabela_registros[CATEGORIA],investiroutrosconsolidadomar[[#This Row],[ATUAL]])</f>
        <v>0</v>
      </c>
      <c r="T156" s="119" t="n">
        <f aca="false">SUMIFS(tabela_registros[VALOR],tabela_registros[MÊS],$AE$1,tabela_registros[DIA],investiroutrosconsolidadomar[[#Headers],[16]],tabela_registros[REGISTRO],DADOS!$N$5,tabela_registros[TIPO],DADOS!$AB$5,tabela_registros[CATEGORIA],investiroutrosconsolidadomar[[#This Row],[ATUAL]])</f>
        <v>0</v>
      </c>
      <c r="U156" s="119" t="n">
        <f aca="false">SUMIFS(tabela_registros[VALOR],tabela_registros[MÊS],$AE$1,tabela_registros[DIA],investiroutrosconsolidadomar[[#Headers],[17]],tabela_registros[REGISTRO],DADOS!$N$5,tabela_registros[TIPO],DADOS!$AB$5,tabela_registros[CATEGORIA],investiroutrosconsolidadomar[[#This Row],[ATUAL]])</f>
        <v>0</v>
      </c>
      <c r="V156" s="119" t="n">
        <f aca="false">SUMIFS(tabela_registros[VALOR],tabela_registros[MÊS],$AE$1,tabela_registros[DIA],investiroutrosconsolidadomar[[#Headers],[18]],tabela_registros[REGISTRO],DADOS!$N$5,tabela_registros[TIPO],DADOS!$AB$5,tabela_registros[CATEGORIA],investiroutrosconsolidadomar[[#This Row],[ATUAL]])</f>
        <v>0</v>
      </c>
      <c r="W156" s="119" t="n">
        <f aca="false">SUMIFS(tabela_registros[VALOR],tabela_registros[MÊS],$AE$1,tabela_registros[DIA],investiroutrosconsolidadomar[[#Headers],[19]],tabela_registros[REGISTRO],DADOS!$N$5,tabela_registros[TIPO],DADOS!$AB$5,tabela_registros[CATEGORIA],investiroutrosconsolidadomar[[#This Row],[ATUAL]])</f>
        <v>0</v>
      </c>
      <c r="X156" s="119" t="n">
        <f aca="false">SUMIFS(tabela_registros[VALOR],tabela_registros[MÊS],$AE$1,tabela_registros[DIA],investiroutrosconsolidadomar[[#Headers],[20]],tabela_registros[REGISTRO],DADOS!$N$5,tabela_registros[TIPO],DADOS!$AB$5,tabela_registros[CATEGORIA],investiroutrosconsolidadomar[[#This Row],[ATUAL]])</f>
        <v>0</v>
      </c>
      <c r="Y156" s="119" t="n">
        <f aca="false">SUMIFS(tabela_registros[VALOR],tabela_registros[MÊS],$AE$1,tabela_registros[DIA],investiroutrosconsolidadomar[[#Headers],[21]],tabela_registros[REGISTRO],DADOS!$N$5,tabela_registros[TIPO],DADOS!$AB$5,tabela_registros[CATEGORIA],investiroutrosconsolidadomar[[#This Row],[ATUAL]])</f>
        <v>0</v>
      </c>
      <c r="Z156" s="119" t="n">
        <f aca="false">SUMIFS(tabela_registros[VALOR],tabela_registros[MÊS],$AE$1,tabela_registros[DIA],investiroutrosconsolidadomar[[#Headers],[22]],tabela_registros[REGISTRO],DADOS!$N$5,tabela_registros[TIPO],DADOS!$AB$5,tabela_registros[CATEGORIA],investiroutrosconsolidadomar[[#This Row],[ATUAL]])</f>
        <v>0</v>
      </c>
      <c r="AA156" s="119" t="n">
        <f aca="false">SUMIFS(tabela_registros[VALOR],tabela_registros[MÊS],$AE$1,tabela_registros[DIA],investiroutrosconsolidadomar[[#Headers],[23]],tabela_registros[REGISTRO],DADOS!$N$5,tabela_registros[TIPO],DADOS!$AB$5,tabela_registros[CATEGORIA],investiroutrosconsolidadomar[[#This Row],[ATUAL]])</f>
        <v>0</v>
      </c>
      <c r="AB156" s="119" t="n">
        <f aca="false">SUMIFS(tabela_registros[VALOR],tabela_registros[MÊS],$AE$1,tabela_registros[DIA],investiroutrosconsolidadomar[[#Headers],[24]],tabela_registros[REGISTRO],DADOS!$N$5,tabela_registros[TIPO],DADOS!$AB$5,tabela_registros[CATEGORIA],investiroutrosconsolidadomar[[#This Row],[ATUAL]])</f>
        <v>0</v>
      </c>
      <c r="AC156" s="119" t="n">
        <f aca="false">SUMIFS(tabela_registros[VALOR],tabela_registros[MÊS],$AE$1,tabela_registros[DIA],investiroutrosconsolidadomar[[#Headers],[25]],tabela_registros[REGISTRO],DADOS!$N$5,tabela_registros[TIPO],DADOS!$AB$5,tabela_registros[CATEGORIA],investiroutrosconsolidadomar[[#This Row],[ATUAL]])</f>
        <v>0</v>
      </c>
      <c r="AD156" s="119" t="n">
        <f aca="false">SUMIFS(tabela_registros[VALOR],tabela_registros[MÊS],$AE$1,tabela_registros[DIA],investiroutrosconsolidadomar[[#Headers],[26]],tabela_registros[REGISTRO],DADOS!$N$5,tabela_registros[TIPO],DADOS!$AB$5,tabela_registros[CATEGORIA],investiroutrosconsolidadomar[[#This Row],[ATUAL]])</f>
        <v>0</v>
      </c>
      <c r="AE156" s="119" t="n">
        <f aca="false">SUMIFS(tabela_registros[VALOR],tabela_registros[MÊS],$AE$1,tabela_registros[DIA],investiroutrosconsolidadomar[[#Headers],[27]],tabela_registros[REGISTRO],DADOS!$N$5,tabela_registros[TIPO],DADOS!$AB$5,tabela_registros[CATEGORIA],investiroutrosconsolidadomar[[#This Row],[ATUAL]])</f>
        <v>0</v>
      </c>
      <c r="AF156" s="119" t="n">
        <f aca="false">SUMIFS(tabela_registros[VALOR],tabela_registros[MÊS],$AE$1,tabela_registros[DIA],investiroutrosconsolidadomar[[#Headers],[28]],tabela_registros[REGISTRO],DADOS!$N$5,tabela_registros[TIPO],DADOS!$AB$5,tabela_registros[CATEGORIA],investiroutrosconsolidadomar[[#This Row],[ATUAL]])</f>
        <v>0</v>
      </c>
      <c r="AG156" s="119" t="n">
        <f aca="false">SUMIFS(tabela_registros[VALOR],tabela_registros[MÊS],$AE$1,tabela_registros[DIA],investiroutrosconsolidadomar[[#Headers],[29]],tabela_registros[REGISTRO],DADOS!$N$5,tabela_registros[TIPO],DADOS!$AB$5,tabela_registros[CATEGORIA],investiroutrosconsolidadomar[[#This Row],[ATUAL]])</f>
        <v>0</v>
      </c>
      <c r="AH156" s="119" t="n">
        <f aca="false">SUMIFS(tabela_registros[VALOR],tabela_registros[MÊS],$AE$1,tabela_registros[DIA],investiroutrosconsolidadomar[[#Headers],[30]],tabela_registros[REGISTRO],DADOS!$N$5,tabela_registros[TIPO],DADOS!$AB$5,tabela_registros[CATEGORIA],investiroutrosconsolidadomar[[#This Row],[ATUAL]])</f>
        <v>0</v>
      </c>
      <c r="AI156" s="217" t="n">
        <f aca="false">SUMIFS(tabela_registros[VALOR],tabela_registros[MÊS],$AE$1,tabela_registros[DIA],investiroutrosconsolidadomar[[#Headers],[31]],tabela_registros[REGISTRO],DADOS!$N$5,tabela_registros[TIPO],DADOS!$AB$5,tabela_registros[CATEGORIA],investiroutrosconsolidadomar[[#This Row],[ATUAL]])</f>
        <v>0</v>
      </c>
      <c r="AJ156" s="149" t="n">
        <f aca="false">SUM(investiroutrosconsolidadomar[[#This Row],[1]:[31]])</f>
        <v>0</v>
      </c>
      <c r="AK156" s="165"/>
    </row>
    <row r="157" customFormat="false" ht="19.5" hidden="false" customHeight="true" outlineLevel="0" collapsed="false">
      <c r="B157" s="143"/>
      <c r="C157" s="144" t="str">
        <f aca="false">DADOS!$AH$9</f>
        <v>📝 PREVIDÊNCIA PRIVADA</v>
      </c>
      <c r="D157" s="145" t="str">
        <f aca="false">IF(investiroutrosconsolidadomar[[#This Row],[TOTAL (R$)]]=0,"",IF(OR(investiroutrosconsolidadomar[[#This Row],[TOTAL (R$)]]=LARGE($AJ$151:$AJ$158,1),investiroutrosconsolidadomar[[#This Row],[TOTAL (R$)]]=LARGE($AJ$151:$AJ$158,2)),DADOS!$I$10,""))</f>
        <v/>
      </c>
      <c r="E157" s="148" t="n">
        <f aca="false">SUMIFS(tabela_registros[VALOR],tabela_registros[MÊS],$AE$1,tabela_registros[DIA],investiroutrosconsolidadomar[[#Headers],[1]],tabela_registros[REGISTRO],DADOS!$N$5,tabela_registros[TIPO],DADOS!$AB$5,tabela_registros[CATEGORIA],investiroutrosconsolidadomar[[#This Row],[ATUAL]])</f>
        <v>0</v>
      </c>
      <c r="F157" s="119" t="n">
        <f aca="false">SUMIFS(tabela_registros[VALOR],tabela_registros[MÊS],$AE$1,tabela_registros[DIA],investiroutrosconsolidadomar[[#Headers],[2]],tabela_registros[REGISTRO],DADOS!$N$5,tabela_registros[TIPO],DADOS!$AB$5,tabela_registros[CATEGORIA],investiroutrosconsolidadomar[[#This Row],[ATUAL]])</f>
        <v>0</v>
      </c>
      <c r="G157" s="119" t="n">
        <f aca="false">SUMIFS(tabela_registros[VALOR],tabela_registros[MÊS],$AE$1,tabela_registros[DIA],investiroutrosconsolidadomar[[#Headers],[3]],tabela_registros[REGISTRO],DADOS!$N$5,tabela_registros[TIPO],DADOS!$AB$5,tabela_registros[CATEGORIA],investiroutrosconsolidadomar[[#This Row],[ATUAL]])</f>
        <v>0</v>
      </c>
      <c r="H157" s="119" t="n">
        <f aca="false">SUMIFS(tabela_registros[VALOR],tabela_registros[MÊS],$AE$1,tabela_registros[DIA],investiroutrosconsolidadomar[[#Headers],[4]],tabela_registros[REGISTRO],DADOS!$N$5,tabela_registros[TIPO],DADOS!$AB$5,tabela_registros[CATEGORIA],investiroutrosconsolidadomar[[#This Row],[ATUAL]])</f>
        <v>0</v>
      </c>
      <c r="I157" s="119" t="n">
        <f aca="false">SUMIFS(tabela_registros[VALOR],tabela_registros[MÊS],$AE$1,tabela_registros[DIA],investiroutrosconsolidadomar[[#Headers],[5]],tabela_registros[REGISTRO],DADOS!$N$5,tabela_registros[TIPO],DADOS!$AB$5,tabela_registros[CATEGORIA],investiroutrosconsolidadomar[[#This Row],[ATUAL]])</f>
        <v>0</v>
      </c>
      <c r="J157" s="119" t="n">
        <f aca="false">SUMIFS(tabela_registros[VALOR],tabela_registros[MÊS],$AE$1,tabela_registros[DIA],investiroutrosconsolidadomar[[#Headers],[6]],tabela_registros[REGISTRO],DADOS!$N$5,tabela_registros[TIPO],DADOS!$AB$5,tabela_registros[CATEGORIA],investiroutrosconsolidadomar[[#This Row],[ATUAL]])</f>
        <v>0</v>
      </c>
      <c r="K157" s="119" t="n">
        <f aca="false">SUMIFS(tabela_registros[VALOR],tabela_registros[MÊS],$AE$1,tabela_registros[DIA],investiroutrosconsolidadomar[[#Headers],[7]],tabela_registros[REGISTRO],DADOS!$N$5,tabela_registros[TIPO],DADOS!$AB$5,tabela_registros[CATEGORIA],investiroutrosconsolidadomar[[#This Row],[ATUAL]])</f>
        <v>0</v>
      </c>
      <c r="L157" s="119" t="n">
        <f aca="false">SUMIFS(tabela_registros[VALOR],tabela_registros[MÊS],$AE$1,tabela_registros[DIA],investiroutrosconsolidadomar[[#Headers],[8]],tabela_registros[REGISTRO],DADOS!$N$5,tabela_registros[TIPO],DADOS!$AB$5,tabela_registros[CATEGORIA],investiroutrosconsolidadomar[[#This Row],[ATUAL]])</f>
        <v>0</v>
      </c>
      <c r="M157" s="119" t="n">
        <f aca="false">SUMIFS(tabela_registros[VALOR],tabela_registros[MÊS],$AE$1,tabela_registros[DIA],investiroutrosconsolidadomar[[#Headers],[9]],tabela_registros[REGISTRO],DADOS!$N$5,tabela_registros[TIPO],DADOS!$AB$5,tabela_registros[CATEGORIA],investiroutrosconsolidadomar[[#This Row],[ATUAL]])</f>
        <v>0</v>
      </c>
      <c r="N157" s="119" t="n">
        <f aca="false">SUMIFS(tabela_registros[VALOR],tabela_registros[MÊS],$AE$1,tabela_registros[DIA],investiroutrosconsolidadomar[[#Headers],[10]],tabela_registros[REGISTRO],DADOS!$N$5,tabela_registros[TIPO],DADOS!$AB$5,tabela_registros[CATEGORIA],investiroutrosconsolidadomar[[#This Row],[ATUAL]])</f>
        <v>0</v>
      </c>
      <c r="O157" s="119" t="n">
        <f aca="false">SUMIFS(tabela_registros[VALOR],tabela_registros[MÊS],$AE$1,tabela_registros[DIA],investiroutrosconsolidadomar[[#Headers],[11]],tabela_registros[REGISTRO],DADOS!$N$5,tabela_registros[TIPO],DADOS!$AB$5,tabela_registros[CATEGORIA],investiroutrosconsolidadomar[[#This Row],[ATUAL]])</f>
        <v>0</v>
      </c>
      <c r="P157" s="119" t="n">
        <f aca="false">SUMIFS(tabela_registros[VALOR],tabela_registros[MÊS],$AE$1,tabela_registros[DIA],investiroutrosconsolidadomar[[#Headers],[12]],tabela_registros[REGISTRO],DADOS!$N$5,tabela_registros[TIPO],DADOS!$AB$5,tabela_registros[CATEGORIA],investiroutrosconsolidadomar[[#This Row],[ATUAL]])</f>
        <v>0</v>
      </c>
      <c r="Q157" s="119" t="n">
        <f aca="false">SUMIFS(tabela_registros[VALOR],tabela_registros[MÊS],$AE$1,tabela_registros[DIA],investiroutrosconsolidadomar[[#Headers],[13]],tabela_registros[REGISTRO],DADOS!$N$5,tabela_registros[TIPO],DADOS!$AB$5,tabela_registros[CATEGORIA],investiroutrosconsolidadomar[[#This Row],[ATUAL]])</f>
        <v>0</v>
      </c>
      <c r="R157" s="119" t="n">
        <f aca="false">SUMIFS(tabela_registros[VALOR],tabela_registros[MÊS],$AE$1,tabela_registros[DIA],investiroutrosconsolidadomar[[#Headers],[14]],tabela_registros[REGISTRO],DADOS!$N$5,tabela_registros[TIPO],DADOS!$AB$5,tabela_registros[CATEGORIA],investiroutrosconsolidadomar[[#This Row],[ATUAL]])</f>
        <v>0</v>
      </c>
      <c r="S157" s="119" t="n">
        <f aca="false">SUMIFS(tabela_registros[VALOR],tabela_registros[MÊS],$AE$1,tabela_registros[DIA],investiroutrosconsolidadomar[[#Headers],[15]],tabela_registros[REGISTRO],DADOS!$N$5,tabela_registros[TIPO],DADOS!$AB$5,tabela_registros[CATEGORIA],investiroutrosconsolidadomar[[#This Row],[ATUAL]])</f>
        <v>0</v>
      </c>
      <c r="T157" s="119" t="n">
        <f aca="false">SUMIFS(tabela_registros[VALOR],tabela_registros[MÊS],$AE$1,tabela_registros[DIA],investiroutrosconsolidadomar[[#Headers],[16]],tabela_registros[REGISTRO],DADOS!$N$5,tabela_registros[TIPO],DADOS!$AB$5,tabela_registros[CATEGORIA],investiroutrosconsolidadomar[[#This Row],[ATUAL]])</f>
        <v>0</v>
      </c>
      <c r="U157" s="119" t="n">
        <f aca="false">SUMIFS(tabela_registros[VALOR],tabela_registros[MÊS],$AE$1,tabela_registros[DIA],investiroutrosconsolidadomar[[#Headers],[17]],tabela_registros[REGISTRO],DADOS!$N$5,tabela_registros[TIPO],DADOS!$AB$5,tabela_registros[CATEGORIA],investiroutrosconsolidadomar[[#This Row],[ATUAL]])</f>
        <v>0</v>
      </c>
      <c r="V157" s="119" t="n">
        <f aca="false">SUMIFS(tabela_registros[VALOR],tabela_registros[MÊS],$AE$1,tabela_registros[DIA],investiroutrosconsolidadomar[[#Headers],[18]],tabela_registros[REGISTRO],DADOS!$N$5,tabela_registros[TIPO],DADOS!$AB$5,tabela_registros[CATEGORIA],investiroutrosconsolidadomar[[#This Row],[ATUAL]])</f>
        <v>0</v>
      </c>
      <c r="W157" s="119" t="n">
        <f aca="false">SUMIFS(tabela_registros[VALOR],tabela_registros[MÊS],$AE$1,tabela_registros[DIA],investiroutrosconsolidadomar[[#Headers],[19]],tabela_registros[REGISTRO],DADOS!$N$5,tabela_registros[TIPO],DADOS!$AB$5,tabela_registros[CATEGORIA],investiroutrosconsolidadomar[[#This Row],[ATUAL]])</f>
        <v>0</v>
      </c>
      <c r="X157" s="119" t="n">
        <f aca="false">SUMIFS(tabela_registros[VALOR],tabela_registros[MÊS],$AE$1,tabela_registros[DIA],investiroutrosconsolidadomar[[#Headers],[20]],tabela_registros[REGISTRO],DADOS!$N$5,tabela_registros[TIPO],DADOS!$AB$5,tabela_registros[CATEGORIA],investiroutrosconsolidadomar[[#This Row],[ATUAL]])</f>
        <v>0</v>
      </c>
      <c r="Y157" s="119" t="n">
        <f aca="false">SUMIFS(tabela_registros[VALOR],tabela_registros[MÊS],$AE$1,tabela_registros[DIA],investiroutrosconsolidadomar[[#Headers],[21]],tabela_registros[REGISTRO],DADOS!$N$5,tabela_registros[TIPO],DADOS!$AB$5,tabela_registros[CATEGORIA],investiroutrosconsolidadomar[[#This Row],[ATUAL]])</f>
        <v>0</v>
      </c>
      <c r="Z157" s="119" t="n">
        <f aca="false">SUMIFS(tabela_registros[VALOR],tabela_registros[MÊS],$AE$1,tabela_registros[DIA],investiroutrosconsolidadomar[[#Headers],[22]],tabela_registros[REGISTRO],DADOS!$N$5,tabela_registros[TIPO],DADOS!$AB$5,tabela_registros[CATEGORIA],investiroutrosconsolidadomar[[#This Row],[ATUAL]])</f>
        <v>0</v>
      </c>
      <c r="AA157" s="119" t="n">
        <f aca="false">SUMIFS(tabela_registros[VALOR],tabela_registros[MÊS],$AE$1,tabela_registros[DIA],investiroutrosconsolidadomar[[#Headers],[23]],tabela_registros[REGISTRO],DADOS!$N$5,tabela_registros[TIPO],DADOS!$AB$5,tabela_registros[CATEGORIA],investiroutrosconsolidadomar[[#This Row],[ATUAL]])</f>
        <v>0</v>
      </c>
      <c r="AB157" s="119" t="n">
        <f aca="false">SUMIFS(tabela_registros[VALOR],tabela_registros[MÊS],$AE$1,tabela_registros[DIA],investiroutrosconsolidadomar[[#Headers],[24]],tabela_registros[REGISTRO],DADOS!$N$5,tabela_registros[TIPO],DADOS!$AB$5,tabela_registros[CATEGORIA],investiroutrosconsolidadomar[[#This Row],[ATUAL]])</f>
        <v>0</v>
      </c>
      <c r="AC157" s="119" t="n">
        <f aca="false">SUMIFS(tabela_registros[VALOR],tabela_registros[MÊS],$AE$1,tabela_registros[DIA],investiroutrosconsolidadomar[[#Headers],[25]],tabela_registros[REGISTRO],DADOS!$N$5,tabela_registros[TIPO],DADOS!$AB$5,tabela_registros[CATEGORIA],investiroutrosconsolidadomar[[#This Row],[ATUAL]])</f>
        <v>0</v>
      </c>
      <c r="AD157" s="119" t="n">
        <f aca="false">SUMIFS(tabela_registros[VALOR],tabela_registros[MÊS],$AE$1,tabela_registros[DIA],investiroutrosconsolidadomar[[#Headers],[26]],tabela_registros[REGISTRO],DADOS!$N$5,tabela_registros[TIPO],DADOS!$AB$5,tabela_registros[CATEGORIA],investiroutrosconsolidadomar[[#This Row],[ATUAL]])</f>
        <v>0</v>
      </c>
      <c r="AE157" s="119" t="n">
        <f aca="false">SUMIFS(tabela_registros[VALOR],tabela_registros[MÊS],$AE$1,tabela_registros[DIA],investiroutrosconsolidadomar[[#Headers],[27]],tabela_registros[REGISTRO],DADOS!$N$5,tabela_registros[TIPO],DADOS!$AB$5,tabela_registros[CATEGORIA],investiroutrosconsolidadomar[[#This Row],[ATUAL]])</f>
        <v>0</v>
      </c>
      <c r="AF157" s="119" t="n">
        <f aca="false">SUMIFS(tabela_registros[VALOR],tabela_registros[MÊS],$AE$1,tabela_registros[DIA],investiroutrosconsolidadomar[[#Headers],[28]],tabela_registros[REGISTRO],DADOS!$N$5,tabela_registros[TIPO],DADOS!$AB$5,tabela_registros[CATEGORIA],investiroutrosconsolidadomar[[#This Row],[ATUAL]])</f>
        <v>0</v>
      </c>
      <c r="AG157" s="119" t="n">
        <f aca="false">SUMIFS(tabela_registros[VALOR],tabela_registros[MÊS],$AE$1,tabela_registros[DIA],investiroutrosconsolidadomar[[#Headers],[29]],tabela_registros[REGISTRO],DADOS!$N$5,tabela_registros[TIPO],DADOS!$AB$5,tabela_registros[CATEGORIA],investiroutrosconsolidadomar[[#This Row],[ATUAL]])</f>
        <v>0</v>
      </c>
      <c r="AH157" s="119" t="n">
        <f aca="false">SUMIFS(tabela_registros[VALOR],tabela_registros[MÊS],$AE$1,tabela_registros[DIA],investiroutrosconsolidadomar[[#Headers],[30]],tabela_registros[REGISTRO],DADOS!$N$5,tabela_registros[TIPO],DADOS!$AB$5,tabela_registros[CATEGORIA],investiroutrosconsolidadomar[[#This Row],[ATUAL]])</f>
        <v>0</v>
      </c>
      <c r="AI157" s="217" t="n">
        <f aca="false">SUMIFS(tabela_registros[VALOR],tabela_registros[MÊS],$AE$1,tabela_registros[DIA],investiroutrosconsolidadomar[[#Headers],[31]],tabela_registros[REGISTRO],DADOS!$N$5,tabela_registros[TIPO],DADOS!$AB$5,tabela_registros[CATEGORIA],investiroutrosconsolidadomar[[#This Row],[ATUAL]])</f>
        <v>0</v>
      </c>
      <c r="AJ157" s="149" t="n">
        <f aca="false">SUM(investiroutrosconsolidadomar[[#This Row],[1]:[31]])</f>
        <v>0</v>
      </c>
      <c r="AK157" s="165"/>
    </row>
    <row r="158" customFormat="false" ht="19.5" hidden="false" customHeight="true" outlineLevel="0" collapsed="false">
      <c r="B158" s="143"/>
      <c r="C158" s="144" t="str">
        <f aca="false">DADOS!$AH$10</f>
        <v>📎 OUTROS</v>
      </c>
      <c r="D158" s="145" t="str">
        <f aca="false">IF(investiroutrosconsolidadomar[[#This Row],[TOTAL (R$)]]=0,"",IF(OR(investiroutrosconsolidadomar[[#This Row],[TOTAL (R$)]]=LARGE($AJ$151:$AJ$158,1),investiroutrosconsolidadomar[[#This Row],[TOTAL (R$)]]=LARGE($AJ$151:$AJ$158,2)),DADOS!$I$10,""))</f>
        <v/>
      </c>
      <c r="E158" s="148" t="n">
        <f aca="false">SUMIFS(tabela_registros[VALOR],tabela_registros[MÊS],$AE$1,tabela_registros[DIA],investiroutrosconsolidadomar[[#Headers],[1]],tabela_registros[REGISTRO],DADOS!$N$5,tabela_registros[TIPO],DADOS!$AB$5,tabela_registros[CATEGORIA],investiroutrosconsolidadomar[[#This Row],[ATUAL]])</f>
        <v>0</v>
      </c>
      <c r="F158" s="119" t="n">
        <f aca="false">SUMIFS(tabela_registros[VALOR],tabela_registros[MÊS],$AE$1,tabela_registros[DIA],investiroutrosconsolidadomar[[#Headers],[2]],tabela_registros[REGISTRO],DADOS!$N$5,tabela_registros[TIPO],DADOS!$AB$5,tabela_registros[CATEGORIA],investiroutrosconsolidadomar[[#This Row],[ATUAL]])</f>
        <v>0</v>
      </c>
      <c r="G158" s="119" t="n">
        <f aca="false">SUMIFS(tabela_registros[VALOR],tabela_registros[MÊS],$AE$1,tabela_registros[DIA],investiroutrosconsolidadomar[[#Headers],[3]],tabela_registros[REGISTRO],DADOS!$N$5,tabela_registros[TIPO],DADOS!$AB$5,tabela_registros[CATEGORIA],investiroutrosconsolidadomar[[#This Row],[ATUAL]])</f>
        <v>0</v>
      </c>
      <c r="H158" s="119" t="n">
        <f aca="false">SUMIFS(tabela_registros[VALOR],tabela_registros[MÊS],$AE$1,tabela_registros[DIA],investiroutrosconsolidadomar[[#Headers],[4]],tabela_registros[REGISTRO],DADOS!$N$5,tabela_registros[TIPO],DADOS!$AB$5,tabela_registros[CATEGORIA],investiroutrosconsolidadomar[[#This Row],[ATUAL]])</f>
        <v>0</v>
      </c>
      <c r="I158" s="119" t="n">
        <f aca="false">SUMIFS(tabela_registros[VALOR],tabela_registros[MÊS],$AE$1,tabela_registros[DIA],investiroutrosconsolidadomar[[#Headers],[5]],tabela_registros[REGISTRO],DADOS!$N$5,tabela_registros[TIPO],DADOS!$AB$5,tabela_registros[CATEGORIA],investiroutrosconsolidadomar[[#This Row],[ATUAL]])</f>
        <v>0</v>
      </c>
      <c r="J158" s="119" t="n">
        <f aca="false">SUMIFS(tabela_registros[VALOR],tabela_registros[MÊS],$AE$1,tabela_registros[DIA],investiroutrosconsolidadomar[[#Headers],[6]],tabela_registros[REGISTRO],DADOS!$N$5,tabela_registros[TIPO],DADOS!$AB$5,tabela_registros[CATEGORIA],investiroutrosconsolidadomar[[#This Row],[ATUAL]])</f>
        <v>0</v>
      </c>
      <c r="K158" s="119" t="n">
        <f aca="false">SUMIFS(tabela_registros[VALOR],tabela_registros[MÊS],$AE$1,tabela_registros[DIA],investiroutrosconsolidadomar[[#Headers],[7]],tabela_registros[REGISTRO],DADOS!$N$5,tabela_registros[TIPO],DADOS!$AB$5,tabela_registros[CATEGORIA],investiroutrosconsolidadomar[[#This Row],[ATUAL]])</f>
        <v>0</v>
      </c>
      <c r="L158" s="119" t="n">
        <f aca="false">SUMIFS(tabela_registros[VALOR],tabela_registros[MÊS],$AE$1,tabela_registros[DIA],investiroutrosconsolidadomar[[#Headers],[8]],tabela_registros[REGISTRO],DADOS!$N$5,tabela_registros[TIPO],DADOS!$AB$5,tabela_registros[CATEGORIA],investiroutrosconsolidadomar[[#This Row],[ATUAL]])</f>
        <v>0</v>
      </c>
      <c r="M158" s="119" t="n">
        <f aca="false">SUMIFS(tabela_registros[VALOR],tabela_registros[MÊS],$AE$1,tabela_registros[DIA],investiroutrosconsolidadomar[[#Headers],[9]],tabela_registros[REGISTRO],DADOS!$N$5,tabela_registros[TIPO],DADOS!$AB$5,tabela_registros[CATEGORIA],investiroutrosconsolidadomar[[#This Row],[ATUAL]])</f>
        <v>0</v>
      </c>
      <c r="N158" s="119" t="n">
        <f aca="false">SUMIFS(tabela_registros[VALOR],tabela_registros[MÊS],$AE$1,tabela_registros[DIA],investiroutrosconsolidadomar[[#Headers],[10]],tabela_registros[REGISTRO],DADOS!$N$5,tabela_registros[TIPO],DADOS!$AB$5,tabela_registros[CATEGORIA],investiroutrosconsolidadomar[[#This Row],[ATUAL]])</f>
        <v>0</v>
      </c>
      <c r="O158" s="119" t="n">
        <f aca="false">SUMIFS(tabela_registros[VALOR],tabela_registros[MÊS],$AE$1,tabela_registros[DIA],investiroutrosconsolidadomar[[#Headers],[11]],tabela_registros[REGISTRO],DADOS!$N$5,tabela_registros[TIPO],DADOS!$AB$5,tabela_registros[CATEGORIA],investiroutrosconsolidadomar[[#This Row],[ATUAL]])</f>
        <v>0</v>
      </c>
      <c r="P158" s="119" t="n">
        <f aca="false">SUMIFS(tabela_registros[VALOR],tabela_registros[MÊS],$AE$1,tabela_registros[DIA],investiroutrosconsolidadomar[[#Headers],[12]],tabela_registros[REGISTRO],DADOS!$N$5,tabela_registros[TIPO],DADOS!$AB$5,tabela_registros[CATEGORIA],investiroutrosconsolidadomar[[#This Row],[ATUAL]])</f>
        <v>0</v>
      </c>
      <c r="Q158" s="119" t="n">
        <f aca="false">SUMIFS(tabela_registros[VALOR],tabela_registros[MÊS],$AE$1,tabela_registros[DIA],investiroutrosconsolidadomar[[#Headers],[13]],tabela_registros[REGISTRO],DADOS!$N$5,tabela_registros[TIPO],DADOS!$AB$5,tabela_registros[CATEGORIA],investiroutrosconsolidadomar[[#This Row],[ATUAL]])</f>
        <v>0</v>
      </c>
      <c r="R158" s="119" t="n">
        <f aca="false">SUMIFS(tabela_registros[VALOR],tabela_registros[MÊS],$AE$1,tabela_registros[DIA],investiroutrosconsolidadomar[[#Headers],[14]],tabela_registros[REGISTRO],DADOS!$N$5,tabela_registros[TIPO],DADOS!$AB$5,tabela_registros[CATEGORIA],investiroutrosconsolidadomar[[#This Row],[ATUAL]])</f>
        <v>0</v>
      </c>
      <c r="S158" s="119" t="n">
        <f aca="false">SUMIFS(tabela_registros[VALOR],tabela_registros[MÊS],$AE$1,tabela_registros[DIA],investiroutrosconsolidadomar[[#Headers],[15]],tabela_registros[REGISTRO],DADOS!$N$5,tabela_registros[TIPO],DADOS!$AB$5,tabela_registros[CATEGORIA],investiroutrosconsolidadomar[[#This Row],[ATUAL]])</f>
        <v>0</v>
      </c>
      <c r="T158" s="119" t="n">
        <f aca="false">SUMIFS(tabela_registros[VALOR],tabela_registros[MÊS],$AE$1,tabela_registros[DIA],investiroutrosconsolidadomar[[#Headers],[16]],tabela_registros[REGISTRO],DADOS!$N$5,tabela_registros[TIPO],DADOS!$AB$5,tabela_registros[CATEGORIA],investiroutrosconsolidadomar[[#This Row],[ATUAL]])</f>
        <v>0</v>
      </c>
      <c r="U158" s="119" t="n">
        <f aca="false">SUMIFS(tabela_registros[VALOR],tabela_registros[MÊS],$AE$1,tabela_registros[DIA],investiroutrosconsolidadomar[[#Headers],[17]],tabela_registros[REGISTRO],DADOS!$N$5,tabela_registros[TIPO],DADOS!$AB$5,tabela_registros[CATEGORIA],investiroutrosconsolidadomar[[#This Row],[ATUAL]])</f>
        <v>0</v>
      </c>
      <c r="V158" s="119" t="n">
        <f aca="false">SUMIFS(tabela_registros[VALOR],tabela_registros[MÊS],$AE$1,tabela_registros[DIA],investiroutrosconsolidadomar[[#Headers],[18]],tabela_registros[REGISTRO],DADOS!$N$5,tabela_registros[TIPO],DADOS!$AB$5,tabela_registros[CATEGORIA],investiroutrosconsolidadomar[[#This Row],[ATUAL]])</f>
        <v>0</v>
      </c>
      <c r="W158" s="119" t="n">
        <f aca="false">SUMIFS(tabela_registros[VALOR],tabela_registros[MÊS],$AE$1,tabela_registros[DIA],investiroutrosconsolidadomar[[#Headers],[19]],tabela_registros[REGISTRO],DADOS!$N$5,tabela_registros[TIPO],DADOS!$AB$5,tabela_registros[CATEGORIA],investiroutrosconsolidadomar[[#This Row],[ATUAL]])</f>
        <v>0</v>
      </c>
      <c r="X158" s="119" t="n">
        <f aca="false">SUMIFS(tabela_registros[VALOR],tabela_registros[MÊS],$AE$1,tabela_registros[DIA],investiroutrosconsolidadomar[[#Headers],[20]],tabela_registros[REGISTRO],DADOS!$N$5,tabela_registros[TIPO],DADOS!$AB$5,tabela_registros[CATEGORIA],investiroutrosconsolidadomar[[#This Row],[ATUAL]])</f>
        <v>0</v>
      </c>
      <c r="Y158" s="119" t="n">
        <f aca="false">SUMIFS(tabela_registros[VALOR],tabela_registros[MÊS],$AE$1,tabela_registros[DIA],investiroutrosconsolidadomar[[#Headers],[21]],tabela_registros[REGISTRO],DADOS!$N$5,tabela_registros[TIPO],DADOS!$AB$5,tabela_registros[CATEGORIA],investiroutrosconsolidadomar[[#This Row],[ATUAL]])</f>
        <v>0</v>
      </c>
      <c r="Z158" s="119" t="n">
        <f aca="false">SUMIFS(tabela_registros[VALOR],tabela_registros[MÊS],$AE$1,tabela_registros[DIA],investiroutrosconsolidadomar[[#Headers],[22]],tabela_registros[REGISTRO],DADOS!$N$5,tabela_registros[TIPO],DADOS!$AB$5,tabela_registros[CATEGORIA],investiroutrosconsolidadomar[[#This Row],[ATUAL]])</f>
        <v>0</v>
      </c>
      <c r="AA158" s="119" t="n">
        <f aca="false">SUMIFS(tabela_registros[VALOR],tabela_registros[MÊS],$AE$1,tabela_registros[DIA],investiroutrosconsolidadomar[[#Headers],[23]],tabela_registros[REGISTRO],DADOS!$N$5,tabela_registros[TIPO],DADOS!$AB$5,tabela_registros[CATEGORIA],investiroutrosconsolidadomar[[#This Row],[ATUAL]])</f>
        <v>0</v>
      </c>
      <c r="AB158" s="119" t="n">
        <f aca="false">SUMIFS(tabela_registros[VALOR],tabela_registros[MÊS],$AE$1,tabela_registros[DIA],investiroutrosconsolidadomar[[#Headers],[24]],tabela_registros[REGISTRO],DADOS!$N$5,tabela_registros[TIPO],DADOS!$AB$5,tabela_registros[CATEGORIA],investiroutrosconsolidadomar[[#This Row],[ATUAL]])</f>
        <v>0</v>
      </c>
      <c r="AC158" s="119" t="n">
        <f aca="false">SUMIFS(tabela_registros[VALOR],tabela_registros[MÊS],$AE$1,tabela_registros[DIA],investiroutrosconsolidadomar[[#Headers],[25]],tabela_registros[REGISTRO],DADOS!$N$5,tabela_registros[TIPO],DADOS!$AB$5,tabela_registros[CATEGORIA],investiroutrosconsolidadomar[[#This Row],[ATUAL]])</f>
        <v>0</v>
      </c>
      <c r="AD158" s="119" t="n">
        <f aca="false">SUMIFS(tabela_registros[VALOR],tabela_registros[MÊS],$AE$1,tabela_registros[DIA],investiroutrosconsolidadomar[[#Headers],[26]],tabela_registros[REGISTRO],DADOS!$N$5,tabela_registros[TIPO],DADOS!$AB$5,tabela_registros[CATEGORIA],investiroutrosconsolidadomar[[#This Row],[ATUAL]])</f>
        <v>0</v>
      </c>
      <c r="AE158" s="119" t="n">
        <f aca="false">SUMIFS(tabela_registros[VALOR],tabela_registros[MÊS],$AE$1,tabela_registros[DIA],investiroutrosconsolidadomar[[#Headers],[27]],tabela_registros[REGISTRO],DADOS!$N$5,tabela_registros[TIPO],DADOS!$AB$5,tabela_registros[CATEGORIA],investiroutrosconsolidadomar[[#This Row],[ATUAL]])</f>
        <v>0</v>
      </c>
      <c r="AF158" s="119" t="n">
        <f aca="false">SUMIFS(tabela_registros[VALOR],tabela_registros[MÊS],$AE$1,tabela_registros[DIA],investiroutrosconsolidadomar[[#Headers],[28]],tabela_registros[REGISTRO],DADOS!$N$5,tabela_registros[TIPO],DADOS!$AB$5,tabela_registros[CATEGORIA],investiroutrosconsolidadomar[[#This Row],[ATUAL]])</f>
        <v>0</v>
      </c>
      <c r="AG158" s="119" t="n">
        <f aca="false">SUMIFS(tabela_registros[VALOR],tabela_registros[MÊS],$AE$1,tabela_registros[DIA],investiroutrosconsolidadomar[[#Headers],[29]],tabela_registros[REGISTRO],DADOS!$N$5,tabela_registros[TIPO],DADOS!$AB$5,tabela_registros[CATEGORIA],investiroutrosconsolidadomar[[#This Row],[ATUAL]])</f>
        <v>0</v>
      </c>
      <c r="AH158" s="119" t="n">
        <f aca="false">SUMIFS(tabela_registros[VALOR],tabela_registros[MÊS],$AE$1,tabela_registros[DIA],investiroutrosconsolidadomar[[#Headers],[30]],tabela_registros[REGISTRO],DADOS!$N$5,tabela_registros[TIPO],DADOS!$AB$5,tabela_registros[CATEGORIA],investiroutrosconsolidadomar[[#This Row],[ATUAL]])</f>
        <v>0</v>
      </c>
      <c r="AI158" s="218" t="n">
        <f aca="false">SUMIFS(tabela_registros[VALOR],tabela_registros[MÊS],$AE$1,tabela_registros[DIA],investiroutrosconsolidadomar[[#Headers],[31]],tabela_registros[REGISTRO],DADOS!$N$5,tabela_registros[TIPO],DADOS!$AB$5,tabela_registros[CATEGORIA],investiroutrosconsolidadomar[[#This Row],[ATUAL]])</f>
        <v>0</v>
      </c>
      <c r="AJ158" s="149" t="n">
        <f aca="false">SUM(investiroutrosconsolidadomar[[#This Row],[1]:[31]])</f>
        <v>0</v>
      </c>
      <c r="AK158" s="165"/>
    </row>
    <row r="159" s="122" customFormat="true" ht="21" hidden="false" customHeight="true" outlineLevel="0" collapsed="false">
      <c r="B159" s="152"/>
      <c r="C159" s="153" t="s">
        <v>2</v>
      </c>
      <c r="D159" s="166"/>
      <c r="E159" s="155" t="n">
        <f aca="false">SUM(E151:E158)</f>
        <v>0</v>
      </c>
      <c r="F159" s="156" t="n">
        <f aca="false">SUM(F151:F158)+investiroutrosconsolidadomar[[#This Row],[1]]</f>
        <v>0</v>
      </c>
      <c r="G159" s="156" t="n">
        <f aca="false">SUM(G151:G158)+investiroutrosconsolidadomar[[#This Row],[2]]</f>
        <v>0</v>
      </c>
      <c r="H159" s="156" t="n">
        <f aca="false">SUM(H151:H158)+investiroutrosconsolidadomar[[#This Row],[3]]</f>
        <v>0</v>
      </c>
      <c r="I159" s="156" t="n">
        <f aca="false">SUM(I151:I158)+investiroutrosconsolidadomar[[#This Row],[4]]</f>
        <v>0</v>
      </c>
      <c r="J159" s="156" t="n">
        <f aca="false">SUM(J151:J158)+investiroutrosconsolidadomar[[#This Row],[5]]</f>
        <v>0</v>
      </c>
      <c r="K159" s="156" t="n">
        <f aca="false">SUM(K151:K158)+investiroutrosconsolidadomar[[#This Row],[6]]</f>
        <v>0</v>
      </c>
      <c r="L159" s="156" t="n">
        <f aca="false">SUM(L151:L158)+investiroutrosconsolidadomar[[#This Row],[7]]</f>
        <v>0</v>
      </c>
      <c r="M159" s="156" t="n">
        <f aca="false">SUM(M151:M158)+investiroutrosconsolidadomar[[#This Row],[8]]</f>
        <v>0</v>
      </c>
      <c r="N159" s="156" t="n">
        <f aca="false">SUM(N151:N158)+investiroutrosconsolidadomar[[#This Row],[9]]</f>
        <v>0</v>
      </c>
      <c r="O159" s="156" t="n">
        <f aca="false">SUM(O151:O158)+investiroutrosconsolidadomar[[#This Row],[10]]</f>
        <v>0</v>
      </c>
      <c r="P159" s="156" t="n">
        <f aca="false">SUM(P151:P158)+investiroutrosconsolidadomar[[#This Row],[11]]</f>
        <v>0</v>
      </c>
      <c r="Q159" s="156" t="n">
        <f aca="false">SUM(Q151:Q158)+investiroutrosconsolidadomar[[#This Row],[12]]</f>
        <v>0</v>
      </c>
      <c r="R159" s="156" t="n">
        <f aca="false">SUM(R151:R158)+investiroutrosconsolidadomar[[#This Row],[13]]</f>
        <v>0</v>
      </c>
      <c r="S159" s="156" t="n">
        <f aca="false">SUM(S151:S158)+investiroutrosconsolidadomar[[#This Row],[14]]</f>
        <v>0</v>
      </c>
      <c r="T159" s="156" t="n">
        <f aca="false">SUM(T151:T158)+investiroutrosconsolidadomar[[#This Row],[15]]</f>
        <v>0</v>
      </c>
      <c r="U159" s="156" t="n">
        <f aca="false">SUM(U151:U158)+investiroutrosconsolidadomar[[#This Row],[16]]</f>
        <v>0</v>
      </c>
      <c r="V159" s="156" t="n">
        <f aca="false">SUM(V151:V158)+investiroutrosconsolidadomar[[#This Row],[17]]</f>
        <v>0</v>
      </c>
      <c r="W159" s="156" t="n">
        <f aca="false">SUM(W151:W158)+investiroutrosconsolidadomar[[#This Row],[18]]</f>
        <v>0</v>
      </c>
      <c r="X159" s="156" t="n">
        <f aca="false">SUM(X151:X158)+investiroutrosconsolidadomar[[#This Row],[19]]</f>
        <v>0</v>
      </c>
      <c r="Y159" s="156" t="n">
        <f aca="false">SUM(Y151:Y158)+investiroutrosconsolidadomar[[#This Row],[20]]</f>
        <v>0</v>
      </c>
      <c r="Z159" s="156" t="n">
        <f aca="false">SUM(Z151:Z158)+investiroutrosconsolidadomar[[#This Row],[21]]</f>
        <v>0</v>
      </c>
      <c r="AA159" s="156" t="n">
        <f aca="false">SUM(AA151:AA158)+investiroutrosconsolidadomar[[#This Row],[22]]</f>
        <v>0</v>
      </c>
      <c r="AB159" s="156" t="n">
        <f aca="false">SUM(AB151:AB158)+investiroutrosconsolidadomar[[#This Row],[23]]</f>
        <v>0</v>
      </c>
      <c r="AC159" s="156" t="n">
        <f aca="false">SUM(AC151:AC158)+investiroutrosconsolidadomar[[#This Row],[24]]</f>
        <v>0</v>
      </c>
      <c r="AD159" s="156" t="n">
        <f aca="false">SUM(AD151:AD158)+investiroutrosconsolidadomar[[#This Row],[25]]</f>
        <v>0</v>
      </c>
      <c r="AE159" s="156" t="n">
        <f aca="false">SUM(AE151:AE158)+investiroutrosconsolidadomar[[#This Row],[26]]</f>
        <v>0</v>
      </c>
      <c r="AF159" s="156" t="n">
        <f aca="false">SUM(AF151:AF158)+investiroutrosconsolidadomar[[#This Row],[27]]</f>
        <v>0</v>
      </c>
      <c r="AG159" s="156" t="n">
        <f aca="false">SUM(AG151:AG158)+investiroutrosconsolidadomar[[#This Row],[28]]</f>
        <v>0</v>
      </c>
      <c r="AH159" s="156" t="n">
        <f aca="false">SUM(AH151:AH158)+investiroutrosconsolidadomar[[#This Row],[29]]</f>
        <v>0</v>
      </c>
      <c r="AI159" s="223" t="n">
        <f aca="false">SUM(AI151:AI158)+investiroutrosconsolidadomar[[#This Row],[30]]</f>
        <v>0</v>
      </c>
      <c r="AJ159" s="157" t="n">
        <f aca="false">investiroutrosconsolidadomar[[#This Row],[31]]</f>
        <v>0</v>
      </c>
      <c r="AK159" s="158"/>
    </row>
    <row r="160" customFormat="false" ht="6.75" hidden="false" customHeight="true" outlineLevel="0" collapsed="false">
      <c r="B160" s="97"/>
      <c r="C160" s="162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233"/>
      <c r="AJ160" s="164"/>
      <c r="AK160" s="244"/>
    </row>
    <row r="161" s="78" customFormat="true" ht="12.75" hidden="false" customHeight="false" outlineLevel="0" collapsed="false">
      <c r="E161" s="100"/>
    </row>
    <row r="162" s="78" customFormat="true" ht="12" hidden="false" customHeight="false" outlineLevel="0" collapsed="false"/>
    <row r="163" s="78" customFormat="true" ht="12" hidden="false" customHeight="false" outlineLevel="0" collapsed="false"/>
    <row r="164" customFormat="false" ht="39.75" hidden="false" customHeight="true" outlineLevel="0" collapsed="false">
      <c r="C164" s="101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3" t="s">
        <v>2</v>
      </c>
    </row>
    <row r="165" s="78" customFormat="true" ht="12.75" hidden="false" customHeight="false" outlineLevel="0" collapsed="false">
      <c r="B165" s="161"/>
      <c r="AJ165" s="106" t="s">
        <v>64</v>
      </c>
    </row>
    <row r="166" customFormat="false" ht="6.75" hidden="false" customHeight="true" outlineLevel="0" collapsed="false">
      <c r="B166" s="86"/>
      <c r="C166" s="162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233"/>
      <c r="AK166" s="139"/>
    </row>
    <row r="167" customFormat="false" ht="13.5" hidden="true" customHeight="false" outlineLevel="0" collapsed="false">
      <c r="B167" s="86"/>
      <c r="C167" s="109" t="s">
        <v>68</v>
      </c>
      <c r="D167" s="110" t="s">
        <v>69</v>
      </c>
      <c r="E167" s="110" t="s">
        <v>30</v>
      </c>
      <c r="F167" s="110" t="s">
        <v>31</v>
      </c>
      <c r="G167" s="110" t="s">
        <v>32</v>
      </c>
      <c r="H167" s="110" t="s">
        <v>33</v>
      </c>
      <c r="I167" s="110" t="s">
        <v>34</v>
      </c>
      <c r="J167" s="110" t="s">
        <v>35</v>
      </c>
      <c r="K167" s="110" t="s">
        <v>36</v>
      </c>
      <c r="L167" s="110" t="s">
        <v>37</v>
      </c>
      <c r="M167" s="110" t="s">
        <v>38</v>
      </c>
      <c r="N167" s="110" t="s">
        <v>39</v>
      </c>
      <c r="O167" s="110" t="s">
        <v>40</v>
      </c>
      <c r="P167" s="110" t="s">
        <v>41</v>
      </c>
      <c r="Q167" s="110" t="s">
        <v>81</v>
      </c>
      <c r="R167" s="110" t="s">
        <v>82</v>
      </c>
      <c r="S167" s="110" t="s">
        <v>83</v>
      </c>
      <c r="T167" s="110" t="s">
        <v>84</v>
      </c>
      <c r="U167" s="110" t="s">
        <v>85</v>
      </c>
      <c r="V167" s="110" t="s">
        <v>86</v>
      </c>
      <c r="W167" s="110" t="s">
        <v>87</v>
      </c>
      <c r="X167" s="110" t="s">
        <v>88</v>
      </c>
      <c r="Y167" s="110" t="s">
        <v>89</v>
      </c>
      <c r="Z167" s="110" t="s">
        <v>90</v>
      </c>
      <c r="AA167" s="110" t="s">
        <v>91</v>
      </c>
      <c r="AB167" s="110" t="s">
        <v>92</v>
      </c>
      <c r="AC167" s="110" t="s">
        <v>93</v>
      </c>
      <c r="AD167" s="110" t="s">
        <v>94</v>
      </c>
      <c r="AE167" s="110" t="s">
        <v>95</v>
      </c>
      <c r="AF167" s="110" t="s">
        <v>96</v>
      </c>
      <c r="AG167" s="110" t="s">
        <v>97</v>
      </c>
      <c r="AH167" s="110" t="s">
        <v>98</v>
      </c>
      <c r="AI167" s="110" t="s">
        <v>99</v>
      </c>
      <c r="AJ167" s="111" t="s">
        <v>70</v>
      </c>
      <c r="AK167" s="86"/>
    </row>
    <row r="168" customFormat="false" ht="19.5" hidden="false" customHeight="true" outlineLevel="0" collapsed="false">
      <c r="B168" s="143"/>
      <c r="C168" s="144" t="str">
        <f aca="false">DADOS!$AL$3</f>
        <v>📝 CDB</v>
      </c>
      <c r="D168" s="145" t="str">
        <f aca="false">IF(reservafixaconsolidadomar[[#This Row],[TOTAL (R$)]]=0,"",IF(OR(reservafixaconsolidadomar[[#This Row],[TOTAL (R$)]]=LARGE($AJ$168:$AJ$177,1),reservafixaconsolidadomar[[#This Row],[TOTAL (R$)]]=LARGE($AJ$168:$AJ$177,2)),DADOS!$I$11,""))</f>
        <v/>
      </c>
      <c r="E168" s="148" t="n">
        <f aca="false">SUMIFS(tabela_registros[VALOR],tabela_registros[MÊS],$AE$1,tabela_registros[DIA],reservafixaconsolidadomar[[#Headers],[1]],tabela_registros[REGISTRO],DADOS!$N$6,tabela_registros[TIPO],DADOS!$AJ$3,tabela_registros[CATEGORIA],reservafixaconsolidadomar[[#This Row],[ATUAL]])</f>
        <v>0</v>
      </c>
      <c r="F168" s="119" t="n">
        <f aca="false">SUMIFS(tabela_registros[VALOR],tabela_registros[MÊS],$AE$1,tabela_registros[DIA],reservafixaconsolidadomar[[#Headers],[2]],tabela_registros[REGISTRO],DADOS!$N$6,tabela_registros[TIPO],DADOS!$AJ$3,tabela_registros[CATEGORIA],reservafixaconsolidadomar[[#This Row],[ATUAL]])</f>
        <v>0</v>
      </c>
      <c r="G168" s="119" t="n">
        <f aca="false">SUMIFS(tabela_registros[VALOR],tabela_registros[MÊS],$AE$1,tabela_registros[DIA],reservafixaconsolidadomar[[#Headers],[3]],tabela_registros[REGISTRO],DADOS!$N$6,tabela_registros[TIPO],DADOS!$AJ$3,tabela_registros[CATEGORIA],reservafixaconsolidadomar[[#This Row],[ATUAL]])</f>
        <v>0</v>
      </c>
      <c r="H168" s="119" t="n">
        <f aca="false">SUMIFS(tabela_registros[VALOR],tabela_registros[MÊS],$AE$1,tabela_registros[DIA],reservafixaconsolidadomar[[#Headers],[4]],tabela_registros[REGISTRO],DADOS!$N$6,tabela_registros[TIPO],DADOS!$AJ$3,tabela_registros[CATEGORIA],reservafixaconsolidadomar[[#This Row],[ATUAL]])</f>
        <v>0</v>
      </c>
      <c r="I168" s="119" t="n">
        <f aca="false">SUMIFS(tabela_registros[VALOR],tabela_registros[MÊS],$AE$1,tabela_registros[DIA],reservafixaconsolidadomar[[#Headers],[5]],tabela_registros[REGISTRO],DADOS!$N$6,tabela_registros[TIPO],DADOS!$AJ$3,tabela_registros[CATEGORIA],reservafixaconsolidadomar[[#This Row],[ATUAL]])</f>
        <v>0</v>
      </c>
      <c r="J168" s="119" t="n">
        <f aca="false">SUMIFS(tabela_registros[VALOR],tabela_registros[MÊS],$AE$1,tabela_registros[DIA],reservafixaconsolidadomar[[#Headers],[6]],tabela_registros[REGISTRO],DADOS!$N$6,tabela_registros[TIPO],DADOS!$AJ$3,tabela_registros[CATEGORIA],reservafixaconsolidadomar[[#This Row],[ATUAL]])</f>
        <v>0</v>
      </c>
      <c r="K168" s="119" t="n">
        <f aca="false">SUMIFS(tabela_registros[VALOR],tabela_registros[MÊS],$AE$1,tabela_registros[DIA],reservafixaconsolidadomar[[#Headers],[7]],tabela_registros[REGISTRO],DADOS!$N$6,tabela_registros[TIPO],DADOS!$AJ$3,tabela_registros[CATEGORIA],reservafixaconsolidadomar[[#This Row],[ATUAL]])</f>
        <v>0</v>
      </c>
      <c r="L168" s="119" t="n">
        <f aca="false">SUMIFS(tabela_registros[VALOR],tabela_registros[MÊS],$AE$1,tabela_registros[DIA],reservafixaconsolidadomar[[#Headers],[8]],tabela_registros[REGISTRO],DADOS!$N$6,tabela_registros[TIPO],DADOS!$AJ$3,tabela_registros[CATEGORIA],reservafixaconsolidadomar[[#This Row],[ATUAL]])</f>
        <v>0</v>
      </c>
      <c r="M168" s="119" t="n">
        <f aca="false">SUMIFS(tabela_registros[VALOR],tabela_registros[MÊS],$AE$1,tabela_registros[DIA],reservafixaconsolidadomar[[#Headers],[9]],tabela_registros[REGISTRO],DADOS!$N$6,tabela_registros[TIPO],DADOS!$AJ$3,tabela_registros[CATEGORIA],reservafixaconsolidadomar[[#This Row],[ATUAL]])</f>
        <v>0</v>
      </c>
      <c r="N168" s="119" t="n">
        <f aca="false">SUMIFS(tabela_registros[VALOR],tabela_registros[MÊS],$AE$1,tabela_registros[DIA],reservafixaconsolidadomar[[#Headers],[10]],tabela_registros[REGISTRO],DADOS!$N$6,tabela_registros[TIPO],DADOS!$AJ$3,tabela_registros[CATEGORIA],reservafixaconsolidadomar[[#This Row],[ATUAL]])</f>
        <v>0</v>
      </c>
      <c r="O168" s="119" t="n">
        <f aca="false">SUMIFS(tabela_registros[VALOR],tabela_registros[MÊS],$AE$1,tabela_registros[DIA],reservafixaconsolidadomar[[#Headers],[11]],tabela_registros[REGISTRO],DADOS!$N$6,tabela_registros[TIPO],DADOS!$AJ$3,tabela_registros[CATEGORIA],reservafixaconsolidadomar[[#This Row],[ATUAL]])</f>
        <v>0</v>
      </c>
      <c r="P168" s="119" t="n">
        <f aca="false">SUMIFS(tabela_registros[VALOR],tabela_registros[MÊS],$AE$1,tabela_registros[DIA],reservafixaconsolidadomar[[#Headers],[12]],tabela_registros[REGISTRO],DADOS!$N$6,tabela_registros[TIPO],DADOS!$AJ$3,tabela_registros[CATEGORIA],reservafixaconsolidadomar[[#This Row],[ATUAL]])</f>
        <v>0</v>
      </c>
      <c r="Q168" s="119" t="n">
        <f aca="false">SUMIFS(tabela_registros[VALOR],tabela_registros[MÊS],$AE$1,tabela_registros[DIA],reservafixaconsolidadomar[[#Headers],[13]],tabela_registros[REGISTRO],DADOS!$N$6,tabela_registros[TIPO],DADOS!$AJ$3,tabela_registros[CATEGORIA],reservafixaconsolidadomar[[#This Row],[ATUAL]])</f>
        <v>0</v>
      </c>
      <c r="R168" s="119" t="n">
        <f aca="false">SUMIFS(tabela_registros[VALOR],tabela_registros[MÊS],$AE$1,tabela_registros[DIA],reservafixaconsolidadomar[[#Headers],[14]],tabela_registros[REGISTRO],DADOS!$N$6,tabela_registros[TIPO],DADOS!$AJ$3,tabela_registros[CATEGORIA],reservafixaconsolidadomar[[#This Row],[ATUAL]])</f>
        <v>0</v>
      </c>
      <c r="S168" s="119" t="n">
        <f aca="false">SUMIFS(tabela_registros[VALOR],tabela_registros[MÊS],$AE$1,tabela_registros[DIA],reservafixaconsolidadomar[[#Headers],[15]],tabela_registros[REGISTRO],DADOS!$N$6,tabela_registros[TIPO],DADOS!$AJ$3,tabela_registros[CATEGORIA],reservafixaconsolidadomar[[#This Row],[ATUAL]])</f>
        <v>0</v>
      </c>
      <c r="T168" s="119" t="n">
        <f aca="false">SUMIFS(tabela_registros[VALOR],tabela_registros[MÊS],$AE$1,tabela_registros[DIA],reservafixaconsolidadomar[[#Headers],[16]],tabela_registros[REGISTRO],DADOS!$N$6,tabela_registros[TIPO],DADOS!$AJ$3,tabela_registros[CATEGORIA],reservafixaconsolidadomar[[#This Row],[ATUAL]])</f>
        <v>0</v>
      </c>
      <c r="U168" s="119" t="n">
        <f aca="false">SUMIFS(tabela_registros[VALOR],tabela_registros[MÊS],$AE$1,tabela_registros[DIA],reservafixaconsolidadomar[[#Headers],[17]],tabela_registros[REGISTRO],DADOS!$N$6,tabela_registros[TIPO],DADOS!$AJ$3,tabela_registros[CATEGORIA],reservafixaconsolidadomar[[#This Row],[ATUAL]])</f>
        <v>0</v>
      </c>
      <c r="V168" s="119" t="n">
        <f aca="false">SUMIFS(tabela_registros[VALOR],tabela_registros[MÊS],$AE$1,tabela_registros[DIA],reservafixaconsolidadomar[[#Headers],[18]],tabela_registros[REGISTRO],DADOS!$N$6,tabela_registros[TIPO],DADOS!$AJ$3,tabela_registros[CATEGORIA],reservafixaconsolidadomar[[#This Row],[ATUAL]])</f>
        <v>0</v>
      </c>
      <c r="W168" s="119" t="n">
        <f aca="false">SUMIFS(tabela_registros[VALOR],tabela_registros[MÊS],$AE$1,tabela_registros[DIA],reservafixaconsolidadomar[[#Headers],[19]],tabela_registros[REGISTRO],DADOS!$N$6,tabela_registros[TIPO],DADOS!$AJ$3,tabela_registros[CATEGORIA],reservafixaconsolidadomar[[#This Row],[ATUAL]])</f>
        <v>0</v>
      </c>
      <c r="X168" s="119" t="n">
        <f aca="false">SUMIFS(tabela_registros[VALOR],tabela_registros[MÊS],$AE$1,tabela_registros[DIA],reservafixaconsolidadomar[[#Headers],[20]],tabela_registros[REGISTRO],DADOS!$N$6,tabela_registros[TIPO],DADOS!$AJ$3,tabela_registros[CATEGORIA],reservafixaconsolidadomar[[#This Row],[ATUAL]])</f>
        <v>0</v>
      </c>
      <c r="Y168" s="119" t="n">
        <f aca="false">SUMIFS(tabela_registros[VALOR],tabela_registros[MÊS],$AE$1,tabela_registros[DIA],reservafixaconsolidadomar[[#Headers],[21]],tabela_registros[REGISTRO],DADOS!$N$6,tabela_registros[TIPO],DADOS!$AJ$3,tabela_registros[CATEGORIA],reservafixaconsolidadomar[[#This Row],[ATUAL]])</f>
        <v>0</v>
      </c>
      <c r="Z168" s="119" t="n">
        <f aca="false">SUMIFS(tabela_registros[VALOR],tabela_registros[MÊS],$AE$1,tabela_registros[DIA],reservafixaconsolidadomar[[#Headers],[22]],tabela_registros[REGISTRO],DADOS!$N$6,tabela_registros[TIPO],DADOS!$AJ$3,tabela_registros[CATEGORIA],reservafixaconsolidadomar[[#This Row],[ATUAL]])</f>
        <v>0</v>
      </c>
      <c r="AA168" s="119" t="n">
        <f aca="false">SUMIFS(tabela_registros[VALOR],tabela_registros[MÊS],$AE$1,tabela_registros[DIA],reservafixaconsolidadomar[[#Headers],[23]],tabela_registros[REGISTRO],DADOS!$N$6,tabela_registros[TIPO],DADOS!$AJ$3,tabela_registros[CATEGORIA],reservafixaconsolidadomar[[#This Row],[ATUAL]])</f>
        <v>0</v>
      </c>
      <c r="AB168" s="119" t="n">
        <f aca="false">SUMIFS(tabela_registros[VALOR],tabela_registros[MÊS],$AE$1,tabela_registros[DIA],reservafixaconsolidadomar[[#Headers],[24]],tabela_registros[REGISTRO],DADOS!$N$6,tabela_registros[TIPO],DADOS!$AJ$3,tabela_registros[CATEGORIA],reservafixaconsolidadomar[[#This Row],[ATUAL]])</f>
        <v>0</v>
      </c>
      <c r="AC168" s="119" t="n">
        <f aca="false">SUMIFS(tabela_registros[VALOR],tabela_registros[MÊS],$AE$1,tabela_registros[DIA],reservafixaconsolidadomar[[#Headers],[25]],tabela_registros[REGISTRO],DADOS!$N$6,tabela_registros[TIPO],DADOS!$AJ$3,tabela_registros[CATEGORIA],reservafixaconsolidadomar[[#This Row],[ATUAL]])</f>
        <v>0</v>
      </c>
      <c r="AD168" s="119" t="n">
        <f aca="false">SUMIFS(tabela_registros[VALOR],tabela_registros[MÊS],$AE$1,tabela_registros[DIA],reservafixaconsolidadomar[[#Headers],[26]],tabela_registros[REGISTRO],DADOS!$N$6,tabela_registros[TIPO],DADOS!$AJ$3,tabela_registros[CATEGORIA],reservafixaconsolidadomar[[#This Row],[ATUAL]])</f>
        <v>0</v>
      </c>
      <c r="AE168" s="119" t="n">
        <f aca="false">SUMIFS(tabela_registros[VALOR],tabela_registros[MÊS],$AE$1,tabela_registros[DIA],reservafixaconsolidadomar[[#Headers],[27]],tabela_registros[REGISTRO],DADOS!$N$6,tabela_registros[TIPO],DADOS!$AJ$3,tabela_registros[CATEGORIA],reservafixaconsolidadomar[[#This Row],[ATUAL]])</f>
        <v>0</v>
      </c>
      <c r="AF168" s="119" t="n">
        <f aca="false">SUMIFS(tabela_registros[VALOR],tabela_registros[MÊS],$AE$1,tabela_registros[DIA],reservafixaconsolidadomar[[#Headers],[28]],tabela_registros[REGISTRO],DADOS!$N$6,tabela_registros[TIPO],DADOS!$AJ$3,tabela_registros[CATEGORIA],reservafixaconsolidadomar[[#This Row],[ATUAL]])</f>
        <v>0</v>
      </c>
      <c r="AG168" s="119" t="n">
        <f aca="false">SUMIFS(tabela_registros[VALOR],tabela_registros[MÊS],$AE$1,tabela_registros[DIA],reservafixaconsolidadomar[[#Headers],[29]],tabela_registros[REGISTRO],DADOS!$N$6,tabela_registros[TIPO],DADOS!$AJ$3,tabela_registros[CATEGORIA],reservafixaconsolidadomar[[#This Row],[ATUAL]])</f>
        <v>0</v>
      </c>
      <c r="AH168" s="119" t="n">
        <f aca="false">SUMIFS(tabela_registros[VALOR],tabela_registros[MÊS],$AE$1,tabela_registros[DIA],reservafixaconsolidadomar[[#Headers],[30]],tabela_registros[REGISTRO],DADOS!$N$6,tabela_registros[TIPO],DADOS!$AJ$3,tabela_registros[CATEGORIA],reservafixaconsolidadomar[[#This Row],[ATUAL]])</f>
        <v>0</v>
      </c>
      <c r="AI168" s="217" t="n">
        <f aca="false">SUMIFS(tabela_registros[VALOR],tabela_registros[MÊS],$AE$1,tabela_registros[DIA],reservafixaconsolidadomar[[#Headers],[31]],tabela_registros[REGISTRO],DADOS!$N$6,tabela_registros[TIPO],DADOS!$AJ$3,tabela_registros[CATEGORIA],reservafixaconsolidadomar[[#This Row],[ATUAL]])</f>
        <v>0</v>
      </c>
      <c r="AJ168" s="149" t="n">
        <f aca="false">SUM(reservafixaconsolidadomar[[#This Row],[1]:[31]])</f>
        <v>0</v>
      </c>
      <c r="AK168" s="165"/>
    </row>
    <row r="169" customFormat="false" ht="19.5" hidden="false" customHeight="true" outlineLevel="0" collapsed="false">
      <c r="B169" s="143"/>
      <c r="C169" s="144" t="str">
        <f aca="false">DADOS!$AL$4</f>
        <v>📝 CRA</v>
      </c>
      <c r="D169" s="145" t="str">
        <f aca="false">IF(reservafixaconsolidadomar[[#This Row],[TOTAL (R$)]]=0,"",IF(OR(reservafixaconsolidadomar[[#This Row],[TOTAL (R$)]]=LARGE($AJ$168:$AJ$177,1),reservafixaconsolidadomar[[#This Row],[TOTAL (R$)]]=LARGE($AJ$168:$AJ$177,2)),DADOS!$I$11,""))</f>
        <v/>
      </c>
      <c r="E169" s="148" t="n">
        <f aca="false">SUMIFS(tabela_registros[VALOR],tabela_registros[MÊS],$AE$1,tabela_registros[DIA],reservafixaconsolidadomar[[#Headers],[1]],tabela_registros[REGISTRO],DADOS!$N$6,tabela_registros[TIPO],DADOS!$AJ$3,tabela_registros[CATEGORIA],reservafixaconsolidadomar[[#This Row],[ATUAL]])</f>
        <v>0</v>
      </c>
      <c r="F169" s="119" t="n">
        <f aca="false">SUMIFS(tabela_registros[VALOR],tabela_registros[MÊS],$AE$1,tabela_registros[DIA],reservafixaconsolidadomar[[#Headers],[2]],tabela_registros[REGISTRO],DADOS!$N$6,tabela_registros[TIPO],DADOS!$AJ$3,tabela_registros[CATEGORIA],reservafixaconsolidadomar[[#This Row],[ATUAL]])</f>
        <v>0</v>
      </c>
      <c r="G169" s="119" t="n">
        <f aca="false">SUMIFS(tabela_registros[VALOR],tabela_registros[MÊS],$AE$1,tabela_registros[DIA],reservafixaconsolidadomar[[#Headers],[3]],tabela_registros[REGISTRO],DADOS!$N$6,tabela_registros[TIPO],DADOS!$AJ$3,tabela_registros[CATEGORIA],reservafixaconsolidadomar[[#This Row],[ATUAL]])</f>
        <v>0</v>
      </c>
      <c r="H169" s="119" t="n">
        <f aca="false">SUMIFS(tabela_registros[VALOR],tabela_registros[MÊS],$AE$1,tabela_registros[DIA],reservafixaconsolidadomar[[#Headers],[4]],tabela_registros[REGISTRO],DADOS!$N$6,tabela_registros[TIPO],DADOS!$AJ$3,tabela_registros[CATEGORIA],reservafixaconsolidadomar[[#This Row],[ATUAL]])</f>
        <v>0</v>
      </c>
      <c r="I169" s="119" t="n">
        <f aca="false">SUMIFS(tabela_registros[VALOR],tabela_registros[MÊS],$AE$1,tabela_registros[DIA],reservafixaconsolidadomar[[#Headers],[5]],tabela_registros[REGISTRO],DADOS!$N$6,tabela_registros[TIPO],DADOS!$AJ$3,tabela_registros[CATEGORIA],reservafixaconsolidadomar[[#This Row],[ATUAL]])</f>
        <v>0</v>
      </c>
      <c r="J169" s="119" t="n">
        <f aca="false">SUMIFS(tabela_registros[VALOR],tabela_registros[MÊS],$AE$1,tabela_registros[DIA],reservafixaconsolidadomar[[#Headers],[6]],tabela_registros[REGISTRO],DADOS!$N$6,tabela_registros[TIPO],DADOS!$AJ$3,tabela_registros[CATEGORIA],reservafixaconsolidadomar[[#This Row],[ATUAL]])</f>
        <v>0</v>
      </c>
      <c r="K169" s="119" t="n">
        <f aca="false">SUMIFS(tabela_registros[VALOR],tabela_registros[MÊS],$AE$1,tabela_registros[DIA],reservafixaconsolidadomar[[#Headers],[7]],tabela_registros[REGISTRO],DADOS!$N$6,tabela_registros[TIPO],DADOS!$AJ$3,tabela_registros[CATEGORIA],reservafixaconsolidadomar[[#This Row],[ATUAL]])</f>
        <v>0</v>
      </c>
      <c r="L169" s="119" t="n">
        <f aca="false">SUMIFS(tabela_registros[VALOR],tabela_registros[MÊS],$AE$1,tabela_registros[DIA],reservafixaconsolidadomar[[#Headers],[8]],tabela_registros[REGISTRO],DADOS!$N$6,tabela_registros[TIPO],DADOS!$AJ$3,tabela_registros[CATEGORIA],reservafixaconsolidadomar[[#This Row],[ATUAL]])</f>
        <v>0</v>
      </c>
      <c r="M169" s="119" t="n">
        <f aca="false">SUMIFS(tabela_registros[VALOR],tabela_registros[MÊS],$AE$1,tabela_registros[DIA],reservafixaconsolidadomar[[#Headers],[9]],tabela_registros[REGISTRO],DADOS!$N$6,tabela_registros[TIPO],DADOS!$AJ$3,tabela_registros[CATEGORIA],reservafixaconsolidadomar[[#This Row],[ATUAL]])</f>
        <v>0</v>
      </c>
      <c r="N169" s="119" t="n">
        <f aca="false">SUMIFS(tabela_registros[VALOR],tabela_registros[MÊS],$AE$1,tabela_registros[DIA],reservafixaconsolidadomar[[#Headers],[10]],tabela_registros[REGISTRO],DADOS!$N$6,tabela_registros[TIPO],DADOS!$AJ$3,tabela_registros[CATEGORIA],reservafixaconsolidadomar[[#This Row],[ATUAL]])</f>
        <v>0</v>
      </c>
      <c r="O169" s="119" t="n">
        <f aca="false">SUMIFS(tabela_registros[VALOR],tabela_registros[MÊS],$AE$1,tabela_registros[DIA],reservafixaconsolidadomar[[#Headers],[11]],tabela_registros[REGISTRO],DADOS!$N$6,tabela_registros[TIPO],DADOS!$AJ$3,tabela_registros[CATEGORIA],reservafixaconsolidadomar[[#This Row],[ATUAL]])</f>
        <v>0</v>
      </c>
      <c r="P169" s="119" t="n">
        <f aca="false">SUMIFS(tabela_registros[VALOR],tabela_registros[MÊS],$AE$1,tabela_registros[DIA],reservafixaconsolidadomar[[#Headers],[12]],tabela_registros[REGISTRO],DADOS!$N$6,tabela_registros[TIPO],DADOS!$AJ$3,tabela_registros[CATEGORIA],reservafixaconsolidadomar[[#This Row],[ATUAL]])</f>
        <v>0</v>
      </c>
      <c r="Q169" s="119" t="n">
        <f aca="false">SUMIFS(tabela_registros[VALOR],tabela_registros[MÊS],$AE$1,tabela_registros[DIA],reservafixaconsolidadomar[[#Headers],[13]],tabela_registros[REGISTRO],DADOS!$N$6,tabela_registros[TIPO],DADOS!$AJ$3,tabela_registros[CATEGORIA],reservafixaconsolidadomar[[#This Row],[ATUAL]])</f>
        <v>0</v>
      </c>
      <c r="R169" s="119" t="n">
        <f aca="false">SUMIFS(tabela_registros[VALOR],tabela_registros[MÊS],$AE$1,tabela_registros[DIA],reservafixaconsolidadomar[[#Headers],[14]],tabela_registros[REGISTRO],DADOS!$N$6,tabela_registros[TIPO],DADOS!$AJ$3,tabela_registros[CATEGORIA],reservafixaconsolidadomar[[#This Row],[ATUAL]])</f>
        <v>0</v>
      </c>
      <c r="S169" s="119" t="n">
        <f aca="false">SUMIFS(tabela_registros[VALOR],tabela_registros[MÊS],$AE$1,tabela_registros[DIA],reservafixaconsolidadomar[[#Headers],[15]],tabela_registros[REGISTRO],DADOS!$N$6,tabela_registros[TIPO],DADOS!$AJ$3,tabela_registros[CATEGORIA],reservafixaconsolidadomar[[#This Row],[ATUAL]])</f>
        <v>0</v>
      </c>
      <c r="T169" s="119" t="n">
        <f aca="false">SUMIFS(tabela_registros[VALOR],tabela_registros[MÊS],$AE$1,tabela_registros[DIA],reservafixaconsolidadomar[[#Headers],[16]],tabela_registros[REGISTRO],DADOS!$N$6,tabela_registros[TIPO],DADOS!$AJ$3,tabela_registros[CATEGORIA],reservafixaconsolidadomar[[#This Row],[ATUAL]])</f>
        <v>0</v>
      </c>
      <c r="U169" s="119" t="n">
        <f aca="false">SUMIFS(tabela_registros[VALOR],tabela_registros[MÊS],$AE$1,tabela_registros[DIA],reservafixaconsolidadomar[[#Headers],[17]],tabela_registros[REGISTRO],DADOS!$N$6,tabela_registros[TIPO],DADOS!$AJ$3,tabela_registros[CATEGORIA],reservafixaconsolidadomar[[#This Row],[ATUAL]])</f>
        <v>0</v>
      </c>
      <c r="V169" s="119" t="n">
        <f aca="false">SUMIFS(tabela_registros[VALOR],tabela_registros[MÊS],$AE$1,tabela_registros[DIA],reservafixaconsolidadomar[[#Headers],[18]],tabela_registros[REGISTRO],DADOS!$N$6,tabela_registros[TIPO],DADOS!$AJ$3,tabela_registros[CATEGORIA],reservafixaconsolidadomar[[#This Row],[ATUAL]])</f>
        <v>0</v>
      </c>
      <c r="W169" s="119" t="n">
        <f aca="false">SUMIFS(tabela_registros[VALOR],tabela_registros[MÊS],$AE$1,tabela_registros[DIA],reservafixaconsolidadomar[[#Headers],[19]],tabela_registros[REGISTRO],DADOS!$N$6,tabela_registros[TIPO],DADOS!$AJ$3,tabela_registros[CATEGORIA],reservafixaconsolidadomar[[#This Row],[ATUAL]])</f>
        <v>0</v>
      </c>
      <c r="X169" s="119" t="n">
        <f aca="false">SUMIFS(tabela_registros[VALOR],tabela_registros[MÊS],$AE$1,tabela_registros[DIA],reservafixaconsolidadomar[[#Headers],[20]],tabela_registros[REGISTRO],DADOS!$N$6,tabela_registros[TIPO],DADOS!$AJ$3,tabela_registros[CATEGORIA],reservafixaconsolidadomar[[#This Row],[ATUAL]])</f>
        <v>0</v>
      </c>
      <c r="Y169" s="119" t="n">
        <f aca="false">SUMIFS(tabela_registros[VALOR],tabela_registros[MÊS],$AE$1,tabela_registros[DIA],reservafixaconsolidadomar[[#Headers],[21]],tabela_registros[REGISTRO],DADOS!$N$6,tabela_registros[TIPO],DADOS!$AJ$3,tabela_registros[CATEGORIA],reservafixaconsolidadomar[[#This Row],[ATUAL]])</f>
        <v>0</v>
      </c>
      <c r="Z169" s="119" t="n">
        <f aca="false">SUMIFS(tabela_registros[VALOR],tabela_registros[MÊS],$AE$1,tabela_registros[DIA],reservafixaconsolidadomar[[#Headers],[22]],tabela_registros[REGISTRO],DADOS!$N$6,tabela_registros[TIPO],DADOS!$AJ$3,tabela_registros[CATEGORIA],reservafixaconsolidadomar[[#This Row],[ATUAL]])</f>
        <v>0</v>
      </c>
      <c r="AA169" s="119" t="n">
        <f aca="false">SUMIFS(tabela_registros[VALOR],tabela_registros[MÊS],$AE$1,tabela_registros[DIA],reservafixaconsolidadomar[[#Headers],[23]],tabela_registros[REGISTRO],DADOS!$N$6,tabela_registros[TIPO],DADOS!$AJ$3,tabela_registros[CATEGORIA],reservafixaconsolidadomar[[#This Row],[ATUAL]])</f>
        <v>0</v>
      </c>
      <c r="AB169" s="119" t="n">
        <f aca="false">SUMIFS(tabela_registros[VALOR],tabela_registros[MÊS],$AE$1,tabela_registros[DIA],reservafixaconsolidadomar[[#Headers],[24]],tabela_registros[REGISTRO],DADOS!$N$6,tabela_registros[TIPO],DADOS!$AJ$3,tabela_registros[CATEGORIA],reservafixaconsolidadomar[[#This Row],[ATUAL]])</f>
        <v>0</v>
      </c>
      <c r="AC169" s="119" t="n">
        <f aca="false">SUMIFS(tabela_registros[VALOR],tabela_registros[MÊS],$AE$1,tabela_registros[DIA],reservafixaconsolidadomar[[#Headers],[25]],tabela_registros[REGISTRO],DADOS!$N$6,tabela_registros[TIPO],DADOS!$AJ$3,tabela_registros[CATEGORIA],reservafixaconsolidadomar[[#This Row],[ATUAL]])</f>
        <v>0</v>
      </c>
      <c r="AD169" s="119" t="n">
        <f aca="false">SUMIFS(tabela_registros[VALOR],tabela_registros[MÊS],$AE$1,tabela_registros[DIA],reservafixaconsolidadomar[[#Headers],[26]],tabela_registros[REGISTRO],DADOS!$N$6,tabela_registros[TIPO],DADOS!$AJ$3,tabela_registros[CATEGORIA],reservafixaconsolidadomar[[#This Row],[ATUAL]])</f>
        <v>0</v>
      </c>
      <c r="AE169" s="119" t="n">
        <f aca="false">SUMIFS(tabela_registros[VALOR],tabela_registros[MÊS],$AE$1,tabela_registros[DIA],reservafixaconsolidadomar[[#Headers],[27]],tabela_registros[REGISTRO],DADOS!$N$6,tabela_registros[TIPO],DADOS!$AJ$3,tabela_registros[CATEGORIA],reservafixaconsolidadomar[[#This Row],[ATUAL]])</f>
        <v>0</v>
      </c>
      <c r="AF169" s="119" t="n">
        <f aca="false">SUMIFS(tabela_registros[VALOR],tabela_registros[MÊS],$AE$1,tabela_registros[DIA],reservafixaconsolidadomar[[#Headers],[28]],tabela_registros[REGISTRO],DADOS!$N$6,tabela_registros[TIPO],DADOS!$AJ$3,tabela_registros[CATEGORIA],reservafixaconsolidadomar[[#This Row],[ATUAL]])</f>
        <v>0</v>
      </c>
      <c r="AG169" s="119" t="n">
        <f aca="false">SUMIFS(tabela_registros[VALOR],tabela_registros[MÊS],$AE$1,tabela_registros[DIA],reservafixaconsolidadomar[[#Headers],[29]],tabela_registros[REGISTRO],DADOS!$N$6,tabela_registros[TIPO],DADOS!$AJ$3,tabela_registros[CATEGORIA],reservafixaconsolidadomar[[#This Row],[ATUAL]])</f>
        <v>0</v>
      </c>
      <c r="AH169" s="119" t="n">
        <f aca="false">SUMIFS(tabela_registros[VALOR],tabela_registros[MÊS],$AE$1,tabela_registros[DIA],reservafixaconsolidadomar[[#Headers],[30]],tabela_registros[REGISTRO],DADOS!$N$6,tabela_registros[TIPO],DADOS!$AJ$3,tabela_registros[CATEGORIA],reservafixaconsolidadomar[[#This Row],[ATUAL]])</f>
        <v>0</v>
      </c>
      <c r="AI169" s="217" t="n">
        <f aca="false">SUMIFS(tabela_registros[VALOR],tabela_registros[MÊS],$AE$1,tabela_registros[DIA],reservafixaconsolidadomar[[#Headers],[31]],tabela_registros[REGISTRO],DADOS!$N$6,tabela_registros[TIPO],DADOS!$AJ$3,tabela_registros[CATEGORIA],reservafixaconsolidadomar[[#This Row],[ATUAL]])</f>
        <v>0</v>
      </c>
      <c r="AJ169" s="149" t="n">
        <f aca="false">SUM(reservafixaconsolidadomar[[#This Row],[1]:[31]])</f>
        <v>0</v>
      </c>
      <c r="AK169" s="165"/>
    </row>
    <row r="170" customFormat="false" ht="19.5" hidden="false" customHeight="true" outlineLevel="0" collapsed="false">
      <c r="B170" s="143"/>
      <c r="C170" s="144" t="str">
        <f aca="false">DADOS!$AL$5</f>
        <v>📝 CRI</v>
      </c>
      <c r="D170" s="145" t="str">
        <f aca="false">IF(reservafixaconsolidadomar[[#This Row],[TOTAL (R$)]]=0,"",IF(OR(reservafixaconsolidadomar[[#This Row],[TOTAL (R$)]]=LARGE($AJ$168:$AJ$177,1),reservafixaconsolidadomar[[#This Row],[TOTAL (R$)]]=LARGE($AJ$168:$AJ$177,2)),DADOS!$I$11,""))</f>
        <v/>
      </c>
      <c r="E170" s="148" t="n">
        <f aca="false">SUMIFS(tabela_registros[VALOR],tabela_registros[MÊS],$AE$1,tabela_registros[DIA],reservafixaconsolidadomar[[#Headers],[1]],tabela_registros[REGISTRO],DADOS!$N$6,tabela_registros[TIPO],DADOS!$AJ$3,tabela_registros[CATEGORIA],reservafixaconsolidadomar[[#This Row],[ATUAL]])</f>
        <v>0</v>
      </c>
      <c r="F170" s="119" t="n">
        <f aca="false">SUMIFS(tabela_registros[VALOR],tabela_registros[MÊS],$AE$1,tabela_registros[DIA],reservafixaconsolidadomar[[#Headers],[2]],tabela_registros[REGISTRO],DADOS!$N$6,tabela_registros[TIPO],DADOS!$AJ$3,tabela_registros[CATEGORIA],reservafixaconsolidadomar[[#This Row],[ATUAL]])</f>
        <v>0</v>
      </c>
      <c r="G170" s="119" t="n">
        <f aca="false">SUMIFS(tabela_registros[VALOR],tabela_registros[MÊS],$AE$1,tabela_registros[DIA],reservafixaconsolidadomar[[#Headers],[3]],tabela_registros[REGISTRO],DADOS!$N$6,tabela_registros[TIPO],DADOS!$AJ$3,tabela_registros[CATEGORIA],reservafixaconsolidadomar[[#This Row],[ATUAL]])</f>
        <v>0</v>
      </c>
      <c r="H170" s="119" t="n">
        <f aca="false">SUMIFS(tabela_registros[VALOR],tabela_registros[MÊS],$AE$1,tabela_registros[DIA],reservafixaconsolidadomar[[#Headers],[4]],tabela_registros[REGISTRO],DADOS!$N$6,tabela_registros[TIPO],DADOS!$AJ$3,tabela_registros[CATEGORIA],reservafixaconsolidadomar[[#This Row],[ATUAL]])</f>
        <v>0</v>
      </c>
      <c r="I170" s="119" t="n">
        <f aca="false">SUMIFS(tabela_registros[VALOR],tabela_registros[MÊS],$AE$1,tabela_registros[DIA],reservafixaconsolidadomar[[#Headers],[5]],tabela_registros[REGISTRO],DADOS!$N$6,tabela_registros[TIPO],DADOS!$AJ$3,tabela_registros[CATEGORIA],reservafixaconsolidadomar[[#This Row],[ATUAL]])</f>
        <v>0</v>
      </c>
      <c r="J170" s="119" t="n">
        <f aca="false">SUMIFS(tabela_registros[VALOR],tabela_registros[MÊS],$AE$1,tabela_registros[DIA],reservafixaconsolidadomar[[#Headers],[6]],tabela_registros[REGISTRO],DADOS!$N$6,tabela_registros[TIPO],DADOS!$AJ$3,tabela_registros[CATEGORIA],reservafixaconsolidadomar[[#This Row],[ATUAL]])</f>
        <v>0</v>
      </c>
      <c r="K170" s="119" t="n">
        <f aca="false">SUMIFS(tabela_registros[VALOR],tabela_registros[MÊS],$AE$1,tabela_registros[DIA],reservafixaconsolidadomar[[#Headers],[7]],tabela_registros[REGISTRO],DADOS!$N$6,tabela_registros[TIPO],DADOS!$AJ$3,tabela_registros[CATEGORIA],reservafixaconsolidadomar[[#This Row],[ATUAL]])</f>
        <v>0</v>
      </c>
      <c r="L170" s="119" t="n">
        <f aca="false">SUMIFS(tabela_registros[VALOR],tabela_registros[MÊS],$AE$1,tabela_registros[DIA],reservafixaconsolidadomar[[#Headers],[8]],tabela_registros[REGISTRO],DADOS!$N$6,tabela_registros[TIPO],DADOS!$AJ$3,tabela_registros[CATEGORIA],reservafixaconsolidadomar[[#This Row],[ATUAL]])</f>
        <v>0</v>
      </c>
      <c r="M170" s="119" t="n">
        <f aca="false">SUMIFS(tabela_registros[VALOR],tabela_registros[MÊS],$AE$1,tabela_registros[DIA],reservafixaconsolidadomar[[#Headers],[9]],tabela_registros[REGISTRO],DADOS!$N$6,tabela_registros[TIPO],DADOS!$AJ$3,tabela_registros[CATEGORIA],reservafixaconsolidadomar[[#This Row],[ATUAL]])</f>
        <v>0</v>
      </c>
      <c r="N170" s="119" t="n">
        <f aca="false">SUMIFS(tabela_registros[VALOR],tabela_registros[MÊS],$AE$1,tabela_registros[DIA],reservafixaconsolidadomar[[#Headers],[10]],tabela_registros[REGISTRO],DADOS!$N$6,tabela_registros[TIPO],DADOS!$AJ$3,tabela_registros[CATEGORIA],reservafixaconsolidadomar[[#This Row],[ATUAL]])</f>
        <v>0</v>
      </c>
      <c r="O170" s="119" t="n">
        <f aca="false">SUMIFS(tabela_registros[VALOR],tabela_registros[MÊS],$AE$1,tabela_registros[DIA],reservafixaconsolidadomar[[#Headers],[11]],tabela_registros[REGISTRO],DADOS!$N$6,tabela_registros[TIPO],DADOS!$AJ$3,tabela_registros[CATEGORIA],reservafixaconsolidadomar[[#This Row],[ATUAL]])</f>
        <v>0</v>
      </c>
      <c r="P170" s="119" t="n">
        <f aca="false">SUMIFS(tabela_registros[VALOR],tabela_registros[MÊS],$AE$1,tabela_registros[DIA],reservafixaconsolidadomar[[#Headers],[12]],tabela_registros[REGISTRO],DADOS!$N$6,tabela_registros[TIPO],DADOS!$AJ$3,tabela_registros[CATEGORIA],reservafixaconsolidadomar[[#This Row],[ATUAL]])</f>
        <v>0</v>
      </c>
      <c r="Q170" s="119" t="n">
        <f aca="false">SUMIFS(tabela_registros[VALOR],tabela_registros[MÊS],$AE$1,tabela_registros[DIA],reservafixaconsolidadomar[[#Headers],[13]],tabela_registros[REGISTRO],DADOS!$N$6,tabela_registros[TIPO],DADOS!$AJ$3,tabela_registros[CATEGORIA],reservafixaconsolidadomar[[#This Row],[ATUAL]])</f>
        <v>0</v>
      </c>
      <c r="R170" s="119" t="n">
        <f aca="false">SUMIFS(tabela_registros[VALOR],tabela_registros[MÊS],$AE$1,tabela_registros[DIA],reservafixaconsolidadomar[[#Headers],[14]],tabela_registros[REGISTRO],DADOS!$N$6,tabela_registros[TIPO],DADOS!$AJ$3,tabela_registros[CATEGORIA],reservafixaconsolidadomar[[#This Row],[ATUAL]])</f>
        <v>0</v>
      </c>
      <c r="S170" s="119" t="n">
        <f aca="false">SUMIFS(tabela_registros[VALOR],tabela_registros[MÊS],$AE$1,tabela_registros[DIA],reservafixaconsolidadomar[[#Headers],[15]],tabela_registros[REGISTRO],DADOS!$N$6,tabela_registros[TIPO],DADOS!$AJ$3,tabela_registros[CATEGORIA],reservafixaconsolidadomar[[#This Row],[ATUAL]])</f>
        <v>0</v>
      </c>
      <c r="T170" s="119" t="n">
        <f aca="false">SUMIFS(tabela_registros[VALOR],tabela_registros[MÊS],$AE$1,tabela_registros[DIA],reservafixaconsolidadomar[[#Headers],[16]],tabela_registros[REGISTRO],DADOS!$N$6,tabela_registros[TIPO],DADOS!$AJ$3,tabela_registros[CATEGORIA],reservafixaconsolidadomar[[#This Row],[ATUAL]])</f>
        <v>0</v>
      </c>
      <c r="U170" s="119" t="n">
        <f aca="false">SUMIFS(tabela_registros[VALOR],tabela_registros[MÊS],$AE$1,tabela_registros[DIA],reservafixaconsolidadomar[[#Headers],[17]],tabela_registros[REGISTRO],DADOS!$N$6,tabela_registros[TIPO],DADOS!$AJ$3,tabela_registros[CATEGORIA],reservafixaconsolidadomar[[#This Row],[ATUAL]])</f>
        <v>0</v>
      </c>
      <c r="V170" s="119" t="n">
        <f aca="false">SUMIFS(tabela_registros[VALOR],tabela_registros[MÊS],$AE$1,tabela_registros[DIA],reservafixaconsolidadomar[[#Headers],[18]],tabela_registros[REGISTRO],DADOS!$N$6,tabela_registros[TIPO],DADOS!$AJ$3,tabela_registros[CATEGORIA],reservafixaconsolidadomar[[#This Row],[ATUAL]])</f>
        <v>0</v>
      </c>
      <c r="W170" s="119" t="n">
        <f aca="false">SUMIFS(tabela_registros[VALOR],tabela_registros[MÊS],$AE$1,tabela_registros[DIA],reservafixaconsolidadomar[[#Headers],[19]],tabela_registros[REGISTRO],DADOS!$N$6,tabela_registros[TIPO],DADOS!$AJ$3,tabela_registros[CATEGORIA],reservafixaconsolidadomar[[#This Row],[ATUAL]])</f>
        <v>0</v>
      </c>
      <c r="X170" s="119" t="n">
        <f aca="false">SUMIFS(tabela_registros[VALOR],tabela_registros[MÊS],$AE$1,tabela_registros[DIA],reservafixaconsolidadomar[[#Headers],[20]],tabela_registros[REGISTRO],DADOS!$N$6,tabela_registros[TIPO],DADOS!$AJ$3,tabela_registros[CATEGORIA],reservafixaconsolidadomar[[#This Row],[ATUAL]])</f>
        <v>0</v>
      </c>
      <c r="Y170" s="119" t="n">
        <f aca="false">SUMIFS(tabela_registros[VALOR],tabela_registros[MÊS],$AE$1,tabela_registros[DIA],reservafixaconsolidadomar[[#Headers],[21]],tabela_registros[REGISTRO],DADOS!$N$6,tabela_registros[TIPO],DADOS!$AJ$3,tabela_registros[CATEGORIA],reservafixaconsolidadomar[[#This Row],[ATUAL]])</f>
        <v>0</v>
      </c>
      <c r="Z170" s="119" t="n">
        <f aca="false">SUMIFS(tabela_registros[VALOR],tabela_registros[MÊS],$AE$1,tabela_registros[DIA],reservafixaconsolidadomar[[#Headers],[22]],tabela_registros[REGISTRO],DADOS!$N$6,tabela_registros[TIPO],DADOS!$AJ$3,tabela_registros[CATEGORIA],reservafixaconsolidadomar[[#This Row],[ATUAL]])</f>
        <v>0</v>
      </c>
      <c r="AA170" s="119" t="n">
        <f aca="false">SUMIFS(tabela_registros[VALOR],tabela_registros[MÊS],$AE$1,tabela_registros[DIA],reservafixaconsolidadomar[[#Headers],[23]],tabela_registros[REGISTRO],DADOS!$N$6,tabela_registros[TIPO],DADOS!$AJ$3,tabela_registros[CATEGORIA],reservafixaconsolidadomar[[#This Row],[ATUAL]])</f>
        <v>0</v>
      </c>
      <c r="AB170" s="119" t="n">
        <f aca="false">SUMIFS(tabela_registros[VALOR],tabela_registros[MÊS],$AE$1,tabela_registros[DIA],reservafixaconsolidadomar[[#Headers],[24]],tabela_registros[REGISTRO],DADOS!$N$6,tabela_registros[TIPO],DADOS!$AJ$3,tabela_registros[CATEGORIA],reservafixaconsolidadomar[[#This Row],[ATUAL]])</f>
        <v>0</v>
      </c>
      <c r="AC170" s="119" t="n">
        <f aca="false">SUMIFS(tabela_registros[VALOR],tabela_registros[MÊS],$AE$1,tabela_registros[DIA],reservafixaconsolidadomar[[#Headers],[25]],tabela_registros[REGISTRO],DADOS!$N$6,tabela_registros[TIPO],DADOS!$AJ$3,tabela_registros[CATEGORIA],reservafixaconsolidadomar[[#This Row],[ATUAL]])</f>
        <v>0</v>
      </c>
      <c r="AD170" s="119" t="n">
        <f aca="false">SUMIFS(tabela_registros[VALOR],tabela_registros[MÊS],$AE$1,tabela_registros[DIA],reservafixaconsolidadomar[[#Headers],[26]],tabela_registros[REGISTRO],DADOS!$N$6,tabela_registros[TIPO],DADOS!$AJ$3,tabela_registros[CATEGORIA],reservafixaconsolidadomar[[#This Row],[ATUAL]])</f>
        <v>0</v>
      </c>
      <c r="AE170" s="119" t="n">
        <f aca="false">SUMIFS(tabela_registros[VALOR],tabela_registros[MÊS],$AE$1,tabela_registros[DIA],reservafixaconsolidadomar[[#Headers],[27]],tabela_registros[REGISTRO],DADOS!$N$6,tabela_registros[TIPO],DADOS!$AJ$3,tabela_registros[CATEGORIA],reservafixaconsolidadomar[[#This Row],[ATUAL]])</f>
        <v>0</v>
      </c>
      <c r="AF170" s="119" t="n">
        <f aca="false">SUMIFS(tabela_registros[VALOR],tabela_registros[MÊS],$AE$1,tabela_registros[DIA],reservafixaconsolidadomar[[#Headers],[28]],tabela_registros[REGISTRO],DADOS!$N$6,tabela_registros[TIPO],DADOS!$AJ$3,tabela_registros[CATEGORIA],reservafixaconsolidadomar[[#This Row],[ATUAL]])</f>
        <v>0</v>
      </c>
      <c r="AG170" s="119" t="n">
        <f aca="false">SUMIFS(tabela_registros[VALOR],tabela_registros[MÊS],$AE$1,tabela_registros[DIA],reservafixaconsolidadomar[[#Headers],[29]],tabela_registros[REGISTRO],DADOS!$N$6,tabela_registros[TIPO],DADOS!$AJ$3,tabela_registros[CATEGORIA],reservafixaconsolidadomar[[#This Row],[ATUAL]])</f>
        <v>0</v>
      </c>
      <c r="AH170" s="119" t="n">
        <f aca="false">SUMIFS(tabela_registros[VALOR],tabela_registros[MÊS],$AE$1,tabela_registros[DIA],reservafixaconsolidadomar[[#Headers],[30]],tabela_registros[REGISTRO],DADOS!$N$6,tabela_registros[TIPO],DADOS!$AJ$3,tabela_registros[CATEGORIA],reservafixaconsolidadomar[[#This Row],[ATUAL]])</f>
        <v>0</v>
      </c>
      <c r="AI170" s="217" t="n">
        <f aca="false">SUMIFS(tabela_registros[VALOR],tabela_registros[MÊS],$AE$1,tabela_registros[DIA],reservafixaconsolidadomar[[#Headers],[31]],tabela_registros[REGISTRO],DADOS!$N$6,tabela_registros[TIPO],DADOS!$AJ$3,tabela_registros[CATEGORIA],reservafixaconsolidadomar[[#This Row],[ATUAL]])</f>
        <v>0</v>
      </c>
      <c r="AJ170" s="149" t="n">
        <f aca="false">SUM(reservafixaconsolidadomar[[#This Row],[1]:[31]])</f>
        <v>0</v>
      </c>
      <c r="AK170" s="165"/>
    </row>
    <row r="171" customFormat="false" ht="19.5" hidden="false" customHeight="true" outlineLevel="0" collapsed="false">
      <c r="B171" s="143"/>
      <c r="C171" s="144" t="str">
        <f aca="false">DADOS!$AL$6</f>
        <v>📝 DEBÊNTURE</v>
      </c>
      <c r="D171" s="145" t="str">
        <f aca="false">IF(reservafixaconsolidadomar[[#This Row],[TOTAL (R$)]]=0,"",IF(OR(reservafixaconsolidadomar[[#This Row],[TOTAL (R$)]]=LARGE($AJ$168:$AJ$177,1),reservafixaconsolidadomar[[#This Row],[TOTAL (R$)]]=LARGE($AJ$168:$AJ$177,2)),DADOS!$I$11,""))</f>
        <v/>
      </c>
      <c r="E171" s="148" t="n">
        <f aca="false">SUMIFS(tabela_registros[VALOR],tabela_registros[MÊS],$AE$1,tabela_registros[DIA],reservafixaconsolidadomar[[#Headers],[1]],tabela_registros[REGISTRO],DADOS!$N$6,tabela_registros[TIPO],DADOS!$AJ$3,tabela_registros[CATEGORIA],reservafixaconsolidadomar[[#This Row],[ATUAL]])</f>
        <v>0</v>
      </c>
      <c r="F171" s="119" t="n">
        <f aca="false">SUMIFS(tabela_registros[VALOR],tabela_registros[MÊS],$AE$1,tabela_registros[DIA],reservafixaconsolidadomar[[#Headers],[2]],tabela_registros[REGISTRO],DADOS!$N$6,tabela_registros[TIPO],DADOS!$AJ$3,tabela_registros[CATEGORIA],reservafixaconsolidadomar[[#This Row],[ATUAL]])</f>
        <v>0</v>
      </c>
      <c r="G171" s="119" t="n">
        <f aca="false">SUMIFS(tabela_registros[VALOR],tabela_registros[MÊS],$AE$1,tabela_registros[DIA],reservafixaconsolidadomar[[#Headers],[3]],tabela_registros[REGISTRO],DADOS!$N$6,tabela_registros[TIPO],DADOS!$AJ$3,tabela_registros[CATEGORIA],reservafixaconsolidadomar[[#This Row],[ATUAL]])</f>
        <v>0</v>
      </c>
      <c r="H171" s="119" t="n">
        <f aca="false">SUMIFS(tabela_registros[VALOR],tabela_registros[MÊS],$AE$1,tabela_registros[DIA],reservafixaconsolidadomar[[#Headers],[4]],tabela_registros[REGISTRO],DADOS!$N$6,tabela_registros[TIPO],DADOS!$AJ$3,tabela_registros[CATEGORIA],reservafixaconsolidadomar[[#This Row],[ATUAL]])</f>
        <v>0</v>
      </c>
      <c r="I171" s="119" t="n">
        <f aca="false">SUMIFS(tabela_registros[VALOR],tabela_registros[MÊS],$AE$1,tabela_registros[DIA],reservafixaconsolidadomar[[#Headers],[5]],tabela_registros[REGISTRO],DADOS!$N$6,tabela_registros[TIPO],DADOS!$AJ$3,tabela_registros[CATEGORIA],reservafixaconsolidadomar[[#This Row],[ATUAL]])</f>
        <v>0</v>
      </c>
      <c r="J171" s="119" t="n">
        <f aca="false">SUMIFS(tabela_registros[VALOR],tabela_registros[MÊS],$AE$1,tabela_registros[DIA],reservafixaconsolidadomar[[#Headers],[6]],tabela_registros[REGISTRO],DADOS!$N$6,tabela_registros[TIPO],DADOS!$AJ$3,tabela_registros[CATEGORIA],reservafixaconsolidadomar[[#This Row],[ATUAL]])</f>
        <v>0</v>
      </c>
      <c r="K171" s="119" t="n">
        <f aca="false">SUMIFS(tabela_registros[VALOR],tabela_registros[MÊS],$AE$1,tabela_registros[DIA],reservafixaconsolidadomar[[#Headers],[7]],tabela_registros[REGISTRO],DADOS!$N$6,tabela_registros[TIPO],DADOS!$AJ$3,tabela_registros[CATEGORIA],reservafixaconsolidadomar[[#This Row],[ATUAL]])</f>
        <v>0</v>
      </c>
      <c r="L171" s="119" t="n">
        <f aca="false">SUMIFS(tabela_registros[VALOR],tabela_registros[MÊS],$AE$1,tabela_registros[DIA],reservafixaconsolidadomar[[#Headers],[8]],tabela_registros[REGISTRO],DADOS!$N$6,tabela_registros[TIPO],DADOS!$AJ$3,tabela_registros[CATEGORIA],reservafixaconsolidadomar[[#This Row],[ATUAL]])</f>
        <v>0</v>
      </c>
      <c r="M171" s="119" t="n">
        <f aca="false">SUMIFS(tabela_registros[VALOR],tabela_registros[MÊS],$AE$1,tabela_registros[DIA],reservafixaconsolidadomar[[#Headers],[9]],tabela_registros[REGISTRO],DADOS!$N$6,tabela_registros[TIPO],DADOS!$AJ$3,tabela_registros[CATEGORIA],reservafixaconsolidadomar[[#This Row],[ATUAL]])</f>
        <v>0</v>
      </c>
      <c r="N171" s="119" t="n">
        <f aca="false">SUMIFS(tabela_registros[VALOR],tabela_registros[MÊS],$AE$1,tabela_registros[DIA],reservafixaconsolidadomar[[#Headers],[10]],tabela_registros[REGISTRO],DADOS!$N$6,tabela_registros[TIPO],DADOS!$AJ$3,tabela_registros[CATEGORIA],reservafixaconsolidadomar[[#This Row],[ATUAL]])</f>
        <v>0</v>
      </c>
      <c r="O171" s="119" t="n">
        <f aca="false">SUMIFS(tabela_registros[VALOR],tabela_registros[MÊS],$AE$1,tabela_registros[DIA],reservafixaconsolidadomar[[#Headers],[11]],tabela_registros[REGISTRO],DADOS!$N$6,tabela_registros[TIPO],DADOS!$AJ$3,tabela_registros[CATEGORIA],reservafixaconsolidadomar[[#This Row],[ATUAL]])</f>
        <v>0</v>
      </c>
      <c r="P171" s="119" t="n">
        <f aca="false">SUMIFS(tabela_registros[VALOR],tabela_registros[MÊS],$AE$1,tabela_registros[DIA],reservafixaconsolidadomar[[#Headers],[12]],tabela_registros[REGISTRO],DADOS!$N$6,tabela_registros[TIPO],DADOS!$AJ$3,tabela_registros[CATEGORIA],reservafixaconsolidadomar[[#This Row],[ATUAL]])</f>
        <v>0</v>
      </c>
      <c r="Q171" s="119" t="n">
        <f aca="false">SUMIFS(tabela_registros[VALOR],tabela_registros[MÊS],$AE$1,tabela_registros[DIA],reservafixaconsolidadomar[[#Headers],[13]],tabela_registros[REGISTRO],DADOS!$N$6,tabela_registros[TIPO],DADOS!$AJ$3,tabela_registros[CATEGORIA],reservafixaconsolidadomar[[#This Row],[ATUAL]])</f>
        <v>0</v>
      </c>
      <c r="R171" s="119" t="n">
        <f aca="false">SUMIFS(tabela_registros[VALOR],tabela_registros[MÊS],$AE$1,tabela_registros[DIA],reservafixaconsolidadomar[[#Headers],[14]],tabela_registros[REGISTRO],DADOS!$N$6,tabela_registros[TIPO],DADOS!$AJ$3,tabela_registros[CATEGORIA],reservafixaconsolidadomar[[#This Row],[ATUAL]])</f>
        <v>0</v>
      </c>
      <c r="S171" s="119" t="n">
        <f aca="false">SUMIFS(tabela_registros[VALOR],tabela_registros[MÊS],$AE$1,tabela_registros[DIA],reservafixaconsolidadomar[[#Headers],[15]],tabela_registros[REGISTRO],DADOS!$N$6,tabela_registros[TIPO],DADOS!$AJ$3,tabela_registros[CATEGORIA],reservafixaconsolidadomar[[#This Row],[ATUAL]])</f>
        <v>0</v>
      </c>
      <c r="T171" s="119" t="n">
        <f aca="false">SUMIFS(tabela_registros[VALOR],tabela_registros[MÊS],$AE$1,tabela_registros[DIA],reservafixaconsolidadomar[[#Headers],[16]],tabela_registros[REGISTRO],DADOS!$N$6,tabela_registros[TIPO],DADOS!$AJ$3,tabela_registros[CATEGORIA],reservafixaconsolidadomar[[#This Row],[ATUAL]])</f>
        <v>0</v>
      </c>
      <c r="U171" s="119" t="n">
        <f aca="false">SUMIFS(tabela_registros[VALOR],tabela_registros[MÊS],$AE$1,tabela_registros[DIA],reservafixaconsolidadomar[[#Headers],[17]],tabela_registros[REGISTRO],DADOS!$N$6,tabela_registros[TIPO],DADOS!$AJ$3,tabela_registros[CATEGORIA],reservafixaconsolidadomar[[#This Row],[ATUAL]])</f>
        <v>0</v>
      </c>
      <c r="V171" s="119" t="n">
        <f aca="false">SUMIFS(tabela_registros[VALOR],tabela_registros[MÊS],$AE$1,tabela_registros[DIA],reservafixaconsolidadomar[[#Headers],[18]],tabela_registros[REGISTRO],DADOS!$N$6,tabela_registros[TIPO],DADOS!$AJ$3,tabela_registros[CATEGORIA],reservafixaconsolidadomar[[#This Row],[ATUAL]])</f>
        <v>0</v>
      </c>
      <c r="W171" s="119" t="n">
        <f aca="false">SUMIFS(tabela_registros[VALOR],tabela_registros[MÊS],$AE$1,tabela_registros[DIA],reservafixaconsolidadomar[[#Headers],[19]],tabela_registros[REGISTRO],DADOS!$N$6,tabela_registros[TIPO],DADOS!$AJ$3,tabela_registros[CATEGORIA],reservafixaconsolidadomar[[#This Row],[ATUAL]])</f>
        <v>0</v>
      </c>
      <c r="X171" s="119" t="n">
        <f aca="false">SUMIFS(tabela_registros[VALOR],tabela_registros[MÊS],$AE$1,tabela_registros[DIA],reservafixaconsolidadomar[[#Headers],[20]],tabela_registros[REGISTRO],DADOS!$N$6,tabela_registros[TIPO],DADOS!$AJ$3,tabela_registros[CATEGORIA],reservafixaconsolidadomar[[#This Row],[ATUAL]])</f>
        <v>0</v>
      </c>
      <c r="Y171" s="119" t="n">
        <f aca="false">SUMIFS(tabela_registros[VALOR],tabela_registros[MÊS],$AE$1,tabela_registros[DIA],reservafixaconsolidadomar[[#Headers],[21]],tabela_registros[REGISTRO],DADOS!$N$6,tabela_registros[TIPO],DADOS!$AJ$3,tabela_registros[CATEGORIA],reservafixaconsolidadomar[[#This Row],[ATUAL]])</f>
        <v>0</v>
      </c>
      <c r="Z171" s="119" t="n">
        <f aca="false">SUMIFS(tabela_registros[VALOR],tabela_registros[MÊS],$AE$1,tabela_registros[DIA],reservafixaconsolidadomar[[#Headers],[22]],tabela_registros[REGISTRO],DADOS!$N$6,tabela_registros[TIPO],DADOS!$AJ$3,tabela_registros[CATEGORIA],reservafixaconsolidadomar[[#This Row],[ATUAL]])</f>
        <v>0</v>
      </c>
      <c r="AA171" s="119" t="n">
        <f aca="false">SUMIFS(tabela_registros[VALOR],tabela_registros[MÊS],$AE$1,tabela_registros[DIA],reservafixaconsolidadomar[[#Headers],[23]],tabela_registros[REGISTRO],DADOS!$N$6,tabela_registros[TIPO],DADOS!$AJ$3,tabela_registros[CATEGORIA],reservafixaconsolidadomar[[#This Row],[ATUAL]])</f>
        <v>0</v>
      </c>
      <c r="AB171" s="119" t="n">
        <f aca="false">SUMIFS(tabela_registros[VALOR],tabela_registros[MÊS],$AE$1,tabela_registros[DIA],reservafixaconsolidadomar[[#Headers],[24]],tabela_registros[REGISTRO],DADOS!$N$6,tabela_registros[TIPO],DADOS!$AJ$3,tabela_registros[CATEGORIA],reservafixaconsolidadomar[[#This Row],[ATUAL]])</f>
        <v>0</v>
      </c>
      <c r="AC171" s="119" t="n">
        <f aca="false">SUMIFS(tabela_registros[VALOR],tabela_registros[MÊS],$AE$1,tabela_registros[DIA],reservafixaconsolidadomar[[#Headers],[25]],tabela_registros[REGISTRO],DADOS!$N$6,tabela_registros[TIPO],DADOS!$AJ$3,tabela_registros[CATEGORIA],reservafixaconsolidadomar[[#This Row],[ATUAL]])</f>
        <v>0</v>
      </c>
      <c r="AD171" s="119" t="n">
        <f aca="false">SUMIFS(tabela_registros[VALOR],tabela_registros[MÊS],$AE$1,tabela_registros[DIA],reservafixaconsolidadomar[[#Headers],[26]],tabela_registros[REGISTRO],DADOS!$N$6,tabela_registros[TIPO],DADOS!$AJ$3,tabela_registros[CATEGORIA],reservafixaconsolidadomar[[#This Row],[ATUAL]])</f>
        <v>0</v>
      </c>
      <c r="AE171" s="119" t="n">
        <f aca="false">SUMIFS(tabela_registros[VALOR],tabela_registros[MÊS],$AE$1,tabela_registros[DIA],reservafixaconsolidadomar[[#Headers],[27]],tabela_registros[REGISTRO],DADOS!$N$6,tabela_registros[TIPO],DADOS!$AJ$3,tabela_registros[CATEGORIA],reservafixaconsolidadomar[[#This Row],[ATUAL]])</f>
        <v>0</v>
      </c>
      <c r="AF171" s="119" t="n">
        <f aca="false">SUMIFS(tabela_registros[VALOR],tabela_registros[MÊS],$AE$1,tabela_registros[DIA],reservafixaconsolidadomar[[#Headers],[28]],tabela_registros[REGISTRO],DADOS!$N$6,tabela_registros[TIPO],DADOS!$AJ$3,tabela_registros[CATEGORIA],reservafixaconsolidadomar[[#This Row],[ATUAL]])</f>
        <v>0</v>
      </c>
      <c r="AG171" s="119" t="n">
        <f aca="false">SUMIFS(tabela_registros[VALOR],tabela_registros[MÊS],$AE$1,tabela_registros[DIA],reservafixaconsolidadomar[[#Headers],[29]],tabela_registros[REGISTRO],DADOS!$N$6,tabela_registros[TIPO],DADOS!$AJ$3,tabela_registros[CATEGORIA],reservafixaconsolidadomar[[#This Row],[ATUAL]])</f>
        <v>0</v>
      </c>
      <c r="AH171" s="119" t="n">
        <f aca="false">SUMIFS(tabela_registros[VALOR],tabela_registros[MÊS],$AE$1,tabela_registros[DIA],reservafixaconsolidadomar[[#Headers],[30]],tabela_registros[REGISTRO],DADOS!$N$6,tabela_registros[TIPO],DADOS!$AJ$3,tabela_registros[CATEGORIA],reservafixaconsolidadomar[[#This Row],[ATUAL]])</f>
        <v>0</v>
      </c>
      <c r="AI171" s="217" t="n">
        <f aca="false">SUMIFS(tabela_registros[VALOR],tabela_registros[MÊS],$AE$1,tabela_registros[DIA],reservafixaconsolidadomar[[#Headers],[31]],tabela_registros[REGISTRO],DADOS!$N$6,tabela_registros[TIPO],DADOS!$AJ$3,tabela_registros[CATEGORIA],reservafixaconsolidadomar[[#This Row],[ATUAL]])</f>
        <v>0</v>
      </c>
      <c r="AJ171" s="149" t="n">
        <f aca="false">SUM(reservafixaconsolidadomar[[#This Row],[1]:[31]])</f>
        <v>0</v>
      </c>
      <c r="AK171" s="165"/>
    </row>
    <row r="172" customFormat="false" ht="19.5" hidden="false" customHeight="true" outlineLevel="0" collapsed="false">
      <c r="B172" s="143"/>
      <c r="C172" s="144" t="str">
        <f aca="false">DADOS!$AL$7</f>
        <v>📝 EXTERIOR</v>
      </c>
      <c r="D172" s="145" t="str">
        <f aca="false">IF(reservafixaconsolidadomar[[#This Row],[TOTAL (R$)]]=0,"",IF(OR(reservafixaconsolidadomar[[#This Row],[TOTAL (R$)]]=LARGE($AJ$168:$AJ$177,1),reservafixaconsolidadomar[[#This Row],[TOTAL (R$)]]=LARGE($AJ$168:$AJ$177,2)),DADOS!$I$11,""))</f>
        <v/>
      </c>
      <c r="E172" s="148" t="n">
        <f aca="false">SUMIFS(tabela_registros[VALOR],tabela_registros[MÊS],$AE$1,tabela_registros[DIA],reservafixaconsolidadomar[[#Headers],[1]],tabela_registros[REGISTRO],DADOS!$N$6,tabela_registros[TIPO],DADOS!$AJ$3,tabela_registros[CATEGORIA],reservafixaconsolidadomar[[#This Row],[ATUAL]])</f>
        <v>0</v>
      </c>
      <c r="F172" s="119" t="n">
        <f aca="false">SUMIFS(tabela_registros[VALOR],tabela_registros[MÊS],$AE$1,tabela_registros[DIA],reservafixaconsolidadomar[[#Headers],[2]],tabela_registros[REGISTRO],DADOS!$N$6,tabela_registros[TIPO],DADOS!$AJ$3,tabela_registros[CATEGORIA],reservafixaconsolidadomar[[#This Row],[ATUAL]])</f>
        <v>0</v>
      </c>
      <c r="G172" s="119" t="n">
        <f aca="false">SUMIFS(tabela_registros[VALOR],tabela_registros[MÊS],$AE$1,tabela_registros[DIA],reservafixaconsolidadomar[[#Headers],[3]],tabela_registros[REGISTRO],DADOS!$N$6,tabela_registros[TIPO],DADOS!$AJ$3,tabela_registros[CATEGORIA],reservafixaconsolidadomar[[#This Row],[ATUAL]])</f>
        <v>0</v>
      </c>
      <c r="H172" s="119" t="n">
        <f aca="false">SUMIFS(tabela_registros[VALOR],tabela_registros[MÊS],$AE$1,tabela_registros[DIA],reservafixaconsolidadomar[[#Headers],[4]],tabela_registros[REGISTRO],DADOS!$N$6,tabela_registros[TIPO],DADOS!$AJ$3,tabela_registros[CATEGORIA],reservafixaconsolidadomar[[#This Row],[ATUAL]])</f>
        <v>0</v>
      </c>
      <c r="I172" s="119" t="n">
        <f aca="false">SUMIFS(tabela_registros[VALOR],tabela_registros[MÊS],$AE$1,tabela_registros[DIA],reservafixaconsolidadomar[[#Headers],[5]],tabela_registros[REGISTRO],DADOS!$N$6,tabela_registros[TIPO],DADOS!$AJ$3,tabela_registros[CATEGORIA],reservafixaconsolidadomar[[#This Row],[ATUAL]])</f>
        <v>0</v>
      </c>
      <c r="J172" s="119" t="n">
        <f aca="false">SUMIFS(tabela_registros[VALOR],tabela_registros[MÊS],$AE$1,tabela_registros[DIA],reservafixaconsolidadomar[[#Headers],[6]],tabela_registros[REGISTRO],DADOS!$N$6,tabela_registros[TIPO],DADOS!$AJ$3,tabela_registros[CATEGORIA],reservafixaconsolidadomar[[#This Row],[ATUAL]])</f>
        <v>0</v>
      </c>
      <c r="K172" s="119" t="n">
        <f aca="false">SUMIFS(tabela_registros[VALOR],tabela_registros[MÊS],$AE$1,tabela_registros[DIA],reservafixaconsolidadomar[[#Headers],[7]],tabela_registros[REGISTRO],DADOS!$N$6,tabela_registros[TIPO],DADOS!$AJ$3,tabela_registros[CATEGORIA],reservafixaconsolidadomar[[#This Row],[ATUAL]])</f>
        <v>0</v>
      </c>
      <c r="L172" s="119" t="n">
        <f aca="false">SUMIFS(tabela_registros[VALOR],tabela_registros[MÊS],$AE$1,tabela_registros[DIA],reservafixaconsolidadomar[[#Headers],[8]],tabela_registros[REGISTRO],DADOS!$N$6,tabela_registros[TIPO],DADOS!$AJ$3,tabela_registros[CATEGORIA],reservafixaconsolidadomar[[#This Row],[ATUAL]])</f>
        <v>0</v>
      </c>
      <c r="M172" s="119" t="n">
        <f aca="false">SUMIFS(tabela_registros[VALOR],tabela_registros[MÊS],$AE$1,tabela_registros[DIA],reservafixaconsolidadomar[[#Headers],[9]],tabela_registros[REGISTRO],DADOS!$N$6,tabela_registros[TIPO],DADOS!$AJ$3,tabela_registros[CATEGORIA],reservafixaconsolidadomar[[#This Row],[ATUAL]])</f>
        <v>0</v>
      </c>
      <c r="N172" s="119" t="n">
        <f aca="false">SUMIFS(tabela_registros[VALOR],tabela_registros[MÊS],$AE$1,tabela_registros[DIA],reservafixaconsolidadomar[[#Headers],[10]],tabela_registros[REGISTRO],DADOS!$N$6,tabela_registros[TIPO],DADOS!$AJ$3,tabela_registros[CATEGORIA],reservafixaconsolidadomar[[#This Row],[ATUAL]])</f>
        <v>0</v>
      </c>
      <c r="O172" s="119" t="n">
        <f aca="false">SUMIFS(tabela_registros[VALOR],tabela_registros[MÊS],$AE$1,tabela_registros[DIA],reservafixaconsolidadomar[[#Headers],[11]],tabela_registros[REGISTRO],DADOS!$N$6,tabela_registros[TIPO],DADOS!$AJ$3,tabela_registros[CATEGORIA],reservafixaconsolidadomar[[#This Row],[ATUAL]])</f>
        <v>0</v>
      </c>
      <c r="P172" s="119" t="n">
        <f aca="false">SUMIFS(tabela_registros[VALOR],tabela_registros[MÊS],$AE$1,tabela_registros[DIA],reservafixaconsolidadomar[[#Headers],[12]],tabela_registros[REGISTRO],DADOS!$N$6,tabela_registros[TIPO],DADOS!$AJ$3,tabela_registros[CATEGORIA],reservafixaconsolidadomar[[#This Row],[ATUAL]])</f>
        <v>0</v>
      </c>
      <c r="Q172" s="119" t="n">
        <f aca="false">SUMIFS(tabela_registros[VALOR],tabela_registros[MÊS],$AE$1,tabela_registros[DIA],reservafixaconsolidadomar[[#Headers],[13]],tabela_registros[REGISTRO],DADOS!$N$6,tabela_registros[TIPO],DADOS!$AJ$3,tabela_registros[CATEGORIA],reservafixaconsolidadomar[[#This Row],[ATUAL]])</f>
        <v>0</v>
      </c>
      <c r="R172" s="119" t="n">
        <f aca="false">SUMIFS(tabela_registros[VALOR],tabela_registros[MÊS],$AE$1,tabela_registros[DIA],reservafixaconsolidadomar[[#Headers],[14]],tabela_registros[REGISTRO],DADOS!$N$6,tabela_registros[TIPO],DADOS!$AJ$3,tabela_registros[CATEGORIA],reservafixaconsolidadomar[[#This Row],[ATUAL]])</f>
        <v>0</v>
      </c>
      <c r="S172" s="119" t="n">
        <f aca="false">SUMIFS(tabela_registros[VALOR],tabela_registros[MÊS],$AE$1,tabela_registros[DIA],reservafixaconsolidadomar[[#Headers],[15]],tabela_registros[REGISTRO],DADOS!$N$6,tabela_registros[TIPO],DADOS!$AJ$3,tabela_registros[CATEGORIA],reservafixaconsolidadomar[[#This Row],[ATUAL]])</f>
        <v>0</v>
      </c>
      <c r="T172" s="119" t="n">
        <f aca="false">SUMIFS(tabela_registros[VALOR],tabela_registros[MÊS],$AE$1,tabela_registros[DIA],reservafixaconsolidadomar[[#Headers],[16]],tabela_registros[REGISTRO],DADOS!$N$6,tabela_registros[TIPO],DADOS!$AJ$3,tabela_registros[CATEGORIA],reservafixaconsolidadomar[[#This Row],[ATUAL]])</f>
        <v>0</v>
      </c>
      <c r="U172" s="119" t="n">
        <f aca="false">SUMIFS(tabela_registros[VALOR],tabela_registros[MÊS],$AE$1,tabela_registros[DIA],reservafixaconsolidadomar[[#Headers],[17]],tabela_registros[REGISTRO],DADOS!$N$6,tabela_registros[TIPO],DADOS!$AJ$3,tabela_registros[CATEGORIA],reservafixaconsolidadomar[[#This Row],[ATUAL]])</f>
        <v>0</v>
      </c>
      <c r="V172" s="119" t="n">
        <f aca="false">SUMIFS(tabela_registros[VALOR],tabela_registros[MÊS],$AE$1,tabela_registros[DIA],reservafixaconsolidadomar[[#Headers],[18]],tabela_registros[REGISTRO],DADOS!$N$6,tabela_registros[TIPO],DADOS!$AJ$3,tabela_registros[CATEGORIA],reservafixaconsolidadomar[[#This Row],[ATUAL]])</f>
        <v>0</v>
      </c>
      <c r="W172" s="119" t="n">
        <f aca="false">SUMIFS(tabela_registros[VALOR],tabela_registros[MÊS],$AE$1,tabela_registros[DIA],reservafixaconsolidadomar[[#Headers],[19]],tabela_registros[REGISTRO],DADOS!$N$6,tabela_registros[TIPO],DADOS!$AJ$3,tabela_registros[CATEGORIA],reservafixaconsolidadomar[[#This Row],[ATUAL]])</f>
        <v>0</v>
      </c>
      <c r="X172" s="119" t="n">
        <f aca="false">SUMIFS(tabela_registros[VALOR],tabela_registros[MÊS],$AE$1,tabela_registros[DIA],reservafixaconsolidadomar[[#Headers],[20]],tabela_registros[REGISTRO],DADOS!$N$6,tabela_registros[TIPO],DADOS!$AJ$3,tabela_registros[CATEGORIA],reservafixaconsolidadomar[[#This Row],[ATUAL]])</f>
        <v>0</v>
      </c>
      <c r="Y172" s="119" t="n">
        <f aca="false">SUMIFS(tabela_registros[VALOR],tabela_registros[MÊS],$AE$1,tabela_registros[DIA],reservafixaconsolidadomar[[#Headers],[21]],tabela_registros[REGISTRO],DADOS!$N$6,tabela_registros[TIPO],DADOS!$AJ$3,tabela_registros[CATEGORIA],reservafixaconsolidadomar[[#This Row],[ATUAL]])</f>
        <v>0</v>
      </c>
      <c r="Z172" s="119" t="n">
        <f aca="false">SUMIFS(tabela_registros[VALOR],tabela_registros[MÊS],$AE$1,tabela_registros[DIA],reservafixaconsolidadomar[[#Headers],[22]],tabela_registros[REGISTRO],DADOS!$N$6,tabela_registros[TIPO],DADOS!$AJ$3,tabela_registros[CATEGORIA],reservafixaconsolidadomar[[#This Row],[ATUAL]])</f>
        <v>0</v>
      </c>
      <c r="AA172" s="119" t="n">
        <f aca="false">SUMIFS(tabela_registros[VALOR],tabela_registros[MÊS],$AE$1,tabela_registros[DIA],reservafixaconsolidadomar[[#Headers],[23]],tabela_registros[REGISTRO],DADOS!$N$6,tabela_registros[TIPO],DADOS!$AJ$3,tabela_registros[CATEGORIA],reservafixaconsolidadomar[[#This Row],[ATUAL]])</f>
        <v>0</v>
      </c>
      <c r="AB172" s="119" t="n">
        <f aca="false">SUMIFS(tabela_registros[VALOR],tabela_registros[MÊS],$AE$1,tabela_registros[DIA],reservafixaconsolidadomar[[#Headers],[24]],tabela_registros[REGISTRO],DADOS!$N$6,tabela_registros[TIPO],DADOS!$AJ$3,tabela_registros[CATEGORIA],reservafixaconsolidadomar[[#This Row],[ATUAL]])</f>
        <v>0</v>
      </c>
      <c r="AC172" s="119" t="n">
        <f aca="false">SUMIFS(tabela_registros[VALOR],tabela_registros[MÊS],$AE$1,tabela_registros[DIA],reservafixaconsolidadomar[[#Headers],[25]],tabela_registros[REGISTRO],DADOS!$N$6,tabela_registros[TIPO],DADOS!$AJ$3,tabela_registros[CATEGORIA],reservafixaconsolidadomar[[#This Row],[ATUAL]])</f>
        <v>0</v>
      </c>
      <c r="AD172" s="119" t="n">
        <f aca="false">SUMIFS(tabela_registros[VALOR],tabela_registros[MÊS],$AE$1,tabela_registros[DIA],reservafixaconsolidadomar[[#Headers],[26]],tabela_registros[REGISTRO],DADOS!$N$6,tabela_registros[TIPO],DADOS!$AJ$3,tabela_registros[CATEGORIA],reservafixaconsolidadomar[[#This Row],[ATUAL]])</f>
        <v>0</v>
      </c>
      <c r="AE172" s="119" t="n">
        <f aca="false">SUMIFS(tabela_registros[VALOR],tabela_registros[MÊS],$AE$1,tabela_registros[DIA],reservafixaconsolidadomar[[#Headers],[27]],tabela_registros[REGISTRO],DADOS!$N$6,tabela_registros[TIPO],DADOS!$AJ$3,tabela_registros[CATEGORIA],reservafixaconsolidadomar[[#This Row],[ATUAL]])</f>
        <v>0</v>
      </c>
      <c r="AF172" s="119" t="n">
        <f aca="false">SUMIFS(tabela_registros[VALOR],tabela_registros[MÊS],$AE$1,tabela_registros[DIA],reservafixaconsolidadomar[[#Headers],[28]],tabela_registros[REGISTRO],DADOS!$N$6,tabela_registros[TIPO],DADOS!$AJ$3,tabela_registros[CATEGORIA],reservafixaconsolidadomar[[#This Row],[ATUAL]])</f>
        <v>0</v>
      </c>
      <c r="AG172" s="119" t="n">
        <f aca="false">SUMIFS(tabela_registros[VALOR],tabela_registros[MÊS],$AE$1,tabela_registros[DIA],reservafixaconsolidadomar[[#Headers],[29]],tabela_registros[REGISTRO],DADOS!$N$6,tabela_registros[TIPO],DADOS!$AJ$3,tabela_registros[CATEGORIA],reservafixaconsolidadomar[[#This Row],[ATUAL]])</f>
        <v>0</v>
      </c>
      <c r="AH172" s="119" t="n">
        <f aca="false">SUMIFS(tabela_registros[VALOR],tabela_registros[MÊS],$AE$1,tabela_registros[DIA],reservafixaconsolidadomar[[#Headers],[30]],tabela_registros[REGISTRO],DADOS!$N$6,tabela_registros[TIPO],DADOS!$AJ$3,tabela_registros[CATEGORIA],reservafixaconsolidadomar[[#This Row],[ATUAL]])</f>
        <v>0</v>
      </c>
      <c r="AI172" s="217" t="n">
        <f aca="false">SUMIFS(tabela_registros[VALOR],tabela_registros[MÊS],$AE$1,tabela_registros[DIA],reservafixaconsolidadomar[[#Headers],[31]],tabela_registros[REGISTRO],DADOS!$N$6,tabela_registros[TIPO],DADOS!$AJ$3,tabela_registros[CATEGORIA],reservafixaconsolidadomar[[#This Row],[ATUAL]])</f>
        <v>0</v>
      </c>
      <c r="AJ172" s="149" t="n">
        <f aca="false">SUM(reservafixaconsolidadomar[[#This Row],[1]:[31]])</f>
        <v>0</v>
      </c>
      <c r="AK172" s="165"/>
    </row>
    <row r="173" customFormat="false" ht="19.5" hidden="false" customHeight="true" outlineLevel="0" collapsed="false">
      <c r="B173" s="143"/>
      <c r="C173" s="144" t="str">
        <f aca="false">DADOS!$AL$8</f>
        <v>📝 LC</v>
      </c>
      <c r="D173" s="145" t="str">
        <f aca="false">IF(reservafixaconsolidadomar[[#This Row],[TOTAL (R$)]]=0,"",IF(OR(reservafixaconsolidadomar[[#This Row],[TOTAL (R$)]]=LARGE($AJ$168:$AJ$177,1),reservafixaconsolidadomar[[#This Row],[TOTAL (R$)]]=LARGE($AJ$168:$AJ$177,2)),DADOS!$I$11,""))</f>
        <v/>
      </c>
      <c r="E173" s="148" t="n">
        <f aca="false">SUMIFS(tabela_registros[VALOR],tabela_registros[MÊS],$AE$1,tabela_registros[DIA],reservafixaconsolidadomar[[#Headers],[1]],tabela_registros[REGISTRO],DADOS!$N$6,tabela_registros[TIPO],DADOS!$AJ$3,tabela_registros[CATEGORIA],reservafixaconsolidadomar[[#This Row],[ATUAL]])</f>
        <v>0</v>
      </c>
      <c r="F173" s="119" t="n">
        <f aca="false">SUMIFS(tabela_registros[VALOR],tabela_registros[MÊS],$AE$1,tabela_registros[DIA],reservafixaconsolidadomar[[#Headers],[2]],tabela_registros[REGISTRO],DADOS!$N$6,tabela_registros[TIPO],DADOS!$AJ$3,tabela_registros[CATEGORIA],reservafixaconsolidadomar[[#This Row],[ATUAL]])</f>
        <v>0</v>
      </c>
      <c r="G173" s="119" t="n">
        <f aca="false">SUMIFS(tabela_registros[VALOR],tabela_registros[MÊS],$AE$1,tabela_registros[DIA],reservafixaconsolidadomar[[#Headers],[3]],tabela_registros[REGISTRO],DADOS!$N$6,tabela_registros[TIPO],DADOS!$AJ$3,tabela_registros[CATEGORIA],reservafixaconsolidadomar[[#This Row],[ATUAL]])</f>
        <v>0</v>
      </c>
      <c r="H173" s="119" t="n">
        <f aca="false">SUMIFS(tabela_registros[VALOR],tabela_registros[MÊS],$AE$1,tabela_registros[DIA],reservafixaconsolidadomar[[#Headers],[4]],tabela_registros[REGISTRO],DADOS!$N$6,tabela_registros[TIPO],DADOS!$AJ$3,tabela_registros[CATEGORIA],reservafixaconsolidadomar[[#This Row],[ATUAL]])</f>
        <v>0</v>
      </c>
      <c r="I173" s="119" t="n">
        <f aca="false">SUMIFS(tabela_registros[VALOR],tabela_registros[MÊS],$AE$1,tabela_registros[DIA],reservafixaconsolidadomar[[#Headers],[5]],tabela_registros[REGISTRO],DADOS!$N$6,tabela_registros[TIPO],DADOS!$AJ$3,tabela_registros[CATEGORIA],reservafixaconsolidadomar[[#This Row],[ATUAL]])</f>
        <v>0</v>
      </c>
      <c r="J173" s="119" t="n">
        <f aca="false">SUMIFS(tabela_registros[VALOR],tabela_registros[MÊS],$AE$1,tabela_registros[DIA],reservafixaconsolidadomar[[#Headers],[6]],tabela_registros[REGISTRO],DADOS!$N$6,tabela_registros[TIPO],DADOS!$AJ$3,tabela_registros[CATEGORIA],reservafixaconsolidadomar[[#This Row],[ATUAL]])</f>
        <v>0</v>
      </c>
      <c r="K173" s="119" t="n">
        <f aca="false">SUMIFS(tabela_registros[VALOR],tabela_registros[MÊS],$AE$1,tabela_registros[DIA],reservafixaconsolidadomar[[#Headers],[7]],tabela_registros[REGISTRO],DADOS!$N$6,tabela_registros[TIPO],DADOS!$AJ$3,tabela_registros[CATEGORIA],reservafixaconsolidadomar[[#This Row],[ATUAL]])</f>
        <v>0</v>
      </c>
      <c r="L173" s="119" t="n">
        <f aca="false">SUMIFS(tabela_registros[VALOR],tabela_registros[MÊS],$AE$1,tabela_registros[DIA],reservafixaconsolidadomar[[#Headers],[8]],tabela_registros[REGISTRO],DADOS!$N$6,tabela_registros[TIPO],DADOS!$AJ$3,tabela_registros[CATEGORIA],reservafixaconsolidadomar[[#This Row],[ATUAL]])</f>
        <v>0</v>
      </c>
      <c r="M173" s="119" t="n">
        <f aca="false">SUMIFS(tabela_registros[VALOR],tabela_registros[MÊS],$AE$1,tabela_registros[DIA],reservafixaconsolidadomar[[#Headers],[9]],tabela_registros[REGISTRO],DADOS!$N$6,tabela_registros[TIPO],DADOS!$AJ$3,tabela_registros[CATEGORIA],reservafixaconsolidadomar[[#This Row],[ATUAL]])</f>
        <v>0</v>
      </c>
      <c r="N173" s="119" t="n">
        <f aca="false">SUMIFS(tabela_registros[VALOR],tabela_registros[MÊS],$AE$1,tabela_registros[DIA],reservafixaconsolidadomar[[#Headers],[10]],tabela_registros[REGISTRO],DADOS!$N$6,tabela_registros[TIPO],DADOS!$AJ$3,tabela_registros[CATEGORIA],reservafixaconsolidadomar[[#This Row],[ATUAL]])</f>
        <v>0</v>
      </c>
      <c r="O173" s="119" t="n">
        <f aca="false">SUMIFS(tabela_registros[VALOR],tabela_registros[MÊS],$AE$1,tabela_registros[DIA],reservafixaconsolidadomar[[#Headers],[11]],tabela_registros[REGISTRO],DADOS!$N$6,tabela_registros[TIPO],DADOS!$AJ$3,tabela_registros[CATEGORIA],reservafixaconsolidadomar[[#This Row],[ATUAL]])</f>
        <v>0</v>
      </c>
      <c r="P173" s="119" t="n">
        <f aca="false">SUMIFS(tabela_registros[VALOR],tabela_registros[MÊS],$AE$1,tabela_registros[DIA],reservafixaconsolidadomar[[#Headers],[12]],tabela_registros[REGISTRO],DADOS!$N$6,tabela_registros[TIPO],DADOS!$AJ$3,tabela_registros[CATEGORIA],reservafixaconsolidadomar[[#This Row],[ATUAL]])</f>
        <v>0</v>
      </c>
      <c r="Q173" s="119" t="n">
        <f aca="false">SUMIFS(tabela_registros[VALOR],tabela_registros[MÊS],$AE$1,tabela_registros[DIA],reservafixaconsolidadomar[[#Headers],[13]],tabela_registros[REGISTRO],DADOS!$N$6,tabela_registros[TIPO],DADOS!$AJ$3,tabela_registros[CATEGORIA],reservafixaconsolidadomar[[#This Row],[ATUAL]])</f>
        <v>0</v>
      </c>
      <c r="R173" s="119" t="n">
        <f aca="false">SUMIFS(tabela_registros[VALOR],tabela_registros[MÊS],$AE$1,tabela_registros[DIA],reservafixaconsolidadomar[[#Headers],[14]],tabela_registros[REGISTRO],DADOS!$N$6,tabela_registros[TIPO],DADOS!$AJ$3,tabela_registros[CATEGORIA],reservafixaconsolidadomar[[#This Row],[ATUAL]])</f>
        <v>0</v>
      </c>
      <c r="S173" s="119" t="n">
        <f aca="false">SUMIFS(tabela_registros[VALOR],tabela_registros[MÊS],$AE$1,tabela_registros[DIA],reservafixaconsolidadomar[[#Headers],[15]],tabela_registros[REGISTRO],DADOS!$N$6,tabela_registros[TIPO],DADOS!$AJ$3,tabela_registros[CATEGORIA],reservafixaconsolidadomar[[#This Row],[ATUAL]])</f>
        <v>0</v>
      </c>
      <c r="T173" s="119" t="n">
        <f aca="false">SUMIFS(tabela_registros[VALOR],tabela_registros[MÊS],$AE$1,tabela_registros[DIA],reservafixaconsolidadomar[[#Headers],[16]],tabela_registros[REGISTRO],DADOS!$N$6,tabela_registros[TIPO],DADOS!$AJ$3,tabela_registros[CATEGORIA],reservafixaconsolidadomar[[#This Row],[ATUAL]])</f>
        <v>0</v>
      </c>
      <c r="U173" s="119" t="n">
        <f aca="false">SUMIFS(tabela_registros[VALOR],tabela_registros[MÊS],$AE$1,tabela_registros[DIA],reservafixaconsolidadomar[[#Headers],[17]],tabela_registros[REGISTRO],DADOS!$N$6,tabela_registros[TIPO],DADOS!$AJ$3,tabela_registros[CATEGORIA],reservafixaconsolidadomar[[#This Row],[ATUAL]])</f>
        <v>0</v>
      </c>
      <c r="V173" s="119" t="n">
        <f aca="false">SUMIFS(tabela_registros[VALOR],tabela_registros[MÊS],$AE$1,tabela_registros[DIA],reservafixaconsolidadomar[[#Headers],[18]],tabela_registros[REGISTRO],DADOS!$N$6,tabela_registros[TIPO],DADOS!$AJ$3,tabela_registros[CATEGORIA],reservafixaconsolidadomar[[#This Row],[ATUAL]])</f>
        <v>0</v>
      </c>
      <c r="W173" s="119" t="n">
        <f aca="false">SUMIFS(tabela_registros[VALOR],tabela_registros[MÊS],$AE$1,tabela_registros[DIA],reservafixaconsolidadomar[[#Headers],[19]],tabela_registros[REGISTRO],DADOS!$N$6,tabela_registros[TIPO],DADOS!$AJ$3,tabela_registros[CATEGORIA],reservafixaconsolidadomar[[#This Row],[ATUAL]])</f>
        <v>0</v>
      </c>
      <c r="X173" s="119" t="n">
        <f aca="false">SUMIFS(tabela_registros[VALOR],tabela_registros[MÊS],$AE$1,tabela_registros[DIA],reservafixaconsolidadomar[[#Headers],[20]],tabela_registros[REGISTRO],DADOS!$N$6,tabela_registros[TIPO],DADOS!$AJ$3,tabela_registros[CATEGORIA],reservafixaconsolidadomar[[#This Row],[ATUAL]])</f>
        <v>0</v>
      </c>
      <c r="Y173" s="119" t="n">
        <f aca="false">SUMIFS(tabela_registros[VALOR],tabela_registros[MÊS],$AE$1,tabela_registros[DIA],reservafixaconsolidadomar[[#Headers],[21]],tabela_registros[REGISTRO],DADOS!$N$6,tabela_registros[TIPO],DADOS!$AJ$3,tabela_registros[CATEGORIA],reservafixaconsolidadomar[[#This Row],[ATUAL]])</f>
        <v>0</v>
      </c>
      <c r="Z173" s="119" t="n">
        <f aca="false">SUMIFS(tabela_registros[VALOR],tabela_registros[MÊS],$AE$1,tabela_registros[DIA],reservafixaconsolidadomar[[#Headers],[22]],tabela_registros[REGISTRO],DADOS!$N$6,tabela_registros[TIPO],DADOS!$AJ$3,tabela_registros[CATEGORIA],reservafixaconsolidadomar[[#This Row],[ATUAL]])</f>
        <v>0</v>
      </c>
      <c r="AA173" s="119" t="n">
        <f aca="false">SUMIFS(tabela_registros[VALOR],tabela_registros[MÊS],$AE$1,tabela_registros[DIA],reservafixaconsolidadomar[[#Headers],[23]],tabela_registros[REGISTRO],DADOS!$N$6,tabela_registros[TIPO],DADOS!$AJ$3,tabela_registros[CATEGORIA],reservafixaconsolidadomar[[#This Row],[ATUAL]])</f>
        <v>0</v>
      </c>
      <c r="AB173" s="119" t="n">
        <f aca="false">SUMIFS(tabela_registros[VALOR],tabela_registros[MÊS],$AE$1,tabela_registros[DIA],reservafixaconsolidadomar[[#Headers],[24]],tabela_registros[REGISTRO],DADOS!$N$6,tabela_registros[TIPO],DADOS!$AJ$3,tabela_registros[CATEGORIA],reservafixaconsolidadomar[[#This Row],[ATUAL]])</f>
        <v>0</v>
      </c>
      <c r="AC173" s="119" t="n">
        <f aca="false">SUMIFS(tabela_registros[VALOR],tabela_registros[MÊS],$AE$1,tabela_registros[DIA],reservafixaconsolidadomar[[#Headers],[25]],tabela_registros[REGISTRO],DADOS!$N$6,tabela_registros[TIPO],DADOS!$AJ$3,tabela_registros[CATEGORIA],reservafixaconsolidadomar[[#This Row],[ATUAL]])</f>
        <v>0</v>
      </c>
      <c r="AD173" s="119" t="n">
        <f aca="false">SUMIFS(tabela_registros[VALOR],tabela_registros[MÊS],$AE$1,tabela_registros[DIA],reservafixaconsolidadomar[[#Headers],[26]],tabela_registros[REGISTRO],DADOS!$N$6,tabela_registros[TIPO],DADOS!$AJ$3,tabela_registros[CATEGORIA],reservafixaconsolidadomar[[#This Row],[ATUAL]])</f>
        <v>0</v>
      </c>
      <c r="AE173" s="119" t="n">
        <f aca="false">SUMIFS(tabela_registros[VALOR],tabela_registros[MÊS],$AE$1,tabela_registros[DIA],reservafixaconsolidadomar[[#Headers],[27]],tabela_registros[REGISTRO],DADOS!$N$6,tabela_registros[TIPO],DADOS!$AJ$3,tabela_registros[CATEGORIA],reservafixaconsolidadomar[[#This Row],[ATUAL]])</f>
        <v>0</v>
      </c>
      <c r="AF173" s="119" t="n">
        <f aca="false">SUMIFS(tabela_registros[VALOR],tabela_registros[MÊS],$AE$1,tabela_registros[DIA],reservafixaconsolidadomar[[#Headers],[28]],tabela_registros[REGISTRO],DADOS!$N$6,tabela_registros[TIPO],DADOS!$AJ$3,tabela_registros[CATEGORIA],reservafixaconsolidadomar[[#This Row],[ATUAL]])</f>
        <v>0</v>
      </c>
      <c r="AG173" s="119" t="n">
        <f aca="false">SUMIFS(tabela_registros[VALOR],tabela_registros[MÊS],$AE$1,tabela_registros[DIA],reservafixaconsolidadomar[[#Headers],[29]],tabela_registros[REGISTRO],DADOS!$N$6,tabela_registros[TIPO],DADOS!$AJ$3,tabela_registros[CATEGORIA],reservafixaconsolidadomar[[#This Row],[ATUAL]])</f>
        <v>0</v>
      </c>
      <c r="AH173" s="119" t="n">
        <f aca="false">SUMIFS(tabela_registros[VALOR],tabela_registros[MÊS],$AE$1,tabela_registros[DIA],reservafixaconsolidadomar[[#Headers],[30]],tabela_registros[REGISTRO],DADOS!$N$6,tabela_registros[TIPO],DADOS!$AJ$3,tabela_registros[CATEGORIA],reservafixaconsolidadomar[[#This Row],[ATUAL]])</f>
        <v>0</v>
      </c>
      <c r="AI173" s="217" t="n">
        <f aca="false">SUMIFS(tabela_registros[VALOR],tabela_registros[MÊS],$AE$1,tabela_registros[DIA],reservafixaconsolidadomar[[#Headers],[31]],tabela_registros[REGISTRO],DADOS!$N$6,tabela_registros[TIPO],DADOS!$AJ$3,tabela_registros[CATEGORIA],reservafixaconsolidadomar[[#This Row],[ATUAL]])</f>
        <v>0</v>
      </c>
      <c r="AJ173" s="149" t="n">
        <f aca="false">SUM(reservafixaconsolidadomar[[#This Row],[1]:[31]])</f>
        <v>0</v>
      </c>
      <c r="AK173" s="165"/>
    </row>
    <row r="174" customFormat="false" ht="19.5" hidden="false" customHeight="true" outlineLevel="0" collapsed="false">
      <c r="B174" s="143"/>
      <c r="C174" s="144" t="str">
        <f aca="false">DADOS!$AL$9</f>
        <v>📝 LCA</v>
      </c>
      <c r="D174" s="145" t="str">
        <f aca="false">IF(reservafixaconsolidadomar[[#This Row],[TOTAL (R$)]]=0,"",IF(OR(reservafixaconsolidadomar[[#This Row],[TOTAL (R$)]]=LARGE($AJ$168:$AJ$177,1),reservafixaconsolidadomar[[#This Row],[TOTAL (R$)]]=LARGE($AJ$168:$AJ$177,2)),DADOS!$I$11,""))</f>
        <v/>
      </c>
      <c r="E174" s="148" t="n">
        <f aca="false">SUMIFS(tabela_registros[VALOR],tabela_registros[MÊS],$AE$1,tabela_registros[DIA],reservafixaconsolidadomar[[#Headers],[1]],tabela_registros[REGISTRO],DADOS!$N$6,tabela_registros[TIPO],DADOS!$AJ$3,tabela_registros[CATEGORIA],reservafixaconsolidadomar[[#This Row],[ATUAL]])</f>
        <v>0</v>
      </c>
      <c r="F174" s="119" t="n">
        <f aca="false">SUMIFS(tabela_registros[VALOR],tabela_registros[MÊS],$AE$1,tabela_registros[DIA],reservafixaconsolidadomar[[#Headers],[2]],tabela_registros[REGISTRO],DADOS!$N$6,tabela_registros[TIPO],DADOS!$AJ$3,tabela_registros[CATEGORIA],reservafixaconsolidadomar[[#This Row],[ATUAL]])</f>
        <v>0</v>
      </c>
      <c r="G174" s="119" t="n">
        <f aca="false">SUMIFS(tabela_registros[VALOR],tabela_registros[MÊS],$AE$1,tabela_registros[DIA],reservafixaconsolidadomar[[#Headers],[3]],tabela_registros[REGISTRO],DADOS!$N$6,tabela_registros[TIPO],DADOS!$AJ$3,tabela_registros[CATEGORIA],reservafixaconsolidadomar[[#This Row],[ATUAL]])</f>
        <v>0</v>
      </c>
      <c r="H174" s="119" t="n">
        <f aca="false">SUMIFS(tabela_registros[VALOR],tabela_registros[MÊS],$AE$1,tabela_registros[DIA],reservafixaconsolidadomar[[#Headers],[4]],tabela_registros[REGISTRO],DADOS!$N$6,tabela_registros[TIPO],DADOS!$AJ$3,tabela_registros[CATEGORIA],reservafixaconsolidadomar[[#This Row],[ATUAL]])</f>
        <v>0</v>
      </c>
      <c r="I174" s="119" t="n">
        <f aca="false">SUMIFS(tabela_registros[VALOR],tabela_registros[MÊS],$AE$1,tabela_registros[DIA],reservafixaconsolidadomar[[#Headers],[5]],tabela_registros[REGISTRO],DADOS!$N$6,tabela_registros[TIPO],DADOS!$AJ$3,tabela_registros[CATEGORIA],reservafixaconsolidadomar[[#This Row],[ATUAL]])</f>
        <v>0</v>
      </c>
      <c r="J174" s="119" t="n">
        <f aca="false">SUMIFS(tabela_registros[VALOR],tabela_registros[MÊS],$AE$1,tabela_registros[DIA],reservafixaconsolidadomar[[#Headers],[6]],tabela_registros[REGISTRO],DADOS!$N$6,tabela_registros[TIPO],DADOS!$AJ$3,tabela_registros[CATEGORIA],reservafixaconsolidadomar[[#This Row],[ATUAL]])</f>
        <v>0</v>
      </c>
      <c r="K174" s="119" t="n">
        <f aca="false">SUMIFS(tabela_registros[VALOR],tabela_registros[MÊS],$AE$1,tabela_registros[DIA],reservafixaconsolidadomar[[#Headers],[7]],tabela_registros[REGISTRO],DADOS!$N$6,tabela_registros[TIPO],DADOS!$AJ$3,tabela_registros[CATEGORIA],reservafixaconsolidadomar[[#This Row],[ATUAL]])</f>
        <v>0</v>
      </c>
      <c r="L174" s="119" t="n">
        <f aca="false">SUMIFS(tabela_registros[VALOR],tabela_registros[MÊS],$AE$1,tabela_registros[DIA],reservafixaconsolidadomar[[#Headers],[8]],tabela_registros[REGISTRO],DADOS!$N$6,tabela_registros[TIPO],DADOS!$AJ$3,tabela_registros[CATEGORIA],reservafixaconsolidadomar[[#This Row],[ATUAL]])</f>
        <v>0</v>
      </c>
      <c r="M174" s="119" t="n">
        <f aca="false">SUMIFS(tabela_registros[VALOR],tabela_registros[MÊS],$AE$1,tabela_registros[DIA],reservafixaconsolidadomar[[#Headers],[9]],tabela_registros[REGISTRO],DADOS!$N$6,tabela_registros[TIPO],DADOS!$AJ$3,tabela_registros[CATEGORIA],reservafixaconsolidadomar[[#This Row],[ATUAL]])</f>
        <v>0</v>
      </c>
      <c r="N174" s="119" t="n">
        <f aca="false">SUMIFS(tabela_registros[VALOR],tabela_registros[MÊS],$AE$1,tabela_registros[DIA],reservafixaconsolidadomar[[#Headers],[10]],tabela_registros[REGISTRO],DADOS!$N$6,tabela_registros[TIPO],DADOS!$AJ$3,tabela_registros[CATEGORIA],reservafixaconsolidadomar[[#This Row],[ATUAL]])</f>
        <v>0</v>
      </c>
      <c r="O174" s="119" t="n">
        <f aca="false">SUMIFS(tabela_registros[VALOR],tabela_registros[MÊS],$AE$1,tabela_registros[DIA],reservafixaconsolidadomar[[#Headers],[11]],tabela_registros[REGISTRO],DADOS!$N$6,tabela_registros[TIPO],DADOS!$AJ$3,tabela_registros[CATEGORIA],reservafixaconsolidadomar[[#This Row],[ATUAL]])</f>
        <v>0</v>
      </c>
      <c r="P174" s="119" t="n">
        <f aca="false">SUMIFS(tabela_registros[VALOR],tabela_registros[MÊS],$AE$1,tabela_registros[DIA],reservafixaconsolidadomar[[#Headers],[12]],tabela_registros[REGISTRO],DADOS!$N$6,tabela_registros[TIPO],DADOS!$AJ$3,tabela_registros[CATEGORIA],reservafixaconsolidadomar[[#This Row],[ATUAL]])</f>
        <v>0</v>
      </c>
      <c r="Q174" s="119" t="n">
        <f aca="false">SUMIFS(tabela_registros[VALOR],tabela_registros[MÊS],$AE$1,tabela_registros[DIA],reservafixaconsolidadomar[[#Headers],[13]],tabela_registros[REGISTRO],DADOS!$N$6,tabela_registros[TIPO],DADOS!$AJ$3,tabela_registros[CATEGORIA],reservafixaconsolidadomar[[#This Row],[ATUAL]])</f>
        <v>0</v>
      </c>
      <c r="R174" s="119" t="n">
        <f aca="false">SUMIFS(tabela_registros[VALOR],tabela_registros[MÊS],$AE$1,tabela_registros[DIA],reservafixaconsolidadomar[[#Headers],[14]],tabela_registros[REGISTRO],DADOS!$N$6,tabela_registros[TIPO],DADOS!$AJ$3,tabela_registros[CATEGORIA],reservafixaconsolidadomar[[#This Row],[ATUAL]])</f>
        <v>0</v>
      </c>
      <c r="S174" s="119" t="n">
        <f aca="false">SUMIFS(tabela_registros[VALOR],tabela_registros[MÊS],$AE$1,tabela_registros[DIA],reservafixaconsolidadomar[[#Headers],[15]],tabela_registros[REGISTRO],DADOS!$N$6,tabela_registros[TIPO],DADOS!$AJ$3,tabela_registros[CATEGORIA],reservafixaconsolidadomar[[#This Row],[ATUAL]])</f>
        <v>0</v>
      </c>
      <c r="T174" s="119" t="n">
        <f aca="false">SUMIFS(tabela_registros[VALOR],tabela_registros[MÊS],$AE$1,tabela_registros[DIA],reservafixaconsolidadomar[[#Headers],[16]],tabela_registros[REGISTRO],DADOS!$N$6,tabela_registros[TIPO],DADOS!$AJ$3,tabela_registros[CATEGORIA],reservafixaconsolidadomar[[#This Row],[ATUAL]])</f>
        <v>0</v>
      </c>
      <c r="U174" s="119" t="n">
        <f aca="false">SUMIFS(tabela_registros[VALOR],tabela_registros[MÊS],$AE$1,tabela_registros[DIA],reservafixaconsolidadomar[[#Headers],[17]],tabela_registros[REGISTRO],DADOS!$N$6,tabela_registros[TIPO],DADOS!$AJ$3,tabela_registros[CATEGORIA],reservafixaconsolidadomar[[#This Row],[ATUAL]])</f>
        <v>0</v>
      </c>
      <c r="V174" s="119" t="n">
        <f aca="false">SUMIFS(tabela_registros[VALOR],tabela_registros[MÊS],$AE$1,tabela_registros[DIA],reservafixaconsolidadomar[[#Headers],[18]],tabela_registros[REGISTRO],DADOS!$N$6,tabela_registros[TIPO],DADOS!$AJ$3,tabela_registros[CATEGORIA],reservafixaconsolidadomar[[#This Row],[ATUAL]])</f>
        <v>0</v>
      </c>
      <c r="W174" s="119" t="n">
        <f aca="false">SUMIFS(tabela_registros[VALOR],tabela_registros[MÊS],$AE$1,tabela_registros[DIA],reservafixaconsolidadomar[[#Headers],[19]],tabela_registros[REGISTRO],DADOS!$N$6,tabela_registros[TIPO],DADOS!$AJ$3,tabela_registros[CATEGORIA],reservafixaconsolidadomar[[#This Row],[ATUAL]])</f>
        <v>0</v>
      </c>
      <c r="X174" s="119" t="n">
        <f aca="false">SUMIFS(tabela_registros[VALOR],tabela_registros[MÊS],$AE$1,tabela_registros[DIA],reservafixaconsolidadomar[[#Headers],[20]],tabela_registros[REGISTRO],DADOS!$N$6,tabela_registros[TIPO],DADOS!$AJ$3,tabela_registros[CATEGORIA],reservafixaconsolidadomar[[#This Row],[ATUAL]])</f>
        <v>0</v>
      </c>
      <c r="Y174" s="119" t="n">
        <f aca="false">SUMIFS(tabela_registros[VALOR],tabela_registros[MÊS],$AE$1,tabela_registros[DIA],reservafixaconsolidadomar[[#Headers],[21]],tabela_registros[REGISTRO],DADOS!$N$6,tabela_registros[TIPO],DADOS!$AJ$3,tabela_registros[CATEGORIA],reservafixaconsolidadomar[[#This Row],[ATUAL]])</f>
        <v>0</v>
      </c>
      <c r="Z174" s="119" t="n">
        <f aca="false">SUMIFS(tabela_registros[VALOR],tabela_registros[MÊS],$AE$1,tabela_registros[DIA],reservafixaconsolidadomar[[#Headers],[22]],tabela_registros[REGISTRO],DADOS!$N$6,tabela_registros[TIPO],DADOS!$AJ$3,tabela_registros[CATEGORIA],reservafixaconsolidadomar[[#This Row],[ATUAL]])</f>
        <v>0</v>
      </c>
      <c r="AA174" s="119" t="n">
        <f aca="false">SUMIFS(tabela_registros[VALOR],tabela_registros[MÊS],$AE$1,tabela_registros[DIA],reservafixaconsolidadomar[[#Headers],[23]],tabela_registros[REGISTRO],DADOS!$N$6,tabela_registros[TIPO],DADOS!$AJ$3,tabela_registros[CATEGORIA],reservafixaconsolidadomar[[#This Row],[ATUAL]])</f>
        <v>0</v>
      </c>
      <c r="AB174" s="119" t="n">
        <f aca="false">SUMIFS(tabela_registros[VALOR],tabela_registros[MÊS],$AE$1,tabela_registros[DIA],reservafixaconsolidadomar[[#Headers],[24]],tabela_registros[REGISTRO],DADOS!$N$6,tabela_registros[TIPO],DADOS!$AJ$3,tabela_registros[CATEGORIA],reservafixaconsolidadomar[[#This Row],[ATUAL]])</f>
        <v>0</v>
      </c>
      <c r="AC174" s="119" t="n">
        <f aca="false">SUMIFS(tabela_registros[VALOR],tabela_registros[MÊS],$AE$1,tabela_registros[DIA],reservafixaconsolidadomar[[#Headers],[25]],tabela_registros[REGISTRO],DADOS!$N$6,tabela_registros[TIPO],DADOS!$AJ$3,tabela_registros[CATEGORIA],reservafixaconsolidadomar[[#This Row],[ATUAL]])</f>
        <v>0</v>
      </c>
      <c r="AD174" s="119" t="n">
        <f aca="false">SUMIFS(tabela_registros[VALOR],tabela_registros[MÊS],$AE$1,tabela_registros[DIA],reservafixaconsolidadomar[[#Headers],[26]],tabela_registros[REGISTRO],DADOS!$N$6,tabela_registros[TIPO],DADOS!$AJ$3,tabela_registros[CATEGORIA],reservafixaconsolidadomar[[#This Row],[ATUAL]])</f>
        <v>0</v>
      </c>
      <c r="AE174" s="119" t="n">
        <f aca="false">SUMIFS(tabela_registros[VALOR],tabela_registros[MÊS],$AE$1,tabela_registros[DIA],reservafixaconsolidadomar[[#Headers],[27]],tabela_registros[REGISTRO],DADOS!$N$6,tabela_registros[TIPO],DADOS!$AJ$3,tabela_registros[CATEGORIA],reservafixaconsolidadomar[[#This Row],[ATUAL]])</f>
        <v>0</v>
      </c>
      <c r="AF174" s="119" t="n">
        <f aca="false">SUMIFS(tabela_registros[VALOR],tabela_registros[MÊS],$AE$1,tabela_registros[DIA],reservafixaconsolidadomar[[#Headers],[28]],tabela_registros[REGISTRO],DADOS!$N$6,tabela_registros[TIPO],DADOS!$AJ$3,tabela_registros[CATEGORIA],reservafixaconsolidadomar[[#This Row],[ATUAL]])</f>
        <v>0</v>
      </c>
      <c r="AG174" s="119" t="n">
        <f aca="false">SUMIFS(tabela_registros[VALOR],tabela_registros[MÊS],$AE$1,tabela_registros[DIA],reservafixaconsolidadomar[[#Headers],[29]],tabela_registros[REGISTRO],DADOS!$N$6,tabela_registros[TIPO],DADOS!$AJ$3,tabela_registros[CATEGORIA],reservafixaconsolidadomar[[#This Row],[ATUAL]])</f>
        <v>0</v>
      </c>
      <c r="AH174" s="119" t="n">
        <f aca="false">SUMIFS(tabela_registros[VALOR],tabela_registros[MÊS],$AE$1,tabela_registros[DIA],reservafixaconsolidadomar[[#Headers],[30]],tabela_registros[REGISTRO],DADOS!$N$6,tabela_registros[TIPO],DADOS!$AJ$3,tabela_registros[CATEGORIA],reservafixaconsolidadomar[[#This Row],[ATUAL]])</f>
        <v>0</v>
      </c>
      <c r="AI174" s="217" t="n">
        <f aca="false">SUMIFS(tabela_registros[VALOR],tabela_registros[MÊS],$AE$1,tabela_registros[DIA],reservafixaconsolidadomar[[#Headers],[31]],tabela_registros[REGISTRO],DADOS!$N$6,tabela_registros[TIPO],DADOS!$AJ$3,tabela_registros[CATEGORIA],reservafixaconsolidadomar[[#This Row],[ATUAL]])</f>
        <v>0</v>
      </c>
      <c r="AJ174" s="149" t="n">
        <f aca="false">SUM(reservafixaconsolidadomar[[#This Row],[1]:[31]])</f>
        <v>0</v>
      </c>
      <c r="AK174" s="165"/>
    </row>
    <row r="175" customFormat="false" ht="19.5" hidden="false" customHeight="true" outlineLevel="0" collapsed="false">
      <c r="B175" s="143"/>
      <c r="C175" s="144" t="str">
        <f aca="false">DADOS!$AL$10</f>
        <v>📝 LCI</v>
      </c>
      <c r="D175" s="145" t="str">
        <f aca="false">IF(reservafixaconsolidadomar[[#This Row],[TOTAL (R$)]]=0,"",IF(OR(reservafixaconsolidadomar[[#This Row],[TOTAL (R$)]]=LARGE($AJ$168:$AJ$177,1),reservafixaconsolidadomar[[#This Row],[TOTAL (R$)]]=LARGE($AJ$168:$AJ$177,2)),DADOS!$I$11,""))</f>
        <v/>
      </c>
      <c r="E175" s="148" t="n">
        <f aca="false">SUMIFS(tabela_registros[VALOR],tabela_registros[MÊS],$AE$1,tabela_registros[DIA],reservafixaconsolidadomar[[#Headers],[1]],tabela_registros[REGISTRO],DADOS!$N$6,tabela_registros[TIPO],DADOS!$AJ$3,tabela_registros[CATEGORIA],reservafixaconsolidadomar[[#This Row],[ATUAL]])</f>
        <v>0</v>
      </c>
      <c r="F175" s="119" t="n">
        <f aca="false">SUMIFS(tabela_registros[VALOR],tabela_registros[MÊS],$AE$1,tabela_registros[DIA],reservafixaconsolidadomar[[#Headers],[2]],tabela_registros[REGISTRO],DADOS!$N$6,tabela_registros[TIPO],DADOS!$AJ$3,tabela_registros[CATEGORIA],reservafixaconsolidadomar[[#This Row],[ATUAL]])</f>
        <v>0</v>
      </c>
      <c r="G175" s="119" t="n">
        <f aca="false">SUMIFS(tabela_registros[VALOR],tabela_registros[MÊS],$AE$1,tabela_registros[DIA],reservafixaconsolidadomar[[#Headers],[3]],tabela_registros[REGISTRO],DADOS!$N$6,tabela_registros[TIPO],DADOS!$AJ$3,tabela_registros[CATEGORIA],reservafixaconsolidadomar[[#This Row],[ATUAL]])</f>
        <v>0</v>
      </c>
      <c r="H175" s="119" t="n">
        <f aca="false">SUMIFS(tabela_registros[VALOR],tabela_registros[MÊS],$AE$1,tabela_registros[DIA],reservafixaconsolidadomar[[#Headers],[4]],tabela_registros[REGISTRO],DADOS!$N$6,tabela_registros[TIPO],DADOS!$AJ$3,tabela_registros[CATEGORIA],reservafixaconsolidadomar[[#This Row],[ATUAL]])</f>
        <v>0</v>
      </c>
      <c r="I175" s="119" t="n">
        <f aca="false">SUMIFS(tabela_registros[VALOR],tabela_registros[MÊS],$AE$1,tabela_registros[DIA],reservafixaconsolidadomar[[#Headers],[5]],tabela_registros[REGISTRO],DADOS!$N$6,tabela_registros[TIPO],DADOS!$AJ$3,tabela_registros[CATEGORIA],reservafixaconsolidadomar[[#This Row],[ATUAL]])</f>
        <v>0</v>
      </c>
      <c r="J175" s="119" t="n">
        <f aca="false">SUMIFS(tabela_registros[VALOR],tabela_registros[MÊS],$AE$1,tabela_registros[DIA],reservafixaconsolidadomar[[#Headers],[6]],tabela_registros[REGISTRO],DADOS!$N$6,tabela_registros[TIPO],DADOS!$AJ$3,tabela_registros[CATEGORIA],reservafixaconsolidadomar[[#This Row],[ATUAL]])</f>
        <v>0</v>
      </c>
      <c r="K175" s="119" t="n">
        <f aca="false">SUMIFS(tabela_registros[VALOR],tabela_registros[MÊS],$AE$1,tabela_registros[DIA],reservafixaconsolidadomar[[#Headers],[7]],tabela_registros[REGISTRO],DADOS!$N$6,tabela_registros[TIPO],DADOS!$AJ$3,tabela_registros[CATEGORIA],reservafixaconsolidadomar[[#This Row],[ATUAL]])</f>
        <v>0</v>
      </c>
      <c r="L175" s="119" t="n">
        <f aca="false">SUMIFS(tabela_registros[VALOR],tabela_registros[MÊS],$AE$1,tabela_registros[DIA],reservafixaconsolidadomar[[#Headers],[8]],tabela_registros[REGISTRO],DADOS!$N$6,tabela_registros[TIPO],DADOS!$AJ$3,tabela_registros[CATEGORIA],reservafixaconsolidadomar[[#This Row],[ATUAL]])</f>
        <v>0</v>
      </c>
      <c r="M175" s="119" t="n">
        <f aca="false">SUMIFS(tabela_registros[VALOR],tabela_registros[MÊS],$AE$1,tabela_registros[DIA],reservafixaconsolidadomar[[#Headers],[9]],tabela_registros[REGISTRO],DADOS!$N$6,tabela_registros[TIPO],DADOS!$AJ$3,tabela_registros[CATEGORIA],reservafixaconsolidadomar[[#This Row],[ATUAL]])</f>
        <v>0</v>
      </c>
      <c r="N175" s="119" t="n">
        <f aca="false">SUMIFS(tabela_registros[VALOR],tabela_registros[MÊS],$AE$1,tabela_registros[DIA],reservafixaconsolidadomar[[#Headers],[10]],tabela_registros[REGISTRO],DADOS!$N$6,tabela_registros[TIPO],DADOS!$AJ$3,tabela_registros[CATEGORIA],reservafixaconsolidadomar[[#This Row],[ATUAL]])</f>
        <v>0</v>
      </c>
      <c r="O175" s="119" t="n">
        <f aca="false">SUMIFS(tabela_registros[VALOR],tabela_registros[MÊS],$AE$1,tabela_registros[DIA],reservafixaconsolidadomar[[#Headers],[11]],tabela_registros[REGISTRO],DADOS!$N$6,tabela_registros[TIPO],DADOS!$AJ$3,tabela_registros[CATEGORIA],reservafixaconsolidadomar[[#This Row],[ATUAL]])</f>
        <v>0</v>
      </c>
      <c r="P175" s="119" t="n">
        <f aca="false">SUMIFS(tabela_registros[VALOR],tabela_registros[MÊS],$AE$1,tabela_registros[DIA],reservafixaconsolidadomar[[#Headers],[12]],tabela_registros[REGISTRO],DADOS!$N$6,tabela_registros[TIPO],DADOS!$AJ$3,tabela_registros[CATEGORIA],reservafixaconsolidadomar[[#This Row],[ATUAL]])</f>
        <v>0</v>
      </c>
      <c r="Q175" s="119" t="n">
        <f aca="false">SUMIFS(tabela_registros[VALOR],tabela_registros[MÊS],$AE$1,tabela_registros[DIA],reservafixaconsolidadomar[[#Headers],[13]],tabela_registros[REGISTRO],DADOS!$N$6,tabela_registros[TIPO],DADOS!$AJ$3,tabela_registros[CATEGORIA],reservafixaconsolidadomar[[#This Row],[ATUAL]])</f>
        <v>0</v>
      </c>
      <c r="R175" s="119" t="n">
        <f aca="false">SUMIFS(tabela_registros[VALOR],tabela_registros[MÊS],$AE$1,tabela_registros[DIA],reservafixaconsolidadomar[[#Headers],[14]],tabela_registros[REGISTRO],DADOS!$N$6,tabela_registros[TIPO],DADOS!$AJ$3,tabela_registros[CATEGORIA],reservafixaconsolidadomar[[#This Row],[ATUAL]])</f>
        <v>0</v>
      </c>
      <c r="S175" s="119" t="n">
        <f aca="false">SUMIFS(tabela_registros[VALOR],tabela_registros[MÊS],$AE$1,tabela_registros[DIA],reservafixaconsolidadomar[[#Headers],[15]],tabela_registros[REGISTRO],DADOS!$N$6,tabela_registros[TIPO],DADOS!$AJ$3,tabela_registros[CATEGORIA],reservafixaconsolidadomar[[#This Row],[ATUAL]])</f>
        <v>0</v>
      </c>
      <c r="T175" s="119" t="n">
        <f aca="false">SUMIFS(tabela_registros[VALOR],tabela_registros[MÊS],$AE$1,tabela_registros[DIA],reservafixaconsolidadomar[[#Headers],[16]],tabela_registros[REGISTRO],DADOS!$N$6,tabela_registros[TIPO],DADOS!$AJ$3,tabela_registros[CATEGORIA],reservafixaconsolidadomar[[#This Row],[ATUAL]])</f>
        <v>0</v>
      </c>
      <c r="U175" s="119" t="n">
        <f aca="false">SUMIFS(tabela_registros[VALOR],tabela_registros[MÊS],$AE$1,tabela_registros[DIA],reservafixaconsolidadomar[[#Headers],[17]],tabela_registros[REGISTRO],DADOS!$N$6,tabela_registros[TIPO],DADOS!$AJ$3,tabela_registros[CATEGORIA],reservafixaconsolidadomar[[#This Row],[ATUAL]])</f>
        <v>0</v>
      </c>
      <c r="V175" s="119" t="n">
        <f aca="false">SUMIFS(tabela_registros[VALOR],tabela_registros[MÊS],$AE$1,tabela_registros[DIA],reservafixaconsolidadomar[[#Headers],[18]],tabela_registros[REGISTRO],DADOS!$N$6,tabela_registros[TIPO],DADOS!$AJ$3,tabela_registros[CATEGORIA],reservafixaconsolidadomar[[#This Row],[ATUAL]])</f>
        <v>0</v>
      </c>
      <c r="W175" s="119" t="n">
        <f aca="false">SUMIFS(tabela_registros[VALOR],tabela_registros[MÊS],$AE$1,tabela_registros[DIA],reservafixaconsolidadomar[[#Headers],[19]],tabela_registros[REGISTRO],DADOS!$N$6,tabela_registros[TIPO],DADOS!$AJ$3,tabela_registros[CATEGORIA],reservafixaconsolidadomar[[#This Row],[ATUAL]])</f>
        <v>0</v>
      </c>
      <c r="X175" s="119" t="n">
        <f aca="false">SUMIFS(tabela_registros[VALOR],tabela_registros[MÊS],$AE$1,tabela_registros[DIA],reservafixaconsolidadomar[[#Headers],[20]],tabela_registros[REGISTRO],DADOS!$N$6,tabela_registros[TIPO],DADOS!$AJ$3,tabela_registros[CATEGORIA],reservafixaconsolidadomar[[#This Row],[ATUAL]])</f>
        <v>0</v>
      </c>
      <c r="Y175" s="119" t="n">
        <f aca="false">SUMIFS(tabela_registros[VALOR],tabela_registros[MÊS],$AE$1,tabela_registros[DIA],reservafixaconsolidadomar[[#Headers],[21]],tabela_registros[REGISTRO],DADOS!$N$6,tabela_registros[TIPO],DADOS!$AJ$3,tabela_registros[CATEGORIA],reservafixaconsolidadomar[[#This Row],[ATUAL]])</f>
        <v>0</v>
      </c>
      <c r="Z175" s="119" t="n">
        <f aca="false">SUMIFS(tabela_registros[VALOR],tabela_registros[MÊS],$AE$1,tabela_registros[DIA],reservafixaconsolidadomar[[#Headers],[22]],tabela_registros[REGISTRO],DADOS!$N$6,tabela_registros[TIPO],DADOS!$AJ$3,tabela_registros[CATEGORIA],reservafixaconsolidadomar[[#This Row],[ATUAL]])</f>
        <v>0</v>
      </c>
      <c r="AA175" s="119" t="n">
        <f aca="false">SUMIFS(tabela_registros[VALOR],tabela_registros[MÊS],$AE$1,tabela_registros[DIA],reservafixaconsolidadomar[[#Headers],[23]],tabela_registros[REGISTRO],DADOS!$N$6,tabela_registros[TIPO],DADOS!$AJ$3,tabela_registros[CATEGORIA],reservafixaconsolidadomar[[#This Row],[ATUAL]])</f>
        <v>0</v>
      </c>
      <c r="AB175" s="119" t="n">
        <f aca="false">SUMIFS(tabela_registros[VALOR],tabela_registros[MÊS],$AE$1,tabela_registros[DIA],reservafixaconsolidadomar[[#Headers],[24]],tabela_registros[REGISTRO],DADOS!$N$6,tabela_registros[TIPO],DADOS!$AJ$3,tabela_registros[CATEGORIA],reservafixaconsolidadomar[[#This Row],[ATUAL]])</f>
        <v>0</v>
      </c>
      <c r="AC175" s="119" t="n">
        <f aca="false">SUMIFS(tabela_registros[VALOR],tabela_registros[MÊS],$AE$1,tabela_registros[DIA],reservafixaconsolidadomar[[#Headers],[25]],tabela_registros[REGISTRO],DADOS!$N$6,tabela_registros[TIPO],DADOS!$AJ$3,tabela_registros[CATEGORIA],reservafixaconsolidadomar[[#This Row],[ATUAL]])</f>
        <v>0</v>
      </c>
      <c r="AD175" s="119" t="n">
        <f aca="false">SUMIFS(tabela_registros[VALOR],tabela_registros[MÊS],$AE$1,tabela_registros[DIA],reservafixaconsolidadomar[[#Headers],[26]],tabela_registros[REGISTRO],DADOS!$N$6,tabela_registros[TIPO],DADOS!$AJ$3,tabela_registros[CATEGORIA],reservafixaconsolidadomar[[#This Row],[ATUAL]])</f>
        <v>0</v>
      </c>
      <c r="AE175" s="119" t="n">
        <f aca="false">SUMIFS(tabela_registros[VALOR],tabela_registros[MÊS],$AE$1,tabela_registros[DIA],reservafixaconsolidadomar[[#Headers],[27]],tabela_registros[REGISTRO],DADOS!$N$6,tabela_registros[TIPO],DADOS!$AJ$3,tabela_registros[CATEGORIA],reservafixaconsolidadomar[[#This Row],[ATUAL]])</f>
        <v>0</v>
      </c>
      <c r="AF175" s="119" t="n">
        <f aca="false">SUMIFS(tabela_registros[VALOR],tabela_registros[MÊS],$AE$1,tabela_registros[DIA],reservafixaconsolidadomar[[#Headers],[28]],tabela_registros[REGISTRO],DADOS!$N$6,tabela_registros[TIPO],DADOS!$AJ$3,tabela_registros[CATEGORIA],reservafixaconsolidadomar[[#This Row],[ATUAL]])</f>
        <v>0</v>
      </c>
      <c r="AG175" s="119" t="n">
        <f aca="false">SUMIFS(tabela_registros[VALOR],tabela_registros[MÊS],$AE$1,tabela_registros[DIA],reservafixaconsolidadomar[[#Headers],[29]],tabela_registros[REGISTRO],DADOS!$N$6,tabela_registros[TIPO],DADOS!$AJ$3,tabela_registros[CATEGORIA],reservafixaconsolidadomar[[#This Row],[ATUAL]])</f>
        <v>0</v>
      </c>
      <c r="AH175" s="119" t="n">
        <f aca="false">SUMIFS(tabela_registros[VALOR],tabela_registros[MÊS],$AE$1,tabela_registros[DIA],reservafixaconsolidadomar[[#Headers],[30]],tabela_registros[REGISTRO],DADOS!$N$6,tabela_registros[TIPO],DADOS!$AJ$3,tabela_registros[CATEGORIA],reservafixaconsolidadomar[[#This Row],[ATUAL]])</f>
        <v>0</v>
      </c>
      <c r="AI175" s="217" t="n">
        <f aca="false">SUMIFS(tabela_registros[VALOR],tabela_registros[MÊS],$AE$1,tabela_registros[DIA],reservafixaconsolidadomar[[#Headers],[31]],tabela_registros[REGISTRO],DADOS!$N$6,tabela_registros[TIPO],DADOS!$AJ$3,tabela_registros[CATEGORIA],reservafixaconsolidadomar[[#This Row],[ATUAL]])</f>
        <v>0</v>
      </c>
      <c r="AJ175" s="149" t="n">
        <f aca="false">SUM(reservafixaconsolidadomar[[#This Row],[1]:[31]])</f>
        <v>0</v>
      </c>
      <c r="AK175" s="165"/>
    </row>
    <row r="176" customFormat="false" ht="19.5" hidden="false" customHeight="true" outlineLevel="0" collapsed="false">
      <c r="B176" s="143"/>
      <c r="C176" s="144" t="str">
        <f aca="false">DADOS!$AL$11</f>
        <v>📝 TESOURO DIRETO</v>
      </c>
      <c r="D176" s="145" t="str">
        <f aca="false">IF(reservafixaconsolidadomar[[#This Row],[TOTAL (R$)]]=0,"",IF(OR(reservafixaconsolidadomar[[#This Row],[TOTAL (R$)]]=LARGE($AJ$168:$AJ$177,1),reservafixaconsolidadomar[[#This Row],[TOTAL (R$)]]=LARGE($AJ$168:$AJ$177,2)),DADOS!$I$11,""))</f>
        <v/>
      </c>
      <c r="E176" s="148" t="n">
        <f aca="false">SUMIFS(tabela_registros[VALOR],tabela_registros[MÊS],$AE$1,tabela_registros[DIA],reservafixaconsolidadomar[[#Headers],[1]],tabela_registros[REGISTRO],DADOS!$N$6,tabela_registros[TIPO],DADOS!$AJ$3,tabela_registros[CATEGORIA],reservafixaconsolidadomar[[#This Row],[ATUAL]])</f>
        <v>0</v>
      </c>
      <c r="F176" s="119" t="n">
        <f aca="false">SUMIFS(tabela_registros[VALOR],tabela_registros[MÊS],$AE$1,tabela_registros[DIA],reservafixaconsolidadomar[[#Headers],[2]],tabela_registros[REGISTRO],DADOS!$N$6,tabela_registros[TIPO],DADOS!$AJ$3,tabela_registros[CATEGORIA],reservafixaconsolidadomar[[#This Row],[ATUAL]])</f>
        <v>0</v>
      </c>
      <c r="G176" s="119" t="n">
        <f aca="false">SUMIFS(tabela_registros[VALOR],tabela_registros[MÊS],$AE$1,tabela_registros[DIA],reservafixaconsolidadomar[[#Headers],[3]],tabela_registros[REGISTRO],DADOS!$N$6,tabela_registros[TIPO],DADOS!$AJ$3,tabela_registros[CATEGORIA],reservafixaconsolidadomar[[#This Row],[ATUAL]])</f>
        <v>0</v>
      </c>
      <c r="H176" s="119" t="n">
        <f aca="false">SUMIFS(tabela_registros[VALOR],tabela_registros[MÊS],$AE$1,tabela_registros[DIA],reservafixaconsolidadomar[[#Headers],[4]],tabela_registros[REGISTRO],DADOS!$N$6,tabela_registros[TIPO],DADOS!$AJ$3,tabela_registros[CATEGORIA],reservafixaconsolidadomar[[#This Row],[ATUAL]])</f>
        <v>0</v>
      </c>
      <c r="I176" s="119" t="n">
        <f aca="false">SUMIFS(tabela_registros[VALOR],tabela_registros[MÊS],$AE$1,tabela_registros[DIA],reservafixaconsolidadomar[[#Headers],[5]],tabela_registros[REGISTRO],DADOS!$N$6,tabela_registros[TIPO],DADOS!$AJ$3,tabela_registros[CATEGORIA],reservafixaconsolidadomar[[#This Row],[ATUAL]])</f>
        <v>0</v>
      </c>
      <c r="J176" s="119" t="n">
        <f aca="false">SUMIFS(tabela_registros[VALOR],tabela_registros[MÊS],$AE$1,tabela_registros[DIA],reservafixaconsolidadomar[[#Headers],[6]],tabela_registros[REGISTRO],DADOS!$N$6,tabela_registros[TIPO],DADOS!$AJ$3,tabela_registros[CATEGORIA],reservafixaconsolidadomar[[#This Row],[ATUAL]])</f>
        <v>0</v>
      </c>
      <c r="K176" s="119" t="n">
        <f aca="false">SUMIFS(tabela_registros[VALOR],tabela_registros[MÊS],$AE$1,tabela_registros[DIA],reservafixaconsolidadomar[[#Headers],[7]],tabela_registros[REGISTRO],DADOS!$N$6,tabela_registros[TIPO],DADOS!$AJ$3,tabela_registros[CATEGORIA],reservafixaconsolidadomar[[#This Row],[ATUAL]])</f>
        <v>0</v>
      </c>
      <c r="L176" s="119" t="n">
        <f aca="false">SUMIFS(tabela_registros[VALOR],tabela_registros[MÊS],$AE$1,tabela_registros[DIA],reservafixaconsolidadomar[[#Headers],[8]],tabela_registros[REGISTRO],DADOS!$N$6,tabela_registros[TIPO],DADOS!$AJ$3,tabela_registros[CATEGORIA],reservafixaconsolidadomar[[#This Row],[ATUAL]])</f>
        <v>0</v>
      </c>
      <c r="M176" s="119" t="n">
        <f aca="false">SUMIFS(tabela_registros[VALOR],tabela_registros[MÊS],$AE$1,tabela_registros[DIA],reservafixaconsolidadomar[[#Headers],[9]],tabela_registros[REGISTRO],DADOS!$N$6,tabela_registros[TIPO],DADOS!$AJ$3,tabela_registros[CATEGORIA],reservafixaconsolidadomar[[#This Row],[ATUAL]])</f>
        <v>0</v>
      </c>
      <c r="N176" s="119" t="n">
        <f aca="false">SUMIFS(tabela_registros[VALOR],tabela_registros[MÊS],$AE$1,tabela_registros[DIA],reservafixaconsolidadomar[[#Headers],[10]],tabela_registros[REGISTRO],DADOS!$N$6,tabela_registros[TIPO],DADOS!$AJ$3,tabela_registros[CATEGORIA],reservafixaconsolidadomar[[#This Row],[ATUAL]])</f>
        <v>0</v>
      </c>
      <c r="O176" s="119" t="n">
        <f aca="false">SUMIFS(tabela_registros[VALOR],tabela_registros[MÊS],$AE$1,tabela_registros[DIA],reservafixaconsolidadomar[[#Headers],[11]],tabela_registros[REGISTRO],DADOS!$N$6,tabela_registros[TIPO],DADOS!$AJ$3,tabela_registros[CATEGORIA],reservafixaconsolidadomar[[#This Row],[ATUAL]])</f>
        <v>0</v>
      </c>
      <c r="P176" s="119" t="n">
        <f aca="false">SUMIFS(tabela_registros[VALOR],tabela_registros[MÊS],$AE$1,tabela_registros[DIA],reservafixaconsolidadomar[[#Headers],[12]],tabela_registros[REGISTRO],DADOS!$N$6,tabela_registros[TIPO],DADOS!$AJ$3,tabela_registros[CATEGORIA],reservafixaconsolidadomar[[#This Row],[ATUAL]])</f>
        <v>0</v>
      </c>
      <c r="Q176" s="119" t="n">
        <f aca="false">SUMIFS(tabela_registros[VALOR],tabela_registros[MÊS],$AE$1,tabela_registros[DIA],reservafixaconsolidadomar[[#Headers],[13]],tabela_registros[REGISTRO],DADOS!$N$6,tabela_registros[TIPO],DADOS!$AJ$3,tabela_registros[CATEGORIA],reservafixaconsolidadomar[[#This Row],[ATUAL]])</f>
        <v>0</v>
      </c>
      <c r="R176" s="119" t="n">
        <f aca="false">SUMIFS(tabela_registros[VALOR],tabela_registros[MÊS],$AE$1,tabela_registros[DIA],reservafixaconsolidadomar[[#Headers],[14]],tabela_registros[REGISTRO],DADOS!$N$6,tabela_registros[TIPO],DADOS!$AJ$3,tabela_registros[CATEGORIA],reservafixaconsolidadomar[[#This Row],[ATUAL]])</f>
        <v>0</v>
      </c>
      <c r="S176" s="119" t="n">
        <f aca="false">SUMIFS(tabela_registros[VALOR],tabela_registros[MÊS],$AE$1,tabela_registros[DIA],reservafixaconsolidadomar[[#Headers],[15]],tabela_registros[REGISTRO],DADOS!$N$6,tabela_registros[TIPO],DADOS!$AJ$3,tabela_registros[CATEGORIA],reservafixaconsolidadomar[[#This Row],[ATUAL]])</f>
        <v>0</v>
      </c>
      <c r="T176" s="119" t="n">
        <f aca="false">SUMIFS(tabela_registros[VALOR],tabela_registros[MÊS],$AE$1,tabela_registros[DIA],reservafixaconsolidadomar[[#Headers],[16]],tabela_registros[REGISTRO],DADOS!$N$6,tabela_registros[TIPO],DADOS!$AJ$3,tabela_registros[CATEGORIA],reservafixaconsolidadomar[[#This Row],[ATUAL]])</f>
        <v>0</v>
      </c>
      <c r="U176" s="119" t="n">
        <f aca="false">SUMIFS(tabela_registros[VALOR],tabela_registros[MÊS],$AE$1,tabela_registros[DIA],reservafixaconsolidadomar[[#Headers],[17]],tabela_registros[REGISTRO],DADOS!$N$6,tabela_registros[TIPO],DADOS!$AJ$3,tabela_registros[CATEGORIA],reservafixaconsolidadomar[[#This Row],[ATUAL]])</f>
        <v>0</v>
      </c>
      <c r="V176" s="119" t="n">
        <f aca="false">SUMIFS(tabela_registros[VALOR],tabela_registros[MÊS],$AE$1,tabela_registros[DIA],reservafixaconsolidadomar[[#Headers],[18]],tabela_registros[REGISTRO],DADOS!$N$6,tabela_registros[TIPO],DADOS!$AJ$3,tabela_registros[CATEGORIA],reservafixaconsolidadomar[[#This Row],[ATUAL]])</f>
        <v>0</v>
      </c>
      <c r="W176" s="119" t="n">
        <f aca="false">SUMIFS(tabela_registros[VALOR],tabela_registros[MÊS],$AE$1,tabela_registros[DIA],reservafixaconsolidadomar[[#Headers],[19]],tabela_registros[REGISTRO],DADOS!$N$6,tabela_registros[TIPO],DADOS!$AJ$3,tabela_registros[CATEGORIA],reservafixaconsolidadomar[[#This Row],[ATUAL]])</f>
        <v>0</v>
      </c>
      <c r="X176" s="119" t="n">
        <f aca="false">SUMIFS(tabela_registros[VALOR],tabela_registros[MÊS],$AE$1,tabela_registros[DIA],reservafixaconsolidadomar[[#Headers],[20]],tabela_registros[REGISTRO],DADOS!$N$6,tabela_registros[TIPO],DADOS!$AJ$3,tabela_registros[CATEGORIA],reservafixaconsolidadomar[[#This Row],[ATUAL]])</f>
        <v>0</v>
      </c>
      <c r="Y176" s="119" t="n">
        <f aca="false">SUMIFS(tabela_registros[VALOR],tabela_registros[MÊS],$AE$1,tabela_registros[DIA],reservafixaconsolidadomar[[#Headers],[21]],tabela_registros[REGISTRO],DADOS!$N$6,tabela_registros[TIPO],DADOS!$AJ$3,tabela_registros[CATEGORIA],reservafixaconsolidadomar[[#This Row],[ATUAL]])</f>
        <v>0</v>
      </c>
      <c r="Z176" s="119" t="n">
        <f aca="false">SUMIFS(tabela_registros[VALOR],tabela_registros[MÊS],$AE$1,tabela_registros[DIA],reservafixaconsolidadomar[[#Headers],[22]],tabela_registros[REGISTRO],DADOS!$N$6,tabela_registros[TIPO],DADOS!$AJ$3,tabela_registros[CATEGORIA],reservafixaconsolidadomar[[#This Row],[ATUAL]])</f>
        <v>0</v>
      </c>
      <c r="AA176" s="119" t="n">
        <f aca="false">SUMIFS(tabela_registros[VALOR],tabela_registros[MÊS],$AE$1,tabela_registros[DIA],reservafixaconsolidadomar[[#Headers],[23]],tabela_registros[REGISTRO],DADOS!$N$6,tabela_registros[TIPO],DADOS!$AJ$3,tabela_registros[CATEGORIA],reservafixaconsolidadomar[[#This Row],[ATUAL]])</f>
        <v>0</v>
      </c>
      <c r="AB176" s="119" t="n">
        <f aca="false">SUMIFS(tabela_registros[VALOR],tabela_registros[MÊS],$AE$1,tabela_registros[DIA],reservafixaconsolidadomar[[#Headers],[24]],tabela_registros[REGISTRO],DADOS!$N$6,tabela_registros[TIPO],DADOS!$AJ$3,tabela_registros[CATEGORIA],reservafixaconsolidadomar[[#This Row],[ATUAL]])</f>
        <v>0</v>
      </c>
      <c r="AC176" s="119" t="n">
        <f aca="false">SUMIFS(tabela_registros[VALOR],tabela_registros[MÊS],$AE$1,tabela_registros[DIA],reservafixaconsolidadomar[[#Headers],[25]],tabela_registros[REGISTRO],DADOS!$N$6,tabela_registros[TIPO],DADOS!$AJ$3,tabela_registros[CATEGORIA],reservafixaconsolidadomar[[#This Row],[ATUAL]])</f>
        <v>0</v>
      </c>
      <c r="AD176" s="119" t="n">
        <f aca="false">SUMIFS(tabela_registros[VALOR],tabela_registros[MÊS],$AE$1,tabela_registros[DIA],reservafixaconsolidadomar[[#Headers],[26]],tabela_registros[REGISTRO],DADOS!$N$6,tabela_registros[TIPO],DADOS!$AJ$3,tabela_registros[CATEGORIA],reservafixaconsolidadomar[[#This Row],[ATUAL]])</f>
        <v>0</v>
      </c>
      <c r="AE176" s="119" t="n">
        <f aca="false">SUMIFS(tabela_registros[VALOR],tabela_registros[MÊS],$AE$1,tabela_registros[DIA],reservafixaconsolidadomar[[#Headers],[27]],tabela_registros[REGISTRO],DADOS!$N$6,tabela_registros[TIPO],DADOS!$AJ$3,tabela_registros[CATEGORIA],reservafixaconsolidadomar[[#This Row],[ATUAL]])</f>
        <v>0</v>
      </c>
      <c r="AF176" s="119" t="n">
        <f aca="false">SUMIFS(tabela_registros[VALOR],tabela_registros[MÊS],$AE$1,tabela_registros[DIA],reservafixaconsolidadomar[[#Headers],[28]],tabela_registros[REGISTRO],DADOS!$N$6,tabela_registros[TIPO],DADOS!$AJ$3,tabela_registros[CATEGORIA],reservafixaconsolidadomar[[#This Row],[ATUAL]])</f>
        <v>0</v>
      </c>
      <c r="AG176" s="119" t="n">
        <f aca="false">SUMIFS(tabela_registros[VALOR],tabela_registros[MÊS],$AE$1,tabela_registros[DIA],reservafixaconsolidadomar[[#Headers],[29]],tabela_registros[REGISTRO],DADOS!$N$6,tabela_registros[TIPO],DADOS!$AJ$3,tabela_registros[CATEGORIA],reservafixaconsolidadomar[[#This Row],[ATUAL]])</f>
        <v>0</v>
      </c>
      <c r="AH176" s="119" t="n">
        <f aca="false">SUMIFS(tabela_registros[VALOR],tabela_registros[MÊS],$AE$1,tabela_registros[DIA],reservafixaconsolidadomar[[#Headers],[30]],tabela_registros[REGISTRO],DADOS!$N$6,tabela_registros[TIPO],DADOS!$AJ$3,tabela_registros[CATEGORIA],reservafixaconsolidadomar[[#This Row],[ATUAL]])</f>
        <v>0</v>
      </c>
      <c r="AI176" s="217" t="n">
        <f aca="false">SUMIFS(tabela_registros[VALOR],tabela_registros[MÊS],$AE$1,tabela_registros[DIA],reservafixaconsolidadomar[[#Headers],[31]],tabela_registros[REGISTRO],DADOS!$N$6,tabela_registros[TIPO],DADOS!$AJ$3,tabela_registros[CATEGORIA],reservafixaconsolidadomar[[#This Row],[ATUAL]])</f>
        <v>0</v>
      </c>
      <c r="AJ176" s="149" t="n">
        <f aca="false">SUM(reservafixaconsolidadomar[[#This Row],[1]:[31]])</f>
        <v>0</v>
      </c>
      <c r="AK176" s="165"/>
    </row>
    <row r="177" customFormat="false" ht="19.5" hidden="false" customHeight="true" outlineLevel="0" collapsed="false">
      <c r="B177" s="143"/>
      <c r="C177" s="144" t="str">
        <f aca="false">DADOS!$AL$12</f>
        <v>📎 OUTROS</v>
      </c>
      <c r="D177" s="145" t="str">
        <f aca="false">IF(reservafixaconsolidadomar[[#This Row],[TOTAL (R$)]]=0,"",IF(OR(reservafixaconsolidadomar[[#This Row],[TOTAL (R$)]]=LARGE($AJ$168:$AJ$177,1),reservafixaconsolidadomar[[#This Row],[TOTAL (R$)]]=LARGE($AJ$168:$AJ$177,2)),DADOS!$I$11,""))</f>
        <v/>
      </c>
      <c r="E177" s="148" t="n">
        <f aca="false">SUMIFS(tabela_registros[VALOR],tabela_registros[MÊS],$AE$1,tabela_registros[DIA],reservafixaconsolidadomar[[#Headers],[1]],tabela_registros[REGISTRO],DADOS!$N$6,tabela_registros[TIPO],DADOS!$AJ$3,tabela_registros[CATEGORIA],reservafixaconsolidadomar[[#This Row],[ATUAL]])</f>
        <v>0</v>
      </c>
      <c r="F177" s="119" t="n">
        <f aca="false">SUMIFS(tabela_registros[VALOR],tabela_registros[MÊS],$AE$1,tabela_registros[DIA],reservafixaconsolidadomar[[#Headers],[2]],tabela_registros[REGISTRO],DADOS!$N$6,tabela_registros[TIPO],DADOS!$AJ$3,tabela_registros[CATEGORIA],reservafixaconsolidadomar[[#This Row],[ATUAL]])</f>
        <v>0</v>
      </c>
      <c r="G177" s="119" t="n">
        <f aca="false">SUMIFS(tabela_registros[VALOR],tabela_registros[MÊS],$AE$1,tabela_registros[DIA],reservafixaconsolidadomar[[#Headers],[3]],tabela_registros[REGISTRO],DADOS!$N$6,tabela_registros[TIPO],DADOS!$AJ$3,tabela_registros[CATEGORIA],reservafixaconsolidadomar[[#This Row],[ATUAL]])</f>
        <v>0</v>
      </c>
      <c r="H177" s="119" t="n">
        <f aca="false">SUMIFS(tabela_registros[VALOR],tabela_registros[MÊS],$AE$1,tabela_registros[DIA],reservafixaconsolidadomar[[#Headers],[4]],tabela_registros[REGISTRO],DADOS!$N$6,tabela_registros[TIPO],DADOS!$AJ$3,tabela_registros[CATEGORIA],reservafixaconsolidadomar[[#This Row],[ATUAL]])</f>
        <v>0</v>
      </c>
      <c r="I177" s="119" t="n">
        <f aca="false">SUMIFS(tabela_registros[VALOR],tabela_registros[MÊS],$AE$1,tabela_registros[DIA],reservafixaconsolidadomar[[#Headers],[5]],tabela_registros[REGISTRO],DADOS!$N$6,tabela_registros[TIPO],DADOS!$AJ$3,tabela_registros[CATEGORIA],reservafixaconsolidadomar[[#This Row],[ATUAL]])</f>
        <v>0</v>
      </c>
      <c r="J177" s="119" t="n">
        <f aca="false">SUMIFS(tabela_registros[VALOR],tabela_registros[MÊS],$AE$1,tabela_registros[DIA],reservafixaconsolidadomar[[#Headers],[6]],tabela_registros[REGISTRO],DADOS!$N$6,tabela_registros[TIPO],DADOS!$AJ$3,tabela_registros[CATEGORIA],reservafixaconsolidadomar[[#This Row],[ATUAL]])</f>
        <v>0</v>
      </c>
      <c r="K177" s="119" t="n">
        <f aca="false">SUMIFS(tabela_registros[VALOR],tabela_registros[MÊS],$AE$1,tabela_registros[DIA],reservafixaconsolidadomar[[#Headers],[7]],tabela_registros[REGISTRO],DADOS!$N$6,tabela_registros[TIPO],DADOS!$AJ$3,tabela_registros[CATEGORIA],reservafixaconsolidadomar[[#This Row],[ATUAL]])</f>
        <v>0</v>
      </c>
      <c r="L177" s="119" t="n">
        <f aca="false">SUMIFS(tabela_registros[VALOR],tabela_registros[MÊS],$AE$1,tabela_registros[DIA],reservafixaconsolidadomar[[#Headers],[8]],tabela_registros[REGISTRO],DADOS!$N$6,tabela_registros[TIPO],DADOS!$AJ$3,tabela_registros[CATEGORIA],reservafixaconsolidadomar[[#This Row],[ATUAL]])</f>
        <v>0</v>
      </c>
      <c r="M177" s="119" t="n">
        <f aca="false">SUMIFS(tabela_registros[VALOR],tabela_registros[MÊS],$AE$1,tabela_registros[DIA],reservafixaconsolidadomar[[#Headers],[9]],tabela_registros[REGISTRO],DADOS!$N$6,tabela_registros[TIPO],DADOS!$AJ$3,tabela_registros[CATEGORIA],reservafixaconsolidadomar[[#This Row],[ATUAL]])</f>
        <v>0</v>
      </c>
      <c r="N177" s="119" t="n">
        <f aca="false">SUMIFS(tabela_registros[VALOR],tabela_registros[MÊS],$AE$1,tabela_registros[DIA],reservafixaconsolidadomar[[#Headers],[10]],tabela_registros[REGISTRO],DADOS!$N$6,tabela_registros[TIPO],DADOS!$AJ$3,tabela_registros[CATEGORIA],reservafixaconsolidadomar[[#This Row],[ATUAL]])</f>
        <v>0</v>
      </c>
      <c r="O177" s="119" t="n">
        <f aca="false">SUMIFS(tabela_registros[VALOR],tabela_registros[MÊS],$AE$1,tabela_registros[DIA],reservafixaconsolidadomar[[#Headers],[11]],tabela_registros[REGISTRO],DADOS!$N$6,tabela_registros[TIPO],DADOS!$AJ$3,tabela_registros[CATEGORIA],reservafixaconsolidadomar[[#This Row],[ATUAL]])</f>
        <v>0</v>
      </c>
      <c r="P177" s="119" t="n">
        <f aca="false">SUMIFS(tabela_registros[VALOR],tabela_registros[MÊS],$AE$1,tabela_registros[DIA],reservafixaconsolidadomar[[#Headers],[12]],tabela_registros[REGISTRO],DADOS!$N$6,tabela_registros[TIPO],DADOS!$AJ$3,tabela_registros[CATEGORIA],reservafixaconsolidadomar[[#This Row],[ATUAL]])</f>
        <v>0</v>
      </c>
      <c r="Q177" s="119" t="n">
        <f aca="false">SUMIFS(tabela_registros[VALOR],tabela_registros[MÊS],$AE$1,tabela_registros[DIA],reservafixaconsolidadomar[[#Headers],[13]],tabela_registros[REGISTRO],DADOS!$N$6,tabela_registros[TIPO],DADOS!$AJ$3,tabela_registros[CATEGORIA],reservafixaconsolidadomar[[#This Row],[ATUAL]])</f>
        <v>0</v>
      </c>
      <c r="R177" s="119" t="n">
        <f aca="false">SUMIFS(tabela_registros[VALOR],tabela_registros[MÊS],$AE$1,tabela_registros[DIA],reservafixaconsolidadomar[[#Headers],[14]],tabela_registros[REGISTRO],DADOS!$N$6,tabela_registros[TIPO],DADOS!$AJ$3,tabela_registros[CATEGORIA],reservafixaconsolidadomar[[#This Row],[ATUAL]])</f>
        <v>0</v>
      </c>
      <c r="S177" s="119" t="n">
        <f aca="false">SUMIFS(tabela_registros[VALOR],tabela_registros[MÊS],$AE$1,tabela_registros[DIA],reservafixaconsolidadomar[[#Headers],[15]],tabela_registros[REGISTRO],DADOS!$N$6,tabela_registros[TIPO],DADOS!$AJ$3,tabela_registros[CATEGORIA],reservafixaconsolidadomar[[#This Row],[ATUAL]])</f>
        <v>0</v>
      </c>
      <c r="T177" s="119" t="n">
        <f aca="false">SUMIFS(tabela_registros[VALOR],tabela_registros[MÊS],$AE$1,tabela_registros[DIA],reservafixaconsolidadomar[[#Headers],[16]],tabela_registros[REGISTRO],DADOS!$N$6,tabela_registros[TIPO],DADOS!$AJ$3,tabela_registros[CATEGORIA],reservafixaconsolidadomar[[#This Row],[ATUAL]])</f>
        <v>0</v>
      </c>
      <c r="U177" s="119" t="n">
        <f aca="false">SUMIFS(tabela_registros[VALOR],tabela_registros[MÊS],$AE$1,tabela_registros[DIA],reservafixaconsolidadomar[[#Headers],[17]],tabela_registros[REGISTRO],DADOS!$N$6,tabela_registros[TIPO],DADOS!$AJ$3,tabela_registros[CATEGORIA],reservafixaconsolidadomar[[#This Row],[ATUAL]])</f>
        <v>0</v>
      </c>
      <c r="V177" s="119" t="n">
        <f aca="false">SUMIFS(tabela_registros[VALOR],tabela_registros[MÊS],$AE$1,tabela_registros[DIA],reservafixaconsolidadomar[[#Headers],[18]],tabela_registros[REGISTRO],DADOS!$N$6,tabela_registros[TIPO],DADOS!$AJ$3,tabela_registros[CATEGORIA],reservafixaconsolidadomar[[#This Row],[ATUAL]])</f>
        <v>0</v>
      </c>
      <c r="W177" s="119" t="n">
        <f aca="false">SUMIFS(tabela_registros[VALOR],tabela_registros[MÊS],$AE$1,tabela_registros[DIA],reservafixaconsolidadomar[[#Headers],[19]],tabela_registros[REGISTRO],DADOS!$N$6,tabela_registros[TIPO],DADOS!$AJ$3,tabela_registros[CATEGORIA],reservafixaconsolidadomar[[#This Row],[ATUAL]])</f>
        <v>0</v>
      </c>
      <c r="X177" s="119" t="n">
        <f aca="false">SUMIFS(tabela_registros[VALOR],tabela_registros[MÊS],$AE$1,tabela_registros[DIA],reservafixaconsolidadomar[[#Headers],[20]],tabela_registros[REGISTRO],DADOS!$N$6,tabela_registros[TIPO],DADOS!$AJ$3,tabela_registros[CATEGORIA],reservafixaconsolidadomar[[#This Row],[ATUAL]])</f>
        <v>0</v>
      </c>
      <c r="Y177" s="119" t="n">
        <f aca="false">SUMIFS(tabela_registros[VALOR],tabela_registros[MÊS],$AE$1,tabela_registros[DIA],reservafixaconsolidadomar[[#Headers],[21]],tabela_registros[REGISTRO],DADOS!$N$6,tabela_registros[TIPO],DADOS!$AJ$3,tabela_registros[CATEGORIA],reservafixaconsolidadomar[[#This Row],[ATUAL]])</f>
        <v>0</v>
      </c>
      <c r="Z177" s="119" t="n">
        <f aca="false">SUMIFS(tabela_registros[VALOR],tabela_registros[MÊS],$AE$1,tabela_registros[DIA],reservafixaconsolidadomar[[#Headers],[22]],tabela_registros[REGISTRO],DADOS!$N$6,tabela_registros[TIPO],DADOS!$AJ$3,tabela_registros[CATEGORIA],reservafixaconsolidadomar[[#This Row],[ATUAL]])</f>
        <v>0</v>
      </c>
      <c r="AA177" s="119" t="n">
        <f aca="false">SUMIFS(tabela_registros[VALOR],tabela_registros[MÊS],$AE$1,tabela_registros[DIA],reservafixaconsolidadomar[[#Headers],[23]],tabela_registros[REGISTRO],DADOS!$N$6,tabela_registros[TIPO],DADOS!$AJ$3,tabela_registros[CATEGORIA],reservafixaconsolidadomar[[#This Row],[ATUAL]])</f>
        <v>0</v>
      </c>
      <c r="AB177" s="119" t="n">
        <f aca="false">SUMIFS(tabela_registros[VALOR],tabela_registros[MÊS],$AE$1,tabela_registros[DIA],reservafixaconsolidadomar[[#Headers],[24]],tabela_registros[REGISTRO],DADOS!$N$6,tabela_registros[TIPO],DADOS!$AJ$3,tabela_registros[CATEGORIA],reservafixaconsolidadomar[[#This Row],[ATUAL]])</f>
        <v>0</v>
      </c>
      <c r="AC177" s="119" t="n">
        <f aca="false">SUMIFS(tabela_registros[VALOR],tabela_registros[MÊS],$AE$1,tabela_registros[DIA],reservafixaconsolidadomar[[#Headers],[25]],tabela_registros[REGISTRO],DADOS!$N$6,tabela_registros[TIPO],DADOS!$AJ$3,tabela_registros[CATEGORIA],reservafixaconsolidadomar[[#This Row],[ATUAL]])</f>
        <v>0</v>
      </c>
      <c r="AD177" s="119" t="n">
        <f aca="false">SUMIFS(tabela_registros[VALOR],tabela_registros[MÊS],$AE$1,tabela_registros[DIA],reservafixaconsolidadomar[[#Headers],[26]],tabela_registros[REGISTRO],DADOS!$N$6,tabela_registros[TIPO],DADOS!$AJ$3,tabela_registros[CATEGORIA],reservafixaconsolidadomar[[#This Row],[ATUAL]])</f>
        <v>0</v>
      </c>
      <c r="AE177" s="119" t="n">
        <f aca="false">SUMIFS(tabela_registros[VALOR],tabela_registros[MÊS],$AE$1,tabela_registros[DIA],reservafixaconsolidadomar[[#Headers],[27]],tabela_registros[REGISTRO],DADOS!$N$6,tabela_registros[TIPO],DADOS!$AJ$3,tabela_registros[CATEGORIA],reservafixaconsolidadomar[[#This Row],[ATUAL]])</f>
        <v>0</v>
      </c>
      <c r="AF177" s="119" t="n">
        <f aca="false">SUMIFS(tabela_registros[VALOR],tabela_registros[MÊS],$AE$1,tabela_registros[DIA],reservafixaconsolidadomar[[#Headers],[28]],tabela_registros[REGISTRO],DADOS!$N$6,tabela_registros[TIPO],DADOS!$AJ$3,tabela_registros[CATEGORIA],reservafixaconsolidadomar[[#This Row],[ATUAL]])</f>
        <v>0</v>
      </c>
      <c r="AG177" s="119" t="n">
        <f aca="false">SUMIFS(tabela_registros[VALOR],tabela_registros[MÊS],$AE$1,tabela_registros[DIA],reservafixaconsolidadomar[[#Headers],[29]],tabela_registros[REGISTRO],DADOS!$N$6,tabela_registros[TIPO],DADOS!$AJ$3,tabela_registros[CATEGORIA],reservafixaconsolidadomar[[#This Row],[ATUAL]])</f>
        <v>0</v>
      </c>
      <c r="AH177" s="119" t="n">
        <f aca="false">SUMIFS(tabela_registros[VALOR],tabela_registros[MÊS],$AE$1,tabela_registros[DIA],reservafixaconsolidadomar[[#Headers],[30]],tabela_registros[REGISTRO],DADOS!$N$6,tabela_registros[TIPO],DADOS!$AJ$3,tabela_registros[CATEGORIA],reservafixaconsolidadomar[[#This Row],[ATUAL]])</f>
        <v>0</v>
      </c>
      <c r="AI177" s="218" t="n">
        <f aca="false">SUMIFS(tabela_registros[VALOR],tabela_registros[MÊS],$AE$1,tabela_registros[DIA],reservafixaconsolidadomar[[#Headers],[31]],tabela_registros[REGISTRO],DADOS!$N$6,tabela_registros[TIPO],DADOS!$AJ$3,tabela_registros[CATEGORIA],reservafixaconsolidadomar[[#This Row],[ATUAL]])</f>
        <v>0</v>
      </c>
      <c r="AJ177" s="149" t="n">
        <f aca="false">SUM(reservafixaconsolidadomar[[#This Row],[1]:[31]])</f>
        <v>0</v>
      </c>
      <c r="AK177" s="165"/>
    </row>
    <row r="178" s="122" customFormat="true" ht="21" hidden="false" customHeight="true" outlineLevel="0" collapsed="false">
      <c r="B178" s="152"/>
      <c r="C178" s="153" t="s">
        <v>2</v>
      </c>
      <c r="D178" s="166"/>
      <c r="E178" s="155" t="n">
        <f aca="false">SUM(E168:E177)</f>
        <v>0</v>
      </c>
      <c r="F178" s="156" t="n">
        <f aca="false">SUM(F168:F177)+reservafixaconsolidadomar[[#This Row],[1]]</f>
        <v>0</v>
      </c>
      <c r="G178" s="156" t="n">
        <f aca="false">SUM(G168:G177)+reservafixaconsolidadomar[[#This Row],[2]]</f>
        <v>0</v>
      </c>
      <c r="H178" s="156" t="n">
        <f aca="false">SUM(H168:H177)+reservafixaconsolidadomar[[#This Row],[3]]</f>
        <v>0</v>
      </c>
      <c r="I178" s="156" t="n">
        <f aca="false">SUM(I168:I177)+reservafixaconsolidadomar[[#This Row],[4]]</f>
        <v>0</v>
      </c>
      <c r="J178" s="156" t="n">
        <f aca="false">SUM(J168:J177)+reservafixaconsolidadomar[[#This Row],[5]]</f>
        <v>0</v>
      </c>
      <c r="K178" s="156" t="n">
        <f aca="false">SUM(K168:K177)+reservafixaconsolidadomar[[#This Row],[6]]</f>
        <v>0</v>
      </c>
      <c r="L178" s="156" t="n">
        <f aca="false">SUM(L168:L177)+reservafixaconsolidadomar[[#This Row],[7]]</f>
        <v>0</v>
      </c>
      <c r="M178" s="156" t="n">
        <f aca="false">SUM(M168:M177)+reservafixaconsolidadomar[[#This Row],[8]]</f>
        <v>0</v>
      </c>
      <c r="N178" s="156" t="n">
        <f aca="false">SUM(N168:N177)+reservafixaconsolidadomar[[#This Row],[9]]</f>
        <v>0</v>
      </c>
      <c r="O178" s="156" t="n">
        <f aca="false">SUM(O168:O177)+reservafixaconsolidadomar[[#This Row],[10]]</f>
        <v>0</v>
      </c>
      <c r="P178" s="156" t="n">
        <f aca="false">SUM(P168:P177)+reservafixaconsolidadomar[[#This Row],[11]]</f>
        <v>0</v>
      </c>
      <c r="Q178" s="156" t="n">
        <f aca="false">SUM(Q168:Q177)+reservafixaconsolidadomar[[#This Row],[12]]</f>
        <v>0</v>
      </c>
      <c r="R178" s="156" t="n">
        <f aca="false">SUM(R168:R177)+reservafixaconsolidadomar[[#This Row],[13]]</f>
        <v>0</v>
      </c>
      <c r="S178" s="156" t="n">
        <f aca="false">SUM(S168:S177)+reservafixaconsolidadomar[[#This Row],[14]]</f>
        <v>0</v>
      </c>
      <c r="T178" s="156" t="n">
        <f aca="false">SUM(T168:T177)+reservafixaconsolidadomar[[#This Row],[15]]</f>
        <v>0</v>
      </c>
      <c r="U178" s="156" t="n">
        <f aca="false">SUM(U168:U177)+reservafixaconsolidadomar[[#This Row],[16]]</f>
        <v>0</v>
      </c>
      <c r="V178" s="156" t="n">
        <f aca="false">SUM(V168:V177)+reservafixaconsolidadomar[[#This Row],[17]]</f>
        <v>0</v>
      </c>
      <c r="W178" s="156" t="n">
        <f aca="false">SUM(W168:W177)+reservafixaconsolidadomar[[#This Row],[18]]</f>
        <v>0</v>
      </c>
      <c r="X178" s="156" t="n">
        <f aca="false">SUM(X168:X177)+reservafixaconsolidadomar[[#This Row],[19]]</f>
        <v>0</v>
      </c>
      <c r="Y178" s="156" t="n">
        <f aca="false">SUM(Y168:Y177)+reservafixaconsolidadomar[[#This Row],[20]]</f>
        <v>0</v>
      </c>
      <c r="Z178" s="156" t="n">
        <f aca="false">SUM(Z168:Z177)+reservafixaconsolidadomar[[#This Row],[21]]</f>
        <v>0</v>
      </c>
      <c r="AA178" s="156" t="n">
        <f aca="false">SUM(AA168:AA177)+reservafixaconsolidadomar[[#This Row],[22]]</f>
        <v>0</v>
      </c>
      <c r="AB178" s="156" t="n">
        <f aca="false">SUM(AB168:AB177)+reservafixaconsolidadomar[[#This Row],[23]]</f>
        <v>0</v>
      </c>
      <c r="AC178" s="156" t="n">
        <f aca="false">SUM(AC168:AC177)+reservafixaconsolidadomar[[#This Row],[24]]</f>
        <v>0</v>
      </c>
      <c r="AD178" s="156" t="n">
        <f aca="false">SUM(AD168:AD177)+reservafixaconsolidadomar[[#This Row],[25]]</f>
        <v>0</v>
      </c>
      <c r="AE178" s="156" t="n">
        <f aca="false">SUM(AE168:AE177)+reservafixaconsolidadomar[[#This Row],[26]]</f>
        <v>0</v>
      </c>
      <c r="AF178" s="156" t="n">
        <f aca="false">SUM(AF168:AF177)+reservafixaconsolidadomar[[#This Row],[27]]</f>
        <v>0</v>
      </c>
      <c r="AG178" s="156" t="n">
        <f aca="false">SUM(AG168:AG177)+reservafixaconsolidadomar[[#This Row],[28]]</f>
        <v>0</v>
      </c>
      <c r="AH178" s="156" t="n">
        <f aca="false">SUM(AH168:AH177)+reservafixaconsolidadomar[[#This Row],[29]]</f>
        <v>0</v>
      </c>
      <c r="AI178" s="223" t="n">
        <f aca="false">SUM(AI168:AI177)+reservafixaconsolidadomar[[#This Row],[30]]</f>
        <v>0</v>
      </c>
      <c r="AJ178" s="157" t="n">
        <f aca="false">reservafixaconsolidadomar[[#This Row],[31]]</f>
        <v>0</v>
      </c>
      <c r="AK178" s="158"/>
    </row>
    <row r="179" customFormat="false" ht="6.75" hidden="false" customHeight="true" outlineLevel="0" collapsed="false">
      <c r="B179" s="97"/>
      <c r="C179" s="162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233"/>
      <c r="AJ179" s="164"/>
      <c r="AK179" s="244"/>
    </row>
    <row r="180" s="78" customFormat="true" ht="12.75" hidden="false" customHeight="false" outlineLevel="0" collapsed="false">
      <c r="E180" s="100"/>
    </row>
    <row r="181" s="78" customFormat="true" ht="12" hidden="false" customHeight="false" outlineLevel="0" collapsed="false"/>
    <row r="182" s="78" customFormat="true" ht="12" hidden="false" customHeight="false" outlineLevel="0" collapsed="false"/>
    <row r="183" customFormat="false" ht="39.75" hidden="false" customHeight="true" outlineLevel="0" collapsed="false">
      <c r="C183" s="101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3" t="s">
        <v>2</v>
      </c>
    </row>
    <row r="184" s="78" customFormat="true" ht="12.75" hidden="false" customHeight="false" outlineLevel="0" collapsed="false">
      <c r="B184" s="161"/>
      <c r="AJ184" s="106" t="s">
        <v>64</v>
      </c>
    </row>
    <row r="185" customFormat="false" ht="6.75" hidden="false" customHeight="true" outlineLevel="0" collapsed="false">
      <c r="B185" s="86"/>
      <c r="C185" s="162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233"/>
      <c r="AK185" s="139"/>
    </row>
    <row r="186" customFormat="false" ht="13.5" hidden="true" customHeight="false" outlineLevel="0" collapsed="false">
      <c r="B186" s="86"/>
      <c r="C186" s="109" t="s">
        <v>68</v>
      </c>
      <c r="D186" s="110" t="s">
        <v>69</v>
      </c>
      <c r="E186" s="110" t="s">
        <v>30</v>
      </c>
      <c r="F186" s="110" t="s">
        <v>31</v>
      </c>
      <c r="G186" s="110" t="s">
        <v>32</v>
      </c>
      <c r="H186" s="110" t="s">
        <v>33</v>
      </c>
      <c r="I186" s="110" t="s">
        <v>34</v>
      </c>
      <c r="J186" s="110" t="s">
        <v>35</v>
      </c>
      <c r="K186" s="110" t="s">
        <v>36</v>
      </c>
      <c r="L186" s="110" t="s">
        <v>37</v>
      </c>
      <c r="M186" s="110" t="s">
        <v>38</v>
      </c>
      <c r="N186" s="110" t="s">
        <v>39</v>
      </c>
      <c r="O186" s="110" t="s">
        <v>40</v>
      </c>
      <c r="P186" s="110" t="s">
        <v>41</v>
      </c>
      <c r="Q186" s="110" t="s">
        <v>81</v>
      </c>
      <c r="R186" s="110" t="s">
        <v>82</v>
      </c>
      <c r="S186" s="110" t="s">
        <v>83</v>
      </c>
      <c r="T186" s="110" t="s">
        <v>84</v>
      </c>
      <c r="U186" s="110" t="s">
        <v>85</v>
      </c>
      <c r="V186" s="110" t="s">
        <v>86</v>
      </c>
      <c r="W186" s="110" t="s">
        <v>87</v>
      </c>
      <c r="X186" s="110" t="s">
        <v>88</v>
      </c>
      <c r="Y186" s="110" t="s">
        <v>89</v>
      </c>
      <c r="Z186" s="110" t="s">
        <v>90</v>
      </c>
      <c r="AA186" s="110" t="s">
        <v>91</v>
      </c>
      <c r="AB186" s="110" t="s">
        <v>92</v>
      </c>
      <c r="AC186" s="110" t="s">
        <v>93</v>
      </c>
      <c r="AD186" s="110" t="s">
        <v>94</v>
      </c>
      <c r="AE186" s="110" t="s">
        <v>95</v>
      </c>
      <c r="AF186" s="110" t="s">
        <v>96</v>
      </c>
      <c r="AG186" s="110" t="s">
        <v>97</v>
      </c>
      <c r="AH186" s="110" t="s">
        <v>98</v>
      </c>
      <c r="AI186" s="110" t="s">
        <v>99</v>
      </c>
      <c r="AJ186" s="111" t="s">
        <v>70</v>
      </c>
      <c r="AK186" s="86"/>
    </row>
    <row r="187" customFormat="false" ht="19.5" hidden="false" customHeight="true" outlineLevel="0" collapsed="false">
      <c r="B187" s="143"/>
      <c r="C187" s="144" t="str">
        <f aca="false">DADOS!$AN$3</f>
        <v>📝 AÇÃO</v>
      </c>
      <c r="D187" s="145" t="str">
        <f aca="false">IF(reservavariáveisconsolidadomar[[#This Row],[TOTAL (R$)]]=0,"",IF(OR(reservavariáveisconsolidadomar[[#This Row],[TOTAL (R$)]]=LARGE($AJ$187:$AJ$196,1),reservavariáveisconsolidadomar[[#This Row],[TOTAL (R$)]]=LARGE($AJ$187:$AJ$196,2)),DADOS!$I$11,""))</f>
        <v/>
      </c>
      <c r="E187" s="148" t="n">
        <f aca="false">SUMIFS(tabela_registros[VALOR],tabela_registros[MÊS],$AE$1,tabela_registros[DIA],reservavariáveisconsolidadomar[[#Headers],[1]],tabela_registros[REGISTRO],DADOS!$N$6,tabela_registros[TIPO],DADOS!$AJ$4,tabela_registros[CATEGORIA],reservavariáveisconsolidadomar[[#This Row],[ATUAL]])</f>
        <v>0</v>
      </c>
      <c r="F187" s="119" t="n">
        <f aca="false">SUMIFS(tabela_registros[VALOR],tabela_registros[MÊS],$AE$1,tabela_registros[DIA],reservavariáveisconsolidadomar[[#Headers],[2]],tabela_registros[REGISTRO],DADOS!$N$6,tabela_registros[TIPO],DADOS!$AJ$4,tabela_registros[CATEGORIA],reservavariáveisconsolidadomar[[#This Row],[ATUAL]])</f>
        <v>0</v>
      </c>
      <c r="G187" s="119" t="n">
        <f aca="false">SUMIFS(tabela_registros[VALOR],tabela_registros[MÊS],$AE$1,tabela_registros[DIA],reservavariáveisconsolidadomar[[#Headers],[3]],tabela_registros[REGISTRO],DADOS!$N$6,tabela_registros[TIPO],DADOS!$AJ$4,tabela_registros[CATEGORIA],reservavariáveisconsolidadomar[[#This Row],[ATUAL]])</f>
        <v>0</v>
      </c>
      <c r="H187" s="119" t="n">
        <f aca="false">SUMIFS(tabela_registros[VALOR],tabela_registros[MÊS],$AE$1,tabela_registros[DIA],reservavariáveisconsolidadomar[[#Headers],[4]],tabela_registros[REGISTRO],DADOS!$N$6,tabela_registros[TIPO],DADOS!$AJ$4,tabela_registros[CATEGORIA],reservavariáveisconsolidadomar[[#This Row],[ATUAL]])</f>
        <v>0</v>
      </c>
      <c r="I187" s="119" t="n">
        <f aca="false">SUMIFS(tabela_registros[VALOR],tabela_registros[MÊS],$AE$1,tabela_registros[DIA],reservavariáveisconsolidadomar[[#Headers],[5]],tabela_registros[REGISTRO],DADOS!$N$6,tabela_registros[TIPO],DADOS!$AJ$4,tabela_registros[CATEGORIA],reservavariáveisconsolidadomar[[#This Row],[ATUAL]])</f>
        <v>0</v>
      </c>
      <c r="J187" s="119" t="n">
        <f aca="false">SUMIFS(tabela_registros[VALOR],tabela_registros[MÊS],$AE$1,tabela_registros[DIA],reservavariáveisconsolidadomar[[#Headers],[6]],tabela_registros[REGISTRO],DADOS!$N$6,tabela_registros[TIPO],DADOS!$AJ$4,tabela_registros[CATEGORIA],reservavariáveisconsolidadomar[[#This Row],[ATUAL]])</f>
        <v>0</v>
      </c>
      <c r="K187" s="119" t="n">
        <f aca="false">SUMIFS(tabela_registros[VALOR],tabela_registros[MÊS],$AE$1,tabela_registros[DIA],reservavariáveisconsolidadomar[[#Headers],[7]],tabela_registros[REGISTRO],DADOS!$N$6,tabela_registros[TIPO],DADOS!$AJ$4,tabela_registros[CATEGORIA],reservavariáveisconsolidadomar[[#This Row],[ATUAL]])</f>
        <v>0</v>
      </c>
      <c r="L187" s="119" t="n">
        <f aca="false">SUMIFS(tabela_registros[VALOR],tabela_registros[MÊS],$AE$1,tabela_registros[DIA],reservavariáveisconsolidadomar[[#Headers],[8]],tabela_registros[REGISTRO],DADOS!$N$6,tabela_registros[TIPO],DADOS!$AJ$4,tabela_registros[CATEGORIA],reservavariáveisconsolidadomar[[#This Row],[ATUAL]])</f>
        <v>0</v>
      </c>
      <c r="M187" s="119" t="n">
        <f aca="false">SUMIFS(tabela_registros[VALOR],tabela_registros[MÊS],$AE$1,tabela_registros[DIA],reservavariáveisconsolidadomar[[#Headers],[9]],tabela_registros[REGISTRO],DADOS!$N$6,tabela_registros[TIPO],DADOS!$AJ$4,tabela_registros[CATEGORIA],reservavariáveisconsolidadomar[[#This Row],[ATUAL]])</f>
        <v>0</v>
      </c>
      <c r="N187" s="119" t="n">
        <f aca="false">SUMIFS(tabela_registros[VALOR],tabela_registros[MÊS],$AE$1,tabela_registros[DIA],reservavariáveisconsolidadomar[[#Headers],[10]],tabela_registros[REGISTRO],DADOS!$N$6,tabela_registros[TIPO],DADOS!$AJ$4,tabela_registros[CATEGORIA],reservavariáveisconsolidadomar[[#This Row],[ATUAL]])</f>
        <v>0</v>
      </c>
      <c r="O187" s="119" t="n">
        <f aca="false">SUMIFS(tabela_registros[VALOR],tabela_registros[MÊS],$AE$1,tabela_registros[DIA],reservavariáveisconsolidadomar[[#Headers],[11]],tabela_registros[REGISTRO],DADOS!$N$6,tabela_registros[TIPO],DADOS!$AJ$4,tabela_registros[CATEGORIA],reservavariáveisconsolidadomar[[#This Row],[ATUAL]])</f>
        <v>0</v>
      </c>
      <c r="P187" s="119" t="n">
        <f aca="false">SUMIFS(tabela_registros[VALOR],tabela_registros[MÊS],$AE$1,tabela_registros[DIA],reservavariáveisconsolidadomar[[#Headers],[12]],tabela_registros[REGISTRO],DADOS!$N$6,tabela_registros[TIPO],DADOS!$AJ$4,tabela_registros[CATEGORIA],reservavariáveisconsolidadomar[[#This Row],[ATUAL]])</f>
        <v>0</v>
      </c>
      <c r="Q187" s="119" t="n">
        <f aca="false">SUMIFS(tabela_registros[VALOR],tabela_registros[MÊS],$AE$1,tabela_registros[DIA],reservavariáveisconsolidadomar[[#Headers],[13]],tabela_registros[REGISTRO],DADOS!$N$6,tabela_registros[TIPO],DADOS!$AJ$4,tabela_registros[CATEGORIA],reservavariáveisconsolidadomar[[#This Row],[ATUAL]])</f>
        <v>0</v>
      </c>
      <c r="R187" s="119" t="n">
        <f aca="false">SUMIFS(tabela_registros[VALOR],tabela_registros[MÊS],$AE$1,tabela_registros[DIA],reservavariáveisconsolidadomar[[#Headers],[14]],tabela_registros[REGISTRO],DADOS!$N$6,tabela_registros[TIPO],DADOS!$AJ$4,tabela_registros[CATEGORIA],reservavariáveisconsolidadomar[[#This Row],[ATUAL]])</f>
        <v>0</v>
      </c>
      <c r="S187" s="119" t="n">
        <f aca="false">SUMIFS(tabela_registros[VALOR],tabela_registros[MÊS],$AE$1,tabela_registros[DIA],reservavariáveisconsolidadomar[[#Headers],[15]],tabela_registros[REGISTRO],DADOS!$N$6,tabela_registros[TIPO],DADOS!$AJ$4,tabela_registros[CATEGORIA],reservavariáveisconsolidadomar[[#This Row],[ATUAL]])</f>
        <v>0</v>
      </c>
      <c r="T187" s="119" t="n">
        <f aca="false">SUMIFS(tabela_registros[VALOR],tabela_registros[MÊS],$AE$1,tabela_registros[DIA],reservavariáveisconsolidadomar[[#Headers],[16]],tabela_registros[REGISTRO],DADOS!$N$6,tabela_registros[TIPO],DADOS!$AJ$4,tabela_registros[CATEGORIA],reservavariáveisconsolidadomar[[#This Row],[ATUAL]])</f>
        <v>0</v>
      </c>
      <c r="U187" s="119" t="n">
        <f aca="false">SUMIFS(tabela_registros[VALOR],tabela_registros[MÊS],$AE$1,tabela_registros[DIA],reservavariáveisconsolidadomar[[#Headers],[17]],tabela_registros[REGISTRO],DADOS!$N$6,tabela_registros[TIPO],DADOS!$AJ$4,tabela_registros[CATEGORIA],reservavariáveisconsolidadomar[[#This Row],[ATUAL]])</f>
        <v>0</v>
      </c>
      <c r="V187" s="119" t="n">
        <f aca="false">SUMIFS(tabela_registros[VALOR],tabela_registros[MÊS],$AE$1,tabela_registros[DIA],reservavariáveisconsolidadomar[[#Headers],[18]],tabela_registros[REGISTRO],DADOS!$N$6,tabela_registros[TIPO],DADOS!$AJ$4,tabela_registros[CATEGORIA],reservavariáveisconsolidadomar[[#This Row],[ATUAL]])</f>
        <v>0</v>
      </c>
      <c r="W187" s="119" t="n">
        <f aca="false">SUMIFS(tabela_registros[VALOR],tabela_registros[MÊS],$AE$1,tabela_registros[DIA],reservavariáveisconsolidadomar[[#Headers],[19]],tabela_registros[REGISTRO],DADOS!$N$6,tabela_registros[TIPO],DADOS!$AJ$4,tabela_registros[CATEGORIA],reservavariáveisconsolidadomar[[#This Row],[ATUAL]])</f>
        <v>0</v>
      </c>
      <c r="X187" s="119" t="n">
        <f aca="false">SUMIFS(tabela_registros[VALOR],tabela_registros[MÊS],$AE$1,tabela_registros[DIA],reservavariáveisconsolidadomar[[#Headers],[20]],tabela_registros[REGISTRO],DADOS!$N$6,tabela_registros[TIPO],DADOS!$AJ$4,tabela_registros[CATEGORIA],reservavariáveisconsolidadomar[[#This Row],[ATUAL]])</f>
        <v>0</v>
      </c>
      <c r="Y187" s="119" t="n">
        <f aca="false">SUMIFS(tabela_registros[VALOR],tabela_registros[MÊS],$AE$1,tabela_registros[DIA],reservavariáveisconsolidadomar[[#Headers],[21]],tabela_registros[REGISTRO],DADOS!$N$6,tabela_registros[TIPO],DADOS!$AJ$4,tabela_registros[CATEGORIA],reservavariáveisconsolidadomar[[#This Row],[ATUAL]])</f>
        <v>0</v>
      </c>
      <c r="Z187" s="119" t="n">
        <f aca="false">SUMIFS(tabela_registros[VALOR],tabela_registros[MÊS],$AE$1,tabela_registros[DIA],reservavariáveisconsolidadomar[[#Headers],[22]],tabela_registros[REGISTRO],DADOS!$N$6,tabela_registros[TIPO],DADOS!$AJ$4,tabela_registros[CATEGORIA],reservavariáveisconsolidadomar[[#This Row],[ATUAL]])</f>
        <v>0</v>
      </c>
      <c r="AA187" s="119" t="n">
        <f aca="false">SUMIFS(tabela_registros[VALOR],tabela_registros[MÊS],$AE$1,tabela_registros[DIA],reservavariáveisconsolidadomar[[#Headers],[23]],tabela_registros[REGISTRO],DADOS!$N$6,tabela_registros[TIPO],DADOS!$AJ$4,tabela_registros[CATEGORIA],reservavariáveisconsolidadomar[[#This Row],[ATUAL]])</f>
        <v>0</v>
      </c>
      <c r="AB187" s="119" t="n">
        <f aca="false">SUMIFS(tabela_registros[VALOR],tabela_registros[MÊS],$AE$1,tabela_registros[DIA],reservavariáveisconsolidadomar[[#Headers],[24]],tabela_registros[REGISTRO],DADOS!$N$6,tabela_registros[TIPO],DADOS!$AJ$4,tabela_registros[CATEGORIA],reservavariáveisconsolidadomar[[#This Row],[ATUAL]])</f>
        <v>0</v>
      </c>
      <c r="AC187" s="119" t="n">
        <f aca="false">SUMIFS(tabela_registros[VALOR],tabela_registros[MÊS],$AE$1,tabela_registros[DIA],reservavariáveisconsolidadomar[[#Headers],[25]],tabela_registros[REGISTRO],DADOS!$N$6,tabela_registros[TIPO],DADOS!$AJ$4,tabela_registros[CATEGORIA],reservavariáveisconsolidadomar[[#This Row],[ATUAL]])</f>
        <v>0</v>
      </c>
      <c r="AD187" s="119" t="n">
        <f aca="false">SUMIFS(tabela_registros[VALOR],tabela_registros[MÊS],$AE$1,tabela_registros[DIA],reservavariáveisconsolidadomar[[#Headers],[26]],tabela_registros[REGISTRO],DADOS!$N$6,tabela_registros[TIPO],DADOS!$AJ$4,tabela_registros[CATEGORIA],reservavariáveisconsolidadomar[[#This Row],[ATUAL]])</f>
        <v>0</v>
      </c>
      <c r="AE187" s="119" t="n">
        <f aca="false">SUMIFS(tabela_registros[VALOR],tabela_registros[MÊS],$AE$1,tabela_registros[DIA],reservavariáveisconsolidadomar[[#Headers],[27]],tabela_registros[REGISTRO],DADOS!$N$6,tabela_registros[TIPO],DADOS!$AJ$4,tabela_registros[CATEGORIA],reservavariáveisconsolidadomar[[#This Row],[ATUAL]])</f>
        <v>0</v>
      </c>
      <c r="AF187" s="119" t="n">
        <f aca="false">SUMIFS(tabela_registros[VALOR],tabela_registros[MÊS],$AE$1,tabela_registros[DIA],reservavariáveisconsolidadomar[[#Headers],[28]],tabela_registros[REGISTRO],DADOS!$N$6,tabela_registros[TIPO],DADOS!$AJ$4,tabela_registros[CATEGORIA],reservavariáveisconsolidadomar[[#This Row],[ATUAL]])</f>
        <v>0</v>
      </c>
      <c r="AG187" s="119" t="n">
        <f aca="false">SUMIFS(tabela_registros[VALOR],tabela_registros[MÊS],$AE$1,tabela_registros[DIA],reservavariáveisconsolidadomar[[#Headers],[29]],tabela_registros[REGISTRO],DADOS!$N$6,tabela_registros[TIPO],DADOS!$AJ$4,tabela_registros[CATEGORIA],reservavariáveisconsolidadomar[[#This Row],[ATUAL]])</f>
        <v>0</v>
      </c>
      <c r="AH187" s="119" t="n">
        <f aca="false">SUMIFS(tabela_registros[VALOR],tabela_registros[MÊS],$AE$1,tabela_registros[DIA],reservavariáveisconsolidadomar[[#Headers],[30]],tabela_registros[REGISTRO],DADOS!$N$6,tabela_registros[TIPO],DADOS!$AJ$4,tabela_registros[CATEGORIA],reservavariáveisconsolidadomar[[#This Row],[ATUAL]])</f>
        <v>0</v>
      </c>
      <c r="AI187" s="217" t="n">
        <f aca="false">SUMIFS(tabela_registros[VALOR],tabela_registros[MÊS],$AE$1,tabela_registros[DIA],reservavariáveisconsolidadomar[[#Headers],[31]],tabela_registros[REGISTRO],DADOS!$N$6,tabela_registros[TIPO],DADOS!$AJ$4,tabela_registros[CATEGORIA],reservavariáveisconsolidadomar[[#This Row],[ATUAL]])</f>
        <v>0</v>
      </c>
      <c r="AJ187" s="149" t="n">
        <f aca="false">SUM(reservavariáveisconsolidadomar[[#This Row],[1]:[31]])</f>
        <v>0</v>
      </c>
      <c r="AK187" s="165"/>
    </row>
    <row r="188" customFormat="false" ht="19.5" hidden="false" customHeight="true" outlineLevel="0" collapsed="false">
      <c r="B188" s="143"/>
      <c r="C188" s="144" t="str">
        <f aca="false">DADOS!$AN$4</f>
        <v>📝 COMÓDITE</v>
      </c>
      <c r="D188" s="145" t="str">
        <f aca="false">IF(reservavariáveisconsolidadomar[[#This Row],[TOTAL (R$)]]=0,"",IF(OR(reservavariáveisconsolidadomar[[#This Row],[TOTAL (R$)]]=LARGE($AJ$187:$AJ$196,1),reservavariáveisconsolidadomar[[#This Row],[TOTAL (R$)]]=LARGE($AJ$187:$AJ$196,2)),DADOS!$I$11,""))</f>
        <v/>
      </c>
      <c r="E188" s="148" t="n">
        <f aca="false">SUMIFS(tabela_registros[VALOR],tabela_registros[MÊS],$AE$1,tabela_registros[DIA],reservavariáveisconsolidadomar[[#Headers],[1]],tabela_registros[REGISTRO],DADOS!$N$6,tabela_registros[TIPO],DADOS!$AJ$4,tabela_registros[CATEGORIA],reservavariáveisconsolidadomar[[#This Row],[ATUAL]])</f>
        <v>0</v>
      </c>
      <c r="F188" s="119" t="n">
        <f aca="false">SUMIFS(tabela_registros[VALOR],tabela_registros[MÊS],$AE$1,tabela_registros[DIA],reservavariáveisconsolidadomar[[#Headers],[2]],tabela_registros[REGISTRO],DADOS!$N$6,tabela_registros[TIPO],DADOS!$AJ$4,tabela_registros[CATEGORIA],reservavariáveisconsolidadomar[[#This Row],[ATUAL]])</f>
        <v>0</v>
      </c>
      <c r="G188" s="119" t="n">
        <f aca="false">SUMIFS(tabela_registros[VALOR],tabela_registros[MÊS],$AE$1,tabela_registros[DIA],reservavariáveisconsolidadomar[[#Headers],[3]],tabela_registros[REGISTRO],DADOS!$N$6,tabela_registros[TIPO],DADOS!$AJ$4,tabela_registros[CATEGORIA],reservavariáveisconsolidadomar[[#This Row],[ATUAL]])</f>
        <v>0</v>
      </c>
      <c r="H188" s="119" t="n">
        <f aca="false">SUMIFS(tabela_registros[VALOR],tabela_registros[MÊS],$AE$1,tabela_registros[DIA],reservavariáveisconsolidadomar[[#Headers],[4]],tabela_registros[REGISTRO],DADOS!$N$6,tabela_registros[TIPO],DADOS!$AJ$4,tabela_registros[CATEGORIA],reservavariáveisconsolidadomar[[#This Row],[ATUAL]])</f>
        <v>0</v>
      </c>
      <c r="I188" s="119" t="n">
        <f aca="false">SUMIFS(tabela_registros[VALOR],tabela_registros[MÊS],$AE$1,tabela_registros[DIA],reservavariáveisconsolidadomar[[#Headers],[5]],tabela_registros[REGISTRO],DADOS!$N$6,tabela_registros[TIPO],DADOS!$AJ$4,tabela_registros[CATEGORIA],reservavariáveisconsolidadomar[[#This Row],[ATUAL]])</f>
        <v>0</v>
      </c>
      <c r="J188" s="119" t="n">
        <f aca="false">SUMIFS(tabela_registros[VALOR],tabela_registros[MÊS],$AE$1,tabela_registros[DIA],reservavariáveisconsolidadomar[[#Headers],[6]],tabela_registros[REGISTRO],DADOS!$N$6,tabela_registros[TIPO],DADOS!$AJ$4,tabela_registros[CATEGORIA],reservavariáveisconsolidadomar[[#This Row],[ATUAL]])</f>
        <v>0</v>
      </c>
      <c r="K188" s="119" t="n">
        <f aca="false">SUMIFS(tabela_registros[VALOR],tabela_registros[MÊS],$AE$1,tabela_registros[DIA],reservavariáveisconsolidadomar[[#Headers],[7]],tabela_registros[REGISTRO],DADOS!$N$6,tabela_registros[TIPO],DADOS!$AJ$4,tabela_registros[CATEGORIA],reservavariáveisconsolidadomar[[#This Row],[ATUAL]])</f>
        <v>0</v>
      </c>
      <c r="L188" s="119" t="n">
        <f aca="false">SUMIFS(tabela_registros[VALOR],tabela_registros[MÊS],$AE$1,tabela_registros[DIA],reservavariáveisconsolidadomar[[#Headers],[8]],tabela_registros[REGISTRO],DADOS!$N$6,tabela_registros[TIPO],DADOS!$AJ$4,tabela_registros[CATEGORIA],reservavariáveisconsolidadomar[[#This Row],[ATUAL]])</f>
        <v>0</v>
      </c>
      <c r="M188" s="119" t="n">
        <f aca="false">SUMIFS(tabela_registros[VALOR],tabela_registros[MÊS],$AE$1,tabela_registros[DIA],reservavariáveisconsolidadomar[[#Headers],[9]],tabela_registros[REGISTRO],DADOS!$N$6,tabela_registros[TIPO],DADOS!$AJ$4,tabela_registros[CATEGORIA],reservavariáveisconsolidadomar[[#This Row],[ATUAL]])</f>
        <v>0</v>
      </c>
      <c r="N188" s="119" t="n">
        <f aca="false">SUMIFS(tabela_registros[VALOR],tabela_registros[MÊS],$AE$1,tabela_registros[DIA],reservavariáveisconsolidadomar[[#Headers],[10]],tabela_registros[REGISTRO],DADOS!$N$6,tabela_registros[TIPO],DADOS!$AJ$4,tabela_registros[CATEGORIA],reservavariáveisconsolidadomar[[#This Row],[ATUAL]])</f>
        <v>0</v>
      </c>
      <c r="O188" s="119" t="n">
        <f aca="false">SUMIFS(tabela_registros[VALOR],tabela_registros[MÊS],$AE$1,tabela_registros[DIA],reservavariáveisconsolidadomar[[#Headers],[11]],tabela_registros[REGISTRO],DADOS!$N$6,tabela_registros[TIPO],DADOS!$AJ$4,tabela_registros[CATEGORIA],reservavariáveisconsolidadomar[[#This Row],[ATUAL]])</f>
        <v>0</v>
      </c>
      <c r="P188" s="119" t="n">
        <f aca="false">SUMIFS(tabela_registros[VALOR],tabela_registros[MÊS],$AE$1,tabela_registros[DIA],reservavariáveisconsolidadomar[[#Headers],[12]],tabela_registros[REGISTRO],DADOS!$N$6,tabela_registros[TIPO],DADOS!$AJ$4,tabela_registros[CATEGORIA],reservavariáveisconsolidadomar[[#This Row],[ATUAL]])</f>
        <v>0</v>
      </c>
      <c r="Q188" s="119" t="n">
        <f aca="false">SUMIFS(tabela_registros[VALOR],tabela_registros[MÊS],$AE$1,tabela_registros[DIA],reservavariáveisconsolidadomar[[#Headers],[13]],tabela_registros[REGISTRO],DADOS!$N$6,tabela_registros[TIPO],DADOS!$AJ$4,tabela_registros[CATEGORIA],reservavariáveisconsolidadomar[[#This Row],[ATUAL]])</f>
        <v>0</v>
      </c>
      <c r="R188" s="119" t="n">
        <f aca="false">SUMIFS(tabela_registros[VALOR],tabela_registros[MÊS],$AE$1,tabela_registros[DIA],reservavariáveisconsolidadomar[[#Headers],[14]],tabela_registros[REGISTRO],DADOS!$N$6,tabela_registros[TIPO],DADOS!$AJ$4,tabela_registros[CATEGORIA],reservavariáveisconsolidadomar[[#This Row],[ATUAL]])</f>
        <v>0</v>
      </c>
      <c r="S188" s="119" t="n">
        <f aca="false">SUMIFS(tabela_registros[VALOR],tabela_registros[MÊS],$AE$1,tabela_registros[DIA],reservavariáveisconsolidadomar[[#Headers],[15]],tabela_registros[REGISTRO],DADOS!$N$6,tabela_registros[TIPO],DADOS!$AJ$4,tabela_registros[CATEGORIA],reservavariáveisconsolidadomar[[#This Row],[ATUAL]])</f>
        <v>0</v>
      </c>
      <c r="T188" s="119" t="n">
        <f aca="false">SUMIFS(tabela_registros[VALOR],tabela_registros[MÊS],$AE$1,tabela_registros[DIA],reservavariáveisconsolidadomar[[#Headers],[16]],tabela_registros[REGISTRO],DADOS!$N$6,tabela_registros[TIPO],DADOS!$AJ$4,tabela_registros[CATEGORIA],reservavariáveisconsolidadomar[[#This Row],[ATUAL]])</f>
        <v>0</v>
      </c>
      <c r="U188" s="119" t="n">
        <f aca="false">SUMIFS(tabela_registros[VALOR],tabela_registros[MÊS],$AE$1,tabela_registros[DIA],reservavariáveisconsolidadomar[[#Headers],[17]],tabela_registros[REGISTRO],DADOS!$N$6,tabela_registros[TIPO],DADOS!$AJ$4,tabela_registros[CATEGORIA],reservavariáveisconsolidadomar[[#This Row],[ATUAL]])</f>
        <v>0</v>
      </c>
      <c r="V188" s="119" t="n">
        <f aca="false">SUMIFS(tabela_registros[VALOR],tabela_registros[MÊS],$AE$1,tabela_registros[DIA],reservavariáveisconsolidadomar[[#Headers],[18]],tabela_registros[REGISTRO],DADOS!$N$6,tabela_registros[TIPO],DADOS!$AJ$4,tabela_registros[CATEGORIA],reservavariáveisconsolidadomar[[#This Row],[ATUAL]])</f>
        <v>0</v>
      </c>
      <c r="W188" s="119" t="n">
        <f aca="false">SUMIFS(tabela_registros[VALOR],tabela_registros[MÊS],$AE$1,tabela_registros[DIA],reservavariáveisconsolidadomar[[#Headers],[19]],tabela_registros[REGISTRO],DADOS!$N$6,tabela_registros[TIPO],DADOS!$AJ$4,tabela_registros[CATEGORIA],reservavariáveisconsolidadomar[[#This Row],[ATUAL]])</f>
        <v>0</v>
      </c>
      <c r="X188" s="119" t="n">
        <f aca="false">SUMIFS(tabela_registros[VALOR],tabela_registros[MÊS],$AE$1,tabela_registros[DIA],reservavariáveisconsolidadomar[[#Headers],[20]],tabela_registros[REGISTRO],DADOS!$N$6,tabela_registros[TIPO],DADOS!$AJ$4,tabela_registros[CATEGORIA],reservavariáveisconsolidadomar[[#This Row],[ATUAL]])</f>
        <v>0</v>
      </c>
      <c r="Y188" s="119" t="n">
        <f aca="false">SUMIFS(tabela_registros[VALOR],tabela_registros[MÊS],$AE$1,tabela_registros[DIA],reservavariáveisconsolidadomar[[#Headers],[21]],tabela_registros[REGISTRO],DADOS!$N$6,tabela_registros[TIPO],DADOS!$AJ$4,tabela_registros[CATEGORIA],reservavariáveisconsolidadomar[[#This Row],[ATUAL]])</f>
        <v>0</v>
      </c>
      <c r="Z188" s="119" t="n">
        <f aca="false">SUMIFS(tabela_registros[VALOR],tabela_registros[MÊS],$AE$1,tabela_registros[DIA],reservavariáveisconsolidadomar[[#Headers],[22]],tabela_registros[REGISTRO],DADOS!$N$6,tabela_registros[TIPO],DADOS!$AJ$4,tabela_registros[CATEGORIA],reservavariáveisconsolidadomar[[#This Row],[ATUAL]])</f>
        <v>0</v>
      </c>
      <c r="AA188" s="119" t="n">
        <f aca="false">SUMIFS(tabela_registros[VALOR],tabela_registros[MÊS],$AE$1,tabela_registros[DIA],reservavariáveisconsolidadomar[[#Headers],[23]],tabela_registros[REGISTRO],DADOS!$N$6,tabela_registros[TIPO],DADOS!$AJ$4,tabela_registros[CATEGORIA],reservavariáveisconsolidadomar[[#This Row],[ATUAL]])</f>
        <v>0</v>
      </c>
      <c r="AB188" s="119" t="n">
        <f aca="false">SUMIFS(tabela_registros[VALOR],tabela_registros[MÊS],$AE$1,tabela_registros[DIA],reservavariáveisconsolidadomar[[#Headers],[24]],tabela_registros[REGISTRO],DADOS!$N$6,tabela_registros[TIPO],DADOS!$AJ$4,tabela_registros[CATEGORIA],reservavariáveisconsolidadomar[[#This Row],[ATUAL]])</f>
        <v>0</v>
      </c>
      <c r="AC188" s="119" t="n">
        <f aca="false">SUMIFS(tabela_registros[VALOR],tabela_registros[MÊS],$AE$1,tabela_registros[DIA],reservavariáveisconsolidadomar[[#Headers],[25]],tabela_registros[REGISTRO],DADOS!$N$6,tabela_registros[TIPO],DADOS!$AJ$4,tabela_registros[CATEGORIA],reservavariáveisconsolidadomar[[#This Row],[ATUAL]])</f>
        <v>0</v>
      </c>
      <c r="AD188" s="119" t="n">
        <f aca="false">SUMIFS(tabela_registros[VALOR],tabela_registros[MÊS],$AE$1,tabela_registros[DIA],reservavariáveisconsolidadomar[[#Headers],[26]],tabela_registros[REGISTRO],DADOS!$N$6,tabela_registros[TIPO],DADOS!$AJ$4,tabela_registros[CATEGORIA],reservavariáveisconsolidadomar[[#This Row],[ATUAL]])</f>
        <v>0</v>
      </c>
      <c r="AE188" s="119" t="n">
        <f aca="false">SUMIFS(tabela_registros[VALOR],tabela_registros[MÊS],$AE$1,tabela_registros[DIA],reservavariáveisconsolidadomar[[#Headers],[27]],tabela_registros[REGISTRO],DADOS!$N$6,tabela_registros[TIPO],DADOS!$AJ$4,tabela_registros[CATEGORIA],reservavariáveisconsolidadomar[[#This Row],[ATUAL]])</f>
        <v>0</v>
      </c>
      <c r="AF188" s="119" t="n">
        <f aca="false">SUMIFS(tabela_registros[VALOR],tabela_registros[MÊS],$AE$1,tabela_registros[DIA],reservavariáveisconsolidadomar[[#Headers],[28]],tabela_registros[REGISTRO],DADOS!$N$6,tabela_registros[TIPO],DADOS!$AJ$4,tabela_registros[CATEGORIA],reservavariáveisconsolidadomar[[#This Row],[ATUAL]])</f>
        <v>0</v>
      </c>
      <c r="AG188" s="119" t="n">
        <f aca="false">SUMIFS(tabela_registros[VALOR],tabela_registros[MÊS],$AE$1,tabela_registros[DIA],reservavariáveisconsolidadomar[[#Headers],[29]],tabela_registros[REGISTRO],DADOS!$N$6,tabela_registros[TIPO],DADOS!$AJ$4,tabela_registros[CATEGORIA],reservavariáveisconsolidadomar[[#This Row],[ATUAL]])</f>
        <v>0</v>
      </c>
      <c r="AH188" s="119" t="n">
        <f aca="false">SUMIFS(tabela_registros[VALOR],tabela_registros[MÊS],$AE$1,tabela_registros[DIA],reservavariáveisconsolidadomar[[#Headers],[30]],tabela_registros[REGISTRO],DADOS!$N$6,tabela_registros[TIPO],DADOS!$AJ$4,tabela_registros[CATEGORIA],reservavariáveisconsolidadomar[[#This Row],[ATUAL]])</f>
        <v>0</v>
      </c>
      <c r="AI188" s="217" t="n">
        <f aca="false">SUMIFS(tabela_registros[VALOR],tabela_registros[MÊS],$AE$1,tabela_registros[DIA],reservavariáveisconsolidadomar[[#Headers],[31]],tabela_registros[REGISTRO],DADOS!$N$6,tabela_registros[TIPO],DADOS!$AJ$4,tabela_registros[CATEGORIA],reservavariáveisconsolidadomar[[#This Row],[ATUAL]])</f>
        <v>0</v>
      </c>
      <c r="AJ188" s="149" t="n">
        <f aca="false">SUM(reservavariáveisconsolidadomar[[#This Row],[1]:[31]])</f>
        <v>0</v>
      </c>
      <c r="AK188" s="165"/>
    </row>
    <row r="189" customFormat="false" ht="19.5" hidden="false" customHeight="true" outlineLevel="0" collapsed="false">
      <c r="B189" s="143"/>
      <c r="C189" s="144" t="str">
        <f aca="false">DADOS!$AN$5</f>
        <v>📝 CONTRATO DE FUTUROS</v>
      </c>
      <c r="D189" s="145" t="str">
        <f aca="false">IF(reservavariáveisconsolidadomar[[#This Row],[TOTAL (R$)]]=0,"",IF(OR(reservavariáveisconsolidadomar[[#This Row],[TOTAL (R$)]]=LARGE($AJ$187:$AJ$196,1),reservavariáveisconsolidadomar[[#This Row],[TOTAL (R$)]]=LARGE($AJ$187:$AJ$196,2)),DADOS!$I$11,""))</f>
        <v/>
      </c>
      <c r="E189" s="148" t="n">
        <f aca="false">SUMIFS(tabela_registros[VALOR],tabela_registros[MÊS],$AE$1,tabela_registros[DIA],reservavariáveisconsolidadomar[[#Headers],[1]],tabela_registros[REGISTRO],DADOS!$N$6,tabela_registros[TIPO],DADOS!$AJ$4,tabela_registros[CATEGORIA],reservavariáveisconsolidadomar[[#This Row],[ATUAL]])</f>
        <v>0</v>
      </c>
      <c r="F189" s="119" t="n">
        <f aca="false">SUMIFS(tabela_registros[VALOR],tabela_registros[MÊS],$AE$1,tabela_registros[DIA],reservavariáveisconsolidadomar[[#Headers],[2]],tabela_registros[REGISTRO],DADOS!$N$6,tabela_registros[TIPO],DADOS!$AJ$4,tabela_registros[CATEGORIA],reservavariáveisconsolidadomar[[#This Row],[ATUAL]])</f>
        <v>0</v>
      </c>
      <c r="G189" s="119" t="n">
        <f aca="false">SUMIFS(tabela_registros[VALOR],tabela_registros[MÊS],$AE$1,tabela_registros[DIA],reservavariáveisconsolidadomar[[#Headers],[3]],tabela_registros[REGISTRO],DADOS!$N$6,tabela_registros[TIPO],DADOS!$AJ$4,tabela_registros[CATEGORIA],reservavariáveisconsolidadomar[[#This Row],[ATUAL]])</f>
        <v>0</v>
      </c>
      <c r="H189" s="119" t="n">
        <f aca="false">SUMIFS(tabela_registros[VALOR],tabela_registros[MÊS],$AE$1,tabela_registros[DIA],reservavariáveisconsolidadomar[[#Headers],[4]],tabela_registros[REGISTRO],DADOS!$N$6,tabela_registros[TIPO],DADOS!$AJ$4,tabela_registros[CATEGORIA],reservavariáveisconsolidadomar[[#This Row],[ATUAL]])</f>
        <v>0</v>
      </c>
      <c r="I189" s="119" t="n">
        <f aca="false">SUMIFS(tabela_registros[VALOR],tabela_registros[MÊS],$AE$1,tabela_registros[DIA],reservavariáveisconsolidadomar[[#Headers],[5]],tabela_registros[REGISTRO],DADOS!$N$6,tabela_registros[TIPO],DADOS!$AJ$4,tabela_registros[CATEGORIA],reservavariáveisconsolidadomar[[#This Row],[ATUAL]])</f>
        <v>0</v>
      </c>
      <c r="J189" s="119" t="n">
        <f aca="false">SUMIFS(tabela_registros[VALOR],tabela_registros[MÊS],$AE$1,tabela_registros[DIA],reservavariáveisconsolidadomar[[#Headers],[6]],tabela_registros[REGISTRO],DADOS!$N$6,tabela_registros[TIPO],DADOS!$AJ$4,tabela_registros[CATEGORIA],reservavariáveisconsolidadomar[[#This Row],[ATUAL]])</f>
        <v>0</v>
      </c>
      <c r="K189" s="119" t="n">
        <f aca="false">SUMIFS(tabela_registros[VALOR],tabela_registros[MÊS],$AE$1,tabela_registros[DIA],reservavariáveisconsolidadomar[[#Headers],[7]],tabela_registros[REGISTRO],DADOS!$N$6,tabela_registros[TIPO],DADOS!$AJ$4,tabela_registros[CATEGORIA],reservavariáveisconsolidadomar[[#This Row],[ATUAL]])</f>
        <v>0</v>
      </c>
      <c r="L189" s="119" t="n">
        <f aca="false">SUMIFS(tabela_registros[VALOR],tabela_registros[MÊS],$AE$1,tabela_registros[DIA],reservavariáveisconsolidadomar[[#Headers],[8]],tabela_registros[REGISTRO],DADOS!$N$6,tabela_registros[TIPO],DADOS!$AJ$4,tabela_registros[CATEGORIA],reservavariáveisconsolidadomar[[#This Row],[ATUAL]])</f>
        <v>0</v>
      </c>
      <c r="M189" s="119" t="n">
        <f aca="false">SUMIFS(tabela_registros[VALOR],tabela_registros[MÊS],$AE$1,tabela_registros[DIA],reservavariáveisconsolidadomar[[#Headers],[9]],tabela_registros[REGISTRO],DADOS!$N$6,tabela_registros[TIPO],DADOS!$AJ$4,tabela_registros[CATEGORIA],reservavariáveisconsolidadomar[[#This Row],[ATUAL]])</f>
        <v>0</v>
      </c>
      <c r="N189" s="119" t="n">
        <f aca="false">SUMIFS(tabela_registros[VALOR],tabela_registros[MÊS],$AE$1,tabela_registros[DIA],reservavariáveisconsolidadomar[[#Headers],[10]],tabela_registros[REGISTRO],DADOS!$N$6,tabela_registros[TIPO],DADOS!$AJ$4,tabela_registros[CATEGORIA],reservavariáveisconsolidadomar[[#This Row],[ATUAL]])</f>
        <v>0</v>
      </c>
      <c r="O189" s="119" t="n">
        <f aca="false">SUMIFS(tabela_registros[VALOR],tabela_registros[MÊS],$AE$1,tabela_registros[DIA],reservavariáveisconsolidadomar[[#Headers],[11]],tabela_registros[REGISTRO],DADOS!$N$6,tabela_registros[TIPO],DADOS!$AJ$4,tabela_registros[CATEGORIA],reservavariáveisconsolidadomar[[#This Row],[ATUAL]])</f>
        <v>0</v>
      </c>
      <c r="P189" s="119" t="n">
        <f aca="false">SUMIFS(tabela_registros[VALOR],tabela_registros[MÊS],$AE$1,tabela_registros[DIA],reservavariáveisconsolidadomar[[#Headers],[12]],tabela_registros[REGISTRO],DADOS!$N$6,tabela_registros[TIPO],DADOS!$AJ$4,tabela_registros[CATEGORIA],reservavariáveisconsolidadomar[[#This Row],[ATUAL]])</f>
        <v>0</v>
      </c>
      <c r="Q189" s="119" t="n">
        <f aca="false">SUMIFS(tabela_registros[VALOR],tabela_registros[MÊS],$AE$1,tabela_registros[DIA],reservavariáveisconsolidadomar[[#Headers],[13]],tabela_registros[REGISTRO],DADOS!$N$6,tabela_registros[TIPO],DADOS!$AJ$4,tabela_registros[CATEGORIA],reservavariáveisconsolidadomar[[#This Row],[ATUAL]])</f>
        <v>0</v>
      </c>
      <c r="R189" s="119" t="n">
        <f aca="false">SUMIFS(tabela_registros[VALOR],tabela_registros[MÊS],$AE$1,tabela_registros[DIA],reservavariáveisconsolidadomar[[#Headers],[14]],tabela_registros[REGISTRO],DADOS!$N$6,tabela_registros[TIPO],DADOS!$AJ$4,tabela_registros[CATEGORIA],reservavariáveisconsolidadomar[[#This Row],[ATUAL]])</f>
        <v>0</v>
      </c>
      <c r="S189" s="119" t="n">
        <f aca="false">SUMIFS(tabela_registros[VALOR],tabela_registros[MÊS],$AE$1,tabela_registros[DIA],reservavariáveisconsolidadomar[[#Headers],[15]],tabela_registros[REGISTRO],DADOS!$N$6,tabela_registros[TIPO],DADOS!$AJ$4,tabela_registros[CATEGORIA],reservavariáveisconsolidadomar[[#This Row],[ATUAL]])</f>
        <v>0</v>
      </c>
      <c r="T189" s="119" t="n">
        <f aca="false">SUMIFS(tabela_registros[VALOR],tabela_registros[MÊS],$AE$1,tabela_registros[DIA],reservavariáveisconsolidadomar[[#Headers],[16]],tabela_registros[REGISTRO],DADOS!$N$6,tabela_registros[TIPO],DADOS!$AJ$4,tabela_registros[CATEGORIA],reservavariáveisconsolidadomar[[#This Row],[ATUAL]])</f>
        <v>0</v>
      </c>
      <c r="U189" s="119" t="n">
        <f aca="false">SUMIFS(tabela_registros[VALOR],tabela_registros[MÊS],$AE$1,tabela_registros[DIA],reservavariáveisconsolidadomar[[#Headers],[17]],tabela_registros[REGISTRO],DADOS!$N$6,tabela_registros[TIPO],DADOS!$AJ$4,tabela_registros[CATEGORIA],reservavariáveisconsolidadomar[[#This Row],[ATUAL]])</f>
        <v>0</v>
      </c>
      <c r="V189" s="119" t="n">
        <f aca="false">SUMIFS(tabela_registros[VALOR],tabela_registros[MÊS],$AE$1,tabela_registros[DIA],reservavariáveisconsolidadomar[[#Headers],[18]],tabela_registros[REGISTRO],DADOS!$N$6,tabela_registros[TIPO],DADOS!$AJ$4,tabela_registros[CATEGORIA],reservavariáveisconsolidadomar[[#This Row],[ATUAL]])</f>
        <v>0</v>
      </c>
      <c r="W189" s="119" t="n">
        <f aca="false">SUMIFS(tabela_registros[VALOR],tabela_registros[MÊS],$AE$1,tabela_registros[DIA],reservavariáveisconsolidadomar[[#Headers],[19]],tabela_registros[REGISTRO],DADOS!$N$6,tabela_registros[TIPO],DADOS!$AJ$4,tabela_registros[CATEGORIA],reservavariáveisconsolidadomar[[#This Row],[ATUAL]])</f>
        <v>0</v>
      </c>
      <c r="X189" s="119" t="n">
        <f aca="false">SUMIFS(tabela_registros[VALOR],tabela_registros[MÊS],$AE$1,tabela_registros[DIA],reservavariáveisconsolidadomar[[#Headers],[20]],tabela_registros[REGISTRO],DADOS!$N$6,tabela_registros[TIPO],DADOS!$AJ$4,tabela_registros[CATEGORIA],reservavariáveisconsolidadomar[[#This Row],[ATUAL]])</f>
        <v>0</v>
      </c>
      <c r="Y189" s="119" t="n">
        <f aca="false">SUMIFS(tabela_registros[VALOR],tabela_registros[MÊS],$AE$1,tabela_registros[DIA],reservavariáveisconsolidadomar[[#Headers],[21]],tabela_registros[REGISTRO],DADOS!$N$6,tabela_registros[TIPO],DADOS!$AJ$4,tabela_registros[CATEGORIA],reservavariáveisconsolidadomar[[#This Row],[ATUAL]])</f>
        <v>0</v>
      </c>
      <c r="Z189" s="119" t="n">
        <f aca="false">SUMIFS(tabela_registros[VALOR],tabela_registros[MÊS],$AE$1,tabela_registros[DIA],reservavariáveisconsolidadomar[[#Headers],[22]],tabela_registros[REGISTRO],DADOS!$N$6,tabela_registros[TIPO],DADOS!$AJ$4,tabela_registros[CATEGORIA],reservavariáveisconsolidadomar[[#This Row],[ATUAL]])</f>
        <v>0</v>
      </c>
      <c r="AA189" s="119" t="n">
        <f aca="false">SUMIFS(tabela_registros[VALOR],tabela_registros[MÊS],$AE$1,tabela_registros[DIA],reservavariáveisconsolidadomar[[#Headers],[23]],tabela_registros[REGISTRO],DADOS!$N$6,tabela_registros[TIPO],DADOS!$AJ$4,tabela_registros[CATEGORIA],reservavariáveisconsolidadomar[[#This Row],[ATUAL]])</f>
        <v>0</v>
      </c>
      <c r="AB189" s="119" t="n">
        <f aca="false">SUMIFS(tabela_registros[VALOR],tabela_registros[MÊS],$AE$1,tabela_registros[DIA],reservavariáveisconsolidadomar[[#Headers],[24]],tabela_registros[REGISTRO],DADOS!$N$6,tabela_registros[TIPO],DADOS!$AJ$4,tabela_registros[CATEGORIA],reservavariáveisconsolidadomar[[#This Row],[ATUAL]])</f>
        <v>0</v>
      </c>
      <c r="AC189" s="119" t="n">
        <f aca="false">SUMIFS(tabela_registros[VALOR],tabela_registros[MÊS],$AE$1,tabela_registros[DIA],reservavariáveisconsolidadomar[[#Headers],[25]],tabela_registros[REGISTRO],DADOS!$N$6,tabela_registros[TIPO],DADOS!$AJ$4,tabela_registros[CATEGORIA],reservavariáveisconsolidadomar[[#This Row],[ATUAL]])</f>
        <v>0</v>
      </c>
      <c r="AD189" s="119" t="n">
        <f aca="false">SUMIFS(tabela_registros[VALOR],tabela_registros[MÊS],$AE$1,tabela_registros[DIA],reservavariáveisconsolidadomar[[#Headers],[26]],tabela_registros[REGISTRO],DADOS!$N$6,tabela_registros[TIPO],DADOS!$AJ$4,tabela_registros[CATEGORIA],reservavariáveisconsolidadomar[[#This Row],[ATUAL]])</f>
        <v>0</v>
      </c>
      <c r="AE189" s="119" t="n">
        <f aca="false">SUMIFS(tabela_registros[VALOR],tabela_registros[MÊS],$AE$1,tabela_registros[DIA],reservavariáveisconsolidadomar[[#Headers],[27]],tabela_registros[REGISTRO],DADOS!$N$6,tabela_registros[TIPO],DADOS!$AJ$4,tabela_registros[CATEGORIA],reservavariáveisconsolidadomar[[#This Row],[ATUAL]])</f>
        <v>0</v>
      </c>
      <c r="AF189" s="119" t="n">
        <f aca="false">SUMIFS(tabela_registros[VALOR],tabela_registros[MÊS],$AE$1,tabela_registros[DIA],reservavariáveisconsolidadomar[[#Headers],[28]],tabela_registros[REGISTRO],DADOS!$N$6,tabela_registros[TIPO],DADOS!$AJ$4,tabela_registros[CATEGORIA],reservavariáveisconsolidadomar[[#This Row],[ATUAL]])</f>
        <v>0</v>
      </c>
      <c r="AG189" s="119" t="n">
        <f aca="false">SUMIFS(tabela_registros[VALOR],tabela_registros[MÊS],$AE$1,tabela_registros[DIA],reservavariáveisconsolidadomar[[#Headers],[29]],tabela_registros[REGISTRO],DADOS!$N$6,tabela_registros[TIPO],DADOS!$AJ$4,tabela_registros[CATEGORIA],reservavariáveisconsolidadomar[[#This Row],[ATUAL]])</f>
        <v>0</v>
      </c>
      <c r="AH189" s="119" t="n">
        <f aca="false">SUMIFS(tabela_registros[VALOR],tabela_registros[MÊS],$AE$1,tabela_registros[DIA],reservavariáveisconsolidadomar[[#Headers],[30]],tabela_registros[REGISTRO],DADOS!$N$6,tabela_registros[TIPO],DADOS!$AJ$4,tabela_registros[CATEGORIA],reservavariáveisconsolidadomar[[#This Row],[ATUAL]])</f>
        <v>0</v>
      </c>
      <c r="AI189" s="217" t="n">
        <f aca="false">SUMIFS(tabela_registros[VALOR],tabela_registros[MÊS],$AE$1,tabela_registros[DIA],reservavariáveisconsolidadomar[[#Headers],[31]],tabela_registros[REGISTRO],DADOS!$N$6,tabela_registros[TIPO],DADOS!$AJ$4,tabela_registros[CATEGORIA],reservavariáveisconsolidadomar[[#This Row],[ATUAL]])</f>
        <v>0</v>
      </c>
      <c r="AJ189" s="149" t="n">
        <f aca="false">SUM(reservavariáveisconsolidadomar[[#This Row],[1]:[31]])</f>
        <v>0</v>
      </c>
      <c r="AK189" s="165"/>
    </row>
    <row r="190" customFormat="false" ht="19.5" hidden="false" customHeight="true" outlineLevel="0" collapsed="false">
      <c r="B190" s="143"/>
      <c r="C190" s="144" t="str">
        <f aca="false">DADOS!$AN$6</f>
        <v>📝 CONTRATO DE OPÇÕES</v>
      </c>
      <c r="D190" s="145" t="str">
        <f aca="false">IF(reservavariáveisconsolidadomar[[#This Row],[TOTAL (R$)]]=0,"",IF(OR(reservavariáveisconsolidadomar[[#This Row],[TOTAL (R$)]]=LARGE($AJ$187:$AJ$196,1),reservavariáveisconsolidadomar[[#This Row],[TOTAL (R$)]]=LARGE($AJ$187:$AJ$196,2)),DADOS!$I$11,""))</f>
        <v/>
      </c>
      <c r="E190" s="148" t="n">
        <f aca="false">SUMIFS(tabela_registros[VALOR],tabela_registros[MÊS],$AE$1,tabela_registros[DIA],reservavariáveisconsolidadomar[[#Headers],[1]],tabela_registros[REGISTRO],DADOS!$N$6,tabela_registros[TIPO],DADOS!$AJ$4,tabela_registros[CATEGORIA],reservavariáveisconsolidadomar[[#This Row],[ATUAL]])</f>
        <v>0</v>
      </c>
      <c r="F190" s="119" t="n">
        <f aca="false">SUMIFS(tabela_registros[VALOR],tabela_registros[MÊS],$AE$1,tabela_registros[DIA],reservavariáveisconsolidadomar[[#Headers],[2]],tabela_registros[REGISTRO],DADOS!$N$6,tabela_registros[TIPO],DADOS!$AJ$4,tabela_registros[CATEGORIA],reservavariáveisconsolidadomar[[#This Row],[ATUAL]])</f>
        <v>0</v>
      </c>
      <c r="G190" s="119" t="n">
        <f aca="false">SUMIFS(tabela_registros[VALOR],tabela_registros[MÊS],$AE$1,tabela_registros[DIA],reservavariáveisconsolidadomar[[#Headers],[3]],tabela_registros[REGISTRO],DADOS!$N$6,tabela_registros[TIPO],DADOS!$AJ$4,tabela_registros[CATEGORIA],reservavariáveisconsolidadomar[[#This Row],[ATUAL]])</f>
        <v>0</v>
      </c>
      <c r="H190" s="119" t="n">
        <f aca="false">SUMIFS(tabela_registros[VALOR],tabela_registros[MÊS],$AE$1,tabela_registros[DIA],reservavariáveisconsolidadomar[[#Headers],[4]],tabela_registros[REGISTRO],DADOS!$N$6,tabela_registros[TIPO],DADOS!$AJ$4,tabela_registros[CATEGORIA],reservavariáveisconsolidadomar[[#This Row],[ATUAL]])</f>
        <v>0</v>
      </c>
      <c r="I190" s="119" t="n">
        <f aca="false">SUMIFS(tabela_registros[VALOR],tabela_registros[MÊS],$AE$1,tabela_registros[DIA],reservavariáveisconsolidadomar[[#Headers],[5]],tabela_registros[REGISTRO],DADOS!$N$6,tabela_registros[TIPO],DADOS!$AJ$4,tabela_registros[CATEGORIA],reservavariáveisconsolidadomar[[#This Row],[ATUAL]])</f>
        <v>0</v>
      </c>
      <c r="J190" s="119" t="n">
        <f aca="false">SUMIFS(tabela_registros[VALOR],tabela_registros[MÊS],$AE$1,tabela_registros[DIA],reservavariáveisconsolidadomar[[#Headers],[6]],tabela_registros[REGISTRO],DADOS!$N$6,tabela_registros[TIPO],DADOS!$AJ$4,tabela_registros[CATEGORIA],reservavariáveisconsolidadomar[[#This Row],[ATUAL]])</f>
        <v>0</v>
      </c>
      <c r="K190" s="119" t="n">
        <f aca="false">SUMIFS(tabela_registros[VALOR],tabela_registros[MÊS],$AE$1,tabela_registros[DIA],reservavariáveisconsolidadomar[[#Headers],[7]],tabela_registros[REGISTRO],DADOS!$N$6,tabela_registros[TIPO],DADOS!$AJ$4,tabela_registros[CATEGORIA],reservavariáveisconsolidadomar[[#This Row],[ATUAL]])</f>
        <v>0</v>
      </c>
      <c r="L190" s="119" t="n">
        <f aca="false">SUMIFS(tabela_registros[VALOR],tabela_registros[MÊS],$AE$1,tabela_registros[DIA],reservavariáveisconsolidadomar[[#Headers],[8]],tabela_registros[REGISTRO],DADOS!$N$6,tabela_registros[TIPO],DADOS!$AJ$4,tabela_registros[CATEGORIA],reservavariáveisconsolidadomar[[#This Row],[ATUAL]])</f>
        <v>0</v>
      </c>
      <c r="M190" s="119" t="n">
        <f aca="false">SUMIFS(tabela_registros[VALOR],tabela_registros[MÊS],$AE$1,tabela_registros[DIA],reservavariáveisconsolidadomar[[#Headers],[9]],tabela_registros[REGISTRO],DADOS!$N$6,tabela_registros[TIPO],DADOS!$AJ$4,tabela_registros[CATEGORIA],reservavariáveisconsolidadomar[[#This Row],[ATUAL]])</f>
        <v>0</v>
      </c>
      <c r="N190" s="119" t="n">
        <f aca="false">SUMIFS(tabela_registros[VALOR],tabela_registros[MÊS],$AE$1,tabela_registros[DIA],reservavariáveisconsolidadomar[[#Headers],[10]],tabela_registros[REGISTRO],DADOS!$N$6,tabela_registros[TIPO],DADOS!$AJ$4,tabela_registros[CATEGORIA],reservavariáveisconsolidadomar[[#This Row],[ATUAL]])</f>
        <v>0</v>
      </c>
      <c r="O190" s="119" t="n">
        <f aca="false">SUMIFS(tabela_registros[VALOR],tabela_registros[MÊS],$AE$1,tabela_registros[DIA],reservavariáveisconsolidadomar[[#Headers],[11]],tabela_registros[REGISTRO],DADOS!$N$6,tabela_registros[TIPO],DADOS!$AJ$4,tabela_registros[CATEGORIA],reservavariáveisconsolidadomar[[#This Row],[ATUAL]])</f>
        <v>0</v>
      </c>
      <c r="P190" s="119" t="n">
        <f aca="false">SUMIFS(tabela_registros[VALOR],tabela_registros[MÊS],$AE$1,tabela_registros[DIA],reservavariáveisconsolidadomar[[#Headers],[12]],tabela_registros[REGISTRO],DADOS!$N$6,tabela_registros[TIPO],DADOS!$AJ$4,tabela_registros[CATEGORIA],reservavariáveisconsolidadomar[[#This Row],[ATUAL]])</f>
        <v>0</v>
      </c>
      <c r="Q190" s="119" t="n">
        <f aca="false">SUMIFS(tabela_registros[VALOR],tabela_registros[MÊS],$AE$1,tabela_registros[DIA],reservavariáveisconsolidadomar[[#Headers],[13]],tabela_registros[REGISTRO],DADOS!$N$6,tabela_registros[TIPO],DADOS!$AJ$4,tabela_registros[CATEGORIA],reservavariáveisconsolidadomar[[#This Row],[ATUAL]])</f>
        <v>0</v>
      </c>
      <c r="R190" s="119" t="n">
        <f aca="false">SUMIFS(tabela_registros[VALOR],tabela_registros[MÊS],$AE$1,tabela_registros[DIA],reservavariáveisconsolidadomar[[#Headers],[14]],tabela_registros[REGISTRO],DADOS!$N$6,tabela_registros[TIPO],DADOS!$AJ$4,tabela_registros[CATEGORIA],reservavariáveisconsolidadomar[[#This Row],[ATUAL]])</f>
        <v>0</v>
      </c>
      <c r="S190" s="119" t="n">
        <f aca="false">SUMIFS(tabela_registros[VALOR],tabela_registros[MÊS],$AE$1,tabela_registros[DIA],reservavariáveisconsolidadomar[[#Headers],[15]],tabela_registros[REGISTRO],DADOS!$N$6,tabela_registros[TIPO],DADOS!$AJ$4,tabela_registros[CATEGORIA],reservavariáveisconsolidadomar[[#This Row],[ATUAL]])</f>
        <v>0</v>
      </c>
      <c r="T190" s="119" t="n">
        <f aca="false">SUMIFS(tabela_registros[VALOR],tabela_registros[MÊS],$AE$1,tabela_registros[DIA],reservavariáveisconsolidadomar[[#Headers],[16]],tabela_registros[REGISTRO],DADOS!$N$6,tabela_registros[TIPO],DADOS!$AJ$4,tabela_registros[CATEGORIA],reservavariáveisconsolidadomar[[#This Row],[ATUAL]])</f>
        <v>0</v>
      </c>
      <c r="U190" s="119" t="n">
        <f aca="false">SUMIFS(tabela_registros[VALOR],tabela_registros[MÊS],$AE$1,tabela_registros[DIA],reservavariáveisconsolidadomar[[#Headers],[17]],tabela_registros[REGISTRO],DADOS!$N$6,tabela_registros[TIPO],DADOS!$AJ$4,tabela_registros[CATEGORIA],reservavariáveisconsolidadomar[[#This Row],[ATUAL]])</f>
        <v>0</v>
      </c>
      <c r="V190" s="119" t="n">
        <f aca="false">SUMIFS(tabela_registros[VALOR],tabela_registros[MÊS],$AE$1,tabela_registros[DIA],reservavariáveisconsolidadomar[[#Headers],[18]],tabela_registros[REGISTRO],DADOS!$N$6,tabela_registros[TIPO],DADOS!$AJ$4,tabela_registros[CATEGORIA],reservavariáveisconsolidadomar[[#This Row],[ATUAL]])</f>
        <v>0</v>
      </c>
      <c r="W190" s="119" t="n">
        <f aca="false">SUMIFS(tabela_registros[VALOR],tabela_registros[MÊS],$AE$1,tabela_registros[DIA],reservavariáveisconsolidadomar[[#Headers],[19]],tabela_registros[REGISTRO],DADOS!$N$6,tabela_registros[TIPO],DADOS!$AJ$4,tabela_registros[CATEGORIA],reservavariáveisconsolidadomar[[#This Row],[ATUAL]])</f>
        <v>0</v>
      </c>
      <c r="X190" s="119" t="n">
        <f aca="false">SUMIFS(tabela_registros[VALOR],tabela_registros[MÊS],$AE$1,tabela_registros[DIA],reservavariáveisconsolidadomar[[#Headers],[20]],tabela_registros[REGISTRO],DADOS!$N$6,tabela_registros[TIPO],DADOS!$AJ$4,tabela_registros[CATEGORIA],reservavariáveisconsolidadomar[[#This Row],[ATUAL]])</f>
        <v>0</v>
      </c>
      <c r="Y190" s="119" t="n">
        <f aca="false">SUMIFS(tabela_registros[VALOR],tabela_registros[MÊS],$AE$1,tabela_registros[DIA],reservavariáveisconsolidadomar[[#Headers],[21]],tabela_registros[REGISTRO],DADOS!$N$6,tabela_registros[TIPO],DADOS!$AJ$4,tabela_registros[CATEGORIA],reservavariáveisconsolidadomar[[#This Row],[ATUAL]])</f>
        <v>0</v>
      </c>
      <c r="Z190" s="119" t="n">
        <f aca="false">SUMIFS(tabela_registros[VALOR],tabela_registros[MÊS],$AE$1,tabela_registros[DIA],reservavariáveisconsolidadomar[[#Headers],[22]],tabela_registros[REGISTRO],DADOS!$N$6,tabela_registros[TIPO],DADOS!$AJ$4,tabela_registros[CATEGORIA],reservavariáveisconsolidadomar[[#This Row],[ATUAL]])</f>
        <v>0</v>
      </c>
      <c r="AA190" s="119" t="n">
        <f aca="false">SUMIFS(tabela_registros[VALOR],tabela_registros[MÊS],$AE$1,tabela_registros[DIA],reservavariáveisconsolidadomar[[#Headers],[23]],tabela_registros[REGISTRO],DADOS!$N$6,tabela_registros[TIPO],DADOS!$AJ$4,tabela_registros[CATEGORIA],reservavariáveisconsolidadomar[[#This Row],[ATUAL]])</f>
        <v>0</v>
      </c>
      <c r="AB190" s="119" t="n">
        <f aca="false">SUMIFS(tabela_registros[VALOR],tabela_registros[MÊS],$AE$1,tabela_registros[DIA],reservavariáveisconsolidadomar[[#Headers],[24]],tabela_registros[REGISTRO],DADOS!$N$6,tabela_registros[TIPO],DADOS!$AJ$4,tabela_registros[CATEGORIA],reservavariáveisconsolidadomar[[#This Row],[ATUAL]])</f>
        <v>0</v>
      </c>
      <c r="AC190" s="119" t="n">
        <f aca="false">SUMIFS(tabela_registros[VALOR],tabela_registros[MÊS],$AE$1,tabela_registros[DIA],reservavariáveisconsolidadomar[[#Headers],[25]],tabela_registros[REGISTRO],DADOS!$N$6,tabela_registros[TIPO],DADOS!$AJ$4,tabela_registros[CATEGORIA],reservavariáveisconsolidadomar[[#This Row],[ATUAL]])</f>
        <v>0</v>
      </c>
      <c r="AD190" s="119" t="n">
        <f aca="false">SUMIFS(tabela_registros[VALOR],tabela_registros[MÊS],$AE$1,tabela_registros[DIA],reservavariáveisconsolidadomar[[#Headers],[26]],tabela_registros[REGISTRO],DADOS!$N$6,tabela_registros[TIPO],DADOS!$AJ$4,tabela_registros[CATEGORIA],reservavariáveisconsolidadomar[[#This Row],[ATUAL]])</f>
        <v>0</v>
      </c>
      <c r="AE190" s="119" t="n">
        <f aca="false">SUMIFS(tabela_registros[VALOR],tabela_registros[MÊS],$AE$1,tabela_registros[DIA],reservavariáveisconsolidadomar[[#Headers],[27]],tabela_registros[REGISTRO],DADOS!$N$6,tabela_registros[TIPO],DADOS!$AJ$4,tabela_registros[CATEGORIA],reservavariáveisconsolidadomar[[#This Row],[ATUAL]])</f>
        <v>0</v>
      </c>
      <c r="AF190" s="119" t="n">
        <f aca="false">SUMIFS(tabela_registros[VALOR],tabela_registros[MÊS],$AE$1,tabela_registros[DIA],reservavariáveisconsolidadomar[[#Headers],[28]],tabela_registros[REGISTRO],DADOS!$N$6,tabela_registros[TIPO],DADOS!$AJ$4,tabela_registros[CATEGORIA],reservavariáveisconsolidadomar[[#This Row],[ATUAL]])</f>
        <v>0</v>
      </c>
      <c r="AG190" s="119" t="n">
        <f aca="false">SUMIFS(tabela_registros[VALOR],tabela_registros[MÊS],$AE$1,tabela_registros[DIA],reservavariáveisconsolidadomar[[#Headers],[29]],tabela_registros[REGISTRO],DADOS!$N$6,tabela_registros[TIPO],DADOS!$AJ$4,tabela_registros[CATEGORIA],reservavariáveisconsolidadomar[[#This Row],[ATUAL]])</f>
        <v>0</v>
      </c>
      <c r="AH190" s="119" t="n">
        <f aca="false">SUMIFS(tabela_registros[VALOR],tabela_registros[MÊS],$AE$1,tabela_registros[DIA],reservavariáveisconsolidadomar[[#Headers],[30]],tabela_registros[REGISTRO],DADOS!$N$6,tabela_registros[TIPO],DADOS!$AJ$4,tabela_registros[CATEGORIA],reservavariáveisconsolidadomar[[#This Row],[ATUAL]])</f>
        <v>0</v>
      </c>
      <c r="AI190" s="217" t="n">
        <f aca="false">SUMIFS(tabela_registros[VALOR],tabela_registros[MÊS],$AE$1,tabela_registros[DIA],reservavariáveisconsolidadomar[[#Headers],[31]],tabela_registros[REGISTRO],DADOS!$N$6,tabela_registros[TIPO],DADOS!$AJ$4,tabela_registros[CATEGORIA],reservavariáveisconsolidadomar[[#This Row],[ATUAL]])</f>
        <v>0</v>
      </c>
      <c r="AJ190" s="149" t="n">
        <f aca="false">SUM(reservavariáveisconsolidadomar[[#This Row],[1]:[31]])</f>
        <v>0</v>
      </c>
      <c r="AK190" s="165"/>
    </row>
    <row r="191" customFormat="false" ht="19.5" hidden="false" customHeight="true" outlineLevel="0" collapsed="false">
      <c r="B191" s="143"/>
      <c r="C191" s="144" t="str">
        <f aca="false">DADOS!$AN$7</f>
        <v>📝 CRIPTOMOEDA</v>
      </c>
      <c r="D191" s="145" t="str">
        <f aca="false">IF(reservavariáveisconsolidadomar[[#This Row],[TOTAL (R$)]]=0,"",IF(OR(reservavariáveisconsolidadomar[[#This Row],[TOTAL (R$)]]=LARGE($AJ$187:$AJ$196,1),reservavariáveisconsolidadomar[[#This Row],[TOTAL (R$)]]=LARGE($AJ$187:$AJ$196,2)),DADOS!$I$11,""))</f>
        <v/>
      </c>
      <c r="E191" s="148" t="n">
        <f aca="false">SUMIFS(tabela_registros[VALOR],tabela_registros[MÊS],$AE$1,tabela_registros[DIA],reservavariáveisconsolidadomar[[#Headers],[1]],tabela_registros[REGISTRO],DADOS!$N$6,tabela_registros[TIPO],DADOS!$AJ$4,tabela_registros[CATEGORIA],reservavariáveisconsolidadomar[[#This Row],[ATUAL]])</f>
        <v>0</v>
      </c>
      <c r="F191" s="119" t="n">
        <f aca="false">SUMIFS(tabela_registros[VALOR],tabela_registros[MÊS],$AE$1,tabela_registros[DIA],reservavariáveisconsolidadomar[[#Headers],[2]],tabela_registros[REGISTRO],DADOS!$N$6,tabela_registros[TIPO],DADOS!$AJ$4,tabela_registros[CATEGORIA],reservavariáveisconsolidadomar[[#This Row],[ATUAL]])</f>
        <v>0</v>
      </c>
      <c r="G191" s="119" t="n">
        <f aca="false">SUMIFS(tabela_registros[VALOR],tabela_registros[MÊS],$AE$1,tabela_registros[DIA],reservavariáveisconsolidadomar[[#Headers],[3]],tabela_registros[REGISTRO],DADOS!$N$6,tabela_registros[TIPO],DADOS!$AJ$4,tabela_registros[CATEGORIA],reservavariáveisconsolidadomar[[#This Row],[ATUAL]])</f>
        <v>0</v>
      </c>
      <c r="H191" s="119" t="n">
        <f aca="false">SUMIFS(tabela_registros[VALOR],tabela_registros[MÊS],$AE$1,tabela_registros[DIA],reservavariáveisconsolidadomar[[#Headers],[4]],tabela_registros[REGISTRO],DADOS!$N$6,tabela_registros[TIPO],DADOS!$AJ$4,tabela_registros[CATEGORIA],reservavariáveisconsolidadomar[[#This Row],[ATUAL]])</f>
        <v>0</v>
      </c>
      <c r="I191" s="119" t="n">
        <f aca="false">SUMIFS(tabela_registros[VALOR],tabela_registros[MÊS],$AE$1,tabela_registros[DIA],reservavariáveisconsolidadomar[[#Headers],[5]],tabela_registros[REGISTRO],DADOS!$N$6,tabela_registros[TIPO],DADOS!$AJ$4,tabela_registros[CATEGORIA],reservavariáveisconsolidadomar[[#This Row],[ATUAL]])</f>
        <v>0</v>
      </c>
      <c r="J191" s="119" t="n">
        <f aca="false">SUMIFS(tabela_registros[VALOR],tabela_registros[MÊS],$AE$1,tabela_registros[DIA],reservavariáveisconsolidadomar[[#Headers],[6]],tabela_registros[REGISTRO],DADOS!$N$6,tabela_registros[TIPO],DADOS!$AJ$4,tabela_registros[CATEGORIA],reservavariáveisconsolidadomar[[#This Row],[ATUAL]])</f>
        <v>0</v>
      </c>
      <c r="K191" s="119" t="n">
        <f aca="false">SUMIFS(tabela_registros[VALOR],tabela_registros[MÊS],$AE$1,tabela_registros[DIA],reservavariáveisconsolidadomar[[#Headers],[7]],tabela_registros[REGISTRO],DADOS!$N$6,tabela_registros[TIPO],DADOS!$AJ$4,tabela_registros[CATEGORIA],reservavariáveisconsolidadomar[[#This Row],[ATUAL]])</f>
        <v>0</v>
      </c>
      <c r="L191" s="119" t="n">
        <f aca="false">SUMIFS(tabela_registros[VALOR],tabela_registros[MÊS],$AE$1,tabela_registros[DIA],reservavariáveisconsolidadomar[[#Headers],[8]],tabela_registros[REGISTRO],DADOS!$N$6,tabela_registros[TIPO],DADOS!$AJ$4,tabela_registros[CATEGORIA],reservavariáveisconsolidadomar[[#This Row],[ATUAL]])</f>
        <v>0</v>
      </c>
      <c r="M191" s="119" t="n">
        <f aca="false">SUMIFS(tabela_registros[VALOR],tabela_registros[MÊS],$AE$1,tabela_registros[DIA],reservavariáveisconsolidadomar[[#Headers],[9]],tabela_registros[REGISTRO],DADOS!$N$6,tabela_registros[TIPO],DADOS!$AJ$4,tabela_registros[CATEGORIA],reservavariáveisconsolidadomar[[#This Row],[ATUAL]])</f>
        <v>0</v>
      </c>
      <c r="N191" s="119" t="n">
        <f aca="false">SUMIFS(tabela_registros[VALOR],tabela_registros[MÊS],$AE$1,tabela_registros[DIA],reservavariáveisconsolidadomar[[#Headers],[10]],tabela_registros[REGISTRO],DADOS!$N$6,tabela_registros[TIPO],DADOS!$AJ$4,tabela_registros[CATEGORIA],reservavariáveisconsolidadomar[[#This Row],[ATUAL]])</f>
        <v>0</v>
      </c>
      <c r="O191" s="119" t="n">
        <f aca="false">SUMIFS(tabela_registros[VALOR],tabela_registros[MÊS],$AE$1,tabela_registros[DIA],reservavariáveisconsolidadomar[[#Headers],[11]],tabela_registros[REGISTRO],DADOS!$N$6,tabela_registros[TIPO],DADOS!$AJ$4,tabela_registros[CATEGORIA],reservavariáveisconsolidadomar[[#This Row],[ATUAL]])</f>
        <v>0</v>
      </c>
      <c r="P191" s="119" t="n">
        <f aca="false">SUMIFS(tabela_registros[VALOR],tabela_registros[MÊS],$AE$1,tabela_registros[DIA],reservavariáveisconsolidadomar[[#Headers],[12]],tabela_registros[REGISTRO],DADOS!$N$6,tabela_registros[TIPO],DADOS!$AJ$4,tabela_registros[CATEGORIA],reservavariáveisconsolidadomar[[#This Row],[ATUAL]])</f>
        <v>0</v>
      </c>
      <c r="Q191" s="119" t="n">
        <f aca="false">SUMIFS(tabela_registros[VALOR],tabela_registros[MÊS],$AE$1,tabela_registros[DIA],reservavariáveisconsolidadomar[[#Headers],[13]],tabela_registros[REGISTRO],DADOS!$N$6,tabela_registros[TIPO],DADOS!$AJ$4,tabela_registros[CATEGORIA],reservavariáveisconsolidadomar[[#This Row],[ATUAL]])</f>
        <v>0</v>
      </c>
      <c r="R191" s="119" t="n">
        <f aca="false">SUMIFS(tabela_registros[VALOR],tabela_registros[MÊS],$AE$1,tabela_registros[DIA],reservavariáveisconsolidadomar[[#Headers],[14]],tabela_registros[REGISTRO],DADOS!$N$6,tabela_registros[TIPO],DADOS!$AJ$4,tabela_registros[CATEGORIA],reservavariáveisconsolidadomar[[#This Row],[ATUAL]])</f>
        <v>0</v>
      </c>
      <c r="S191" s="119" t="n">
        <f aca="false">SUMIFS(tabela_registros[VALOR],tabela_registros[MÊS],$AE$1,tabela_registros[DIA],reservavariáveisconsolidadomar[[#Headers],[15]],tabela_registros[REGISTRO],DADOS!$N$6,tabela_registros[TIPO],DADOS!$AJ$4,tabela_registros[CATEGORIA],reservavariáveisconsolidadomar[[#This Row],[ATUAL]])</f>
        <v>0</v>
      </c>
      <c r="T191" s="119" t="n">
        <f aca="false">SUMIFS(tabela_registros[VALOR],tabela_registros[MÊS],$AE$1,tabela_registros[DIA],reservavariáveisconsolidadomar[[#Headers],[16]],tabela_registros[REGISTRO],DADOS!$N$6,tabela_registros[TIPO],DADOS!$AJ$4,tabela_registros[CATEGORIA],reservavariáveisconsolidadomar[[#This Row],[ATUAL]])</f>
        <v>0</v>
      </c>
      <c r="U191" s="119" t="n">
        <f aca="false">SUMIFS(tabela_registros[VALOR],tabela_registros[MÊS],$AE$1,tabela_registros[DIA],reservavariáveisconsolidadomar[[#Headers],[17]],tabela_registros[REGISTRO],DADOS!$N$6,tabela_registros[TIPO],DADOS!$AJ$4,tabela_registros[CATEGORIA],reservavariáveisconsolidadomar[[#This Row],[ATUAL]])</f>
        <v>0</v>
      </c>
      <c r="V191" s="119" t="n">
        <f aca="false">SUMIFS(tabela_registros[VALOR],tabela_registros[MÊS],$AE$1,tabela_registros[DIA],reservavariáveisconsolidadomar[[#Headers],[18]],tabela_registros[REGISTRO],DADOS!$N$6,tabela_registros[TIPO],DADOS!$AJ$4,tabela_registros[CATEGORIA],reservavariáveisconsolidadomar[[#This Row],[ATUAL]])</f>
        <v>0</v>
      </c>
      <c r="W191" s="119" t="n">
        <f aca="false">SUMIFS(tabela_registros[VALOR],tabela_registros[MÊS],$AE$1,tabela_registros[DIA],reservavariáveisconsolidadomar[[#Headers],[19]],tabela_registros[REGISTRO],DADOS!$N$6,tabela_registros[TIPO],DADOS!$AJ$4,tabela_registros[CATEGORIA],reservavariáveisconsolidadomar[[#This Row],[ATUAL]])</f>
        <v>0</v>
      </c>
      <c r="X191" s="119" t="n">
        <f aca="false">SUMIFS(tabela_registros[VALOR],tabela_registros[MÊS],$AE$1,tabela_registros[DIA],reservavariáveisconsolidadomar[[#Headers],[20]],tabela_registros[REGISTRO],DADOS!$N$6,tabela_registros[TIPO],DADOS!$AJ$4,tabela_registros[CATEGORIA],reservavariáveisconsolidadomar[[#This Row],[ATUAL]])</f>
        <v>0</v>
      </c>
      <c r="Y191" s="119" t="n">
        <f aca="false">SUMIFS(tabela_registros[VALOR],tabela_registros[MÊS],$AE$1,tabela_registros[DIA],reservavariáveisconsolidadomar[[#Headers],[21]],tabela_registros[REGISTRO],DADOS!$N$6,tabela_registros[TIPO],DADOS!$AJ$4,tabela_registros[CATEGORIA],reservavariáveisconsolidadomar[[#This Row],[ATUAL]])</f>
        <v>0</v>
      </c>
      <c r="Z191" s="119" t="n">
        <f aca="false">SUMIFS(tabela_registros[VALOR],tabela_registros[MÊS],$AE$1,tabela_registros[DIA],reservavariáveisconsolidadomar[[#Headers],[22]],tabela_registros[REGISTRO],DADOS!$N$6,tabela_registros[TIPO],DADOS!$AJ$4,tabela_registros[CATEGORIA],reservavariáveisconsolidadomar[[#This Row],[ATUAL]])</f>
        <v>0</v>
      </c>
      <c r="AA191" s="119" t="n">
        <f aca="false">SUMIFS(tabela_registros[VALOR],tabela_registros[MÊS],$AE$1,tabela_registros[DIA],reservavariáveisconsolidadomar[[#Headers],[23]],tabela_registros[REGISTRO],DADOS!$N$6,tabela_registros[TIPO],DADOS!$AJ$4,tabela_registros[CATEGORIA],reservavariáveisconsolidadomar[[#This Row],[ATUAL]])</f>
        <v>0</v>
      </c>
      <c r="AB191" s="119" t="n">
        <f aca="false">SUMIFS(tabela_registros[VALOR],tabela_registros[MÊS],$AE$1,tabela_registros[DIA],reservavariáveisconsolidadomar[[#Headers],[24]],tabela_registros[REGISTRO],DADOS!$N$6,tabela_registros[TIPO],DADOS!$AJ$4,tabela_registros[CATEGORIA],reservavariáveisconsolidadomar[[#This Row],[ATUAL]])</f>
        <v>0</v>
      </c>
      <c r="AC191" s="119" t="n">
        <f aca="false">SUMIFS(tabela_registros[VALOR],tabela_registros[MÊS],$AE$1,tabela_registros[DIA],reservavariáveisconsolidadomar[[#Headers],[25]],tabela_registros[REGISTRO],DADOS!$N$6,tabela_registros[TIPO],DADOS!$AJ$4,tabela_registros[CATEGORIA],reservavariáveisconsolidadomar[[#This Row],[ATUAL]])</f>
        <v>0</v>
      </c>
      <c r="AD191" s="119" t="n">
        <f aca="false">SUMIFS(tabela_registros[VALOR],tabela_registros[MÊS],$AE$1,tabela_registros[DIA],reservavariáveisconsolidadomar[[#Headers],[26]],tabela_registros[REGISTRO],DADOS!$N$6,tabela_registros[TIPO],DADOS!$AJ$4,tabela_registros[CATEGORIA],reservavariáveisconsolidadomar[[#This Row],[ATUAL]])</f>
        <v>0</v>
      </c>
      <c r="AE191" s="119" t="n">
        <f aca="false">SUMIFS(tabela_registros[VALOR],tabela_registros[MÊS],$AE$1,tabela_registros[DIA],reservavariáveisconsolidadomar[[#Headers],[27]],tabela_registros[REGISTRO],DADOS!$N$6,tabela_registros[TIPO],DADOS!$AJ$4,tabela_registros[CATEGORIA],reservavariáveisconsolidadomar[[#This Row],[ATUAL]])</f>
        <v>0</v>
      </c>
      <c r="AF191" s="119" t="n">
        <f aca="false">SUMIFS(tabela_registros[VALOR],tabela_registros[MÊS],$AE$1,tabela_registros[DIA],reservavariáveisconsolidadomar[[#Headers],[28]],tabela_registros[REGISTRO],DADOS!$N$6,tabela_registros[TIPO],DADOS!$AJ$4,tabela_registros[CATEGORIA],reservavariáveisconsolidadomar[[#This Row],[ATUAL]])</f>
        <v>0</v>
      </c>
      <c r="AG191" s="119" t="n">
        <f aca="false">SUMIFS(tabela_registros[VALOR],tabela_registros[MÊS],$AE$1,tabela_registros[DIA],reservavariáveisconsolidadomar[[#Headers],[29]],tabela_registros[REGISTRO],DADOS!$N$6,tabela_registros[TIPO],DADOS!$AJ$4,tabela_registros[CATEGORIA],reservavariáveisconsolidadomar[[#This Row],[ATUAL]])</f>
        <v>0</v>
      </c>
      <c r="AH191" s="119" t="n">
        <f aca="false">SUMIFS(tabela_registros[VALOR],tabela_registros[MÊS],$AE$1,tabela_registros[DIA],reservavariáveisconsolidadomar[[#Headers],[30]],tabela_registros[REGISTRO],DADOS!$N$6,tabela_registros[TIPO],DADOS!$AJ$4,tabela_registros[CATEGORIA],reservavariáveisconsolidadomar[[#This Row],[ATUAL]])</f>
        <v>0</v>
      </c>
      <c r="AI191" s="217" t="n">
        <f aca="false">SUMIFS(tabela_registros[VALOR],tabela_registros[MÊS],$AE$1,tabela_registros[DIA],reservavariáveisconsolidadomar[[#Headers],[31]],tabela_registros[REGISTRO],DADOS!$N$6,tabela_registros[TIPO],DADOS!$AJ$4,tabela_registros[CATEGORIA],reservavariáveisconsolidadomar[[#This Row],[ATUAL]])</f>
        <v>0</v>
      </c>
      <c r="AJ191" s="149" t="n">
        <f aca="false">SUM(reservavariáveisconsolidadomar[[#This Row],[1]:[31]])</f>
        <v>0</v>
      </c>
      <c r="AK191" s="165"/>
    </row>
    <row r="192" customFormat="false" ht="19.5" hidden="false" customHeight="true" outlineLevel="0" collapsed="false">
      <c r="B192" s="143"/>
      <c r="C192" s="144" t="str">
        <f aca="false">DADOS!$AN$8</f>
        <v>📝 ETF</v>
      </c>
      <c r="D192" s="145" t="str">
        <f aca="false">IF(reservavariáveisconsolidadomar[[#This Row],[TOTAL (R$)]]=0,"",IF(OR(reservavariáveisconsolidadomar[[#This Row],[TOTAL (R$)]]=LARGE($AJ$187:$AJ$196,1),reservavariáveisconsolidadomar[[#This Row],[TOTAL (R$)]]=LARGE($AJ$187:$AJ$196,2)),DADOS!$I$11,""))</f>
        <v/>
      </c>
      <c r="E192" s="148" t="n">
        <f aca="false">SUMIFS(tabela_registros[VALOR],tabela_registros[MÊS],$AE$1,tabela_registros[DIA],reservavariáveisconsolidadomar[[#Headers],[1]],tabela_registros[REGISTRO],DADOS!$N$6,tabela_registros[TIPO],DADOS!$AJ$4,tabela_registros[CATEGORIA],reservavariáveisconsolidadomar[[#This Row],[ATUAL]])</f>
        <v>0</v>
      </c>
      <c r="F192" s="119" t="n">
        <f aca="false">SUMIFS(tabela_registros[VALOR],tabela_registros[MÊS],$AE$1,tabela_registros[DIA],reservavariáveisconsolidadomar[[#Headers],[2]],tabela_registros[REGISTRO],DADOS!$N$6,tabela_registros[TIPO],DADOS!$AJ$4,tabela_registros[CATEGORIA],reservavariáveisconsolidadomar[[#This Row],[ATUAL]])</f>
        <v>0</v>
      </c>
      <c r="G192" s="119" t="n">
        <f aca="false">SUMIFS(tabela_registros[VALOR],tabela_registros[MÊS],$AE$1,tabela_registros[DIA],reservavariáveisconsolidadomar[[#Headers],[3]],tabela_registros[REGISTRO],DADOS!$N$6,tabela_registros[TIPO],DADOS!$AJ$4,tabela_registros[CATEGORIA],reservavariáveisconsolidadomar[[#This Row],[ATUAL]])</f>
        <v>0</v>
      </c>
      <c r="H192" s="119" t="n">
        <f aca="false">SUMIFS(tabela_registros[VALOR],tabela_registros[MÊS],$AE$1,tabela_registros[DIA],reservavariáveisconsolidadomar[[#Headers],[4]],tabela_registros[REGISTRO],DADOS!$N$6,tabela_registros[TIPO],DADOS!$AJ$4,tabela_registros[CATEGORIA],reservavariáveisconsolidadomar[[#This Row],[ATUAL]])</f>
        <v>0</v>
      </c>
      <c r="I192" s="119" t="n">
        <f aca="false">SUMIFS(tabela_registros[VALOR],tabela_registros[MÊS],$AE$1,tabela_registros[DIA],reservavariáveisconsolidadomar[[#Headers],[5]],tabela_registros[REGISTRO],DADOS!$N$6,tabela_registros[TIPO],DADOS!$AJ$4,tabela_registros[CATEGORIA],reservavariáveisconsolidadomar[[#This Row],[ATUAL]])</f>
        <v>0</v>
      </c>
      <c r="J192" s="119" t="n">
        <f aca="false">SUMIFS(tabela_registros[VALOR],tabela_registros[MÊS],$AE$1,tabela_registros[DIA],reservavariáveisconsolidadomar[[#Headers],[6]],tabela_registros[REGISTRO],DADOS!$N$6,tabela_registros[TIPO],DADOS!$AJ$4,tabela_registros[CATEGORIA],reservavariáveisconsolidadomar[[#This Row],[ATUAL]])</f>
        <v>0</v>
      </c>
      <c r="K192" s="119" t="n">
        <f aca="false">SUMIFS(tabela_registros[VALOR],tabela_registros[MÊS],$AE$1,tabela_registros[DIA],reservavariáveisconsolidadomar[[#Headers],[7]],tabela_registros[REGISTRO],DADOS!$N$6,tabela_registros[TIPO],DADOS!$AJ$4,tabela_registros[CATEGORIA],reservavariáveisconsolidadomar[[#This Row],[ATUAL]])</f>
        <v>0</v>
      </c>
      <c r="L192" s="119" t="n">
        <f aca="false">SUMIFS(tabela_registros[VALOR],tabela_registros[MÊS],$AE$1,tabela_registros[DIA],reservavariáveisconsolidadomar[[#Headers],[8]],tabela_registros[REGISTRO],DADOS!$N$6,tabela_registros[TIPO],DADOS!$AJ$4,tabela_registros[CATEGORIA],reservavariáveisconsolidadomar[[#This Row],[ATUAL]])</f>
        <v>0</v>
      </c>
      <c r="M192" s="119" t="n">
        <f aca="false">SUMIFS(tabela_registros[VALOR],tabela_registros[MÊS],$AE$1,tabela_registros[DIA],reservavariáveisconsolidadomar[[#Headers],[9]],tabela_registros[REGISTRO],DADOS!$N$6,tabela_registros[TIPO],DADOS!$AJ$4,tabela_registros[CATEGORIA],reservavariáveisconsolidadomar[[#This Row],[ATUAL]])</f>
        <v>0</v>
      </c>
      <c r="N192" s="119" t="n">
        <f aca="false">SUMIFS(tabela_registros[VALOR],tabela_registros[MÊS],$AE$1,tabela_registros[DIA],reservavariáveisconsolidadomar[[#Headers],[10]],tabela_registros[REGISTRO],DADOS!$N$6,tabela_registros[TIPO],DADOS!$AJ$4,tabela_registros[CATEGORIA],reservavariáveisconsolidadomar[[#This Row],[ATUAL]])</f>
        <v>0</v>
      </c>
      <c r="O192" s="119" t="n">
        <f aca="false">SUMIFS(tabela_registros[VALOR],tabela_registros[MÊS],$AE$1,tabela_registros[DIA],reservavariáveisconsolidadomar[[#Headers],[11]],tabela_registros[REGISTRO],DADOS!$N$6,tabela_registros[TIPO],DADOS!$AJ$4,tabela_registros[CATEGORIA],reservavariáveisconsolidadomar[[#This Row],[ATUAL]])</f>
        <v>0</v>
      </c>
      <c r="P192" s="119" t="n">
        <f aca="false">SUMIFS(tabela_registros[VALOR],tabela_registros[MÊS],$AE$1,tabela_registros[DIA],reservavariáveisconsolidadomar[[#Headers],[12]],tabela_registros[REGISTRO],DADOS!$N$6,tabela_registros[TIPO],DADOS!$AJ$4,tabela_registros[CATEGORIA],reservavariáveisconsolidadomar[[#This Row],[ATUAL]])</f>
        <v>0</v>
      </c>
      <c r="Q192" s="119" t="n">
        <f aca="false">SUMIFS(tabela_registros[VALOR],tabela_registros[MÊS],$AE$1,tabela_registros[DIA],reservavariáveisconsolidadomar[[#Headers],[13]],tabela_registros[REGISTRO],DADOS!$N$6,tabela_registros[TIPO],DADOS!$AJ$4,tabela_registros[CATEGORIA],reservavariáveisconsolidadomar[[#This Row],[ATUAL]])</f>
        <v>0</v>
      </c>
      <c r="R192" s="119" t="n">
        <f aca="false">SUMIFS(tabela_registros[VALOR],tabela_registros[MÊS],$AE$1,tabela_registros[DIA],reservavariáveisconsolidadomar[[#Headers],[14]],tabela_registros[REGISTRO],DADOS!$N$6,tabela_registros[TIPO],DADOS!$AJ$4,tabela_registros[CATEGORIA],reservavariáveisconsolidadomar[[#This Row],[ATUAL]])</f>
        <v>0</v>
      </c>
      <c r="S192" s="119" t="n">
        <f aca="false">SUMIFS(tabela_registros[VALOR],tabela_registros[MÊS],$AE$1,tabela_registros[DIA],reservavariáveisconsolidadomar[[#Headers],[15]],tabela_registros[REGISTRO],DADOS!$N$6,tabela_registros[TIPO],DADOS!$AJ$4,tabela_registros[CATEGORIA],reservavariáveisconsolidadomar[[#This Row],[ATUAL]])</f>
        <v>0</v>
      </c>
      <c r="T192" s="119" t="n">
        <f aca="false">SUMIFS(tabela_registros[VALOR],tabela_registros[MÊS],$AE$1,tabela_registros[DIA],reservavariáveisconsolidadomar[[#Headers],[16]],tabela_registros[REGISTRO],DADOS!$N$6,tabela_registros[TIPO],DADOS!$AJ$4,tabela_registros[CATEGORIA],reservavariáveisconsolidadomar[[#This Row],[ATUAL]])</f>
        <v>0</v>
      </c>
      <c r="U192" s="119" t="n">
        <f aca="false">SUMIFS(tabela_registros[VALOR],tabela_registros[MÊS],$AE$1,tabela_registros[DIA],reservavariáveisconsolidadomar[[#Headers],[17]],tabela_registros[REGISTRO],DADOS!$N$6,tabela_registros[TIPO],DADOS!$AJ$4,tabela_registros[CATEGORIA],reservavariáveisconsolidadomar[[#This Row],[ATUAL]])</f>
        <v>0</v>
      </c>
      <c r="V192" s="119" t="n">
        <f aca="false">SUMIFS(tabela_registros[VALOR],tabela_registros[MÊS],$AE$1,tabela_registros[DIA],reservavariáveisconsolidadomar[[#Headers],[18]],tabela_registros[REGISTRO],DADOS!$N$6,tabela_registros[TIPO],DADOS!$AJ$4,tabela_registros[CATEGORIA],reservavariáveisconsolidadomar[[#This Row],[ATUAL]])</f>
        <v>0</v>
      </c>
      <c r="W192" s="119" t="n">
        <f aca="false">SUMIFS(tabela_registros[VALOR],tabela_registros[MÊS],$AE$1,tabela_registros[DIA],reservavariáveisconsolidadomar[[#Headers],[19]],tabela_registros[REGISTRO],DADOS!$N$6,tabela_registros[TIPO],DADOS!$AJ$4,tabela_registros[CATEGORIA],reservavariáveisconsolidadomar[[#This Row],[ATUAL]])</f>
        <v>0</v>
      </c>
      <c r="X192" s="119" t="n">
        <f aca="false">SUMIFS(tabela_registros[VALOR],tabela_registros[MÊS],$AE$1,tabela_registros[DIA],reservavariáveisconsolidadomar[[#Headers],[20]],tabela_registros[REGISTRO],DADOS!$N$6,tabela_registros[TIPO],DADOS!$AJ$4,tabela_registros[CATEGORIA],reservavariáveisconsolidadomar[[#This Row],[ATUAL]])</f>
        <v>0</v>
      </c>
      <c r="Y192" s="119" t="n">
        <f aca="false">SUMIFS(tabela_registros[VALOR],tabela_registros[MÊS],$AE$1,tabela_registros[DIA],reservavariáveisconsolidadomar[[#Headers],[21]],tabela_registros[REGISTRO],DADOS!$N$6,tabela_registros[TIPO],DADOS!$AJ$4,tabela_registros[CATEGORIA],reservavariáveisconsolidadomar[[#This Row],[ATUAL]])</f>
        <v>0</v>
      </c>
      <c r="Z192" s="119" t="n">
        <f aca="false">SUMIFS(tabela_registros[VALOR],tabela_registros[MÊS],$AE$1,tabela_registros[DIA],reservavariáveisconsolidadomar[[#Headers],[22]],tabela_registros[REGISTRO],DADOS!$N$6,tabela_registros[TIPO],DADOS!$AJ$4,tabela_registros[CATEGORIA],reservavariáveisconsolidadomar[[#This Row],[ATUAL]])</f>
        <v>0</v>
      </c>
      <c r="AA192" s="119" t="n">
        <f aca="false">SUMIFS(tabela_registros[VALOR],tabela_registros[MÊS],$AE$1,tabela_registros[DIA],reservavariáveisconsolidadomar[[#Headers],[23]],tabela_registros[REGISTRO],DADOS!$N$6,tabela_registros[TIPO],DADOS!$AJ$4,tabela_registros[CATEGORIA],reservavariáveisconsolidadomar[[#This Row],[ATUAL]])</f>
        <v>0</v>
      </c>
      <c r="AB192" s="119" t="n">
        <f aca="false">SUMIFS(tabela_registros[VALOR],tabela_registros[MÊS],$AE$1,tabela_registros[DIA],reservavariáveisconsolidadomar[[#Headers],[24]],tabela_registros[REGISTRO],DADOS!$N$6,tabela_registros[TIPO],DADOS!$AJ$4,tabela_registros[CATEGORIA],reservavariáveisconsolidadomar[[#This Row],[ATUAL]])</f>
        <v>0</v>
      </c>
      <c r="AC192" s="119" t="n">
        <f aca="false">SUMIFS(tabela_registros[VALOR],tabela_registros[MÊS],$AE$1,tabela_registros[DIA],reservavariáveisconsolidadomar[[#Headers],[25]],tabela_registros[REGISTRO],DADOS!$N$6,tabela_registros[TIPO],DADOS!$AJ$4,tabela_registros[CATEGORIA],reservavariáveisconsolidadomar[[#This Row],[ATUAL]])</f>
        <v>0</v>
      </c>
      <c r="AD192" s="119" t="n">
        <f aca="false">SUMIFS(tabela_registros[VALOR],tabela_registros[MÊS],$AE$1,tabela_registros[DIA],reservavariáveisconsolidadomar[[#Headers],[26]],tabela_registros[REGISTRO],DADOS!$N$6,tabela_registros[TIPO],DADOS!$AJ$4,tabela_registros[CATEGORIA],reservavariáveisconsolidadomar[[#This Row],[ATUAL]])</f>
        <v>0</v>
      </c>
      <c r="AE192" s="119" t="n">
        <f aca="false">SUMIFS(tabela_registros[VALOR],tabela_registros[MÊS],$AE$1,tabela_registros[DIA],reservavariáveisconsolidadomar[[#Headers],[27]],tabela_registros[REGISTRO],DADOS!$N$6,tabela_registros[TIPO],DADOS!$AJ$4,tabela_registros[CATEGORIA],reservavariáveisconsolidadomar[[#This Row],[ATUAL]])</f>
        <v>0</v>
      </c>
      <c r="AF192" s="119" t="n">
        <f aca="false">SUMIFS(tabela_registros[VALOR],tabela_registros[MÊS],$AE$1,tabela_registros[DIA],reservavariáveisconsolidadomar[[#Headers],[28]],tabela_registros[REGISTRO],DADOS!$N$6,tabela_registros[TIPO],DADOS!$AJ$4,tabela_registros[CATEGORIA],reservavariáveisconsolidadomar[[#This Row],[ATUAL]])</f>
        <v>0</v>
      </c>
      <c r="AG192" s="119" t="n">
        <f aca="false">SUMIFS(tabela_registros[VALOR],tabela_registros[MÊS],$AE$1,tabela_registros[DIA],reservavariáveisconsolidadomar[[#Headers],[29]],tabela_registros[REGISTRO],DADOS!$N$6,tabela_registros[TIPO],DADOS!$AJ$4,tabela_registros[CATEGORIA],reservavariáveisconsolidadomar[[#This Row],[ATUAL]])</f>
        <v>0</v>
      </c>
      <c r="AH192" s="119" t="n">
        <f aca="false">SUMIFS(tabela_registros[VALOR],tabela_registros[MÊS],$AE$1,tabela_registros[DIA],reservavariáveisconsolidadomar[[#Headers],[30]],tabela_registros[REGISTRO],DADOS!$N$6,tabela_registros[TIPO],DADOS!$AJ$4,tabela_registros[CATEGORIA],reservavariáveisconsolidadomar[[#This Row],[ATUAL]])</f>
        <v>0</v>
      </c>
      <c r="AI192" s="217" t="n">
        <f aca="false">SUMIFS(tabela_registros[VALOR],tabela_registros[MÊS],$AE$1,tabela_registros[DIA],reservavariáveisconsolidadomar[[#Headers],[31]],tabela_registros[REGISTRO],DADOS!$N$6,tabela_registros[TIPO],DADOS!$AJ$4,tabela_registros[CATEGORIA],reservavariáveisconsolidadomar[[#This Row],[ATUAL]])</f>
        <v>0</v>
      </c>
      <c r="AJ192" s="149" t="n">
        <f aca="false">SUM(reservavariáveisconsolidadomar[[#This Row],[1]:[31]])</f>
        <v>0</v>
      </c>
      <c r="AK192" s="165"/>
    </row>
    <row r="193" customFormat="false" ht="19.5" hidden="false" customHeight="true" outlineLevel="0" collapsed="false">
      <c r="B193" s="143"/>
      <c r="C193" s="144" t="str">
        <f aca="false">DADOS!$AN$9</f>
        <v>📝 EXTERIOR</v>
      </c>
      <c r="D193" s="145" t="str">
        <f aca="false">IF(reservavariáveisconsolidadomar[[#This Row],[TOTAL (R$)]]=0,"",IF(OR(reservavariáveisconsolidadomar[[#This Row],[TOTAL (R$)]]=LARGE($AJ$187:$AJ$196,1),reservavariáveisconsolidadomar[[#This Row],[TOTAL (R$)]]=LARGE($AJ$187:$AJ$196,2)),DADOS!$I$11,""))</f>
        <v/>
      </c>
      <c r="E193" s="148" t="n">
        <f aca="false">SUMIFS(tabela_registros[VALOR],tabela_registros[MÊS],$AE$1,tabela_registros[DIA],reservavariáveisconsolidadomar[[#Headers],[1]],tabela_registros[REGISTRO],DADOS!$N$6,tabela_registros[TIPO],DADOS!$AJ$4,tabela_registros[CATEGORIA],reservavariáveisconsolidadomar[[#This Row],[ATUAL]])</f>
        <v>0</v>
      </c>
      <c r="F193" s="119" t="n">
        <f aca="false">SUMIFS(tabela_registros[VALOR],tabela_registros[MÊS],$AE$1,tabela_registros[DIA],reservavariáveisconsolidadomar[[#Headers],[2]],tabela_registros[REGISTRO],DADOS!$N$6,tabela_registros[TIPO],DADOS!$AJ$4,tabela_registros[CATEGORIA],reservavariáveisconsolidadomar[[#This Row],[ATUAL]])</f>
        <v>0</v>
      </c>
      <c r="G193" s="119" t="n">
        <f aca="false">SUMIFS(tabela_registros[VALOR],tabela_registros[MÊS],$AE$1,tabela_registros[DIA],reservavariáveisconsolidadomar[[#Headers],[3]],tabela_registros[REGISTRO],DADOS!$N$6,tabela_registros[TIPO],DADOS!$AJ$4,tabela_registros[CATEGORIA],reservavariáveisconsolidadomar[[#This Row],[ATUAL]])</f>
        <v>0</v>
      </c>
      <c r="H193" s="119" t="n">
        <f aca="false">SUMIFS(tabela_registros[VALOR],tabela_registros[MÊS],$AE$1,tabela_registros[DIA],reservavariáveisconsolidadomar[[#Headers],[4]],tabela_registros[REGISTRO],DADOS!$N$6,tabela_registros[TIPO],DADOS!$AJ$4,tabela_registros[CATEGORIA],reservavariáveisconsolidadomar[[#This Row],[ATUAL]])</f>
        <v>0</v>
      </c>
      <c r="I193" s="119" t="n">
        <f aca="false">SUMIFS(tabela_registros[VALOR],tabela_registros[MÊS],$AE$1,tabela_registros[DIA],reservavariáveisconsolidadomar[[#Headers],[5]],tabela_registros[REGISTRO],DADOS!$N$6,tabela_registros[TIPO],DADOS!$AJ$4,tabela_registros[CATEGORIA],reservavariáveisconsolidadomar[[#This Row],[ATUAL]])</f>
        <v>0</v>
      </c>
      <c r="J193" s="119" t="n">
        <f aca="false">SUMIFS(tabela_registros[VALOR],tabela_registros[MÊS],$AE$1,tabela_registros[DIA],reservavariáveisconsolidadomar[[#Headers],[6]],tabela_registros[REGISTRO],DADOS!$N$6,tabela_registros[TIPO],DADOS!$AJ$4,tabela_registros[CATEGORIA],reservavariáveisconsolidadomar[[#This Row],[ATUAL]])</f>
        <v>0</v>
      </c>
      <c r="K193" s="119" t="n">
        <f aca="false">SUMIFS(tabela_registros[VALOR],tabela_registros[MÊS],$AE$1,tabela_registros[DIA],reservavariáveisconsolidadomar[[#Headers],[7]],tabela_registros[REGISTRO],DADOS!$N$6,tabela_registros[TIPO],DADOS!$AJ$4,tabela_registros[CATEGORIA],reservavariáveisconsolidadomar[[#This Row],[ATUAL]])</f>
        <v>0</v>
      </c>
      <c r="L193" s="119" t="n">
        <f aca="false">SUMIFS(tabela_registros[VALOR],tabela_registros[MÊS],$AE$1,tabela_registros[DIA],reservavariáveisconsolidadomar[[#Headers],[8]],tabela_registros[REGISTRO],DADOS!$N$6,tabela_registros[TIPO],DADOS!$AJ$4,tabela_registros[CATEGORIA],reservavariáveisconsolidadomar[[#This Row],[ATUAL]])</f>
        <v>0</v>
      </c>
      <c r="M193" s="119" t="n">
        <f aca="false">SUMIFS(tabela_registros[VALOR],tabela_registros[MÊS],$AE$1,tabela_registros[DIA],reservavariáveisconsolidadomar[[#Headers],[9]],tabela_registros[REGISTRO],DADOS!$N$6,tabela_registros[TIPO],DADOS!$AJ$4,tabela_registros[CATEGORIA],reservavariáveisconsolidadomar[[#This Row],[ATUAL]])</f>
        <v>0</v>
      </c>
      <c r="N193" s="119" t="n">
        <f aca="false">SUMIFS(tabela_registros[VALOR],tabela_registros[MÊS],$AE$1,tabela_registros[DIA],reservavariáveisconsolidadomar[[#Headers],[10]],tabela_registros[REGISTRO],DADOS!$N$6,tabela_registros[TIPO],DADOS!$AJ$4,tabela_registros[CATEGORIA],reservavariáveisconsolidadomar[[#This Row],[ATUAL]])</f>
        <v>0</v>
      </c>
      <c r="O193" s="119" t="n">
        <f aca="false">SUMIFS(tabela_registros[VALOR],tabela_registros[MÊS],$AE$1,tabela_registros[DIA],reservavariáveisconsolidadomar[[#Headers],[11]],tabela_registros[REGISTRO],DADOS!$N$6,tabela_registros[TIPO],DADOS!$AJ$4,tabela_registros[CATEGORIA],reservavariáveisconsolidadomar[[#This Row],[ATUAL]])</f>
        <v>0</v>
      </c>
      <c r="P193" s="119" t="n">
        <f aca="false">SUMIFS(tabela_registros[VALOR],tabela_registros[MÊS],$AE$1,tabela_registros[DIA],reservavariáveisconsolidadomar[[#Headers],[12]],tabela_registros[REGISTRO],DADOS!$N$6,tabela_registros[TIPO],DADOS!$AJ$4,tabela_registros[CATEGORIA],reservavariáveisconsolidadomar[[#This Row],[ATUAL]])</f>
        <v>0</v>
      </c>
      <c r="Q193" s="119" t="n">
        <f aca="false">SUMIFS(tabela_registros[VALOR],tabela_registros[MÊS],$AE$1,tabela_registros[DIA],reservavariáveisconsolidadomar[[#Headers],[13]],tabela_registros[REGISTRO],DADOS!$N$6,tabela_registros[TIPO],DADOS!$AJ$4,tabela_registros[CATEGORIA],reservavariáveisconsolidadomar[[#This Row],[ATUAL]])</f>
        <v>0</v>
      </c>
      <c r="R193" s="119" t="n">
        <f aca="false">SUMIFS(tabela_registros[VALOR],tabela_registros[MÊS],$AE$1,tabela_registros[DIA],reservavariáveisconsolidadomar[[#Headers],[14]],tabela_registros[REGISTRO],DADOS!$N$6,tabela_registros[TIPO],DADOS!$AJ$4,tabela_registros[CATEGORIA],reservavariáveisconsolidadomar[[#This Row],[ATUAL]])</f>
        <v>0</v>
      </c>
      <c r="S193" s="119" t="n">
        <f aca="false">SUMIFS(tabela_registros[VALOR],tabela_registros[MÊS],$AE$1,tabela_registros[DIA],reservavariáveisconsolidadomar[[#Headers],[15]],tabela_registros[REGISTRO],DADOS!$N$6,tabela_registros[TIPO],DADOS!$AJ$4,tabela_registros[CATEGORIA],reservavariáveisconsolidadomar[[#This Row],[ATUAL]])</f>
        <v>0</v>
      </c>
      <c r="T193" s="119" t="n">
        <f aca="false">SUMIFS(tabela_registros[VALOR],tabela_registros[MÊS],$AE$1,tabela_registros[DIA],reservavariáveisconsolidadomar[[#Headers],[16]],tabela_registros[REGISTRO],DADOS!$N$6,tabela_registros[TIPO],DADOS!$AJ$4,tabela_registros[CATEGORIA],reservavariáveisconsolidadomar[[#This Row],[ATUAL]])</f>
        <v>0</v>
      </c>
      <c r="U193" s="119" t="n">
        <f aca="false">SUMIFS(tabela_registros[VALOR],tabela_registros[MÊS],$AE$1,tabela_registros[DIA],reservavariáveisconsolidadomar[[#Headers],[17]],tabela_registros[REGISTRO],DADOS!$N$6,tabela_registros[TIPO],DADOS!$AJ$4,tabela_registros[CATEGORIA],reservavariáveisconsolidadomar[[#This Row],[ATUAL]])</f>
        <v>0</v>
      </c>
      <c r="V193" s="119" t="n">
        <f aca="false">SUMIFS(tabela_registros[VALOR],tabela_registros[MÊS],$AE$1,tabela_registros[DIA],reservavariáveisconsolidadomar[[#Headers],[18]],tabela_registros[REGISTRO],DADOS!$N$6,tabela_registros[TIPO],DADOS!$AJ$4,tabela_registros[CATEGORIA],reservavariáveisconsolidadomar[[#This Row],[ATUAL]])</f>
        <v>0</v>
      </c>
      <c r="W193" s="119" t="n">
        <f aca="false">SUMIFS(tabela_registros[VALOR],tabela_registros[MÊS],$AE$1,tabela_registros[DIA],reservavariáveisconsolidadomar[[#Headers],[19]],tabela_registros[REGISTRO],DADOS!$N$6,tabela_registros[TIPO],DADOS!$AJ$4,tabela_registros[CATEGORIA],reservavariáveisconsolidadomar[[#This Row],[ATUAL]])</f>
        <v>0</v>
      </c>
      <c r="X193" s="119" t="n">
        <f aca="false">SUMIFS(tabela_registros[VALOR],tabela_registros[MÊS],$AE$1,tabela_registros[DIA],reservavariáveisconsolidadomar[[#Headers],[20]],tabela_registros[REGISTRO],DADOS!$N$6,tabela_registros[TIPO],DADOS!$AJ$4,tabela_registros[CATEGORIA],reservavariáveisconsolidadomar[[#This Row],[ATUAL]])</f>
        <v>0</v>
      </c>
      <c r="Y193" s="119" t="n">
        <f aca="false">SUMIFS(tabela_registros[VALOR],tabela_registros[MÊS],$AE$1,tabela_registros[DIA],reservavariáveisconsolidadomar[[#Headers],[21]],tabela_registros[REGISTRO],DADOS!$N$6,tabela_registros[TIPO],DADOS!$AJ$4,tabela_registros[CATEGORIA],reservavariáveisconsolidadomar[[#This Row],[ATUAL]])</f>
        <v>0</v>
      </c>
      <c r="Z193" s="119" t="n">
        <f aca="false">SUMIFS(tabela_registros[VALOR],tabela_registros[MÊS],$AE$1,tabela_registros[DIA],reservavariáveisconsolidadomar[[#Headers],[22]],tabela_registros[REGISTRO],DADOS!$N$6,tabela_registros[TIPO],DADOS!$AJ$4,tabela_registros[CATEGORIA],reservavariáveisconsolidadomar[[#This Row],[ATUAL]])</f>
        <v>0</v>
      </c>
      <c r="AA193" s="119" t="n">
        <f aca="false">SUMIFS(tabela_registros[VALOR],tabela_registros[MÊS],$AE$1,tabela_registros[DIA],reservavariáveisconsolidadomar[[#Headers],[23]],tabela_registros[REGISTRO],DADOS!$N$6,tabela_registros[TIPO],DADOS!$AJ$4,tabela_registros[CATEGORIA],reservavariáveisconsolidadomar[[#This Row],[ATUAL]])</f>
        <v>0</v>
      </c>
      <c r="AB193" s="119" t="n">
        <f aca="false">SUMIFS(tabela_registros[VALOR],tabela_registros[MÊS],$AE$1,tabela_registros[DIA],reservavariáveisconsolidadomar[[#Headers],[24]],tabela_registros[REGISTRO],DADOS!$N$6,tabela_registros[TIPO],DADOS!$AJ$4,tabela_registros[CATEGORIA],reservavariáveisconsolidadomar[[#This Row],[ATUAL]])</f>
        <v>0</v>
      </c>
      <c r="AC193" s="119" t="n">
        <f aca="false">SUMIFS(tabela_registros[VALOR],tabela_registros[MÊS],$AE$1,tabela_registros[DIA],reservavariáveisconsolidadomar[[#Headers],[25]],tabela_registros[REGISTRO],DADOS!$N$6,tabela_registros[TIPO],DADOS!$AJ$4,tabela_registros[CATEGORIA],reservavariáveisconsolidadomar[[#This Row],[ATUAL]])</f>
        <v>0</v>
      </c>
      <c r="AD193" s="119" t="n">
        <f aca="false">SUMIFS(tabela_registros[VALOR],tabela_registros[MÊS],$AE$1,tabela_registros[DIA],reservavariáveisconsolidadomar[[#Headers],[26]],tabela_registros[REGISTRO],DADOS!$N$6,tabela_registros[TIPO],DADOS!$AJ$4,tabela_registros[CATEGORIA],reservavariáveisconsolidadomar[[#This Row],[ATUAL]])</f>
        <v>0</v>
      </c>
      <c r="AE193" s="119" t="n">
        <f aca="false">SUMIFS(tabela_registros[VALOR],tabela_registros[MÊS],$AE$1,tabela_registros[DIA],reservavariáveisconsolidadomar[[#Headers],[27]],tabela_registros[REGISTRO],DADOS!$N$6,tabela_registros[TIPO],DADOS!$AJ$4,tabela_registros[CATEGORIA],reservavariáveisconsolidadomar[[#This Row],[ATUAL]])</f>
        <v>0</v>
      </c>
      <c r="AF193" s="119" t="n">
        <f aca="false">SUMIFS(tabela_registros[VALOR],tabela_registros[MÊS],$AE$1,tabela_registros[DIA],reservavariáveisconsolidadomar[[#Headers],[28]],tabela_registros[REGISTRO],DADOS!$N$6,tabela_registros[TIPO],DADOS!$AJ$4,tabela_registros[CATEGORIA],reservavariáveisconsolidadomar[[#This Row],[ATUAL]])</f>
        <v>0</v>
      </c>
      <c r="AG193" s="119" t="n">
        <f aca="false">SUMIFS(tabela_registros[VALOR],tabela_registros[MÊS],$AE$1,tabela_registros[DIA],reservavariáveisconsolidadomar[[#Headers],[29]],tabela_registros[REGISTRO],DADOS!$N$6,tabela_registros[TIPO],DADOS!$AJ$4,tabela_registros[CATEGORIA],reservavariáveisconsolidadomar[[#This Row],[ATUAL]])</f>
        <v>0</v>
      </c>
      <c r="AH193" s="119" t="n">
        <f aca="false">SUMIFS(tabela_registros[VALOR],tabela_registros[MÊS],$AE$1,tabela_registros[DIA],reservavariáveisconsolidadomar[[#Headers],[30]],tabela_registros[REGISTRO],DADOS!$N$6,tabela_registros[TIPO],DADOS!$AJ$4,tabela_registros[CATEGORIA],reservavariáveisconsolidadomar[[#This Row],[ATUAL]])</f>
        <v>0</v>
      </c>
      <c r="AI193" s="217" t="n">
        <f aca="false">SUMIFS(tabela_registros[VALOR],tabela_registros[MÊS],$AE$1,tabela_registros[DIA],reservavariáveisconsolidadomar[[#Headers],[31]],tabela_registros[REGISTRO],DADOS!$N$6,tabela_registros[TIPO],DADOS!$AJ$4,tabela_registros[CATEGORIA],reservavariáveisconsolidadomar[[#This Row],[ATUAL]])</f>
        <v>0</v>
      </c>
      <c r="AJ193" s="149" t="n">
        <f aca="false">SUM(reservavariáveisconsolidadomar[[#This Row],[1]:[31]])</f>
        <v>0</v>
      </c>
      <c r="AK193" s="165"/>
    </row>
    <row r="194" customFormat="false" ht="19.5" hidden="false" customHeight="true" outlineLevel="0" collapsed="false">
      <c r="B194" s="143"/>
      <c r="C194" s="144" t="str">
        <f aca="false">DADOS!$AN$10</f>
        <v>📝 FII</v>
      </c>
      <c r="D194" s="145" t="str">
        <f aca="false">IF(reservavariáveisconsolidadomar[[#This Row],[TOTAL (R$)]]=0,"",IF(OR(reservavariáveisconsolidadomar[[#This Row],[TOTAL (R$)]]=LARGE($AJ$187:$AJ$196,1),reservavariáveisconsolidadomar[[#This Row],[TOTAL (R$)]]=LARGE($AJ$187:$AJ$196,2)),DADOS!$I$11,""))</f>
        <v/>
      </c>
      <c r="E194" s="148" t="n">
        <f aca="false">SUMIFS(tabela_registros[VALOR],tabela_registros[MÊS],$AE$1,tabela_registros[DIA],reservavariáveisconsolidadomar[[#Headers],[1]],tabela_registros[REGISTRO],DADOS!$N$6,tabela_registros[TIPO],DADOS!$AJ$4,tabela_registros[CATEGORIA],reservavariáveisconsolidadomar[[#This Row],[ATUAL]])</f>
        <v>0</v>
      </c>
      <c r="F194" s="119" t="n">
        <f aca="false">SUMIFS(tabela_registros[VALOR],tabela_registros[MÊS],$AE$1,tabela_registros[DIA],reservavariáveisconsolidadomar[[#Headers],[2]],tabela_registros[REGISTRO],DADOS!$N$6,tabela_registros[TIPO],DADOS!$AJ$4,tabela_registros[CATEGORIA],reservavariáveisconsolidadomar[[#This Row],[ATUAL]])</f>
        <v>0</v>
      </c>
      <c r="G194" s="119" t="n">
        <f aca="false">SUMIFS(tabela_registros[VALOR],tabela_registros[MÊS],$AE$1,tabela_registros[DIA],reservavariáveisconsolidadomar[[#Headers],[3]],tabela_registros[REGISTRO],DADOS!$N$6,tabela_registros[TIPO],DADOS!$AJ$4,tabela_registros[CATEGORIA],reservavariáveisconsolidadomar[[#This Row],[ATUAL]])</f>
        <v>0</v>
      </c>
      <c r="H194" s="119" t="n">
        <f aca="false">SUMIFS(tabela_registros[VALOR],tabela_registros[MÊS],$AE$1,tabela_registros[DIA],reservavariáveisconsolidadomar[[#Headers],[4]],tabela_registros[REGISTRO],DADOS!$N$6,tabela_registros[TIPO],DADOS!$AJ$4,tabela_registros[CATEGORIA],reservavariáveisconsolidadomar[[#This Row],[ATUAL]])</f>
        <v>0</v>
      </c>
      <c r="I194" s="119" t="n">
        <f aca="false">SUMIFS(tabela_registros[VALOR],tabela_registros[MÊS],$AE$1,tabela_registros[DIA],reservavariáveisconsolidadomar[[#Headers],[5]],tabela_registros[REGISTRO],DADOS!$N$6,tabela_registros[TIPO],DADOS!$AJ$4,tabela_registros[CATEGORIA],reservavariáveisconsolidadomar[[#This Row],[ATUAL]])</f>
        <v>0</v>
      </c>
      <c r="J194" s="119" t="n">
        <f aca="false">SUMIFS(tabela_registros[VALOR],tabela_registros[MÊS],$AE$1,tabela_registros[DIA],reservavariáveisconsolidadomar[[#Headers],[6]],tabela_registros[REGISTRO],DADOS!$N$6,tabela_registros[TIPO],DADOS!$AJ$4,tabela_registros[CATEGORIA],reservavariáveisconsolidadomar[[#This Row],[ATUAL]])</f>
        <v>0</v>
      </c>
      <c r="K194" s="119" t="n">
        <f aca="false">SUMIFS(tabela_registros[VALOR],tabela_registros[MÊS],$AE$1,tabela_registros[DIA],reservavariáveisconsolidadomar[[#Headers],[7]],tabela_registros[REGISTRO],DADOS!$N$6,tabela_registros[TIPO],DADOS!$AJ$4,tabela_registros[CATEGORIA],reservavariáveisconsolidadomar[[#This Row],[ATUAL]])</f>
        <v>0</v>
      </c>
      <c r="L194" s="119" t="n">
        <f aca="false">SUMIFS(tabela_registros[VALOR],tabela_registros[MÊS],$AE$1,tabela_registros[DIA],reservavariáveisconsolidadomar[[#Headers],[8]],tabela_registros[REGISTRO],DADOS!$N$6,tabela_registros[TIPO],DADOS!$AJ$4,tabela_registros[CATEGORIA],reservavariáveisconsolidadomar[[#This Row],[ATUAL]])</f>
        <v>0</v>
      </c>
      <c r="M194" s="119" t="n">
        <f aca="false">SUMIFS(tabela_registros[VALOR],tabela_registros[MÊS],$AE$1,tabela_registros[DIA],reservavariáveisconsolidadomar[[#Headers],[9]],tabela_registros[REGISTRO],DADOS!$N$6,tabela_registros[TIPO],DADOS!$AJ$4,tabela_registros[CATEGORIA],reservavariáveisconsolidadomar[[#This Row],[ATUAL]])</f>
        <v>0</v>
      </c>
      <c r="N194" s="119" t="n">
        <f aca="false">SUMIFS(tabela_registros[VALOR],tabela_registros[MÊS],$AE$1,tabela_registros[DIA],reservavariáveisconsolidadomar[[#Headers],[10]],tabela_registros[REGISTRO],DADOS!$N$6,tabela_registros[TIPO],DADOS!$AJ$4,tabela_registros[CATEGORIA],reservavariáveisconsolidadomar[[#This Row],[ATUAL]])</f>
        <v>0</v>
      </c>
      <c r="O194" s="119" t="n">
        <f aca="false">SUMIFS(tabela_registros[VALOR],tabela_registros[MÊS],$AE$1,tabela_registros[DIA],reservavariáveisconsolidadomar[[#Headers],[11]],tabela_registros[REGISTRO],DADOS!$N$6,tabela_registros[TIPO],DADOS!$AJ$4,tabela_registros[CATEGORIA],reservavariáveisconsolidadomar[[#This Row],[ATUAL]])</f>
        <v>0</v>
      </c>
      <c r="P194" s="119" t="n">
        <f aca="false">SUMIFS(tabela_registros[VALOR],tabela_registros[MÊS],$AE$1,tabela_registros[DIA],reservavariáveisconsolidadomar[[#Headers],[12]],tabela_registros[REGISTRO],DADOS!$N$6,tabela_registros[TIPO],DADOS!$AJ$4,tabela_registros[CATEGORIA],reservavariáveisconsolidadomar[[#This Row],[ATUAL]])</f>
        <v>0</v>
      </c>
      <c r="Q194" s="119" t="n">
        <f aca="false">SUMIFS(tabela_registros[VALOR],tabela_registros[MÊS],$AE$1,tabela_registros[DIA],reservavariáveisconsolidadomar[[#Headers],[13]],tabela_registros[REGISTRO],DADOS!$N$6,tabela_registros[TIPO],DADOS!$AJ$4,tabela_registros[CATEGORIA],reservavariáveisconsolidadomar[[#This Row],[ATUAL]])</f>
        <v>0</v>
      </c>
      <c r="R194" s="119" t="n">
        <f aca="false">SUMIFS(tabela_registros[VALOR],tabela_registros[MÊS],$AE$1,tabela_registros[DIA],reservavariáveisconsolidadomar[[#Headers],[14]],tabela_registros[REGISTRO],DADOS!$N$6,tabela_registros[TIPO],DADOS!$AJ$4,tabela_registros[CATEGORIA],reservavariáveisconsolidadomar[[#This Row],[ATUAL]])</f>
        <v>0</v>
      </c>
      <c r="S194" s="119" t="n">
        <f aca="false">SUMIFS(tabela_registros[VALOR],tabela_registros[MÊS],$AE$1,tabela_registros[DIA],reservavariáveisconsolidadomar[[#Headers],[15]],tabela_registros[REGISTRO],DADOS!$N$6,tabela_registros[TIPO],DADOS!$AJ$4,tabela_registros[CATEGORIA],reservavariáveisconsolidadomar[[#This Row],[ATUAL]])</f>
        <v>0</v>
      </c>
      <c r="T194" s="119" t="n">
        <f aca="false">SUMIFS(tabela_registros[VALOR],tabela_registros[MÊS],$AE$1,tabela_registros[DIA],reservavariáveisconsolidadomar[[#Headers],[16]],tabela_registros[REGISTRO],DADOS!$N$6,tabela_registros[TIPO],DADOS!$AJ$4,tabela_registros[CATEGORIA],reservavariáveisconsolidadomar[[#This Row],[ATUAL]])</f>
        <v>0</v>
      </c>
      <c r="U194" s="119" t="n">
        <f aca="false">SUMIFS(tabela_registros[VALOR],tabela_registros[MÊS],$AE$1,tabela_registros[DIA],reservavariáveisconsolidadomar[[#Headers],[17]],tabela_registros[REGISTRO],DADOS!$N$6,tabela_registros[TIPO],DADOS!$AJ$4,tabela_registros[CATEGORIA],reservavariáveisconsolidadomar[[#This Row],[ATUAL]])</f>
        <v>0</v>
      </c>
      <c r="V194" s="119" t="n">
        <f aca="false">SUMIFS(tabela_registros[VALOR],tabela_registros[MÊS],$AE$1,tabela_registros[DIA],reservavariáveisconsolidadomar[[#Headers],[18]],tabela_registros[REGISTRO],DADOS!$N$6,tabela_registros[TIPO],DADOS!$AJ$4,tabela_registros[CATEGORIA],reservavariáveisconsolidadomar[[#This Row],[ATUAL]])</f>
        <v>0</v>
      </c>
      <c r="W194" s="119" t="n">
        <f aca="false">SUMIFS(tabela_registros[VALOR],tabela_registros[MÊS],$AE$1,tabela_registros[DIA],reservavariáveisconsolidadomar[[#Headers],[19]],tabela_registros[REGISTRO],DADOS!$N$6,tabela_registros[TIPO],DADOS!$AJ$4,tabela_registros[CATEGORIA],reservavariáveisconsolidadomar[[#This Row],[ATUAL]])</f>
        <v>0</v>
      </c>
      <c r="X194" s="119" t="n">
        <f aca="false">SUMIFS(tabela_registros[VALOR],tabela_registros[MÊS],$AE$1,tabela_registros[DIA],reservavariáveisconsolidadomar[[#Headers],[20]],tabela_registros[REGISTRO],DADOS!$N$6,tabela_registros[TIPO],DADOS!$AJ$4,tabela_registros[CATEGORIA],reservavariáveisconsolidadomar[[#This Row],[ATUAL]])</f>
        <v>0</v>
      </c>
      <c r="Y194" s="119" t="n">
        <f aca="false">SUMIFS(tabela_registros[VALOR],tabela_registros[MÊS],$AE$1,tabela_registros[DIA],reservavariáveisconsolidadomar[[#Headers],[21]],tabela_registros[REGISTRO],DADOS!$N$6,tabela_registros[TIPO],DADOS!$AJ$4,tabela_registros[CATEGORIA],reservavariáveisconsolidadomar[[#This Row],[ATUAL]])</f>
        <v>0</v>
      </c>
      <c r="Z194" s="119" t="n">
        <f aca="false">SUMIFS(tabela_registros[VALOR],tabela_registros[MÊS],$AE$1,tabela_registros[DIA],reservavariáveisconsolidadomar[[#Headers],[22]],tabela_registros[REGISTRO],DADOS!$N$6,tabela_registros[TIPO],DADOS!$AJ$4,tabela_registros[CATEGORIA],reservavariáveisconsolidadomar[[#This Row],[ATUAL]])</f>
        <v>0</v>
      </c>
      <c r="AA194" s="119" t="n">
        <f aca="false">SUMIFS(tabela_registros[VALOR],tabela_registros[MÊS],$AE$1,tabela_registros[DIA],reservavariáveisconsolidadomar[[#Headers],[23]],tabela_registros[REGISTRO],DADOS!$N$6,tabela_registros[TIPO],DADOS!$AJ$4,tabela_registros[CATEGORIA],reservavariáveisconsolidadomar[[#This Row],[ATUAL]])</f>
        <v>0</v>
      </c>
      <c r="AB194" s="119" t="n">
        <f aca="false">SUMIFS(tabela_registros[VALOR],tabela_registros[MÊS],$AE$1,tabela_registros[DIA],reservavariáveisconsolidadomar[[#Headers],[24]],tabela_registros[REGISTRO],DADOS!$N$6,tabela_registros[TIPO],DADOS!$AJ$4,tabela_registros[CATEGORIA],reservavariáveisconsolidadomar[[#This Row],[ATUAL]])</f>
        <v>0</v>
      </c>
      <c r="AC194" s="119" t="n">
        <f aca="false">SUMIFS(tabela_registros[VALOR],tabela_registros[MÊS],$AE$1,tabela_registros[DIA],reservavariáveisconsolidadomar[[#Headers],[25]],tabela_registros[REGISTRO],DADOS!$N$6,tabela_registros[TIPO],DADOS!$AJ$4,tabela_registros[CATEGORIA],reservavariáveisconsolidadomar[[#This Row],[ATUAL]])</f>
        <v>0</v>
      </c>
      <c r="AD194" s="119" t="n">
        <f aca="false">SUMIFS(tabela_registros[VALOR],tabela_registros[MÊS],$AE$1,tabela_registros[DIA],reservavariáveisconsolidadomar[[#Headers],[26]],tabela_registros[REGISTRO],DADOS!$N$6,tabela_registros[TIPO],DADOS!$AJ$4,tabela_registros[CATEGORIA],reservavariáveisconsolidadomar[[#This Row],[ATUAL]])</f>
        <v>0</v>
      </c>
      <c r="AE194" s="119" t="n">
        <f aca="false">SUMIFS(tabela_registros[VALOR],tabela_registros[MÊS],$AE$1,tabela_registros[DIA],reservavariáveisconsolidadomar[[#Headers],[27]],tabela_registros[REGISTRO],DADOS!$N$6,tabela_registros[TIPO],DADOS!$AJ$4,tabela_registros[CATEGORIA],reservavariáveisconsolidadomar[[#This Row],[ATUAL]])</f>
        <v>0</v>
      </c>
      <c r="AF194" s="119" t="n">
        <f aca="false">SUMIFS(tabela_registros[VALOR],tabela_registros[MÊS],$AE$1,tabela_registros[DIA],reservavariáveisconsolidadomar[[#Headers],[28]],tabela_registros[REGISTRO],DADOS!$N$6,tabela_registros[TIPO],DADOS!$AJ$4,tabela_registros[CATEGORIA],reservavariáveisconsolidadomar[[#This Row],[ATUAL]])</f>
        <v>0</v>
      </c>
      <c r="AG194" s="119" t="n">
        <f aca="false">SUMIFS(tabela_registros[VALOR],tabela_registros[MÊS],$AE$1,tabela_registros[DIA],reservavariáveisconsolidadomar[[#Headers],[29]],tabela_registros[REGISTRO],DADOS!$N$6,tabela_registros[TIPO],DADOS!$AJ$4,tabela_registros[CATEGORIA],reservavariáveisconsolidadomar[[#This Row],[ATUAL]])</f>
        <v>0</v>
      </c>
      <c r="AH194" s="119" t="n">
        <f aca="false">SUMIFS(tabela_registros[VALOR],tabela_registros[MÊS],$AE$1,tabela_registros[DIA],reservavariáveisconsolidadomar[[#Headers],[30]],tabela_registros[REGISTRO],DADOS!$N$6,tabela_registros[TIPO],DADOS!$AJ$4,tabela_registros[CATEGORIA],reservavariáveisconsolidadomar[[#This Row],[ATUAL]])</f>
        <v>0</v>
      </c>
      <c r="AI194" s="217" t="n">
        <f aca="false">SUMIFS(tabela_registros[VALOR],tabela_registros[MÊS],$AE$1,tabela_registros[DIA],reservavariáveisconsolidadomar[[#Headers],[31]],tabela_registros[REGISTRO],DADOS!$N$6,tabela_registros[TIPO],DADOS!$AJ$4,tabela_registros[CATEGORIA],reservavariáveisconsolidadomar[[#This Row],[ATUAL]])</f>
        <v>0</v>
      </c>
      <c r="AJ194" s="149" t="n">
        <f aca="false">SUM(reservavariáveisconsolidadomar[[#This Row],[1]:[31]])</f>
        <v>0</v>
      </c>
      <c r="AK194" s="165"/>
    </row>
    <row r="195" customFormat="false" ht="19.5" hidden="false" customHeight="true" outlineLevel="0" collapsed="false">
      <c r="B195" s="143"/>
      <c r="C195" s="144" t="str">
        <f aca="false">DADOS!$AN$11</f>
        <v>📝 MOEDA</v>
      </c>
      <c r="D195" s="145" t="str">
        <f aca="false">IF(reservavariáveisconsolidadomar[[#This Row],[TOTAL (R$)]]=0,"",IF(OR(reservavariáveisconsolidadomar[[#This Row],[TOTAL (R$)]]=LARGE($AJ$187:$AJ$196,1),reservavariáveisconsolidadomar[[#This Row],[TOTAL (R$)]]=LARGE($AJ$187:$AJ$196,2)),DADOS!$I$11,""))</f>
        <v/>
      </c>
      <c r="E195" s="148" t="n">
        <f aca="false">SUMIFS(tabela_registros[VALOR],tabela_registros[MÊS],$AE$1,tabela_registros[DIA],reservavariáveisconsolidadomar[[#Headers],[1]],tabela_registros[REGISTRO],DADOS!$N$6,tabela_registros[TIPO],DADOS!$AJ$4,tabela_registros[CATEGORIA],reservavariáveisconsolidadomar[[#This Row],[ATUAL]])</f>
        <v>0</v>
      </c>
      <c r="F195" s="119" t="n">
        <f aca="false">SUMIFS(tabela_registros[VALOR],tabela_registros[MÊS],$AE$1,tabela_registros[DIA],reservavariáveisconsolidadomar[[#Headers],[2]],tabela_registros[REGISTRO],DADOS!$N$6,tabela_registros[TIPO],DADOS!$AJ$4,tabela_registros[CATEGORIA],reservavariáveisconsolidadomar[[#This Row],[ATUAL]])</f>
        <v>0</v>
      </c>
      <c r="G195" s="119" t="n">
        <f aca="false">SUMIFS(tabela_registros[VALOR],tabela_registros[MÊS],$AE$1,tabela_registros[DIA],reservavariáveisconsolidadomar[[#Headers],[3]],tabela_registros[REGISTRO],DADOS!$N$6,tabela_registros[TIPO],DADOS!$AJ$4,tabela_registros[CATEGORIA],reservavariáveisconsolidadomar[[#This Row],[ATUAL]])</f>
        <v>0</v>
      </c>
      <c r="H195" s="119" t="n">
        <f aca="false">SUMIFS(tabela_registros[VALOR],tabela_registros[MÊS],$AE$1,tabela_registros[DIA],reservavariáveisconsolidadomar[[#Headers],[4]],tabela_registros[REGISTRO],DADOS!$N$6,tabela_registros[TIPO],DADOS!$AJ$4,tabela_registros[CATEGORIA],reservavariáveisconsolidadomar[[#This Row],[ATUAL]])</f>
        <v>0</v>
      </c>
      <c r="I195" s="119" t="n">
        <f aca="false">SUMIFS(tabela_registros[VALOR],tabela_registros[MÊS],$AE$1,tabela_registros[DIA],reservavariáveisconsolidadomar[[#Headers],[5]],tabela_registros[REGISTRO],DADOS!$N$6,tabela_registros[TIPO],DADOS!$AJ$4,tabela_registros[CATEGORIA],reservavariáveisconsolidadomar[[#This Row],[ATUAL]])</f>
        <v>0</v>
      </c>
      <c r="J195" s="119" t="n">
        <f aca="false">SUMIFS(tabela_registros[VALOR],tabela_registros[MÊS],$AE$1,tabela_registros[DIA],reservavariáveisconsolidadomar[[#Headers],[6]],tabela_registros[REGISTRO],DADOS!$N$6,tabela_registros[TIPO],DADOS!$AJ$4,tabela_registros[CATEGORIA],reservavariáveisconsolidadomar[[#This Row],[ATUAL]])</f>
        <v>0</v>
      </c>
      <c r="K195" s="119" t="n">
        <f aca="false">SUMIFS(tabela_registros[VALOR],tabela_registros[MÊS],$AE$1,tabela_registros[DIA],reservavariáveisconsolidadomar[[#Headers],[7]],tabela_registros[REGISTRO],DADOS!$N$6,tabela_registros[TIPO],DADOS!$AJ$4,tabela_registros[CATEGORIA],reservavariáveisconsolidadomar[[#This Row],[ATUAL]])</f>
        <v>0</v>
      </c>
      <c r="L195" s="119" t="n">
        <f aca="false">SUMIFS(tabela_registros[VALOR],tabela_registros[MÊS],$AE$1,tabela_registros[DIA],reservavariáveisconsolidadomar[[#Headers],[8]],tabela_registros[REGISTRO],DADOS!$N$6,tabela_registros[TIPO],DADOS!$AJ$4,tabela_registros[CATEGORIA],reservavariáveisconsolidadomar[[#This Row],[ATUAL]])</f>
        <v>0</v>
      </c>
      <c r="M195" s="119" t="n">
        <f aca="false">SUMIFS(tabela_registros[VALOR],tabela_registros[MÊS],$AE$1,tabela_registros[DIA],reservavariáveisconsolidadomar[[#Headers],[9]],tabela_registros[REGISTRO],DADOS!$N$6,tabela_registros[TIPO],DADOS!$AJ$4,tabela_registros[CATEGORIA],reservavariáveisconsolidadomar[[#This Row],[ATUAL]])</f>
        <v>0</v>
      </c>
      <c r="N195" s="119" t="n">
        <f aca="false">SUMIFS(tabela_registros[VALOR],tabela_registros[MÊS],$AE$1,tabela_registros[DIA],reservavariáveisconsolidadomar[[#Headers],[10]],tabela_registros[REGISTRO],DADOS!$N$6,tabela_registros[TIPO],DADOS!$AJ$4,tabela_registros[CATEGORIA],reservavariáveisconsolidadomar[[#This Row],[ATUAL]])</f>
        <v>0</v>
      </c>
      <c r="O195" s="119" t="n">
        <f aca="false">SUMIFS(tabela_registros[VALOR],tabela_registros[MÊS],$AE$1,tabela_registros[DIA],reservavariáveisconsolidadomar[[#Headers],[11]],tabela_registros[REGISTRO],DADOS!$N$6,tabela_registros[TIPO],DADOS!$AJ$4,tabela_registros[CATEGORIA],reservavariáveisconsolidadomar[[#This Row],[ATUAL]])</f>
        <v>0</v>
      </c>
      <c r="P195" s="119" t="n">
        <f aca="false">SUMIFS(tabela_registros[VALOR],tabela_registros[MÊS],$AE$1,tabela_registros[DIA],reservavariáveisconsolidadomar[[#Headers],[12]],tabela_registros[REGISTRO],DADOS!$N$6,tabela_registros[TIPO],DADOS!$AJ$4,tabela_registros[CATEGORIA],reservavariáveisconsolidadomar[[#This Row],[ATUAL]])</f>
        <v>0</v>
      </c>
      <c r="Q195" s="119" t="n">
        <f aca="false">SUMIFS(tabela_registros[VALOR],tabela_registros[MÊS],$AE$1,tabela_registros[DIA],reservavariáveisconsolidadomar[[#Headers],[13]],tabela_registros[REGISTRO],DADOS!$N$6,tabela_registros[TIPO],DADOS!$AJ$4,tabela_registros[CATEGORIA],reservavariáveisconsolidadomar[[#This Row],[ATUAL]])</f>
        <v>0</v>
      </c>
      <c r="R195" s="119" t="n">
        <f aca="false">SUMIFS(tabela_registros[VALOR],tabela_registros[MÊS],$AE$1,tabela_registros[DIA],reservavariáveisconsolidadomar[[#Headers],[14]],tabela_registros[REGISTRO],DADOS!$N$6,tabela_registros[TIPO],DADOS!$AJ$4,tabela_registros[CATEGORIA],reservavariáveisconsolidadomar[[#This Row],[ATUAL]])</f>
        <v>0</v>
      </c>
      <c r="S195" s="119" t="n">
        <f aca="false">SUMIFS(tabela_registros[VALOR],tabela_registros[MÊS],$AE$1,tabela_registros[DIA],reservavariáveisconsolidadomar[[#Headers],[15]],tabela_registros[REGISTRO],DADOS!$N$6,tabela_registros[TIPO],DADOS!$AJ$4,tabela_registros[CATEGORIA],reservavariáveisconsolidadomar[[#This Row],[ATUAL]])</f>
        <v>0</v>
      </c>
      <c r="T195" s="119" t="n">
        <f aca="false">SUMIFS(tabela_registros[VALOR],tabela_registros[MÊS],$AE$1,tabela_registros[DIA],reservavariáveisconsolidadomar[[#Headers],[16]],tabela_registros[REGISTRO],DADOS!$N$6,tabela_registros[TIPO],DADOS!$AJ$4,tabela_registros[CATEGORIA],reservavariáveisconsolidadomar[[#This Row],[ATUAL]])</f>
        <v>0</v>
      </c>
      <c r="U195" s="119" t="n">
        <f aca="false">SUMIFS(tabela_registros[VALOR],tabela_registros[MÊS],$AE$1,tabela_registros[DIA],reservavariáveisconsolidadomar[[#Headers],[17]],tabela_registros[REGISTRO],DADOS!$N$6,tabela_registros[TIPO],DADOS!$AJ$4,tabela_registros[CATEGORIA],reservavariáveisconsolidadomar[[#This Row],[ATUAL]])</f>
        <v>0</v>
      </c>
      <c r="V195" s="119" t="n">
        <f aca="false">SUMIFS(tabela_registros[VALOR],tabela_registros[MÊS],$AE$1,tabela_registros[DIA],reservavariáveisconsolidadomar[[#Headers],[18]],tabela_registros[REGISTRO],DADOS!$N$6,tabela_registros[TIPO],DADOS!$AJ$4,tabela_registros[CATEGORIA],reservavariáveisconsolidadomar[[#This Row],[ATUAL]])</f>
        <v>0</v>
      </c>
      <c r="W195" s="119" t="n">
        <f aca="false">SUMIFS(tabela_registros[VALOR],tabela_registros[MÊS],$AE$1,tabela_registros[DIA],reservavariáveisconsolidadomar[[#Headers],[19]],tabela_registros[REGISTRO],DADOS!$N$6,tabela_registros[TIPO],DADOS!$AJ$4,tabela_registros[CATEGORIA],reservavariáveisconsolidadomar[[#This Row],[ATUAL]])</f>
        <v>0</v>
      </c>
      <c r="X195" s="119" t="n">
        <f aca="false">SUMIFS(tabela_registros[VALOR],tabela_registros[MÊS],$AE$1,tabela_registros[DIA],reservavariáveisconsolidadomar[[#Headers],[20]],tabela_registros[REGISTRO],DADOS!$N$6,tabela_registros[TIPO],DADOS!$AJ$4,tabela_registros[CATEGORIA],reservavariáveisconsolidadomar[[#This Row],[ATUAL]])</f>
        <v>0</v>
      </c>
      <c r="Y195" s="119" t="n">
        <f aca="false">SUMIFS(tabela_registros[VALOR],tabela_registros[MÊS],$AE$1,tabela_registros[DIA],reservavariáveisconsolidadomar[[#Headers],[21]],tabela_registros[REGISTRO],DADOS!$N$6,tabela_registros[TIPO],DADOS!$AJ$4,tabela_registros[CATEGORIA],reservavariáveisconsolidadomar[[#This Row],[ATUAL]])</f>
        <v>0</v>
      </c>
      <c r="Z195" s="119" t="n">
        <f aca="false">SUMIFS(tabela_registros[VALOR],tabela_registros[MÊS],$AE$1,tabela_registros[DIA],reservavariáveisconsolidadomar[[#Headers],[22]],tabela_registros[REGISTRO],DADOS!$N$6,tabela_registros[TIPO],DADOS!$AJ$4,tabela_registros[CATEGORIA],reservavariáveisconsolidadomar[[#This Row],[ATUAL]])</f>
        <v>0</v>
      </c>
      <c r="AA195" s="119" t="n">
        <f aca="false">SUMIFS(tabela_registros[VALOR],tabela_registros[MÊS],$AE$1,tabela_registros[DIA],reservavariáveisconsolidadomar[[#Headers],[23]],tabela_registros[REGISTRO],DADOS!$N$6,tabela_registros[TIPO],DADOS!$AJ$4,tabela_registros[CATEGORIA],reservavariáveisconsolidadomar[[#This Row],[ATUAL]])</f>
        <v>0</v>
      </c>
      <c r="AB195" s="119" t="n">
        <f aca="false">SUMIFS(tabela_registros[VALOR],tabela_registros[MÊS],$AE$1,tabela_registros[DIA],reservavariáveisconsolidadomar[[#Headers],[24]],tabela_registros[REGISTRO],DADOS!$N$6,tabela_registros[TIPO],DADOS!$AJ$4,tabela_registros[CATEGORIA],reservavariáveisconsolidadomar[[#This Row],[ATUAL]])</f>
        <v>0</v>
      </c>
      <c r="AC195" s="119" t="n">
        <f aca="false">SUMIFS(tabela_registros[VALOR],tabela_registros[MÊS],$AE$1,tabela_registros[DIA],reservavariáveisconsolidadomar[[#Headers],[25]],tabela_registros[REGISTRO],DADOS!$N$6,tabela_registros[TIPO],DADOS!$AJ$4,tabela_registros[CATEGORIA],reservavariáveisconsolidadomar[[#This Row],[ATUAL]])</f>
        <v>0</v>
      </c>
      <c r="AD195" s="119" t="n">
        <f aca="false">SUMIFS(tabela_registros[VALOR],tabela_registros[MÊS],$AE$1,tabela_registros[DIA],reservavariáveisconsolidadomar[[#Headers],[26]],tabela_registros[REGISTRO],DADOS!$N$6,tabela_registros[TIPO],DADOS!$AJ$4,tabela_registros[CATEGORIA],reservavariáveisconsolidadomar[[#This Row],[ATUAL]])</f>
        <v>0</v>
      </c>
      <c r="AE195" s="119" t="n">
        <f aca="false">SUMIFS(tabela_registros[VALOR],tabela_registros[MÊS],$AE$1,tabela_registros[DIA],reservavariáveisconsolidadomar[[#Headers],[27]],tabela_registros[REGISTRO],DADOS!$N$6,tabela_registros[TIPO],DADOS!$AJ$4,tabela_registros[CATEGORIA],reservavariáveisconsolidadomar[[#This Row],[ATUAL]])</f>
        <v>0</v>
      </c>
      <c r="AF195" s="119" t="n">
        <f aca="false">SUMIFS(tabela_registros[VALOR],tabela_registros[MÊS],$AE$1,tabela_registros[DIA],reservavariáveisconsolidadomar[[#Headers],[28]],tabela_registros[REGISTRO],DADOS!$N$6,tabela_registros[TIPO],DADOS!$AJ$4,tabela_registros[CATEGORIA],reservavariáveisconsolidadomar[[#This Row],[ATUAL]])</f>
        <v>0</v>
      </c>
      <c r="AG195" s="119" t="n">
        <f aca="false">SUMIFS(tabela_registros[VALOR],tabela_registros[MÊS],$AE$1,tabela_registros[DIA],reservavariáveisconsolidadomar[[#Headers],[29]],tabela_registros[REGISTRO],DADOS!$N$6,tabela_registros[TIPO],DADOS!$AJ$4,tabela_registros[CATEGORIA],reservavariáveisconsolidadomar[[#This Row],[ATUAL]])</f>
        <v>0</v>
      </c>
      <c r="AH195" s="119" t="n">
        <f aca="false">SUMIFS(tabela_registros[VALOR],tabela_registros[MÊS],$AE$1,tabela_registros[DIA],reservavariáveisconsolidadomar[[#Headers],[30]],tabela_registros[REGISTRO],DADOS!$N$6,tabela_registros[TIPO],DADOS!$AJ$4,tabela_registros[CATEGORIA],reservavariáveisconsolidadomar[[#This Row],[ATUAL]])</f>
        <v>0</v>
      </c>
      <c r="AI195" s="217" t="n">
        <f aca="false">SUMIFS(tabela_registros[VALOR],tabela_registros[MÊS],$AE$1,tabela_registros[DIA],reservavariáveisconsolidadomar[[#Headers],[31]],tabela_registros[REGISTRO],DADOS!$N$6,tabela_registros[TIPO],DADOS!$AJ$4,tabela_registros[CATEGORIA],reservavariáveisconsolidadomar[[#This Row],[ATUAL]])</f>
        <v>0</v>
      </c>
      <c r="AJ195" s="149" t="n">
        <f aca="false">SUM(reservavariáveisconsolidadomar[[#This Row],[1]:[31]])</f>
        <v>0</v>
      </c>
      <c r="AK195" s="165"/>
    </row>
    <row r="196" customFormat="false" ht="19.5" hidden="false" customHeight="true" outlineLevel="0" collapsed="false">
      <c r="B196" s="143"/>
      <c r="C196" s="144" t="str">
        <f aca="false">DADOS!$AN$12</f>
        <v>📎 OUTROS</v>
      </c>
      <c r="D196" s="145" t="str">
        <f aca="false">IF(reservavariáveisconsolidadomar[[#This Row],[TOTAL (R$)]]=0,"",IF(OR(reservavariáveisconsolidadomar[[#This Row],[TOTAL (R$)]]=LARGE($AJ$187:$AJ$196,1),reservavariáveisconsolidadomar[[#This Row],[TOTAL (R$)]]=LARGE($AJ$187:$AJ$196,2)),DADOS!$I$11,""))</f>
        <v/>
      </c>
      <c r="E196" s="148" t="n">
        <f aca="false">SUMIFS(tabela_registros[VALOR],tabela_registros[MÊS],$AE$1,tabela_registros[DIA],reservavariáveisconsolidadomar[[#Headers],[1]],tabela_registros[REGISTRO],DADOS!$N$6,tabela_registros[TIPO],DADOS!$AJ$4,tabela_registros[CATEGORIA],reservavariáveisconsolidadomar[[#This Row],[ATUAL]])</f>
        <v>0</v>
      </c>
      <c r="F196" s="119" t="n">
        <f aca="false">SUMIFS(tabela_registros[VALOR],tabela_registros[MÊS],$AE$1,tabela_registros[DIA],reservavariáveisconsolidadomar[[#Headers],[2]],tabela_registros[REGISTRO],DADOS!$N$6,tabela_registros[TIPO],DADOS!$AJ$4,tabela_registros[CATEGORIA],reservavariáveisconsolidadomar[[#This Row],[ATUAL]])</f>
        <v>0</v>
      </c>
      <c r="G196" s="119" t="n">
        <f aca="false">SUMIFS(tabela_registros[VALOR],tabela_registros[MÊS],$AE$1,tabela_registros[DIA],reservavariáveisconsolidadomar[[#Headers],[3]],tabela_registros[REGISTRO],DADOS!$N$6,tabela_registros[TIPO],DADOS!$AJ$4,tabela_registros[CATEGORIA],reservavariáveisconsolidadomar[[#This Row],[ATUAL]])</f>
        <v>0</v>
      </c>
      <c r="H196" s="119" t="n">
        <f aca="false">SUMIFS(tabela_registros[VALOR],tabela_registros[MÊS],$AE$1,tabela_registros[DIA],reservavariáveisconsolidadomar[[#Headers],[4]],tabela_registros[REGISTRO],DADOS!$N$6,tabela_registros[TIPO],DADOS!$AJ$4,tabela_registros[CATEGORIA],reservavariáveisconsolidadomar[[#This Row],[ATUAL]])</f>
        <v>0</v>
      </c>
      <c r="I196" s="119" t="n">
        <f aca="false">SUMIFS(tabela_registros[VALOR],tabela_registros[MÊS],$AE$1,tabela_registros[DIA],reservavariáveisconsolidadomar[[#Headers],[5]],tabela_registros[REGISTRO],DADOS!$N$6,tabela_registros[TIPO],DADOS!$AJ$4,tabela_registros[CATEGORIA],reservavariáveisconsolidadomar[[#This Row],[ATUAL]])</f>
        <v>0</v>
      </c>
      <c r="J196" s="119" t="n">
        <f aca="false">SUMIFS(tabela_registros[VALOR],tabela_registros[MÊS],$AE$1,tabela_registros[DIA],reservavariáveisconsolidadomar[[#Headers],[6]],tabela_registros[REGISTRO],DADOS!$N$6,tabela_registros[TIPO],DADOS!$AJ$4,tabela_registros[CATEGORIA],reservavariáveisconsolidadomar[[#This Row],[ATUAL]])</f>
        <v>0</v>
      </c>
      <c r="K196" s="119" t="n">
        <f aca="false">SUMIFS(tabela_registros[VALOR],tabela_registros[MÊS],$AE$1,tabela_registros[DIA],reservavariáveisconsolidadomar[[#Headers],[7]],tabela_registros[REGISTRO],DADOS!$N$6,tabela_registros[TIPO],DADOS!$AJ$4,tabela_registros[CATEGORIA],reservavariáveisconsolidadomar[[#This Row],[ATUAL]])</f>
        <v>0</v>
      </c>
      <c r="L196" s="119" t="n">
        <f aca="false">SUMIFS(tabela_registros[VALOR],tabela_registros[MÊS],$AE$1,tabela_registros[DIA],reservavariáveisconsolidadomar[[#Headers],[8]],tabela_registros[REGISTRO],DADOS!$N$6,tabela_registros[TIPO],DADOS!$AJ$4,tabela_registros[CATEGORIA],reservavariáveisconsolidadomar[[#This Row],[ATUAL]])</f>
        <v>0</v>
      </c>
      <c r="M196" s="119" t="n">
        <f aca="false">SUMIFS(tabela_registros[VALOR],tabela_registros[MÊS],$AE$1,tabela_registros[DIA],reservavariáveisconsolidadomar[[#Headers],[9]],tabela_registros[REGISTRO],DADOS!$N$6,tabela_registros[TIPO],DADOS!$AJ$4,tabela_registros[CATEGORIA],reservavariáveisconsolidadomar[[#This Row],[ATUAL]])</f>
        <v>0</v>
      </c>
      <c r="N196" s="119" t="n">
        <f aca="false">SUMIFS(tabela_registros[VALOR],tabela_registros[MÊS],$AE$1,tabela_registros[DIA],reservavariáveisconsolidadomar[[#Headers],[10]],tabela_registros[REGISTRO],DADOS!$N$6,tabela_registros[TIPO],DADOS!$AJ$4,tabela_registros[CATEGORIA],reservavariáveisconsolidadomar[[#This Row],[ATUAL]])</f>
        <v>0</v>
      </c>
      <c r="O196" s="119" t="n">
        <f aca="false">SUMIFS(tabela_registros[VALOR],tabela_registros[MÊS],$AE$1,tabela_registros[DIA],reservavariáveisconsolidadomar[[#Headers],[11]],tabela_registros[REGISTRO],DADOS!$N$6,tabela_registros[TIPO],DADOS!$AJ$4,tabela_registros[CATEGORIA],reservavariáveisconsolidadomar[[#This Row],[ATUAL]])</f>
        <v>0</v>
      </c>
      <c r="P196" s="119" t="n">
        <f aca="false">SUMIFS(tabela_registros[VALOR],tabela_registros[MÊS],$AE$1,tabela_registros[DIA],reservavariáveisconsolidadomar[[#Headers],[12]],tabela_registros[REGISTRO],DADOS!$N$6,tabela_registros[TIPO],DADOS!$AJ$4,tabela_registros[CATEGORIA],reservavariáveisconsolidadomar[[#This Row],[ATUAL]])</f>
        <v>0</v>
      </c>
      <c r="Q196" s="119" t="n">
        <f aca="false">SUMIFS(tabela_registros[VALOR],tabela_registros[MÊS],$AE$1,tabela_registros[DIA],reservavariáveisconsolidadomar[[#Headers],[13]],tabela_registros[REGISTRO],DADOS!$N$6,tabela_registros[TIPO],DADOS!$AJ$4,tabela_registros[CATEGORIA],reservavariáveisconsolidadomar[[#This Row],[ATUAL]])</f>
        <v>0</v>
      </c>
      <c r="R196" s="119" t="n">
        <f aca="false">SUMIFS(tabela_registros[VALOR],tabela_registros[MÊS],$AE$1,tabela_registros[DIA],reservavariáveisconsolidadomar[[#Headers],[14]],tabela_registros[REGISTRO],DADOS!$N$6,tabela_registros[TIPO],DADOS!$AJ$4,tabela_registros[CATEGORIA],reservavariáveisconsolidadomar[[#This Row],[ATUAL]])</f>
        <v>0</v>
      </c>
      <c r="S196" s="119" t="n">
        <f aca="false">SUMIFS(tabela_registros[VALOR],tabela_registros[MÊS],$AE$1,tabela_registros[DIA],reservavariáveisconsolidadomar[[#Headers],[15]],tabela_registros[REGISTRO],DADOS!$N$6,tabela_registros[TIPO],DADOS!$AJ$4,tabela_registros[CATEGORIA],reservavariáveisconsolidadomar[[#This Row],[ATUAL]])</f>
        <v>0</v>
      </c>
      <c r="T196" s="119" t="n">
        <f aca="false">SUMIFS(tabela_registros[VALOR],tabela_registros[MÊS],$AE$1,tabela_registros[DIA],reservavariáveisconsolidadomar[[#Headers],[16]],tabela_registros[REGISTRO],DADOS!$N$6,tabela_registros[TIPO],DADOS!$AJ$4,tabela_registros[CATEGORIA],reservavariáveisconsolidadomar[[#This Row],[ATUAL]])</f>
        <v>0</v>
      </c>
      <c r="U196" s="119" t="n">
        <f aca="false">SUMIFS(tabela_registros[VALOR],tabela_registros[MÊS],$AE$1,tabela_registros[DIA],reservavariáveisconsolidadomar[[#Headers],[17]],tabela_registros[REGISTRO],DADOS!$N$6,tabela_registros[TIPO],DADOS!$AJ$4,tabela_registros[CATEGORIA],reservavariáveisconsolidadomar[[#This Row],[ATUAL]])</f>
        <v>0</v>
      </c>
      <c r="V196" s="119" t="n">
        <f aca="false">SUMIFS(tabela_registros[VALOR],tabela_registros[MÊS],$AE$1,tabela_registros[DIA],reservavariáveisconsolidadomar[[#Headers],[18]],tabela_registros[REGISTRO],DADOS!$N$6,tabela_registros[TIPO],DADOS!$AJ$4,tabela_registros[CATEGORIA],reservavariáveisconsolidadomar[[#This Row],[ATUAL]])</f>
        <v>0</v>
      </c>
      <c r="W196" s="119" t="n">
        <f aca="false">SUMIFS(tabela_registros[VALOR],tabela_registros[MÊS],$AE$1,tabela_registros[DIA],reservavariáveisconsolidadomar[[#Headers],[19]],tabela_registros[REGISTRO],DADOS!$N$6,tabela_registros[TIPO],DADOS!$AJ$4,tabela_registros[CATEGORIA],reservavariáveisconsolidadomar[[#This Row],[ATUAL]])</f>
        <v>0</v>
      </c>
      <c r="X196" s="119" t="n">
        <f aca="false">SUMIFS(tabela_registros[VALOR],tabela_registros[MÊS],$AE$1,tabela_registros[DIA],reservavariáveisconsolidadomar[[#Headers],[20]],tabela_registros[REGISTRO],DADOS!$N$6,tabela_registros[TIPO],DADOS!$AJ$4,tabela_registros[CATEGORIA],reservavariáveisconsolidadomar[[#This Row],[ATUAL]])</f>
        <v>0</v>
      </c>
      <c r="Y196" s="119" t="n">
        <f aca="false">SUMIFS(tabela_registros[VALOR],tabela_registros[MÊS],$AE$1,tabela_registros[DIA],reservavariáveisconsolidadomar[[#Headers],[21]],tabela_registros[REGISTRO],DADOS!$N$6,tabela_registros[TIPO],DADOS!$AJ$4,tabela_registros[CATEGORIA],reservavariáveisconsolidadomar[[#This Row],[ATUAL]])</f>
        <v>0</v>
      </c>
      <c r="Z196" s="119" t="n">
        <f aca="false">SUMIFS(tabela_registros[VALOR],tabela_registros[MÊS],$AE$1,tabela_registros[DIA],reservavariáveisconsolidadomar[[#Headers],[22]],tabela_registros[REGISTRO],DADOS!$N$6,tabela_registros[TIPO],DADOS!$AJ$4,tabela_registros[CATEGORIA],reservavariáveisconsolidadomar[[#This Row],[ATUAL]])</f>
        <v>0</v>
      </c>
      <c r="AA196" s="119" t="n">
        <f aca="false">SUMIFS(tabela_registros[VALOR],tabela_registros[MÊS],$AE$1,tabela_registros[DIA],reservavariáveisconsolidadomar[[#Headers],[23]],tabela_registros[REGISTRO],DADOS!$N$6,tabela_registros[TIPO],DADOS!$AJ$4,tabela_registros[CATEGORIA],reservavariáveisconsolidadomar[[#This Row],[ATUAL]])</f>
        <v>0</v>
      </c>
      <c r="AB196" s="119" t="n">
        <f aca="false">SUMIFS(tabela_registros[VALOR],tabela_registros[MÊS],$AE$1,tabela_registros[DIA],reservavariáveisconsolidadomar[[#Headers],[24]],tabela_registros[REGISTRO],DADOS!$N$6,tabela_registros[TIPO],DADOS!$AJ$4,tabela_registros[CATEGORIA],reservavariáveisconsolidadomar[[#This Row],[ATUAL]])</f>
        <v>0</v>
      </c>
      <c r="AC196" s="119" t="n">
        <f aca="false">SUMIFS(tabela_registros[VALOR],tabela_registros[MÊS],$AE$1,tabela_registros[DIA],reservavariáveisconsolidadomar[[#Headers],[25]],tabela_registros[REGISTRO],DADOS!$N$6,tabela_registros[TIPO],DADOS!$AJ$4,tabela_registros[CATEGORIA],reservavariáveisconsolidadomar[[#This Row],[ATUAL]])</f>
        <v>0</v>
      </c>
      <c r="AD196" s="119" t="n">
        <f aca="false">SUMIFS(tabela_registros[VALOR],tabela_registros[MÊS],$AE$1,tabela_registros[DIA],reservavariáveisconsolidadomar[[#Headers],[26]],tabela_registros[REGISTRO],DADOS!$N$6,tabela_registros[TIPO],DADOS!$AJ$4,tabela_registros[CATEGORIA],reservavariáveisconsolidadomar[[#This Row],[ATUAL]])</f>
        <v>0</v>
      </c>
      <c r="AE196" s="119" t="n">
        <f aca="false">SUMIFS(tabela_registros[VALOR],tabela_registros[MÊS],$AE$1,tabela_registros[DIA],reservavariáveisconsolidadomar[[#Headers],[27]],tabela_registros[REGISTRO],DADOS!$N$6,tabela_registros[TIPO],DADOS!$AJ$4,tabela_registros[CATEGORIA],reservavariáveisconsolidadomar[[#This Row],[ATUAL]])</f>
        <v>0</v>
      </c>
      <c r="AF196" s="119" t="n">
        <f aca="false">SUMIFS(tabela_registros[VALOR],tabela_registros[MÊS],$AE$1,tabela_registros[DIA],reservavariáveisconsolidadomar[[#Headers],[28]],tabela_registros[REGISTRO],DADOS!$N$6,tabela_registros[TIPO],DADOS!$AJ$4,tabela_registros[CATEGORIA],reservavariáveisconsolidadomar[[#This Row],[ATUAL]])</f>
        <v>0</v>
      </c>
      <c r="AG196" s="119" t="n">
        <f aca="false">SUMIFS(tabela_registros[VALOR],tabela_registros[MÊS],$AE$1,tabela_registros[DIA],reservavariáveisconsolidadomar[[#Headers],[29]],tabela_registros[REGISTRO],DADOS!$N$6,tabela_registros[TIPO],DADOS!$AJ$4,tabela_registros[CATEGORIA],reservavariáveisconsolidadomar[[#This Row],[ATUAL]])</f>
        <v>0</v>
      </c>
      <c r="AH196" s="119" t="n">
        <f aca="false">SUMIFS(tabela_registros[VALOR],tabela_registros[MÊS],$AE$1,tabela_registros[DIA],reservavariáveisconsolidadomar[[#Headers],[30]],tabela_registros[REGISTRO],DADOS!$N$6,tabela_registros[TIPO],DADOS!$AJ$4,tabela_registros[CATEGORIA],reservavariáveisconsolidadomar[[#This Row],[ATUAL]])</f>
        <v>0</v>
      </c>
      <c r="AI196" s="218" t="n">
        <f aca="false">SUMIFS(tabela_registros[VALOR],tabela_registros[MÊS],$AE$1,tabela_registros[DIA],reservavariáveisconsolidadomar[[#Headers],[31]],tabela_registros[REGISTRO],DADOS!$N$6,tabela_registros[TIPO],DADOS!$AJ$4,tabela_registros[CATEGORIA],reservavariáveisconsolidadomar[[#This Row],[ATUAL]])</f>
        <v>0</v>
      </c>
      <c r="AJ196" s="149" t="n">
        <f aca="false">SUM(reservavariáveisconsolidadomar[[#This Row],[1]:[31]])</f>
        <v>0</v>
      </c>
      <c r="AK196" s="165"/>
    </row>
    <row r="197" s="122" customFormat="true" ht="21" hidden="false" customHeight="true" outlineLevel="0" collapsed="false">
      <c r="B197" s="152"/>
      <c r="C197" s="153" t="s">
        <v>2</v>
      </c>
      <c r="D197" s="166"/>
      <c r="E197" s="155" t="n">
        <f aca="false">SUM(E187:E196)</f>
        <v>0</v>
      </c>
      <c r="F197" s="156" t="n">
        <f aca="false">SUM(F187:F196)+reservavariáveisconsolidadomar[[#This Row],[1]]</f>
        <v>0</v>
      </c>
      <c r="G197" s="156" t="n">
        <f aca="false">SUM(G187:G196)+reservavariáveisconsolidadomar[[#This Row],[2]]</f>
        <v>0</v>
      </c>
      <c r="H197" s="156" t="n">
        <f aca="false">SUM(H187:H196)+reservavariáveisconsolidadomar[[#This Row],[3]]</f>
        <v>0</v>
      </c>
      <c r="I197" s="156" t="n">
        <f aca="false">SUM(I187:I196)+reservavariáveisconsolidadomar[[#This Row],[4]]</f>
        <v>0</v>
      </c>
      <c r="J197" s="156" t="n">
        <f aca="false">SUM(J187:J196)+reservavariáveisconsolidadomar[[#This Row],[5]]</f>
        <v>0</v>
      </c>
      <c r="K197" s="156" t="n">
        <f aca="false">SUM(K187:K196)+reservavariáveisconsolidadomar[[#This Row],[6]]</f>
        <v>0</v>
      </c>
      <c r="L197" s="156" t="n">
        <f aca="false">SUM(L187:L196)+reservavariáveisconsolidadomar[[#This Row],[7]]</f>
        <v>0</v>
      </c>
      <c r="M197" s="156" t="n">
        <f aca="false">SUM(M187:M196)+reservavariáveisconsolidadomar[[#This Row],[8]]</f>
        <v>0</v>
      </c>
      <c r="N197" s="156" t="n">
        <f aca="false">SUM(N187:N196)+reservavariáveisconsolidadomar[[#This Row],[9]]</f>
        <v>0</v>
      </c>
      <c r="O197" s="156" t="n">
        <f aca="false">SUM(O187:O196)+reservavariáveisconsolidadomar[[#This Row],[10]]</f>
        <v>0</v>
      </c>
      <c r="P197" s="156" t="n">
        <f aca="false">SUM(P187:P196)+reservavariáveisconsolidadomar[[#This Row],[11]]</f>
        <v>0</v>
      </c>
      <c r="Q197" s="156" t="n">
        <f aca="false">SUM(Q187:Q196)+reservavariáveisconsolidadomar[[#This Row],[12]]</f>
        <v>0</v>
      </c>
      <c r="R197" s="156" t="n">
        <f aca="false">SUM(R187:R196)+reservavariáveisconsolidadomar[[#This Row],[13]]</f>
        <v>0</v>
      </c>
      <c r="S197" s="156" t="n">
        <f aca="false">SUM(S187:S196)+reservavariáveisconsolidadomar[[#This Row],[14]]</f>
        <v>0</v>
      </c>
      <c r="T197" s="156" t="n">
        <f aca="false">SUM(T187:T196)+reservavariáveisconsolidadomar[[#This Row],[15]]</f>
        <v>0</v>
      </c>
      <c r="U197" s="156" t="n">
        <f aca="false">SUM(U187:U196)+reservavariáveisconsolidadomar[[#This Row],[16]]</f>
        <v>0</v>
      </c>
      <c r="V197" s="156" t="n">
        <f aca="false">SUM(V187:V196)+reservavariáveisconsolidadomar[[#This Row],[17]]</f>
        <v>0</v>
      </c>
      <c r="W197" s="156" t="n">
        <f aca="false">SUM(W187:W196)+reservavariáveisconsolidadomar[[#This Row],[18]]</f>
        <v>0</v>
      </c>
      <c r="X197" s="156" t="n">
        <f aca="false">SUM(X187:X196)+reservavariáveisconsolidadomar[[#This Row],[19]]</f>
        <v>0</v>
      </c>
      <c r="Y197" s="156" t="n">
        <f aca="false">SUM(Y187:Y196)+reservavariáveisconsolidadomar[[#This Row],[20]]</f>
        <v>0</v>
      </c>
      <c r="Z197" s="156" t="n">
        <f aca="false">SUM(Z187:Z196)+reservavariáveisconsolidadomar[[#This Row],[21]]</f>
        <v>0</v>
      </c>
      <c r="AA197" s="156" t="n">
        <f aca="false">SUM(AA187:AA196)+reservavariáveisconsolidadomar[[#This Row],[22]]</f>
        <v>0</v>
      </c>
      <c r="AB197" s="156" t="n">
        <f aca="false">SUM(AB187:AB196)+reservavariáveisconsolidadomar[[#This Row],[23]]</f>
        <v>0</v>
      </c>
      <c r="AC197" s="156" t="n">
        <f aca="false">SUM(AC187:AC196)+reservavariáveisconsolidadomar[[#This Row],[24]]</f>
        <v>0</v>
      </c>
      <c r="AD197" s="156" t="n">
        <f aca="false">SUM(AD187:AD196)+reservavariáveisconsolidadomar[[#This Row],[25]]</f>
        <v>0</v>
      </c>
      <c r="AE197" s="156" t="n">
        <f aca="false">SUM(AE187:AE196)+reservavariáveisconsolidadomar[[#This Row],[26]]</f>
        <v>0</v>
      </c>
      <c r="AF197" s="156" t="n">
        <f aca="false">SUM(AF187:AF196)+reservavariáveisconsolidadomar[[#This Row],[27]]</f>
        <v>0</v>
      </c>
      <c r="AG197" s="156" t="n">
        <f aca="false">SUM(AG187:AG196)+reservavariáveisconsolidadomar[[#This Row],[28]]</f>
        <v>0</v>
      </c>
      <c r="AH197" s="156" t="n">
        <f aca="false">SUM(AH187:AH196)+reservavariáveisconsolidadomar[[#This Row],[29]]</f>
        <v>0</v>
      </c>
      <c r="AI197" s="223" t="n">
        <f aca="false">SUM(AI187:AI196)+reservavariáveisconsolidadomar[[#This Row],[30]]</f>
        <v>0</v>
      </c>
      <c r="AJ197" s="157" t="n">
        <f aca="false">reservavariáveisconsolidadomar[[#This Row],[31]]</f>
        <v>0</v>
      </c>
      <c r="AK197" s="158"/>
    </row>
    <row r="198" customFormat="false" ht="6.75" hidden="false" customHeight="true" outlineLevel="0" collapsed="false">
      <c r="B198" s="97"/>
      <c r="C198" s="162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233"/>
      <c r="AJ198" s="164"/>
      <c r="AK198" s="244"/>
    </row>
    <row r="199" s="78" customFormat="true" ht="12.75" hidden="false" customHeight="false" outlineLevel="0" collapsed="false">
      <c r="E199" s="100"/>
    </row>
    <row r="200" s="78" customFormat="true" ht="12" hidden="false" customHeight="false" outlineLevel="0" collapsed="false"/>
    <row r="201" s="78" customFormat="true" ht="12" hidden="false" customHeight="false" outlineLevel="0" collapsed="false"/>
    <row r="202" customFormat="false" ht="39.75" hidden="false" customHeight="true" outlineLevel="0" collapsed="false">
      <c r="C202" s="101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3" t="s">
        <v>2</v>
      </c>
    </row>
    <row r="203" s="78" customFormat="true" ht="12.75" hidden="false" customHeight="false" outlineLevel="0" collapsed="false">
      <c r="B203" s="161"/>
      <c r="AJ203" s="106" t="s">
        <v>64</v>
      </c>
    </row>
    <row r="204" customFormat="false" ht="6.75" hidden="false" customHeight="true" outlineLevel="0" collapsed="false">
      <c r="B204" s="86"/>
      <c r="C204" s="162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233"/>
      <c r="AK204" s="139"/>
    </row>
    <row r="205" customFormat="false" ht="13.5" hidden="true" customHeight="false" outlineLevel="0" collapsed="false">
      <c r="B205" s="86"/>
      <c r="C205" s="109" t="s">
        <v>68</v>
      </c>
      <c r="D205" s="110" t="s">
        <v>69</v>
      </c>
      <c r="E205" s="110" t="s">
        <v>30</v>
      </c>
      <c r="F205" s="110" t="s">
        <v>31</v>
      </c>
      <c r="G205" s="110" t="s">
        <v>32</v>
      </c>
      <c r="H205" s="110" t="s">
        <v>33</v>
      </c>
      <c r="I205" s="110" t="s">
        <v>34</v>
      </c>
      <c r="J205" s="110" t="s">
        <v>35</v>
      </c>
      <c r="K205" s="110" t="s">
        <v>36</v>
      </c>
      <c r="L205" s="110" t="s">
        <v>37</v>
      </c>
      <c r="M205" s="110" t="s">
        <v>38</v>
      </c>
      <c r="N205" s="110" t="s">
        <v>39</v>
      </c>
      <c r="O205" s="110" t="s">
        <v>40</v>
      </c>
      <c r="P205" s="110" t="s">
        <v>41</v>
      </c>
      <c r="Q205" s="110" t="s">
        <v>81</v>
      </c>
      <c r="R205" s="110" t="s">
        <v>82</v>
      </c>
      <c r="S205" s="110" t="s">
        <v>83</v>
      </c>
      <c r="T205" s="110" t="s">
        <v>84</v>
      </c>
      <c r="U205" s="110" t="s">
        <v>85</v>
      </c>
      <c r="V205" s="110" t="s">
        <v>86</v>
      </c>
      <c r="W205" s="110" t="s">
        <v>87</v>
      </c>
      <c r="X205" s="110" t="s">
        <v>88</v>
      </c>
      <c r="Y205" s="110" t="s">
        <v>89</v>
      </c>
      <c r="Z205" s="110" t="s">
        <v>90</v>
      </c>
      <c r="AA205" s="110" t="s">
        <v>91</v>
      </c>
      <c r="AB205" s="110" t="s">
        <v>92</v>
      </c>
      <c r="AC205" s="110" t="s">
        <v>93</v>
      </c>
      <c r="AD205" s="110" t="s">
        <v>94</v>
      </c>
      <c r="AE205" s="110" t="s">
        <v>95</v>
      </c>
      <c r="AF205" s="110" t="s">
        <v>96</v>
      </c>
      <c r="AG205" s="110" t="s">
        <v>97</v>
      </c>
      <c r="AH205" s="110" t="s">
        <v>98</v>
      </c>
      <c r="AI205" s="110" t="s">
        <v>99</v>
      </c>
      <c r="AJ205" s="111" t="s">
        <v>70</v>
      </c>
      <c r="AK205" s="86"/>
    </row>
    <row r="206" customFormat="false" ht="19.5" hidden="false" customHeight="true" outlineLevel="0" collapsed="false">
      <c r="B206" s="143"/>
      <c r="C206" s="144" t="str">
        <f aca="false">DADOS!$AP$3</f>
        <v>📝 COE</v>
      </c>
      <c r="D206" s="145" t="str">
        <f aca="false">IF(reservaoutrosconsolidadomar[[#This Row],[TOTAL (R$)]]=0,"",IF(OR(reservaoutrosconsolidadomar[[#This Row],[TOTAL (R$)]]=LARGE($AJ$206:$AJ$213,1),reservaoutrosconsolidadomar[[#This Row],[TOTAL (R$)]]=LARGE($AJ$206:$AJ$213,2)),DADOS!$I$11,""))</f>
        <v/>
      </c>
      <c r="E206" s="148" t="n">
        <f aca="false">SUMIFS(tabela_registros[VALOR],tabela_registros[MÊS],$AE$1,tabela_registros[DIA],reservaoutrosconsolidadomar[[#Headers],[1]],tabela_registros[REGISTRO],DADOS!$N$6,tabela_registros[TIPO],DADOS!$AJ$5,tabela_registros[CATEGORIA],reservaoutrosconsolidadomar[[#This Row],[ATUAL]])</f>
        <v>0</v>
      </c>
      <c r="F206" s="119" t="n">
        <f aca="false">SUMIFS(tabela_registros[VALOR],tabela_registros[MÊS],$AE$1,tabela_registros[DIA],reservaoutrosconsolidadomar[[#Headers],[2]],tabela_registros[REGISTRO],DADOS!$N$6,tabela_registros[TIPO],DADOS!$AJ$5,tabela_registros[CATEGORIA],reservaoutrosconsolidadomar[[#This Row],[ATUAL]])</f>
        <v>0</v>
      </c>
      <c r="G206" s="119" t="n">
        <f aca="false">SUMIFS(tabela_registros[VALOR],tabela_registros[MÊS],$AE$1,tabela_registros[DIA],reservaoutrosconsolidadomar[[#Headers],[3]],tabela_registros[REGISTRO],DADOS!$N$6,tabela_registros[TIPO],DADOS!$AJ$5,tabela_registros[CATEGORIA],reservaoutrosconsolidadomar[[#This Row],[ATUAL]])</f>
        <v>0</v>
      </c>
      <c r="H206" s="119" t="n">
        <f aca="false">SUMIFS(tabela_registros[VALOR],tabela_registros[MÊS],$AE$1,tabela_registros[DIA],reservaoutrosconsolidadomar[[#Headers],[4]],tabela_registros[REGISTRO],DADOS!$N$6,tabela_registros[TIPO],DADOS!$AJ$5,tabela_registros[CATEGORIA],reservaoutrosconsolidadomar[[#This Row],[ATUAL]])</f>
        <v>0</v>
      </c>
      <c r="I206" s="119" t="n">
        <f aca="false">SUMIFS(tabela_registros[VALOR],tabela_registros[MÊS],$AE$1,tabela_registros[DIA],reservaoutrosconsolidadomar[[#Headers],[5]],tabela_registros[REGISTRO],DADOS!$N$6,tabela_registros[TIPO],DADOS!$AJ$5,tabela_registros[CATEGORIA],reservaoutrosconsolidadomar[[#This Row],[ATUAL]])</f>
        <v>0</v>
      </c>
      <c r="J206" s="119" t="n">
        <f aca="false">SUMIFS(tabela_registros[VALOR],tabela_registros[MÊS],$AE$1,tabela_registros[DIA],reservaoutrosconsolidadomar[[#Headers],[6]],tabela_registros[REGISTRO],DADOS!$N$6,tabela_registros[TIPO],DADOS!$AJ$5,tabela_registros[CATEGORIA],reservaoutrosconsolidadomar[[#This Row],[ATUAL]])</f>
        <v>0</v>
      </c>
      <c r="K206" s="119" t="n">
        <f aca="false">SUMIFS(tabela_registros[VALOR],tabela_registros[MÊS],$AE$1,tabela_registros[DIA],reservaoutrosconsolidadomar[[#Headers],[7]],tabela_registros[REGISTRO],DADOS!$N$6,tabela_registros[TIPO],DADOS!$AJ$5,tabela_registros[CATEGORIA],reservaoutrosconsolidadomar[[#This Row],[ATUAL]])</f>
        <v>0</v>
      </c>
      <c r="L206" s="119" t="n">
        <f aca="false">SUMIFS(tabela_registros[VALOR],tabela_registros[MÊS],$AE$1,tabela_registros[DIA],reservaoutrosconsolidadomar[[#Headers],[8]],tabela_registros[REGISTRO],DADOS!$N$6,tabela_registros[TIPO],DADOS!$AJ$5,tabela_registros[CATEGORIA],reservaoutrosconsolidadomar[[#This Row],[ATUAL]])</f>
        <v>0</v>
      </c>
      <c r="M206" s="119" t="n">
        <f aca="false">SUMIFS(tabela_registros[VALOR],tabela_registros[MÊS],$AE$1,tabela_registros[DIA],reservaoutrosconsolidadomar[[#Headers],[9]],tabela_registros[REGISTRO],DADOS!$N$6,tabela_registros[TIPO],DADOS!$AJ$5,tabela_registros[CATEGORIA],reservaoutrosconsolidadomar[[#This Row],[ATUAL]])</f>
        <v>0</v>
      </c>
      <c r="N206" s="119" t="n">
        <f aca="false">SUMIFS(tabela_registros[VALOR],tabela_registros[MÊS],$AE$1,tabela_registros[DIA],reservaoutrosconsolidadomar[[#Headers],[10]],tabela_registros[REGISTRO],DADOS!$N$6,tabela_registros[TIPO],DADOS!$AJ$5,tabela_registros[CATEGORIA],reservaoutrosconsolidadomar[[#This Row],[ATUAL]])</f>
        <v>0</v>
      </c>
      <c r="O206" s="119" t="n">
        <f aca="false">SUMIFS(tabela_registros[VALOR],tabela_registros[MÊS],$AE$1,tabela_registros[DIA],reservaoutrosconsolidadomar[[#Headers],[11]],tabela_registros[REGISTRO],DADOS!$N$6,tabela_registros[TIPO],DADOS!$AJ$5,tabela_registros[CATEGORIA],reservaoutrosconsolidadomar[[#This Row],[ATUAL]])</f>
        <v>0</v>
      </c>
      <c r="P206" s="119" t="n">
        <f aca="false">SUMIFS(tabela_registros[VALOR],tabela_registros[MÊS],$AE$1,tabela_registros[DIA],reservaoutrosconsolidadomar[[#Headers],[12]],tabela_registros[REGISTRO],DADOS!$N$6,tabela_registros[TIPO],DADOS!$AJ$5,tabela_registros[CATEGORIA],reservaoutrosconsolidadomar[[#This Row],[ATUAL]])</f>
        <v>0</v>
      </c>
      <c r="Q206" s="119" t="n">
        <f aca="false">SUMIFS(tabela_registros[VALOR],tabela_registros[MÊS],$AE$1,tabela_registros[DIA],reservaoutrosconsolidadomar[[#Headers],[13]],tabela_registros[REGISTRO],DADOS!$N$6,tabela_registros[TIPO],DADOS!$AJ$5,tabela_registros[CATEGORIA],reservaoutrosconsolidadomar[[#This Row],[ATUAL]])</f>
        <v>0</v>
      </c>
      <c r="R206" s="119" t="n">
        <f aca="false">SUMIFS(tabela_registros[VALOR],tabela_registros[MÊS],$AE$1,tabela_registros[DIA],reservaoutrosconsolidadomar[[#Headers],[14]],tabela_registros[REGISTRO],DADOS!$N$6,tabela_registros[TIPO],DADOS!$AJ$5,tabela_registros[CATEGORIA],reservaoutrosconsolidadomar[[#This Row],[ATUAL]])</f>
        <v>0</v>
      </c>
      <c r="S206" s="119" t="n">
        <f aca="false">SUMIFS(tabela_registros[VALOR],tabela_registros[MÊS],$AE$1,tabela_registros[DIA],reservaoutrosconsolidadomar[[#Headers],[15]],tabela_registros[REGISTRO],DADOS!$N$6,tabela_registros[TIPO],DADOS!$AJ$5,tabela_registros[CATEGORIA],reservaoutrosconsolidadomar[[#This Row],[ATUAL]])</f>
        <v>0</v>
      </c>
      <c r="T206" s="119" t="n">
        <f aca="false">SUMIFS(tabela_registros[VALOR],tabela_registros[MÊS],$AE$1,tabela_registros[DIA],reservaoutrosconsolidadomar[[#Headers],[16]],tabela_registros[REGISTRO],DADOS!$N$6,tabela_registros[TIPO],DADOS!$AJ$5,tabela_registros[CATEGORIA],reservaoutrosconsolidadomar[[#This Row],[ATUAL]])</f>
        <v>0</v>
      </c>
      <c r="U206" s="119" t="n">
        <f aca="false">SUMIFS(tabela_registros[VALOR],tabela_registros[MÊS],$AE$1,tabela_registros[DIA],reservaoutrosconsolidadomar[[#Headers],[17]],tabela_registros[REGISTRO],DADOS!$N$6,tabela_registros[TIPO],DADOS!$AJ$5,tabela_registros[CATEGORIA],reservaoutrosconsolidadomar[[#This Row],[ATUAL]])</f>
        <v>0</v>
      </c>
      <c r="V206" s="119" t="n">
        <f aca="false">SUMIFS(tabela_registros[VALOR],tabela_registros[MÊS],$AE$1,tabela_registros[DIA],reservaoutrosconsolidadomar[[#Headers],[18]],tabela_registros[REGISTRO],DADOS!$N$6,tabela_registros[TIPO],DADOS!$AJ$5,tabela_registros[CATEGORIA],reservaoutrosconsolidadomar[[#This Row],[ATUAL]])</f>
        <v>0</v>
      </c>
      <c r="W206" s="119" t="n">
        <f aca="false">SUMIFS(tabela_registros[VALOR],tabela_registros[MÊS],$AE$1,tabela_registros[DIA],reservaoutrosconsolidadomar[[#Headers],[19]],tabela_registros[REGISTRO],DADOS!$N$6,tabela_registros[TIPO],DADOS!$AJ$5,tabela_registros[CATEGORIA],reservaoutrosconsolidadomar[[#This Row],[ATUAL]])</f>
        <v>0</v>
      </c>
      <c r="X206" s="119" t="n">
        <f aca="false">SUMIFS(tabela_registros[VALOR],tabela_registros[MÊS],$AE$1,tabela_registros[DIA],reservaoutrosconsolidadomar[[#Headers],[20]],tabela_registros[REGISTRO],DADOS!$N$6,tabela_registros[TIPO],DADOS!$AJ$5,tabela_registros[CATEGORIA],reservaoutrosconsolidadomar[[#This Row],[ATUAL]])</f>
        <v>0</v>
      </c>
      <c r="Y206" s="119" t="n">
        <f aca="false">SUMIFS(tabela_registros[VALOR],tabela_registros[MÊS],$AE$1,tabela_registros[DIA],reservaoutrosconsolidadomar[[#Headers],[21]],tabela_registros[REGISTRO],DADOS!$N$6,tabela_registros[TIPO],DADOS!$AJ$5,tabela_registros[CATEGORIA],reservaoutrosconsolidadomar[[#This Row],[ATUAL]])</f>
        <v>0</v>
      </c>
      <c r="Z206" s="119" t="n">
        <f aca="false">SUMIFS(tabela_registros[VALOR],tabela_registros[MÊS],$AE$1,tabela_registros[DIA],reservaoutrosconsolidadomar[[#Headers],[22]],tabela_registros[REGISTRO],DADOS!$N$6,tabela_registros[TIPO],DADOS!$AJ$5,tabela_registros[CATEGORIA],reservaoutrosconsolidadomar[[#This Row],[ATUAL]])</f>
        <v>0</v>
      </c>
      <c r="AA206" s="119" t="n">
        <f aca="false">SUMIFS(tabela_registros[VALOR],tabela_registros[MÊS],$AE$1,tabela_registros[DIA],reservaoutrosconsolidadomar[[#Headers],[23]],tabela_registros[REGISTRO],DADOS!$N$6,tabela_registros[TIPO],DADOS!$AJ$5,tabela_registros[CATEGORIA],reservaoutrosconsolidadomar[[#This Row],[ATUAL]])</f>
        <v>0</v>
      </c>
      <c r="AB206" s="119" t="n">
        <f aca="false">SUMIFS(tabela_registros[VALOR],tabela_registros[MÊS],$AE$1,tabela_registros[DIA],reservaoutrosconsolidadomar[[#Headers],[24]],tabela_registros[REGISTRO],DADOS!$N$6,tabela_registros[TIPO],DADOS!$AJ$5,tabela_registros[CATEGORIA],reservaoutrosconsolidadomar[[#This Row],[ATUAL]])</f>
        <v>0</v>
      </c>
      <c r="AC206" s="119" t="n">
        <f aca="false">SUMIFS(tabela_registros[VALOR],tabela_registros[MÊS],$AE$1,tabela_registros[DIA],reservaoutrosconsolidadomar[[#Headers],[25]],tabela_registros[REGISTRO],DADOS!$N$6,tabela_registros[TIPO],DADOS!$AJ$5,tabela_registros[CATEGORIA],reservaoutrosconsolidadomar[[#This Row],[ATUAL]])</f>
        <v>0</v>
      </c>
      <c r="AD206" s="119" t="n">
        <f aca="false">SUMIFS(tabela_registros[VALOR],tabela_registros[MÊS],$AE$1,tabela_registros[DIA],reservaoutrosconsolidadomar[[#Headers],[26]],tabela_registros[REGISTRO],DADOS!$N$6,tabela_registros[TIPO],DADOS!$AJ$5,tabela_registros[CATEGORIA],reservaoutrosconsolidadomar[[#This Row],[ATUAL]])</f>
        <v>0</v>
      </c>
      <c r="AE206" s="119" t="n">
        <f aca="false">SUMIFS(tabela_registros[VALOR],tabela_registros[MÊS],$AE$1,tabela_registros[DIA],reservaoutrosconsolidadomar[[#Headers],[27]],tabela_registros[REGISTRO],DADOS!$N$6,tabela_registros[TIPO],DADOS!$AJ$5,tabela_registros[CATEGORIA],reservaoutrosconsolidadomar[[#This Row],[ATUAL]])</f>
        <v>0</v>
      </c>
      <c r="AF206" s="119" t="n">
        <f aca="false">SUMIFS(tabela_registros[VALOR],tabela_registros[MÊS],$AE$1,tabela_registros[DIA],reservaoutrosconsolidadomar[[#Headers],[28]],tabela_registros[REGISTRO],DADOS!$N$6,tabela_registros[TIPO],DADOS!$AJ$5,tabela_registros[CATEGORIA],reservaoutrosconsolidadomar[[#This Row],[ATUAL]])</f>
        <v>0</v>
      </c>
      <c r="AG206" s="119" t="n">
        <f aca="false">SUMIFS(tabela_registros[VALOR],tabela_registros[MÊS],$AE$1,tabela_registros[DIA],reservaoutrosconsolidadomar[[#Headers],[29]],tabela_registros[REGISTRO],DADOS!$N$6,tabela_registros[TIPO],DADOS!$AJ$5,tabela_registros[CATEGORIA],reservaoutrosconsolidadomar[[#This Row],[ATUAL]])</f>
        <v>0</v>
      </c>
      <c r="AH206" s="119" t="n">
        <f aca="false">SUMIFS(tabela_registros[VALOR],tabela_registros[MÊS],$AE$1,tabela_registros[DIA],reservaoutrosconsolidadomar[[#Headers],[30]],tabela_registros[REGISTRO],DADOS!$N$6,tabela_registros[TIPO],DADOS!$AJ$5,tabela_registros[CATEGORIA],reservaoutrosconsolidadomar[[#This Row],[ATUAL]])</f>
        <v>0</v>
      </c>
      <c r="AI206" s="217" t="n">
        <f aca="false">SUMIFS(tabela_registros[VALOR],tabela_registros[MÊS],$AE$1,tabela_registros[DIA],reservaoutrosconsolidadomar[[#Headers],[31]],tabela_registros[REGISTRO],DADOS!$N$6,tabela_registros[TIPO],DADOS!$AJ$5,tabela_registros[CATEGORIA],reservaoutrosconsolidadomar[[#This Row],[ATUAL]])</f>
        <v>0</v>
      </c>
      <c r="AJ206" s="149" t="n">
        <f aca="false">SUM(reservaoutrosconsolidadomar[[#This Row],[1]:[31]])</f>
        <v>0</v>
      </c>
      <c r="AK206" s="165"/>
    </row>
    <row r="207" customFormat="false" ht="19.5" hidden="false" customHeight="true" outlineLevel="0" collapsed="false">
      <c r="B207" s="143"/>
      <c r="C207" s="144" t="str">
        <f aca="false">DADOS!$AP$4</f>
        <v>📝 FOREX</v>
      </c>
      <c r="D207" s="145" t="str">
        <f aca="false">IF(reservaoutrosconsolidadomar[[#This Row],[TOTAL (R$)]]=0,"",IF(OR(reservaoutrosconsolidadomar[[#This Row],[TOTAL (R$)]]=LARGE($AJ$206:$AJ$213,1),reservaoutrosconsolidadomar[[#This Row],[TOTAL (R$)]]=LARGE($AJ$206:$AJ$213,2)),DADOS!$I$11,""))</f>
        <v/>
      </c>
      <c r="E207" s="148" t="n">
        <f aca="false">SUMIFS(tabela_registros[VALOR],tabela_registros[MÊS],$AE$1,tabela_registros[DIA],reservaoutrosconsolidadomar[[#Headers],[1]],tabela_registros[REGISTRO],DADOS!$N$6,tabela_registros[TIPO],DADOS!$AJ$5,tabela_registros[CATEGORIA],reservaoutrosconsolidadomar[[#This Row],[ATUAL]])</f>
        <v>0</v>
      </c>
      <c r="F207" s="119" t="n">
        <f aca="false">SUMIFS(tabela_registros[VALOR],tabela_registros[MÊS],$AE$1,tabela_registros[DIA],reservaoutrosconsolidadomar[[#Headers],[2]],tabela_registros[REGISTRO],DADOS!$N$6,tabela_registros[TIPO],DADOS!$AJ$5,tabela_registros[CATEGORIA],reservaoutrosconsolidadomar[[#This Row],[ATUAL]])</f>
        <v>0</v>
      </c>
      <c r="G207" s="119" t="n">
        <f aca="false">SUMIFS(tabela_registros[VALOR],tabela_registros[MÊS],$AE$1,tabela_registros[DIA],reservaoutrosconsolidadomar[[#Headers],[3]],tabela_registros[REGISTRO],DADOS!$N$6,tabela_registros[TIPO],DADOS!$AJ$5,tabela_registros[CATEGORIA],reservaoutrosconsolidadomar[[#This Row],[ATUAL]])</f>
        <v>0</v>
      </c>
      <c r="H207" s="119" t="n">
        <f aca="false">SUMIFS(tabela_registros[VALOR],tabela_registros[MÊS],$AE$1,tabela_registros[DIA],reservaoutrosconsolidadomar[[#Headers],[4]],tabela_registros[REGISTRO],DADOS!$N$6,tabela_registros[TIPO],DADOS!$AJ$5,tabela_registros[CATEGORIA],reservaoutrosconsolidadomar[[#This Row],[ATUAL]])</f>
        <v>0</v>
      </c>
      <c r="I207" s="119" t="n">
        <f aca="false">SUMIFS(tabela_registros[VALOR],tabela_registros[MÊS],$AE$1,tabela_registros[DIA],reservaoutrosconsolidadomar[[#Headers],[5]],tabela_registros[REGISTRO],DADOS!$N$6,tabela_registros[TIPO],DADOS!$AJ$5,tabela_registros[CATEGORIA],reservaoutrosconsolidadomar[[#This Row],[ATUAL]])</f>
        <v>0</v>
      </c>
      <c r="J207" s="119" t="n">
        <f aca="false">SUMIFS(tabela_registros[VALOR],tabela_registros[MÊS],$AE$1,tabela_registros[DIA],reservaoutrosconsolidadomar[[#Headers],[6]],tabela_registros[REGISTRO],DADOS!$N$6,tabela_registros[TIPO],DADOS!$AJ$5,tabela_registros[CATEGORIA],reservaoutrosconsolidadomar[[#This Row],[ATUAL]])</f>
        <v>0</v>
      </c>
      <c r="K207" s="119" t="n">
        <f aca="false">SUMIFS(tabela_registros[VALOR],tabela_registros[MÊS],$AE$1,tabela_registros[DIA],reservaoutrosconsolidadomar[[#Headers],[7]],tabela_registros[REGISTRO],DADOS!$N$6,tabela_registros[TIPO],DADOS!$AJ$5,tabela_registros[CATEGORIA],reservaoutrosconsolidadomar[[#This Row],[ATUAL]])</f>
        <v>0</v>
      </c>
      <c r="L207" s="119" t="n">
        <f aca="false">SUMIFS(tabela_registros[VALOR],tabela_registros[MÊS],$AE$1,tabela_registros[DIA],reservaoutrosconsolidadomar[[#Headers],[8]],tabela_registros[REGISTRO],DADOS!$N$6,tabela_registros[TIPO],DADOS!$AJ$5,tabela_registros[CATEGORIA],reservaoutrosconsolidadomar[[#This Row],[ATUAL]])</f>
        <v>0</v>
      </c>
      <c r="M207" s="119" t="n">
        <f aca="false">SUMIFS(tabela_registros[VALOR],tabela_registros[MÊS],$AE$1,tabela_registros[DIA],reservaoutrosconsolidadomar[[#Headers],[9]],tabela_registros[REGISTRO],DADOS!$N$6,tabela_registros[TIPO],DADOS!$AJ$5,tabela_registros[CATEGORIA],reservaoutrosconsolidadomar[[#This Row],[ATUAL]])</f>
        <v>0</v>
      </c>
      <c r="N207" s="119" t="n">
        <f aca="false">SUMIFS(tabela_registros[VALOR],tabela_registros[MÊS],$AE$1,tabela_registros[DIA],reservaoutrosconsolidadomar[[#Headers],[10]],tabela_registros[REGISTRO],DADOS!$N$6,tabela_registros[TIPO],DADOS!$AJ$5,tabela_registros[CATEGORIA],reservaoutrosconsolidadomar[[#This Row],[ATUAL]])</f>
        <v>0</v>
      </c>
      <c r="O207" s="119" t="n">
        <f aca="false">SUMIFS(tabela_registros[VALOR],tabela_registros[MÊS],$AE$1,tabela_registros[DIA],reservaoutrosconsolidadomar[[#Headers],[11]],tabela_registros[REGISTRO],DADOS!$N$6,tabela_registros[TIPO],DADOS!$AJ$5,tabela_registros[CATEGORIA],reservaoutrosconsolidadomar[[#This Row],[ATUAL]])</f>
        <v>0</v>
      </c>
      <c r="P207" s="119" t="n">
        <f aca="false">SUMIFS(tabela_registros[VALOR],tabela_registros[MÊS],$AE$1,tabela_registros[DIA],reservaoutrosconsolidadomar[[#Headers],[12]],tabela_registros[REGISTRO],DADOS!$N$6,tabela_registros[TIPO],DADOS!$AJ$5,tabela_registros[CATEGORIA],reservaoutrosconsolidadomar[[#This Row],[ATUAL]])</f>
        <v>0</v>
      </c>
      <c r="Q207" s="119" t="n">
        <f aca="false">SUMIFS(tabela_registros[VALOR],tabela_registros[MÊS],$AE$1,tabela_registros[DIA],reservaoutrosconsolidadomar[[#Headers],[13]],tabela_registros[REGISTRO],DADOS!$N$6,tabela_registros[TIPO],DADOS!$AJ$5,tabela_registros[CATEGORIA],reservaoutrosconsolidadomar[[#This Row],[ATUAL]])</f>
        <v>0</v>
      </c>
      <c r="R207" s="119" t="n">
        <f aca="false">SUMIFS(tabela_registros[VALOR],tabela_registros[MÊS],$AE$1,tabela_registros[DIA],reservaoutrosconsolidadomar[[#Headers],[14]],tabela_registros[REGISTRO],DADOS!$N$6,tabela_registros[TIPO],DADOS!$AJ$5,tabela_registros[CATEGORIA],reservaoutrosconsolidadomar[[#This Row],[ATUAL]])</f>
        <v>0</v>
      </c>
      <c r="S207" s="119" t="n">
        <f aca="false">SUMIFS(tabela_registros[VALOR],tabela_registros[MÊS],$AE$1,tabela_registros[DIA],reservaoutrosconsolidadomar[[#Headers],[15]],tabela_registros[REGISTRO],DADOS!$N$6,tabela_registros[TIPO],DADOS!$AJ$5,tabela_registros[CATEGORIA],reservaoutrosconsolidadomar[[#This Row],[ATUAL]])</f>
        <v>0</v>
      </c>
      <c r="T207" s="119" t="n">
        <f aca="false">SUMIFS(tabela_registros[VALOR],tabela_registros[MÊS],$AE$1,tabela_registros[DIA],reservaoutrosconsolidadomar[[#Headers],[16]],tabela_registros[REGISTRO],DADOS!$N$6,tabela_registros[TIPO],DADOS!$AJ$5,tabela_registros[CATEGORIA],reservaoutrosconsolidadomar[[#This Row],[ATUAL]])</f>
        <v>0</v>
      </c>
      <c r="U207" s="119" t="n">
        <f aca="false">SUMIFS(tabela_registros[VALOR],tabela_registros[MÊS],$AE$1,tabela_registros[DIA],reservaoutrosconsolidadomar[[#Headers],[17]],tabela_registros[REGISTRO],DADOS!$N$6,tabela_registros[TIPO],DADOS!$AJ$5,tabela_registros[CATEGORIA],reservaoutrosconsolidadomar[[#This Row],[ATUAL]])</f>
        <v>0</v>
      </c>
      <c r="V207" s="119" t="n">
        <f aca="false">SUMIFS(tabela_registros[VALOR],tabela_registros[MÊS],$AE$1,tabela_registros[DIA],reservaoutrosconsolidadomar[[#Headers],[18]],tabela_registros[REGISTRO],DADOS!$N$6,tabela_registros[TIPO],DADOS!$AJ$5,tabela_registros[CATEGORIA],reservaoutrosconsolidadomar[[#This Row],[ATUAL]])</f>
        <v>0</v>
      </c>
      <c r="W207" s="119" t="n">
        <f aca="false">SUMIFS(tabela_registros[VALOR],tabela_registros[MÊS],$AE$1,tabela_registros[DIA],reservaoutrosconsolidadomar[[#Headers],[19]],tabela_registros[REGISTRO],DADOS!$N$6,tabela_registros[TIPO],DADOS!$AJ$5,tabela_registros[CATEGORIA],reservaoutrosconsolidadomar[[#This Row],[ATUAL]])</f>
        <v>0</v>
      </c>
      <c r="X207" s="119" t="n">
        <f aca="false">SUMIFS(tabela_registros[VALOR],tabela_registros[MÊS],$AE$1,tabela_registros[DIA],reservaoutrosconsolidadomar[[#Headers],[20]],tabela_registros[REGISTRO],DADOS!$N$6,tabela_registros[TIPO],DADOS!$AJ$5,tabela_registros[CATEGORIA],reservaoutrosconsolidadomar[[#This Row],[ATUAL]])</f>
        <v>0</v>
      </c>
      <c r="Y207" s="119" t="n">
        <f aca="false">SUMIFS(tabela_registros[VALOR],tabela_registros[MÊS],$AE$1,tabela_registros[DIA],reservaoutrosconsolidadomar[[#Headers],[21]],tabela_registros[REGISTRO],DADOS!$N$6,tabela_registros[TIPO],DADOS!$AJ$5,tabela_registros[CATEGORIA],reservaoutrosconsolidadomar[[#This Row],[ATUAL]])</f>
        <v>0</v>
      </c>
      <c r="Z207" s="119" t="n">
        <f aca="false">SUMIFS(tabela_registros[VALOR],tabela_registros[MÊS],$AE$1,tabela_registros[DIA],reservaoutrosconsolidadomar[[#Headers],[22]],tabela_registros[REGISTRO],DADOS!$N$6,tabela_registros[TIPO],DADOS!$AJ$5,tabela_registros[CATEGORIA],reservaoutrosconsolidadomar[[#This Row],[ATUAL]])</f>
        <v>0</v>
      </c>
      <c r="AA207" s="119" t="n">
        <f aca="false">SUMIFS(tabela_registros[VALOR],tabela_registros[MÊS],$AE$1,tabela_registros[DIA],reservaoutrosconsolidadomar[[#Headers],[23]],tabela_registros[REGISTRO],DADOS!$N$6,tabela_registros[TIPO],DADOS!$AJ$5,tabela_registros[CATEGORIA],reservaoutrosconsolidadomar[[#This Row],[ATUAL]])</f>
        <v>0</v>
      </c>
      <c r="AB207" s="119" t="n">
        <f aca="false">SUMIFS(tabela_registros[VALOR],tabela_registros[MÊS],$AE$1,tabela_registros[DIA],reservaoutrosconsolidadomar[[#Headers],[24]],tabela_registros[REGISTRO],DADOS!$N$6,tabela_registros[TIPO],DADOS!$AJ$5,tabela_registros[CATEGORIA],reservaoutrosconsolidadomar[[#This Row],[ATUAL]])</f>
        <v>0</v>
      </c>
      <c r="AC207" s="119" t="n">
        <f aca="false">SUMIFS(tabela_registros[VALOR],tabela_registros[MÊS],$AE$1,tabela_registros[DIA],reservaoutrosconsolidadomar[[#Headers],[25]],tabela_registros[REGISTRO],DADOS!$N$6,tabela_registros[TIPO],DADOS!$AJ$5,tabela_registros[CATEGORIA],reservaoutrosconsolidadomar[[#This Row],[ATUAL]])</f>
        <v>0</v>
      </c>
      <c r="AD207" s="119" t="n">
        <f aca="false">SUMIFS(tabela_registros[VALOR],tabela_registros[MÊS],$AE$1,tabela_registros[DIA],reservaoutrosconsolidadomar[[#Headers],[26]],tabela_registros[REGISTRO],DADOS!$N$6,tabela_registros[TIPO],DADOS!$AJ$5,tabela_registros[CATEGORIA],reservaoutrosconsolidadomar[[#This Row],[ATUAL]])</f>
        <v>0</v>
      </c>
      <c r="AE207" s="119" t="n">
        <f aca="false">SUMIFS(tabela_registros[VALOR],tabela_registros[MÊS],$AE$1,tabela_registros[DIA],reservaoutrosconsolidadomar[[#Headers],[27]],tabela_registros[REGISTRO],DADOS!$N$6,tabela_registros[TIPO],DADOS!$AJ$5,tabela_registros[CATEGORIA],reservaoutrosconsolidadomar[[#This Row],[ATUAL]])</f>
        <v>0</v>
      </c>
      <c r="AF207" s="119" t="n">
        <f aca="false">SUMIFS(tabela_registros[VALOR],tabela_registros[MÊS],$AE$1,tabela_registros[DIA],reservaoutrosconsolidadomar[[#Headers],[28]],tabela_registros[REGISTRO],DADOS!$N$6,tabela_registros[TIPO],DADOS!$AJ$5,tabela_registros[CATEGORIA],reservaoutrosconsolidadomar[[#This Row],[ATUAL]])</f>
        <v>0</v>
      </c>
      <c r="AG207" s="119" t="n">
        <f aca="false">SUMIFS(tabela_registros[VALOR],tabela_registros[MÊS],$AE$1,tabela_registros[DIA],reservaoutrosconsolidadomar[[#Headers],[29]],tabela_registros[REGISTRO],DADOS!$N$6,tabela_registros[TIPO],DADOS!$AJ$5,tabela_registros[CATEGORIA],reservaoutrosconsolidadomar[[#This Row],[ATUAL]])</f>
        <v>0</v>
      </c>
      <c r="AH207" s="119" t="n">
        <f aca="false">SUMIFS(tabela_registros[VALOR],tabela_registros[MÊS],$AE$1,tabela_registros[DIA],reservaoutrosconsolidadomar[[#Headers],[30]],tabela_registros[REGISTRO],DADOS!$N$6,tabela_registros[TIPO],DADOS!$AJ$5,tabela_registros[CATEGORIA],reservaoutrosconsolidadomar[[#This Row],[ATUAL]])</f>
        <v>0</v>
      </c>
      <c r="AI207" s="217" t="n">
        <f aca="false">SUMIFS(tabela_registros[VALOR],tabela_registros[MÊS],$AE$1,tabela_registros[DIA],reservaoutrosconsolidadomar[[#Headers],[31]],tabela_registros[REGISTRO],DADOS!$N$6,tabela_registros[TIPO],DADOS!$AJ$5,tabela_registros[CATEGORIA],reservaoutrosconsolidadomar[[#This Row],[ATUAL]])</f>
        <v>0</v>
      </c>
      <c r="AJ207" s="149" t="n">
        <f aca="false">SUM(reservaoutrosconsolidadomar[[#This Row],[1]:[31]])</f>
        <v>0</v>
      </c>
      <c r="AK207" s="165"/>
    </row>
    <row r="208" customFormat="false" ht="19.5" hidden="false" customHeight="true" outlineLevel="0" collapsed="false">
      <c r="B208" s="143"/>
      <c r="C208" s="144" t="str">
        <f aca="false">DADOS!$AP$5</f>
        <v>📝 FUNDO DE INVESTIMENTO</v>
      </c>
      <c r="D208" s="145" t="str">
        <f aca="false">IF(reservaoutrosconsolidadomar[[#This Row],[TOTAL (R$)]]=0,"",IF(OR(reservaoutrosconsolidadomar[[#This Row],[TOTAL (R$)]]=LARGE($AJ$206:$AJ$213,1),reservaoutrosconsolidadomar[[#This Row],[TOTAL (R$)]]=LARGE($AJ$206:$AJ$213,2)),DADOS!$I$11,""))</f>
        <v/>
      </c>
      <c r="E208" s="148" t="n">
        <f aca="false">SUMIFS(tabela_registros[VALOR],tabela_registros[MÊS],$AE$1,tabela_registros[DIA],reservaoutrosconsolidadomar[[#Headers],[1]],tabela_registros[REGISTRO],DADOS!$N$6,tabela_registros[TIPO],DADOS!$AJ$5,tabela_registros[CATEGORIA],reservaoutrosconsolidadomar[[#This Row],[ATUAL]])</f>
        <v>0</v>
      </c>
      <c r="F208" s="119" t="n">
        <f aca="false">SUMIFS(tabela_registros[VALOR],tabela_registros[MÊS],$AE$1,tabela_registros[DIA],reservaoutrosconsolidadomar[[#Headers],[2]],tabela_registros[REGISTRO],DADOS!$N$6,tabela_registros[TIPO],DADOS!$AJ$5,tabela_registros[CATEGORIA],reservaoutrosconsolidadomar[[#This Row],[ATUAL]])</f>
        <v>0</v>
      </c>
      <c r="G208" s="119" t="n">
        <f aca="false">SUMIFS(tabela_registros[VALOR],tabela_registros[MÊS],$AE$1,tabela_registros[DIA],reservaoutrosconsolidadomar[[#Headers],[3]],tabela_registros[REGISTRO],DADOS!$N$6,tabela_registros[TIPO],DADOS!$AJ$5,tabela_registros[CATEGORIA],reservaoutrosconsolidadomar[[#This Row],[ATUAL]])</f>
        <v>0</v>
      </c>
      <c r="H208" s="119" t="n">
        <f aca="false">SUMIFS(tabela_registros[VALOR],tabela_registros[MÊS],$AE$1,tabela_registros[DIA],reservaoutrosconsolidadomar[[#Headers],[4]],tabela_registros[REGISTRO],DADOS!$N$6,tabela_registros[TIPO],DADOS!$AJ$5,tabela_registros[CATEGORIA],reservaoutrosconsolidadomar[[#This Row],[ATUAL]])</f>
        <v>0</v>
      </c>
      <c r="I208" s="119" t="n">
        <f aca="false">SUMIFS(tabela_registros[VALOR],tabela_registros[MÊS],$AE$1,tabela_registros[DIA],reservaoutrosconsolidadomar[[#Headers],[5]],tabela_registros[REGISTRO],DADOS!$N$6,tabela_registros[TIPO],DADOS!$AJ$5,tabela_registros[CATEGORIA],reservaoutrosconsolidadomar[[#This Row],[ATUAL]])</f>
        <v>0</v>
      </c>
      <c r="J208" s="119" t="n">
        <f aca="false">SUMIFS(tabela_registros[VALOR],tabela_registros[MÊS],$AE$1,tabela_registros[DIA],reservaoutrosconsolidadomar[[#Headers],[6]],tabela_registros[REGISTRO],DADOS!$N$6,tabela_registros[TIPO],DADOS!$AJ$5,tabela_registros[CATEGORIA],reservaoutrosconsolidadomar[[#This Row],[ATUAL]])</f>
        <v>0</v>
      </c>
      <c r="K208" s="119" t="n">
        <f aca="false">SUMIFS(tabela_registros[VALOR],tabela_registros[MÊS],$AE$1,tabela_registros[DIA],reservaoutrosconsolidadomar[[#Headers],[7]],tabela_registros[REGISTRO],DADOS!$N$6,tabela_registros[TIPO],DADOS!$AJ$5,tabela_registros[CATEGORIA],reservaoutrosconsolidadomar[[#This Row],[ATUAL]])</f>
        <v>0</v>
      </c>
      <c r="L208" s="119" t="n">
        <f aca="false">SUMIFS(tabela_registros[VALOR],tabela_registros[MÊS],$AE$1,tabela_registros[DIA],reservaoutrosconsolidadomar[[#Headers],[8]],tabela_registros[REGISTRO],DADOS!$N$6,tabela_registros[TIPO],DADOS!$AJ$5,tabela_registros[CATEGORIA],reservaoutrosconsolidadomar[[#This Row],[ATUAL]])</f>
        <v>0</v>
      </c>
      <c r="M208" s="119" t="n">
        <f aca="false">SUMIFS(tabela_registros[VALOR],tabela_registros[MÊS],$AE$1,tabela_registros[DIA],reservaoutrosconsolidadomar[[#Headers],[9]],tabela_registros[REGISTRO],DADOS!$N$6,tabela_registros[TIPO],DADOS!$AJ$5,tabela_registros[CATEGORIA],reservaoutrosconsolidadomar[[#This Row],[ATUAL]])</f>
        <v>0</v>
      </c>
      <c r="N208" s="119" t="n">
        <f aca="false">SUMIFS(tabela_registros[VALOR],tabela_registros[MÊS],$AE$1,tabela_registros[DIA],reservaoutrosconsolidadomar[[#Headers],[10]],tabela_registros[REGISTRO],DADOS!$N$6,tabela_registros[TIPO],DADOS!$AJ$5,tabela_registros[CATEGORIA],reservaoutrosconsolidadomar[[#This Row],[ATUAL]])</f>
        <v>0</v>
      </c>
      <c r="O208" s="119" t="n">
        <f aca="false">SUMIFS(tabela_registros[VALOR],tabela_registros[MÊS],$AE$1,tabela_registros[DIA],reservaoutrosconsolidadomar[[#Headers],[11]],tabela_registros[REGISTRO],DADOS!$N$6,tabela_registros[TIPO],DADOS!$AJ$5,tabela_registros[CATEGORIA],reservaoutrosconsolidadomar[[#This Row],[ATUAL]])</f>
        <v>0</v>
      </c>
      <c r="P208" s="119" t="n">
        <f aca="false">SUMIFS(tabela_registros[VALOR],tabela_registros[MÊS],$AE$1,tabela_registros[DIA],reservaoutrosconsolidadomar[[#Headers],[12]],tabela_registros[REGISTRO],DADOS!$N$6,tabela_registros[TIPO],DADOS!$AJ$5,tabela_registros[CATEGORIA],reservaoutrosconsolidadomar[[#This Row],[ATUAL]])</f>
        <v>0</v>
      </c>
      <c r="Q208" s="119" t="n">
        <f aca="false">SUMIFS(tabela_registros[VALOR],tabela_registros[MÊS],$AE$1,tabela_registros[DIA],reservaoutrosconsolidadomar[[#Headers],[13]],tabela_registros[REGISTRO],DADOS!$N$6,tabela_registros[TIPO],DADOS!$AJ$5,tabela_registros[CATEGORIA],reservaoutrosconsolidadomar[[#This Row],[ATUAL]])</f>
        <v>0</v>
      </c>
      <c r="R208" s="119" t="n">
        <f aca="false">SUMIFS(tabela_registros[VALOR],tabela_registros[MÊS],$AE$1,tabela_registros[DIA],reservaoutrosconsolidadomar[[#Headers],[14]],tabela_registros[REGISTRO],DADOS!$N$6,tabela_registros[TIPO],DADOS!$AJ$5,tabela_registros[CATEGORIA],reservaoutrosconsolidadomar[[#This Row],[ATUAL]])</f>
        <v>0</v>
      </c>
      <c r="S208" s="119" t="n">
        <f aca="false">SUMIFS(tabela_registros[VALOR],tabela_registros[MÊS],$AE$1,tabela_registros[DIA],reservaoutrosconsolidadomar[[#Headers],[15]],tabela_registros[REGISTRO],DADOS!$N$6,tabela_registros[TIPO],DADOS!$AJ$5,tabela_registros[CATEGORIA],reservaoutrosconsolidadomar[[#This Row],[ATUAL]])</f>
        <v>0</v>
      </c>
      <c r="T208" s="119" t="n">
        <f aca="false">SUMIFS(tabela_registros[VALOR],tabela_registros[MÊS],$AE$1,tabela_registros[DIA],reservaoutrosconsolidadomar[[#Headers],[16]],tabela_registros[REGISTRO],DADOS!$N$6,tabela_registros[TIPO],DADOS!$AJ$5,tabela_registros[CATEGORIA],reservaoutrosconsolidadomar[[#This Row],[ATUAL]])</f>
        <v>0</v>
      </c>
      <c r="U208" s="119" t="n">
        <f aca="false">SUMIFS(tabela_registros[VALOR],tabela_registros[MÊS],$AE$1,tabela_registros[DIA],reservaoutrosconsolidadomar[[#Headers],[17]],tabela_registros[REGISTRO],DADOS!$N$6,tabela_registros[TIPO],DADOS!$AJ$5,tabela_registros[CATEGORIA],reservaoutrosconsolidadomar[[#This Row],[ATUAL]])</f>
        <v>0</v>
      </c>
      <c r="V208" s="119" t="n">
        <f aca="false">SUMIFS(tabela_registros[VALOR],tabela_registros[MÊS],$AE$1,tabela_registros[DIA],reservaoutrosconsolidadomar[[#Headers],[18]],tabela_registros[REGISTRO],DADOS!$N$6,tabela_registros[TIPO],DADOS!$AJ$5,tabela_registros[CATEGORIA],reservaoutrosconsolidadomar[[#This Row],[ATUAL]])</f>
        <v>0</v>
      </c>
      <c r="W208" s="119" t="n">
        <f aca="false">SUMIFS(tabela_registros[VALOR],tabela_registros[MÊS],$AE$1,tabela_registros[DIA],reservaoutrosconsolidadomar[[#Headers],[19]],tabela_registros[REGISTRO],DADOS!$N$6,tabela_registros[TIPO],DADOS!$AJ$5,tabela_registros[CATEGORIA],reservaoutrosconsolidadomar[[#This Row],[ATUAL]])</f>
        <v>0</v>
      </c>
      <c r="X208" s="119" t="n">
        <f aca="false">SUMIFS(tabela_registros[VALOR],tabela_registros[MÊS],$AE$1,tabela_registros[DIA],reservaoutrosconsolidadomar[[#Headers],[20]],tabela_registros[REGISTRO],DADOS!$N$6,tabela_registros[TIPO],DADOS!$AJ$5,tabela_registros[CATEGORIA],reservaoutrosconsolidadomar[[#This Row],[ATUAL]])</f>
        <v>0</v>
      </c>
      <c r="Y208" s="119" t="n">
        <f aca="false">SUMIFS(tabela_registros[VALOR],tabela_registros[MÊS],$AE$1,tabela_registros[DIA],reservaoutrosconsolidadomar[[#Headers],[21]],tabela_registros[REGISTRO],DADOS!$N$6,tabela_registros[TIPO],DADOS!$AJ$5,tabela_registros[CATEGORIA],reservaoutrosconsolidadomar[[#This Row],[ATUAL]])</f>
        <v>0</v>
      </c>
      <c r="Z208" s="119" t="n">
        <f aca="false">SUMIFS(tabela_registros[VALOR],tabela_registros[MÊS],$AE$1,tabela_registros[DIA],reservaoutrosconsolidadomar[[#Headers],[22]],tabela_registros[REGISTRO],DADOS!$N$6,tabela_registros[TIPO],DADOS!$AJ$5,tabela_registros[CATEGORIA],reservaoutrosconsolidadomar[[#This Row],[ATUAL]])</f>
        <v>0</v>
      </c>
      <c r="AA208" s="119" t="n">
        <f aca="false">SUMIFS(tabela_registros[VALOR],tabela_registros[MÊS],$AE$1,tabela_registros[DIA],reservaoutrosconsolidadomar[[#Headers],[23]],tabela_registros[REGISTRO],DADOS!$N$6,tabela_registros[TIPO],DADOS!$AJ$5,tabela_registros[CATEGORIA],reservaoutrosconsolidadomar[[#This Row],[ATUAL]])</f>
        <v>0</v>
      </c>
      <c r="AB208" s="119" t="n">
        <f aca="false">SUMIFS(tabela_registros[VALOR],tabela_registros[MÊS],$AE$1,tabela_registros[DIA],reservaoutrosconsolidadomar[[#Headers],[24]],tabela_registros[REGISTRO],DADOS!$N$6,tabela_registros[TIPO],DADOS!$AJ$5,tabela_registros[CATEGORIA],reservaoutrosconsolidadomar[[#This Row],[ATUAL]])</f>
        <v>0</v>
      </c>
      <c r="AC208" s="119" t="n">
        <f aca="false">SUMIFS(tabela_registros[VALOR],tabela_registros[MÊS],$AE$1,tabela_registros[DIA],reservaoutrosconsolidadomar[[#Headers],[25]],tabela_registros[REGISTRO],DADOS!$N$6,tabela_registros[TIPO],DADOS!$AJ$5,tabela_registros[CATEGORIA],reservaoutrosconsolidadomar[[#This Row],[ATUAL]])</f>
        <v>0</v>
      </c>
      <c r="AD208" s="119" t="n">
        <f aca="false">SUMIFS(tabela_registros[VALOR],tabela_registros[MÊS],$AE$1,tabela_registros[DIA],reservaoutrosconsolidadomar[[#Headers],[26]],tabela_registros[REGISTRO],DADOS!$N$6,tabela_registros[TIPO],DADOS!$AJ$5,tabela_registros[CATEGORIA],reservaoutrosconsolidadomar[[#This Row],[ATUAL]])</f>
        <v>0</v>
      </c>
      <c r="AE208" s="119" t="n">
        <f aca="false">SUMIFS(tabela_registros[VALOR],tabela_registros[MÊS],$AE$1,tabela_registros[DIA],reservaoutrosconsolidadomar[[#Headers],[27]],tabela_registros[REGISTRO],DADOS!$N$6,tabela_registros[TIPO],DADOS!$AJ$5,tabela_registros[CATEGORIA],reservaoutrosconsolidadomar[[#This Row],[ATUAL]])</f>
        <v>0</v>
      </c>
      <c r="AF208" s="119" t="n">
        <f aca="false">SUMIFS(tabela_registros[VALOR],tabela_registros[MÊS],$AE$1,tabela_registros[DIA],reservaoutrosconsolidadomar[[#Headers],[28]],tabela_registros[REGISTRO],DADOS!$N$6,tabela_registros[TIPO],DADOS!$AJ$5,tabela_registros[CATEGORIA],reservaoutrosconsolidadomar[[#This Row],[ATUAL]])</f>
        <v>0</v>
      </c>
      <c r="AG208" s="119" t="n">
        <f aca="false">SUMIFS(tabela_registros[VALOR],tabela_registros[MÊS],$AE$1,tabela_registros[DIA],reservaoutrosconsolidadomar[[#Headers],[29]],tabela_registros[REGISTRO],DADOS!$N$6,tabela_registros[TIPO],DADOS!$AJ$5,tabela_registros[CATEGORIA],reservaoutrosconsolidadomar[[#This Row],[ATUAL]])</f>
        <v>0</v>
      </c>
      <c r="AH208" s="119" t="n">
        <f aca="false">SUMIFS(tabela_registros[VALOR],tabela_registros[MÊS],$AE$1,tabela_registros[DIA],reservaoutrosconsolidadomar[[#Headers],[30]],tabela_registros[REGISTRO],DADOS!$N$6,tabela_registros[TIPO],DADOS!$AJ$5,tabela_registros[CATEGORIA],reservaoutrosconsolidadomar[[#This Row],[ATUAL]])</f>
        <v>0</v>
      </c>
      <c r="AI208" s="217" t="n">
        <f aca="false">SUMIFS(tabela_registros[VALOR],tabela_registros[MÊS],$AE$1,tabela_registros[DIA],reservaoutrosconsolidadomar[[#Headers],[31]],tabela_registros[REGISTRO],DADOS!$N$6,tabela_registros[TIPO],DADOS!$AJ$5,tabela_registros[CATEGORIA],reservaoutrosconsolidadomar[[#This Row],[ATUAL]])</f>
        <v>0</v>
      </c>
      <c r="AJ208" s="149" t="n">
        <f aca="false">SUM(reservaoutrosconsolidadomar[[#This Row],[1]:[31]])</f>
        <v>0</v>
      </c>
      <c r="AK208" s="165"/>
    </row>
    <row r="209" customFormat="false" ht="19.5" hidden="false" customHeight="true" outlineLevel="0" collapsed="false">
      <c r="B209" s="143"/>
      <c r="C209" s="144" t="str">
        <f aca="false">DADOS!$AP$6</f>
        <v>📝 NOVA EMPRESA</v>
      </c>
      <c r="D209" s="145" t="str">
        <f aca="false">IF(reservaoutrosconsolidadomar[[#This Row],[TOTAL (R$)]]=0,"",IF(OR(reservaoutrosconsolidadomar[[#This Row],[TOTAL (R$)]]=LARGE($AJ$206:$AJ$213,1),reservaoutrosconsolidadomar[[#This Row],[TOTAL (R$)]]=LARGE($AJ$206:$AJ$213,2)),DADOS!$I$11,""))</f>
        <v/>
      </c>
      <c r="E209" s="148" t="n">
        <f aca="false">SUMIFS(tabela_registros[VALOR],tabela_registros[MÊS],$AE$1,tabela_registros[DIA],reservaoutrosconsolidadomar[[#Headers],[1]],tabela_registros[REGISTRO],DADOS!$N$6,tabela_registros[TIPO],DADOS!$AJ$5,tabela_registros[CATEGORIA],reservaoutrosconsolidadomar[[#This Row],[ATUAL]])</f>
        <v>0</v>
      </c>
      <c r="F209" s="119" t="n">
        <f aca="false">SUMIFS(tabela_registros[VALOR],tabela_registros[MÊS],$AE$1,tabela_registros[DIA],reservaoutrosconsolidadomar[[#Headers],[2]],tabela_registros[REGISTRO],DADOS!$N$6,tabela_registros[TIPO],DADOS!$AJ$5,tabela_registros[CATEGORIA],reservaoutrosconsolidadomar[[#This Row],[ATUAL]])</f>
        <v>0</v>
      </c>
      <c r="G209" s="119" t="n">
        <f aca="false">SUMIFS(tabela_registros[VALOR],tabela_registros[MÊS],$AE$1,tabela_registros[DIA],reservaoutrosconsolidadomar[[#Headers],[3]],tabela_registros[REGISTRO],DADOS!$N$6,tabela_registros[TIPO],DADOS!$AJ$5,tabela_registros[CATEGORIA],reservaoutrosconsolidadomar[[#This Row],[ATUAL]])</f>
        <v>0</v>
      </c>
      <c r="H209" s="119" t="n">
        <f aca="false">SUMIFS(tabela_registros[VALOR],tabela_registros[MÊS],$AE$1,tabela_registros[DIA],reservaoutrosconsolidadomar[[#Headers],[4]],tabela_registros[REGISTRO],DADOS!$N$6,tabela_registros[TIPO],DADOS!$AJ$5,tabela_registros[CATEGORIA],reservaoutrosconsolidadomar[[#This Row],[ATUAL]])</f>
        <v>0</v>
      </c>
      <c r="I209" s="119" t="n">
        <f aca="false">SUMIFS(tabela_registros[VALOR],tabela_registros[MÊS],$AE$1,tabela_registros[DIA],reservaoutrosconsolidadomar[[#Headers],[5]],tabela_registros[REGISTRO],DADOS!$N$6,tabela_registros[TIPO],DADOS!$AJ$5,tabela_registros[CATEGORIA],reservaoutrosconsolidadomar[[#This Row],[ATUAL]])</f>
        <v>0</v>
      </c>
      <c r="J209" s="119" t="n">
        <f aca="false">SUMIFS(tabela_registros[VALOR],tabela_registros[MÊS],$AE$1,tabela_registros[DIA],reservaoutrosconsolidadomar[[#Headers],[6]],tabela_registros[REGISTRO],DADOS!$N$6,tabela_registros[TIPO],DADOS!$AJ$5,tabela_registros[CATEGORIA],reservaoutrosconsolidadomar[[#This Row],[ATUAL]])</f>
        <v>0</v>
      </c>
      <c r="K209" s="119" t="n">
        <f aca="false">SUMIFS(tabela_registros[VALOR],tabela_registros[MÊS],$AE$1,tabela_registros[DIA],reservaoutrosconsolidadomar[[#Headers],[7]],tabela_registros[REGISTRO],DADOS!$N$6,tabela_registros[TIPO],DADOS!$AJ$5,tabela_registros[CATEGORIA],reservaoutrosconsolidadomar[[#This Row],[ATUAL]])</f>
        <v>0</v>
      </c>
      <c r="L209" s="119" t="n">
        <f aca="false">SUMIFS(tabela_registros[VALOR],tabela_registros[MÊS],$AE$1,tabela_registros[DIA],reservaoutrosconsolidadomar[[#Headers],[8]],tabela_registros[REGISTRO],DADOS!$N$6,tabela_registros[TIPO],DADOS!$AJ$5,tabela_registros[CATEGORIA],reservaoutrosconsolidadomar[[#This Row],[ATUAL]])</f>
        <v>0</v>
      </c>
      <c r="M209" s="119" t="n">
        <f aca="false">SUMIFS(tabela_registros[VALOR],tabela_registros[MÊS],$AE$1,tabela_registros[DIA],reservaoutrosconsolidadomar[[#Headers],[9]],tabela_registros[REGISTRO],DADOS!$N$6,tabela_registros[TIPO],DADOS!$AJ$5,tabela_registros[CATEGORIA],reservaoutrosconsolidadomar[[#This Row],[ATUAL]])</f>
        <v>0</v>
      </c>
      <c r="N209" s="119" t="n">
        <f aca="false">SUMIFS(tabela_registros[VALOR],tabela_registros[MÊS],$AE$1,tabela_registros[DIA],reservaoutrosconsolidadomar[[#Headers],[10]],tabela_registros[REGISTRO],DADOS!$N$6,tabela_registros[TIPO],DADOS!$AJ$5,tabela_registros[CATEGORIA],reservaoutrosconsolidadomar[[#This Row],[ATUAL]])</f>
        <v>0</v>
      </c>
      <c r="O209" s="119" t="n">
        <f aca="false">SUMIFS(tabela_registros[VALOR],tabela_registros[MÊS],$AE$1,tabela_registros[DIA],reservaoutrosconsolidadomar[[#Headers],[11]],tabela_registros[REGISTRO],DADOS!$N$6,tabela_registros[TIPO],DADOS!$AJ$5,tabela_registros[CATEGORIA],reservaoutrosconsolidadomar[[#This Row],[ATUAL]])</f>
        <v>0</v>
      </c>
      <c r="P209" s="119" t="n">
        <f aca="false">SUMIFS(tabela_registros[VALOR],tabela_registros[MÊS],$AE$1,tabela_registros[DIA],reservaoutrosconsolidadomar[[#Headers],[12]],tabela_registros[REGISTRO],DADOS!$N$6,tabela_registros[TIPO],DADOS!$AJ$5,tabela_registros[CATEGORIA],reservaoutrosconsolidadomar[[#This Row],[ATUAL]])</f>
        <v>0</v>
      </c>
      <c r="Q209" s="119" t="n">
        <f aca="false">SUMIFS(tabela_registros[VALOR],tabela_registros[MÊS],$AE$1,tabela_registros[DIA],reservaoutrosconsolidadomar[[#Headers],[13]],tabela_registros[REGISTRO],DADOS!$N$6,tabela_registros[TIPO],DADOS!$AJ$5,tabela_registros[CATEGORIA],reservaoutrosconsolidadomar[[#This Row],[ATUAL]])</f>
        <v>0</v>
      </c>
      <c r="R209" s="119" t="n">
        <f aca="false">SUMIFS(tabela_registros[VALOR],tabela_registros[MÊS],$AE$1,tabela_registros[DIA],reservaoutrosconsolidadomar[[#Headers],[14]],tabela_registros[REGISTRO],DADOS!$N$6,tabela_registros[TIPO],DADOS!$AJ$5,tabela_registros[CATEGORIA],reservaoutrosconsolidadomar[[#This Row],[ATUAL]])</f>
        <v>0</v>
      </c>
      <c r="S209" s="119" t="n">
        <f aca="false">SUMIFS(tabela_registros[VALOR],tabela_registros[MÊS],$AE$1,tabela_registros[DIA],reservaoutrosconsolidadomar[[#Headers],[15]],tabela_registros[REGISTRO],DADOS!$N$6,tabela_registros[TIPO],DADOS!$AJ$5,tabela_registros[CATEGORIA],reservaoutrosconsolidadomar[[#This Row],[ATUAL]])</f>
        <v>0</v>
      </c>
      <c r="T209" s="119" t="n">
        <f aca="false">SUMIFS(tabela_registros[VALOR],tabela_registros[MÊS],$AE$1,tabela_registros[DIA],reservaoutrosconsolidadomar[[#Headers],[16]],tabela_registros[REGISTRO],DADOS!$N$6,tabela_registros[TIPO],DADOS!$AJ$5,tabela_registros[CATEGORIA],reservaoutrosconsolidadomar[[#This Row],[ATUAL]])</f>
        <v>0</v>
      </c>
      <c r="U209" s="119" t="n">
        <f aca="false">SUMIFS(tabela_registros[VALOR],tabela_registros[MÊS],$AE$1,tabela_registros[DIA],reservaoutrosconsolidadomar[[#Headers],[17]],tabela_registros[REGISTRO],DADOS!$N$6,tabela_registros[TIPO],DADOS!$AJ$5,tabela_registros[CATEGORIA],reservaoutrosconsolidadomar[[#This Row],[ATUAL]])</f>
        <v>0</v>
      </c>
      <c r="V209" s="119" t="n">
        <f aca="false">SUMIFS(tabela_registros[VALOR],tabela_registros[MÊS],$AE$1,tabela_registros[DIA],reservaoutrosconsolidadomar[[#Headers],[18]],tabela_registros[REGISTRO],DADOS!$N$6,tabela_registros[TIPO],DADOS!$AJ$5,tabela_registros[CATEGORIA],reservaoutrosconsolidadomar[[#This Row],[ATUAL]])</f>
        <v>0</v>
      </c>
      <c r="W209" s="119" t="n">
        <f aca="false">SUMIFS(tabela_registros[VALOR],tabela_registros[MÊS],$AE$1,tabela_registros[DIA],reservaoutrosconsolidadomar[[#Headers],[19]],tabela_registros[REGISTRO],DADOS!$N$6,tabela_registros[TIPO],DADOS!$AJ$5,tabela_registros[CATEGORIA],reservaoutrosconsolidadomar[[#This Row],[ATUAL]])</f>
        <v>0</v>
      </c>
      <c r="X209" s="119" t="n">
        <f aca="false">SUMIFS(tabela_registros[VALOR],tabela_registros[MÊS],$AE$1,tabela_registros[DIA],reservaoutrosconsolidadomar[[#Headers],[20]],tabela_registros[REGISTRO],DADOS!$N$6,tabela_registros[TIPO],DADOS!$AJ$5,tabela_registros[CATEGORIA],reservaoutrosconsolidadomar[[#This Row],[ATUAL]])</f>
        <v>0</v>
      </c>
      <c r="Y209" s="119" t="n">
        <f aca="false">SUMIFS(tabela_registros[VALOR],tabela_registros[MÊS],$AE$1,tabela_registros[DIA],reservaoutrosconsolidadomar[[#Headers],[21]],tabela_registros[REGISTRO],DADOS!$N$6,tabela_registros[TIPO],DADOS!$AJ$5,tabela_registros[CATEGORIA],reservaoutrosconsolidadomar[[#This Row],[ATUAL]])</f>
        <v>0</v>
      </c>
      <c r="Z209" s="119" t="n">
        <f aca="false">SUMIFS(tabela_registros[VALOR],tabela_registros[MÊS],$AE$1,tabela_registros[DIA],reservaoutrosconsolidadomar[[#Headers],[22]],tabela_registros[REGISTRO],DADOS!$N$6,tabela_registros[TIPO],DADOS!$AJ$5,tabela_registros[CATEGORIA],reservaoutrosconsolidadomar[[#This Row],[ATUAL]])</f>
        <v>0</v>
      </c>
      <c r="AA209" s="119" t="n">
        <f aca="false">SUMIFS(tabela_registros[VALOR],tabela_registros[MÊS],$AE$1,tabela_registros[DIA],reservaoutrosconsolidadomar[[#Headers],[23]],tabela_registros[REGISTRO],DADOS!$N$6,tabela_registros[TIPO],DADOS!$AJ$5,tabela_registros[CATEGORIA],reservaoutrosconsolidadomar[[#This Row],[ATUAL]])</f>
        <v>0</v>
      </c>
      <c r="AB209" s="119" t="n">
        <f aca="false">SUMIFS(tabela_registros[VALOR],tabela_registros[MÊS],$AE$1,tabela_registros[DIA],reservaoutrosconsolidadomar[[#Headers],[24]],tabela_registros[REGISTRO],DADOS!$N$6,tabela_registros[TIPO],DADOS!$AJ$5,tabela_registros[CATEGORIA],reservaoutrosconsolidadomar[[#This Row],[ATUAL]])</f>
        <v>0</v>
      </c>
      <c r="AC209" s="119" t="n">
        <f aca="false">SUMIFS(tabela_registros[VALOR],tabela_registros[MÊS],$AE$1,tabela_registros[DIA],reservaoutrosconsolidadomar[[#Headers],[25]],tabela_registros[REGISTRO],DADOS!$N$6,tabela_registros[TIPO],DADOS!$AJ$5,tabela_registros[CATEGORIA],reservaoutrosconsolidadomar[[#This Row],[ATUAL]])</f>
        <v>0</v>
      </c>
      <c r="AD209" s="119" t="n">
        <f aca="false">SUMIFS(tabela_registros[VALOR],tabela_registros[MÊS],$AE$1,tabela_registros[DIA],reservaoutrosconsolidadomar[[#Headers],[26]],tabela_registros[REGISTRO],DADOS!$N$6,tabela_registros[TIPO],DADOS!$AJ$5,tabela_registros[CATEGORIA],reservaoutrosconsolidadomar[[#This Row],[ATUAL]])</f>
        <v>0</v>
      </c>
      <c r="AE209" s="119" t="n">
        <f aca="false">SUMIFS(tabela_registros[VALOR],tabela_registros[MÊS],$AE$1,tabela_registros[DIA],reservaoutrosconsolidadomar[[#Headers],[27]],tabela_registros[REGISTRO],DADOS!$N$6,tabela_registros[TIPO],DADOS!$AJ$5,tabela_registros[CATEGORIA],reservaoutrosconsolidadomar[[#This Row],[ATUAL]])</f>
        <v>0</v>
      </c>
      <c r="AF209" s="119" t="n">
        <f aca="false">SUMIFS(tabela_registros[VALOR],tabela_registros[MÊS],$AE$1,tabela_registros[DIA],reservaoutrosconsolidadomar[[#Headers],[28]],tabela_registros[REGISTRO],DADOS!$N$6,tabela_registros[TIPO],DADOS!$AJ$5,tabela_registros[CATEGORIA],reservaoutrosconsolidadomar[[#This Row],[ATUAL]])</f>
        <v>0</v>
      </c>
      <c r="AG209" s="119" t="n">
        <f aca="false">SUMIFS(tabela_registros[VALOR],tabela_registros[MÊS],$AE$1,tabela_registros[DIA],reservaoutrosconsolidadomar[[#Headers],[29]],tabela_registros[REGISTRO],DADOS!$N$6,tabela_registros[TIPO],DADOS!$AJ$5,tabela_registros[CATEGORIA],reservaoutrosconsolidadomar[[#This Row],[ATUAL]])</f>
        <v>0</v>
      </c>
      <c r="AH209" s="119" t="n">
        <f aca="false">SUMIFS(tabela_registros[VALOR],tabela_registros[MÊS],$AE$1,tabela_registros[DIA],reservaoutrosconsolidadomar[[#Headers],[30]],tabela_registros[REGISTRO],DADOS!$N$6,tabela_registros[TIPO],DADOS!$AJ$5,tabela_registros[CATEGORIA],reservaoutrosconsolidadomar[[#This Row],[ATUAL]])</f>
        <v>0</v>
      </c>
      <c r="AI209" s="217" t="n">
        <f aca="false">SUMIFS(tabela_registros[VALOR],tabela_registros[MÊS],$AE$1,tabela_registros[DIA],reservaoutrosconsolidadomar[[#Headers],[31]],tabela_registros[REGISTRO],DADOS!$N$6,tabela_registros[TIPO],DADOS!$AJ$5,tabela_registros[CATEGORIA],reservaoutrosconsolidadomar[[#This Row],[ATUAL]])</f>
        <v>0</v>
      </c>
      <c r="AJ209" s="149" t="n">
        <f aca="false">SUM(reservaoutrosconsolidadomar[[#This Row],[1]:[31]])</f>
        <v>0</v>
      </c>
      <c r="AK209" s="165"/>
    </row>
    <row r="210" customFormat="false" ht="19.5" hidden="false" customHeight="true" outlineLevel="0" collapsed="false">
      <c r="B210" s="143"/>
      <c r="C210" s="144" t="str">
        <f aca="false">DADOS!$AP$7</f>
        <v>📝 PEER TO COMPANY</v>
      </c>
      <c r="D210" s="145" t="str">
        <f aca="false">IF(reservaoutrosconsolidadomar[[#This Row],[TOTAL (R$)]]=0,"",IF(OR(reservaoutrosconsolidadomar[[#This Row],[TOTAL (R$)]]=LARGE($AJ$206:$AJ$213,1),reservaoutrosconsolidadomar[[#This Row],[TOTAL (R$)]]=LARGE($AJ$206:$AJ$213,2)),DADOS!$I$11,""))</f>
        <v/>
      </c>
      <c r="E210" s="148" t="n">
        <f aca="false">SUMIFS(tabela_registros[VALOR],tabela_registros[MÊS],$AE$1,tabela_registros[DIA],reservaoutrosconsolidadomar[[#Headers],[1]],tabela_registros[REGISTRO],DADOS!$N$6,tabela_registros[TIPO],DADOS!$AJ$5,tabela_registros[CATEGORIA],reservaoutrosconsolidadomar[[#This Row],[ATUAL]])</f>
        <v>0</v>
      </c>
      <c r="F210" s="119" t="n">
        <f aca="false">SUMIFS(tabela_registros[VALOR],tabela_registros[MÊS],$AE$1,tabela_registros[DIA],reservaoutrosconsolidadomar[[#Headers],[2]],tabela_registros[REGISTRO],DADOS!$N$6,tabela_registros[TIPO],DADOS!$AJ$5,tabela_registros[CATEGORIA],reservaoutrosconsolidadomar[[#This Row],[ATUAL]])</f>
        <v>0</v>
      </c>
      <c r="G210" s="119" t="n">
        <f aca="false">SUMIFS(tabela_registros[VALOR],tabela_registros[MÊS],$AE$1,tabela_registros[DIA],reservaoutrosconsolidadomar[[#Headers],[3]],tabela_registros[REGISTRO],DADOS!$N$6,tabela_registros[TIPO],DADOS!$AJ$5,tabela_registros[CATEGORIA],reservaoutrosconsolidadomar[[#This Row],[ATUAL]])</f>
        <v>0</v>
      </c>
      <c r="H210" s="119" t="n">
        <f aca="false">SUMIFS(tabela_registros[VALOR],tabela_registros[MÊS],$AE$1,tabela_registros[DIA],reservaoutrosconsolidadomar[[#Headers],[4]],tabela_registros[REGISTRO],DADOS!$N$6,tabela_registros[TIPO],DADOS!$AJ$5,tabela_registros[CATEGORIA],reservaoutrosconsolidadomar[[#This Row],[ATUAL]])</f>
        <v>0</v>
      </c>
      <c r="I210" s="119" t="n">
        <f aca="false">SUMIFS(tabela_registros[VALOR],tabela_registros[MÊS],$AE$1,tabela_registros[DIA],reservaoutrosconsolidadomar[[#Headers],[5]],tabela_registros[REGISTRO],DADOS!$N$6,tabela_registros[TIPO],DADOS!$AJ$5,tabela_registros[CATEGORIA],reservaoutrosconsolidadomar[[#This Row],[ATUAL]])</f>
        <v>0</v>
      </c>
      <c r="J210" s="119" t="n">
        <f aca="false">SUMIFS(tabela_registros[VALOR],tabela_registros[MÊS],$AE$1,tabela_registros[DIA],reservaoutrosconsolidadomar[[#Headers],[6]],tabela_registros[REGISTRO],DADOS!$N$6,tabela_registros[TIPO],DADOS!$AJ$5,tabela_registros[CATEGORIA],reservaoutrosconsolidadomar[[#This Row],[ATUAL]])</f>
        <v>0</v>
      </c>
      <c r="K210" s="119" t="n">
        <f aca="false">SUMIFS(tabela_registros[VALOR],tabela_registros[MÊS],$AE$1,tabela_registros[DIA],reservaoutrosconsolidadomar[[#Headers],[7]],tabela_registros[REGISTRO],DADOS!$N$6,tabela_registros[TIPO],DADOS!$AJ$5,tabela_registros[CATEGORIA],reservaoutrosconsolidadomar[[#This Row],[ATUAL]])</f>
        <v>0</v>
      </c>
      <c r="L210" s="119" t="n">
        <f aca="false">SUMIFS(tabela_registros[VALOR],tabela_registros[MÊS],$AE$1,tabela_registros[DIA],reservaoutrosconsolidadomar[[#Headers],[8]],tabela_registros[REGISTRO],DADOS!$N$6,tabela_registros[TIPO],DADOS!$AJ$5,tabela_registros[CATEGORIA],reservaoutrosconsolidadomar[[#This Row],[ATUAL]])</f>
        <v>0</v>
      </c>
      <c r="M210" s="119" t="n">
        <f aca="false">SUMIFS(tabela_registros[VALOR],tabela_registros[MÊS],$AE$1,tabela_registros[DIA],reservaoutrosconsolidadomar[[#Headers],[9]],tabela_registros[REGISTRO],DADOS!$N$6,tabela_registros[TIPO],DADOS!$AJ$5,tabela_registros[CATEGORIA],reservaoutrosconsolidadomar[[#This Row],[ATUAL]])</f>
        <v>0</v>
      </c>
      <c r="N210" s="119" t="n">
        <f aca="false">SUMIFS(tabela_registros[VALOR],tabela_registros[MÊS],$AE$1,tabela_registros[DIA],reservaoutrosconsolidadomar[[#Headers],[10]],tabela_registros[REGISTRO],DADOS!$N$6,tabela_registros[TIPO],DADOS!$AJ$5,tabela_registros[CATEGORIA],reservaoutrosconsolidadomar[[#This Row],[ATUAL]])</f>
        <v>0</v>
      </c>
      <c r="O210" s="119" t="n">
        <f aca="false">SUMIFS(tabela_registros[VALOR],tabela_registros[MÊS],$AE$1,tabela_registros[DIA],reservaoutrosconsolidadomar[[#Headers],[11]],tabela_registros[REGISTRO],DADOS!$N$6,tabela_registros[TIPO],DADOS!$AJ$5,tabela_registros[CATEGORIA],reservaoutrosconsolidadomar[[#This Row],[ATUAL]])</f>
        <v>0</v>
      </c>
      <c r="P210" s="119" t="n">
        <f aca="false">SUMIFS(tabela_registros[VALOR],tabela_registros[MÊS],$AE$1,tabela_registros[DIA],reservaoutrosconsolidadomar[[#Headers],[12]],tabela_registros[REGISTRO],DADOS!$N$6,tabela_registros[TIPO],DADOS!$AJ$5,tabela_registros[CATEGORIA],reservaoutrosconsolidadomar[[#This Row],[ATUAL]])</f>
        <v>0</v>
      </c>
      <c r="Q210" s="119" t="n">
        <f aca="false">SUMIFS(tabela_registros[VALOR],tabela_registros[MÊS],$AE$1,tabela_registros[DIA],reservaoutrosconsolidadomar[[#Headers],[13]],tabela_registros[REGISTRO],DADOS!$N$6,tabela_registros[TIPO],DADOS!$AJ$5,tabela_registros[CATEGORIA],reservaoutrosconsolidadomar[[#This Row],[ATUAL]])</f>
        <v>0</v>
      </c>
      <c r="R210" s="119" t="n">
        <f aca="false">SUMIFS(tabela_registros[VALOR],tabela_registros[MÊS],$AE$1,tabela_registros[DIA],reservaoutrosconsolidadomar[[#Headers],[14]],tabela_registros[REGISTRO],DADOS!$N$6,tabela_registros[TIPO],DADOS!$AJ$5,tabela_registros[CATEGORIA],reservaoutrosconsolidadomar[[#This Row],[ATUAL]])</f>
        <v>0</v>
      </c>
      <c r="S210" s="119" t="n">
        <f aca="false">SUMIFS(tabela_registros[VALOR],tabela_registros[MÊS],$AE$1,tabela_registros[DIA],reservaoutrosconsolidadomar[[#Headers],[15]],tabela_registros[REGISTRO],DADOS!$N$6,tabela_registros[TIPO],DADOS!$AJ$5,tabela_registros[CATEGORIA],reservaoutrosconsolidadomar[[#This Row],[ATUAL]])</f>
        <v>0</v>
      </c>
      <c r="T210" s="119" t="n">
        <f aca="false">SUMIFS(tabela_registros[VALOR],tabela_registros[MÊS],$AE$1,tabela_registros[DIA],reservaoutrosconsolidadomar[[#Headers],[16]],tabela_registros[REGISTRO],DADOS!$N$6,tabela_registros[TIPO],DADOS!$AJ$5,tabela_registros[CATEGORIA],reservaoutrosconsolidadomar[[#This Row],[ATUAL]])</f>
        <v>0</v>
      </c>
      <c r="U210" s="119" t="n">
        <f aca="false">SUMIFS(tabela_registros[VALOR],tabela_registros[MÊS],$AE$1,tabela_registros[DIA],reservaoutrosconsolidadomar[[#Headers],[17]],tabela_registros[REGISTRO],DADOS!$N$6,tabela_registros[TIPO],DADOS!$AJ$5,tabela_registros[CATEGORIA],reservaoutrosconsolidadomar[[#This Row],[ATUAL]])</f>
        <v>0</v>
      </c>
      <c r="V210" s="119" t="n">
        <f aca="false">SUMIFS(tabela_registros[VALOR],tabela_registros[MÊS],$AE$1,tabela_registros[DIA],reservaoutrosconsolidadomar[[#Headers],[18]],tabela_registros[REGISTRO],DADOS!$N$6,tabela_registros[TIPO],DADOS!$AJ$5,tabela_registros[CATEGORIA],reservaoutrosconsolidadomar[[#This Row],[ATUAL]])</f>
        <v>0</v>
      </c>
      <c r="W210" s="119" t="n">
        <f aca="false">SUMIFS(tabela_registros[VALOR],tabela_registros[MÊS],$AE$1,tabela_registros[DIA],reservaoutrosconsolidadomar[[#Headers],[19]],tabela_registros[REGISTRO],DADOS!$N$6,tabela_registros[TIPO],DADOS!$AJ$5,tabela_registros[CATEGORIA],reservaoutrosconsolidadomar[[#This Row],[ATUAL]])</f>
        <v>0</v>
      </c>
      <c r="X210" s="119" t="n">
        <f aca="false">SUMIFS(tabela_registros[VALOR],tabela_registros[MÊS],$AE$1,tabela_registros[DIA],reservaoutrosconsolidadomar[[#Headers],[20]],tabela_registros[REGISTRO],DADOS!$N$6,tabela_registros[TIPO],DADOS!$AJ$5,tabela_registros[CATEGORIA],reservaoutrosconsolidadomar[[#This Row],[ATUAL]])</f>
        <v>0</v>
      </c>
      <c r="Y210" s="119" t="n">
        <f aca="false">SUMIFS(tabela_registros[VALOR],tabela_registros[MÊS],$AE$1,tabela_registros[DIA],reservaoutrosconsolidadomar[[#Headers],[21]],tabela_registros[REGISTRO],DADOS!$N$6,tabela_registros[TIPO],DADOS!$AJ$5,tabela_registros[CATEGORIA],reservaoutrosconsolidadomar[[#This Row],[ATUAL]])</f>
        <v>0</v>
      </c>
      <c r="Z210" s="119" t="n">
        <f aca="false">SUMIFS(tabela_registros[VALOR],tabela_registros[MÊS],$AE$1,tabela_registros[DIA],reservaoutrosconsolidadomar[[#Headers],[22]],tabela_registros[REGISTRO],DADOS!$N$6,tabela_registros[TIPO],DADOS!$AJ$5,tabela_registros[CATEGORIA],reservaoutrosconsolidadomar[[#This Row],[ATUAL]])</f>
        <v>0</v>
      </c>
      <c r="AA210" s="119" t="n">
        <f aca="false">SUMIFS(tabela_registros[VALOR],tabela_registros[MÊS],$AE$1,tabela_registros[DIA],reservaoutrosconsolidadomar[[#Headers],[23]],tabela_registros[REGISTRO],DADOS!$N$6,tabela_registros[TIPO],DADOS!$AJ$5,tabela_registros[CATEGORIA],reservaoutrosconsolidadomar[[#This Row],[ATUAL]])</f>
        <v>0</v>
      </c>
      <c r="AB210" s="119" t="n">
        <f aca="false">SUMIFS(tabela_registros[VALOR],tabela_registros[MÊS],$AE$1,tabela_registros[DIA],reservaoutrosconsolidadomar[[#Headers],[24]],tabela_registros[REGISTRO],DADOS!$N$6,tabela_registros[TIPO],DADOS!$AJ$5,tabela_registros[CATEGORIA],reservaoutrosconsolidadomar[[#This Row],[ATUAL]])</f>
        <v>0</v>
      </c>
      <c r="AC210" s="119" t="n">
        <f aca="false">SUMIFS(tabela_registros[VALOR],tabela_registros[MÊS],$AE$1,tabela_registros[DIA],reservaoutrosconsolidadomar[[#Headers],[25]],tabela_registros[REGISTRO],DADOS!$N$6,tabela_registros[TIPO],DADOS!$AJ$5,tabela_registros[CATEGORIA],reservaoutrosconsolidadomar[[#This Row],[ATUAL]])</f>
        <v>0</v>
      </c>
      <c r="AD210" s="119" t="n">
        <f aca="false">SUMIFS(tabela_registros[VALOR],tabela_registros[MÊS],$AE$1,tabela_registros[DIA],reservaoutrosconsolidadomar[[#Headers],[26]],tabela_registros[REGISTRO],DADOS!$N$6,tabela_registros[TIPO],DADOS!$AJ$5,tabela_registros[CATEGORIA],reservaoutrosconsolidadomar[[#This Row],[ATUAL]])</f>
        <v>0</v>
      </c>
      <c r="AE210" s="119" t="n">
        <f aca="false">SUMIFS(tabela_registros[VALOR],tabela_registros[MÊS],$AE$1,tabela_registros[DIA],reservaoutrosconsolidadomar[[#Headers],[27]],tabela_registros[REGISTRO],DADOS!$N$6,tabela_registros[TIPO],DADOS!$AJ$5,tabela_registros[CATEGORIA],reservaoutrosconsolidadomar[[#This Row],[ATUAL]])</f>
        <v>0</v>
      </c>
      <c r="AF210" s="119" t="n">
        <f aca="false">SUMIFS(tabela_registros[VALOR],tabela_registros[MÊS],$AE$1,tabela_registros[DIA],reservaoutrosconsolidadomar[[#Headers],[28]],tabela_registros[REGISTRO],DADOS!$N$6,tabela_registros[TIPO],DADOS!$AJ$5,tabela_registros[CATEGORIA],reservaoutrosconsolidadomar[[#This Row],[ATUAL]])</f>
        <v>0</v>
      </c>
      <c r="AG210" s="119" t="n">
        <f aca="false">SUMIFS(tabela_registros[VALOR],tabela_registros[MÊS],$AE$1,tabela_registros[DIA],reservaoutrosconsolidadomar[[#Headers],[29]],tabela_registros[REGISTRO],DADOS!$N$6,tabela_registros[TIPO],DADOS!$AJ$5,tabela_registros[CATEGORIA],reservaoutrosconsolidadomar[[#This Row],[ATUAL]])</f>
        <v>0</v>
      </c>
      <c r="AH210" s="119" t="n">
        <f aca="false">SUMIFS(tabela_registros[VALOR],tabela_registros[MÊS],$AE$1,tabela_registros[DIA],reservaoutrosconsolidadomar[[#Headers],[30]],tabela_registros[REGISTRO],DADOS!$N$6,tabela_registros[TIPO],DADOS!$AJ$5,tabela_registros[CATEGORIA],reservaoutrosconsolidadomar[[#This Row],[ATUAL]])</f>
        <v>0</v>
      </c>
      <c r="AI210" s="217" t="n">
        <f aca="false">SUMIFS(tabela_registros[VALOR],tabela_registros[MÊS],$AE$1,tabela_registros[DIA],reservaoutrosconsolidadomar[[#Headers],[31]],tabela_registros[REGISTRO],DADOS!$N$6,tabela_registros[TIPO],DADOS!$AJ$5,tabela_registros[CATEGORIA],reservaoutrosconsolidadomar[[#This Row],[ATUAL]])</f>
        <v>0</v>
      </c>
      <c r="AJ210" s="149" t="n">
        <f aca="false">SUM(reservaoutrosconsolidadomar[[#This Row],[1]:[31]])</f>
        <v>0</v>
      </c>
      <c r="AK210" s="165"/>
    </row>
    <row r="211" customFormat="false" ht="19.5" hidden="false" customHeight="true" outlineLevel="0" collapsed="false">
      <c r="B211" s="143"/>
      <c r="C211" s="144" t="str">
        <f aca="false">DADOS!$AP$8</f>
        <v>📝 PEER TO PEER</v>
      </c>
      <c r="D211" s="145" t="str">
        <f aca="false">IF(reservaoutrosconsolidadomar[[#This Row],[TOTAL (R$)]]=0,"",IF(OR(reservaoutrosconsolidadomar[[#This Row],[TOTAL (R$)]]=LARGE($AJ$206:$AJ$213,1),reservaoutrosconsolidadomar[[#This Row],[TOTAL (R$)]]=LARGE($AJ$206:$AJ$213,2)),DADOS!$I$11,""))</f>
        <v/>
      </c>
      <c r="E211" s="148" t="n">
        <f aca="false">SUMIFS(tabela_registros[VALOR],tabela_registros[MÊS],$AE$1,tabela_registros[DIA],reservaoutrosconsolidadomar[[#Headers],[1]],tabela_registros[REGISTRO],DADOS!$N$6,tabela_registros[TIPO],DADOS!$AJ$5,tabela_registros[CATEGORIA],reservaoutrosconsolidadomar[[#This Row],[ATUAL]])</f>
        <v>0</v>
      </c>
      <c r="F211" s="119" t="n">
        <f aca="false">SUMIFS(tabela_registros[VALOR],tabela_registros[MÊS],$AE$1,tabela_registros[DIA],reservaoutrosconsolidadomar[[#Headers],[2]],tabela_registros[REGISTRO],DADOS!$N$6,tabela_registros[TIPO],DADOS!$AJ$5,tabela_registros[CATEGORIA],reservaoutrosconsolidadomar[[#This Row],[ATUAL]])</f>
        <v>0</v>
      </c>
      <c r="G211" s="119" t="n">
        <f aca="false">SUMIFS(tabela_registros[VALOR],tabela_registros[MÊS],$AE$1,tabela_registros[DIA],reservaoutrosconsolidadomar[[#Headers],[3]],tabela_registros[REGISTRO],DADOS!$N$6,tabela_registros[TIPO],DADOS!$AJ$5,tabela_registros[CATEGORIA],reservaoutrosconsolidadomar[[#This Row],[ATUAL]])</f>
        <v>0</v>
      </c>
      <c r="H211" s="119" t="n">
        <f aca="false">SUMIFS(tabela_registros[VALOR],tabela_registros[MÊS],$AE$1,tabela_registros[DIA],reservaoutrosconsolidadomar[[#Headers],[4]],tabela_registros[REGISTRO],DADOS!$N$6,tabela_registros[TIPO],DADOS!$AJ$5,tabela_registros[CATEGORIA],reservaoutrosconsolidadomar[[#This Row],[ATUAL]])</f>
        <v>0</v>
      </c>
      <c r="I211" s="119" t="n">
        <f aca="false">SUMIFS(tabela_registros[VALOR],tabela_registros[MÊS],$AE$1,tabela_registros[DIA],reservaoutrosconsolidadomar[[#Headers],[5]],tabela_registros[REGISTRO],DADOS!$N$6,tabela_registros[TIPO],DADOS!$AJ$5,tabela_registros[CATEGORIA],reservaoutrosconsolidadomar[[#This Row],[ATUAL]])</f>
        <v>0</v>
      </c>
      <c r="J211" s="119" t="n">
        <f aca="false">SUMIFS(tabela_registros[VALOR],tabela_registros[MÊS],$AE$1,tabela_registros[DIA],reservaoutrosconsolidadomar[[#Headers],[6]],tabela_registros[REGISTRO],DADOS!$N$6,tabela_registros[TIPO],DADOS!$AJ$5,tabela_registros[CATEGORIA],reservaoutrosconsolidadomar[[#This Row],[ATUAL]])</f>
        <v>0</v>
      </c>
      <c r="K211" s="119" t="n">
        <f aca="false">SUMIFS(tabela_registros[VALOR],tabela_registros[MÊS],$AE$1,tabela_registros[DIA],reservaoutrosconsolidadomar[[#Headers],[7]],tabela_registros[REGISTRO],DADOS!$N$6,tabela_registros[TIPO],DADOS!$AJ$5,tabela_registros[CATEGORIA],reservaoutrosconsolidadomar[[#This Row],[ATUAL]])</f>
        <v>0</v>
      </c>
      <c r="L211" s="119" t="n">
        <f aca="false">SUMIFS(tabela_registros[VALOR],tabela_registros[MÊS],$AE$1,tabela_registros[DIA],reservaoutrosconsolidadomar[[#Headers],[8]],tabela_registros[REGISTRO],DADOS!$N$6,tabela_registros[TIPO],DADOS!$AJ$5,tabela_registros[CATEGORIA],reservaoutrosconsolidadomar[[#This Row],[ATUAL]])</f>
        <v>0</v>
      </c>
      <c r="M211" s="119" t="n">
        <f aca="false">SUMIFS(tabela_registros[VALOR],tabela_registros[MÊS],$AE$1,tabela_registros[DIA],reservaoutrosconsolidadomar[[#Headers],[9]],tabela_registros[REGISTRO],DADOS!$N$6,tabela_registros[TIPO],DADOS!$AJ$5,tabela_registros[CATEGORIA],reservaoutrosconsolidadomar[[#This Row],[ATUAL]])</f>
        <v>0</v>
      </c>
      <c r="N211" s="119" t="n">
        <f aca="false">SUMIFS(tabela_registros[VALOR],tabela_registros[MÊS],$AE$1,tabela_registros[DIA],reservaoutrosconsolidadomar[[#Headers],[10]],tabela_registros[REGISTRO],DADOS!$N$6,tabela_registros[TIPO],DADOS!$AJ$5,tabela_registros[CATEGORIA],reservaoutrosconsolidadomar[[#This Row],[ATUAL]])</f>
        <v>0</v>
      </c>
      <c r="O211" s="119" t="n">
        <f aca="false">SUMIFS(tabela_registros[VALOR],tabela_registros[MÊS],$AE$1,tabela_registros[DIA],reservaoutrosconsolidadomar[[#Headers],[11]],tabela_registros[REGISTRO],DADOS!$N$6,tabela_registros[TIPO],DADOS!$AJ$5,tabela_registros[CATEGORIA],reservaoutrosconsolidadomar[[#This Row],[ATUAL]])</f>
        <v>0</v>
      </c>
      <c r="P211" s="119" t="n">
        <f aca="false">SUMIFS(tabela_registros[VALOR],tabela_registros[MÊS],$AE$1,tabela_registros[DIA],reservaoutrosconsolidadomar[[#Headers],[12]],tabela_registros[REGISTRO],DADOS!$N$6,tabela_registros[TIPO],DADOS!$AJ$5,tabela_registros[CATEGORIA],reservaoutrosconsolidadomar[[#This Row],[ATUAL]])</f>
        <v>0</v>
      </c>
      <c r="Q211" s="119" t="n">
        <f aca="false">SUMIFS(tabela_registros[VALOR],tabela_registros[MÊS],$AE$1,tabela_registros[DIA],reservaoutrosconsolidadomar[[#Headers],[13]],tabela_registros[REGISTRO],DADOS!$N$6,tabela_registros[TIPO],DADOS!$AJ$5,tabela_registros[CATEGORIA],reservaoutrosconsolidadomar[[#This Row],[ATUAL]])</f>
        <v>0</v>
      </c>
      <c r="R211" s="119" t="n">
        <f aca="false">SUMIFS(tabela_registros[VALOR],tabela_registros[MÊS],$AE$1,tabela_registros[DIA],reservaoutrosconsolidadomar[[#Headers],[14]],tabela_registros[REGISTRO],DADOS!$N$6,tabela_registros[TIPO],DADOS!$AJ$5,tabela_registros[CATEGORIA],reservaoutrosconsolidadomar[[#This Row],[ATUAL]])</f>
        <v>0</v>
      </c>
      <c r="S211" s="119" t="n">
        <f aca="false">SUMIFS(tabela_registros[VALOR],tabela_registros[MÊS],$AE$1,tabela_registros[DIA],reservaoutrosconsolidadomar[[#Headers],[15]],tabela_registros[REGISTRO],DADOS!$N$6,tabela_registros[TIPO],DADOS!$AJ$5,tabela_registros[CATEGORIA],reservaoutrosconsolidadomar[[#This Row],[ATUAL]])</f>
        <v>0</v>
      </c>
      <c r="T211" s="119" t="n">
        <f aca="false">SUMIFS(tabela_registros[VALOR],tabela_registros[MÊS],$AE$1,tabela_registros[DIA],reservaoutrosconsolidadomar[[#Headers],[16]],tabela_registros[REGISTRO],DADOS!$N$6,tabela_registros[TIPO],DADOS!$AJ$5,tabela_registros[CATEGORIA],reservaoutrosconsolidadomar[[#This Row],[ATUAL]])</f>
        <v>0</v>
      </c>
      <c r="U211" s="119" t="n">
        <f aca="false">SUMIFS(tabela_registros[VALOR],tabela_registros[MÊS],$AE$1,tabela_registros[DIA],reservaoutrosconsolidadomar[[#Headers],[17]],tabela_registros[REGISTRO],DADOS!$N$6,tabela_registros[TIPO],DADOS!$AJ$5,tabela_registros[CATEGORIA],reservaoutrosconsolidadomar[[#This Row],[ATUAL]])</f>
        <v>0</v>
      </c>
      <c r="V211" s="119" t="n">
        <f aca="false">SUMIFS(tabela_registros[VALOR],tabela_registros[MÊS],$AE$1,tabela_registros[DIA],reservaoutrosconsolidadomar[[#Headers],[18]],tabela_registros[REGISTRO],DADOS!$N$6,tabela_registros[TIPO],DADOS!$AJ$5,tabela_registros[CATEGORIA],reservaoutrosconsolidadomar[[#This Row],[ATUAL]])</f>
        <v>0</v>
      </c>
      <c r="W211" s="119" t="n">
        <f aca="false">SUMIFS(tabela_registros[VALOR],tabela_registros[MÊS],$AE$1,tabela_registros[DIA],reservaoutrosconsolidadomar[[#Headers],[19]],tabela_registros[REGISTRO],DADOS!$N$6,tabela_registros[TIPO],DADOS!$AJ$5,tabela_registros[CATEGORIA],reservaoutrosconsolidadomar[[#This Row],[ATUAL]])</f>
        <v>0</v>
      </c>
      <c r="X211" s="119" t="n">
        <f aca="false">SUMIFS(tabela_registros[VALOR],tabela_registros[MÊS],$AE$1,tabela_registros[DIA],reservaoutrosconsolidadomar[[#Headers],[20]],tabela_registros[REGISTRO],DADOS!$N$6,tabela_registros[TIPO],DADOS!$AJ$5,tabela_registros[CATEGORIA],reservaoutrosconsolidadomar[[#This Row],[ATUAL]])</f>
        <v>0</v>
      </c>
      <c r="Y211" s="119" t="n">
        <f aca="false">SUMIFS(tabela_registros[VALOR],tabela_registros[MÊS],$AE$1,tabela_registros[DIA],reservaoutrosconsolidadomar[[#Headers],[21]],tabela_registros[REGISTRO],DADOS!$N$6,tabela_registros[TIPO],DADOS!$AJ$5,tabela_registros[CATEGORIA],reservaoutrosconsolidadomar[[#This Row],[ATUAL]])</f>
        <v>0</v>
      </c>
      <c r="Z211" s="119" t="n">
        <f aca="false">SUMIFS(tabela_registros[VALOR],tabela_registros[MÊS],$AE$1,tabela_registros[DIA],reservaoutrosconsolidadomar[[#Headers],[22]],tabela_registros[REGISTRO],DADOS!$N$6,tabela_registros[TIPO],DADOS!$AJ$5,tabela_registros[CATEGORIA],reservaoutrosconsolidadomar[[#This Row],[ATUAL]])</f>
        <v>0</v>
      </c>
      <c r="AA211" s="119" t="n">
        <f aca="false">SUMIFS(tabela_registros[VALOR],tabela_registros[MÊS],$AE$1,tabela_registros[DIA],reservaoutrosconsolidadomar[[#Headers],[23]],tabela_registros[REGISTRO],DADOS!$N$6,tabela_registros[TIPO],DADOS!$AJ$5,tabela_registros[CATEGORIA],reservaoutrosconsolidadomar[[#This Row],[ATUAL]])</f>
        <v>0</v>
      </c>
      <c r="AB211" s="119" t="n">
        <f aca="false">SUMIFS(tabela_registros[VALOR],tabela_registros[MÊS],$AE$1,tabela_registros[DIA],reservaoutrosconsolidadomar[[#Headers],[24]],tabela_registros[REGISTRO],DADOS!$N$6,tabela_registros[TIPO],DADOS!$AJ$5,tabela_registros[CATEGORIA],reservaoutrosconsolidadomar[[#This Row],[ATUAL]])</f>
        <v>0</v>
      </c>
      <c r="AC211" s="119" t="n">
        <f aca="false">SUMIFS(tabela_registros[VALOR],tabela_registros[MÊS],$AE$1,tabela_registros[DIA],reservaoutrosconsolidadomar[[#Headers],[25]],tabela_registros[REGISTRO],DADOS!$N$6,tabela_registros[TIPO],DADOS!$AJ$5,tabela_registros[CATEGORIA],reservaoutrosconsolidadomar[[#This Row],[ATUAL]])</f>
        <v>0</v>
      </c>
      <c r="AD211" s="119" t="n">
        <f aca="false">SUMIFS(tabela_registros[VALOR],tabela_registros[MÊS],$AE$1,tabela_registros[DIA],reservaoutrosconsolidadomar[[#Headers],[26]],tabela_registros[REGISTRO],DADOS!$N$6,tabela_registros[TIPO],DADOS!$AJ$5,tabela_registros[CATEGORIA],reservaoutrosconsolidadomar[[#This Row],[ATUAL]])</f>
        <v>0</v>
      </c>
      <c r="AE211" s="119" t="n">
        <f aca="false">SUMIFS(tabela_registros[VALOR],tabela_registros[MÊS],$AE$1,tabela_registros[DIA],reservaoutrosconsolidadomar[[#Headers],[27]],tabela_registros[REGISTRO],DADOS!$N$6,tabela_registros[TIPO],DADOS!$AJ$5,tabela_registros[CATEGORIA],reservaoutrosconsolidadomar[[#This Row],[ATUAL]])</f>
        <v>0</v>
      </c>
      <c r="AF211" s="119" t="n">
        <f aca="false">SUMIFS(tabela_registros[VALOR],tabela_registros[MÊS],$AE$1,tabela_registros[DIA],reservaoutrosconsolidadomar[[#Headers],[28]],tabela_registros[REGISTRO],DADOS!$N$6,tabela_registros[TIPO],DADOS!$AJ$5,tabela_registros[CATEGORIA],reservaoutrosconsolidadomar[[#This Row],[ATUAL]])</f>
        <v>0</v>
      </c>
      <c r="AG211" s="119" t="n">
        <f aca="false">SUMIFS(tabela_registros[VALOR],tabela_registros[MÊS],$AE$1,tabela_registros[DIA],reservaoutrosconsolidadomar[[#Headers],[29]],tabela_registros[REGISTRO],DADOS!$N$6,tabela_registros[TIPO],DADOS!$AJ$5,tabela_registros[CATEGORIA],reservaoutrosconsolidadomar[[#This Row],[ATUAL]])</f>
        <v>0</v>
      </c>
      <c r="AH211" s="119" t="n">
        <f aca="false">SUMIFS(tabela_registros[VALOR],tabela_registros[MÊS],$AE$1,tabela_registros[DIA],reservaoutrosconsolidadomar[[#Headers],[30]],tabela_registros[REGISTRO],DADOS!$N$6,tabela_registros[TIPO],DADOS!$AJ$5,tabela_registros[CATEGORIA],reservaoutrosconsolidadomar[[#This Row],[ATUAL]])</f>
        <v>0</v>
      </c>
      <c r="AI211" s="217" t="n">
        <f aca="false">SUMIFS(tabela_registros[VALOR],tabela_registros[MÊS],$AE$1,tabela_registros[DIA],reservaoutrosconsolidadomar[[#Headers],[31]],tabela_registros[REGISTRO],DADOS!$N$6,tabela_registros[TIPO],DADOS!$AJ$5,tabela_registros[CATEGORIA],reservaoutrosconsolidadomar[[#This Row],[ATUAL]])</f>
        <v>0</v>
      </c>
      <c r="AJ211" s="149" t="n">
        <f aca="false">SUM(reservaoutrosconsolidadomar[[#This Row],[1]:[31]])</f>
        <v>0</v>
      </c>
      <c r="AK211" s="165"/>
    </row>
    <row r="212" customFormat="false" ht="19.5" hidden="false" customHeight="true" outlineLevel="0" collapsed="false">
      <c r="B212" s="143"/>
      <c r="C212" s="144" t="str">
        <f aca="false">DADOS!$AP$9</f>
        <v>📝 PREVIDÊNCIA PRIVADA</v>
      </c>
      <c r="D212" s="145" t="str">
        <f aca="false">IF(reservaoutrosconsolidadomar[[#This Row],[TOTAL (R$)]]=0,"",IF(OR(reservaoutrosconsolidadomar[[#This Row],[TOTAL (R$)]]=LARGE($AJ$206:$AJ$213,1),reservaoutrosconsolidadomar[[#This Row],[TOTAL (R$)]]=LARGE($AJ$206:$AJ$213,2)),DADOS!$I$11,""))</f>
        <v/>
      </c>
      <c r="E212" s="148" t="n">
        <f aca="false">SUMIFS(tabela_registros[VALOR],tabela_registros[MÊS],$AE$1,tabela_registros[DIA],reservaoutrosconsolidadomar[[#Headers],[1]],tabela_registros[REGISTRO],DADOS!$N$6,tabela_registros[TIPO],DADOS!$AJ$5,tabela_registros[CATEGORIA],reservaoutrosconsolidadomar[[#This Row],[ATUAL]])</f>
        <v>0</v>
      </c>
      <c r="F212" s="119" t="n">
        <f aca="false">SUMIFS(tabela_registros[VALOR],tabela_registros[MÊS],$AE$1,tabela_registros[DIA],reservaoutrosconsolidadomar[[#Headers],[2]],tabela_registros[REGISTRO],DADOS!$N$6,tabela_registros[TIPO],DADOS!$AJ$5,tabela_registros[CATEGORIA],reservaoutrosconsolidadomar[[#This Row],[ATUAL]])</f>
        <v>0</v>
      </c>
      <c r="G212" s="119" t="n">
        <f aca="false">SUMIFS(tabela_registros[VALOR],tabela_registros[MÊS],$AE$1,tabela_registros[DIA],reservaoutrosconsolidadomar[[#Headers],[3]],tabela_registros[REGISTRO],DADOS!$N$6,tabela_registros[TIPO],DADOS!$AJ$5,tabela_registros[CATEGORIA],reservaoutrosconsolidadomar[[#This Row],[ATUAL]])</f>
        <v>0</v>
      </c>
      <c r="H212" s="119" t="n">
        <f aca="false">SUMIFS(tabela_registros[VALOR],tabela_registros[MÊS],$AE$1,tabela_registros[DIA],reservaoutrosconsolidadomar[[#Headers],[4]],tabela_registros[REGISTRO],DADOS!$N$6,tabela_registros[TIPO],DADOS!$AJ$5,tabela_registros[CATEGORIA],reservaoutrosconsolidadomar[[#This Row],[ATUAL]])</f>
        <v>0</v>
      </c>
      <c r="I212" s="119" t="n">
        <f aca="false">SUMIFS(tabela_registros[VALOR],tabela_registros[MÊS],$AE$1,tabela_registros[DIA],reservaoutrosconsolidadomar[[#Headers],[5]],tabela_registros[REGISTRO],DADOS!$N$6,tabela_registros[TIPO],DADOS!$AJ$5,tabela_registros[CATEGORIA],reservaoutrosconsolidadomar[[#This Row],[ATUAL]])</f>
        <v>0</v>
      </c>
      <c r="J212" s="119" t="n">
        <f aca="false">SUMIFS(tabela_registros[VALOR],tabela_registros[MÊS],$AE$1,tabela_registros[DIA],reservaoutrosconsolidadomar[[#Headers],[6]],tabela_registros[REGISTRO],DADOS!$N$6,tabela_registros[TIPO],DADOS!$AJ$5,tabela_registros[CATEGORIA],reservaoutrosconsolidadomar[[#This Row],[ATUAL]])</f>
        <v>0</v>
      </c>
      <c r="K212" s="119" t="n">
        <f aca="false">SUMIFS(tabela_registros[VALOR],tabela_registros[MÊS],$AE$1,tabela_registros[DIA],reservaoutrosconsolidadomar[[#Headers],[7]],tabela_registros[REGISTRO],DADOS!$N$6,tabela_registros[TIPO],DADOS!$AJ$5,tabela_registros[CATEGORIA],reservaoutrosconsolidadomar[[#This Row],[ATUAL]])</f>
        <v>0</v>
      </c>
      <c r="L212" s="119" t="n">
        <f aca="false">SUMIFS(tabela_registros[VALOR],tabela_registros[MÊS],$AE$1,tabela_registros[DIA],reservaoutrosconsolidadomar[[#Headers],[8]],tabela_registros[REGISTRO],DADOS!$N$6,tabela_registros[TIPO],DADOS!$AJ$5,tabela_registros[CATEGORIA],reservaoutrosconsolidadomar[[#This Row],[ATUAL]])</f>
        <v>0</v>
      </c>
      <c r="M212" s="119" t="n">
        <f aca="false">SUMIFS(tabela_registros[VALOR],tabela_registros[MÊS],$AE$1,tabela_registros[DIA],reservaoutrosconsolidadomar[[#Headers],[9]],tabela_registros[REGISTRO],DADOS!$N$6,tabela_registros[TIPO],DADOS!$AJ$5,tabela_registros[CATEGORIA],reservaoutrosconsolidadomar[[#This Row],[ATUAL]])</f>
        <v>0</v>
      </c>
      <c r="N212" s="119" t="n">
        <f aca="false">SUMIFS(tabela_registros[VALOR],tabela_registros[MÊS],$AE$1,tabela_registros[DIA],reservaoutrosconsolidadomar[[#Headers],[10]],tabela_registros[REGISTRO],DADOS!$N$6,tabela_registros[TIPO],DADOS!$AJ$5,tabela_registros[CATEGORIA],reservaoutrosconsolidadomar[[#This Row],[ATUAL]])</f>
        <v>0</v>
      </c>
      <c r="O212" s="119" t="n">
        <f aca="false">SUMIFS(tabela_registros[VALOR],tabela_registros[MÊS],$AE$1,tabela_registros[DIA],reservaoutrosconsolidadomar[[#Headers],[11]],tabela_registros[REGISTRO],DADOS!$N$6,tabela_registros[TIPO],DADOS!$AJ$5,tabela_registros[CATEGORIA],reservaoutrosconsolidadomar[[#This Row],[ATUAL]])</f>
        <v>0</v>
      </c>
      <c r="P212" s="119" t="n">
        <f aca="false">SUMIFS(tabela_registros[VALOR],tabela_registros[MÊS],$AE$1,tabela_registros[DIA],reservaoutrosconsolidadomar[[#Headers],[12]],tabela_registros[REGISTRO],DADOS!$N$6,tabela_registros[TIPO],DADOS!$AJ$5,tabela_registros[CATEGORIA],reservaoutrosconsolidadomar[[#This Row],[ATUAL]])</f>
        <v>0</v>
      </c>
      <c r="Q212" s="119" t="n">
        <f aca="false">SUMIFS(tabela_registros[VALOR],tabela_registros[MÊS],$AE$1,tabela_registros[DIA],reservaoutrosconsolidadomar[[#Headers],[13]],tabela_registros[REGISTRO],DADOS!$N$6,tabela_registros[TIPO],DADOS!$AJ$5,tabela_registros[CATEGORIA],reservaoutrosconsolidadomar[[#This Row],[ATUAL]])</f>
        <v>0</v>
      </c>
      <c r="R212" s="119" t="n">
        <f aca="false">SUMIFS(tabela_registros[VALOR],tabela_registros[MÊS],$AE$1,tabela_registros[DIA],reservaoutrosconsolidadomar[[#Headers],[14]],tabela_registros[REGISTRO],DADOS!$N$6,tabela_registros[TIPO],DADOS!$AJ$5,tabela_registros[CATEGORIA],reservaoutrosconsolidadomar[[#This Row],[ATUAL]])</f>
        <v>0</v>
      </c>
      <c r="S212" s="119" t="n">
        <f aca="false">SUMIFS(tabela_registros[VALOR],tabela_registros[MÊS],$AE$1,tabela_registros[DIA],reservaoutrosconsolidadomar[[#Headers],[15]],tabela_registros[REGISTRO],DADOS!$N$6,tabela_registros[TIPO],DADOS!$AJ$5,tabela_registros[CATEGORIA],reservaoutrosconsolidadomar[[#This Row],[ATUAL]])</f>
        <v>0</v>
      </c>
      <c r="T212" s="119" t="n">
        <f aca="false">SUMIFS(tabela_registros[VALOR],tabela_registros[MÊS],$AE$1,tabela_registros[DIA],reservaoutrosconsolidadomar[[#Headers],[16]],tabela_registros[REGISTRO],DADOS!$N$6,tabela_registros[TIPO],DADOS!$AJ$5,tabela_registros[CATEGORIA],reservaoutrosconsolidadomar[[#This Row],[ATUAL]])</f>
        <v>0</v>
      </c>
      <c r="U212" s="119" t="n">
        <f aca="false">SUMIFS(tabela_registros[VALOR],tabela_registros[MÊS],$AE$1,tabela_registros[DIA],reservaoutrosconsolidadomar[[#Headers],[17]],tabela_registros[REGISTRO],DADOS!$N$6,tabela_registros[TIPO],DADOS!$AJ$5,tabela_registros[CATEGORIA],reservaoutrosconsolidadomar[[#This Row],[ATUAL]])</f>
        <v>0</v>
      </c>
      <c r="V212" s="119" t="n">
        <f aca="false">SUMIFS(tabela_registros[VALOR],tabela_registros[MÊS],$AE$1,tabela_registros[DIA],reservaoutrosconsolidadomar[[#Headers],[18]],tabela_registros[REGISTRO],DADOS!$N$6,tabela_registros[TIPO],DADOS!$AJ$5,tabela_registros[CATEGORIA],reservaoutrosconsolidadomar[[#This Row],[ATUAL]])</f>
        <v>0</v>
      </c>
      <c r="W212" s="119" t="n">
        <f aca="false">SUMIFS(tabela_registros[VALOR],tabela_registros[MÊS],$AE$1,tabela_registros[DIA],reservaoutrosconsolidadomar[[#Headers],[19]],tabela_registros[REGISTRO],DADOS!$N$6,tabela_registros[TIPO],DADOS!$AJ$5,tabela_registros[CATEGORIA],reservaoutrosconsolidadomar[[#This Row],[ATUAL]])</f>
        <v>0</v>
      </c>
      <c r="X212" s="119" t="n">
        <f aca="false">SUMIFS(tabela_registros[VALOR],tabela_registros[MÊS],$AE$1,tabela_registros[DIA],reservaoutrosconsolidadomar[[#Headers],[20]],tabela_registros[REGISTRO],DADOS!$N$6,tabela_registros[TIPO],DADOS!$AJ$5,tabela_registros[CATEGORIA],reservaoutrosconsolidadomar[[#This Row],[ATUAL]])</f>
        <v>0</v>
      </c>
      <c r="Y212" s="119" t="n">
        <f aca="false">SUMIFS(tabela_registros[VALOR],tabela_registros[MÊS],$AE$1,tabela_registros[DIA],reservaoutrosconsolidadomar[[#Headers],[21]],tabela_registros[REGISTRO],DADOS!$N$6,tabela_registros[TIPO],DADOS!$AJ$5,tabela_registros[CATEGORIA],reservaoutrosconsolidadomar[[#This Row],[ATUAL]])</f>
        <v>0</v>
      </c>
      <c r="Z212" s="119" t="n">
        <f aca="false">SUMIFS(tabela_registros[VALOR],tabela_registros[MÊS],$AE$1,tabela_registros[DIA],reservaoutrosconsolidadomar[[#Headers],[22]],tabela_registros[REGISTRO],DADOS!$N$6,tabela_registros[TIPO],DADOS!$AJ$5,tabela_registros[CATEGORIA],reservaoutrosconsolidadomar[[#This Row],[ATUAL]])</f>
        <v>0</v>
      </c>
      <c r="AA212" s="119" t="n">
        <f aca="false">SUMIFS(tabela_registros[VALOR],tabela_registros[MÊS],$AE$1,tabela_registros[DIA],reservaoutrosconsolidadomar[[#Headers],[23]],tabela_registros[REGISTRO],DADOS!$N$6,tabela_registros[TIPO],DADOS!$AJ$5,tabela_registros[CATEGORIA],reservaoutrosconsolidadomar[[#This Row],[ATUAL]])</f>
        <v>0</v>
      </c>
      <c r="AB212" s="119" t="n">
        <f aca="false">SUMIFS(tabela_registros[VALOR],tabela_registros[MÊS],$AE$1,tabela_registros[DIA],reservaoutrosconsolidadomar[[#Headers],[24]],tabela_registros[REGISTRO],DADOS!$N$6,tabela_registros[TIPO],DADOS!$AJ$5,tabela_registros[CATEGORIA],reservaoutrosconsolidadomar[[#This Row],[ATUAL]])</f>
        <v>0</v>
      </c>
      <c r="AC212" s="119" t="n">
        <f aca="false">SUMIFS(tabela_registros[VALOR],tabela_registros[MÊS],$AE$1,tabela_registros[DIA],reservaoutrosconsolidadomar[[#Headers],[25]],tabela_registros[REGISTRO],DADOS!$N$6,tabela_registros[TIPO],DADOS!$AJ$5,tabela_registros[CATEGORIA],reservaoutrosconsolidadomar[[#This Row],[ATUAL]])</f>
        <v>0</v>
      </c>
      <c r="AD212" s="119" t="n">
        <f aca="false">SUMIFS(tabela_registros[VALOR],tabela_registros[MÊS],$AE$1,tabela_registros[DIA],reservaoutrosconsolidadomar[[#Headers],[26]],tabela_registros[REGISTRO],DADOS!$N$6,tabela_registros[TIPO],DADOS!$AJ$5,tabela_registros[CATEGORIA],reservaoutrosconsolidadomar[[#This Row],[ATUAL]])</f>
        <v>0</v>
      </c>
      <c r="AE212" s="119" t="n">
        <f aca="false">SUMIFS(tabela_registros[VALOR],tabela_registros[MÊS],$AE$1,tabela_registros[DIA],reservaoutrosconsolidadomar[[#Headers],[27]],tabela_registros[REGISTRO],DADOS!$N$6,tabela_registros[TIPO],DADOS!$AJ$5,tabela_registros[CATEGORIA],reservaoutrosconsolidadomar[[#This Row],[ATUAL]])</f>
        <v>0</v>
      </c>
      <c r="AF212" s="119" t="n">
        <f aca="false">SUMIFS(tabela_registros[VALOR],tabela_registros[MÊS],$AE$1,tabela_registros[DIA],reservaoutrosconsolidadomar[[#Headers],[28]],tabela_registros[REGISTRO],DADOS!$N$6,tabela_registros[TIPO],DADOS!$AJ$5,tabela_registros[CATEGORIA],reservaoutrosconsolidadomar[[#This Row],[ATUAL]])</f>
        <v>0</v>
      </c>
      <c r="AG212" s="119" t="n">
        <f aca="false">SUMIFS(tabela_registros[VALOR],tabela_registros[MÊS],$AE$1,tabela_registros[DIA],reservaoutrosconsolidadomar[[#Headers],[29]],tabela_registros[REGISTRO],DADOS!$N$6,tabela_registros[TIPO],DADOS!$AJ$5,tabela_registros[CATEGORIA],reservaoutrosconsolidadomar[[#This Row],[ATUAL]])</f>
        <v>0</v>
      </c>
      <c r="AH212" s="119" t="n">
        <f aca="false">SUMIFS(tabela_registros[VALOR],tabela_registros[MÊS],$AE$1,tabela_registros[DIA],reservaoutrosconsolidadomar[[#Headers],[30]],tabela_registros[REGISTRO],DADOS!$N$6,tabela_registros[TIPO],DADOS!$AJ$5,tabela_registros[CATEGORIA],reservaoutrosconsolidadomar[[#This Row],[ATUAL]])</f>
        <v>0</v>
      </c>
      <c r="AI212" s="217" t="n">
        <f aca="false">SUMIFS(tabela_registros[VALOR],tabela_registros[MÊS],$AE$1,tabela_registros[DIA],reservaoutrosconsolidadomar[[#Headers],[31]],tabela_registros[REGISTRO],DADOS!$N$6,tabela_registros[TIPO],DADOS!$AJ$5,tabela_registros[CATEGORIA],reservaoutrosconsolidadomar[[#This Row],[ATUAL]])</f>
        <v>0</v>
      </c>
      <c r="AJ212" s="149" t="n">
        <f aca="false">SUM(reservaoutrosconsolidadomar[[#This Row],[1]:[31]])</f>
        <v>0</v>
      </c>
      <c r="AK212" s="165"/>
    </row>
    <row r="213" customFormat="false" ht="19.5" hidden="false" customHeight="true" outlineLevel="0" collapsed="false">
      <c r="B213" s="143"/>
      <c r="C213" s="144" t="str">
        <f aca="false">DADOS!$AP$10</f>
        <v>📎 OUTROS</v>
      </c>
      <c r="D213" s="145" t="str">
        <f aca="false">IF(reservaoutrosconsolidadomar[[#This Row],[TOTAL (R$)]]=0,"",IF(OR(reservaoutrosconsolidadomar[[#This Row],[TOTAL (R$)]]=LARGE($AJ$206:$AJ$213,1),reservaoutrosconsolidadomar[[#This Row],[TOTAL (R$)]]=LARGE($AJ$206:$AJ$213,2)),DADOS!$I$11,""))</f>
        <v/>
      </c>
      <c r="E213" s="148" t="n">
        <f aca="false">SUMIFS(tabela_registros[VALOR],tabela_registros[MÊS],$AE$1,tabela_registros[DIA],reservaoutrosconsolidadomar[[#Headers],[1]],tabela_registros[REGISTRO],DADOS!$N$6,tabela_registros[TIPO],DADOS!$AJ$5,tabela_registros[CATEGORIA],reservaoutrosconsolidadomar[[#This Row],[ATUAL]])</f>
        <v>0</v>
      </c>
      <c r="F213" s="119" t="n">
        <f aca="false">SUMIFS(tabela_registros[VALOR],tabela_registros[MÊS],$AE$1,tabela_registros[DIA],reservaoutrosconsolidadomar[[#Headers],[2]],tabela_registros[REGISTRO],DADOS!$N$6,tabela_registros[TIPO],DADOS!$AJ$5,tabela_registros[CATEGORIA],reservaoutrosconsolidadomar[[#This Row],[ATUAL]])</f>
        <v>0</v>
      </c>
      <c r="G213" s="119" t="n">
        <f aca="false">SUMIFS(tabela_registros[VALOR],tabela_registros[MÊS],$AE$1,tabela_registros[DIA],reservaoutrosconsolidadomar[[#Headers],[3]],tabela_registros[REGISTRO],DADOS!$N$6,tabela_registros[TIPO],DADOS!$AJ$5,tabela_registros[CATEGORIA],reservaoutrosconsolidadomar[[#This Row],[ATUAL]])</f>
        <v>0</v>
      </c>
      <c r="H213" s="119" t="n">
        <f aca="false">SUMIFS(tabela_registros[VALOR],tabela_registros[MÊS],$AE$1,tabela_registros[DIA],reservaoutrosconsolidadomar[[#Headers],[4]],tabela_registros[REGISTRO],DADOS!$N$6,tabela_registros[TIPO],DADOS!$AJ$5,tabela_registros[CATEGORIA],reservaoutrosconsolidadomar[[#This Row],[ATUAL]])</f>
        <v>0</v>
      </c>
      <c r="I213" s="119" t="n">
        <f aca="false">SUMIFS(tabela_registros[VALOR],tabela_registros[MÊS],$AE$1,tabela_registros[DIA],reservaoutrosconsolidadomar[[#Headers],[5]],tabela_registros[REGISTRO],DADOS!$N$6,tabela_registros[TIPO],DADOS!$AJ$5,tabela_registros[CATEGORIA],reservaoutrosconsolidadomar[[#This Row],[ATUAL]])</f>
        <v>0</v>
      </c>
      <c r="J213" s="119" t="n">
        <f aca="false">SUMIFS(tabela_registros[VALOR],tabela_registros[MÊS],$AE$1,tabela_registros[DIA],reservaoutrosconsolidadomar[[#Headers],[6]],tabela_registros[REGISTRO],DADOS!$N$6,tabela_registros[TIPO],DADOS!$AJ$5,tabela_registros[CATEGORIA],reservaoutrosconsolidadomar[[#This Row],[ATUAL]])</f>
        <v>0</v>
      </c>
      <c r="K213" s="119" t="n">
        <f aca="false">SUMIFS(tabela_registros[VALOR],tabela_registros[MÊS],$AE$1,tabela_registros[DIA],reservaoutrosconsolidadomar[[#Headers],[7]],tabela_registros[REGISTRO],DADOS!$N$6,tabela_registros[TIPO],DADOS!$AJ$5,tabela_registros[CATEGORIA],reservaoutrosconsolidadomar[[#This Row],[ATUAL]])</f>
        <v>0</v>
      </c>
      <c r="L213" s="119" t="n">
        <f aca="false">SUMIFS(tabela_registros[VALOR],tabela_registros[MÊS],$AE$1,tabela_registros[DIA],reservaoutrosconsolidadomar[[#Headers],[8]],tabela_registros[REGISTRO],DADOS!$N$6,tabela_registros[TIPO],DADOS!$AJ$5,tabela_registros[CATEGORIA],reservaoutrosconsolidadomar[[#This Row],[ATUAL]])</f>
        <v>0</v>
      </c>
      <c r="M213" s="119" t="n">
        <f aca="false">SUMIFS(tabela_registros[VALOR],tabela_registros[MÊS],$AE$1,tabela_registros[DIA],reservaoutrosconsolidadomar[[#Headers],[9]],tabela_registros[REGISTRO],DADOS!$N$6,tabela_registros[TIPO],DADOS!$AJ$5,tabela_registros[CATEGORIA],reservaoutrosconsolidadomar[[#This Row],[ATUAL]])</f>
        <v>0</v>
      </c>
      <c r="N213" s="119" t="n">
        <f aca="false">SUMIFS(tabela_registros[VALOR],tabela_registros[MÊS],$AE$1,tabela_registros[DIA],reservaoutrosconsolidadomar[[#Headers],[10]],tabela_registros[REGISTRO],DADOS!$N$6,tabela_registros[TIPO],DADOS!$AJ$5,tabela_registros[CATEGORIA],reservaoutrosconsolidadomar[[#This Row],[ATUAL]])</f>
        <v>0</v>
      </c>
      <c r="O213" s="119" t="n">
        <f aca="false">SUMIFS(tabela_registros[VALOR],tabela_registros[MÊS],$AE$1,tabela_registros[DIA],reservaoutrosconsolidadomar[[#Headers],[11]],tabela_registros[REGISTRO],DADOS!$N$6,tabela_registros[TIPO],DADOS!$AJ$5,tabela_registros[CATEGORIA],reservaoutrosconsolidadomar[[#This Row],[ATUAL]])</f>
        <v>0</v>
      </c>
      <c r="P213" s="119" t="n">
        <f aca="false">SUMIFS(tabela_registros[VALOR],tabela_registros[MÊS],$AE$1,tabela_registros[DIA],reservaoutrosconsolidadomar[[#Headers],[12]],tabela_registros[REGISTRO],DADOS!$N$6,tabela_registros[TIPO],DADOS!$AJ$5,tabela_registros[CATEGORIA],reservaoutrosconsolidadomar[[#This Row],[ATUAL]])</f>
        <v>0</v>
      </c>
      <c r="Q213" s="119" t="n">
        <f aca="false">SUMIFS(tabela_registros[VALOR],tabela_registros[MÊS],$AE$1,tabela_registros[DIA],reservaoutrosconsolidadomar[[#Headers],[13]],tabela_registros[REGISTRO],DADOS!$N$6,tabela_registros[TIPO],DADOS!$AJ$5,tabela_registros[CATEGORIA],reservaoutrosconsolidadomar[[#This Row],[ATUAL]])</f>
        <v>0</v>
      </c>
      <c r="R213" s="119" t="n">
        <f aca="false">SUMIFS(tabela_registros[VALOR],tabela_registros[MÊS],$AE$1,tabela_registros[DIA],reservaoutrosconsolidadomar[[#Headers],[14]],tabela_registros[REGISTRO],DADOS!$N$6,tabela_registros[TIPO],DADOS!$AJ$5,tabela_registros[CATEGORIA],reservaoutrosconsolidadomar[[#This Row],[ATUAL]])</f>
        <v>0</v>
      </c>
      <c r="S213" s="119" t="n">
        <f aca="false">SUMIFS(tabela_registros[VALOR],tabela_registros[MÊS],$AE$1,tabela_registros[DIA],reservaoutrosconsolidadomar[[#Headers],[15]],tabela_registros[REGISTRO],DADOS!$N$6,tabela_registros[TIPO],DADOS!$AJ$5,tabela_registros[CATEGORIA],reservaoutrosconsolidadomar[[#This Row],[ATUAL]])</f>
        <v>0</v>
      </c>
      <c r="T213" s="119" t="n">
        <f aca="false">SUMIFS(tabela_registros[VALOR],tabela_registros[MÊS],$AE$1,tabela_registros[DIA],reservaoutrosconsolidadomar[[#Headers],[16]],tabela_registros[REGISTRO],DADOS!$N$6,tabela_registros[TIPO],DADOS!$AJ$5,tabela_registros[CATEGORIA],reservaoutrosconsolidadomar[[#This Row],[ATUAL]])</f>
        <v>0</v>
      </c>
      <c r="U213" s="119" t="n">
        <f aca="false">SUMIFS(tabela_registros[VALOR],tabela_registros[MÊS],$AE$1,tabela_registros[DIA],reservaoutrosconsolidadomar[[#Headers],[17]],tabela_registros[REGISTRO],DADOS!$N$6,tabela_registros[TIPO],DADOS!$AJ$5,tabela_registros[CATEGORIA],reservaoutrosconsolidadomar[[#This Row],[ATUAL]])</f>
        <v>0</v>
      </c>
      <c r="V213" s="119" t="n">
        <f aca="false">SUMIFS(tabela_registros[VALOR],tabela_registros[MÊS],$AE$1,tabela_registros[DIA],reservaoutrosconsolidadomar[[#Headers],[18]],tabela_registros[REGISTRO],DADOS!$N$6,tabela_registros[TIPO],DADOS!$AJ$5,tabela_registros[CATEGORIA],reservaoutrosconsolidadomar[[#This Row],[ATUAL]])</f>
        <v>0</v>
      </c>
      <c r="W213" s="119" t="n">
        <f aca="false">SUMIFS(tabela_registros[VALOR],tabela_registros[MÊS],$AE$1,tabela_registros[DIA],reservaoutrosconsolidadomar[[#Headers],[19]],tabela_registros[REGISTRO],DADOS!$N$6,tabela_registros[TIPO],DADOS!$AJ$5,tabela_registros[CATEGORIA],reservaoutrosconsolidadomar[[#This Row],[ATUAL]])</f>
        <v>0</v>
      </c>
      <c r="X213" s="119" t="n">
        <f aca="false">SUMIFS(tabela_registros[VALOR],tabela_registros[MÊS],$AE$1,tabela_registros[DIA],reservaoutrosconsolidadomar[[#Headers],[20]],tabela_registros[REGISTRO],DADOS!$N$6,tabela_registros[TIPO],DADOS!$AJ$5,tabela_registros[CATEGORIA],reservaoutrosconsolidadomar[[#This Row],[ATUAL]])</f>
        <v>0</v>
      </c>
      <c r="Y213" s="119" t="n">
        <f aca="false">SUMIFS(tabela_registros[VALOR],tabela_registros[MÊS],$AE$1,tabela_registros[DIA],reservaoutrosconsolidadomar[[#Headers],[21]],tabela_registros[REGISTRO],DADOS!$N$6,tabela_registros[TIPO],DADOS!$AJ$5,tabela_registros[CATEGORIA],reservaoutrosconsolidadomar[[#This Row],[ATUAL]])</f>
        <v>0</v>
      </c>
      <c r="Z213" s="119" t="n">
        <f aca="false">SUMIFS(tabela_registros[VALOR],tabela_registros[MÊS],$AE$1,tabela_registros[DIA],reservaoutrosconsolidadomar[[#Headers],[22]],tabela_registros[REGISTRO],DADOS!$N$6,tabela_registros[TIPO],DADOS!$AJ$5,tabela_registros[CATEGORIA],reservaoutrosconsolidadomar[[#This Row],[ATUAL]])</f>
        <v>0</v>
      </c>
      <c r="AA213" s="119" t="n">
        <f aca="false">SUMIFS(tabela_registros[VALOR],tabela_registros[MÊS],$AE$1,tabela_registros[DIA],reservaoutrosconsolidadomar[[#Headers],[23]],tabela_registros[REGISTRO],DADOS!$N$6,tabela_registros[TIPO],DADOS!$AJ$5,tabela_registros[CATEGORIA],reservaoutrosconsolidadomar[[#This Row],[ATUAL]])</f>
        <v>0</v>
      </c>
      <c r="AB213" s="119" t="n">
        <f aca="false">SUMIFS(tabela_registros[VALOR],tabela_registros[MÊS],$AE$1,tabela_registros[DIA],reservaoutrosconsolidadomar[[#Headers],[24]],tabela_registros[REGISTRO],DADOS!$N$6,tabela_registros[TIPO],DADOS!$AJ$5,tabela_registros[CATEGORIA],reservaoutrosconsolidadomar[[#This Row],[ATUAL]])</f>
        <v>0</v>
      </c>
      <c r="AC213" s="119" t="n">
        <f aca="false">SUMIFS(tabela_registros[VALOR],tabela_registros[MÊS],$AE$1,tabela_registros[DIA],reservaoutrosconsolidadomar[[#Headers],[25]],tabela_registros[REGISTRO],DADOS!$N$6,tabela_registros[TIPO],DADOS!$AJ$5,tabela_registros[CATEGORIA],reservaoutrosconsolidadomar[[#This Row],[ATUAL]])</f>
        <v>0</v>
      </c>
      <c r="AD213" s="119" t="n">
        <f aca="false">SUMIFS(tabela_registros[VALOR],tabela_registros[MÊS],$AE$1,tabela_registros[DIA],reservaoutrosconsolidadomar[[#Headers],[26]],tabela_registros[REGISTRO],DADOS!$N$6,tabela_registros[TIPO],DADOS!$AJ$5,tabela_registros[CATEGORIA],reservaoutrosconsolidadomar[[#This Row],[ATUAL]])</f>
        <v>0</v>
      </c>
      <c r="AE213" s="119" t="n">
        <f aca="false">SUMIFS(tabela_registros[VALOR],tabela_registros[MÊS],$AE$1,tabela_registros[DIA],reservaoutrosconsolidadomar[[#Headers],[27]],tabela_registros[REGISTRO],DADOS!$N$6,tabela_registros[TIPO],DADOS!$AJ$5,tabela_registros[CATEGORIA],reservaoutrosconsolidadomar[[#This Row],[ATUAL]])</f>
        <v>0</v>
      </c>
      <c r="AF213" s="119" t="n">
        <f aca="false">SUMIFS(tabela_registros[VALOR],tabela_registros[MÊS],$AE$1,tabela_registros[DIA],reservaoutrosconsolidadomar[[#Headers],[28]],tabela_registros[REGISTRO],DADOS!$N$6,tabela_registros[TIPO],DADOS!$AJ$5,tabela_registros[CATEGORIA],reservaoutrosconsolidadomar[[#This Row],[ATUAL]])</f>
        <v>0</v>
      </c>
      <c r="AG213" s="119" t="n">
        <f aca="false">SUMIFS(tabela_registros[VALOR],tabela_registros[MÊS],$AE$1,tabela_registros[DIA],reservaoutrosconsolidadomar[[#Headers],[29]],tabela_registros[REGISTRO],DADOS!$N$6,tabela_registros[TIPO],DADOS!$AJ$5,tabela_registros[CATEGORIA],reservaoutrosconsolidadomar[[#This Row],[ATUAL]])</f>
        <v>0</v>
      </c>
      <c r="AH213" s="119" t="n">
        <f aca="false">SUMIFS(tabela_registros[VALOR],tabela_registros[MÊS],$AE$1,tabela_registros[DIA],reservaoutrosconsolidadomar[[#Headers],[30]],tabela_registros[REGISTRO],DADOS!$N$6,tabela_registros[TIPO],DADOS!$AJ$5,tabela_registros[CATEGORIA],reservaoutrosconsolidadomar[[#This Row],[ATUAL]])</f>
        <v>0</v>
      </c>
      <c r="AI213" s="218" t="n">
        <f aca="false">SUMIFS(tabela_registros[VALOR],tabela_registros[MÊS],$AE$1,tabela_registros[DIA],reservaoutrosconsolidadomar[[#Headers],[31]],tabela_registros[REGISTRO],DADOS!$N$6,tabela_registros[TIPO],DADOS!$AJ$5,tabela_registros[CATEGORIA],reservaoutrosconsolidadomar[[#This Row],[ATUAL]])</f>
        <v>0</v>
      </c>
      <c r="AJ213" s="149" t="n">
        <f aca="false">SUM(reservaoutrosconsolidadomar[[#This Row],[1]:[31]])</f>
        <v>0</v>
      </c>
      <c r="AK213" s="165"/>
    </row>
    <row r="214" s="122" customFormat="true" ht="21" hidden="false" customHeight="true" outlineLevel="0" collapsed="false">
      <c r="B214" s="152"/>
      <c r="C214" s="153" t="s">
        <v>2</v>
      </c>
      <c r="D214" s="166"/>
      <c r="E214" s="155" t="n">
        <f aca="false">SUM(E206:E213)</f>
        <v>0</v>
      </c>
      <c r="F214" s="156" t="n">
        <f aca="false">SUM(F206:F213)+reservaoutrosconsolidadomar[[#This Row],[1]]</f>
        <v>0</v>
      </c>
      <c r="G214" s="156" t="n">
        <f aca="false">SUM(G206:G213)+reservaoutrosconsolidadomar[[#This Row],[2]]</f>
        <v>0</v>
      </c>
      <c r="H214" s="156" t="n">
        <f aca="false">SUM(H206:H213)+reservaoutrosconsolidadomar[[#This Row],[3]]</f>
        <v>0</v>
      </c>
      <c r="I214" s="156" t="n">
        <f aca="false">SUM(I206:I213)+reservaoutrosconsolidadomar[[#This Row],[4]]</f>
        <v>0</v>
      </c>
      <c r="J214" s="156" t="n">
        <f aca="false">SUM(J206:J213)+reservaoutrosconsolidadomar[[#This Row],[5]]</f>
        <v>0</v>
      </c>
      <c r="K214" s="156" t="n">
        <f aca="false">SUM(K206:K213)+reservaoutrosconsolidadomar[[#This Row],[6]]</f>
        <v>0</v>
      </c>
      <c r="L214" s="156" t="n">
        <f aca="false">SUM(L206:L213)+reservaoutrosconsolidadomar[[#This Row],[7]]</f>
        <v>0</v>
      </c>
      <c r="M214" s="156" t="n">
        <f aca="false">SUM(M206:M213)+reservaoutrosconsolidadomar[[#This Row],[8]]</f>
        <v>0</v>
      </c>
      <c r="N214" s="156" t="n">
        <f aca="false">SUM(N206:N213)+reservaoutrosconsolidadomar[[#This Row],[9]]</f>
        <v>0</v>
      </c>
      <c r="O214" s="156" t="n">
        <f aca="false">SUM(O206:O213)+reservaoutrosconsolidadomar[[#This Row],[10]]</f>
        <v>0</v>
      </c>
      <c r="P214" s="156" t="n">
        <f aca="false">SUM(P206:P213)+reservaoutrosconsolidadomar[[#This Row],[11]]</f>
        <v>0</v>
      </c>
      <c r="Q214" s="156" t="n">
        <f aca="false">SUM(Q206:Q213)+reservaoutrosconsolidadomar[[#This Row],[12]]</f>
        <v>0</v>
      </c>
      <c r="R214" s="156" t="n">
        <f aca="false">SUM(R206:R213)+reservaoutrosconsolidadomar[[#This Row],[13]]</f>
        <v>0</v>
      </c>
      <c r="S214" s="156" t="n">
        <f aca="false">SUM(S206:S213)+reservaoutrosconsolidadomar[[#This Row],[14]]</f>
        <v>0</v>
      </c>
      <c r="T214" s="156" t="n">
        <f aca="false">SUM(T206:T213)+reservaoutrosconsolidadomar[[#This Row],[15]]</f>
        <v>0</v>
      </c>
      <c r="U214" s="156" t="n">
        <f aca="false">SUM(U206:U213)+reservaoutrosconsolidadomar[[#This Row],[16]]</f>
        <v>0</v>
      </c>
      <c r="V214" s="156" t="n">
        <f aca="false">SUM(V206:V213)+reservaoutrosconsolidadomar[[#This Row],[17]]</f>
        <v>0</v>
      </c>
      <c r="W214" s="156" t="n">
        <f aca="false">SUM(W206:W213)+reservaoutrosconsolidadomar[[#This Row],[18]]</f>
        <v>0</v>
      </c>
      <c r="X214" s="156" t="n">
        <f aca="false">SUM(X206:X213)+reservaoutrosconsolidadomar[[#This Row],[19]]</f>
        <v>0</v>
      </c>
      <c r="Y214" s="156" t="n">
        <f aca="false">SUM(Y206:Y213)+reservaoutrosconsolidadomar[[#This Row],[20]]</f>
        <v>0</v>
      </c>
      <c r="Z214" s="156" t="n">
        <f aca="false">SUM(Z206:Z213)+reservaoutrosconsolidadomar[[#This Row],[21]]</f>
        <v>0</v>
      </c>
      <c r="AA214" s="156" t="n">
        <f aca="false">SUM(AA206:AA213)+reservaoutrosconsolidadomar[[#This Row],[22]]</f>
        <v>0</v>
      </c>
      <c r="AB214" s="156" t="n">
        <f aca="false">SUM(AB206:AB213)+reservaoutrosconsolidadomar[[#This Row],[23]]</f>
        <v>0</v>
      </c>
      <c r="AC214" s="156" t="n">
        <f aca="false">SUM(AC206:AC213)+reservaoutrosconsolidadomar[[#This Row],[24]]</f>
        <v>0</v>
      </c>
      <c r="AD214" s="156" t="n">
        <f aca="false">SUM(AD206:AD213)+reservaoutrosconsolidadomar[[#This Row],[25]]</f>
        <v>0</v>
      </c>
      <c r="AE214" s="156" t="n">
        <f aca="false">SUM(AE206:AE213)+reservaoutrosconsolidadomar[[#This Row],[26]]</f>
        <v>0</v>
      </c>
      <c r="AF214" s="156" t="n">
        <f aca="false">SUM(AF206:AF213)+reservaoutrosconsolidadomar[[#This Row],[27]]</f>
        <v>0</v>
      </c>
      <c r="AG214" s="156" t="n">
        <f aca="false">SUM(AG206:AG213)+reservaoutrosconsolidadomar[[#This Row],[28]]</f>
        <v>0</v>
      </c>
      <c r="AH214" s="156" t="n">
        <f aca="false">SUM(AH206:AH213)+reservaoutrosconsolidadomar[[#This Row],[29]]</f>
        <v>0</v>
      </c>
      <c r="AI214" s="223" t="n">
        <f aca="false">SUM(AI206:AI213)+reservaoutrosconsolidadomar[[#This Row],[30]]</f>
        <v>0</v>
      </c>
      <c r="AJ214" s="157" t="n">
        <f aca="false">reservaoutrosconsolidadomar[[#This Row],[31]]</f>
        <v>0</v>
      </c>
      <c r="AK214" s="158"/>
    </row>
    <row r="215" customFormat="false" ht="6.75" hidden="false" customHeight="true" outlineLevel="0" collapsed="false">
      <c r="B215" s="97"/>
      <c r="C215" s="162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233"/>
      <c r="AJ215" s="164"/>
      <c r="AK215" s="244"/>
    </row>
    <row r="216" customFormat="false" ht="12.75" hidden="false" customHeight="false" outlineLevel="0" collapsed="false"/>
    <row r="217" customFormat="false" ht="12" hidden="false" customHeight="false" outlineLevel="0" collapsed="false"/>
  </sheetData>
  <sheetProtection algorithmName="SHA-512" hashValue="q5jYeGmcCb3+P17snEE5z3o1gN2WMa6hEtiGLmBDiaXqzubaH6xKh0g6sGBhIY3VbfuJD1l1/nKkx/eIYRImNw==" saltValue="TrARS2MuW9AFEj43yt9TXQ==" spinCount="100000" sheet="true" objects="true" scenarios="true" selectLockedCells="true" selectUnlockedCells="true"/>
  <mergeCells count="26">
    <mergeCell ref="C2:C6"/>
    <mergeCell ref="E3:G3"/>
    <mergeCell ref="I3:K3"/>
    <mergeCell ref="M3:O3"/>
    <mergeCell ref="Q3:S3"/>
    <mergeCell ref="U3:W3"/>
    <mergeCell ref="Z3:AA4"/>
    <mergeCell ref="AC3:AD4"/>
    <mergeCell ref="AF3:AG4"/>
    <mergeCell ref="E4:G4"/>
    <mergeCell ref="I4:K4"/>
    <mergeCell ref="M4:O4"/>
    <mergeCell ref="Q4:S4"/>
    <mergeCell ref="U4:W4"/>
    <mergeCell ref="E10:AI10"/>
    <mergeCell ref="E21:AI21"/>
    <mergeCell ref="E33:AI33"/>
    <mergeCell ref="E56:AI56"/>
    <mergeCell ref="E78:AI78"/>
    <mergeCell ref="E92:AI92"/>
    <mergeCell ref="E109:AI109"/>
    <mergeCell ref="E128:AI128"/>
    <mergeCell ref="E147:AI147"/>
    <mergeCell ref="E164:AI164"/>
    <mergeCell ref="E183:AI183"/>
    <mergeCell ref="E202:AI202"/>
  </mergeCells>
  <hyperlinks>
    <hyperlink ref="Z3" location="'🔒'!A1" display="REGISTROS"/>
    <hyperlink ref="AC3" location="'📈'!A1" display="RADAR"/>
    <hyperlink ref="AF3" location="ANUAL!A1" display="ANUA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17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24" activeCellId="0" sqref="D24"/>
    </sheetView>
  </sheetViews>
  <sheetFormatPr defaultColWidth="2.1484375" defaultRowHeight="12" zeroHeight="true" outlineLevelRow="0" outlineLevelCol="0"/>
  <cols>
    <col collapsed="false" customWidth="false" hidden="false" outlineLevel="0" max="1" min="1" style="78" width="2.14"/>
    <col collapsed="false" customWidth="true" hidden="false" outlineLevel="0" max="2" min="2" style="78" width="1.58"/>
    <col collapsed="false" customWidth="true" hidden="false" outlineLevel="0" max="3" min="3" style="78" width="29.29"/>
    <col collapsed="false" customWidth="true" hidden="false" outlineLevel="0" max="4" min="4" style="78" width="4.71"/>
    <col collapsed="false" customWidth="true" hidden="false" outlineLevel="0" max="34" min="5" style="78" width="5.57"/>
    <col collapsed="false" customWidth="true" hidden="true" outlineLevel="0" max="35" min="35" style="167" width="5.57"/>
    <col collapsed="false" customWidth="true" hidden="false" outlineLevel="0" max="36" min="36" style="78" width="9.58"/>
    <col collapsed="false" customWidth="true" hidden="false" outlineLevel="0" max="37" min="37" style="78" width="1.58"/>
    <col collapsed="false" customWidth="true" hidden="false" outlineLevel="0" max="38" min="38" style="78" width="2"/>
    <col collapsed="false" customWidth="false" hidden="true" outlineLevel="0" max="1024" min="39" style="78" width="2.14"/>
  </cols>
  <sheetData>
    <row r="1" customFormat="false" ht="29.25" hidden="true" customHeight="true" outlineLevel="0" collapsed="false">
      <c r="A1" s="81"/>
      <c r="B1" s="81"/>
      <c r="C1" s="81"/>
      <c r="D1" s="82"/>
      <c r="AD1" s="78" t="s">
        <v>19</v>
      </c>
      <c r="AE1" s="168" t="n">
        <v>4</v>
      </c>
      <c r="AH1" s="78" t="s">
        <v>42</v>
      </c>
      <c r="AI1" s="169" t="n">
        <f aca="false">IF('⚙️'!$Q$3=$AE$1,'⚙️'!$F$13,0)</f>
        <v>0</v>
      </c>
      <c r="AK1" s="169"/>
    </row>
    <row r="2" customFormat="false" ht="15.75" hidden="false" customHeight="true" outlineLevel="0" collapsed="false">
      <c r="A2" s="84"/>
      <c r="B2" s="84"/>
      <c r="C2" s="85" t="s">
        <v>102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7"/>
      <c r="U2" s="87"/>
      <c r="V2" s="87"/>
      <c r="W2" s="87"/>
      <c r="X2" s="87"/>
      <c r="Y2" s="87"/>
      <c r="Z2" s="87"/>
      <c r="AA2" s="87"/>
      <c r="AB2" s="87"/>
      <c r="AC2" s="238"/>
      <c r="AD2" s="239"/>
      <c r="AE2" s="239"/>
      <c r="AF2" s="239"/>
      <c r="AG2" s="239"/>
      <c r="AH2" s="239"/>
      <c r="AI2" s="239"/>
      <c r="AJ2" s="239"/>
      <c r="AK2" s="239"/>
      <c r="AL2" s="239"/>
    </row>
    <row r="3" s="180" customFormat="true" ht="18" hidden="false" customHeight="true" outlineLevel="0" collapsed="false">
      <c r="A3" s="89"/>
      <c r="B3" s="89"/>
      <c r="C3" s="85"/>
      <c r="D3" s="86"/>
      <c r="E3" s="90" t="s">
        <v>45</v>
      </c>
      <c r="F3" s="90"/>
      <c r="G3" s="90"/>
      <c r="H3" s="87"/>
      <c r="I3" s="90" t="s">
        <v>46</v>
      </c>
      <c r="J3" s="90"/>
      <c r="K3" s="90"/>
      <c r="L3" s="87"/>
      <c r="M3" s="90" t="s">
        <v>47</v>
      </c>
      <c r="N3" s="90"/>
      <c r="O3" s="90"/>
      <c r="P3" s="87"/>
      <c r="Q3" s="90" t="s">
        <v>48</v>
      </c>
      <c r="R3" s="90"/>
      <c r="S3" s="90"/>
      <c r="T3" s="87"/>
      <c r="U3" s="90" t="s">
        <v>49</v>
      </c>
      <c r="V3" s="90"/>
      <c r="W3" s="90"/>
      <c r="X3" s="87"/>
      <c r="Y3" s="87"/>
      <c r="Z3" s="178" t="s">
        <v>50</v>
      </c>
      <c r="AA3" s="178"/>
      <c r="AB3" s="239"/>
      <c r="AC3" s="178" t="s">
        <v>51</v>
      </c>
      <c r="AD3" s="178"/>
      <c r="AE3" s="239"/>
      <c r="AF3" s="178" t="s">
        <v>17</v>
      </c>
      <c r="AG3" s="178"/>
      <c r="AH3" s="240"/>
      <c r="AI3" s="240"/>
      <c r="AJ3" s="240"/>
      <c r="AK3" s="239"/>
      <c r="AL3" s="239"/>
    </row>
    <row r="4" s="180" customFormat="true" ht="18" hidden="false" customHeight="true" outlineLevel="0" collapsed="false">
      <c r="A4" s="89"/>
      <c r="B4" s="89"/>
      <c r="C4" s="85"/>
      <c r="D4" s="86"/>
      <c r="E4" s="94" t="n">
        <f aca="false">$AJ$16</f>
        <v>0</v>
      </c>
      <c r="F4" s="94"/>
      <c r="G4" s="94"/>
      <c r="H4" s="87"/>
      <c r="I4" s="94" t="n">
        <f aca="false">$AJ$14</f>
        <v>0</v>
      </c>
      <c r="J4" s="94"/>
      <c r="K4" s="94"/>
      <c r="L4" s="87"/>
      <c r="M4" s="94" t="n">
        <f aca="false">$AJ$15</f>
        <v>0</v>
      </c>
      <c r="N4" s="94"/>
      <c r="O4" s="94"/>
      <c r="P4" s="87"/>
      <c r="Q4" s="94" t="n">
        <f aca="false">$AJ$25</f>
        <v>0</v>
      </c>
      <c r="R4" s="94"/>
      <c r="S4" s="94"/>
      <c r="T4" s="87"/>
      <c r="U4" s="94" t="n">
        <f aca="false">$AJ$26</f>
        <v>0</v>
      </c>
      <c r="V4" s="94"/>
      <c r="W4" s="94"/>
      <c r="X4" s="87"/>
      <c r="Y4" s="87"/>
      <c r="Z4" s="178"/>
      <c r="AA4" s="178"/>
      <c r="AB4" s="239"/>
      <c r="AC4" s="178"/>
      <c r="AD4" s="178"/>
      <c r="AE4" s="239"/>
      <c r="AF4" s="178"/>
      <c r="AG4" s="178"/>
      <c r="AH4" s="240"/>
      <c r="AI4" s="240" t="s">
        <v>54</v>
      </c>
      <c r="AJ4" s="240"/>
      <c r="AK4" s="239"/>
      <c r="AL4" s="239"/>
    </row>
    <row r="5" customFormat="false" ht="11.25" hidden="false" customHeight="true" outlineLevel="0" collapsed="false">
      <c r="A5" s="89"/>
      <c r="B5" s="89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7"/>
      <c r="Y5" s="86"/>
      <c r="Z5" s="86"/>
      <c r="AA5" s="87"/>
      <c r="AB5" s="87"/>
      <c r="AC5" s="241"/>
      <c r="AD5" s="242"/>
      <c r="AE5" s="242"/>
      <c r="AF5" s="242"/>
      <c r="AG5" s="242"/>
      <c r="AH5" s="242"/>
      <c r="AI5" s="242"/>
      <c r="AJ5" s="239"/>
      <c r="AK5" s="239"/>
      <c r="AL5" s="239"/>
    </row>
    <row r="6" customFormat="false" ht="13.5" hidden="false" customHeight="true" outlineLevel="0" collapsed="false">
      <c r="A6" s="96"/>
      <c r="B6" s="96"/>
      <c r="C6" s="85"/>
      <c r="D6" s="97"/>
      <c r="E6" s="98" t="s">
        <v>30</v>
      </c>
      <c r="F6" s="98" t="s">
        <v>31</v>
      </c>
      <c r="G6" s="99" t="s">
        <v>32</v>
      </c>
      <c r="H6" s="99" t="s">
        <v>33</v>
      </c>
      <c r="I6" s="99" t="s">
        <v>34</v>
      </c>
      <c r="J6" s="99" t="s">
        <v>35</v>
      </c>
      <c r="K6" s="99" t="s">
        <v>36</v>
      </c>
      <c r="L6" s="99" t="s">
        <v>37</v>
      </c>
      <c r="M6" s="99" t="s">
        <v>38</v>
      </c>
      <c r="N6" s="99" t="s">
        <v>39</v>
      </c>
      <c r="O6" s="99" t="s">
        <v>40</v>
      </c>
      <c r="P6" s="99" t="s">
        <v>41</v>
      </c>
      <c r="Q6" s="99" t="s">
        <v>81</v>
      </c>
      <c r="R6" s="99" t="s">
        <v>82</v>
      </c>
      <c r="S6" s="99" t="s">
        <v>83</v>
      </c>
      <c r="T6" s="99" t="s">
        <v>84</v>
      </c>
      <c r="U6" s="99" t="s">
        <v>85</v>
      </c>
      <c r="V6" s="99" t="s">
        <v>86</v>
      </c>
      <c r="W6" s="99" t="s">
        <v>87</v>
      </c>
      <c r="X6" s="99" t="s">
        <v>88</v>
      </c>
      <c r="Y6" s="99" t="s">
        <v>89</v>
      </c>
      <c r="Z6" s="99" t="s">
        <v>90</v>
      </c>
      <c r="AA6" s="99" t="s">
        <v>91</v>
      </c>
      <c r="AB6" s="99" t="s">
        <v>92</v>
      </c>
      <c r="AC6" s="99" t="s">
        <v>93</v>
      </c>
      <c r="AD6" s="99" t="s">
        <v>94</v>
      </c>
      <c r="AE6" s="99" t="s">
        <v>95</v>
      </c>
      <c r="AF6" s="99" t="s">
        <v>96</v>
      </c>
      <c r="AG6" s="99" t="s">
        <v>97</v>
      </c>
      <c r="AH6" s="99" t="s">
        <v>98</v>
      </c>
      <c r="AI6" s="243" t="s">
        <v>99</v>
      </c>
      <c r="AJ6" s="239"/>
      <c r="AK6" s="239"/>
      <c r="AL6" s="239"/>
    </row>
    <row r="7" s="78" customFormat="true" ht="12.75" hidden="false" customHeight="false" outlineLevel="0" collapsed="false">
      <c r="E7" s="100"/>
    </row>
    <row r="8" s="78" customFormat="true" ht="12" hidden="false" customHeight="false" outlineLevel="0" collapsed="false"/>
    <row r="9" s="78" customFormat="true" ht="12" hidden="false" customHeight="false" outlineLevel="0" collapsed="false"/>
    <row r="10" customFormat="false" ht="39.75" hidden="false" customHeight="true" outlineLevel="0" collapsed="false">
      <c r="C10" s="101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3" t="s">
        <v>2</v>
      </c>
    </row>
    <row r="11" s="78" customFormat="true" ht="12.75" hidden="false" customHeight="false" outlineLevel="0" collapsed="false">
      <c r="AJ11" s="106" t="s">
        <v>64</v>
      </c>
    </row>
    <row r="12" customFormat="false" ht="6.75" hidden="false" customHeight="tru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94"/>
      <c r="AK12" s="107"/>
    </row>
    <row r="13" customFormat="false" ht="13.5" hidden="true" customHeight="false" outlineLevel="0" collapsed="false">
      <c r="B13" s="86"/>
      <c r="C13" s="109" t="s">
        <v>68</v>
      </c>
      <c r="D13" s="110" t="s">
        <v>69</v>
      </c>
      <c r="E13" s="110" t="s">
        <v>30</v>
      </c>
      <c r="F13" s="110" t="s">
        <v>31</v>
      </c>
      <c r="G13" s="110" t="s">
        <v>32</v>
      </c>
      <c r="H13" s="110" t="s">
        <v>33</v>
      </c>
      <c r="I13" s="110" t="s">
        <v>34</v>
      </c>
      <c r="J13" s="110" t="s">
        <v>35</v>
      </c>
      <c r="K13" s="110" t="s">
        <v>36</v>
      </c>
      <c r="L13" s="110" t="s">
        <v>37</v>
      </c>
      <c r="M13" s="110" t="s">
        <v>38</v>
      </c>
      <c r="N13" s="110" t="s">
        <v>39</v>
      </c>
      <c r="O13" s="110" t="s">
        <v>40</v>
      </c>
      <c r="P13" s="110" t="s">
        <v>41</v>
      </c>
      <c r="Q13" s="110" t="s">
        <v>81</v>
      </c>
      <c r="R13" s="110" t="s">
        <v>82</v>
      </c>
      <c r="S13" s="110" t="s">
        <v>83</v>
      </c>
      <c r="T13" s="110" t="s">
        <v>84</v>
      </c>
      <c r="U13" s="110" t="s">
        <v>85</v>
      </c>
      <c r="V13" s="110" t="s">
        <v>86</v>
      </c>
      <c r="W13" s="110" t="s">
        <v>87</v>
      </c>
      <c r="X13" s="110" t="s">
        <v>88</v>
      </c>
      <c r="Y13" s="110" t="s">
        <v>89</v>
      </c>
      <c r="Z13" s="110" t="s">
        <v>90</v>
      </c>
      <c r="AA13" s="110" t="s">
        <v>91</v>
      </c>
      <c r="AB13" s="110" t="s">
        <v>92</v>
      </c>
      <c r="AC13" s="110" t="s">
        <v>93</v>
      </c>
      <c r="AD13" s="110" t="s">
        <v>94</v>
      </c>
      <c r="AE13" s="110" t="s">
        <v>95</v>
      </c>
      <c r="AF13" s="110" t="s">
        <v>96</v>
      </c>
      <c r="AG13" s="110" t="s">
        <v>97</v>
      </c>
      <c r="AH13" s="110" t="s">
        <v>98</v>
      </c>
      <c r="AI13" s="110" t="s">
        <v>99</v>
      </c>
      <c r="AJ13" s="111" t="s">
        <v>70</v>
      </c>
      <c r="AK13" s="107"/>
    </row>
    <row r="14" customFormat="false" ht="19.5" hidden="false" customHeight="true" outlineLevel="0" collapsed="false">
      <c r="B14" s="107"/>
      <c r="C14" s="112" t="s">
        <v>71</v>
      </c>
      <c r="D14" s="113"/>
      <c r="E14" s="114" t="n">
        <f aca="false">SUMIFS(tabela_registros[VALOR],tabela_registros[MÊS],$AE$1,tabela_registros[DIA],abrtotal305971[[#Headers],[1]],tabela_registros[REGISTRO],DADOS!$N$3)</f>
        <v>0</v>
      </c>
      <c r="F14" s="114" t="n">
        <f aca="false">SUMIFS(tabela_registros[VALOR],tabela_registros[MÊS],$AE$1,tabela_registros[DIA],abrtotal305971[[#Headers],[2]],tabela_registros[REGISTRO],DADOS!$N$3)</f>
        <v>0</v>
      </c>
      <c r="G14" s="114" t="n">
        <f aca="false">SUMIFS(tabela_registros[VALOR],tabela_registros[MÊS],$AE$1,tabela_registros[DIA],abrtotal305971[[#Headers],[3]],tabela_registros[REGISTRO],DADOS!$N$3)</f>
        <v>0</v>
      </c>
      <c r="H14" s="114" t="n">
        <f aca="false">SUMIFS(tabela_registros[VALOR],tabela_registros[MÊS],$AE$1,tabela_registros[DIA],abrtotal305971[[#Headers],[4]],tabela_registros[REGISTRO],DADOS!$N$3)</f>
        <v>0</v>
      </c>
      <c r="I14" s="114" t="n">
        <f aca="false">SUMIFS(tabela_registros[VALOR],tabela_registros[MÊS],$AE$1,tabela_registros[DIA],abrtotal305971[[#Headers],[5]],tabela_registros[REGISTRO],DADOS!$N$3)</f>
        <v>0</v>
      </c>
      <c r="J14" s="114" t="n">
        <f aca="false">SUMIFS(tabela_registros[VALOR],tabela_registros[MÊS],$AE$1,tabela_registros[DIA],abrtotal305971[[#Headers],[6]],tabela_registros[REGISTRO],DADOS!$N$3)</f>
        <v>0</v>
      </c>
      <c r="K14" s="114" t="n">
        <f aca="false">SUMIFS(tabela_registros[VALOR],tabela_registros[MÊS],$AE$1,tabela_registros[DIA],abrtotal305971[[#Headers],[7]],tabela_registros[REGISTRO],DADOS!$N$3)</f>
        <v>0</v>
      </c>
      <c r="L14" s="114" t="n">
        <f aca="false">SUMIFS(tabela_registros[VALOR],tabela_registros[MÊS],$AE$1,tabela_registros[DIA],abrtotal305971[[#Headers],[8]],tabela_registros[REGISTRO],DADOS!$N$3)</f>
        <v>0</v>
      </c>
      <c r="M14" s="114" t="n">
        <f aca="false">SUMIFS(tabela_registros[VALOR],tabela_registros[MÊS],$AE$1,tabela_registros[DIA],abrtotal305971[[#Headers],[9]],tabela_registros[REGISTRO],DADOS!$N$3)</f>
        <v>0</v>
      </c>
      <c r="N14" s="114" t="n">
        <f aca="false">SUMIFS(tabela_registros[VALOR],tabela_registros[MÊS],$AE$1,tabela_registros[DIA],abrtotal305971[[#Headers],[10]],tabela_registros[REGISTRO],DADOS!$N$3)</f>
        <v>0</v>
      </c>
      <c r="O14" s="114" t="n">
        <f aca="false">SUMIFS(tabela_registros[VALOR],tabela_registros[MÊS],$AE$1,tabela_registros[DIA],abrtotal305971[[#Headers],[11]],tabela_registros[REGISTRO],DADOS!$N$3)</f>
        <v>0</v>
      </c>
      <c r="P14" s="114" t="n">
        <f aca="false">SUMIFS(tabela_registros[VALOR],tabela_registros[MÊS],$AE$1,tabela_registros[DIA],abrtotal305971[[#Headers],[12]],tabela_registros[REGISTRO],DADOS!$N$3)</f>
        <v>0</v>
      </c>
      <c r="Q14" s="114" t="n">
        <f aca="false">SUMIFS(tabela_registros[VALOR],tabela_registros[MÊS],$AE$1,tabela_registros[DIA],abrtotal305971[[#Headers],[13]],tabela_registros[REGISTRO],DADOS!$N$3)</f>
        <v>0</v>
      </c>
      <c r="R14" s="114" t="n">
        <f aca="false">SUMIFS(tabela_registros[VALOR],tabela_registros[MÊS],$AE$1,tabela_registros[DIA],abrtotal305971[[#Headers],[14]],tabela_registros[REGISTRO],DADOS!$N$3)</f>
        <v>0</v>
      </c>
      <c r="S14" s="114" t="n">
        <f aca="false">SUMIFS(tabela_registros[VALOR],tabela_registros[MÊS],$AE$1,tabela_registros[DIA],abrtotal305971[[#Headers],[15]],tabela_registros[REGISTRO],DADOS!$N$3)</f>
        <v>0</v>
      </c>
      <c r="T14" s="114" t="n">
        <f aca="false">SUMIFS(tabela_registros[VALOR],tabela_registros[MÊS],$AE$1,tabela_registros[DIA],abrtotal305971[[#Headers],[16]],tabela_registros[REGISTRO],DADOS!$N$3)</f>
        <v>0</v>
      </c>
      <c r="U14" s="114" t="n">
        <f aca="false">SUMIFS(tabela_registros[VALOR],tabela_registros[MÊS],$AE$1,tabela_registros[DIA],abrtotal305971[[#Headers],[17]],tabela_registros[REGISTRO],DADOS!$N$3)</f>
        <v>0</v>
      </c>
      <c r="V14" s="114" t="n">
        <f aca="false">SUMIFS(tabela_registros[VALOR],tabela_registros[MÊS],$AE$1,tabela_registros[DIA],abrtotal305971[[#Headers],[18]],tabela_registros[REGISTRO],DADOS!$N$3)</f>
        <v>0</v>
      </c>
      <c r="W14" s="114" t="n">
        <f aca="false">SUMIFS(tabela_registros[VALOR],tabela_registros[MÊS],$AE$1,tabela_registros[DIA],abrtotal305971[[#Headers],[19]],tabela_registros[REGISTRO],DADOS!$N$3)</f>
        <v>0</v>
      </c>
      <c r="X14" s="114" t="n">
        <f aca="false">SUMIFS(tabela_registros[VALOR],tabela_registros[MÊS],$AE$1,tabela_registros[DIA],abrtotal305971[[#Headers],[20]],tabela_registros[REGISTRO],DADOS!$N$3)</f>
        <v>0</v>
      </c>
      <c r="Y14" s="114" t="n">
        <f aca="false">SUMIFS(tabela_registros[VALOR],tabela_registros[MÊS],$AE$1,tabela_registros[DIA],abrtotal305971[[#Headers],[21]],tabela_registros[REGISTRO],DADOS!$N$3)</f>
        <v>0</v>
      </c>
      <c r="Z14" s="114" t="n">
        <f aca="false">SUMIFS(tabela_registros[VALOR],tabela_registros[MÊS],$AE$1,tabela_registros[DIA],abrtotal305971[[#Headers],[22]],tabela_registros[REGISTRO],DADOS!$N$3)</f>
        <v>0</v>
      </c>
      <c r="AA14" s="114" t="n">
        <f aca="false">SUMIFS(tabela_registros[VALOR],tabela_registros[MÊS],$AE$1,tabela_registros[DIA],abrtotal305971[[#Headers],[23]],tabela_registros[REGISTRO],DADOS!$N$3)</f>
        <v>0</v>
      </c>
      <c r="AB14" s="114" t="n">
        <f aca="false">SUMIFS(tabela_registros[VALOR],tabela_registros[MÊS],$AE$1,tabela_registros[DIA],abrtotal305971[[#Headers],[24]],tabela_registros[REGISTRO],DADOS!$N$3)</f>
        <v>0</v>
      </c>
      <c r="AC14" s="114" t="n">
        <f aca="false">SUMIFS(tabela_registros[VALOR],tabela_registros[MÊS],$AE$1,tabela_registros[DIA],abrtotal305971[[#Headers],[25]],tabela_registros[REGISTRO],DADOS!$N$3)</f>
        <v>0</v>
      </c>
      <c r="AD14" s="114" t="n">
        <f aca="false">SUMIFS(tabela_registros[VALOR],tabela_registros[MÊS],$AE$1,tabela_registros[DIA],abrtotal305971[[#Headers],[26]],tabela_registros[REGISTRO],DADOS!$N$3)</f>
        <v>0</v>
      </c>
      <c r="AE14" s="114" t="n">
        <f aca="false">SUMIFS(tabela_registros[VALOR],tabela_registros[MÊS],$AE$1,tabela_registros[DIA],abrtotal305971[[#Headers],[27]],tabela_registros[REGISTRO],DADOS!$N$3)</f>
        <v>0</v>
      </c>
      <c r="AF14" s="114" t="n">
        <f aca="false">SUMIFS(tabela_registros[VALOR],tabela_registros[MÊS],$AE$1,tabela_registros[DIA],abrtotal305971[[#Headers],[28]],tabela_registros[REGISTRO],DADOS!$N$3)</f>
        <v>0</v>
      </c>
      <c r="AG14" s="114" t="n">
        <f aca="false">SUMIFS(tabela_registros[VALOR],tabela_registros[MÊS],$AE$1,tabela_registros[DIA],abrtotal305971[[#Headers],[29]],tabela_registros[REGISTRO],DADOS!$N$3)</f>
        <v>0</v>
      </c>
      <c r="AH14" s="115" t="n">
        <f aca="false">SUMIFS(tabela_registros[VALOR],tabela_registros[MÊS],$AE$1,tabela_registros[DIA],abrtotal305971[[#Headers],[30]],tabela_registros[REGISTRO],DADOS!$N$3)</f>
        <v>0</v>
      </c>
      <c r="AI14" s="116" t="n">
        <f aca="false">SUMIFS(tabela_registros[VALOR],tabela_registros[MÊS],$AE$1,tabela_registros[DIA],abrtotal305971[[#Headers],[31]],tabela_registros[REGISTRO],DADOS!$N$3)</f>
        <v>0</v>
      </c>
      <c r="AJ14" s="116" t="n">
        <f aca="false">SUM(abrtotal305971[[#This Row],[1]:[31]])</f>
        <v>0</v>
      </c>
      <c r="AK14" s="107"/>
    </row>
    <row r="15" customFormat="false" ht="18" hidden="false" customHeight="true" outlineLevel="0" collapsed="false">
      <c r="B15" s="107"/>
      <c r="C15" s="112" t="s">
        <v>72</v>
      </c>
      <c r="D15" s="113"/>
      <c r="E15" s="119" t="n">
        <f aca="false">SUMIFS(tabela_registros[VALOR],tabela_registros[MÊS],$AE$1,tabela_registros[DIA],abrtotal305971[[#Headers],[1]],tabela_registros[REGISTRO],DADOS!$N$4)</f>
        <v>0</v>
      </c>
      <c r="F15" s="119" t="n">
        <f aca="false">SUMIFS(tabela_registros[VALOR],tabela_registros[MÊS],$AE$1,tabela_registros[DIA],abrtotal305971[[#Headers],[2]],tabela_registros[REGISTRO],DADOS!$N$4)</f>
        <v>0</v>
      </c>
      <c r="G15" s="119" t="n">
        <f aca="false">SUMIFS(tabela_registros[VALOR],tabela_registros[MÊS],$AE$1,tabela_registros[DIA],abrtotal305971[[#Headers],[3]],tabela_registros[REGISTRO],DADOS!$N$4)</f>
        <v>0</v>
      </c>
      <c r="H15" s="119" t="n">
        <f aca="false">SUMIFS(tabela_registros[VALOR],tabela_registros[MÊS],$AE$1,tabela_registros[DIA],abrtotal305971[[#Headers],[4]],tabela_registros[REGISTRO],DADOS!$N$4)</f>
        <v>0</v>
      </c>
      <c r="I15" s="119" t="n">
        <f aca="false">SUMIFS(tabela_registros[VALOR],tabela_registros[MÊS],$AE$1,tabela_registros[DIA],abrtotal305971[[#Headers],[5]],tabela_registros[REGISTRO],DADOS!$N$4)</f>
        <v>0</v>
      </c>
      <c r="J15" s="119" t="n">
        <f aca="false">SUMIFS(tabela_registros[VALOR],tabela_registros[MÊS],$AE$1,tabela_registros[DIA],abrtotal305971[[#Headers],[6]],tabela_registros[REGISTRO],DADOS!$N$4)</f>
        <v>0</v>
      </c>
      <c r="K15" s="119" t="n">
        <f aca="false">SUMIFS(tabela_registros[VALOR],tabela_registros[MÊS],$AE$1,tabela_registros[DIA],abrtotal305971[[#Headers],[7]],tabela_registros[REGISTRO],DADOS!$N$4)</f>
        <v>0</v>
      </c>
      <c r="L15" s="119" t="n">
        <f aca="false">SUMIFS(tabela_registros[VALOR],tabela_registros[MÊS],$AE$1,tabela_registros[DIA],abrtotal305971[[#Headers],[8]],tabela_registros[REGISTRO],DADOS!$N$4)</f>
        <v>0</v>
      </c>
      <c r="M15" s="119" t="n">
        <f aca="false">SUMIFS(tabela_registros[VALOR],tabela_registros[MÊS],$AE$1,tabela_registros[DIA],abrtotal305971[[#Headers],[9]],tabela_registros[REGISTRO],DADOS!$N$4)</f>
        <v>0</v>
      </c>
      <c r="N15" s="119" t="n">
        <f aca="false">SUMIFS(tabela_registros[VALOR],tabela_registros[MÊS],$AE$1,tabela_registros[DIA],abrtotal305971[[#Headers],[10]],tabela_registros[REGISTRO],DADOS!$N$4)</f>
        <v>0</v>
      </c>
      <c r="O15" s="119" t="n">
        <f aca="false">SUMIFS(tabela_registros[VALOR],tabela_registros[MÊS],$AE$1,tabela_registros[DIA],abrtotal305971[[#Headers],[11]],tabela_registros[REGISTRO],DADOS!$N$4)</f>
        <v>0</v>
      </c>
      <c r="P15" s="119" t="n">
        <f aca="false">SUMIFS(tabela_registros[VALOR],tabela_registros[MÊS],$AE$1,tabela_registros[DIA],abrtotal305971[[#Headers],[12]],tabela_registros[REGISTRO],DADOS!$N$4)</f>
        <v>0</v>
      </c>
      <c r="Q15" s="119" t="n">
        <f aca="false">SUMIFS(tabela_registros[VALOR],tabela_registros[MÊS],$AE$1,tabela_registros[DIA],abrtotal305971[[#Headers],[13]],tabela_registros[REGISTRO],DADOS!$N$4)</f>
        <v>0</v>
      </c>
      <c r="R15" s="119" t="n">
        <f aca="false">SUMIFS(tabela_registros[VALOR],tabela_registros[MÊS],$AE$1,tabela_registros[DIA],abrtotal305971[[#Headers],[14]],tabela_registros[REGISTRO],DADOS!$N$4)</f>
        <v>0</v>
      </c>
      <c r="S15" s="119" t="n">
        <f aca="false">SUMIFS(tabela_registros[VALOR],tabela_registros[MÊS],$AE$1,tabela_registros[DIA],abrtotal305971[[#Headers],[15]],tabela_registros[REGISTRO],DADOS!$N$4)</f>
        <v>0</v>
      </c>
      <c r="T15" s="119" t="n">
        <f aca="false">SUMIFS(tabela_registros[VALOR],tabela_registros[MÊS],$AE$1,tabela_registros[DIA],abrtotal305971[[#Headers],[16]],tabela_registros[REGISTRO],DADOS!$N$4)</f>
        <v>0</v>
      </c>
      <c r="U15" s="119" t="n">
        <f aca="false">SUMIFS(tabela_registros[VALOR],tabela_registros[MÊS],$AE$1,tabela_registros[DIA],abrtotal305971[[#Headers],[17]],tabela_registros[REGISTRO],DADOS!$N$4)</f>
        <v>0</v>
      </c>
      <c r="V15" s="119" t="n">
        <f aca="false">SUMIFS(tabela_registros[VALOR],tabela_registros[MÊS],$AE$1,tabela_registros[DIA],abrtotal305971[[#Headers],[18]],tabela_registros[REGISTRO],DADOS!$N$4)</f>
        <v>0</v>
      </c>
      <c r="W15" s="119" t="n">
        <f aca="false">SUMIFS(tabela_registros[VALOR],tabela_registros[MÊS],$AE$1,tabela_registros[DIA],abrtotal305971[[#Headers],[19]],tabela_registros[REGISTRO],DADOS!$N$4)</f>
        <v>0</v>
      </c>
      <c r="X15" s="119" t="n">
        <f aca="false">SUMIFS(tabela_registros[VALOR],tabela_registros[MÊS],$AE$1,tabela_registros[DIA],abrtotal305971[[#Headers],[20]],tabela_registros[REGISTRO],DADOS!$N$4)</f>
        <v>0</v>
      </c>
      <c r="Y15" s="119" t="n">
        <f aca="false">SUMIFS(tabela_registros[VALOR],tabela_registros[MÊS],$AE$1,tabela_registros[DIA],abrtotal305971[[#Headers],[21]],tabela_registros[REGISTRO],DADOS!$N$4)</f>
        <v>0</v>
      </c>
      <c r="Z15" s="119" t="n">
        <f aca="false">SUMIFS(tabela_registros[VALOR],tabela_registros[MÊS],$AE$1,tabela_registros[DIA],abrtotal305971[[#Headers],[22]],tabela_registros[REGISTRO],DADOS!$N$4)</f>
        <v>0</v>
      </c>
      <c r="AA15" s="119" t="n">
        <f aca="false">SUMIFS(tabela_registros[VALOR],tabela_registros[MÊS],$AE$1,tabela_registros[DIA],abrtotal305971[[#Headers],[23]],tabela_registros[REGISTRO],DADOS!$N$4)</f>
        <v>0</v>
      </c>
      <c r="AB15" s="119" t="n">
        <f aca="false">SUMIFS(tabela_registros[VALOR],tabela_registros[MÊS],$AE$1,tabela_registros[DIA],abrtotal305971[[#Headers],[24]],tabela_registros[REGISTRO],DADOS!$N$4)</f>
        <v>0</v>
      </c>
      <c r="AC15" s="119" t="n">
        <f aca="false">SUMIFS(tabela_registros[VALOR],tabela_registros[MÊS],$AE$1,tabela_registros[DIA],abrtotal305971[[#Headers],[25]],tabela_registros[REGISTRO],DADOS!$N$4)</f>
        <v>0</v>
      </c>
      <c r="AD15" s="119" t="n">
        <f aca="false">SUMIFS(tabela_registros[VALOR],tabela_registros[MÊS],$AE$1,tabela_registros[DIA],abrtotal305971[[#Headers],[26]],tabela_registros[REGISTRO],DADOS!$N$4)</f>
        <v>0</v>
      </c>
      <c r="AE15" s="119" t="n">
        <f aca="false">SUMIFS(tabela_registros[VALOR],tabela_registros[MÊS],$AE$1,tabela_registros[DIA],abrtotal305971[[#Headers],[27]],tabela_registros[REGISTRO],DADOS!$N$4)</f>
        <v>0</v>
      </c>
      <c r="AF15" s="119" t="n">
        <f aca="false">SUMIFS(tabela_registros[VALOR],tabela_registros[MÊS],$AE$1,tabela_registros[DIA],abrtotal305971[[#Headers],[28]],tabela_registros[REGISTRO],DADOS!$N$4)</f>
        <v>0</v>
      </c>
      <c r="AG15" s="119" t="n">
        <f aca="false">SUMIFS(tabela_registros[VALOR],tabela_registros[MÊS],$AE$1,tabela_registros[DIA],abrtotal305971[[#Headers],[29]],tabela_registros[REGISTRO],DADOS!$N$4)</f>
        <v>0</v>
      </c>
      <c r="AH15" s="120" t="n">
        <f aca="false">SUMIFS(tabela_registros[VALOR],tabela_registros[MÊS],$AE$1,tabela_registros[DIA],abrtotal305971[[#Headers],[30]],tabela_registros[REGISTRO],DADOS!$N$4)</f>
        <v>0</v>
      </c>
      <c r="AI15" s="121" t="n">
        <f aca="false">SUMIFS(tabela_registros[VALOR],tabela_registros[MÊS],$AE$1,tabela_registros[DIA],abrtotal305971[[#Headers],[31]],tabela_registros[REGISTRO],DADOS!$N$4)</f>
        <v>0</v>
      </c>
      <c r="AJ15" s="121" t="n">
        <f aca="false">SUM(abrtotal305971[[#This Row],[1]:[31]])</f>
        <v>0</v>
      </c>
      <c r="AK15" s="107"/>
    </row>
    <row r="16" s="122" customFormat="true" ht="21" hidden="false" customHeight="true" outlineLevel="0" collapsed="false">
      <c r="B16" s="123"/>
      <c r="C16" s="124" t="s">
        <v>73</v>
      </c>
      <c r="D16" s="125"/>
      <c r="E16" s="126" t="n">
        <f aca="false">(E14-E15)+AI1</f>
        <v>0</v>
      </c>
      <c r="F16" s="127" t="n">
        <f aca="false">abrtotal305971[[#This Row],[1]]+(F14-F15)</f>
        <v>0</v>
      </c>
      <c r="G16" s="127" t="n">
        <f aca="false">abrtotal305971[[#This Row],[2]]+(G14-G15)</f>
        <v>0</v>
      </c>
      <c r="H16" s="127" t="n">
        <f aca="false">abrtotal305971[[#This Row],[3]]+(H14-H15)</f>
        <v>0</v>
      </c>
      <c r="I16" s="127" t="n">
        <f aca="false">abrtotal305971[[#This Row],[4]]+(I14-I15)</f>
        <v>0</v>
      </c>
      <c r="J16" s="127" t="n">
        <f aca="false">abrtotal305971[[#This Row],[5]]+(J14-J15)</f>
        <v>0</v>
      </c>
      <c r="K16" s="127" t="n">
        <f aca="false">abrtotal305971[[#This Row],[6]]+(K14-K15)</f>
        <v>0</v>
      </c>
      <c r="L16" s="127" t="n">
        <f aca="false">abrtotal305971[[#This Row],[7]]+(L14-L15)</f>
        <v>0</v>
      </c>
      <c r="M16" s="127" t="n">
        <f aca="false">abrtotal305971[[#This Row],[8]]+(M14-M15)</f>
        <v>0</v>
      </c>
      <c r="N16" s="127" t="n">
        <f aca="false">abrtotal305971[[#This Row],[9]]+(N14-N15)</f>
        <v>0</v>
      </c>
      <c r="O16" s="127" t="n">
        <f aca="false">abrtotal305971[[#This Row],[10]]+(O14-O15)</f>
        <v>0</v>
      </c>
      <c r="P16" s="127" t="n">
        <f aca="false">abrtotal305971[[#This Row],[11]]+(P14-P15)</f>
        <v>0</v>
      </c>
      <c r="Q16" s="127" t="n">
        <f aca="false">abrtotal305971[[#This Row],[12]]+(Q14-Q15)</f>
        <v>0</v>
      </c>
      <c r="R16" s="127" t="n">
        <f aca="false">abrtotal305971[[#This Row],[13]]+(R14-R15)</f>
        <v>0</v>
      </c>
      <c r="S16" s="127" t="n">
        <f aca="false">abrtotal305971[[#This Row],[14]]+(S14-S15)</f>
        <v>0</v>
      </c>
      <c r="T16" s="127" t="n">
        <f aca="false">abrtotal305971[[#This Row],[15]]+(T14-T15)</f>
        <v>0</v>
      </c>
      <c r="U16" s="127" t="n">
        <f aca="false">abrtotal305971[[#This Row],[16]]+(U14-U15)</f>
        <v>0</v>
      </c>
      <c r="V16" s="127" t="n">
        <f aca="false">abrtotal305971[[#This Row],[17]]+(V14-V15)</f>
        <v>0</v>
      </c>
      <c r="W16" s="127" t="n">
        <f aca="false">abrtotal305971[[#This Row],[18]]+(W14-W15)</f>
        <v>0</v>
      </c>
      <c r="X16" s="127" t="n">
        <f aca="false">abrtotal305971[[#This Row],[19]]+(X14-X15)</f>
        <v>0</v>
      </c>
      <c r="Y16" s="127" t="n">
        <f aca="false">abrtotal305971[[#This Row],[20]]+(Y14-Y15)</f>
        <v>0</v>
      </c>
      <c r="Z16" s="127" t="n">
        <f aca="false">abrtotal305971[[#This Row],[21]]+(Z14-Z15)</f>
        <v>0</v>
      </c>
      <c r="AA16" s="127" t="n">
        <f aca="false">abrtotal305971[[#This Row],[22]]+(AA14-AA15)</f>
        <v>0</v>
      </c>
      <c r="AB16" s="127" t="n">
        <f aca="false">abrtotal305971[[#This Row],[23]]+(AB14-AB15)</f>
        <v>0</v>
      </c>
      <c r="AC16" s="127" t="n">
        <f aca="false">abrtotal305971[[#This Row],[24]]+(AC14-AC15)</f>
        <v>0</v>
      </c>
      <c r="AD16" s="127" t="n">
        <f aca="false">abrtotal305971[[#This Row],[25]]+(AD14-AD15)</f>
        <v>0</v>
      </c>
      <c r="AE16" s="127" t="n">
        <f aca="false">abrtotal305971[[#This Row],[26]]+(AE14-AE15)</f>
        <v>0</v>
      </c>
      <c r="AF16" s="127" t="n">
        <f aca="false">abrtotal305971[[#This Row],[27]]+(AF14-AF15)</f>
        <v>0</v>
      </c>
      <c r="AG16" s="127" t="n">
        <f aca="false">abrtotal305971[[#This Row],[28]]+(AG14-AG15)</f>
        <v>0</v>
      </c>
      <c r="AH16" s="128" t="n">
        <f aca="false">abrtotal305971[[#This Row],[29]]+(AH14-AH15)</f>
        <v>0</v>
      </c>
      <c r="AI16" s="129" t="n">
        <f aca="false">abrtotal305971[[#This Row],[30]]+(AI14-AI15)</f>
        <v>0</v>
      </c>
      <c r="AJ16" s="129" t="n">
        <f aca="false">abrtotal305971[[#This Row],[31]]</f>
        <v>0</v>
      </c>
      <c r="AK16" s="123"/>
    </row>
    <row r="17" customFormat="false" ht="6.75" hidden="false" customHeight="true" outlineLevel="0" collapsed="false"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94"/>
      <c r="AJ17" s="107"/>
      <c r="AK17" s="107"/>
    </row>
    <row r="18" customFormat="false" ht="12.75" hidden="false" customHeight="false" outlineLevel="0" collapsed="false">
      <c r="C18" s="133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</row>
    <row r="19" customFormat="false" ht="12" hidden="false" customHeight="false" outlineLevel="0" collapsed="false">
      <c r="C19" s="133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</row>
    <row r="20" customFormat="false" ht="12" hidden="false" customHeight="false" outlineLevel="0" collapsed="false">
      <c r="A20" s="133"/>
      <c r="B20" s="133"/>
      <c r="C20" s="133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</row>
    <row r="21" customFormat="false" ht="39.75" hidden="false" customHeight="true" outlineLevel="0" collapsed="false">
      <c r="A21" s="133"/>
      <c r="B21" s="133"/>
      <c r="C21" s="133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3" t="s">
        <v>2</v>
      </c>
    </row>
    <row r="22" s="78" customFormat="true" ht="11.25" hidden="false" customHeight="true" outlineLevel="0" collapsed="false">
      <c r="C22" s="101"/>
      <c r="AJ22" s="106" t="s">
        <v>64</v>
      </c>
    </row>
    <row r="23" customFormat="false" ht="6.75" hidden="false" customHeight="true" outlineLevel="0" collapsed="false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94"/>
      <c r="AK23" s="107"/>
    </row>
    <row r="24" customFormat="false" ht="13.5" hidden="true" customHeight="false" outlineLevel="0" collapsed="false">
      <c r="B24" s="86"/>
      <c r="C24" s="110" t="s">
        <v>68</v>
      </c>
      <c r="D24" s="107" t="s">
        <v>69</v>
      </c>
      <c r="E24" s="110" t="s">
        <v>30</v>
      </c>
      <c r="F24" s="110" t="s">
        <v>31</v>
      </c>
      <c r="G24" s="110" t="s">
        <v>32</v>
      </c>
      <c r="H24" s="110" t="s">
        <v>33</v>
      </c>
      <c r="I24" s="110" t="s">
        <v>34</v>
      </c>
      <c r="J24" s="110" t="s">
        <v>35</v>
      </c>
      <c r="K24" s="110" t="s">
        <v>36</v>
      </c>
      <c r="L24" s="110" t="s">
        <v>37</v>
      </c>
      <c r="M24" s="110" t="s">
        <v>38</v>
      </c>
      <c r="N24" s="110" t="s">
        <v>39</v>
      </c>
      <c r="O24" s="110" t="s">
        <v>40</v>
      </c>
      <c r="P24" s="110" t="s">
        <v>41</v>
      </c>
      <c r="Q24" s="110" t="s">
        <v>81</v>
      </c>
      <c r="R24" s="110" t="s">
        <v>82</v>
      </c>
      <c r="S24" s="110" t="s">
        <v>83</v>
      </c>
      <c r="T24" s="110" t="s">
        <v>84</v>
      </c>
      <c r="U24" s="110" t="s">
        <v>85</v>
      </c>
      <c r="V24" s="110" t="s">
        <v>86</v>
      </c>
      <c r="W24" s="110" t="s">
        <v>87</v>
      </c>
      <c r="X24" s="110" t="s">
        <v>88</v>
      </c>
      <c r="Y24" s="110" t="s">
        <v>89</v>
      </c>
      <c r="Z24" s="110" t="s">
        <v>90</v>
      </c>
      <c r="AA24" s="110" t="s">
        <v>91</v>
      </c>
      <c r="AB24" s="110" t="s">
        <v>92</v>
      </c>
      <c r="AC24" s="110" t="s">
        <v>93</v>
      </c>
      <c r="AD24" s="110" t="s">
        <v>94</v>
      </c>
      <c r="AE24" s="110" t="s">
        <v>95</v>
      </c>
      <c r="AF24" s="110" t="s">
        <v>96</v>
      </c>
      <c r="AG24" s="110" t="s">
        <v>97</v>
      </c>
      <c r="AH24" s="110" t="s">
        <v>98</v>
      </c>
      <c r="AI24" s="110" t="s">
        <v>99</v>
      </c>
      <c r="AJ24" s="111" t="s">
        <v>70</v>
      </c>
      <c r="AK24" s="107"/>
    </row>
    <row r="25" customFormat="false" ht="19.5" hidden="false" customHeight="true" outlineLevel="0" collapsed="false">
      <c r="B25" s="107"/>
      <c r="C25" s="112" t="s">
        <v>15</v>
      </c>
      <c r="D25" s="113"/>
      <c r="E25" s="114" t="n">
        <f aca="false">SUMIFS(tabela_registros[VALOR],tabela_registros[MÊS],$AE$1,tabela_registros[DIA],abrtotal305971[[#Headers],[1]],tabela_registros[REGISTRO],DADOS!$N$5)</f>
        <v>0</v>
      </c>
      <c r="F25" s="114" t="n">
        <f aca="false">SUMIFS(tabela_registros[VALOR],tabela_registros[MÊS],$AE$1,tabela_registros[DIA],abrtotal305971[[#Headers],[2]],tabela_registros[REGISTRO],DADOS!$N$5)</f>
        <v>0</v>
      </c>
      <c r="G25" s="114" t="n">
        <f aca="false">SUMIFS(tabela_registros[VALOR],tabela_registros[MÊS],$AE$1,tabela_registros[DIA],abrtotal305971[[#Headers],[3]],tabela_registros[REGISTRO],DADOS!$N$5)</f>
        <v>0</v>
      </c>
      <c r="H25" s="114" t="n">
        <f aca="false">SUMIFS(tabela_registros[VALOR],tabela_registros[MÊS],$AE$1,tabela_registros[DIA],abrtotal305971[[#Headers],[4]],tabela_registros[REGISTRO],DADOS!$N$5)</f>
        <v>0</v>
      </c>
      <c r="I25" s="114" t="n">
        <f aca="false">SUMIFS(tabela_registros[VALOR],tabela_registros[MÊS],$AE$1,tabela_registros[DIA],abrtotal305971[[#Headers],[5]],tabela_registros[REGISTRO],DADOS!$N$5)</f>
        <v>0</v>
      </c>
      <c r="J25" s="114" t="n">
        <f aca="false">SUMIFS(tabela_registros[VALOR],tabela_registros[MÊS],$AE$1,tabela_registros[DIA],abrtotal305971[[#Headers],[6]],tabela_registros[REGISTRO],DADOS!$N$5)</f>
        <v>0</v>
      </c>
      <c r="K25" s="114" t="n">
        <f aca="false">SUMIFS(tabela_registros[VALOR],tabela_registros[MÊS],$AE$1,tabela_registros[DIA],abrtotal305971[[#Headers],[7]],tabela_registros[REGISTRO],DADOS!$N$5)</f>
        <v>0</v>
      </c>
      <c r="L25" s="114" t="n">
        <f aca="false">SUMIFS(tabela_registros[VALOR],tabela_registros[MÊS],$AE$1,tabela_registros[DIA],abrtotal305971[[#Headers],[8]],tabela_registros[REGISTRO],DADOS!$N$5)</f>
        <v>0</v>
      </c>
      <c r="M25" s="114" t="n">
        <f aca="false">SUMIFS(tabela_registros[VALOR],tabela_registros[MÊS],$AE$1,tabela_registros[DIA],abrtotal305971[[#Headers],[9]],tabela_registros[REGISTRO],DADOS!$N$5)</f>
        <v>0</v>
      </c>
      <c r="N25" s="114" t="n">
        <f aca="false">SUMIFS(tabela_registros[VALOR],tabela_registros[MÊS],$AE$1,tabela_registros[DIA],abrtotal305971[[#Headers],[10]],tabela_registros[REGISTRO],DADOS!$N$5)</f>
        <v>0</v>
      </c>
      <c r="O25" s="114" t="n">
        <f aca="false">SUMIFS(tabela_registros[VALOR],tabela_registros[MÊS],$AE$1,tabela_registros[DIA],abrtotal305971[[#Headers],[11]],tabela_registros[REGISTRO],DADOS!$N$5)</f>
        <v>0</v>
      </c>
      <c r="P25" s="114" t="n">
        <f aca="false">SUMIFS(tabela_registros[VALOR],tabela_registros[MÊS],$AE$1,tabela_registros[DIA],abrtotal305971[[#Headers],[12]],tabela_registros[REGISTRO],DADOS!$N$5)</f>
        <v>0</v>
      </c>
      <c r="Q25" s="114" t="n">
        <f aca="false">SUMIFS(tabela_registros[VALOR],tabela_registros[MÊS],$AE$1,tabela_registros[DIA],abrtotal305971[[#Headers],[13]],tabela_registros[REGISTRO],DADOS!$N$5)</f>
        <v>0</v>
      </c>
      <c r="R25" s="114" t="n">
        <f aca="false">SUMIFS(tabela_registros[VALOR],tabela_registros[MÊS],$AE$1,tabela_registros[DIA],abrtotal305971[[#Headers],[14]],tabela_registros[REGISTRO],DADOS!$N$5)</f>
        <v>0</v>
      </c>
      <c r="S25" s="114" t="n">
        <f aca="false">SUMIFS(tabela_registros[VALOR],tabela_registros[MÊS],$AE$1,tabela_registros[DIA],abrtotal305971[[#Headers],[15]],tabela_registros[REGISTRO],DADOS!$N$5)</f>
        <v>0</v>
      </c>
      <c r="T25" s="114" t="n">
        <f aca="false">SUMIFS(tabela_registros[VALOR],tabela_registros[MÊS],$AE$1,tabela_registros[DIA],abrtotal305971[[#Headers],[16]],tabela_registros[REGISTRO],DADOS!$N$5)</f>
        <v>0</v>
      </c>
      <c r="U25" s="114" t="n">
        <f aca="false">SUMIFS(tabela_registros[VALOR],tabela_registros[MÊS],$AE$1,tabela_registros[DIA],abrtotal305971[[#Headers],[17]],tabela_registros[REGISTRO],DADOS!$N$5)</f>
        <v>0</v>
      </c>
      <c r="V25" s="114" t="n">
        <f aca="false">SUMIFS(tabela_registros[VALOR],tabela_registros[MÊS],$AE$1,tabela_registros[DIA],abrtotal305971[[#Headers],[18]],tabela_registros[REGISTRO],DADOS!$N$5)</f>
        <v>0</v>
      </c>
      <c r="W25" s="114" t="n">
        <f aca="false">SUMIFS(tabela_registros[VALOR],tabela_registros[MÊS],$AE$1,tabela_registros[DIA],abrtotal305971[[#Headers],[19]],tabela_registros[REGISTRO],DADOS!$N$5)</f>
        <v>0</v>
      </c>
      <c r="X25" s="114" t="n">
        <f aca="false">SUMIFS(tabela_registros[VALOR],tabela_registros[MÊS],$AE$1,tabela_registros[DIA],abrtotal305971[[#Headers],[20]],tabela_registros[REGISTRO],DADOS!$N$5)</f>
        <v>0</v>
      </c>
      <c r="Y25" s="114" t="n">
        <f aca="false">SUMIFS(tabela_registros[VALOR],tabela_registros[MÊS],$AE$1,tabela_registros[DIA],abrtotal305971[[#Headers],[21]],tabela_registros[REGISTRO],DADOS!$N$5)</f>
        <v>0</v>
      </c>
      <c r="Z25" s="114" t="n">
        <f aca="false">SUMIFS(tabela_registros[VALOR],tabela_registros[MÊS],$AE$1,tabela_registros[DIA],abrtotal305971[[#Headers],[22]],tabela_registros[REGISTRO],DADOS!$N$5)</f>
        <v>0</v>
      </c>
      <c r="AA25" s="114" t="n">
        <f aca="false">SUMIFS(tabela_registros[VALOR],tabela_registros[MÊS],$AE$1,tabela_registros[DIA],abrtotal305971[[#Headers],[23]],tabela_registros[REGISTRO],DADOS!$N$5)</f>
        <v>0</v>
      </c>
      <c r="AB25" s="114" t="n">
        <f aca="false">SUMIFS(tabela_registros[VALOR],tabela_registros[MÊS],$AE$1,tabela_registros[DIA],abrtotal305971[[#Headers],[24]],tabela_registros[REGISTRO],DADOS!$N$5)</f>
        <v>0</v>
      </c>
      <c r="AC25" s="114" t="n">
        <f aca="false">SUMIFS(tabela_registros[VALOR],tabela_registros[MÊS],$AE$1,tabela_registros[DIA],abrtotal305971[[#Headers],[25]],tabela_registros[REGISTRO],DADOS!$N$5)</f>
        <v>0</v>
      </c>
      <c r="AD25" s="114" t="n">
        <f aca="false">SUMIFS(tabela_registros[VALOR],tabela_registros[MÊS],$AE$1,tabela_registros[DIA],abrtotal305971[[#Headers],[26]],tabela_registros[REGISTRO],DADOS!$N$5)</f>
        <v>0</v>
      </c>
      <c r="AE25" s="114" t="n">
        <f aca="false">SUMIFS(tabela_registros[VALOR],tabela_registros[MÊS],$AE$1,tabela_registros[DIA],abrtotal305971[[#Headers],[27]],tabela_registros[REGISTRO],DADOS!$N$5)</f>
        <v>0</v>
      </c>
      <c r="AF25" s="114" t="n">
        <f aca="false">SUMIFS(tabela_registros[VALOR],tabela_registros[MÊS],$AE$1,tabela_registros[DIA],abrtotal305971[[#Headers],[28]],tabela_registros[REGISTRO],DADOS!$N$5)</f>
        <v>0</v>
      </c>
      <c r="AG25" s="114" t="n">
        <f aca="false">SUMIFS(tabela_registros[VALOR],tabela_registros[MÊS],$AE$1,tabela_registros[DIA],abrtotal305971[[#Headers],[29]],tabela_registros[REGISTRO],DADOS!$N$5)</f>
        <v>0</v>
      </c>
      <c r="AH25" s="115" t="n">
        <f aca="false">SUMIFS(tabela_registros[VALOR],tabela_registros[MÊS],$AE$1,tabela_registros[DIA],abrtotal305971[[#Headers],[30]],tabela_registros[REGISTRO],DADOS!$N$5)</f>
        <v>0</v>
      </c>
      <c r="AI25" s="116" t="n">
        <f aca="false">SUMIFS(tabela_registros[VALOR],tabela_registros[MÊS],$AE$1,tabela_registros[DIA],abrtotal305971[[#Headers],[31]],tabela_registros[REGISTRO],DADOS!$N$5)</f>
        <v>0</v>
      </c>
      <c r="AJ25" s="116" t="n">
        <f aca="false">SUM(E25:AI25)</f>
        <v>0</v>
      </c>
      <c r="AK25" s="107"/>
    </row>
    <row r="26" customFormat="false" ht="18" hidden="false" customHeight="true" outlineLevel="0" collapsed="false">
      <c r="B26" s="107"/>
      <c r="C26" s="135" t="s">
        <v>14</v>
      </c>
      <c r="D26" s="136"/>
      <c r="E26" s="119" t="n">
        <f aca="false">SUMIFS(tabela_registros[VALOR],tabela_registros[MÊS],$AE$1,tabela_registros[DIA],abrtotal305971[[#Headers],[1]],tabela_registros[REGISTRO],DADOS!$N$6)</f>
        <v>0</v>
      </c>
      <c r="F26" s="119" t="n">
        <f aca="false">SUMIFS(tabela_registros[VALOR],tabela_registros[MÊS],$AE$1,tabela_registros[DIA],abrtotal305971[[#Headers],[2]],tabela_registros[REGISTRO],DADOS!$N$6)</f>
        <v>0</v>
      </c>
      <c r="G26" s="119" t="n">
        <f aca="false">SUMIFS(tabela_registros[VALOR],tabela_registros[MÊS],$AE$1,tabela_registros[DIA],abrtotal305971[[#Headers],[3]],tabela_registros[REGISTRO],DADOS!$N$6)</f>
        <v>0</v>
      </c>
      <c r="H26" s="119" t="n">
        <f aca="false">SUMIFS(tabela_registros[VALOR],tabela_registros[MÊS],$AE$1,tabela_registros[DIA],abrtotal305971[[#Headers],[4]],tabela_registros[REGISTRO],DADOS!$N$6)</f>
        <v>0</v>
      </c>
      <c r="I26" s="119" t="n">
        <f aca="false">SUMIFS(tabela_registros[VALOR],tabela_registros[MÊS],$AE$1,tabela_registros[DIA],abrtotal305971[[#Headers],[5]],tabela_registros[REGISTRO],DADOS!$N$6)</f>
        <v>0</v>
      </c>
      <c r="J26" s="119" t="n">
        <f aca="false">SUMIFS(tabela_registros[VALOR],tabela_registros[MÊS],$AE$1,tabela_registros[DIA],abrtotal305971[[#Headers],[6]],tabela_registros[REGISTRO],DADOS!$N$6)</f>
        <v>0</v>
      </c>
      <c r="K26" s="119" t="n">
        <f aca="false">SUMIFS(tabela_registros[VALOR],tabela_registros[MÊS],$AE$1,tabela_registros[DIA],abrtotal305971[[#Headers],[7]],tabela_registros[REGISTRO],DADOS!$N$6)</f>
        <v>0</v>
      </c>
      <c r="L26" s="119" t="n">
        <f aca="false">SUMIFS(tabela_registros[VALOR],tabela_registros[MÊS],$AE$1,tabela_registros[DIA],abrtotal305971[[#Headers],[8]],tabela_registros[REGISTRO],DADOS!$N$6)</f>
        <v>0</v>
      </c>
      <c r="M26" s="119" t="n">
        <f aca="false">SUMIFS(tabela_registros[VALOR],tabela_registros[MÊS],$AE$1,tabela_registros[DIA],abrtotal305971[[#Headers],[9]],tabela_registros[REGISTRO],DADOS!$N$6)</f>
        <v>0</v>
      </c>
      <c r="N26" s="119" t="n">
        <f aca="false">SUMIFS(tabela_registros[VALOR],tabela_registros[MÊS],$AE$1,tabela_registros[DIA],abrtotal305971[[#Headers],[10]],tabela_registros[REGISTRO],DADOS!$N$6)</f>
        <v>0</v>
      </c>
      <c r="O26" s="119" t="n">
        <f aca="false">SUMIFS(tabela_registros[VALOR],tabela_registros[MÊS],$AE$1,tabela_registros[DIA],abrtotal305971[[#Headers],[11]],tabela_registros[REGISTRO],DADOS!$N$6)</f>
        <v>0</v>
      </c>
      <c r="P26" s="119" t="n">
        <f aca="false">SUMIFS(tabela_registros[VALOR],tabela_registros[MÊS],$AE$1,tabela_registros[DIA],abrtotal305971[[#Headers],[12]],tabela_registros[REGISTRO],DADOS!$N$6)</f>
        <v>0</v>
      </c>
      <c r="Q26" s="119" t="n">
        <f aca="false">SUMIFS(tabela_registros[VALOR],tabela_registros[MÊS],$AE$1,tabela_registros[DIA],abrtotal305971[[#Headers],[13]],tabela_registros[REGISTRO],DADOS!$N$6)</f>
        <v>0</v>
      </c>
      <c r="R26" s="119" t="n">
        <f aca="false">SUMIFS(tabela_registros[VALOR],tabela_registros[MÊS],$AE$1,tabela_registros[DIA],abrtotal305971[[#Headers],[14]],tabela_registros[REGISTRO],DADOS!$N$6)</f>
        <v>0</v>
      </c>
      <c r="S26" s="119" t="n">
        <f aca="false">SUMIFS(tabela_registros[VALOR],tabela_registros[MÊS],$AE$1,tabela_registros[DIA],abrtotal305971[[#Headers],[15]],tabela_registros[REGISTRO],DADOS!$N$6)</f>
        <v>0</v>
      </c>
      <c r="T26" s="119" t="n">
        <f aca="false">SUMIFS(tabela_registros[VALOR],tabela_registros[MÊS],$AE$1,tabela_registros[DIA],abrtotal305971[[#Headers],[16]],tabela_registros[REGISTRO],DADOS!$N$6)</f>
        <v>0</v>
      </c>
      <c r="U26" s="119" t="n">
        <f aca="false">SUMIFS(tabela_registros[VALOR],tabela_registros[MÊS],$AE$1,tabela_registros[DIA],abrtotal305971[[#Headers],[17]],tabela_registros[REGISTRO],DADOS!$N$6)</f>
        <v>0</v>
      </c>
      <c r="V26" s="119" t="n">
        <f aca="false">SUMIFS(tabela_registros[VALOR],tabela_registros[MÊS],$AE$1,tabela_registros[DIA],abrtotal305971[[#Headers],[18]],tabela_registros[REGISTRO],DADOS!$N$6)</f>
        <v>0</v>
      </c>
      <c r="W26" s="119" t="n">
        <f aca="false">SUMIFS(tabela_registros[VALOR],tabela_registros[MÊS],$AE$1,tabela_registros[DIA],abrtotal305971[[#Headers],[19]],tabela_registros[REGISTRO],DADOS!$N$6)</f>
        <v>0</v>
      </c>
      <c r="X26" s="119" t="n">
        <f aca="false">SUMIFS(tabela_registros[VALOR],tabela_registros[MÊS],$AE$1,tabela_registros[DIA],abrtotal305971[[#Headers],[20]],tabela_registros[REGISTRO],DADOS!$N$6)</f>
        <v>0</v>
      </c>
      <c r="Y26" s="119" t="n">
        <f aca="false">SUMIFS(tabela_registros[VALOR],tabela_registros[MÊS],$AE$1,tabela_registros[DIA],abrtotal305971[[#Headers],[21]],tabela_registros[REGISTRO],DADOS!$N$6)</f>
        <v>0</v>
      </c>
      <c r="Z26" s="119" t="n">
        <f aca="false">SUMIFS(tabela_registros[VALOR],tabela_registros[MÊS],$AE$1,tabela_registros[DIA],abrtotal305971[[#Headers],[22]],tabela_registros[REGISTRO],DADOS!$N$6)</f>
        <v>0</v>
      </c>
      <c r="AA26" s="119" t="n">
        <f aca="false">SUMIFS(tabela_registros[VALOR],tabela_registros[MÊS],$AE$1,tabela_registros[DIA],abrtotal305971[[#Headers],[23]],tabela_registros[REGISTRO],DADOS!$N$6)</f>
        <v>0</v>
      </c>
      <c r="AB26" s="119" t="n">
        <f aca="false">SUMIFS(tabela_registros[VALOR],tabela_registros[MÊS],$AE$1,tabela_registros[DIA],abrtotal305971[[#Headers],[24]],tabela_registros[REGISTRO],DADOS!$N$6)</f>
        <v>0</v>
      </c>
      <c r="AC26" s="119" t="n">
        <f aca="false">SUMIFS(tabela_registros[VALOR],tabela_registros[MÊS],$AE$1,tabela_registros[DIA],abrtotal305971[[#Headers],[25]],tabela_registros[REGISTRO],DADOS!$N$6)</f>
        <v>0</v>
      </c>
      <c r="AD26" s="119" t="n">
        <f aca="false">SUMIFS(tabela_registros[VALOR],tabela_registros[MÊS],$AE$1,tabela_registros[DIA],abrtotal305971[[#Headers],[26]],tabela_registros[REGISTRO],DADOS!$N$6)</f>
        <v>0</v>
      </c>
      <c r="AE26" s="119" t="n">
        <f aca="false">SUMIFS(tabela_registros[VALOR],tabela_registros[MÊS],$AE$1,tabela_registros[DIA],abrtotal305971[[#Headers],[27]],tabela_registros[REGISTRO],DADOS!$N$6)</f>
        <v>0</v>
      </c>
      <c r="AF26" s="119" t="n">
        <f aca="false">SUMIFS(tabela_registros[VALOR],tabela_registros[MÊS],$AE$1,tabela_registros[DIA],abrtotal305971[[#Headers],[28]],tabela_registros[REGISTRO],DADOS!$N$6)</f>
        <v>0</v>
      </c>
      <c r="AG26" s="119" t="n">
        <f aca="false">SUMIFS(tabela_registros[VALOR],tabela_registros[MÊS],$AE$1,tabela_registros[DIA],abrtotal305971[[#Headers],[29]],tabela_registros[REGISTRO],DADOS!$N$6)</f>
        <v>0</v>
      </c>
      <c r="AH26" s="120" t="n">
        <f aca="false">SUMIFS(tabela_registros[VALOR],tabela_registros[MÊS],$AE$1,tabela_registros[DIA],abrtotal305971[[#Headers],[30]],tabela_registros[REGISTRO],DADOS!$N$6)</f>
        <v>0</v>
      </c>
      <c r="AI26" s="121" t="n">
        <f aca="false">SUMIFS(tabela_registros[VALOR],tabela_registros[MÊS],$AE$1,tabela_registros[DIA],abrtotal305971[[#Headers],[31]],tabela_registros[REGISTRO],DADOS!$N$6)</f>
        <v>0</v>
      </c>
      <c r="AJ26" s="121" t="n">
        <f aca="false">SUM(E26:AI26)</f>
        <v>0</v>
      </c>
      <c r="AK26" s="107"/>
    </row>
    <row r="27" s="122" customFormat="true" ht="21" hidden="false" customHeight="true" outlineLevel="0" collapsed="false">
      <c r="B27" s="123"/>
      <c r="C27" s="124" t="s">
        <v>2</v>
      </c>
      <c r="D27" s="137"/>
      <c r="E27" s="126" t="n">
        <f aca="false">SUM(E25:E26)</f>
        <v>0</v>
      </c>
      <c r="F27" s="127" t="n">
        <f aca="false">SUM(F25:F26)+abrinvestir215870[[#This Row],[1]]</f>
        <v>0</v>
      </c>
      <c r="G27" s="127" t="n">
        <f aca="false">SUM(G25:G26)+abrinvestir215870[[#This Row],[2]]</f>
        <v>0</v>
      </c>
      <c r="H27" s="127" t="n">
        <f aca="false">SUM(H25:H26)+abrinvestir215870[[#This Row],[3]]</f>
        <v>0</v>
      </c>
      <c r="I27" s="127" t="n">
        <f aca="false">SUM(I25:I26)+abrinvestir215870[[#This Row],[4]]</f>
        <v>0</v>
      </c>
      <c r="J27" s="127" t="n">
        <f aca="false">SUM(J25:J26)+abrinvestir215870[[#This Row],[5]]</f>
        <v>0</v>
      </c>
      <c r="K27" s="127" t="n">
        <f aca="false">SUM(K25:K26)+abrinvestir215870[[#This Row],[6]]</f>
        <v>0</v>
      </c>
      <c r="L27" s="127" t="n">
        <f aca="false">SUM(L25:L26)+abrinvestir215870[[#This Row],[7]]</f>
        <v>0</v>
      </c>
      <c r="M27" s="127" t="n">
        <f aca="false">SUM(M25:M26)+abrinvestir215870[[#This Row],[8]]</f>
        <v>0</v>
      </c>
      <c r="N27" s="127" t="n">
        <f aca="false">SUM(N25:N26)+abrinvestir215870[[#This Row],[9]]</f>
        <v>0</v>
      </c>
      <c r="O27" s="127" t="n">
        <f aca="false">SUM(O25:O26)+abrinvestir215870[[#This Row],[10]]</f>
        <v>0</v>
      </c>
      <c r="P27" s="127" t="n">
        <f aca="false">SUM(P25:P26)+abrinvestir215870[[#This Row],[11]]</f>
        <v>0</v>
      </c>
      <c r="Q27" s="127" t="n">
        <f aca="false">SUM(Q25:Q26)+abrinvestir215870[[#This Row],[12]]</f>
        <v>0</v>
      </c>
      <c r="R27" s="127" t="n">
        <f aca="false">SUM(R25:R26)+abrinvestir215870[[#This Row],[13]]</f>
        <v>0</v>
      </c>
      <c r="S27" s="127" t="n">
        <f aca="false">SUM(S25:S26)+abrinvestir215870[[#This Row],[14]]</f>
        <v>0</v>
      </c>
      <c r="T27" s="127" t="n">
        <f aca="false">SUM(T25:T26)+abrinvestir215870[[#This Row],[15]]</f>
        <v>0</v>
      </c>
      <c r="U27" s="127" t="n">
        <f aca="false">SUM(U25:U26)+abrinvestir215870[[#This Row],[16]]</f>
        <v>0</v>
      </c>
      <c r="V27" s="127" t="n">
        <f aca="false">SUM(V25:V26)+abrinvestir215870[[#This Row],[17]]</f>
        <v>0</v>
      </c>
      <c r="W27" s="127" t="n">
        <f aca="false">SUM(W25:W26)+abrinvestir215870[[#This Row],[18]]</f>
        <v>0</v>
      </c>
      <c r="X27" s="127" t="n">
        <f aca="false">SUM(X25:X26)+abrinvestir215870[[#This Row],[19]]</f>
        <v>0</v>
      </c>
      <c r="Y27" s="127" t="n">
        <f aca="false">SUM(Y25:Y26)+abrinvestir215870[[#This Row],[20]]</f>
        <v>0</v>
      </c>
      <c r="Z27" s="127" t="n">
        <f aca="false">SUM(Z25:Z26)+abrinvestir215870[[#This Row],[21]]</f>
        <v>0</v>
      </c>
      <c r="AA27" s="127" t="n">
        <f aca="false">SUM(AA25:AA26)+abrinvestir215870[[#This Row],[22]]</f>
        <v>0</v>
      </c>
      <c r="AB27" s="127" t="n">
        <f aca="false">SUM(AB25:AB26)+abrinvestir215870[[#This Row],[23]]</f>
        <v>0</v>
      </c>
      <c r="AC27" s="127" t="n">
        <f aca="false">SUM(AC25:AC26)+abrinvestir215870[[#This Row],[24]]</f>
        <v>0</v>
      </c>
      <c r="AD27" s="127" t="n">
        <f aca="false">SUM(AD25:AD26)+abrinvestir215870[[#This Row],[25]]</f>
        <v>0</v>
      </c>
      <c r="AE27" s="127" t="n">
        <f aca="false">SUM(AE25:AE26)+abrinvestir215870[[#This Row],[26]]</f>
        <v>0</v>
      </c>
      <c r="AF27" s="127" t="n">
        <f aca="false">SUM(AF25:AF26)+abrinvestir215870[[#This Row],[27]]</f>
        <v>0</v>
      </c>
      <c r="AG27" s="127" t="n">
        <f aca="false">SUM(AG25:AG26)+abrinvestir215870[[#This Row],[28]]</f>
        <v>0</v>
      </c>
      <c r="AH27" s="128" t="n">
        <f aca="false">SUM(AH25:AH26)+abrinvestir215870[[#This Row],[29]]</f>
        <v>0</v>
      </c>
      <c r="AI27" s="129" t="n">
        <f aca="false">SUM(AI25:AI26)+abrinvestir215870[[#This Row],[30]]</f>
        <v>0</v>
      </c>
      <c r="AJ27" s="129" t="n">
        <f aca="false">abrinvestir215870[[#This Row],[31]]</f>
        <v>0</v>
      </c>
      <c r="AK27" s="123"/>
    </row>
    <row r="28" customFormat="false" ht="6.75" hidden="true" customHeight="true" outlineLevel="0" collapsed="false">
      <c r="B28" s="107"/>
      <c r="C28" s="78" t="s">
        <v>73</v>
      </c>
      <c r="E28" s="138" t="n">
        <f aca="false">SUBTOTAL(109,abrinvestir215870[1])</f>
        <v>0</v>
      </c>
      <c r="F28" s="138" t="n">
        <f aca="false">SUBTOTAL(109,abrinvestir215870[2])</f>
        <v>0</v>
      </c>
      <c r="G28" s="138" t="n">
        <f aca="false">SUBTOTAL(109,abrinvestir215870[3])</f>
        <v>0</v>
      </c>
      <c r="H28" s="138" t="n">
        <f aca="false">SUBTOTAL(109,abrinvestir215870[4])</f>
        <v>0</v>
      </c>
      <c r="I28" s="138" t="n">
        <f aca="false">SUBTOTAL(109,abrinvestir215870[5])</f>
        <v>0</v>
      </c>
      <c r="J28" s="138" t="n">
        <f aca="false">SUBTOTAL(109,abrinvestir215870[6])</f>
        <v>0</v>
      </c>
      <c r="K28" s="138" t="n">
        <f aca="false">SUBTOTAL(109,abrinvestir215870[7])</f>
        <v>0</v>
      </c>
      <c r="L28" s="138" t="n">
        <f aca="false">SUBTOTAL(109,abrinvestir215870[8])</f>
        <v>0</v>
      </c>
      <c r="M28" s="138" t="n">
        <f aca="false">SUBTOTAL(109,abrinvestir215870[9])</f>
        <v>0</v>
      </c>
      <c r="N28" s="138" t="n">
        <f aca="false">SUBTOTAL(109,abrinvestir215870[10])</f>
        <v>0</v>
      </c>
      <c r="O28" s="138" t="n">
        <f aca="false">SUBTOTAL(109,abrinvestir215870[11])</f>
        <v>0</v>
      </c>
      <c r="P28" s="138" t="n">
        <f aca="false">SUBTOTAL(109,abrinvestir215870[12])</f>
        <v>0</v>
      </c>
      <c r="Q28" s="138" t="n">
        <f aca="false">SUBTOTAL(109,abrinvestir215870[13])</f>
        <v>0</v>
      </c>
      <c r="R28" s="138" t="n">
        <f aca="false">SUBTOTAL(109,abrinvestir215870[14])</f>
        <v>0</v>
      </c>
      <c r="S28" s="138" t="n">
        <f aca="false">SUBTOTAL(109,abrinvestir215870[15])</f>
        <v>0</v>
      </c>
      <c r="T28" s="138" t="n">
        <f aca="false">SUBTOTAL(109,abrinvestir215870[16])</f>
        <v>0</v>
      </c>
      <c r="U28" s="138" t="n">
        <f aca="false">SUBTOTAL(109,abrinvestir215870[17])</f>
        <v>0</v>
      </c>
      <c r="V28" s="138" t="n">
        <f aca="false">SUBTOTAL(109,abrinvestir215870[18])</f>
        <v>0</v>
      </c>
      <c r="W28" s="138" t="n">
        <f aca="false">SUBTOTAL(109,abrinvestir215870[19])</f>
        <v>0</v>
      </c>
      <c r="X28" s="138" t="n">
        <f aca="false">SUBTOTAL(109,abrinvestir215870[20])</f>
        <v>0</v>
      </c>
      <c r="Y28" s="138" t="n">
        <f aca="false">SUBTOTAL(109,abrinvestir215870[21])</f>
        <v>0</v>
      </c>
      <c r="Z28" s="138" t="n">
        <f aca="false">SUBTOTAL(109,abrinvestir215870[22])</f>
        <v>0</v>
      </c>
      <c r="AA28" s="138" t="n">
        <f aca="false">SUBTOTAL(109,abrinvestir215870[23])</f>
        <v>0</v>
      </c>
      <c r="AB28" s="138" t="n">
        <f aca="false">SUBTOTAL(109,abrinvestir215870[24])</f>
        <v>0</v>
      </c>
      <c r="AC28" s="138" t="n">
        <f aca="false">SUBTOTAL(109,abrinvestir215870[25])</f>
        <v>0</v>
      </c>
      <c r="AD28" s="138" t="n">
        <f aca="false">SUBTOTAL(109,abrinvestir215870[26])</f>
        <v>0</v>
      </c>
      <c r="AE28" s="138" t="n">
        <f aca="false">SUBTOTAL(109,abrinvestir215870[27])</f>
        <v>0</v>
      </c>
      <c r="AF28" s="138" t="n">
        <f aca="false">SUBTOTAL(109,abrinvestir215870[28])</f>
        <v>0</v>
      </c>
      <c r="AG28" s="138" t="n">
        <f aca="false">SUBTOTAL(109,abrinvestir215870[29])</f>
        <v>0</v>
      </c>
      <c r="AH28" s="138" t="n">
        <f aca="false">SUBTOTAL(109,abrinvestir215870[30])</f>
        <v>0</v>
      </c>
      <c r="AI28" s="138" t="n">
        <f aca="false">SUBTOTAL(109,abrinvestir215870[31])</f>
        <v>0</v>
      </c>
      <c r="AJ28" s="138" t="n">
        <f aca="false">SUBTOTAL(109,abrinvestir215870[TOTAL (R$)])</f>
        <v>0</v>
      </c>
      <c r="AK28" s="107"/>
    </row>
    <row r="29" customFormat="false" ht="6.75" hidden="false" customHeight="true" outlineLevel="0" collapsed="false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94"/>
      <c r="AJ29" s="107"/>
      <c r="AK29" s="107"/>
    </row>
    <row r="30" customFormat="false" ht="12.75" hidden="false" customHeight="false" outlineLevel="0" collapsed="false">
      <c r="C30" s="133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</row>
    <row r="31" customFormat="false" ht="12" hidden="false" customHeight="false" outlineLevel="0" collapsed="false">
      <c r="C31" s="133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</row>
    <row r="32" customFormat="false" ht="12" hidden="false" customHeight="false" outlineLevel="0" collapsed="false">
      <c r="C32" s="133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</row>
    <row r="33" customFormat="false" ht="39.75" hidden="false" customHeight="true" outlineLevel="0" collapsed="false">
      <c r="C33" s="133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3" t="s">
        <v>2</v>
      </c>
    </row>
    <row r="34" s="78" customFormat="true" ht="11.25" hidden="false" customHeight="true" outlineLevel="0" collapsed="false">
      <c r="C34" s="101"/>
      <c r="AJ34" s="106" t="s">
        <v>64</v>
      </c>
    </row>
    <row r="35" customFormat="false" ht="6.75" hidden="false" customHeight="true" outlineLevel="0" collapsed="false">
      <c r="B35" s="139"/>
      <c r="C35" s="140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212"/>
      <c r="AK35" s="139"/>
    </row>
    <row r="36" customFormat="false" ht="12.75" hidden="true" customHeight="false" outlineLevel="0" collapsed="false">
      <c r="B36" s="86"/>
      <c r="C36" s="109" t="s">
        <v>74</v>
      </c>
      <c r="D36" s="110" t="s">
        <v>69</v>
      </c>
      <c r="E36" s="110" t="s">
        <v>30</v>
      </c>
      <c r="F36" s="110" t="s">
        <v>31</v>
      </c>
      <c r="G36" s="110" t="s">
        <v>32</v>
      </c>
      <c r="H36" s="110" t="s">
        <v>33</v>
      </c>
      <c r="I36" s="110" t="s">
        <v>34</v>
      </c>
      <c r="J36" s="110" t="s">
        <v>35</v>
      </c>
      <c r="K36" s="110" t="s">
        <v>36</v>
      </c>
      <c r="L36" s="110" t="s">
        <v>37</v>
      </c>
      <c r="M36" s="110" t="s">
        <v>38</v>
      </c>
      <c r="N36" s="110" t="s">
        <v>39</v>
      </c>
      <c r="O36" s="110" t="s">
        <v>40</v>
      </c>
      <c r="P36" s="110" t="s">
        <v>41</v>
      </c>
      <c r="Q36" s="110" t="s">
        <v>81</v>
      </c>
      <c r="R36" s="110" t="s">
        <v>82</v>
      </c>
      <c r="S36" s="110" t="s">
        <v>83</v>
      </c>
      <c r="T36" s="110" t="s">
        <v>84</v>
      </c>
      <c r="U36" s="110" t="s">
        <v>85</v>
      </c>
      <c r="V36" s="110" t="s">
        <v>86</v>
      </c>
      <c r="W36" s="110" t="s">
        <v>87</v>
      </c>
      <c r="X36" s="110" t="s">
        <v>88</v>
      </c>
      <c r="Y36" s="110" t="s">
        <v>89</v>
      </c>
      <c r="Z36" s="110" t="s">
        <v>90</v>
      </c>
      <c r="AA36" s="110" t="s">
        <v>91</v>
      </c>
      <c r="AB36" s="110" t="s">
        <v>92</v>
      </c>
      <c r="AC36" s="110" t="s">
        <v>93</v>
      </c>
      <c r="AD36" s="110" t="s">
        <v>94</v>
      </c>
      <c r="AE36" s="110" t="s">
        <v>95</v>
      </c>
      <c r="AF36" s="110" t="s">
        <v>96</v>
      </c>
      <c r="AG36" s="110" t="s">
        <v>97</v>
      </c>
      <c r="AH36" s="110" t="s">
        <v>98</v>
      </c>
      <c r="AI36" s="110" t="s">
        <v>99</v>
      </c>
      <c r="AJ36" s="142" t="s">
        <v>2</v>
      </c>
      <c r="AK36" s="86" t="s">
        <v>75</v>
      </c>
    </row>
    <row r="37" customFormat="false" ht="19.5" hidden="false" customHeight="true" outlineLevel="0" collapsed="false">
      <c r="B37" s="143"/>
      <c r="C37" s="144" t="str">
        <f aca="false">DADOS!$R$3</f>
        <v>💧 ÁGUA</v>
      </c>
      <c r="D37" s="145" t="str">
        <f aca="false">IF(despesafixaconsolidadoabr[[#This Row],[TOTAL]]=0,"",IF(OR(despesafixaconsolidadoabr[[#This Row],[TOTAL]]=LARGE($AJ$37:$AJ$50,1),despesafixaconsolidadoabr[[#This Row],[TOTAL]]=LARGE($AJ$37:$AJ$50,2),despesafixaconsolidadoabr[[#This Row],[TOTAL]]=LARGE($AJ$37:$AJ$50,3),despesafixaconsolidadoabr[[#This Row],[TOTAL]]=LARGE($AJ$37:$AJ$50,4),despesafixaconsolidadoabr[[#This Row],[TOTAL]]=LARGE($AJ$37:$AJ$50,5)),DADOS!$I$8,""))</f>
        <v/>
      </c>
      <c r="E37" s="146" t="n">
        <f aca="false">SUMIFS(tabela_registros[VALOR],tabela_registros[MÊS],$AE$1,tabela_registros[DIA],abrtotal305971[[#Headers],[1]],tabela_registros[REGISTRO],DADOS!$N$4,tabela_registros[TIPO],DADOS!$P$3,tabela_registros[CATEGORIA],despesafixaconsolidadoabr[[#This Row],[DESPESA FIXA]])</f>
        <v>0</v>
      </c>
      <c r="F37" s="114" t="n">
        <f aca="false">SUMIFS(tabela_registros[VALOR],tabela_registros[MÊS],$AE$1,tabela_registros[DIA],abrtotal305971[[#Headers],[2]],tabela_registros[REGISTRO],DADOS!$N$4,tabela_registros[TIPO],DADOS!$P$3,tabela_registros[CATEGORIA],despesafixaconsolidadoabr[[#This Row],[DESPESA FIXA]])</f>
        <v>0</v>
      </c>
      <c r="G37" s="114" t="n">
        <f aca="false">SUMIFS(tabela_registros[VALOR],tabela_registros[MÊS],$AE$1,tabela_registros[DIA],abrtotal305971[[#Headers],[3]],tabela_registros[REGISTRO],DADOS!$N$4,tabela_registros[TIPO],DADOS!$P$3,tabela_registros[CATEGORIA],despesafixaconsolidadoabr[[#This Row],[DESPESA FIXA]])</f>
        <v>0</v>
      </c>
      <c r="H37" s="114" t="n">
        <f aca="false">SUMIFS(tabela_registros[VALOR],tabela_registros[MÊS],$AE$1,tabela_registros[DIA],abrtotal305971[[#Headers],[4]],tabela_registros[REGISTRO],DADOS!$N$4,tabela_registros[TIPO],DADOS!$P$3,tabela_registros[CATEGORIA],despesafixaconsolidadoabr[[#This Row],[DESPESA FIXA]])</f>
        <v>0</v>
      </c>
      <c r="I37" s="114" t="n">
        <f aca="false">SUMIFS(tabela_registros[VALOR],tabela_registros[MÊS],$AE$1,tabela_registros[DIA],abrtotal305971[[#Headers],[5]],tabela_registros[REGISTRO],DADOS!$N$4,tabela_registros[TIPO],DADOS!$P$3,tabela_registros[CATEGORIA],despesafixaconsolidadoabr[[#This Row],[DESPESA FIXA]])</f>
        <v>0</v>
      </c>
      <c r="J37" s="114" t="n">
        <f aca="false">SUMIFS(tabela_registros[VALOR],tabela_registros[MÊS],$AE$1,tabela_registros[DIA],abrtotal305971[[#Headers],[6]],tabela_registros[REGISTRO],DADOS!$N$4,tabela_registros[TIPO],DADOS!$P$3,tabela_registros[CATEGORIA],despesafixaconsolidadoabr[[#This Row],[DESPESA FIXA]])</f>
        <v>0</v>
      </c>
      <c r="K37" s="114" t="n">
        <f aca="false">SUMIFS(tabela_registros[VALOR],tabela_registros[MÊS],$AE$1,tabela_registros[DIA],abrtotal305971[[#Headers],[7]],tabela_registros[REGISTRO],DADOS!$N$4,tabela_registros[TIPO],DADOS!$P$3,tabela_registros[CATEGORIA],despesafixaconsolidadoabr[[#This Row],[DESPESA FIXA]])</f>
        <v>0</v>
      </c>
      <c r="L37" s="114" t="n">
        <f aca="false">SUMIFS(tabela_registros[VALOR],tabela_registros[MÊS],$AE$1,tabela_registros[DIA],abrtotal305971[[#Headers],[8]],tabela_registros[REGISTRO],DADOS!$N$4,tabela_registros[TIPO],DADOS!$P$3,tabela_registros[CATEGORIA],despesafixaconsolidadoabr[[#This Row],[DESPESA FIXA]])</f>
        <v>0</v>
      </c>
      <c r="M37" s="114" t="n">
        <f aca="false">SUMIFS(tabela_registros[VALOR],tabela_registros[MÊS],$AE$1,tabela_registros[DIA],abrtotal305971[[#Headers],[9]],tabela_registros[REGISTRO],DADOS!$N$4,tabela_registros[TIPO],DADOS!$P$3,tabela_registros[CATEGORIA],despesafixaconsolidadoabr[[#This Row],[DESPESA FIXA]])</f>
        <v>0</v>
      </c>
      <c r="N37" s="114" t="n">
        <f aca="false">SUMIFS(tabela_registros[VALOR],tabela_registros[MÊS],$AE$1,tabela_registros[DIA],abrtotal305971[[#Headers],[10]],tabela_registros[REGISTRO],DADOS!$N$4,tabela_registros[TIPO],DADOS!$P$3,tabela_registros[CATEGORIA],despesafixaconsolidadoabr[[#This Row],[DESPESA FIXA]])</f>
        <v>0</v>
      </c>
      <c r="O37" s="114" t="n">
        <f aca="false">SUMIFS(tabela_registros[VALOR],tabela_registros[MÊS],$AE$1,tabela_registros[DIA],abrtotal305971[[#Headers],[11]],tabela_registros[REGISTRO],DADOS!$N$4,tabela_registros[TIPO],DADOS!$P$3,tabela_registros[CATEGORIA],despesafixaconsolidadoabr[[#This Row],[DESPESA FIXA]])</f>
        <v>0</v>
      </c>
      <c r="P37" s="114" t="n">
        <f aca="false">SUMIFS(tabela_registros[VALOR],tabela_registros[MÊS],$AE$1,tabela_registros[DIA],abrtotal305971[[#Headers],[12]],tabela_registros[REGISTRO],DADOS!$N$4,tabela_registros[TIPO],DADOS!$P$3,tabela_registros[CATEGORIA],despesafixaconsolidadoabr[[#This Row],[DESPESA FIXA]])</f>
        <v>0</v>
      </c>
      <c r="Q37" s="114" t="n">
        <f aca="false">SUMIFS(tabela_registros[VALOR],tabela_registros[MÊS],$AE$1,tabela_registros[DIA],abrtotal305971[[#Headers],[13]],tabela_registros[REGISTRO],DADOS!$N$4,tabela_registros[TIPO],DADOS!$P$3,tabela_registros[CATEGORIA],despesafixaconsolidadoabr[[#This Row],[DESPESA FIXA]])</f>
        <v>0</v>
      </c>
      <c r="R37" s="114" t="n">
        <f aca="false">SUMIFS(tabela_registros[VALOR],tabela_registros[MÊS],$AE$1,tabela_registros[DIA],abrtotal305971[[#Headers],[14]],tabela_registros[REGISTRO],DADOS!$N$4,tabela_registros[TIPO],DADOS!$P$3,tabela_registros[CATEGORIA],despesafixaconsolidadoabr[[#This Row],[DESPESA FIXA]])</f>
        <v>0</v>
      </c>
      <c r="S37" s="114" t="n">
        <f aca="false">SUMIFS(tabela_registros[VALOR],tabela_registros[MÊS],$AE$1,tabela_registros[DIA],abrtotal305971[[#Headers],[15]],tabela_registros[REGISTRO],DADOS!$N$4,tabela_registros[TIPO],DADOS!$P$3,tabela_registros[CATEGORIA],despesafixaconsolidadoabr[[#This Row],[DESPESA FIXA]])</f>
        <v>0</v>
      </c>
      <c r="T37" s="114" t="n">
        <f aca="false">SUMIFS(tabela_registros[VALOR],tabela_registros[MÊS],$AE$1,tabela_registros[DIA],abrtotal305971[[#Headers],[16]],tabela_registros[REGISTRO],DADOS!$N$4,tabela_registros[TIPO],DADOS!$P$3,tabela_registros[CATEGORIA],despesafixaconsolidadoabr[[#This Row],[DESPESA FIXA]])</f>
        <v>0</v>
      </c>
      <c r="U37" s="114" t="n">
        <f aca="false">SUMIFS(tabela_registros[VALOR],tabela_registros[MÊS],$AE$1,tabela_registros[DIA],abrtotal305971[[#Headers],[17]],tabela_registros[REGISTRO],DADOS!$N$4,tabela_registros[TIPO],DADOS!$P$3,tabela_registros[CATEGORIA],despesafixaconsolidadoabr[[#This Row],[DESPESA FIXA]])</f>
        <v>0</v>
      </c>
      <c r="V37" s="114" t="n">
        <f aca="false">SUMIFS(tabela_registros[VALOR],tabela_registros[MÊS],$AE$1,tabela_registros[DIA],abrtotal305971[[#Headers],[18]],tabela_registros[REGISTRO],DADOS!$N$4,tabela_registros[TIPO],DADOS!$P$3,tabela_registros[CATEGORIA],despesafixaconsolidadoabr[[#This Row],[DESPESA FIXA]])</f>
        <v>0</v>
      </c>
      <c r="W37" s="114" t="n">
        <f aca="false">SUMIFS(tabela_registros[VALOR],tabela_registros[MÊS],$AE$1,tabela_registros[DIA],abrtotal305971[[#Headers],[19]],tabela_registros[REGISTRO],DADOS!$N$4,tabela_registros[TIPO],DADOS!$P$3,tabela_registros[CATEGORIA],despesafixaconsolidadoabr[[#This Row],[DESPESA FIXA]])</f>
        <v>0</v>
      </c>
      <c r="X37" s="114" t="n">
        <f aca="false">SUMIFS(tabela_registros[VALOR],tabela_registros[MÊS],$AE$1,tabela_registros[DIA],abrtotal305971[[#Headers],[20]],tabela_registros[REGISTRO],DADOS!$N$4,tabela_registros[TIPO],DADOS!$P$3,tabela_registros[CATEGORIA],despesafixaconsolidadoabr[[#This Row],[DESPESA FIXA]])</f>
        <v>0</v>
      </c>
      <c r="Y37" s="114" t="n">
        <f aca="false">SUMIFS(tabela_registros[VALOR],tabela_registros[MÊS],$AE$1,tabela_registros[DIA],abrtotal305971[[#Headers],[21]],tabela_registros[REGISTRO],DADOS!$N$4,tabela_registros[TIPO],DADOS!$P$3,tabela_registros[CATEGORIA],despesafixaconsolidadoabr[[#This Row],[DESPESA FIXA]])</f>
        <v>0</v>
      </c>
      <c r="Z37" s="114" t="n">
        <f aca="false">SUMIFS(tabela_registros[VALOR],tabela_registros[MÊS],$AE$1,tabela_registros[DIA],abrtotal305971[[#Headers],[22]],tabela_registros[REGISTRO],DADOS!$N$4,tabela_registros[TIPO],DADOS!$P$3,tabela_registros[CATEGORIA],despesafixaconsolidadoabr[[#This Row],[DESPESA FIXA]])</f>
        <v>0</v>
      </c>
      <c r="AA37" s="114" t="n">
        <f aca="false">SUMIFS(tabela_registros[VALOR],tabela_registros[MÊS],$AE$1,tabela_registros[DIA],abrtotal305971[[#Headers],[23]],tabela_registros[REGISTRO],DADOS!$N$4,tabela_registros[TIPO],DADOS!$P$3,tabela_registros[CATEGORIA],despesafixaconsolidadoabr[[#This Row],[DESPESA FIXA]])</f>
        <v>0</v>
      </c>
      <c r="AB37" s="114" t="n">
        <f aca="false">SUMIFS(tabela_registros[VALOR],tabela_registros[MÊS],$AE$1,tabela_registros[DIA],abrtotal305971[[#Headers],[24]],tabela_registros[REGISTRO],DADOS!$N$4,tabela_registros[TIPO],DADOS!$P$3,tabela_registros[CATEGORIA],despesafixaconsolidadoabr[[#This Row],[DESPESA FIXA]])</f>
        <v>0</v>
      </c>
      <c r="AC37" s="114" t="n">
        <f aca="false">SUMIFS(tabela_registros[VALOR],tabela_registros[MÊS],$AE$1,tabela_registros[DIA],abrtotal305971[[#Headers],[25]],tabela_registros[REGISTRO],DADOS!$N$4,tabela_registros[TIPO],DADOS!$P$3,tabela_registros[CATEGORIA],despesafixaconsolidadoabr[[#This Row],[DESPESA FIXA]])</f>
        <v>0</v>
      </c>
      <c r="AD37" s="114" t="n">
        <f aca="false">SUMIFS(tabela_registros[VALOR],tabela_registros[MÊS],$AE$1,tabela_registros[DIA],abrtotal305971[[#Headers],[26]],tabela_registros[REGISTRO],DADOS!$N$4,tabela_registros[TIPO],DADOS!$P$3,tabela_registros[CATEGORIA],despesafixaconsolidadoabr[[#This Row],[DESPESA FIXA]])</f>
        <v>0</v>
      </c>
      <c r="AE37" s="114" t="n">
        <f aca="false">SUMIFS(tabela_registros[VALOR],tabela_registros[MÊS],$AE$1,tabela_registros[DIA],abrtotal305971[[#Headers],[27]],tabela_registros[REGISTRO],DADOS!$N$4,tabela_registros[TIPO],DADOS!$P$3,tabela_registros[CATEGORIA],despesafixaconsolidadoabr[[#This Row],[DESPESA FIXA]])</f>
        <v>0</v>
      </c>
      <c r="AF37" s="114" t="n">
        <f aca="false">SUMIFS(tabela_registros[VALOR],tabela_registros[MÊS],$AE$1,tabela_registros[DIA],abrtotal305971[[#Headers],[28]],tabela_registros[REGISTRO],DADOS!$N$4,tabela_registros[TIPO],DADOS!$P$3,tabela_registros[CATEGORIA],despesafixaconsolidadoabr[[#This Row],[DESPESA FIXA]])</f>
        <v>0</v>
      </c>
      <c r="AG37" s="114" t="n">
        <f aca="false">SUMIFS(tabela_registros[VALOR],tabela_registros[MÊS],$AE$1,tabela_registros[DIA],abrtotal305971[[#Headers],[29]],tabela_registros[REGISTRO],DADOS!$N$4,tabela_registros[TIPO],DADOS!$P$3,tabela_registros[CATEGORIA],despesafixaconsolidadoabr[[#This Row],[DESPESA FIXA]])</f>
        <v>0</v>
      </c>
      <c r="AH37" s="114" t="n">
        <f aca="false">SUMIFS(tabela_registros[VALOR],tabela_registros[MÊS],$AE$1,tabela_registros[DIA],abrtotal305971[[#Headers],[30]],tabela_registros[REGISTRO],DADOS!$N$4,tabela_registros[TIPO],DADOS!$P$3,tabela_registros[CATEGORIA],despesafixaconsolidadoabr[[#This Row],[DESPESA FIXA]])</f>
        <v>0</v>
      </c>
      <c r="AI37" s="216" t="n">
        <f aca="false">SUMIFS(tabela_registros[VALOR],tabela_registros[MÊS],$AE$1,tabela_registros[DIA],abrtotal305971[[#Headers],[31]],tabela_registros[REGISTRO],DADOS!$N$4,tabela_registros[TIPO],DADOS!$P$3,tabela_registros[CATEGORIA],despesafixaconsolidadoabr[[#This Row],[DESPESA FIXA]])</f>
        <v>0</v>
      </c>
      <c r="AJ37" s="147" t="n">
        <f aca="false">SUM(despesafixaconsolidadoabr[[#This Row],[1]:[31]])</f>
        <v>0</v>
      </c>
      <c r="AK37" s="143"/>
    </row>
    <row r="38" customFormat="false" ht="18" hidden="false" customHeight="true" outlineLevel="0" collapsed="false">
      <c r="B38" s="143"/>
      <c r="C38" s="144" t="str">
        <f aca="false">DADOS!$R$4</f>
        <v>🐶 ANIMAIS DE ESTIMAÇÃO</v>
      </c>
      <c r="D38" s="145" t="str">
        <f aca="false">IF(despesafixaconsolidadoabr[[#This Row],[TOTAL]]=0,"",IF(OR(despesafixaconsolidadoabr[[#This Row],[TOTAL]]=LARGE($AJ$37:$AJ$50,1),despesafixaconsolidadoabr[[#This Row],[TOTAL]]=LARGE($AJ$37:$AJ$50,2),despesafixaconsolidadoabr[[#This Row],[TOTAL]]=LARGE($AJ$37:$AJ$50,3),despesafixaconsolidadoabr[[#This Row],[TOTAL]]=LARGE($AJ$37:$AJ$50,4),despesafixaconsolidadoabr[[#This Row],[TOTAL]]=LARGE($AJ$37:$AJ$50,5)),DADOS!$I$8,""))</f>
        <v/>
      </c>
      <c r="E38" s="148" t="n">
        <f aca="false">SUMIFS(tabela_registros[VALOR],tabela_registros[MÊS],$AE$1,tabela_registros[DIA],abrtotal305971[[#Headers],[1]],tabela_registros[REGISTRO],DADOS!$N$4,tabela_registros[TIPO],DADOS!$P$3,tabela_registros[CATEGORIA],despesafixaconsolidadoabr[[#This Row],[DESPESA FIXA]])</f>
        <v>0</v>
      </c>
      <c r="F38" s="119" t="n">
        <f aca="false">SUMIFS(tabela_registros[VALOR],tabela_registros[MÊS],$AE$1,tabela_registros[DIA],abrtotal305971[[#Headers],[2]],tabela_registros[REGISTRO],DADOS!$N$4,tabela_registros[TIPO],DADOS!$P$3,tabela_registros[CATEGORIA],despesafixaconsolidadoabr[[#This Row],[DESPESA FIXA]])</f>
        <v>0</v>
      </c>
      <c r="G38" s="119" t="n">
        <f aca="false">SUMIFS(tabela_registros[VALOR],tabela_registros[MÊS],$AE$1,tabela_registros[DIA],abrtotal305971[[#Headers],[3]],tabela_registros[REGISTRO],DADOS!$N$4,tabela_registros[TIPO],DADOS!$P$3,tabela_registros[CATEGORIA],despesafixaconsolidadoabr[[#This Row],[DESPESA FIXA]])</f>
        <v>0</v>
      </c>
      <c r="H38" s="119" t="n">
        <f aca="false">SUMIFS(tabela_registros[VALOR],tabela_registros[MÊS],$AE$1,tabela_registros[DIA],abrtotal305971[[#Headers],[4]],tabela_registros[REGISTRO],DADOS!$N$4,tabela_registros[TIPO],DADOS!$P$3,tabela_registros[CATEGORIA],despesafixaconsolidadoabr[[#This Row],[DESPESA FIXA]])</f>
        <v>0</v>
      </c>
      <c r="I38" s="119" t="n">
        <f aca="false">SUMIFS(tabela_registros[VALOR],tabela_registros[MÊS],$AE$1,tabela_registros[DIA],abrtotal305971[[#Headers],[5]],tabela_registros[REGISTRO],DADOS!$N$4,tabela_registros[TIPO],DADOS!$P$3,tabela_registros[CATEGORIA],despesafixaconsolidadoabr[[#This Row],[DESPESA FIXA]])</f>
        <v>0</v>
      </c>
      <c r="J38" s="119" t="n">
        <f aca="false">SUMIFS(tabela_registros[VALOR],tabela_registros[MÊS],$AE$1,tabela_registros[DIA],abrtotal305971[[#Headers],[6]],tabela_registros[REGISTRO],DADOS!$N$4,tabela_registros[TIPO],DADOS!$P$3,tabela_registros[CATEGORIA],despesafixaconsolidadoabr[[#This Row],[DESPESA FIXA]])</f>
        <v>0</v>
      </c>
      <c r="K38" s="119" t="n">
        <f aca="false">SUMIFS(tabela_registros[VALOR],tabela_registros[MÊS],$AE$1,tabela_registros[DIA],abrtotal305971[[#Headers],[7]],tabela_registros[REGISTRO],DADOS!$N$4,tabela_registros[TIPO],DADOS!$P$3,tabela_registros[CATEGORIA],despesafixaconsolidadoabr[[#This Row],[DESPESA FIXA]])</f>
        <v>0</v>
      </c>
      <c r="L38" s="119" t="n">
        <f aca="false">SUMIFS(tabela_registros[VALOR],tabela_registros[MÊS],$AE$1,tabela_registros[DIA],abrtotal305971[[#Headers],[8]],tabela_registros[REGISTRO],DADOS!$N$4,tabela_registros[TIPO],DADOS!$P$3,tabela_registros[CATEGORIA],despesafixaconsolidadoabr[[#This Row],[DESPESA FIXA]])</f>
        <v>0</v>
      </c>
      <c r="M38" s="119" t="n">
        <f aca="false">SUMIFS(tabela_registros[VALOR],tabela_registros[MÊS],$AE$1,tabela_registros[DIA],abrtotal305971[[#Headers],[9]],tabela_registros[REGISTRO],DADOS!$N$4,tabela_registros[TIPO],DADOS!$P$3,tabela_registros[CATEGORIA],despesafixaconsolidadoabr[[#This Row],[DESPESA FIXA]])</f>
        <v>0</v>
      </c>
      <c r="N38" s="119" t="n">
        <f aca="false">SUMIFS(tabela_registros[VALOR],tabela_registros[MÊS],$AE$1,tabela_registros[DIA],abrtotal305971[[#Headers],[10]],tabela_registros[REGISTRO],DADOS!$N$4,tabela_registros[TIPO],DADOS!$P$3,tabela_registros[CATEGORIA],despesafixaconsolidadoabr[[#This Row],[DESPESA FIXA]])</f>
        <v>0</v>
      </c>
      <c r="O38" s="119" t="n">
        <f aca="false">SUMIFS(tabela_registros[VALOR],tabela_registros[MÊS],$AE$1,tabela_registros[DIA],abrtotal305971[[#Headers],[11]],tabela_registros[REGISTRO],DADOS!$N$4,tabela_registros[TIPO],DADOS!$P$3,tabela_registros[CATEGORIA],despesafixaconsolidadoabr[[#This Row],[DESPESA FIXA]])</f>
        <v>0</v>
      </c>
      <c r="P38" s="119" t="n">
        <f aca="false">SUMIFS(tabela_registros[VALOR],tabela_registros[MÊS],$AE$1,tabela_registros[DIA],abrtotal305971[[#Headers],[12]],tabela_registros[REGISTRO],DADOS!$N$4,tabela_registros[TIPO],DADOS!$P$3,tabela_registros[CATEGORIA],despesafixaconsolidadoabr[[#This Row],[DESPESA FIXA]])</f>
        <v>0</v>
      </c>
      <c r="Q38" s="119" t="n">
        <f aca="false">SUMIFS(tabela_registros[VALOR],tabela_registros[MÊS],$AE$1,tabela_registros[DIA],abrtotal305971[[#Headers],[13]],tabela_registros[REGISTRO],DADOS!$N$4,tabela_registros[TIPO],DADOS!$P$3,tabela_registros[CATEGORIA],despesafixaconsolidadoabr[[#This Row],[DESPESA FIXA]])</f>
        <v>0</v>
      </c>
      <c r="R38" s="119" t="n">
        <f aca="false">SUMIFS(tabela_registros[VALOR],tabela_registros[MÊS],$AE$1,tabela_registros[DIA],abrtotal305971[[#Headers],[14]],tabela_registros[REGISTRO],DADOS!$N$4,tabela_registros[TIPO],DADOS!$P$3,tabela_registros[CATEGORIA],despesafixaconsolidadoabr[[#This Row],[DESPESA FIXA]])</f>
        <v>0</v>
      </c>
      <c r="S38" s="119" t="n">
        <f aca="false">SUMIFS(tabela_registros[VALOR],tabela_registros[MÊS],$AE$1,tabela_registros[DIA],abrtotal305971[[#Headers],[15]],tabela_registros[REGISTRO],DADOS!$N$4,tabela_registros[TIPO],DADOS!$P$3,tabela_registros[CATEGORIA],despesafixaconsolidadoabr[[#This Row],[DESPESA FIXA]])</f>
        <v>0</v>
      </c>
      <c r="T38" s="119" t="n">
        <f aca="false">SUMIFS(tabela_registros[VALOR],tabela_registros[MÊS],$AE$1,tabela_registros[DIA],abrtotal305971[[#Headers],[16]],tabela_registros[REGISTRO],DADOS!$N$4,tabela_registros[TIPO],DADOS!$P$3,tabela_registros[CATEGORIA],despesafixaconsolidadoabr[[#This Row],[DESPESA FIXA]])</f>
        <v>0</v>
      </c>
      <c r="U38" s="119" t="n">
        <f aca="false">SUMIFS(tabela_registros[VALOR],tabela_registros[MÊS],$AE$1,tabela_registros[DIA],abrtotal305971[[#Headers],[17]],tabela_registros[REGISTRO],DADOS!$N$4,tabela_registros[TIPO],DADOS!$P$3,tabela_registros[CATEGORIA],despesafixaconsolidadoabr[[#This Row],[DESPESA FIXA]])</f>
        <v>0</v>
      </c>
      <c r="V38" s="119" t="n">
        <f aca="false">SUMIFS(tabela_registros[VALOR],tabela_registros[MÊS],$AE$1,tabela_registros[DIA],abrtotal305971[[#Headers],[18]],tabela_registros[REGISTRO],DADOS!$N$4,tabela_registros[TIPO],DADOS!$P$3,tabela_registros[CATEGORIA],despesafixaconsolidadoabr[[#This Row],[DESPESA FIXA]])</f>
        <v>0</v>
      </c>
      <c r="W38" s="119" t="n">
        <f aca="false">SUMIFS(tabela_registros[VALOR],tabela_registros[MÊS],$AE$1,tabela_registros[DIA],abrtotal305971[[#Headers],[19]],tabela_registros[REGISTRO],DADOS!$N$4,tabela_registros[TIPO],DADOS!$P$3,tabela_registros[CATEGORIA],despesafixaconsolidadoabr[[#This Row],[DESPESA FIXA]])</f>
        <v>0</v>
      </c>
      <c r="X38" s="119" t="n">
        <f aca="false">SUMIFS(tabela_registros[VALOR],tabela_registros[MÊS],$AE$1,tabela_registros[DIA],abrtotal305971[[#Headers],[20]],tabela_registros[REGISTRO],DADOS!$N$4,tabela_registros[TIPO],DADOS!$P$3,tabela_registros[CATEGORIA],despesafixaconsolidadoabr[[#This Row],[DESPESA FIXA]])</f>
        <v>0</v>
      </c>
      <c r="Y38" s="119" t="n">
        <f aca="false">SUMIFS(tabela_registros[VALOR],tabela_registros[MÊS],$AE$1,tabela_registros[DIA],abrtotal305971[[#Headers],[21]],tabela_registros[REGISTRO],DADOS!$N$4,tabela_registros[TIPO],DADOS!$P$3,tabela_registros[CATEGORIA],despesafixaconsolidadoabr[[#This Row],[DESPESA FIXA]])</f>
        <v>0</v>
      </c>
      <c r="Z38" s="119" t="n">
        <f aca="false">SUMIFS(tabela_registros[VALOR],tabela_registros[MÊS],$AE$1,tabela_registros[DIA],abrtotal305971[[#Headers],[22]],tabela_registros[REGISTRO],DADOS!$N$4,tabela_registros[TIPO],DADOS!$P$3,tabela_registros[CATEGORIA],despesafixaconsolidadoabr[[#This Row],[DESPESA FIXA]])</f>
        <v>0</v>
      </c>
      <c r="AA38" s="119" t="n">
        <f aca="false">SUMIFS(tabela_registros[VALOR],tabela_registros[MÊS],$AE$1,tabela_registros[DIA],abrtotal305971[[#Headers],[23]],tabela_registros[REGISTRO],DADOS!$N$4,tabela_registros[TIPO],DADOS!$P$3,tabela_registros[CATEGORIA],despesafixaconsolidadoabr[[#This Row],[DESPESA FIXA]])</f>
        <v>0</v>
      </c>
      <c r="AB38" s="119" t="n">
        <f aca="false">SUMIFS(tabela_registros[VALOR],tabela_registros[MÊS],$AE$1,tabela_registros[DIA],abrtotal305971[[#Headers],[24]],tabela_registros[REGISTRO],DADOS!$N$4,tabela_registros[TIPO],DADOS!$P$3,tabela_registros[CATEGORIA],despesafixaconsolidadoabr[[#This Row],[DESPESA FIXA]])</f>
        <v>0</v>
      </c>
      <c r="AC38" s="119" t="n">
        <f aca="false">SUMIFS(tabela_registros[VALOR],tabela_registros[MÊS],$AE$1,tabela_registros[DIA],abrtotal305971[[#Headers],[25]],tabela_registros[REGISTRO],DADOS!$N$4,tabela_registros[TIPO],DADOS!$P$3,tabela_registros[CATEGORIA],despesafixaconsolidadoabr[[#This Row],[DESPESA FIXA]])</f>
        <v>0</v>
      </c>
      <c r="AD38" s="119" t="n">
        <f aca="false">SUMIFS(tabela_registros[VALOR],tabela_registros[MÊS],$AE$1,tabela_registros[DIA],abrtotal305971[[#Headers],[26]],tabela_registros[REGISTRO],DADOS!$N$4,tabela_registros[TIPO],DADOS!$P$3,tabela_registros[CATEGORIA],despesafixaconsolidadoabr[[#This Row],[DESPESA FIXA]])</f>
        <v>0</v>
      </c>
      <c r="AE38" s="119" t="n">
        <f aca="false">SUMIFS(tabela_registros[VALOR],tabela_registros[MÊS],$AE$1,tabela_registros[DIA],abrtotal305971[[#Headers],[27]],tabela_registros[REGISTRO],DADOS!$N$4,tabela_registros[TIPO],DADOS!$P$3,tabela_registros[CATEGORIA],despesafixaconsolidadoabr[[#This Row],[DESPESA FIXA]])</f>
        <v>0</v>
      </c>
      <c r="AF38" s="119" t="n">
        <f aca="false">SUMIFS(tabela_registros[VALOR],tabela_registros[MÊS],$AE$1,tabela_registros[DIA],abrtotal305971[[#Headers],[28]],tabela_registros[REGISTRO],DADOS!$N$4,tabela_registros[TIPO],DADOS!$P$3,tabela_registros[CATEGORIA],despesafixaconsolidadoabr[[#This Row],[DESPESA FIXA]])</f>
        <v>0</v>
      </c>
      <c r="AG38" s="119" t="n">
        <f aca="false">SUMIFS(tabela_registros[VALOR],tabela_registros[MÊS],$AE$1,tabela_registros[DIA],abrtotal305971[[#Headers],[29]],tabela_registros[REGISTRO],DADOS!$N$4,tabela_registros[TIPO],DADOS!$P$3,tabela_registros[CATEGORIA],despesafixaconsolidadoabr[[#This Row],[DESPESA FIXA]])</f>
        <v>0</v>
      </c>
      <c r="AH38" s="119" t="n">
        <f aca="false">SUMIFS(tabela_registros[VALOR],tabela_registros[MÊS],$AE$1,tabela_registros[DIA],abrtotal305971[[#Headers],[30]],tabela_registros[REGISTRO],DADOS!$N$4,tabela_registros[TIPO],DADOS!$P$3,tabela_registros[CATEGORIA],despesafixaconsolidadoabr[[#This Row],[DESPESA FIXA]])</f>
        <v>0</v>
      </c>
      <c r="AI38" s="217" t="n">
        <f aca="false">SUMIFS(tabela_registros[VALOR],tabela_registros[MÊS],$AE$1,tabela_registros[DIA],abrtotal305971[[#Headers],[31]],tabela_registros[REGISTRO],DADOS!$N$4,tabela_registros[TIPO],DADOS!$P$3,tabela_registros[CATEGORIA],despesafixaconsolidadoabr[[#This Row],[DESPESA FIXA]])</f>
        <v>0</v>
      </c>
      <c r="AJ38" s="149" t="n">
        <f aca="false">SUM(despesafixaconsolidadoabr[[#This Row],[1]:[31]])</f>
        <v>0</v>
      </c>
      <c r="AK38" s="143"/>
    </row>
    <row r="39" customFormat="false" ht="18" hidden="false" customHeight="true" outlineLevel="0" collapsed="false">
      <c r="B39" s="143"/>
      <c r="C39" s="144" t="str">
        <f aca="false">DADOS!$R$5</f>
        <v>🔖 ASSINATURAS E SERVIÇOS</v>
      </c>
      <c r="D39" s="145" t="str">
        <f aca="false">IF(despesafixaconsolidadoabr[[#This Row],[TOTAL]]=0,"",IF(OR(despesafixaconsolidadoabr[[#This Row],[TOTAL]]=LARGE($AJ$37:$AJ$50,1),despesafixaconsolidadoabr[[#This Row],[TOTAL]]=LARGE($AJ$37:$AJ$50,2),despesafixaconsolidadoabr[[#This Row],[TOTAL]]=LARGE($AJ$37:$AJ$50,3),despesafixaconsolidadoabr[[#This Row],[TOTAL]]=LARGE($AJ$37:$AJ$50,4),despesafixaconsolidadoabr[[#This Row],[TOTAL]]=LARGE($AJ$37:$AJ$50,5)),DADOS!$I$8,""))</f>
        <v/>
      </c>
      <c r="E39" s="148" t="n">
        <f aca="false">SUMIFS(tabela_registros[VALOR],tabela_registros[MÊS],$AE$1,tabela_registros[DIA],abrtotal305971[[#Headers],[1]],tabela_registros[REGISTRO],DADOS!$N$4,tabela_registros[TIPO],DADOS!$P$3,tabela_registros[CATEGORIA],despesafixaconsolidadoabr[[#This Row],[DESPESA FIXA]])</f>
        <v>0</v>
      </c>
      <c r="F39" s="119" t="n">
        <f aca="false">SUMIFS(tabela_registros[VALOR],tabela_registros[MÊS],$AE$1,tabela_registros[DIA],abrtotal305971[[#Headers],[2]],tabela_registros[REGISTRO],DADOS!$N$4,tabela_registros[TIPO],DADOS!$P$3,tabela_registros[CATEGORIA],despesafixaconsolidadoabr[[#This Row],[DESPESA FIXA]])</f>
        <v>0</v>
      </c>
      <c r="G39" s="119" t="n">
        <f aca="false">SUMIFS(tabela_registros[VALOR],tabela_registros[MÊS],$AE$1,tabela_registros[DIA],abrtotal305971[[#Headers],[3]],tabela_registros[REGISTRO],DADOS!$N$4,tabela_registros[TIPO],DADOS!$P$3,tabela_registros[CATEGORIA],despesafixaconsolidadoabr[[#This Row],[DESPESA FIXA]])</f>
        <v>0</v>
      </c>
      <c r="H39" s="119" t="n">
        <f aca="false">SUMIFS(tabela_registros[VALOR],tabela_registros[MÊS],$AE$1,tabela_registros[DIA],abrtotal305971[[#Headers],[4]],tabela_registros[REGISTRO],DADOS!$N$4,tabela_registros[TIPO],DADOS!$P$3,tabela_registros[CATEGORIA],despesafixaconsolidadoabr[[#This Row],[DESPESA FIXA]])</f>
        <v>0</v>
      </c>
      <c r="I39" s="119" t="n">
        <f aca="false">SUMIFS(tabela_registros[VALOR],tabela_registros[MÊS],$AE$1,tabela_registros[DIA],abrtotal305971[[#Headers],[5]],tabela_registros[REGISTRO],DADOS!$N$4,tabela_registros[TIPO],DADOS!$P$3,tabela_registros[CATEGORIA],despesafixaconsolidadoabr[[#This Row],[DESPESA FIXA]])</f>
        <v>0</v>
      </c>
      <c r="J39" s="119" t="n">
        <f aca="false">SUMIFS(tabela_registros[VALOR],tabela_registros[MÊS],$AE$1,tabela_registros[DIA],abrtotal305971[[#Headers],[6]],tabela_registros[REGISTRO],DADOS!$N$4,tabela_registros[TIPO],DADOS!$P$3,tabela_registros[CATEGORIA],despesafixaconsolidadoabr[[#This Row],[DESPESA FIXA]])</f>
        <v>0</v>
      </c>
      <c r="K39" s="119" t="n">
        <f aca="false">SUMIFS(tabela_registros[VALOR],tabela_registros[MÊS],$AE$1,tabela_registros[DIA],abrtotal305971[[#Headers],[7]],tabela_registros[REGISTRO],DADOS!$N$4,tabela_registros[TIPO],DADOS!$P$3,tabela_registros[CATEGORIA],despesafixaconsolidadoabr[[#This Row],[DESPESA FIXA]])</f>
        <v>0</v>
      </c>
      <c r="L39" s="119" t="n">
        <f aca="false">SUMIFS(tabela_registros[VALOR],tabela_registros[MÊS],$AE$1,tabela_registros[DIA],abrtotal305971[[#Headers],[8]],tabela_registros[REGISTRO],DADOS!$N$4,tabela_registros[TIPO],DADOS!$P$3,tabela_registros[CATEGORIA],despesafixaconsolidadoabr[[#This Row],[DESPESA FIXA]])</f>
        <v>0</v>
      </c>
      <c r="M39" s="119" t="n">
        <f aca="false">SUMIFS(tabela_registros[VALOR],tabela_registros[MÊS],$AE$1,tabela_registros[DIA],abrtotal305971[[#Headers],[9]],tabela_registros[REGISTRO],DADOS!$N$4,tabela_registros[TIPO],DADOS!$P$3,tabela_registros[CATEGORIA],despesafixaconsolidadoabr[[#This Row],[DESPESA FIXA]])</f>
        <v>0</v>
      </c>
      <c r="N39" s="119" t="n">
        <f aca="false">SUMIFS(tabela_registros[VALOR],tabela_registros[MÊS],$AE$1,tabela_registros[DIA],abrtotal305971[[#Headers],[10]],tabela_registros[REGISTRO],DADOS!$N$4,tabela_registros[TIPO],DADOS!$P$3,tabela_registros[CATEGORIA],despesafixaconsolidadoabr[[#This Row],[DESPESA FIXA]])</f>
        <v>0</v>
      </c>
      <c r="O39" s="119" t="n">
        <f aca="false">SUMIFS(tabela_registros[VALOR],tabela_registros[MÊS],$AE$1,tabela_registros[DIA],abrtotal305971[[#Headers],[11]],tabela_registros[REGISTRO],DADOS!$N$4,tabela_registros[TIPO],DADOS!$P$3,tabela_registros[CATEGORIA],despesafixaconsolidadoabr[[#This Row],[DESPESA FIXA]])</f>
        <v>0</v>
      </c>
      <c r="P39" s="119" t="n">
        <f aca="false">SUMIFS(tabela_registros[VALOR],tabela_registros[MÊS],$AE$1,tabela_registros[DIA],abrtotal305971[[#Headers],[12]],tabela_registros[REGISTRO],DADOS!$N$4,tabela_registros[TIPO],DADOS!$P$3,tabela_registros[CATEGORIA],despesafixaconsolidadoabr[[#This Row],[DESPESA FIXA]])</f>
        <v>0</v>
      </c>
      <c r="Q39" s="119" t="n">
        <f aca="false">SUMIFS(tabela_registros[VALOR],tabela_registros[MÊS],$AE$1,tabela_registros[DIA],abrtotal305971[[#Headers],[13]],tabela_registros[REGISTRO],DADOS!$N$4,tabela_registros[TIPO],DADOS!$P$3,tabela_registros[CATEGORIA],despesafixaconsolidadoabr[[#This Row],[DESPESA FIXA]])</f>
        <v>0</v>
      </c>
      <c r="R39" s="119" t="n">
        <f aca="false">SUMIFS(tabela_registros[VALOR],tabela_registros[MÊS],$AE$1,tabela_registros[DIA],abrtotal305971[[#Headers],[14]],tabela_registros[REGISTRO],DADOS!$N$4,tabela_registros[TIPO],DADOS!$P$3,tabela_registros[CATEGORIA],despesafixaconsolidadoabr[[#This Row],[DESPESA FIXA]])</f>
        <v>0</v>
      </c>
      <c r="S39" s="119" t="n">
        <f aca="false">SUMIFS(tabela_registros[VALOR],tabela_registros[MÊS],$AE$1,tabela_registros[DIA],abrtotal305971[[#Headers],[15]],tabela_registros[REGISTRO],DADOS!$N$4,tabela_registros[TIPO],DADOS!$P$3,tabela_registros[CATEGORIA],despesafixaconsolidadoabr[[#This Row],[DESPESA FIXA]])</f>
        <v>0</v>
      </c>
      <c r="T39" s="119" t="n">
        <f aca="false">SUMIFS(tabela_registros[VALOR],tabela_registros[MÊS],$AE$1,tabela_registros[DIA],abrtotal305971[[#Headers],[16]],tabela_registros[REGISTRO],DADOS!$N$4,tabela_registros[TIPO],DADOS!$P$3,tabela_registros[CATEGORIA],despesafixaconsolidadoabr[[#This Row],[DESPESA FIXA]])</f>
        <v>0</v>
      </c>
      <c r="U39" s="119" t="n">
        <f aca="false">SUMIFS(tabela_registros[VALOR],tabela_registros[MÊS],$AE$1,tabela_registros[DIA],abrtotal305971[[#Headers],[17]],tabela_registros[REGISTRO],DADOS!$N$4,tabela_registros[TIPO],DADOS!$P$3,tabela_registros[CATEGORIA],despesafixaconsolidadoabr[[#This Row],[DESPESA FIXA]])</f>
        <v>0</v>
      </c>
      <c r="V39" s="119" t="n">
        <f aca="false">SUMIFS(tabela_registros[VALOR],tabela_registros[MÊS],$AE$1,tabela_registros[DIA],abrtotal305971[[#Headers],[18]],tabela_registros[REGISTRO],DADOS!$N$4,tabela_registros[TIPO],DADOS!$P$3,tabela_registros[CATEGORIA],despesafixaconsolidadoabr[[#This Row],[DESPESA FIXA]])</f>
        <v>0</v>
      </c>
      <c r="W39" s="119" t="n">
        <f aca="false">SUMIFS(tabela_registros[VALOR],tabela_registros[MÊS],$AE$1,tabela_registros[DIA],abrtotal305971[[#Headers],[19]],tabela_registros[REGISTRO],DADOS!$N$4,tabela_registros[TIPO],DADOS!$P$3,tabela_registros[CATEGORIA],despesafixaconsolidadoabr[[#This Row],[DESPESA FIXA]])</f>
        <v>0</v>
      </c>
      <c r="X39" s="119" t="n">
        <f aca="false">SUMIFS(tabela_registros[VALOR],tabela_registros[MÊS],$AE$1,tabela_registros[DIA],abrtotal305971[[#Headers],[20]],tabela_registros[REGISTRO],DADOS!$N$4,tabela_registros[TIPO],DADOS!$P$3,tabela_registros[CATEGORIA],despesafixaconsolidadoabr[[#This Row],[DESPESA FIXA]])</f>
        <v>0</v>
      </c>
      <c r="Y39" s="119" t="n">
        <f aca="false">SUMIFS(tabela_registros[VALOR],tabela_registros[MÊS],$AE$1,tabela_registros[DIA],abrtotal305971[[#Headers],[21]],tabela_registros[REGISTRO],DADOS!$N$4,tabela_registros[TIPO],DADOS!$P$3,tabela_registros[CATEGORIA],despesafixaconsolidadoabr[[#This Row],[DESPESA FIXA]])</f>
        <v>0</v>
      </c>
      <c r="Z39" s="119" t="n">
        <f aca="false">SUMIFS(tabela_registros[VALOR],tabela_registros[MÊS],$AE$1,tabela_registros[DIA],abrtotal305971[[#Headers],[22]],tabela_registros[REGISTRO],DADOS!$N$4,tabela_registros[TIPO],DADOS!$P$3,tabela_registros[CATEGORIA],despesafixaconsolidadoabr[[#This Row],[DESPESA FIXA]])</f>
        <v>0</v>
      </c>
      <c r="AA39" s="119" t="n">
        <f aca="false">SUMIFS(tabela_registros[VALOR],tabela_registros[MÊS],$AE$1,tabela_registros[DIA],abrtotal305971[[#Headers],[23]],tabela_registros[REGISTRO],DADOS!$N$4,tabela_registros[TIPO],DADOS!$P$3,tabela_registros[CATEGORIA],despesafixaconsolidadoabr[[#This Row],[DESPESA FIXA]])</f>
        <v>0</v>
      </c>
      <c r="AB39" s="119" t="n">
        <f aca="false">SUMIFS(tabela_registros[VALOR],tabela_registros[MÊS],$AE$1,tabela_registros[DIA],abrtotal305971[[#Headers],[24]],tabela_registros[REGISTRO],DADOS!$N$4,tabela_registros[TIPO],DADOS!$P$3,tabela_registros[CATEGORIA],despesafixaconsolidadoabr[[#This Row],[DESPESA FIXA]])</f>
        <v>0</v>
      </c>
      <c r="AC39" s="119" t="n">
        <f aca="false">SUMIFS(tabela_registros[VALOR],tabela_registros[MÊS],$AE$1,tabela_registros[DIA],abrtotal305971[[#Headers],[25]],tabela_registros[REGISTRO],DADOS!$N$4,tabela_registros[TIPO],DADOS!$P$3,tabela_registros[CATEGORIA],despesafixaconsolidadoabr[[#This Row],[DESPESA FIXA]])</f>
        <v>0</v>
      </c>
      <c r="AD39" s="119" t="n">
        <f aca="false">SUMIFS(tabela_registros[VALOR],tabela_registros[MÊS],$AE$1,tabela_registros[DIA],abrtotal305971[[#Headers],[26]],tabela_registros[REGISTRO],DADOS!$N$4,tabela_registros[TIPO],DADOS!$P$3,tabela_registros[CATEGORIA],despesafixaconsolidadoabr[[#This Row],[DESPESA FIXA]])</f>
        <v>0</v>
      </c>
      <c r="AE39" s="119" t="n">
        <f aca="false">SUMIFS(tabela_registros[VALOR],tabela_registros[MÊS],$AE$1,tabela_registros[DIA],abrtotal305971[[#Headers],[27]],tabela_registros[REGISTRO],DADOS!$N$4,tabela_registros[TIPO],DADOS!$P$3,tabela_registros[CATEGORIA],despesafixaconsolidadoabr[[#This Row],[DESPESA FIXA]])</f>
        <v>0</v>
      </c>
      <c r="AF39" s="119" t="n">
        <f aca="false">SUMIFS(tabela_registros[VALOR],tabela_registros[MÊS],$AE$1,tabela_registros[DIA],abrtotal305971[[#Headers],[28]],tabela_registros[REGISTRO],DADOS!$N$4,tabela_registros[TIPO],DADOS!$P$3,tabela_registros[CATEGORIA],despesafixaconsolidadoabr[[#This Row],[DESPESA FIXA]])</f>
        <v>0</v>
      </c>
      <c r="AG39" s="119" t="n">
        <f aca="false">SUMIFS(tabela_registros[VALOR],tabela_registros[MÊS],$AE$1,tabela_registros[DIA],abrtotal305971[[#Headers],[29]],tabela_registros[REGISTRO],DADOS!$N$4,tabela_registros[TIPO],DADOS!$P$3,tabela_registros[CATEGORIA],despesafixaconsolidadoabr[[#This Row],[DESPESA FIXA]])</f>
        <v>0</v>
      </c>
      <c r="AH39" s="119" t="n">
        <f aca="false">SUMIFS(tabela_registros[VALOR],tabela_registros[MÊS],$AE$1,tabela_registros[DIA],abrtotal305971[[#Headers],[30]],tabela_registros[REGISTRO],DADOS!$N$4,tabela_registros[TIPO],DADOS!$P$3,tabela_registros[CATEGORIA],despesafixaconsolidadoabr[[#This Row],[DESPESA FIXA]])</f>
        <v>0</v>
      </c>
      <c r="AI39" s="217" t="n">
        <f aca="false">SUMIFS(tabela_registros[VALOR],tabela_registros[MÊS],$AE$1,tabela_registros[DIA],abrtotal305971[[#Headers],[31]],tabela_registros[REGISTRO],DADOS!$N$4,tabela_registros[TIPO],DADOS!$P$3,tabela_registros[CATEGORIA],despesafixaconsolidadoabr[[#This Row],[DESPESA FIXA]])</f>
        <v>0</v>
      </c>
      <c r="AJ39" s="149" t="n">
        <f aca="false">SUM(despesafixaconsolidadoabr[[#This Row],[1]:[31]])</f>
        <v>0</v>
      </c>
      <c r="AK39" s="143"/>
    </row>
    <row r="40" customFormat="false" ht="18" hidden="false" customHeight="true" outlineLevel="0" collapsed="false">
      <c r="B40" s="143"/>
      <c r="C40" s="144" t="str">
        <f aca="false">DADOS!$R$6</f>
        <v>📱 CELULAR</v>
      </c>
      <c r="D40" s="145" t="str">
        <f aca="false">IF(despesafixaconsolidadoabr[[#This Row],[TOTAL]]=0,"",IF(OR(despesafixaconsolidadoabr[[#This Row],[TOTAL]]=LARGE($AJ$37:$AJ$50,1),despesafixaconsolidadoabr[[#This Row],[TOTAL]]=LARGE($AJ$37:$AJ$50,2),despesafixaconsolidadoabr[[#This Row],[TOTAL]]=LARGE($AJ$37:$AJ$50,3),despesafixaconsolidadoabr[[#This Row],[TOTAL]]=LARGE($AJ$37:$AJ$50,4),despesafixaconsolidadoabr[[#This Row],[TOTAL]]=LARGE($AJ$37:$AJ$50,5)),DADOS!$I$8,""))</f>
        <v/>
      </c>
      <c r="E40" s="148" t="n">
        <f aca="false">SUMIFS(tabela_registros[VALOR],tabela_registros[MÊS],$AE$1,tabela_registros[DIA],abrtotal305971[[#Headers],[1]],tabela_registros[REGISTRO],DADOS!$N$4,tabela_registros[TIPO],DADOS!$P$3,tabela_registros[CATEGORIA],despesafixaconsolidadoabr[[#This Row],[DESPESA FIXA]])</f>
        <v>0</v>
      </c>
      <c r="F40" s="119" t="n">
        <f aca="false">SUMIFS(tabela_registros[VALOR],tabela_registros[MÊS],$AE$1,tabela_registros[DIA],abrtotal305971[[#Headers],[2]],tabela_registros[REGISTRO],DADOS!$N$4,tabela_registros[TIPO],DADOS!$P$3,tabela_registros[CATEGORIA],despesafixaconsolidadoabr[[#This Row],[DESPESA FIXA]])</f>
        <v>0</v>
      </c>
      <c r="G40" s="119" t="n">
        <f aca="false">SUMIFS(tabela_registros[VALOR],tabela_registros[MÊS],$AE$1,tabela_registros[DIA],abrtotal305971[[#Headers],[3]],tabela_registros[REGISTRO],DADOS!$N$4,tabela_registros[TIPO],DADOS!$P$3,tabela_registros[CATEGORIA],despesafixaconsolidadoabr[[#This Row],[DESPESA FIXA]])</f>
        <v>0</v>
      </c>
      <c r="H40" s="119" t="n">
        <f aca="false">SUMIFS(tabela_registros[VALOR],tabela_registros[MÊS],$AE$1,tabela_registros[DIA],abrtotal305971[[#Headers],[4]],tabela_registros[REGISTRO],DADOS!$N$4,tabela_registros[TIPO],DADOS!$P$3,tabela_registros[CATEGORIA],despesafixaconsolidadoabr[[#This Row],[DESPESA FIXA]])</f>
        <v>0</v>
      </c>
      <c r="I40" s="119" t="n">
        <f aca="false">SUMIFS(tabela_registros[VALOR],tabela_registros[MÊS],$AE$1,tabela_registros[DIA],abrtotal305971[[#Headers],[5]],tabela_registros[REGISTRO],DADOS!$N$4,tabela_registros[TIPO],DADOS!$P$3,tabela_registros[CATEGORIA],despesafixaconsolidadoabr[[#This Row],[DESPESA FIXA]])</f>
        <v>0</v>
      </c>
      <c r="J40" s="119" t="n">
        <f aca="false">SUMIFS(tabela_registros[VALOR],tabela_registros[MÊS],$AE$1,tabela_registros[DIA],abrtotal305971[[#Headers],[6]],tabela_registros[REGISTRO],DADOS!$N$4,tabela_registros[TIPO],DADOS!$P$3,tabela_registros[CATEGORIA],despesafixaconsolidadoabr[[#This Row],[DESPESA FIXA]])</f>
        <v>0</v>
      </c>
      <c r="K40" s="119" t="n">
        <f aca="false">SUMIFS(tabela_registros[VALOR],tabela_registros[MÊS],$AE$1,tabela_registros[DIA],abrtotal305971[[#Headers],[7]],tabela_registros[REGISTRO],DADOS!$N$4,tabela_registros[TIPO],DADOS!$P$3,tabela_registros[CATEGORIA],despesafixaconsolidadoabr[[#This Row],[DESPESA FIXA]])</f>
        <v>0</v>
      </c>
      <c r="L40" s="119" t="n">
        <f aca="false">SUMIFS(tabela_registros[VALOR],tabela_registros[MÊS],$AE$1,tabela_registros[DIA],abrtotal305971[[#Headers],[8]],tabela_registros[REGISTRO],DADOS!$N$4,tabela_registros[TIPO],DADOS!$P$3,tabela_registros[CATEGORIA],despesafixaconsolidadoabr[[#This Row],[DESPESA FIXA]])</f>
        <v>0</v>
      </c>
      <c r="M40" s="119" t="n">
        <f aca="false">SUMIFS(tabela_registros[VALOR],tabela_registros[MÊS],$AE$1,tabela_registros[DIA],abrtotal305971[[#Headers],[9]],tabela_registros[REGISTRO],DADOS!$N$4,tabela_registros[TIPO],DADOS!$P$3,tabela_registros[CATEGORIA],despesafixaconsolidadoabr[[#This Row],[DESPESA FIXA]])</f>
        <v>0</v>
      </c>
      <c r="N40" s="119" t="n">
        <f aca="false">SUMIFS(tabela_registros[VALOR],tabela_registros[MÊS],$AE$1,tabela_registros[DIA],abrtotal305971[[#Headers],[10]],tabela_registros[REGISTRO],DADOS!$N$4,tabela_registros[TIPO],DADOS!$P$3,tabela_registros[CATEGORIA],despesafixaconsolidadoabr[[#This Row],[DESPESA FIXA]])</f>
        <v>0</v>
      </c>
      <c r="O40" s="119" t="n">
        <f aca="false">SUMIFS(tabela_registros[VALOR],tabela_registros[MÊS],$AE$1,tabela_registros[DIA],abrtotal305971[[#Headers],[11]],tabela_registros[REGISTRO],DADOS!$N$4,tabela_registros[TIPO],DADOS!$P$3,tabela_registros[CATEGORIA],despesafixaconsolidadoabr[[#This Row],[DESPESA FIXA]])</f>
        <v>0</v>
      </c>
      <c r="P40" s="119" t="n">
        <f aca="false">SUMIFS(tabela_registros[VALOR],tabela_registros[MÊS],$AE$1,tabela_registros[DIA],abrtotal305971[[#Headers],[12]],tabela_registros[REGISTRO],DADOS!$N$4,tabela_registros[TIPO],DADOS!$P$3,tabela_registros[CATEGORIA],despesafixaconsolidadoabr[[#This Row],[DESPESA FIXA]])</f>
        <v>0</v>
      </c>
      <c r="Q40" s="119" t="n">
        <f aca="false">SUMIFS(tabela_registros[VALOR],tabela_registros[MÊS],$AE$1,tabela_registros[DIA],abrtotal305971[[#Headers],[13]],tabela_registros[REGISTRO],DADOS!$N$4,tabela_registros[TIPO],DADOS!$P$3,tabela_registros[CATEGORIA],despesafixaconsolidadoabr[[#This Row],[DESPESA FIXA]])</f>
        <v>0</v>
      </c>
      <c r="R40" s="119" t="n">
        <f aca="false">SUMIFS(tabela_registros[VALOR],tabela_registros[MÊS],$AE$1,tabela_registros[DIA],abrtotal305971[[#Headers],[14]],tabela_registros[REGISTRO],DADOS!$N$4,tabela_registros[TIPO],DADOS!$P$3,tabela_registros[CATEGORIA],despesafixaconsolidadoabr[[#This Row],[DESPESA FIXA]])</f>
        <v>0</v>
      </c>
      <c r="S40" s="119" t="n">
        <f aca="false">SUMIFS(tabela_registros[VALOR],tabela_registros[MÊS],$AE$1,tabela_registros[DIA],abrtotal305971[[#Headers],[15]],tabela_registros[REGISTRO],DADOS!$N$4,tabela_registros[TIPO],DADOS!$P$3,tabela_registros[CATEGORIA],despesafixaconsolidadoabr[[#This Row],[DESPESA FIXA]])</f>
        <v>0</v>
      </c>
      <c r="T40" s="119" t="n">
        <f aca="false">SUMIFS(tabela_registros[VALOR],tabela_registros[MÊS],$AE$1,tabela_registros[DIA],abrtotal305971[[#Headers],[16]],tabela_registros[REGISTRO],DADOS!$N$4,tabela_registros[TIPO],DADOS!$P$3,tabela_registros[CATEGORIA],despesafixaconsolidadoabr[[#This Row],[DESPESA FIXA]])</f>
        <v>0</v>
      </c>
      <c r="U40" s="119" t="n">
        <f aca="false">SUMIFS(tabela_registros[VALOR],tabela_registros[MÊS],$AE$1,tabela_registros[DIA],abrtotal305971[[#Headers],[17]],tabela_registros[REGISTRO],DADOS!$N$4,tabela_registros[TIPO],DADOS!$P$3,tabela_registros[CATEGORIA],despesafixaconsolidadoabr[[#This Row],[DESPESA FIXA]])</f>
        <v>0</v>
      </c>
      <c r="V40" s="119" t="n">
        <f aca="false">SUMIFS(tabela_registros[VALOR],tabela_registros[MÊS],$AE$1,tabela_registros[DIA],abrtotal305971[[#Headers],[18]],tabela_registros[REGISTRO],DADOS!$N$4,tabela_registros[TIPO],DADOS!$P$3,tabela_registros[CATEGORIA],despesafixaconsolidadoabr[[#This Row],[DESPESA FIXA]])</f>
        <v>0</v>
      </c>
      <c r="W40" s="119" t="n">
        <f aca="false">SUMIFS(tabela_registros[VALOR],tabela_registros[MÊS],$AE$1,tabela_registros[DIA],abrtotal305971[[#Headers],[19]],tabela_registros[REGISTRO],DADOS!$N$4,tabela_registros[TIPO],DADOS!$P$3,tabela_registros[CATEGORIA],despesafixaconsolidadoabr[[#This Row],[DESPESA FIXA]])</f>
        <v>0</v>
      </c>
      <c r="X40" s="119" t="n">
        <f aca="false">SUMIFS(tabela_registros[VALOR],tabela_registros[MÊS],$AE$1,tabela_registros[DIA],abrtotal305971[[#Headers],[20]],tabela_registros[REGISTRO],DADOS!$N$4,tabela_registros[TIPO],DADOS!$P$3,tabela_registros[CATEGORIA],despesafixaconsolidadoabr[[#This Row],[DESPESA FIXA]])</f>
        <v>0</v>
      </c>
      <c r="Y40" s="119" t="n">
        <f aca="false">SUMIFS(tabela_registros[VALOR],tabela_registros[MÊS],$AE$1,tabela_registros[DIA],abrtotal305971[[#Headers],[21]],tabela_registros[REGISTRO],DADOS!$N$4,tabela_registros[TIPO],DADOS!$P$3,tabela_registros[CATEGORIA],despesafixaconsolidadoabr[[#This Row],[DESPESA FIXA]])</f>
        <v>0</v>
      </c>
      <c r="Z40" s="119" t="n">
        <f aca="false">SUMIFS(tabela_registros[VALOR],tabela_registros[MÊS],$AE$1,tabela_registros[DIA],abrtotal305971[[#Headers],[22]],tabela_registros[REGISTRO],DADOS!$N$4,tabela_registros[TIPO],DADOS!$P$3,tabela_registros[CATEGORIA],despesafixaconsolidadoabr[[#This Row],[DESPESA FIXA]])</f>
        <v>0</v>
      </c>
      <c r="AA40" s="119" t="n">
        <f aca="false">SUMIFS(tabela_registros[VALOR],tabela_registros[MÊS],$AE$1,tabela_registros[DIA],abrtotal305971[[#Headers],[23]],tabela_registros[REGISTRO],DADOS!$N$4,tabela_registros[TIPO],DADOS!$P$3,tabela_registros[CATEGORIA],despesafixaconsolidadoabr[[#This Row],[DESPESA FIXA]])</f>
        <v>0</v>
      </c>
      <c r="AB40" s="119" t="n">
        <f aca="false">SUMIFS(tabela_registros[VALOR],tabela_registros[MÊS],$AE$1,tabela_registros[DIA],abrtotal305971[[#Headers],[24]],tabela_registros[REGISTRO],DADOS!$N$4,tabela_registros[TIPO],DADOS!$P$3,tabela_registros[CATEGORIA],despesafixaconsolidadoabr[[#This Row],[DESPESA FIXA]])</f>
        <v>0</v>
      </c>
      <c r="AC40" s="119" t="n">
        <f aca="false">SUMIFS(tabela_registros[VALOR],tabela_registros[MÊS],$AE$1,tabela_registros[DIA],abrtotal305971[[#Headers],[25]],tabela_registros[REGISTRO],DADOS!$N$4,tabela_registros[TIPO],DADOS!$P$3,tabela_registros[CATEGORIA],despesafixaconsolidadoabr[[#This Row],[DESPESA FIXA]])</f>
        <v>0</v>
      </c>
      <c r="AD40" s="119" t="n">
        <f aca="false">SUMIFS(tabela_registros[VALOR],tabela_registros[MÊS],$AE$1,tabela_registros[DIA],abrtotal305971[[#Headers],[26]],tabela_registros[REGISTRO],DADOS!$N$4,tabela_registros[TIPO],DADOS!$P$3,tabela_registros[CATEGORIA],despesafixaconsolidadoabr[[#This Row],[DESPESA FIXA]])</f>
        <v>0</v>
      </c>
      <c r="AE40" s="119" t="n">
        <f aca="false">SUMIFS(tabela_registros[VALOR],tabela_registros[MÊS],$AE$1,tabela_registros[DIA],abrtotal305971[[#Headers],[27]],tabela_registros[REGISTRO],DADOS!$N$4,tabela_registros[TIPO],DADOS!$P$3,tabela_registros[CATEGORIA],despesafixaconsolidadoabr[[#This Row],[DESPESA FIXA]])</f>
        <v>0</v>
      </c>
      <c r="AF40" s="119" t="n">
        <f aca="false">SUMIFS(tabela_registros[VALOR],tabela_registros[MÊS],$AE$1,tabela_registros[DIA],abrtotal305971[[#Headers],[28]],tabela_registros[REGISTRO],DADOS!$N$4,tabela_registros[TIPO],DADOS!$P$3,tabela_registros[CATEGORIA],despesafixaconsolidadoabr[[#This Row],[DESPESA FIXA]])</f>
        <v>0</v>
      </c>
      <c r="AG40" s="119" t="n">
        <f aca="false">SUMIFS(tabela_registros[VALOR],tabela_registros[MÊS],$AE$1,tabela_registros[DIA],abrtotal305971[[#Headers],[29]],tabela_registros[REGISTRO],DADOS!$N$4,tabela_registros[TIPO],DADOS!$P$3,tabela_registros[CATEGORIA],despesafixaconsolidadoabr[[#This Row],[DESPESA FIXA]])</f>
        <v>0</v>
      </c>
      <c r="AH40" s="119" t="n">
        <f aca="false">SUMIFS(tabela_registros[VALOR],tabela_registros[MÊS],$AE$1,tabela_registros[DIA],abrtotal305971[[#Headers],[30]],tabela_registros[REGISTRO],DADOS!$N$4,tabela_registros[TIPO],DADOS!$P$3,tabela_registros[CATEGORIA],despesafixaconsolidadoabr[[#This Row],[DESPESA FIXA]])</f>
        <v>0</v>
      </c>
      <c r="AI40" s="217" t="n">
        <f aca="false">SUMIFS(tabela_registros[VALOR],tabela_registros[MÊS],$AE$1,tabela_registros[DIA],abrtotal305971[[#Headers],[31]],tabela_registros[REGISTRO],DADOS!$N$4,tabela_registros[TIPO],DADOS!$P$3,tabela_registros[CATEGORIA],despesafixaconsolidadoabr[[#This Row],[DESPESA FIXA]])</f>
        <v>0</v>
      </c>
      <c r="AJ40" s="149" t="n">
        <f aca="false">SUM(despesafixaconsolidadoabr[[#This Row],[1]:[31]])</f>
        <v>0</v>
      </c>
      <c r="AK40" s="143"/>
    </row>
    <row r="41" customFormat="false" ht="18" hidden="false" customHeight="true" outlineLevel="0" collapsed="false">
      <c r="B41" s="143"/>
      <c r="C41" s="144" t="str">
        <f aca="false">DADOS!$R$7</f>
        <v>📖 EDUCAÇÃO</v>
      </c>
      <c r="D41" s="145" t="str">
        <f aca="false">IF(despesafixaconsolidadoabr[[#This Row],[TOTAL]]=0,"",IF(OR(despesafixaconsolidadoabr[[#This Row],[TOTAL]]=LARGE($AJ$37:$AJ$50,1),despesafixaconsolidadoabr[[#This Row],[TOTAL]]=LARGE($AJ$37:$AJ$50,2),despesafixaconsolidadoabr[[#This Row],[TOTAL]]=LARGE($AJ$37:$AJ$50,3),despesafixaconsolidadoabr[[#This Row],[TOTAL]]=LARGE($AJ$37:$AJ$50,4),despesafixaconsolidadoabr[[#This Row],[TOTAL]]=LARGE($AJ$37:$AJ$50,5)),DADOS!$I$8,""))</f>
        <v/>
      </c>
      <c r="E41" s="148" t="n">
        <f aca="false">SUMIFS(tabela_registros[VALOR],tabela_registros[MÊS],$AE$1,tabela_registros[DIA],abrtotal305971[[#Headers],[1]],tabela_registros[REGISTRO],DADOS!$N$4,tabela_registros[TIPO],DADOS!$P$3,tabela_registros[CATEGORIA],despesafixaconsolidadoabr[[#This Row],[DESPESA FIXA]])</f>
        <v>0</v>
      </c>
      <c r="F41" s="119" t="n">
        <f aca="false">SUMIFS(tabela_registros[VALOR],tabela_registros[MÊS],$AE$1,tabela_registros[DIA],abrtotal305971[[#Headers],[2]],tabela_registros[REGISTRO],DADOS!$N$4,tabela_registros[TIPO],DADOS!$P$3,tabela_registros[CATEGORIA],despesafixaconsolidadoabr[[#This Row],[DESPESA FIXA]])</f>
        <v>0</v>
      </c>
      <c r="G41" s="119" t="n">
        <f aca="false">SUMIFS(tabela_registros[VALOR],tabela_registros[MÊS],$AE$1,tabela_registros[DIA],abrtotal305971[[#Headers],[3]],tabela_registros[REGISTRO],DADOS!$N$4,tabela_registros[TIPO],DADOS!$P$3,tabela_registros[CATEGORIA],despesafixaconsolidadoabr[[#This Row],[DESPESA FIXA]])</f>
        <v>0</v>
      </c>
      <c r="H41" s="119" t="n">
        <f aca="false">SUMIFS(tabela_registros[VALOR],tabela_registros[MÊS],$AE$1,tabela_registros[DIA],abrtotal305971[[#Headers],[4]],tabela_registros[REGISTRO],DADOS!$N$4,tabela_registros[TIPO],DADOS!$P$3,tabela_registros[CATEGORIA],despesafixaconsolidadoabr[[#This Row],[DESPESA FIXA]])</f>
        <v>0</v>
      </c>
      <c r="I41" s="119" t="n">
        <f aca="false">SUMIFS(tabela_registros[VALOR],tabela_registros[MÊS],$AE$1,tabela_registros[DIA],abrtotal305971[[#Headers],[5]],tabela_registros[REGISTRO],DADOS!$N$4,tabela_registros[TIPO],DADOS!$P$3,tabela_registros[CATEGORIA],despesafixaconsolidadoabr[[#This Row],[DESPESA FIXA]])</f>
        <v>0</v>
      </c>
      <c r="J41" s="119" t="n">
        <f aca="false">SUMIFS(tabela_registros[VALOR],tabela_registros[MÊS],$AE$1,tabela_registros[DIA],abrtotal305971[[#Headers],[6]],tabela_registros[REGISTRO],DADOS!$N$4,tabela_registros[TIPO],DADOS!$P$3,tabela_registros[CATEGORIA],despesafixaconsolidadoabr[[#This Row],[DESPESA FIXA]])</f>
        <v>0</v>
      </c>
      <c r="K41" s="119" t="n">
        <f aca="false">SUMIFS(tabela_registros[VALOR],tabela_registros[MÊS],$AE$1,tabela_registros[DIA],abrtotal305971[[#Headers],[7]],tabela_registros[REGISTRO],DADOS!$N$4,tabela_registros[TIPO],DADOS!$P$3,tabela_registros[CATEGORIA],despesafixaconsolidadoabr[[#This Row],[DESPESA FIXA]])</f>
        <v>0</v>
      </c>
      <c r="L41" s="119" t="n">
        <f aca="false">SUMIFS(tabela_registros[VALOR],tabela_registros[MÊS],$AE$1,tabela_registros[DIA],abrtotal305971[[#Headers],[8]],tabela_registros[REGISTRO],DADOS!$N$4,tabela_registros[TIPO],DADOS!$P$3,tabela_registros[CATEGORIA],despesafixaconsolidadoabr[[#This Row],[DESPESA FIXA]])</f>
        <v>0</v>
      </c>
      <c r="M41" s="119" t="n">
        <f aca="false">SUMIFS(tabela_registros[VALOR],tabela_registros[MÊS],$AE$1,tabela_registros[DIA],abrtotal305971[[#Headers],[9]],tabela_registros[REGISTRO],DADOS!$N$4,tabela_registros[TIPO],DADOS!$P$3,tabela_registros[CATEGORIA],despesafixaconsolidadoabr[[#This Row],[DESPESA FIXA]])</f>
        <v>0</v>
      </c>
      <c r="N41" s="119" t="n">
        <f aca="false">SUMIFS(tabela_registros[VALOR],tabela_registros[MÊS],$AE$1,tabela_registros[DIA],abrtotal305971[[#Headers],[10]],tabela_registros[REGISTRO],DADOS!$N$4,tabela_registros[TIPO],DADOS!$P$3,tabela_registros[CATEGORIA],despesafixaconsolidadoabr[[#This Row],[DESPESA FIXA]])</f>
        <v>0</v>
      </c>
      <c r="O41" s="119" t="n">
        <f aca="false">SUMIFS(tabela_registros[VALOR],tabela_registros[MÊS],$AE$1,tabela_registros[DIA],abrtotal305971[[#Headers],[11]],tabela_registros[REGISTRO],DADOS!$N$4,tabela_registros[TIPO],DADOS!$P$3,tabela_registros[CATEGORIA],despesafixaconsolidadoabr[[#This Row],[DESPESA FIXA]])</f>
        <v>0</v>
      </c>
      <c r="P41" s="119" t="n">
        <f aca="false">SUMIFS(tabela_registros[VALOR],tabela_registros[MÊS],$AE$1,tabela_registros[DIA],abrtotal305971[[#Headers],[12]],tabela_registros[REGISTRO],DADOS!$N$4,tabela_registros[TIPO],DADOS!$P$3,tabela_registros[CATEGORIA],despesafixaconsolidadoabr[[#This Row],[DESPESA FIXA]])</f>
        <v>0</v>
      </c>
      <c r="Q41" s="119" t="n">
        <f aca="false">SUMIFS(tabela_registros[VALOR],tabela_registros[MÊS],$AE$1,tabela_registros[DIA],abrtotal305971[[#Headers],[13]],tabela_registros[REGISTRO],DADOS!$N$4,tabela_registros[TIPO],DADOS!$P$3,tabela_registros[CATEGORIA],despesafixaconsolidadoabr[[#This Row],[DESPESA FIXA]])</f>
        <v>0</v>
      </c>
      <c r="R41" s="119" t="n">
        <f aca="false">SUMIFS(tabela_registros[VALOR],tabela_registros[MÊS],$AE$1,tabela_registros[DIA],abrtotal305971[[#Headers],[14]],tabela_registros[REGISTRO],DADOS!$N$4,tabela_registros[TIPO],DADOS!$P$3,tabela_registros[CATEGORIA],despesafixaconsolidadoabr[[#This Row],[DESPESA FIXA]])</f>
        <v>0</v>
      </c>
      <c r="S41" s="119" t="n">
        <f aca="false">SUMIFS(tabela_registros[VALOR],tabela_registros[MÊS],$AE$1,tabela_registros[DIA],abrtotal305971[[#Headers],[15]],tabela_registros[REGISTRO],DADOS!$N$4,tabela_registros[TIPO],DADOS!$P$3,tabela_registros[CATEGORIA],despesafixaconsolidadoabr[[#This Row],[DESPESA FIXA]])</f>
        <v>0</v>
      </c>
      <c r="T41" s="119" t="n">
        <f aca="false">SUMIFS(tabela_registros[VALOR],tabela_registros[MÊS],$AE$1,tabela_registros[DIA],abrtotal305971[[#Headers],[16]],tabela_registros[REGISTRO],DADOS!$N$4,tabela_registros[TIPO],DADOS!$P$3,tabela_registros[CATEGORIA],despesafixaconsolidadoabr[[#This Row],[DESPESA FIXA]])</f>
        <v>0</v>
      </c>
      <c r="U41" s="119" t="n">
        <f aca="false">SUMIFS(tabela_registros[VALOR],tabela_registros[MÊS],$AE$1,tabela_registros[DIA],abrtotal305971[[#Headers],[17]],tabela_registros[REGISTRO],DADOS!$N$4,tabela_registros[TIPO],DADOS!$P$3,tabela_registros[CATEGORIA],despesafixaconsolidadoabr[[#This Row],[DESPESA FIXA]])</f>
        <v>0</v>
      </c>
      <c r="V41" s="119" t="n">
        <f aca="false">SUMIFS(tabela_registros[VALOR],tabela_registros[MÊS],$AE$1,tabela_registros[DIA],abrtotal305971[[#Headers],[18]],tabela_registros[REGISTRO],DADOS!$N$4,tabela_registros[TIPO],DADOS!$P$3,tabela_registros[CATEGORIA],despesafixaconsolidadoabr[[#This Row],[DESPESA FIXA]])</f>
        <v>0</v>
      </c>
      <c r="W41" s="119" t="n">
        <f aca="false">SUMIFS(tabela_registros[VALOR],tabela_registros[MÊS],$AE$1,tabela_registros[DIA],abrtotal305971[[#Headers],[19]],tabela_registros[REGISTRO],DADOS!$N$4,tabela_registros[TIPO],DADOS!$P$3,tabela_registros[CATEGORIA],despesafixaconsolidadoabr[[#This Row],[DESPESA FIXA]])</f>
        <v>0</v>
      </c>
      <c r="X41" s="119" t="n">
        <f aca="false">SUMIFS(tabela_registros[VALOR],tabela_registros[MÊS],$AE$1,tabela_registros[DIA],abrtotal305971[[#Headers],[20]],tabela_registros[REGISTRO],DADOS!$N$4,tabela_registros[TIPO],DADOS!$P$3,tabela_registros[CATEGORIA],despesafixaconsolidadoabr[[#This Row],[DESPESA FIXA]])</f>
        <v>0</v>
      </c>
      <c r="Y41" s="119" t="n">
        <f aca="false">SUMIFS(tabela_registros[VALOR],tabela_registros[MÊS],$AE$1,tabela_registros[DIA],abrtotal305971[[#Headers],[21]],tabela_registros[REGISTRO],DADOS!$N$4,tabela_registros[TIPO],DADOS!$P$3,tabela_registros[CATEGORIA],despesafixaconsolidadoabr[[#This Row],[DESPESA FIXA]])</f>
        <v>0</v>
      </c>
      <c r="Z41" s="119" t="n">
        <f aca="false">SUMIFS(tabela_registros[VALOR],tabela_registros[MÊS],$AE$1,tabela_registros[DIA],abrtotal305971[[#Headers],[22]],tabela_registros[REGISTRO],DADOS!$N$4,tabela_registros[TIPO],DADOS!$P$3,tabela_registros[CATEGORIA],despesafixaconsolidadoabr[[#This Row],[DESPESA FIXA]])</f>
        <v>0</v>
      </c>
      <c r="AA41" s="119" t="n">
        <f aca="false">SUMIFS(tabela_registros[VALOR],tabela_registros[MÊS],$AE$1,tabela_registros[DIA],abrtotal305971[[#Headers],[23]],tabela_registros[REGISTRO],DADOS!$N$4,tabela_registros[TIPO],DADOS!$P$3,tabela_registros[CATEGORIA],despesafixaconsolidadoabr[[#This Row],[DESPESA FIXA]])</f>
        <v>0</v>
      </c>
      <c r="AB41" s="119" t="n">
        <f aca="false">SUMIFS(tabela_registros[VALOR],tabela_registros[MÊS],$AE$1,tabela_registros[DIA],abrtotal305971[[#Headers],[24]],tabela_registros[REGISTRO],DADOS!$N$4,tabela_registros[TIPO],DADOS!$P$3,tabela_registros[CATEGORIA],despesafixaconsolidadoabr[[#This Row],[DESPESA FIXA]])</f>
        <v>0</v>
      </c>
      <c r="AC41" s="119" t="n">
        <f aca="false">SUMIFS(tabela_registros[VALOR],tabela_registros[MÊS],$AE$1,tabela_registros[DIA],abrtotal305971[[#Headers],[25]],tabela_registros[REGISTRO],DADOS!$N$4,tabela_registros[TIPO],DADOS!$P$3,tabela_registros[CATEGORIA],despesafixaconsolidadoabr[[#This Row],[DESPESA FIXA]])</f>
        <v>0</v>
      </c>
      <c r="AD41" s="119" t="n">
        <f aca="false">SUMIFS(tabela_registros[VALOR],tabela_registros[MÊS],$AE$1,tabela_registros[DIA],abrtotal305971[[#Headers],[26]],tabela_registros[REGISTRO],DADOS!$N$4,tabela_registros[TIPO],DADOS!$P$3,tabela_registros[CATEGORIA],despesafixaconsolidadoabr[[#This Row],[DESPESA FIXA]])</f>
        <v>0</v>
      </c>
      <c r="AE41" s="119" t="n">
        <f aca="false">SUMIFS(tabela_registros[VALOR],tabela_registros[MÊS],$AE$1,tabela_registros[DIA],abrtotal305971[[#Headers],[27]],tabela_registros[REGISTRO],DADOS!$N$4,tabela_registros[TIPO],DADOS!$P$3,tabela_registros[CATEGORIA],despesafixaconsolidadoabr[[#This Row],[DESPESA FIXA]])</f>
        <v>0</v>
      </c>
      <c r="AF41" s="119" t="n">
        <f aca="false">SUMIFS(tabela_registros[VALOR],tabela_registros[MÊS],$AE$1,tabela_registros[DIA],abrtotal305971[[#Headers],[28]],tabela_registros[REGISTRO],DADOS!$N$4,tabela_registros[TIPO],DADOS!$P$3,tabela_registros[CATEGORIA],despesafixaconsolidadoabr[[#This Row],[DESPESA FIXA]])</f>
        <v>0</v>
      </c>
      <c r="AG41" s="119" t="n">
        <f aca="false">SUMIFS(tabela_registros[VALOR],tabela_registros[MÊS],$AE$1,tabela_registros[DIA],abrtotal305971[[#Headers],[29]],tabela_registros[REGISTRO],DADOS!$N$4,tabela_registros[TIPO],DADOS!$P$3,tabela_registros[CATEGORIA],despesafixaconsolidadoabr[[#This Row],[DESPESA FIXA]])</f>
        <v>0</v>
      </c>
      <c r="AH41" s="119" t="n">
        <f aca="false">SUMIFS(tabela_registros[VALOR],tabela_registros[MÊS],$AE$1,tabela_registros[DIA],abrtotal305971[[#Headers],[30]],tabela_registros[REGISTRO],DADOS!$N$4,tabela_registros[TIPO],DADOS!$P$3,tabela_registros[CATEGORIA],despesafixaconsolidadoabr[[#This Row],[DESPESA FIXA]])</f>
        <v>0</v>
      </c>
      <c r="AI41" s="217" t="n">
        <f aca="false">SUMIFS(tabela_registros[VALOR],tabela_registros[MÊS],$AE$1,tabela_registros[DIA],abrtotal305971[[#Headers],[31]],tabela_registros[REGISTRO],DADOS!$N$4,tabela_registros[TIPO],DADOS!$P$3,tabela_registros[CATEGORIA],despesafixaconsolidadoabr[[#This Row],[DESPESA FIXA]])</f>
        <v>0</v>
      </c>
      <c r="AJ41" s="149" t="n">
        <f aca="false">SUM(despesafixaconsolidadoabr[[#This Row],[1]:[31]])</f>
        <v>0</v>
      </c>
      <c r="AK41" s="143"/>
    </row>
    <row r="42" customFormat="false" ht="18" hidden="false" customHeight="true" outlineLevel="0" collapsed="false">
      <c r="B42" s="143"/>
      <c r="C42" s="144" t="str">
        <f aca="false">DADOS!$R$8</f>
        <v>🏦 EMPRÉSTIMO</v>
      </c>
      <c r="D42" s="145" t="str">
        <f aca="false">IF(despesafixaconsolidadoabr[[#This Row],[TOTAL]]=0,"",IF(OR(despesafixaconsolidadoabr[[#This Row],[TOTAL]]=LARGE($AJ$37:$AJ$50,1),despesafixaconsolidadoabr[[#This Row],[TOTAL]]=LARGE($AJ$37:$AJ$50,2),despesafixaconsolidadoabr[[#This Row],[TOTAL]]=LARGE($AJ$37:$AJ$50,3),despesafixaconsolidadoabr[[#This Row],[TOTAL]]=LARGE($AJ$37:$AJ$50,4),despesafixaconsolidadoabr[[#This Row],[TOTAL]]=LARGE($AJ$37:$AJ$50,5)),DADOS!$I$8,""))</f>
        <v/>
      </c>
      <c r="E42" s="148" t="n">
        <f aca="false">SUMIFS(tabela_registros[VALOR],tabela_registros[MÊS],$AE$1,tabela_registros[DIA],abrtotal305971[[#Headers],[1]],tabela_registros[REGISTRO],DADOS!$N$4,tabela_registros[TIPO],DADOS!$P$3,tabela_registros[CATEGORIA],despesafixaconsolidadoabr[[#This Row],[DESPESA FIXA]])</f>
        <v>0</v>
      </c>
      <c r="F42" s="119" t="n">
        <f aca="false">SUMIFS(tabela_registros[VALOR],tabela_registros[MÊS],$AE$1,tabela_registros[DIA],abrtotal305971[[#Headers],[2]],tabela_registros[REGISTRO],DADOS!$N$4,tabela_registros[TIPO],DADOS!$P$3,tabela_registros[CATEGORIA],despesafixaconsolidadoabr[[#This Row],[DESPESA FIXA]])</f>
        <v>0</v>
      </c>
      <c r="G42" s="119" t="n">
        <f aca="false">SUMIFS(tabela_registros[VALOR],tabela_registros[MÊS],$AE$1,tabela_registros[DIA],abrtotal305971[[#Headers],[3]],tabela_registros[REGISTRO],DADOS!$N$4,tabela_registros[TIPO],DADOS!$P$3,tabela_registros[CATEGORIA],despesafixaconsolidadoabr[[#This Row],[DESPESA FIXA]])</f>
        <v>0</v>
      </c>
      <c r="H42" s="119" t="n">
        <f aca="false">SUMIFS(tabela_registros[VALOR],tabela_registros[MÊS],$AE$1,tabela_registros[DIA],abrtotal305971[[#Headers],[4]],tabela_registros[REGISTRO],DADOS!$N$4,tabela_registros[TIPO],DADOS!$P$3,tabela_registros[CATEGORIA],despesafixaconsolidadoabr[[#This Row],[DESPESA FIXA]])</f>
        <v>0</v>
      </c>
      <c r="I42" s="119" t="n">
        <f aca="false">SUMIFS(tabela_registros[VALOR],tabela_registros[MÊS],$AE$1,tabela_registros[DIA],abrtotal305971[[#Headers],[5]],tabela_registros[REGISTRO],DADOS!$N$4,tabela_registros[TIPO],DADOS!$P$3,tabela_registros[CATEGORIA],despesafixaconsolidadoabr[[#This Row],[DESPESA FIXA]])</f>
        <v>0</v>
      </c>
      <c r="J42" s="119" t="n">
        <f aca="false">SUMIFS(tabela_registros[VALOR],tabela_registros[MÊS],$AE$1,tabela_registros[DIA],abrtotal305971[[#Headers],[6]],tabela_registros[REGISTRO],DADOS!$N$4,tabela_registros[TIPO],DADOS!$P$3,tabela_registros[CATEGORIA],despesafixaconsolidadoabr[[#This Row],[DESPESA FIXA]])</f>
        <v>0</v>
      </c>
      <c r="K42" s="119" t="n">
        <f aca="false">SUMIFS(tabela_registros[VALOR],tabela_registros[MÊS],$AE$1,tabela_registros[DIA],abrtotal305971[[#Headers],[7]],tabela_registros[REGISTRO],DADOS!$N$4,tabela_registros[TIPO],DADOS!$P$3,tabela_registros[CATEGORIA],despesafixaconsolidadoabr[[#This Row],[DESPESA FIXA]])</f>
        <v>0</v>
      </c>
      <c r="L42" s="119" t="n">
        <f aca="false">SUMIFS(tabela_registros[VALOR],tabela_registros[MÊS],$AE$1,tabela_registros[DIA],abrtotal305971[[#Headers],[8]],tabela_registros[REGISTRO],DADOS!$N$4,tabela_registros[TIPO],DADOS!$P$3,tabela_registros[CATEGORIA],despesafixaconsolidadoabr[[#This Row],[DESPESA FIXA]])</f>
        <v>0</v>
      </c>
      <c r="M42" s="119" t="n">
        <f aca="false">SUMIFS(tabela_registros[VALOR],tabela_registros[MÊS],$AE$1,tabela_registros[DIA],abrtotal305971[[#Headers],[9]],tabela_registros[REGISTRO],DADOS!$N$4,tabela_registros[TIPO],DADOS!$P$3,tabela_registros[CATEGORIA],despesafixaconsolidadoabr[[#This Row],[DESPESA FIXA]])</f>
        <v>0</v>
      </c>
      <c r="N42" s="119" t="n">
        <f aca="false">SUMIFS(tabela_registros[VALOR],tabela_registros[MÊS],$AE$1,tabela_registros[DIA],abrtotal305971[[#Headers],[10]],tabela_registros[REGISTRO],DADOS!$N$4,tabela_registros[TIPO],DADOS!$P$3,tabela_registros[CATEGORIA],despesafixaconsolidadoabr[[#This Row],[DESPESA FIXA]])</f>
        <v>0</v>
      </c>
      <c r="O42" s="119" t="n">
        <f aca="false">SUMIFS(tabela_registros[VALOR],tabela_registros[MÊS],$AE$1,tabela_registros[DIA],abrtotal305971[[#Headers],[11]],tabela_registros[REGISTRO],DADOS!$N$4,tabela_registros[TIPO],DADOS!$P$3,tabela_registros[CATEGORIA],despesafixaconsolidadoabr[[#This Row],[DESPESA FIXA]])</f>
        <v>0</v>
      </c>
      <c r="P42" s="119" t="n">
        <f aca="false">SUMIFS(tabela_registros[VALOR],tabela_registros[MÊS],$AE$1,tabela_registros[DIA],abrtotal305971[[#Headers],[12]],tabela_registros[REGISTRO],DADOS!$N$4,tabela_registros[TIPO],DADOS!$P$3,tabela_registros[CATEGORIA],despesafixaconsolidadoabr[[#This Row],[DESPESA FIXA]])</f>
        <v>0</v>
      </c>
      <c r="Q42" s="119" t="n">
        <f aca="false">SUMIFS(tabela_registros[VALOR],tabela_registros[MÊS],$AE$1,tabela_registros[DIA],abrtotal305971[[#Headers],[13]],tabela_registros[REGISTRO],DADOS!$N$4,tabela_registros[TIPO],DADOS!$P$3,tabela_registros[CATEGORIA],despesafixaconsolidadoabr[[#This Row],[DESPESA FIXA]])</f>
        <v>0</v>
      </c>
      <c r="R42" s="119" t="n">
        <f aca="false">SUMIFS(tabela_registros[VALOR],tabela_registros[MÊS],$AE$1,tabela_registros[DIA],abrtotal305971[[#Headers],[14]],tabela_registros[REGISTRO],DADOS!$N$4,tabela_registros[TIPO],DADOS!$P$3,tabela_registros[CATEGORIA],despesafixaconsolidadoabr[[#This Row],[DESPESA FIXA]])</f>
        <v>0</v>
      </c>
      <c r="S42" s="119" t="n">
        <f aca="false">SUMIFS(tabela_registros[VALOR],tabela_registros[MÊS],$AE$1,tabela_registros[DIA],abrtotal305971[[#Headers],[15]],tabela_registros[REGISTRO],DADOS!$N$4,tabela_registros[TIPO],DADOS!$P$3,tabela_registros[CATEGORIA],despesafixaconsolidadoabr[[#This Row],[DESPESA FIXA]])</f>
        <v>0</v>
      </c>
      <c r="T42" s="119" t="n">
        <f aca="false">SUMIFS(tabela_registros[VALOR],tabela_registros[MÊS],$AE$1,tabela_registros[DIA],abrtotal305971[[#Headers],[16]],tabela_registros[REGISTRO],DADOS!$N$4,tabela_registros[TIPO],DADOS!$P$3,tabela_registros[CATEGORIA],despesafixaconsolidadoabr[[#This Row],[DESPESA FIXA]])</f>
        <v>0</v>
      </c>
      <c r="U42" s="119" t="n">
        <f aca="false">SUMIFS(tabela_registros[VALOR],tabela_registros[MÊS],$AE$1,tabela_registros[DIA],abrtotal305971[[#Headers],[17]],tabela_registros[REGISTRO],DADOS!$N$4,tabela_registros[TIPO],DADOS!$P$3,tabela_registros[CATEGORIA],despesafixaconsolidadoabr[[#This Row],[DESPESA FIXA]])</f>
        <v>0</v>
      </c>
      <c r="V42" s="119" t="n">
        <f aca="false">SUMIFS(tabela_registros[VALOR],tabela_registros[MÊS],$AE$1,tabela_registros[DIA],abrtotal305971[[#Headers],[18]],tabela_registros[REGISTRO],DADOS!$N$4,tabela_registros[TIPO],DADOS!$P$3,tabela_registros[CATEGORIA],despesafixaconsolidadoabr[[#This Row],[DESPESA FIXA]])</f>
        <v>0</v>
      </c>
      <c r="W42" s="119" t="n">
        <f aca="false">SUMIFS(tabela_registros[VALOR],tabela_registros[MÊS],$AE$1,tabela_registros[DIA],abrtotal305971[[#Headers],[19]],tabela_registros[REGISTRO],DADOS!$N$4,tabela_registros[TIPO],DADOS!$P$3,tabela_registros[CATEGORIA],despesafixaconsolidadoabr[[#This Row],[DESPESA FIXA]])</f>
        <v>0</v>
      </c>
      <c r="X42" s="119" t="n">
        <f aca="false">SUMIFS(tabela_registros[VALOR],tabela_registros[MÊS],$AE$1,tabela_registros[DIA],abrtotal305971[[#Headers],[20]],tabela_registros[REGISTRO],DADOS!$N$4,tabela_registros[TIPO],DADOS!$P$3,tabela_registros[CATEGORIA],despesafixaconsolidadoabr[[#This Row],[DESPESA FIXA]])</f>
        <v>0</v>
      </c>
      <c r="Y42" s="119" t="n">
        <f aca="false">SUMIFS(tabela_registros[VALOR],tabela_registros[MÊS],$AE$1,tabela_registros[DIA],abrtotal305971[[#Headers],[21]],tabela_registros[REGISTRO],DADOS!$N$4,tabela_registros[TIPO],DADOS!$P$3,tabela_registros[CATEGORIA],despesafixaconsolidadoabr[[#This Row],[DESPESA FIXA]])</f>
        <v>0</v>
      </c>
      <c r="Z42" s="119" t="n">
        <f aca="false">SUMIFS(tabela_registros[VALOR],tabela_registros[MÊS],$AE$1,tabela_registros[DIA],abrtotal305971[[#Headers],[22]],tabela_registros[REGISTRO],DADOS!$N$4,tabela_registros[TIPO],DADOS!$P$3,tabela_registros[CATEGORIA],despesafixaconsolidadoabr[[#This Row],[DESPESA FIXA]])</f>
        <v>0</v>
      </c>
      <c r="AA42" s="119" t="n">
        <f aca="false">SUMIFS(tabela_registros[VALOR],tabela_registros[MÊS],$AE$1,tabela_registros[DIA],abrtotal305971[[#Headers],[23]],tabela_registros[REGISTRO],DADOS!$N$4,tabela_registros[TIPO],DADOS!$P$3,tabela_registros[CATEGORIA],despesafixaconsolidadoabr[[#This Row],[DESPESA FIXA]])</f>
        <v>0</v>
      </c>
      <c r="AB42" s="119" t="n">
        <f aca="false">SUMIFS(tabela_registros[VALOR],tabela_registros[MÊS],$AE$1,tabela_registros[DIA],abrtotal305971[[#Headers],[24]],tabela_registros[REGISTRO],DADOS!$N$4,tabela_registros[TIPO],DADOS!$P$3,tabela_registros[CATEGORIA],despesafixaconsolidadoabr[[#This Row],[DESPESA FIXA]])</f>
        <v>0</v>
      </c>
      <c r="AC42" s="119" t="n">
        <f aca="false">SUMIFS(tabela_registros[VALOR],tabela_registros[MÊS],$AE$1,tabela_registros[DIA],abrtotal305971[[#Headers],[25]],tabela_registros[REGISTRO],DADOS!$N$4,tabela_registros[TIPO],DADOS!$P$3,tabela_registros[CATEGORIA],despesafixaconsolidadoabr[[#This Row],[DESPESA FIXA]])</f>
        <v>0</v>
      </c>
      <c r="AD42" s="119" t="n">
        <f aca="false">SUMIFS(tabela_registros[VALOR],tabela_registros[MÊS],$AE$1,tabela_registros[DIA],abrtotal305971[[#Headers],[26]],tabela_registros[REGISTRO],DADOS!$N$4,tabela_registros[TIPO],DADOS!$P$3,tabela_registros[CATEGORIA],despesafixaconsolidadoabr[[#This Row],[DESPESA FIXA]])</f>
        <v>0</v>
      </c>
      <c r="AE42" s="119" t="n">
        <f aca="false">SUMIFS(tabela_registros[VALOR],tabela_registros[MÊS],$AE$1,tabela_registros[DIA],abrtotal305971[[#Headers],[27]],tabela_registros[REGISTRO],DADOS!$N$4,tabela_registros[TIPO],DADOS!$P$3,tabela_registros[CATEGORIA],despesafixaconsolidadoabr[[#This Row],[DESPESA FIXA]])</f>
        <v>0</v>
      </c>
      <c r="AF42" s="119" t="n">
        <f aca="false">SUMIFS(tabela_registros[VALOR],tabela_registros[MÊS],$AE$1,tabela_registros[DIA],abrtotal305971[[#Headers],[28]],tabela_registros[REGISTRO],DADOS!$N$4,tabela_registros[TIPO],DADOS!$P$3,tabela_registros[CATEGORIA],despesafixaconsolidadoabr[[#This Row],[DESPESA FIXA]])</f>
        <v>0</v>
      </c>
      <c r="AG42" s="119" t="n">
        <f aca="false">SUMIFS(tabela_registros[VALOR],tabela_registros[MÊS],$AE$1,tabela_registros[DIA],abrtotal305971[[#Headers],[29]],tabela_registros[REGISTRO],DADOS!$N$4,tabela_registros[TIPO],DADOS!$P$3,tabela_registros[CATEGORIA],despesafixaconsolidadoabr[[#This Row],[DESPESA FIXA]])</f>
        <v>0</v>
      </c>
      <c r="AH42" s="119" t="n">
        <f aca="false">SUMIFS(tabela_registros[VALOR],tabela_registros[MÊS],$AE$1,tabela_registros[DIA],abrtotal305971[[#Headers],[30]],tabela_registros[REGISTRO],DADOS!$N$4,tabela_registros[TIPO],DADOS!$P$3,tabela_registros[CATEGORIA],despesafixaconsolidadoabr[[#This Row],[DESPESA FIXA]])</f>
        <v>0</v>
      </c>
      <c r="AI42" s="217" t="n">
        <f aca="false">SUMIFS(tabela_registros[VALOR],tabela_registros[MÊS],$AE$1,tabela_registros[DIA],abrtotal305971[[#Headers],[31]],tabela_registros[REGISTRO],DADOS!$N$4,tabela_registros[TIPO],DADOS!$P$3,tabela_registros[CATEGORIA],despesafixaconsolidadoabr[[#This Row],[DESPESA FIXA]])</f>
        <v>0</v>
      </c>
      <c r="AJ42" s="149" t="n">
        <f aca="false">SUM(despesafixaconsolidadoabr[[#This Row],[1]:[31]])</f>
        <v>0</v>
      </c>
      <c r="AK42" s="143"/>
    </row>
    <row r="43" customFormat="false" ht="18" hidden="false" customHeight="true" outlineLevel="0" collapsed="false">
      <c r="B43" s="143"/>
      <c r="C43" s="144" t="str">
        <f aca="false">DADOS!$R$9</f>
        <v>💡 ENERGIA</v>
      </c>
      <c r="D43" s="145" t="str">
        <f aca="false">IF(despesafixaconsolidadoabr[[#This Row],[TOTAL]]=0,"",IF(OR(despesafixaconsolidadoabr[[#This Row],[TOTAL]]=LARGE($AJ$37:$AJ$50,1),despesafixaconsolidadoabr[[#This Row],[TOTAL]]=LARGE($AJ$37:$AJ$50,2),despesafixaconsolidadoabr[[#This Row],[TOTAL]]=LARGE($AJ$37:$AJ$50,3),despesafixaconsolidadoabr[[#This Row],[TOTAL]]=LARGE($AJ$37:$AJ$50,4),despesafixaconsolidadoabr[[#This Row],[TOTAL]]=LARGE($AJ$37:$AJ$50,5)),DADOS!$I$8,""))</f>
        <v/>
      </c>
      <c r="E43" s="148" t="n">
        <f aca="false">SUMIFS(tabela_registros[VALOR],tabela_registros[MÊS],$AE$1,tabela_registros[DIA],abrtotal305971[[#Headers],[1]],tabela_registros[REGISTRO],DADOS!$N$4,tabela_registros[TIPO],DADOS!$P$3,tabela_registros[CATEGORIA],despesafixaconsolidadoabr[[#This Row],[DESPESA FIXA]])</f>
        <v>0</v>
      </c>
      <c r="F43" s="119" t="n">
        <f aca="false">SUMIFS(tabela_registros[VALOR],tabela_registros[MÊS],$AE$1,tabela_registros[DIA],abrtotal305971[[#Headers],[2]],tabela_registros[REGISTRO],DADOS!$N$4,tabela_registros[TIPO],DADOS!$P$3,tabela_registros[CATEGORIA],despesafixaconsolidadoabr[[#This Row],[DESPESA FIXA]])</f>
        <v>0</v>
      </c>
      <c r="G43" s="119" t="n">
        <f aca="false">SUMIFS(tabela_registros[VALOR],tabela_registros[MÊS],$AE$1,tabela_registros[DIA],abrtotal305971[[#Headers],[3]],tabela_registros[REGISTRO],DADOS!$N$4,tabela_registros[TIPO],DADOS!$P$3,tabela_registros[CATEGORIA],despesafixaconsolidadoabr[[#This Row],[DESPESA FIXA]])</f>
        <v>0</v>
      </c>
      <c r="H43" s="119" t="n">
        <f aca="false">SUMIFS(tabela_registros[VALOR],tabela_registros[MÊS],$AE$1,tabela_registros[DIA],abrtotal305971[[#Headers],[4]],tabela_registros[REGISTRO],DADOS!$N$4,tabela_registros[TIPO],DADOS!$P$3,tabela_registros[CATEGORIA],despesafixaconsolidadoabr[[#This Row],[DESPESA FIXA]])</f>
        <v>0</v>
      </c>
      <c r="I43" s="119" t="n">
        <f aca="false">SUMIFS(tabela_registros[VALOR],tabela_registros[MÊS],$AE$1,tabela_registros[DIA],abrtotal305971[[#Headers],[5]],tabela_registros[REGISTRO],DADOS!$N$4,tabela_registros[TIPO],DADOS!$P$3,tabela_registros[CATEGORIA],despesafixaconsolidadoabr[[#This Row],[DESPESA FIXA]])</f>
        <v>0</v>
      </c>
      <c r="J43" s="119" t="n">
        <f aca="false">SUMIFS(tabela_registros[VALOR],tabela_registros[MÊS],$AE$1,tabela_registros[DIA],abrtotal305971[[#Headers],[6]],tabela_registros[REGISTRO],DADOS!$N$4,tabela_registros[TIPO],DADOS!$P$3,tabela_registros[CATEGORIA],despesafixaconsolidadoabr[[#This Row],[DESPESA FIXA]])</f>
        <v>0</v>
      </c>
      <c r="K43" s="119" t="n">
        <f aca="false">SUMIFS(tabela_registros[VALOR],tabela_registros[MÊS],$AE$1,tabela_registros[DIA],abrtotal305971[[#Headers],[7]],tabela_registros[REGISTRO],DADOS!$N$4,tabela_registros[TIPO],DADOS!$P$3,tabela_registros[CATEGORIA],despesafixaconsolidadoabr[[#This Row],[DESPESA FIXA]])</f>
        <v>0</v>
      </c>
      <c r="L43" s="119" t="n">
        <f aca="false">SUMIFS(tabela_registros[VALOR],tabela_registros[MÊS],$AE$1,tabela_registros[DIA],abrtotal305971[[#Headers],[8]],tabela_registros[REGISTRO],DADOS!$N$4,tabela_registros[TIPO],DADOS!$P$3,tabela_registros[CATEGORIA],despesafixaconsolidadoabr[[#This Row],[DESPESA FIXA]])</f>
        <v>0</v>
      </c>
      <c r="M43" s="119" t="n">
        <f aca="false">SUMIFS(tabela_registros[VALOR],tabela_registros[MÊS],$AE$1,tabela_registros[DIA],abrtotal305971[[#Headers],[9]],tabela_registros[REGISTRO],DADOS!$N$4,tabela_registros[TIPO],DADOS!$P$3,tabela_registros[CATEGORIA],despesafixaconsolidadoabr[[#This Row],[DESPESA FIXA]])</f>
        <v>0</v>
      </c>
      <c r="N43" s="119" t="n">
        <f aca="false">SUMIFS(tabela_registros[VALOR],tabela_registros[MÊS],$AE$1,tabela_registros[DIA],abrtotal305971[[#Headers],[10]],tabela_registros[REGISTRO],DADOS!$N$4,tabela_registros[TIPO],DADOS!$P$3,tabela_registros[CATEGORIA],despesafixaconsolidadoabr[[#This Row],[DESPESA FIXA]])</f>
        <v>0</v>
      </c>
      <c r="O43" s="119" t="n">
        <f aca="false">SUMIFS(tabela_registros[VALOR],tabela_registros[MÊS],$AE$1,tabela_registros[DIA],abrtotal305971[[#Headers],[11]],tabela_registros[REGISTRO],DADOS!$N$4,tabela_registros[TIPO],DADOS!$P$3,tabela_registros[CATEGORIA],despesafixaconsolidadoabr[[#This Row],[DESPESA FIXA]])</f>
        <v>0</v>
      </c>
      <c r="P43" s="119" t="n">
        <f aca="false">SUMIFS(tabela_registros[VALOR],tabela_registros[MÊS],$AE$1,tabela_registros[DIA],abrtotal305971[[#Headers],[12]],tabela_registros[REGISTRO],DADOS!$N$4,tabela_registros[TIPO],DADOS!$P$3,tabela_registros[CATEGORIA],despesafixaconsolidadoabr[[#This Row],[DESPESA FIXA]])</f>
        <v>0</v>
      </c>
      <c r="Q43" s="119" t="n">
        <f aca="false">SUMIFS(tabela_registros[VALOR],tabela_registros[MÊS],$AE$1,tabela_registros[DIA],abrtotal305971[[#Headers],[13]],tabela_registros[REGISTRO],DADOS!$N$4,tabela_registros[TIPO],DADOS!$P$3,tabela_registros[CATEGORIA],despesafixaconsolidadoabr[[#This Row],[DESPESA FIXA]])</f>
        <v>0</v>
      </c>
      <c r="R43" s="119" t="n">
        <f aca="false">SUMIFS(tabela_registros[VALOR],tabela_registros[MÊS],$AE$1,tabela_registros[DIA],abrtotal305971[[#Headers],[14]],tabela_registros[REGISTRO],DADOS!$N$4,tabela_registros[TIPO],DADOS!$P$3,tabela_registros[CATEGORIA],despesafixaconsolidadoabr[[#This Row],[DESPESA FIXA]])</f>
        <v>0</v>
      </c>
      <c r="S43" s="119" t="n">
        <f aca="false">SUMIFS(tabela_registros[VALOR],tabela_registros[MÊS],$AE$1,tabela_registros[DIA],abrtotal305971[[#Headers],[15]],tabela_registros[REGISTRO],DADOS!$N$4,tabela_registros[TIPO],DADOS!$P$3,tabela_registros[CATEGORIA],despesafixaconsolidadoabr[[#This Row],[DESPESA FIXA]])</f>
        <v>0</v>
      </c>
      <c r="T43" s="119" t="n">
        <f aca="false">SUMIFS(tabela_registros[VALOR],tabela_registros[MÊS],$AE$1,tabela_registros[DIA],abrtotal305971[[#Headers],[16]],tabela_registros[REGISTRO],DADOS!$N$4,tabela_registros[TIPO],DADOS!$P$3,tabela_registros[CATEGORIA],despesafixaconsolidadoabr[[#This Row],[DESPESA FIXA]])</f>
        <v>0</v>
      </c>
      <c r="U43" s="119" t="n">
        <f aca="false">SUMIFS(tabela_registros[VALOR],tabela_registros[MÊS],$AE$1,tabela_registros[DIA],abrtotal305971[[#Headers],[17]],tabela_registros[REGISTRO],DADOS!$N$4,tabela_registros[TIPO],DADOS!$P$3,tabela_registros[CATEGORIA],despesafixaconsolidadoabr[[#This Row],[DESPESA FIXA]])</f>
        <v>0</v>
      </c>
      <c r="V43" s="119" t="n">
        <f aca="false">SUMIFS(tabela_registros[VALOR],tabela_registros[MÊS],$AE$1,tabela_registros[DIA],abrtotal305971[[#Headers],[18]],tabela_registros[REGISTRO],DADOS!$N$4,tabela_registros[TIPO],DADOS!$P$3,tabela_registros[CATEGORIA],despesafixaconsolidadoabr[[#This Row],[DESPESA FIXA]])</f>
        <v>0</v>
      </c>
      <c r="W43" s="119" t="n">
        <f aca="false">SUMIFS(tabela_registros[VALOR],tabela_registros[MÊS],$AE$1,tabela_registros[DIA],abrtotal305971[[#Headers],[19]],tabela_registros[REGISTRO],DADOS!$N$4,tabela_registros[TIPO],DADOS!$P$3,tabela_registros[CATEGORIA],despesafixaconsolidadoabr[[#This Row],[DESPESA FIXA]])</f>
        <v>0</v>
      </c>
      <c r="X43" s="119" t="n">
        <f aca="false">SUMIFS(tabela_registros[VALOR],tabela_registros[MÊS],$AE$1,tabela_registros[DIA],abrtotal305971[[#Headers],[20]],tabela_registros[REGISTRO],DADOS!$N$4,tabela_registros[TIPO],DADOS!$P$3,tabela_registros[CATEGORIA],despesafixaconsolidadoabr[[#This Row],[DESPESA FIXA]])</f>
        <v>0</v>
      </c>
      <c r="Y43" s="119" t="n">
        <f aca="false">SUMIFS(tabela_registros[VALOR],tabela_registros[MÊS],$AE$1,tabela_registros[DIA],abrtotal305971[[#Headers],[21]],tabela_registros[REGISTRO],DADOS!$N$4,tabela_registros[TIPO],DADOS!$P$3,tabela_registros[CATEGORIA],despesafixaconsolidadoabr[[#This Row],[DESPESA FIXA]])</f>
        <v>0</v>
      </c>
      <c r="Z43" s="119" t="n">
        <f aca="false">SUMIFS(tabela_registros[VALOR],tabela_registros[MÊS],$AE$1,tabela_registros[DIA],abrtotal305971[[#Headers],[22]],tabela_registros[REGISTRO],DADOS!$N$4,tabela_registros[TIPO],DADOS!$P$3,tabela_registros[CATEGORIA],despesafixaconsolidadoabr[[#This Row],[DESPESA FIXA]])</f>
        <v>0</v>
      </c>
      <c r="AA43" s="119" t="n">
        <f aca="false">SUMIFS(tabela_registros[VALOR],tabela_registros[MÊS],$AE$1,tabela_registros[DIA],abrtotal305971[[#Headers],[23]],tabela_registros[REGISTRO],DADOS!$N$4,tabela_registros[TIPO],DADOS!$P$3,tabela_registros[CATEGORIA],despesafixaconsolidadoabr[[#This Row],[DESPESA FIXA]])</f>
        <v>0</v>
      </c>
      <c r="AB43" s="119" t="n">
        <f aca="false">SUMIFS(tabela_registros[VALOR],tabela_registros[MÊS],$AE$1,tabela_registros[DIA],abrtotal305971[[#Headers],[24]],tabela_registros[REGISTRO],DADOS!$N$4,tabela_registros[TIPO],DADOS!$P$3,tabela_registros[CATEGORIA],despesafixaconsolidadoabr[[#This Row],[DESPESA FIXA]])</f>
        <v>0</v>
      </c>
      <c r="AC43" s="119" t="n">
        <f aca="false">SUMIFS(tabela_registros[VALOR],tabela_registros[MÊS],$AE$1,tabela_registros[DIA],abrtotal305971[[#Headers],[25]],tabela_registros[REGISTRO],DADOS!$N$4,tabela_registros[TIPO],DADOS!$P$3,tabela_registros[CATEGORIA],despesafixaconsolidadoabr[[#This Row],[DESPESA FIXA]])</f>
        <v>0</v>
      </c>
      <c r="AD43" s="119" t="n">
        <f aca="false">SUMIFS(tabela_registros[VALOR],tabela_registros[MÊS],$AE$1,tabela_registros[DIA],abrtotal305971[[#Headers],[26]],tabela_registros[REGISTRO],DADOS!$N$4,tabela_registros[TIPO],DADOS!$P$3,tabela_registros[CATEGORIA],despesafixaconsolidadoabr[[#This Row],[DESPESA FIXA]])</f>
        <v>0</v>
      </c>
      <c r="AE43" s="119" t="n">
        <f aca="false">SUMIFS(tabela_registros[VALOR],tabela_registros[MÊS],$AE$1,tabela_registros[DIA],abrtotal305971[[#Headers],[27]],tabela_registros[REGISTRO],DADOS!$N$4,tabela_registros[TIPO],DADOS!$P$3,tabela_registros[CATEGORIA],despesafixaconsolidadoabr[[#This Row],[DESPESA FIXA]])</f>
        <v>0</v>
      </c>
      <c r="AF43" s="119" t="n">
        <f aca="false">SUMIFS(tabela_registros[VALOR],tabela_registros[MÊS],$AE$1,tabela_registros[DIA],abrtotal305971[[#Headers],[28]],tabela_registros[REGISTRO],DADOS!$N$4,tabela_registros[TIPO],DADOS!$P$3,tabela_registros[CATEGORIA],despesafixaconsolidadoabr[[#This Row],[DESPESA FIXA]])</f>
        <v>0</v>
      </c>
      <c r="AG43" s="119" t="n">
        <f aca="false">SUMIFS(tabela_registros[VALOR],tabela_registros[MÊS],$AE$1,tabela_registros[DIA],abrtotal305971[[#Headers],[29]],tabela_registros[REGISTRO],DADOS!$N$4,tabela_registros[TIPO],DADOS!$P$3,tabela_registros[CATEGORIA],despesafixaconsolidadoabr[[#This Row],[DESPESA FIXA]])</f>
        <v>0</v>
      </c>
      <c r="AH43" s="119" t="n">
        <f aca="false">SUMIFS(tabela_registros[VALOR],tabela_registros[MÊS],$AE$1,tabela_registros[DIA],abrtotal305971[[#Headers],[30]],tabela_registros[REGISTRO],DADOS!$N$4,tabela_registros[TIPO],DADOS!$P$3,tabela_registros[CATEGORIA],despesafixaconsolidadoabr[[#This Row],[DESPESA FIXA]])</f>
        <v>0</v>
      </c>
      <c r="AI43" s="217" t="n">
        <f aca="false">SUMIFS(tabela_registros[VALOR],tabela_registros[MÊS],$AE$1,tabela_registros[DIA],abrtotal305971[[#Headers],[31]],tabela_registros[REGISTRO],DADOS!$N$4,tabela_registros[TIPO],DADOS!$P$3,tabela_registros[CATEGORIA],despesafixaconsolidadoabr[[#This Row],[DESPESA FIXA]])</f>
        <v>0</v>
      </c>
      <c r="AJ43" s="149" t="n">
        <f aca="false">SUM(despesafixaconsolidadoabr[[#This Row],[1]:[31]])</f>
        <v>0</v>
      </c>
      <c r="AK43" s="143"/>
    </row>
    <row r="44" customFormat="false" ht="18" hidden="false" customHeight="true" outlineLevel="0" collapsed="false">
      <c r="B44" s="143"/>
      <c r="C44" s="144" t="str">
        <f aca="false">DADOS!$R$10</f>
        <v>👨‍👩‍👧 FAMÍLIA</v>
      </c>
      <c r="D44" s="145" t="str">
        <f aca="false">IF(despesafixaconsolidadoabr[[#This Row],[TOTAL]]=0,"",IF(OR(despesafixaconsolidadoabr[[#This Row],[TOTAL]]=LARGE($AJ$37:$AJ$50,1),despesafixaconsolidadoabr[[#This Row],[TOTAL]]=LARGE($AJ$37:$AJ$50,2),despesafixaconsolidadoabr[[#This Row],[TOTAL]]=LARGE($AJ$37:$AJ$50,3),despesafixaconsolidadoabr[[#This Row],[TOTAL]]=LARGE($AJ$37:$AJ$50,4),despesafixaconsolidadoabr[[#This Row],[TOTAL]]=LARGE($AJ$37:$AJ$50,5)),DADOS!$I$8,""))</f>
        <v/>
      </c>
      <c r="E44" s="148" t="n">
        <f aca="false">SUMIFS(tabela_registros[VALOR],tabela_registros[MÊS],$AE$1,tabela_registros[DIA],abrtotal305971[[#Headers],[1]],tabela_registros[REGISTRO],DADOS!$N$4,tabela_registros[TIPO],DADOS!$P$3,tabela_registros[CATEGORIA],despesafixaconsolidadoabr[[#This Row],[DESPESA FIXA]])</f>
        <v>0</v>
      </c>
      <c r="F44" s="119" t="n">
        <f aca="false">SUMIFS(tabela_registros[VALOR],tabela_registros[MÊS],$AE$1,tabela_registros[DIA],abrtotal305971[[#Headers],[2]],tabela_registros[REGISTRO],DADOS!$N$4,tabela_registros[TIPO],DADOS!$P$3,tabela_registros[CATEGORIA],despesafixaconsolidadoabr[[#This Row],[DESPESA FIXA]])</f>
        <v>0</v>
      </c>
      <c r="G44" s="119" t="n">
        <f aca="false">SUMIFS(tabela_registros[VALOR],tabela_registros[MÊS],$AE$1,tabela_registros[DIA],abrtotal305971[[#Headers],[3]],tabela_registros[REGISTRO],DADOS!$N$4,tabela_registros[TIPO],DADOS!$P$3,tabela_registros[CATEGORIA],despesafixaconsolidadoabr[[#This Row],[DESPESA FIXA]])</f>
        <v>0</v>
      </c>
      <c r="H44" s="119" t="n">
        <f aca="false">SUMIFS(tabela_registros[VALOR],tabela_registros[MÊS],$AE$1,tabela_registros[DIA],abrtotal305971[[#Headers],[4]],tabela_registros[REGISTRO],DADOS!$N$4,tabela_registros[TIPO],DADOS!$P$3,tabela_registros[CATEGORIA],despesafixaconsolidadoabr[[#This Row],[DESPESA FIXA]])</f>
        <v>0</v>
      </c>
      <c r="I44" s="119" t="n">
        <f aca="false">SUMIFS(tabela_registros[VALOR],tabela_registros[MÊS],$AE$1,tabela_registros[DIA],abrtotal305971[[#Headers],[5]],tabela_registros[REGISTRO],DADOS!$N$4,tabela_registros[TIPO],DADOS!$P$3,tabela_registros[CATEGORIA],despesafixaconsolidadoabr[[#This Row],[DESPESA FIXA]])</f>
        <v>0</v>
      </c>
      <c r="J44" s="119" t="n">
        <f aca="false">SUMIFS(tabela_registros[VALOR],tabela_registros[MÊS],$AE$1,tabela_registros[DIA],abrtotal305971[[#Headers],[6]],tabela_registros[REGISTRO],DADOS!$N$4,tabela_registros[TIPO],DADOS!$P$3,tabela_registros[CATEGORIA],despesafixaconsolidadoabr[[#This Row],[DESPESA FIXA]])</f>
        <v>0</v>
      </c>
      <c r="K44" s="119" t="n">
        <f aca="false">SUMIFS(tabela_registros[VALOR],tabela_registros[MÊS],$AE$1,tabela_registros[DIA],abrtotal305971[[#Headers],[7]],tabela_registros[REGISTRO],DADOS!$N$4,tabela_registros[TIPO],DADOS!$P$3,tabela_registros[CATEGORIA],despesafixaconsolidadoabr[[#This Row],[DESPESA FIXA]])</f>
        <v>0</v>
      </c>
      <c r="L44" s="119" t="n">
        <f aca="false">SUMIFS(tabela_registros[VALOR],tabela_registros[MÊS],$AE$1,tabela_registros[DIA],abrtotal305971[[#Headers],[8]],tabela_registros[REGISTRO],DADOS!$N$4,tabela_registros[TIPO],DADOS!$P$3,tabela_registros[CATEGORIA],despesafixaconsolidadoabr[[#This Row],[DESPESA FIXA]])</f>
        <v>0</v>
      </c>
      <c r="M44" s="119" t="n">
        <f aca="false">SUMIFS(tabela_registros[VALOR],tabela_registros[MÊS],$AE$1,tabela_registros[DIA],abrtotal305971[[#Headers],[9]],tabela_registros[REGISTRO],DADOS!$N$4,tabela_registros[TIPO],DADOS!$P$3,tabela_registros[CATEGORIA],despesafixaconsolidadoabr[[#This Row],[DESPESA FIXA]])</f>
        <v>0</v>
      </c>
      <c r="N44" s="119" t="n">
        <f aca="false">SUMIFS(tabela_registros[VALOR],tabela_registros[MÊS],$AE$1,tabela_registros[DIA],abrtotal305971[[#Headers],[10]],tabela_registros[REGISTRO],DADOS!$N$4,tabela_registros[TIPO],DADOS!$P$3,tabela_registros[CATEGORIA],despesafixaconsolidadoabr[[#This Row],[DESPESA FIXA]])</f>
        <v>0</v>
      </c>
      <c r="O44" s="119" t="n">
        <f aca="false">SUMIFS(tabela_registros[VALOR],tabela_registros[MÊS],$AE$1,tabela_registros[DIA],abrtotal305971[[#Headers],[11]],tabela_registros[REGISTRO],DADOS!$N$4,tabela_registros[TIPO],DADOS!$P$3,tabela_registros[CATEGORIA],despesafixaconsolidadoabr[[#This Row],[DESPESA FIXA]])</f>
        <v>0</v>
      </c>
      <c r="P44" s="119" t="n">
        <f aca="false">SUMIFS(tabela_registros[VALOR],tabela_registros[MÊS],$AE$1,tabela_registros[DIA],abrtotal305971[[#Headers],[12]],tabela_registros[REGISTRO],DADOS!$N$4,tabela_registros[TIPO],DADOS!$P$3,tabela_registros[CATEGORIA],despesafixaconsolidadoabr[[#This Row],[DESPESA FIXA]])</f>
        <v>0</v>
      </c>
      <c r="Q44" s="119" t="n">
        <f aca="false">SUMIFS(tabela_registros[VALOR],tabela_registros[MÊS],$AE$1,tabela_registros[DIA],abrtotal305971[[#Headers],[13]],tabela_registros[REGISTRO],DADOS!$N$4,tabela_registros[TIPO],DADOS!$P$3,tabela_registros[CATEGORIA],despesafixaconsolidadoabr[[#This Row],[DESPESA FIXA]])</f>
        <v>0</v>
      </c>
      <c r="R44" s="119" t="n">
        <f aca="false">SUMIFS(tabela_registros[VALOR],tabela_registros[MÊS],$AE$1,tabela_registros[DIA],abrtotal305971[[#Headers],[14]],tabela_registros[REGISTRO],DADOS!$N$4,tabela_registros[TIPO],DADOS!$P$3,tabela_registros[CATEGORIA],despesafixaconsolidadoabr[[#This Row],[DESPESA FIXA]])</f>
        <v>0</v>
      </c>
      <c r="S44" s="119" t="n">
        <f aca="false">SUMIFS(tabela_registros[VALOR],tabela_registros[MÊS],$AE$1,tabela_registros[DIA],abrtotal305971[[#Headers],[15]],tabela_registros[REGISTRO],DADOS!$N$4,tabela_registros[TIPO],DADOS!$P$3,tabela_registros[CATEGORIA],despesafixaconsolidadoabr[[#This Row],[DESPESA FIXA]])</f>
        <v>0</v>
      </c>
      <c r="T44" s="119" t="n">
        <f aca="false">SUMIFS(tabela_registros[VALOR],tabela_registros[MÊS],$AE$1,tabela_registros[DIA],abrtotal305971[[#Headers],[16]],tabela_registros[REGISTRO],DADOS!$N$4,tabela_registros[TIPO],DADOS!$P$3,tabela_registros[CATEGORIA],despesafixaconsolidadoabr[[#This Row],[DESPESA FIXA]])</f>
        <v>0</v>
      </c>
      <c r="U44" s="119" t="n">
        <f aca="false">SUMIFS(tabela_registros[VALOR],tabela_registros[MÊS],$AE$1,tabela_registros[DIA],abrtotal305971[[#Headers],[17]],tabela_registros[REGISTRO],DADOS!$N$4,tabela_registros[TIPO],DADOS!$P$3,tabela_registros[CATEGORIA],despesafixaconsolidadoabr[[#This Row],[DESPESA FIXA]])</f>
        <v>0</v>
      </c>
      <c r="V44" s="119" t="n">
        <f aca="false">SUMIFS(tabela_registros[VALOR],tabela_registros[MÊS],$AE$1,tabela_registros[DIA],abrtotal305971[[#Headers],[18]],tabela_registros[REGISTRO],DADOS!$N$4,tabela_registros[TIPO],DADOS!$P$3,tabela_registros[CATEGORIA],despesafixaconsolidadoabr[[#This Row],[DESPESA FIXA]])</f>
        <v>0</v>
      </c>
      <c r="W44" s="119" t="n">
        <f aca="false">SUMIFS(tabela_registros[VALOR],tabela_registros[MÊS],$AE$1,tabela_registros[DIA],abrtotal305971[[#Headers],[19]],tabela_registros[REGISTRO],DADOS!$N$4,tabela_registros[TIPO],DADOS!$P$3,tabela_registros[CATEGORIA],despesafixaconsolidadoabr[[#This Row],[DESPESA FIXA]])</f>
        <v>0</v>
      </c>
      <c r="X44" s="119" t="n">
        <f aca="false">SUMIFS(tabela_registros[VALOR],tabela_registros[MÊS],$AE$1,tabela_registros[DIA],abrtotal305971[[#Headers],[20]],tabela_registros[REGISTRO],DADOS!$N$4,tabela_registros[TIPO],DADOS!$P$3,tabela_registros[CATEGORIA],despesafixaconsolidadoabr[[#This Row],[DESPESA FIXA]])</f>
        <v>0</v>
      </c>
      <c r="Y44" s="119" t="n">
        <f aca="false">SUMIFS(tabela_registros[VALOR],tabela_registros[MÊS],$AE$1,tabela_registros[DIA],abrtotal305971[[#Headers],[21]],tabela_registros[REGISTRO],DADOS!$N$4,tabela_registros[TIPO],DADOS!$P$3,tabela_registros[CATEGORIA],despesafixaconsolidadoabr[[#This Row],[DESPESA FIXA]])</f>
        <v>0</v>
      </c>
      <c r="Z44" s="119" t="n">
        <f aca="false">SUMIFS(tabela_registros[VALOR],tabela_registros[MÊS],$AE$1,tabela_registros[DIA],abrtotal305971[[#Headers],[22]],tabela_registros[REGISTRO],DADOS!$N$4,tabela_registros[TIPO],DADOS!$P$3,tabela_registros[CATEGORIA],despesafixaconsolidadoabr[[#This Row],[DESPESA FIXA]])</f>
        <v>0</v>
      </c>
      <c r="AA44" s="119" t="n">
        <f aca="false">SUMIFS(tabela_registros[VALOR],tabela_registros[MÊS],$AE$1,tabela_registros[DIA],abrtotal305971[[#Headers],[23]],tabela_registros[REGISTRO],DADOS!$N$4,tabela_registros[TIPO],DADOS!$P$3,tabela_registros[CATEGORIA],despesafixaconsolidadoabr[[#This Row],[DESPESA FIXA]])</f>
        <v>0</v>
      </c>
      <c r="AB44" s="119" t="n">
        <f aca="false">SUMIFS(tabela_registros[VALOR],tabela_registros[MÊS],$AE$1,tabela_registros[DIA],abrtotal305971[[#Headers],[24]],tabela_registros[REGISTRO],DADOS!$N$4,tabela_registros[TIPO],DADOS!$P$3,tabela_registros[CATEGORIA],despesafixaconsolidadoabr[[#This Row],[DESPESA FIXA]])</f>
        <v>0</v>
      </c>
      <c r="AC44" s="119" t="n">
        <f aca="false">SUMIFS(tabela_registros[VALOR],tabela_registros[MÊS],$AE$1,tabela_registros[DIA],abrtotal305971[[#Headers],[25]],tabela_registros[REGISTRO],DADOS!$N$4,tabela_registros[TIPO],DADOS!$P$3,tabela_registros[CATEGORIA],despesafixaconsolidadoabr[[#This Row],[DESPESA FIXA]])</f>
        <v>0</v>
      </c>
      <c r="AD44" s="119" t="n">
        <f aca="false">SUMIFS(tabela_registros[VALOR],tabela_registros[MÊS],$AE$1,tabela_registros[DIA],abrtotal305971[[#Headers],[26]],tabela_registros[REGISTRO],DADOS!$N$4,tabela_registros[TIPO],DADOS!$P$3,tabela_registros[CATEGORIA],despesafixaconsolidadoabr[[#This Row],[DESPESA FIXA]])</f>
        <v>0</v>
      </c>
      <c r="AE44" s="119" t="n">
        <f aca="false">SUMIFS(tabela_registros[VALOR],tabela_registros[MÊS],$AE$1,tabela_registros[DIA],abrtotal305971[[#Headers],[27]],tabela_registros[REGISTRO],DADOS!$N$4,tabela_registros[TIPO],DADOS!$P$3,tabela_registros[CATEGORIA],despesafixaconsolidadoabr[[#This Row],[DESPESA FIXA]])</f>
        <v>0</v>
      </c>
      <c r="AF44" s="119" t="n">
        <f aca="false">SUMIFS(tabela_registros[VALOR],tabela_registros[MÊS],$AE$1,tabela_registros[DIA],abrtotal305971[[#Headers],[28]],tabela_registros[REGISTRO],DADOS!$N$4,tabela_registros[TIPO],DADOS!$P$3,tabela_registros[CATEGORIA],despesafixaconsolidadoabr[[#This Row],[DESPESA FIXA]])</f>
        <v>0</v>
      </c>
      <c r="AG44" s="119" t="n">
        <f aca="false">SUMIFS(tabela_registros[VALOR],tabela_registros[MÊS],$AE$1,tabela_registros[DIA],abrtotal305971[[#Headers],[29]],tabela_registros[REGISTRO],DADOS!$N$4,tabela_registros[TIPO],DADOS!$P$3,tabela_registros[CATEGORIA],despesafixaconsolidadoabr[[#This Row],[DESPESA FIXA]])</f>
        <v>0</v>
      </c>
      <c r="AH44" s="119" t="n">
        <f aca="false">SUMIFS(tabela_registros[VALOR],tabela_registros[MÊS],$AE$1,tabela_registros[DIA],abrtotal305971[[#Headers],[30]],tabela_registros[REGISTRO],DADOS!$N$4,tabela_registros[TIPO],DADOS!$P$3,tabela_registros[CATEGORIA],despesafixaconsolidadoabr[[#This Row],[DESPESA FIXA]])</f>
        <v>0</v>
      </c>
      <c r="AI44" s="217" t="n">
        <f aca="false">SUMIFS(tabela_registros[VALOR],tabela_registros[MÊS],$AE$1,tabela_registros[DIA],abrtotal305971[[#Headers],[31]],tabela_registros[REGISTRO],DADOS!$N$4,tabela_registros[TIPO],DADOS!$P$3,tabela_registros[CATEGORIA],despesafixaconsolidadoabr[[#This Row],[DESPESA FIXA]])</f>
        <v>0</v>
      </c>
      <c r="AJ44" s="149" t="n">
        <f aca="false">SUM(despesafixaconsolidadoabr[[#This Row],[1]:[31]])</f>
        <v>0</v>
      </c>
      <c r="AK44" s="143"/>
    </row>
    <row r="45" customFormat="false" ht="18" hidden="false" customHeight="true" outlineLevel="0" collapsed="false">
      <c r="B45" s="143"/>
      <c r="C45" s="144" t="str">
        <f aca="false">DADOS!$R$11</f>
        <v>🔢 IMPOSTOS</v>
      </c>
      <c r="D45" s="145" t="str">
        <f aca="false">IF(despesafixaconsolidadoabr[[#This Row],[TOTAL]]=0,"",IF(OR(despesafixaconsolidadoabr[[#This Row],[TOTAL]]=LARGE($AJ$37:$AJ$50,1),despesafixaconsolidadoabr[[#This Row],[TOTAL]]=LARGE($AJ$37:$AJ$50,2),despesafixaconsolidadoabr[[#This Row],[TOTAL]]=LARGE($AJ$37:$AJ$50,3),despesafixaconsolidadoabr[[#This Row],[TOTAL]]=LARGE($AJ$37:$AJ$50,4),despesafixaconsolidadoabr[[#This Row],[TOTAL]]=LARGE($AJ$37:$AJ$50,5)),DADOS!$I$8,""))</f>
        <v/>
      </c>
      <c r="E45" s="148" t="n">
        <f aca="false">SUMIFS(tabela_registros[VALOR],tabela_registros[MÊS],$AE$1,tabela_registros[DIA],abrtotal305971[[#Headers],[1]],tabela_registros[REGISTRO],DADOS!$N$4,tabela_registros[TIPO],DADOS!$P$3,tabela_registros[CATEGORIA],despesafixaconsolidadoabr[[#This Row],[DESPESA FIXA]])</f>
        <v>0</v>
      </c>
      <c r="F45" s="119" t="n">
        <f aca="false">SUMIFS(tabela_registros[VALOR],tabela_registros[MÊS],$AE$1,tabela_registros[DIA],abrtotal305971[[#Headers],[2]],tabela_registros[REGISTRO],DADOS!$N$4,tabela_registros[TIPO],DADOS!$P$3,tabela_registros[CATEGORIA],despesafixaconsolidadoabr[[#This Row],[DESPESA FIXA]])</f>
        <v>0</v>
      </c>
      <c r="G45" s="119" t="n">
        <f aca="false">SUMIFS(tabela_registros[VALOR],tabela_registros[MÊS],$AE$1,tabela_registros[DIA],abrtotal305971[[#Headers],[3]],tabela_registros[REGISTRO],DADOS!$N$4,tabela_registros[TIPO],DADOS!$P$3,tabela_registros[CATEGORIA],despesafixaconsolidadoabr[[#This Row],[DESPESA FIXA]])</f>
        <v>0</v>
      </c>
      <c r="H45" s="119" t="n">
        <f aca="false">SUMIFS(tabela_registros[VALOR],tabela_registros[MÊS],$AE$1,tabela_registros[DIA],abrtotal305971[[#Headers],[4]],tabela_registros[REGISTRO],DADOS!$N$4,tabela_registros[TIPO],DADOS!$P$3,tabela_registros[CATEGORIA],despesafixaconsolidadoabr[[#This Row],[DESPESA FIXA]])</f>
        <v>0</v>
      </c>
      <c r="I45" s="119" t="n">
        <f aca="false">SUMIFS(tabela_registros[VALOR],tabela_registros[MÊS],$AE$1,tabela_registros[DIA],abrtotal305971[[#Headers],[5]],tabela_registros[REGISTRO],DADOS!$N$4,tabela_registros[TIPO],DADOS!$P$3,tabela_registros[CATEGORIA],despesafixaconsolidadoabr[[#This Row],[DESPESA FIXA]])</f>
        <v>0</v>
      </c>
      <c r="J45" s="119" t="n">
        <f aca="false">SUMIFS(tabela_registros[VALOR],tabela_registros[MÊS],$AE$1,tabela_registros[DIA],abrtotal305971[[#Headers],[6]],tabela_registros[REGISTRO],DADOS!$N$4,tabela_registros[TIPO],DADOS!$P$3,tabela_registros[CATEGORIA],despesafixaconsolidadoabr[[#This Row],[DESPESA FIXA]])</f>
        <v>0</v>
      </c>
      <c r="K45" s="119" t="n">
        <f aca="false">SUMIFS(tabela_registros[VALOR],tabela_registros[MÊS],$AE$1,tabela_registros[DIA],abrtotal305971[[#Headers],[7]],tabela_registros[REGISTRO],DADOS!$N$4,tabela_registros[TIPO],DADOS!$P$3,tabela_registros[CATEGORIA],despesafixaconsolidadoabr[[#This Row],[DESPESA FIXA]])</f>
        <v>0</v>
      </c>
      <c r="L45" s="119" t="n">
        <f aca="false">SUMIFS(tabela_registros[VALOR],tabela_registros[MÊS],$AE$1,tabela_registros[DIA],abrtotal305971[[#Headers],[8]],tabela_registros[REGISTRO],DADOS!$N$4,tabela_registros[TIPO],DADOS!$P$3,tabela_registros[CATEGORIA],despesafixaconsolidadoabr[[#This Row],[DESPESA FIXA]])</f>
        <v>0</v>
      </c>
      <c r="M45" s="119" t="n">
        <f aca="false">SUMIFS(tabela_registros[VALOR],tabela_registros[MÊS],$AE$1,tabela_registros[DIA],abrtotal305971[[#Headers],[9]],tabela_registros[REGISTRO],DADOS!$N$4,tabela_registros[TIPO],DADOS!$P$3,tabela_registros[CATEGORIA],despesafixaconsolidadoabr[[#This Row],[DESPESA FIXA]])</f>
        <v>0</v>
      </c>
      <c r="N45" s="119" t="n">
        <f aca="false">SUMIFS(tabela_registros[VALOR],tabela_registros[MÊS],$AE$1,tabela_registros[DIA],abrtotal305971[[#Headers],[10]],tabela_registros[REGISTRO],DADOS!$N$4,tabela_registros[TIPO],DADOS!$P$3,tabela_registros[CATEGORIA],despesafixaconsolidadoabr[[#This Row],[DESPESA FIXA]])</f>
        <v>0</v>
      </c>
      <c r="O45" s="119" t="n">
        <f aca="false">SUMIFS(tabela_registros[VALOR],tabela_registros[MÊS],$AE$1,tabela_registros[DIA],abrtotal305971[[#Headers],[11]],tabela_registros[REGISTRO],DADOS!$N$4,tabela_registros[TIPO],DADOS!$P$3,tabela_registros[CATEGORIA],despesafixaconsolidadoabr[[#This Row],[DESPESA FIXA]])</f>
        <v>0</v>
      </c>
      <c r="P45" s="119" t="n">
        <f aca="false">SUMIFS(tabela_registros[VALOR],tabela_registros[MÊS],$AE$1,tabela_registros[DIA],abrtotal305971[[#Headers],[12]],tabela_registros[REGISTRO],DADOS!$N$4,tabela_registros[TIPO],DADOS!$P$3,tabela_registros[CATEGORIA],despesafixaconsolidadoabr[[#This Row],[DESPESA FIXA]])</f>
        <v>0</v>
      </c>
      <c r="Q45" s="119" t="n">
        <f aca="false">SUMIFS(tabela_registros[VALOR],tabela_registros[MÊS],$AE$1,tabela_registros[DIA],abrtotal305971[[#Headers],[13]],tabela_registros[REGISTRO],DADOS!$N$4,tabela_registros[TIPO],DADOS!$P$3,tabela_registros[CATEGORIA],despesafixaconsolidadoabr[[#This Row],[DESPESA FIXA]])</f>
        <v>0</v>
      </c>
      <c r="R45" s="119" t="n">
        <f aca="false">SUMIFS(tabela_registros[VALOR],tabela_registros[MÊS],$AE$1,tabela_registros[DIA],abrtotal305971[[#Headers],[14]],tabela_registros[REGISTRO],DADOS!$N$4,tabela_registros[TIPO],DADOS!$P$3,tabela_registros[CATEGORIA],despesafixaconsolidadoabr[[#This Row],[DESPESA FIXA]])</f>
        <v>0</v>
      </c>
      <c r="S45" s="119" t="n">
        <f aca="false">SUMIFS(tabela_registros[VALOR],tabela_registros[MÊS],$AE$1,tabela_registros[DIA],abrtotal305971[[#Headers],[15]],tabela_registros[REGISTRO],DADOS!$N$4,tabela_registros[TIPO],DADOS!$P$3,tabela_registros[CATEGORIA],despesafixaconsolidadoabr[[#This Row],[DESPESA FIXA]])</f>
        <v>0</v>
      </c>
      <c r="T45" s="119" t="n">
        <f aca="false">SUMIFS(tabela_registros[VALOR],tabela_registros[MÊS],$AE$1,tabela_registros[DIA],abrtotal305971[[#Headers],[16]],tabela_registros[REGISTRO],DADOS!$N$4,tabela_registros[TIPO],DADOS!$P$3,tabela_registros[CATEGORIA],despesafixaconsolidadoabr[[#This Row],[DESPESA FIXA]])</f>
        <v>0</v>
      </c>
      <c r="U45" s="119" t="n">
        <f aca="false">SUMIFS(tabela_registros[VALOR],tabela_registros[MÊS],$AE$1,tabela_registros[DIA],abrtotal305971[[#Headers],[17]],tabela_registros[REGISTRO],DADOS!$N$4,tabela_registros[TIPO],DADOS!$P$3,tabela_registros[CATEGORIA],despesafixaconsolidadoabr[[#This Row],[DESPESA FIXA]])</f>
        <v>0</v>
      </c>
      <c r="V45" s="119" t="n">
        <f aca="false">SUMIFS(tabela_registros[VALOR],tabela_registros[MÊS],$AE$1,tabela_registros[DIA],abrtotal305971[[#Headers],[18]],tabela_registros[REGISTRO],DADOS!$N$4,tabela_registros[TIPO],DADOS!$P$3,tabela_registros[CATEGORIA],despesafixaconsolidadoabr[[#This Row],[DESPESA FIXA]])</f>
        <v>0</v>
      </c>
      <c r="W45" s="119" t="n">
        <f aca="false">SUMIFS(tabela_registros[VALOR],tabela_registros[MÊS],$AE$1,tabela_registros[DIA],abrtotal305971[[#Headers],[19]],tabela_registros[REGISTRO],DADOS!$N$4,tabela_registros[TIPO],DADOS!$P$3,tabela_registros[CATEGORIA],despesafixaconsolidadoabr[[#This Row],[DESPESA FIXA]])</f>
        <v>0</v>
      </c>
      <c r="X45" s="119" t="n">
        <f aca="false">SUMIFS(tabela_registros[VALOR],tabela_registros[MÊS],$AE$1,tabela_registros[DIA],abrtotal305971[[#Headers],[20]],tabela_registros[REGISTRO],DADOS!$N$4,tabela_registros[TIPO],DADOS!$P$3,tabela_registros[CATEGORIA],despesafixaconsolidadoabr[[#This Row],[DESPESA FIXA]])</f>
        <v>0</v>
      </c>
      <c r="Y45" s="119" t="n">
        <f aca="false">SUMIFS(tabela_registros[VALOR],tabela_registros[MÊS],$AE$1,tabela_registros[DIA],abrtotal305971[[#Headers],[21]],tabela_registros[REGISTRO],DADOS!$N$4,tabela_registros[TIPO],DADOS!$P$3,tabela_registros[CATEGORIA],despesafixaconsolidadoabr[[#This Row],[DESPESA FIXA]])</f>
        <v>0</v>
      </c>
      <c r="Z45" s="119" t="n">
        <f aca="false">SUMIFS(tabela_registros[VALOR],tabela_registros[MÊS],$AE$1,tabela_registros[DIA],abrtotal305971[[#Headers],[22]],tabela_registros[REGISTRO],DADOS!$N$4,tabela_registros[TIPO],DADOS!$P$3,tabela_registros[CATEGORIA],despesafixaconsolidadoabr[[#This Row],[DESPESA FIXA]])</f>
        <v>0</v>
      </c>
      <c r="AA45" s="119" t="n">
        <f aca="false">SUMIFS(tabela_registros[VALOR],tabela_registros[MÊS],$AE$1,tabela_registros[DIA],abrtotal305971[[#Headers],[23]],tabela_registros[REGISTRO],DADOS!$N$4,tabela_registros[TIPO],DADOS!$P$3,tabela_registros[CATEGORIA],despesafixaconsolidadoabr[[#This Row],[DESPESA FIXA]])</f>
        <v>0</v>
      </c>
      <c r="AB45" s="119" t="n">
        <f aca="false">SUMIFS(tabela_registros[VALOR],tabela_registros[MÊS],$AE$1,tabela_registros[DIA],abrtotal305971[[#Headers],[24]],tabela_registros[REGISTRO],DADOS!$N$4,tabela_registros[TIPO],DADOS!$P$3,tabela_registros[CATEGORIA],despesafixaconsolidadoabr[[#This Row],[DESPESA FIXA]])</f>
        <v>0</v>
      </c>
      <c r="AC45" s="119" t="n">
        <f aca="false">SUMIFS(tabela_registros[VALOR],tabela_registros[MÊS],$AE$1,tabela_registros[DIA],abrtotal305971[[#Headers],[25]],tabela_registros[REGISTRO],DADOS!$N$4,tabela_registros[TIPO],DADOS!$P$3,tabela_registros[CATEGORIA],despesafixaconsolidadoabr[[#This Row],[DESPESA FIXA]])</f>
        <v>0</v>
      </c>
      <c r="AD45" s="119" t="n">
        <f aca="false">SUMIFS(tabela_registros[VALOR],tabela_registros[MÊS],$AE$1,tabela_registros[DIA],abrtotal305971[[#Headers],[26]],tabela_registros[REGISTRO],DADOS!$N$4,tabela_registros[TIPO],DADOS!$P$3,tabela_registros[CATEGORIA],despesafixaconsolidadoabr[[#This Row],[DESPESA FIXA]])</f>
        <v>0</v>
      </c>
      <c r="AE45" s="119" t="n">
        <f aca="false">SUMIFS(tabela_registros[VALOR],tabela_registros[MÊS],$AE$1,tabela_registros[DIA],abrtotal305971[[#Headers],[27]],tabela_registros[REGISTRO],DADOS!$N$4,tabela_registros[TIPO],DADOS!$P$3,tabela_registros[CATEGORIA],despesafixaconsolidadoabr[[#This Row],[DESPESA FIXA]])</f>
        <v>0</v>
      </c>
      <c r="AF45" s="119" t="n">
        <f aca="false">SUMIFS(tabela_registros[VALOR],tabela_registros[MÊS],$AE$1,tabela_registros[DIA],abrtotal305971[[#Headers],[28]],tabela_registros[REGISTRO],DADOS!$N$4,tabela_registros[TIPO],DADOS!$P$3,tabela_registros[CATEGORIA],despesafixaconsolidadoabr[[#This Row],[DESPESA FIXA]])</f>
        <v>0</v>
      </c>
      <c r="AG45" s="119" t="n">
        <f aca="false">SUMIFS(tabela_registros[VALOR],tabela_registros[MÊS],$AE$1,tabela_registros[DIA],abrtotal305971[[#Headers],[29]],tabela_registros[REGISTRO],DADOS!$N$4,tabela_registros[TIPO],DADOS!$P$3,tabela_registros[CATEGORIA],despesafixaconsolidadoabr[[#This Row],[DESPESA FIXA]])</f>
        <v>0</v>
      </c>
      <c r="AH45" s="119" t="n">
        <f aca="false">SUMIFS(tabela_registros[VALOR],tabela_registros[MÊS],$AE$1,tabela_registros[DIA],abrtotal305971[[#Headers],[30]],tabela_registros[REGISTRO],DADOS!$N$4,tabela_registros[TIPO],DADOS!$P$3,tabela_registros[CATEGORIA],despesafixaconsolidadoabr[[#This Row],[DESPESA FIXA]])</f>
        <v>0</v>
      </c>
      <c r="AI45" s="217" t="n">
        <f aca="false">SUMIFS(tabela_registros[VALOR],tabela_registros[MÊS],$AE$1,tabela_registros[DIA],abrtotal305971[[#Headers],[31]],tabela_registros[REGISTRO],DADOS!$N$4,tabela_registros[TIPO],DADOS!$P$3,tabela_registros[CATEGORIA],despesafixaconsolidadoabr[[#This Row],[DESPESA FIXA]])</f>
        <v>0</v>
      </c>
      <c r="AJ45" s="149" t="n">
        <f aca="false">SUM(despesafixaconsolidadoabr[[#This Row],[1]:[31]])</f>
        <v>0</v>
      </c>
      <c r="AK45" s="143"/>
    </row>
    <row r="46" customFormat="false" ht="18" hidden="false" customHeight="true" outlineLevel="0" collapsed="false">
      <c r="B46" s="143"/>
      <c r="C46" s="144" t="str">
        <f aca="false">DADOS!$R$12</f>
        <v>🖱️ INTERNET</v>
      </c>
      <c r="D46" s="145" t="str">
        <f aca="false">IF(despesafixaconsolidadoabr[[#This Row],[TOTAL]]=0,"",IF(OR(despesafixaconsolidadoabr[[#This Row],[TOTAL]]=LARGE($AJ$37:$AJ$50,1),despesafixaconsolidadoabr[[#This Row],[TOTAL]]=LARGE($AJ$37:$AJ$50,2),despesafixaconsolidadoabr[[#This Row],[TOTAL]]=LARGE($AJ$37:$AJ$50,3),despesafixaconsolidadoabr[[#This Row],[TOTAL]]=LARGE($AJ$37:$AJ$50,4),despesafixaconsolidadoabr[[#This Row],[TOTAL]]=LARGE($AJ$37:$AJ$50,5)),DADOS!$I$8,""))</f>
        <v/>
      </c>
      <c r="E46" s="148" t="n">
        <f aca="false">SUMIFS(tabela_registros[VALOR],tabela_registros[MÊS],$AE$1,tabela_registros[DIA],abrtotal305971[[#Headers],[1]],tabela_registros[REGISTRO],DADOS!$N$4,tabela_registros[TIPO],DADOS!$P$3,tabela_registros[CATEGORIA],despesafixaconsolidadoabr[[#This Row],[DESPESA FIXA]])</f>
        <v>0</v>
      </c>
      <c r="F46" s="119" t="n">
        <f aca="false">SUMIFS(tabela_registros[VALOR],tabela_registros[MÊS],$AE$1,tabela_registros[DIA],abrtotal305971[[#Headers],[2]],tabela_registros[REGISTRO],DADOS!$N$4,tabela_registros[TIPO],DADOS!$P$3,tabela_registros[CATEGORIA],despesafixaconsolidadoabr[[#This Row],[DESPESA FIXA]])</f>
        <v>0</v>
      </c>
      <c r="G46" s="119" t="n">
        <f aca="false">SUMIFS(tabela_registros[VALOR],tabela_registros[MÊS],$AE$1,tabela_registros[DIA],abrtotal305971[[#Headers],[3]],tabela_registros[REGISTRO],DADOS!$N$4,tabela_registros[TIPO],DADOS!$P$3,tabela_registros[CATEGORIA],despesafixaconsolidadoabr[[#This Row],[DESPESA FIXA]])</f>
        <v>0</v>
      </c>
      <c r="H46" s="119" t="n">
        <f aca="false">SUMIFS(tabela_registros[VALOR],tabela_registros[MÊS],$AE$1,tabela_registros[DIA],abrtotal305971[[#Headers],[4]],tabela_registros[REGISTRO],DADOS!$N$4,tabela_registros[TIPO],DADOS!$P$3,tabela_registros[CATEGORIA],despesafixaconsolidadoabr[[#This Row],[DESPESA FIXA]])</f>
        <v>0</v>
      </c>
      <c r="I46" s="119" t="n">
        <f aca="false">SUMIFS(tabela_registros[VALOR],tabela_registros[MÊS],$AE$1,tabela_registros[DIA],abrtotal305971[[#Headers],[5]],tabela_registros[REGISTRO],DADOS!$N$4,tabela_registros[TIPO],DADOS!$P$3,tabela_registros[CATEGORIA],despesafixaconsolidadoabr[[#This Row],[DESPESA FIXA]])</f>
        <v>0</v>
      </c>
      <c r="J46" s="119" t="n">
        <f aca="false">SUMIFS(tabela_registros[VALOR],tabela_registros[MÊS],$AE$1,tabela_registros[DIA],abrtotal305971[[#Headers],[6]],tabela_registros[REGISTRO],DADOS!$N$4,tabela_registros[TIPO],DADOS!$P$3,tabela_registros[CATEGORIA],despesafixaconsolidadoabr[[#This Row],[DESPESA FIXA]])</f>
        <v>0</v>
      </c>
      <c r="K46" s="119" t="n">
        <f aca="false">SUMIFS(tabela_registros[VALOR],tabela_registros[MÊS],$AE$1,tabela_registros[DIA],abrtotal305971[[#Headers],[7]],tabela_registros[REGISTRO],DADOS!$N$4,tabela_registros[TIPO],DADOS!$P$3,tabela_registros[CATEGORIA],despesafixaconsolidadoabr[[#This Row],[DESPESA FIXA]])</f>
        <v>0</v>
      </c>
      <c r="L46" s="119" t="n">
        <f aca="false">SUMIFS(tabela_registros[VALOR],tabela_registros[MÊS],$AE$1,tabela_registros[DIA],abrtotal305971[[#Headers],[8]],tabela_registros[REGISTRO],DADOS!$N$4,tabela_registros[TIPO],DADOS!$P$3,tabela_registros[CATEGORIA],despesafixaconsolidadoabr[[#This Row],[DESPESA FIXA]])</f>
        <v>0</v>
      </c>
      <c r="M46" s="119" t="n">
        <f aca="false">SUMIFS(tabela_registros[VALOR],tabela_registros[MÊS],$AE$1,tabela_registros[DIA],abrtotal305971[[#Headers],[9]],tabela_registros[REGISTRO],DADOS!$N$4,tabela_registros[TIPO],DADOS!$P$3,tabela_registros[CATEGORIA],despesafixaconsolidadoabr[[#This Row],[DESPESA FIXA]])</f>
        <v>0</v>
      </c>
      <c r="N46" s="119" t="n">
        <f aca="false">SUMIFS(tabela_registros[VALOR],tabela_registros[MÊS],$AE$1,tabela_registros[DIA],abrtotal305971[[#Headers],[10]],tabela_registros[REGISTRO],DADOS!$N$4,tabela_registros[TIPO],DADOS!$P$3,tabela_registros[CATEGORIA],despesafixaconsolidadoabr[[#This Row],[DESPESA FIXA]])</f>
        <v>0</v>
      </c>
      <c r="O46" s="119" t="n">
        <f aca="false">SUMIFS(tabela_registros[VALOR],tabela_registros[MÊS],$AE$1,tabela_registros[DIA],abrtotal305971[[#Headers],[11]],tabela_registros[REGISTRO],DADOS!$N$4,tabela_registros[TIPO],DADOS!$P$3,tabela_registros[CATEGORIA],despesafixaconsolidadoabr[[#This Row],[DESPESA FIXA]])</f>
        <v>0</v>
      </c>
      <c r="P46" s="119" t="n">
        <f aca="false">SUMIFS(tabela_registros[VALOR],tabela_registros[MÊS],$AE$1,tabela_registros[DIA],abrtotal305971[[#Headers],[12]],tabela_registros[REGISTRO],DADOS!$N$4,tabela_registros[TIPO],DADOS!$P$3,tabela_registros[CATEGORIA],despesafixaconsolidadoabr[[#This Row],[DESPESA FIXA]])</f>
        <v>0</v>
      </c>
      <c r="Q46" s="119" t="n">
        <f aca="false">SUMIFS(tabela_registros[VALOR],tabela_registros[MÊS],$AE$1,tabela_registros[DIA],abrtotal305971[[#Headers],[13]],tabela_registros[REGISTRO],DADOS!$N$4,tabela_registros[TIPO],DADOS!$P$3,tabela_registros[CATEGORIA],despesafixaconsolidadoabr[[#This Row],[DESPESA FIXA]])</f>
        <v>0</v>
      </c>
      <c r="R46" s="119" t="n">
        <f aca="false">SUMIFS(tabela_registros[VALOR],tabela_registros[MÊS],$AE$1,tabela_registros[DIA],abrtotal305971[[#Headers],[14]],tabela_registros[REGISTRO],DADOS!$N$4,tabela_registros[TIPO],DADOS!$P$3,tabela_registros[CATEGORIA],despesafixaconsolidadoabr[[#This Row],[DESPESA FIXA]])</f>
        <v>0</v>
      </c>
      <c r="S46" s="119" t="n">
        <f aca="false">SUMIFS(tabela_registros[VALOR],tabela_registros[MÊS],$AE$1,tabela_registros[DIA],abrtotal305971[[#Headers],[15]],tabela_registros[REGISTRO],DADOS!$N$4,tabela_registros[TIPO],DADOS!$P$3,tabela_registros[CATEGORIA],despesafixaconsolidadoabr[[#This Row],[DESPESA FIXA]])</f>
        <v>0</v>
      </c>
      <c r="T46" s="119" t="n">
        <f aca="false">SUMIFS(tabela_registros[VALOR],tabela_registros[MÊS],$AE$1,tabela_registros[DIA],abrtotal305971[[#Headers],[16]],tabela_registros[REGISTRO],DADOS!$N$4,tabela_registros[TIPO],DADOS!$P$3,tabela_registros[CATEGORIA],despesafixaconsolidadoabr[[#This Row],[DESPESA FIXA]])</f>
        <v>0</v>
      </c>
      <c r="U46" s="119" t="n">
        <f aca="false">SUMIFS(tabela_registros[VALOR],tabela_registros[MÊS],$AE$1,tabela_registros[DIA],abrtotal305971[[#Headers],[17]],tabela_registros[REGISTRO],DADOS!$N$4,tabela_registros[TIPO],DADOS!$P$3,tabela_registros[CATEGORIA],despesafixaconsolidadoabr[[#This Row],[DESPESA FIXA]])</f>
        <v>0</v>
      </c>
      <c r="V46" s="119" t="n">
        <f aca="false">SUMIFS(tabela_registros[VALOR],tabela_registros[MÊS],$AE$1,tabela_registros[DIA],abrtotal305971[[#Headers],[18]],tabela_registros[REGISTRO],DADOS!$N$4,tabela_registros[TIPO],DADOS!$P$3,tabela_registros[CATEGORIA],despesafixaconsolidadoabr[[#This Row],[DESPESA FIXA]])</f>
        <v>0</v>
      </c>
      <c r="W46" s="119" t="n">
        <f aca="false">SUMIFS(tabela_registros[VALOR],tabela_registros[MÊS],$AE$1,tabela_registros[DIA],abrtotal305971[[#Headers],[19]],tabela_registros[REGISTRO],DADOS!$N$4,tabela_registros[TIPO],DADOS!$P$3,tabela_registros[CATEGORIA],despesafixaconsolidadoabr[[#This Row],[DESPESA FIXA]])</f>
        <v>0</v>
      </c>
      <c r="X46" s="119" t="n">
        <f aca="false">SUMIFS(tabela_registros[VALOR],tabela_registros[MÊS],$AE$1,tabela_registros[DIA],abrtotal305971[[#Headers],[20]],tabela_registros[REGISTRO],DADOS!$N$4,tabela_registros[TIPO],DADOS!$P$3,tabela_registros[CATEGORIA],despesafixaconsolidadoabr[[#This Row],[DESPESA FIXA]])</f>
        <v>0</v>
      </c>
      <c r="Y46" s="119" t="n">
        <f aca="false">SUMIFS(tabela_registros[VALOR],tabela_registros[MÊS],$AE$1,tabela_registros[DIA],abrtotal305971[[#Headers],[21]],tabela_registros[REGISTRO],DADOS!$N$4,tabela_registros[TIPO],DADOS!$P$3,tabela_registros[CATEGORIA],despesafixaconsolidadoabr[[#This Row],[DESPESA FIXA]])</f>
        <v>0</v>
      </c>
      <c r="Z46" s="119" t="n">
        <f aca="false">SUMIFS(tabela_registros[VALOR],tabela_registros[MÊS],$AE$1,tabela_registros[DIA],abrtotal305971[[#Headers],[22]],tabela_registros[REGISTRO],DADOS!$N$4,tabela_registros[TIPO],DADOS!$P$3,tabela_registros[CATEGORIA],despesafixaconsolidadoabr[[#This Row],[DESPESA FIXA]])</f>
        <v>0</v>
      </c>
      <c r="AA46" s="119" t="n">
        <f aca="false">SUMIFS(tabela_registros[VALOR],tabela_registros[MÊS],$AE$1,tabela_registros[DIA],abrtotal305971[[#Headers],[23]],tabela_registros[REGISTRO],DADOS!$N$4,tabela_registros[TIPO],DADOS!$P$3,tabela_registros[CATEGORIA],despesafixaconsolidadoabr[[#This Row],[DESPESA FIXA]])</f>
        <v>0</v>
      </c>
      <c r="AB46" s="119" t="n">
        <f aca="false">SUMIFS(tabela_registros[VALOR],tabela_registros[MÊS],$AE$1,tabela_registros[DIA],abrtotal305971[[#Headers],[24]],tabela_registros[REGISTRO],DADOS!$N$4,tabela_registros[TIPO],DADOS!$P$3,tabela_registros[CATEGORIA],despesafixaconsolidadoabr[[#This Row],[DESPESA FIXA]])</f>
        <v>0</v>
      </c>
      <c r="AC46" s="119" t="n">
        <f aca="false">SUMIFS(tabela_registros[VALOR],tabela_registros[MÊS],$AE$1,tabela_registros[DIA],abrtotal305971[[#Headers],[25]],tabela_registros[REGISTRO],DADOS!$N$4,tabela_registros[TIPO],DADOS!$P$3,tabela_registros[CATEGORIA],despesafixaconsolidadoabr[[#This Row],[DESPESA FIXA]])</f>
        <v>0</v>
      </c>
      <c r="AD46" s="119" t="n">
        <f aca="false">SUMIFS(tabela_registros[VALOR],tabela_registros[MÊS],$AE$1,tabela_registros[DIA],abrtotal305971[[#Headers],[26]],tabela_registros[REGISTRO],DADOS!$N$4,tabela_registros[TIPO],DADOS!$P$3,tabela_registros[CATEGORIA],despesafixaconsolidadoabr[[#This Row],[DESPESA FIXA]])</f>
        <v>0</v>
      </c>
      <c r="AE46" s="119" t="n">
        <f aca="false">SUMIFS(tabela_registros[VALOR],tabela_registros[MÊS],$AE$1,tabela_registros[DIA],abrtotal305971[[#Headers],[27]],tabela_registros[REGISTRO],DADOS!$N$4,tabela_registros[TIPO],DADOS!$P$3,tabela_registros[CATEGORIA],despesafixaconsolidadoabr[[#This Row],[DESPESA FIXA]])</f>
        <v>0</v>
      </c>
      <c r="AF46" s="119" t="n">
        <f aca="false">SUMIFS(tabela_registros[VALOR],tabela_registros[MÊS],$AE$1,tabela_registros[DIA],abrtotal305971[[#Headers],[28]],tabela_registros[REGISTRO],DADOS!$N$4,tabela_registros[TIPO],DADOS!$P$3,tabela_registros[CATEGORIA],despesafixaconsolidadoabr[[#This Row],[DESPESA FIXA]])</f>
        <v>0</v>
      </c>
      <c r="AG46" s="119" t="n">
        <f aca="false">SUMIFS(tabela_registros[VALOR],tabela_registros[MÊS],$AE$1,tabela_registros[DIA],abrtotal305971[[#Headers],[29]],tabela_registros[REGISTRO],DADOS!$N$4,tabela_registros[TIPO],DADOS!$P$3,tabela_registros[CATEGORIA],despesafixaconsolidadoabr[[#This Row],[DESPESA FIXA]])</f>
        <v>0</v>
      </c>
      <c r="AH46" s="119" t="n">
        <f aca="false">SUMIFS(tabela_registros[VALOR],tabela_registros[MÊS],$AE$1,tabela_registros[DIA],abrtotal305971[[#Headers],[30]],tabela_registros[REGISTRO],DADOS!$N$4,tabela_registros[TIPO],DADOS!$P$3,tabela_registros[CATEGORIA],despesafixaconsolidadoabr[[#This Row],[DESPESA FIXA]])</f>
        <v>0</v>
      </c>
      <c r="AI46" s="217" t="n">
        <f aca="false">SUMIFS(tabela_registros[VALOR],tabela_registros[MÊS],$AE$1,tabela_registros[DIA],abrtotal305971[[#Headers],[31]],tabela_registros[REGISTRO],DADOS!$N$4,tabela_registros[TIPO],DADOS!$P$3,tabela_registros[CATEGORIA],despesafixaconsolidadoabr[[#This Row],[DESPESA FIXA]])</f>
        <v>0</v>
      </c>
      <c r="AJ46" s="149" t="n">
        <f aca="false">SUM(despesafixaconsolidadoabr[[#This Row],[1]:[31]])</f>
        <v>0</v>
      </c>
      <c r="AK46" s="143"/>
    </row>
    <row r="47" customFormat="false" ht="18" hidden="false" customHeight="true" outlineLevel="0" collapsed="false">
      <c r="B47" s="143"/>
      <c r="C47" s="144" t="str">
        <f aca="false">DADOS!$R$13</f>
        <v>🏠 MORADIA</v>
      </c>
      <c r="D47" s="145" t="str">
        <f aca="false">IF(despesafixaconsolidadoabr[[#This Row],[TOTAL]]=0,"",IF(OR(despesafixaconsolidadoabr[[#This Row],[TOTAL]]=LARGE($AJ$37:$AJ$50,1),despesafixaconsolidadoabr[[#This Row],[TOTAL]]=LARGE($AJ$37:$AJ$50,2),despesafixaconsolidadoabr[[#This Row],[TOTAL]]=LARGE($AJ$37:$AJ$50,3),despesafixaconsolidadoabr[[#This Row],[TOTAL]]=LARGE($AJ$37:$AJ$50,4),despesafixaconsolidadoabr[[#This Row],[TOTAL]]=LARGE($AJ$37:$AJ$50,5)),DADOS!$I$8,""))</f>
        <v/>
      </c>
      <c r="E47" s="148" t="n">
        <f aca="false">SUMIFS(tabela_registros[VALOR],tabela_registros[MÊS],$AE$1,tabela_registros[DIA],abrtotal305971[[#Headers],[1]],tabela_registros[REGISTRO],DADOS!$N$4,tabela_registros[TIPO],DADOS!$P$3,tabela_registros[CATEGORIA],despesafixaconsolidadoabr[[#This Row],[DESPESA FIXA]])</f>
        <v>0</v>
      </c>
      <c r="F47" s="119" t="n">
        <f aca="false">SUMIFS(tabela_registros[VALOR],tabela_registros[MÊS],$AE$1,tabela_registros[DIA],abrtotal305971[[#Headers],[2]],tabela_registros[REGISTRO],DADOS!$N$4,tabela_registros[TIPO],DADOS!$P$3,tabela_registros[CATEGORIA],despesafixaconsolidadoabr[[#This Row],[DESPESA FIXA]])</f>
        <v>0</v>
      </c>
      <c r="G47" s="119" t="n">
        <f aca="false">SUMIFS(tabela_registros[VALOR],tabela_registros[MÊS],$AE$1,tabela_registros[DIA],abrtotal305971[[#Headers],[3]],tabela_registros[REGISTRO],DADOS!$N$4,tabela_registros[TIPO],DADOS!$P$3,tabela_registros[CATEGORIA],despesafixaconsolidadoabr[[#This Row],[DESPESA FIXA]])</f>
        <v>0</v>
      </c>
      <c r="H47" s="119" t="n">
        <f aca="false">SUMIFS(tabela_registros[VALOR],tabela_registros[MÊS],$AE$1,tabela_registros[DIA],abrtotal305971[[#Headers],[4]],tabela_registros[REGISTRO],DADOS!$N$4,tabela_registros[TIPO],DADOS!$P$3,tabela_registros[CATEGORIA],despesafixaconsolidadoabr[[#This Row],[DESPESA FIXA]])</f>
        <v>0</v>
      </c>
      <c r="I47" s="119" t="n">
        <f aca="false">SUMIFS(tabela_registros[VALOR],tabela_registros[MÊS],$AE$1,tabela_registros[DIA],abrtotal305971[[#Headers],[5]],tabela_registros[REGISTRO],DADOS!$N$4,tabela_registros[TIPO],DADOS!$P$3,tabela_registros[CATEGORIA],despesafixaconsolidadoabr[[#This Row],[DESPESA FIXA]])</f>
        <v>0</v>
      </c>
      <c r="J47" s="119" t="n">
        <f aca="false">SUMIFS(tabela_registros[VALOR],tabela_registros[MÊS],$AE$1,tabela_registros[DIA],abrtotal305971[[#Headers],[6]],tabela_registros[REGISTRO],DADOS!$N$4,tabela_registros[TIPO],DADOS!$P$3,tabela_registros[CATEGORIA],despesafixaconsolidadoabr[[#This Row],[DESPESA FIXA]])</f>
        <v>0</v>
      </c>
      <c r="K47" s="119" t="n">
        <f aca="false">SUMIFS(tabela_registros[VALOR],tabela_registros[MÊS],$AE$1,tabela_registros[DIA],abrtotal305971[[#Headers],[7]],tabela_registros[REGISTRO],DADOS!$N$4,tabela_registros[TIPO],DADOS!$P$3,tabela_registros[CATEGORIA],despesafixaconsolidadoabr[[#This Row],[DESPESA FIXA]])</f>
        <v>0</v>
      </c>
      <c r="L47" s="119" t="n">
        <f aca="false">SUMIFS(tabela_registros[VALOR],tabela_registros[MÊS],$AE$1,tabela_registros[DIA],abrtotal305971[[#Headers],[8]],tabela_registros[REGISTRO],DADOS!$N$4,tabela_registros[TIPO],DADOS!$P$3,tabela_registros[CATEGORIA],despesafixaconsolidadoabr[[#This Row],[DESPESA FIXA]])</f>
        <v>0</v>
      </c>
      <c r="M47" s="119" t="n">
        <f aca="false">SUMIFS(tabela_registros[VALOR],tabela_registros[MÊS],$AE$1,tabela_registros[DIA],abrtotal305971[[#Headers],[9]],tabela_registros[REGISTRO],DADOS!$N$4,tabela_registros[TIPO],DADOS!$P$3,tabela_registros[CATEGORIA],despesafixaconsolidadoabr[[#This Row],[DESPESA FIXA]])</f>
        <v>0</v>
      </c>
      <c r="N47" s="119" t="n">
        <f aca="false">SUMIFS(tabela_registros[VALOR],tabela_registros[MÊS],$AE$1,tabela_registros[DIA],abrtotal305971[[#Headers],[10]],tabela_registros[REGISTRO],DADOS!$N$4,tabela_registros[TIPO],DADOS!$P$3,tabela_registros[CATEGORIA],despesafixaconsolidadoabr[[#This Row],[DESPESA FIXA]])</f>
        <v>0</v>
      </c>
      <c r="O47" s="119" t="n">
        <f aca="false">SUMIFS(tabela_registros[VALOR],tabela_registros[MÊS],$AE$1,tabela_registros[DIA],abrtotal305971[[#Headers],[11]],tabela_registros[REGISTRO],DADOS!$N$4,tabela_registros[TIPO],DADOS!$P$3,tabela_registros[CATEGORIA],despesafixaconsolidadoabr[[#This Row],[DESPESA FIXA]])</f>
        <v>0</v>
      </c>
      <c r="P47" s="119" t="n">
        <f aca="false">SUMIFS(tabela_registros[VALOR],tabela_registros[MÊS],$AE$1,tabela_registros[DIA],abrtotal305971[[#Headers],[12]],tabela_registros[REGISTRO],DADOS!$N$4,tabela_registros[TIPO],DADOS!$P$3,tabela_registros[CATEGORIA],despesafixaconsolidadoabr[[#This Row],[DESPESA FIXA]])</f>
        <v>0</v>
      </c>
      <c r="Q47" s="119" t="n">
        <f aca="false">SUMIFS(tabela_registros[VALOR],tabela_registros[MÊS],$AE$1,tabela_registros[DIA],abrtotal305971[[#Headers],[13]],tabela_registros[REGISTRO],DADOS!$N$4,tabela_registros[TIPO],DADOS!$P$3,tabela_registros[CATEGORIA],despesafixaconsolidadoabr[[#This Row],[DESPESA FIXA]])</f>
        <v>0</v>
      </c>
      <c r="R47" s="119" t="n">
        <f aca="false">SUMIFS(tabela_registros[VALOR],tabela_registros[MÊS],$AE$1,tabela_registros[DIA],abrtotal305971[[#Headers],[14]],tabela_registros[REGISTRO],DADOS!$N$4,tabela_registros[TIPO],DADOS!$P$3,tabela_registros[CATEGORIA],despesafixaconsolidadoabr[[#This Row],[DESPESA FIXA]])</f>
        <v>0</v>
      </c>
      <c r="S47" s="119" t="n">
        <f aca="false">SUMIFS(tabela_registros[VALOR],tabela_registros[MÊS],$AE$1,tabela_registros[DIA],abrtotal305971[[#Headers],[15]],tabela_registros[REGISTRO],DADOS!$N$4,tabela_registros[TIPO],DADOS!$P$3,tabela_registros[CATEGORIA],despesafixaconsolidadoabr[[#This Row],[DESPESA FIXA]])</f>
        <v>0</v>
      </c>
      <c r="T47" s="119" t="n">
        <f aca="false">SUMIFS(tabela_registros[VALOR],tabela_registros[MÊS],$AE$1,tabela_registros[DIA],abrtotal305971[[#Headers],[16]],tabela_registros[REGISTRO],DADOS!$N$4,tabela_registros[TIPO],DADOS!$P$3,tabela_registros[CATEGORIA],despesafixaconsolidadoabr[[#This Row],[DESPESA FIXA]])</f>
        <v>0</v>
      </c>
      <c r="U47" s="119" t="n">
        <f aca="false">SUMIFS(tabela_registros[VALOR],tabela_registros[MÊS],$AE$1,tabela_registros[DIA],abrtotal305971[[#Headers],[17]],tabela_registros[REGISTRO],DADOS!$N$4,tabela_registros[TIPO],DADOS!$P$3,tabela_registros[CATEGORIA],despesafixaconsolidadoabr[[#This Row],[DESPESA FIXA]])</f>
        <v>0</v>
      </c>
      <c r="V47" s="119" t="n">
        <f aca="false">SUMIFS(tabela_registros[VALOR],tabela_registros[MÊS],$AE$1,tabela_registros[DIA],abrtotal305971[[#Headers],[18]],tabela_registros[REGISTRO],DADOS!$N$4,tabela_registros[TIPO],DADOS!$P$3,tabela_registros[CATEGORIA],despesafixaconsolidadoabr[[#This Row],[DESPESA FIXA]])</f>
        <v>0</v>
      </c>
      <c r="W47" s="119" t="n">
        <f aca="false">SUMIFS(tabela_registros[VALOR],tabela_registros[MÊS],$AE$1,tabela_registros[DIA],abrtotal305971[[#Headers],[19]],tabela_registros[REGISTRO],DADOS!$N$4,tabela_registros[TIPO],DADOS!$P$3,tabela_registros[CATEGORIA],despesafixaconsolidadoabr[[#This Row],[DESPESA FIXA]])</f>
        <v>0</v>
      </c>
      <c r="X47" s="119" t="n">
        <f aca="false">SUMIFS(tabela_registros[VALOR],tabela_registros[MÊS],$AE$1,tabela_registros[DIA],abrtotal305971[[#Headers],[20]],tabela_registros[REGISTRO],DADOS!$N$4,tabela_registros[TIPO],DADOS!$P$3,tabela_registros[CATEGORIA],despesafixaconsolidadoabr[[#This Row],[DESPESA FIXA]])</f>
        <v>0</v>
      </c>
      <c r="Y47" s="119" t="n">
        <f aca="false">SUMIFS(tabela_registros[VALOR],tabela_registros[MÊS],$AE$1,tabela_registros[DIA],abrtotal305971[[#Headers],[21]],tabela_registros[REGISTRO],DADOS!$N$4,tabela_registros[TIPO],DADOS!$P$3,tabela_registros[CATEGORIA],despesafixaconsolidadoabr[[#This Row],[DESPESA FIXA]])</f>
        <v>0</v>
      </c>
      <c r="Z47" s="119" t="n">
        <f aca="false">SUMIFS(tabela_registros[VALOR],tabela_registros[MÊS],$AE$1,tabela_registros[DIA],abrtotal305971[[#Headers],[22]],tabela_registros[REGISTRO],DADOS!$N$4,tabela_registros[TIPO],DADOS!$P$3,tabela_registros[CATEGORIA],despesafixaconsolidadoabr[[#This Row],[DESPESA FIXA]])</f>
        <v>0</v>
      </c>
      <c r="AA47" s="119" t="n">
        <f aca="false">SUMIFS(tabela_registros[VALOR],tabela_registros[MÊS],$AE$1,tabela_registros[DIA],abrtotal305971[[#Headers],[23]],tabela_registros[REGISTRO],DADOS!$N$4,tabela_registros[TIPO],DADOS!$P$3,tabela_registros[CATEGORIA],despesafixaconsolidadoabr[[#This Row],[DESPESA FIXA]])</f>
        <v>0</v>
      </c>
      <c r="AB47" s="119" t="n">
        <f aca="false">SUMIFS(tabela_registros[VALOR],tabela_registros[MÊS],$AE$1,tabela_registros[DIA],abrtotal305971[[#Headers],[24]],tabela_registros[REGISTRO],DADOS!$N$4,tabela_registros[TIPO],DADOS!$P$3,tabela_registros[CATEGORIA],despesafixaconsolidadoabr[[#This Row],[DESPESA FIXA]])</f>
        <v>0</v>
      </c>
      <c r="AC47" s="119" t="n">
        <f aca="false">SUMIFS(tabela_registros[VALOR],tabela_registros[MÊS],$AE$1,tabela_registros[DIA],abrtotal305971[[#Headers],[25]],tabela_registros[REGISTRO],DADOS!$N$4,tabela_registros[TIPO],DADOS!$P$3,tabela_registros[CATEGORIA],despesafixaconsolidadoabr[[#This Row],[DESPESA FIXA]])</f>
        <v>0</v>
      </c>
      <c r="AD47" s="119" t="n">
        <f aca="false">SUMIFS(tabela_registros[VALOR],tabela_registros[MÊS],$AE$1,tabela_registros[DIA],abrtotal305971[[#Headers],[26]],tabela_registros[REGISTRO],DADOS!$N$4,tabela_registros[TIPO],DADOS!$P$3,tabela_registros[CATEGORIA],despesafixaconsolidadoabr[[#This Row],[DESPESA FIXA]])</f>
        <v>0</v>
      </c>
      <c r="AE47" s="119" t="n">
        <f aca="false">SUMIFS(tabela_registros[VALOR],tabela_registros[MÊS],$AE$1,tabela_registros[DIA],abrtotal305971[[#Headers],[27]],tabela_registros[REGISTRO],DADOS!$N$4,tabela_registros[TIPO],DADOS!$P$3,tabela_registros[CATEGORIA],despesafixaconsolidadoabr[[#This Row],[DESPESA FIXA]])</f>
        <v>0</v>
      </c>
      <c r="AF47" s="119" t="n">
        <f aca="false">SUMIFS(tabela_registros[VALOR],tabela_registros[MÊS],$AE$1,tabela_registros[DIA],abrtotal305971[[#Headers],[28]],tabela_registros[REGISTRO],DADOS!$N$4,tabela_registros[TIPO],DADOS!$P$3,tabela_registros[CATEGORIA],despesafixaconsolidadoabr[[#This Row],[DESPESA FIXA]])</f>
        <v>0</v>
      </c>
      <c r="AG47" s="119" t="n">
        <f aca="false">SUMIFS(tabela_registros[VALOR],tabela_registros[MÊS],$AE$1,tabela_registros[DIA],abrtotal305971[[#Headers],[29]],tabela_registros[REGISTRO],DADOS!$N$4,tabela_registros[TIPO],DADOS!$P$3,tabela_registros[CATEGORIA],despesafixaconsolidadoabr[[#This Row],[DESPESA FIXA]])</f>
        <v>0</v>
      </c>
      <c r="AH47" s="119" t="n">
        <f aca="false">SUMIFS(tabela_registros[VALOR],tabela_registros[MÊS],$AE$1,tabela_registros[DIA],abrtotal305971[[#Headers],[30]],tabela_registros[REGISTRO],DADOS!$N$4,tabela_registros[TIPO],DADOS!$P$3,tabela_registros[CATEGORIA],despesafixaconsolidadoabr[[#This Row],[DESPESA FIXA]])</f>
        <v>0</v>
      </c>
      <c r="AI47" s="217" t="n">
        <f aca="false">SUMIFS(tabela_registros[VALOR],tabela_registros[MÊS],$AE$1,tabela_registros[DIA],abrtotal305971[[#Headers],[31]],tabela_registros[REGISTRO],DADOS!$N$4,tabela_registros[TIPO],DADOS!$P$3,tabela_registros[CATEGORIA],despesafixaconsolidadoabr[[#This Row],[DESPESA FIXA]])</f>
        <v>0</v>
      </c>
      <c r="AJ47" s="149" t="n">
        <f aca="false">SUM(despesafixaconsolidadoabr[[#This Row],[1]:[31]])</f>
        <v>0</v>
      </c>
      <c r="AK47" s="143"/>
    </row>
    <row r="48" customFormat="false" ht="18" hidden="false" customHeight="true" outlineLevel="0" collapsed="false">
      <c r="B48" s="143"/>
      <c r="C48" s="144" t="str">
        <f aca="false">DADOS!$R$14</f>
        <v>💊 SAÚDE</v>
      </c>
      <c r="D48" s="145" t="str">
        <f aca="false">IF(despesafixaconsolidadoabr[[#This Row],[TOTAL]]=0,"",IF(OR(despesafixaconsolidadoabr[[#This Row],[TOTAL]]=LARGE($AJ$37:$AJ$50,1),despesafixaconsolidadoabr[[#This Row],[TOTAL]]=LARGE($AJ$37:$AJ$50,2),despesafixaconsolidadoabr[[#This Row],[TOTAL]]=LARGE($AJ$37:$AJ$50,3),despesafixaconsolidadoabr[[#This Row],[TOTAL]]=LARGE($AJ$37:$AJ$50,4),despesafixaconsolidadoabr[[#This Row],[TOTAL]]=LARGE($AJ$37:$AJ$50,5)),DADOS!$I$8,""))</f>
        <v/>
      </c>
      <c r="E48" s="148" t="n">
        <f aca="false">SUMIFS(tabela_registros[VALOR],tabela_registros[MÊS],$AE$1,tabela_registros[DIA],abrtotal305971[[#Headers],[1]],tabela_registros[REGISTRO],DADOS!$N$4,tabela_registros[TIPO],DADOS!$P$3,tabela_registros[CATEGORIA],despesafixaconsolidadoabr[[#This Row],[DESPESA FIXA]])</f>
        <v>0</v>
      </c>
      <c r="F48" s="119" t="n">
        <f aca="false">SUMIFS(tabela_registros[VALOR],tabela_registros[MÊS],$AE$1,tabela_registros[DIA],abrtotal305971[[#Headers],[2]],tabela_registros[REGISTRO],DADOS!$N$4,tabela_registros[TIPO],DADOS!$P$3,tabela_registros[CATEGORIA],despesafixaconsolidadoabr[[#This Row],[DESPESA FIXA]])</f>
        <v>0</v>
      </c>
      <c r="G48" s="119" t="n">
        <f aca="false">SUMIFS(tabela_registros[VALOR],tabela_registros[MÊS],$AE$1,tabela_registros[DIA],abrtotal305971[[#Headers],[3]],tabela_registros[REGISTRO],DADOS!$N$4,tabela_registros[TIPO],DADOS!$P$3,tabela_registros[CATEGORIA],despesafixaconsolidadoabr[[#This Row],[DESPESA FIXA]])</f>
        <v>0</v>
      </c>
      <c r="H48" s="119" t="n">
        <f aca="false">SUMIFS(tabela_registros[VALOR],tabela_registros[MÊS],$AE$1,tabela_registros[DIA],abrtotal305971[[#Headers],[4]],tabela_registros[REGISTRO],DADOS!$N$4,tabela_registros[TIPO],DADOS!$P$3,tabela_registros[CATEGORIA],despesafixaconsolidadoabr[[#This Row],[DESPESA FIXA]])</f>
        <v>0</v>
      </c>
      <c r="I48" s="119" t="n">
        <f aca="false">SUMIFS(tabela_registros[VALOR],tabela_registros[MÊS],$AE$1,tabela_registros[DIA],abrtotal305971[[#Headers],[5]],tabela_registros[REGISTRO],DADOS!$N$4,tabela_registros[TIPO],DADOS!$P$3,tabela_registros[CATEGORIA],despesafixaconsolidadoabr[[#This Row],[DESPESA FIXA]])</f>
        <v>0</v>
      </c>
      <c r="J48" s="119" t="n">
        <f aca="false">SUMIFS(tabela_registros[VALOR],tabela_registros[MÊS],$AE$1,tabela_registros[DIA],abrtotal305971[[#Headers],[6]],tabela_registros[REGISTRO],DADOS!$N$4,tabela_registros[TIPO],DADOS!$P$3,tabela_registros[CATEGORIA],despesafixaconsolidadoabr[[#This Row],[DESPESA FIXA]])</f>
        <v>0</v>
      </c>
      <c r="K48" s="119" t="n">
        <f aca="false">SUMIFS(tabela_registros[VALOR],tabela_registros[MÊS],$AE$1,tabela_registros[DIA],abrtotal305971[[#Headers],[7]],tabela_registros[REGISTRO],DADOS!$N$4,tabela_registros[TIPO],DADOS!$P$3,tabela_registros[CATEGORIA],despesafixaconsolidadoabr[[#This Row],[DESPESA FIXA]])</f>
        <v>0</v>
      </c>
      <c r="L48" s="119" t="n">
        <f aca="false">SUMIFS(tabela_registros[VALOR],tabela_registros[MÊS],$AE$1,tabela_registros[DIA],abrtotal305971[[#Headers],[8]],tabela_registros[REGISTRO],DADOS!$N$4,tabela_registros[TIPO],DADOS!$P$3,tabela_registros[CATEGORIA],despesafixaconsolidadoabr[[#This Row],[DESPESA FIXA]])</f>
        <v>0</v>
      </c>
      <c r="M48" s="119" t="n">
        <f aca="false">SUMIFS(tabela_registros[VALOR],tabela_registros[MÊS],$AE$1,tabela_registros[DIA],abrtotal305971[[#Headers],[9]],tabela_registros[REGISTRO],DADOS!$N$4,tabela_registros[TIPO],DADOS!$P$3,tabela_registros[CATEGORIA],despesafixaconsolidadoabr[[#This Row],[DESPESA FIXA]])</f>
        <v>0</v>
      </c>
      <c r="N48" s="119" t="n">
        <f aca="false">SUMIFS(tabela_registros[VALOR],tabela_registros[MÊS],$AE$1,tabela_registros[DIA],abrtotal305971[[#Headers],[10]],tabela_registros[REGISTRO],DADOS!$N$4,tabela_registros[TIPO],DADOS!$P$3,tabela_registros[CATEGORIA],despesafixaconsolidadoabr[[#This Row],[DESPESA FIXA]])</f>
        <v>0</v>
      </c>
      <c r="O48" s="119" t="n">
        <f aca="false">SUMIFS(tabela_registros[VALOR],tabela_registros[MÊS],$AE$1,tabela_registros[DIA],abrtotal305971[[#Headers],[11]],tabela_registros[REGISTRO],DADOS!$N$4,tabela_registros[TIPO],DADOS!$P$3,tabela_registros[CATEGORIA],despesafixaconsolidadoabr[[#This Row],[DESPESA FIXA]])</f>
        <v>0</v>
      </c>
      <c r="P48" s="119" t="n">
        <f aca="false">SUMIFS(tabela_registros[VALOR],tabela_registros[MÊS],$AE$1,tabela_registros[DIA],abrtotal305971[[#Headers],[12]],tabela_registros[REGISTRO],DADOS!$N$4,tabela_registros[TIPO],DADOS!$P$3,tabela_registros[CATEGORIA],despesafixaconsolidadoabr[[#This Row],[DESPESA FIXA]])</f>
        <v>0</v>
      </c>
      <c r="Q48" s="119" t="n">
        <f aca="false">SUMIFS(tabela_registros[VALOR],tabela_registros[MÊS],$AE$1,tabela_registros[DIA],abrtotal305971[[#Headers],[13]],tabela_registros[REGISTRO],DADOS!$N$4,tabela_registros[TIPO],DADOS!$P$3,tabela_registros[CATEGORIA],despesafixaconsolidadoabr[[#This Row],[DESPESA FIXA]])</f>
        <v>0</v>
      </c>
      <c r="R48" s="119" t="n">
        <f aca="false">SUMIFS(tabela_registros[VALOR],tabela_registros[MÊS],$AE$1,tabela_registros[DIA],abrtotal305971[[#Headers],[14]],tabela_registros[REGISTRO],DADOS!$N$4,tabela_registros[TIPO],DADOS!$P$3,tabela_registros[CATEGORIA],despesafixaconsolidadoabr[[#This Row],[DESPESA FIXA]])</f>
        <v>0</v>
      </c>
      <c r="S48" s="119" t="n">
        <f aca="false">SUMIFS(tabela_registros[VALOR],tabela_registros[MÊS],$AE$1,tabela_registros[DIA],abrtotal305971[[#Headers],[15]],tabela_registros[REGISTRO],DADOS!$N$4,tabela_registros[TIPO],DADOS!$P$3,tabela_registros[CATEGORIA],despesafixaconsolidadoabr[[#This Row],[DESPESA FIXA]])</f>
        <v>0</v>
      </c>
      <c r="T48" s="119" t="n">
        <f aca="false">SUMIFS(tabela_registros[VALOR],tabela_registros[MÊS],$AE$1,tabela_registros[DIA],abrtotal305971[[#Headers],[16]],tabela_registros[REGISTRO],DADOS!$N$4,tabela_registros[TIPO],DADOS!$P$3,tabela_registros[CATEGORIA],despesafixaconsolidadoabr[[#This Row],[DESPESA FIXA]])</f>
        <v>0</v>
      </c>
      <c r="U48" s="119" t="n">
        <f aca="false">SUMIFS(tabela_registros[VALOR],tabela_registros[MÊS],$AE$1,tabela_registros[DIA],abrtotal305971[[#Headers],[17]],tabela_registros[REGISTRO],DADOS!$N$4,tabela_registros[TIPO],DADOS!$P$3,tabela_registros[CATEGORIA],despesafixaconsolidadoabr[[#This Row],[DESPESA FIXA]])</f>
        <v>0</v>
      </c>
      <c r="V48" s="119" t="n">
        <f aca="false">SUMIFS(tabela_registros[VALOR],tabela_registros[MÊS],$AE$1,tabela_registros[DIA],abrtotal305971[[#Headers],[18]],tabela_registros[REGISTRO],DADOS!$N$4,tabela_registros[TIPO],DADOS!$P$3,tabela_registros[CATEGORIA],despesafixaconsolidadoabr[[#This Row],[DESPESA FIXA]])</f>
        <v>0</v>
      </c>
      <c r="W48" s="119" t="n">
        <f aca="false">SUMIFS(tabela_registros[VALOR],tabela_registros[MÊS],$AE$1,tabela_registros[DIA],abrtotal305971[[#Headers],[19]],tabela_registros[REGISTRO],DADOS!$N$4,tabela_registros[TIPO],DADOS!$P$3,tabela_registros[CATEGORIA],despesafixaconsolidadoabr[[#This Row],[DESPESA FIXA]])</f>
        <v>0</v>
      </c>
      <c r="X48" s="119" t="n">
        <f aca="false">SUMIFS(tabela_registros[VALOR],tabela_registros[MÊS],$AE$1,tabela_registros[DIA],abrtotal305971[[#Headers],[20]],tabela_registros[REGISTRO],DADOS!$N$4,tabela_registros[TIPO],DADOS!$P$3,tabela_registros[CATEGORIA],despesafixaconsolidadoabr[[#This Row],[DESPESA FIXA]])</f>
        <v>0</v>
      </c>
      <c r="Y48" s="119" t="n">
        <f aca="false">SUMIFS(tabela_registros[VALOR],tabela_registros[MÊS],$AE$1,tabela_registros[DIA],abrtotal305971[[#Headers],[21]],tabela_registros[REGISTRO],DADOS!$N$4,tabela_registros[TIPO],DADOS!$P$3,tabela_registros[CATEGORIA],despesafixaconsolidadoabr[[#This Row],[DESPESA FIXA]])</f>
        <v>0</v>
      </c>
      <c r="Z48" s="119" t="n">
        <f aca="false">SUMIFS(tabela_registros[VALOR],tabela_registros[MÊS],$AE$1,tabela_registros[DIA],abrtotal305971[[#Headers],[22]],tabela_registros[REGISTRO],DADOS!$N$4,tabela_registros[TIPO],DADOS!$P$3,tabela_registros[CATEGORIA],despesafixaconsolidadoabr[[#This Row],[DESPESA FIXA]])</f>
        <v>0</v>
      </c>
      <c r="AA48" s="119" t="n">
        <f aca="false">SUMIFS(tabela_registros[VALOR],tabela_registros[MÊS],$AE$1,tabela_registros[DIA],abrtotal305971[[#Headers],[23]],tabela_registros[REGISTRO],DADOS!$N$4,tabela_registros[TIPO],DADOS!$P$3,tabela_registros[CATEGORIA],despesafixaconsolidadoabr[[#This Row],[DESPESA FIXA]])</f>
        <v>0</v>
      </c>
      <c r="AB48" s="119" t="n">
        <f aca="false">SUMIFS(tabela_registros[VALOR],tabela_registros[MÊS],$AE$1,tabela_registros[DIA],abrtotal305971[[#Headers],[24]],tabela_registros[REGISTRO],DADOS!$N$4,tabela_registros[TIPO],DADOS!$P$3,tabela_registros[CATEGORIA],despesafixaconsolidadoabr[[#This Row],[DESPESA FIXA]])</f>
        <v>0</v>
      </c>
      <c r="AC48" s="119" t="n">
        <f aca="false">SUMIFS(tabela_registros[VALOR],tabela_registros[MÊS],$AE$1,tabela_registros[DIA],abrtotal305971[[#Headers],[25]],tabela_registros[REGISTRO],DADOS!$N$4,tabela_registros[TIPO],DADOS!$P$3,tabela_registros[CATEGORIA],despesafixaconsolidadoabr[[#This Row],[DESPESA FIXA]])</f>
        <v>0</v>
      </c>
      <c r="AD48" s="119" t="n">
        <f aca="false">SUMIFS(tabela_registros[VALOR],tabela_registros[MÊS],$AE$1,tabela_registros[DIA],abrtotal305971[[#Headers],[26]],tabela_registros[REGISTRO],DADOS!$N$4,tabela_registros[TIPO],DADOS!$P$3,tabela_registros[CATEGORIA],despesafixaconsolidadoabr[[#This Row],[DESPESA FIXA]])</f>
        <v>0</v>
      </c>
      <c r="AE48" s="119" t="n">
        <f aca="false">SUMIFS(tabela_registros[VALOR],tabela_registros[MÊS],$AE$1,tabela_registros[DIA],abrtotal305971[[#Headers],[27]],tabela_registros[REGISTRO],DADOS!$N$4,tabela_registros[TIPO],DADOS!$P$3,tabela_registros[CATEGORIA],despesafixaconsolidadoabr[[#This Row],[DESPESA FIXA]])</f>
        <v>0</v>
      </c>
      <c r="AF48" s="119" t="n">
        <f aca="false">SUMIFS(tabela_registros[VALOR],tabela_registros[MÊS],$AE$1,tabela_registros[DIA],abrtotal305971[[#Headers],[28]],tabela_registros[REGISTRO],DADOS!$N$4,tabela_registros[TIPO],DADOS!$P$3,tabela_registros[CATEGORIA],despesafixaconsolidadoabr[[#This Row],[DESPESA FIXA]])</f>
        <v>0</v>
      </c>
      <c r="AG48" s="119" t="n">
        <f aca="false">SUMIFS(tabela_registros[VALOR],tabela_registros[MÊS],$AE$1,tabela_registros[DIA],abrtotal305971[[#Headers],[29]],tabela_registros[REGISTRO],DADOS!$N$4,tabela_registros[TIPO],DADOS!$P$3,tabela_registros[CATEGORIA],despesafixaconsolidadoabr[[#This Row],[DESPESA FIXA]])</f>
        <v>0</v>
      </c>
      <c r="AH48" s="119" t="n">
        <f aca="false">SUMIFS(tabela_registros[VALOR],tabela_registros[MÊS],$AE$1,tabela_registros[DIA],abrtotal305971[[#Headers],[30]],tabela_registros[REGISTRO],DADOS!$N$4,tabela_registros[TIPO],DADOS!$P$3,tabela_registros[CATEGORIA],despesafixaconsolidadoabr[[#This Row],[DESPESA FIXA]])</f>
        <v>0</v>
      </c>
      <c r="AI48" s="217" t="n">
        <f aca="false">SUMIFS(tabela_registros[VALOR],tabela_registros[MÊS],$AE$1,tabela_registros[DIA],abrtotal305971[[#Headers],[31]],tabela_registros[REGISTRO],DADOS!$N$4,tabela_registros[TIPO],DADOS!$P$3,tabela_registros[CATEGORIA],despesafixaconsolidadoabr[[#This Row],[DESPESA FIXA]])</f>
        <v>0</v>
      </c>
      <c r="AJ48" s="149" t="n">
        <f aca="false">SUM(despesafixaconsolidadoabr[[#This Row],[1]:[31]])</f>
        <v>0</v>
      </c>
      <c r="AK48" s="143"/>
    </row>
    <row r="49" customFormat="false" ht="18" hidden="false" customHeight="true" outlineLevel="0" collapsed="false">
      <c r="B49" s="143"/>
      <c r="C49" s="144" t="str">
        <f aca="false">DADOS!$R$15</f>
        <v>📞 TELEFONE</v>
      </c>
      <c r="D49" s="145" t="str">
        <f aca="false">IF(despesafixaconsolidadoabr[[#This Row],[TOTAL]]=0,"",IF(OR(despesafixaconsolidadoabr[[#This Row],[TOTAL]]=LARGE($AJ$37:$AJ$50,1),despesafixaconsolidadoabr[[#This Row],[TOTAL]]=LARGE($AJ$37:$AJ$50,2),despesafixaconsolidadoabr[[#This Row],[TOTAL]]=LARGE($AJ$37:$AJ$50,3),despesafixaconsolidadoabr[[#This Row],[TOTAL]]=LARGE($AJ$37:$AJ$50,4),despesafixaconsolidadoabr[[#This Row],[TOTAL]]=LARGE($AJ$37:$AJ$50,5)),DADOS!$I$8,""))</f>
        <v/>
      </c>
      <c r="E49" s="148" t="n">
        <f aca="false">SUMIFS(tabela_registros[VALOR],tabela_registros[MÊS],$AE$1,tabela_registros[DIA],abrtotal305971[[#Headers],[1]],tabela_registros[REGISTRO],DADOS!$N$4,tabela_registros[TIPO],DADOS!$P$3,tabela_registros[CATEGORIA],despesafixaconsolidadoabr[[#This Row],[DESPESA FIXA]])</f>
        <v>0</v>
      </c>
      <c r="F49" s="119" t="n">
        <f aca="false">SUMIFS(tabela_registros[VALOR],tabela_registros[MÊS],$AE$1,tabela_registros[DIA],abrtotal305971[[#Headers],[2]],tabela_registros[REGISTRO],DADOS!$N$4,tabela_registros[TIPO],DADOS!$P$3,tabela_registros[CATEGORIA],despesafixaconsolidadoabr[[#This Row],[DESPESA FIXA]])</f>
        <v>0</v>
      </c>
      <c r="G49" s="119" t="n">
        <f aca="false">SUMIFS(tabela_registros[VALOR],tabela_registros[MÊS],$AE$1,tabela_registros[DIA],abrtotal305971[[#Headers],[3]],tabela_registros[REGISTRO],DADOS!$N$4,tabela_registros[TIPO],DADOS!$P$3,tabela_registros[CATEGORIA],despesafixaconsolidadoabr[[#This Row],[DESPESA FIXA]])</f>
        <v>0</v>
      </c>
      <c r="H49" s="119" t="n">
        <f aca="false">SUMIFS(tabela_registros[VALOR],tabela_registros[MÊS],$AE$1,tabela_registros[DIA],abrtotal305971[[#Headers],[4]],tabela_registros[REGISTRO],DADOS!$N$4,tabela_registros[TIPO],DADOS!$P$3,tabela_registros[CATEGORIA],despesafixaconsolidadoabr[[#This Row],[DESPESA FIXA]])</f>
        <v>0</v>
      </c>
      <c r="I49" s="119" t="n">
        <f aca="false">SUMIFS(tabela_registros[VALOR],tabela_registros[MÊS],$AE$1,tabela_registros[DIA],abrtotal305971[[#Headers],[5]],tabela_registros[REGISTRO],DADOS!$N$4,tabela_registros[TIPO],DADOS!$P$3,tabela_registros[CATEGORIA],despesafixaconsolidadoabr[[#This Row],[DESPESA FIXA]])</f>
        <v>0</v>
      </c>
      <c r="J49" s="119" t="n">
        <f aca="false">SUMIFS(tabela_registros[VALOR],tabela_registros[MÊS],$AE$1,tabela_registros[DIA],abrtotal305971[[#Headers],[6]],tabela_registros[REGISTRO],DADOS!$N$4,tabela_registros[TIPO],DADOS!$P$3,tabela_registros[CATEGORIA],despesafixaconsolidadoabr[[#This Row],[DESPESA FIXA]])</f>
        <v>0</v>
      </c>
      <c r="K49" s="119" t="n">
        <f aca="false">SUMIFS(tabela_registros[VALOR],tabela_registros[MÊS],$AE$1,tabela_registros[DIA],abrtotal305971[[#Headers],[7]],tabela_registros[REGISTRO],DADOS!$N$4,tabela_registros[TIPO],DADOS!$P$3,tabela_registros[CATEGORIA],despesafixaconsolidadoabr[[#This Row],[DESPESA FIXA]])</f>
        <v>0</v>
      </c>
      <c r="L49" s="119" t="n">
        <f aca="false">SUMIFS(tabela_registros[VALOR],tabela_registros[MÊS],$AE$1,tabela_registros[DIA],abrtotal305971[[#Headers],[8]],tabela_registros[REGISTRO],DADOS!$N$4,tabela_registros[TIPO],DADOS!$P$3,tabela_registros[CATEGORIA],despesafixaconsolidadoabr[[#This Row],[DESPESA FIXA]])</f>
        <v>0</v>
      </c>
      <c r="M49" s="119" t="n">
        <f aca="false">SUMIFS(tabela_registros[VALOR],tabela_registros[MÊS],$AE$1,tabela_registros[DIA],abrtotal305971[[#Headers],[9]],tabela_registros[REGISTRO],DADOS!$N$4,tabela_registros[TIPO],DADOS!$P$3,tabela_registros[CATEGORIA],despesafixaconsolidadoabr[[#This Row],[DESPESA FIXA]])</f>
        <v>0</v>
      </c>
      <c r="N49" s="119" t="n">
        <f aca="false">SUMIFS(tabela_registros[VALOR],tabela_registros[MÊS],$AE$1,tabela_registros[DIA],abrtotal305971[[#Headers],[10]],tabela_registros[REGISTRO],DADOS!$N$4,tabela_registros[TIPO],DADOS!$P$3,tabela_registros[CATEGORIA],despesafixaconsolidadoabr[[#This Row],[DESPESA FIXA]])</f>
        <v>0</v>
      </c>
      <c r="O49" s="119" t="n">
        <f aca="false">SUMIFS(tabela_registros[VALOR],tabela_registros[MÊS],$AE$1,tabela_registros[DIA],abrtotal305971[[#Headers],[11]],tabela_registros[REGISTRO],DADOS!$N$4,tabela_registros[TIPO],DADOS!$P$3,tabela_registros[CATEGORIA],despesafixaconsolidadoabr[[#This Row],[DESPESA FIXA]])</f>
        <v>0</v>
      </c>
      <c r="P49" s="119" t="n">
        <f aca="false">SUMIFS(tabela_registros[VALOR],tabela_registros[MÊS],$AE$1,tabela_registros[DIA],abrtotal305971[[#Headers],[12]],tabela_registros[REGISTRO],DADOS!$N$4,tabela_registros[TIPO],DADOS!$P$3,tabela_registros[CATEGORIA],despesafixaconsolidadoabr[[#This Row],[DESPESA FIXA]])</f>
        <v>0</v>
      </c>
      <c r="Q49" s="119" t="n">
        <f aca="false">SUMIFS(tabela_registros[VALOR],tabela_registros[MÊS],$AE$1,tabela_registros[DIA],abrtotal305971[[#Headers],[13]],tabela_registros[REGISTRO],DADOS!$N$4,tabela_registros[TIPO],DADOS!$P$3,tabela_registros[CATEGORIA],despesafixaconsolidadoabr[[#This Row],[DESPESA FIXA]])</f>
        <v>0</v>
      </c>
      <c r="R49" s="119" t="n">
        <f aca="false">SUMIFS(tabela_registros[VALOR],tabela_registros[MÊS],$AE$1,tabela_registros[DIA],abrtotal305971[[#Headers],[14]],tabela_registros[REGISTRO],DADOS!$N$4,tabela_registros[TIPO],DADOS!$P$3,tabela_registros[CATEGORIA],despesafixaconsolidadoabr[[#This Row],[DESPESA FIXA]])</f>
        <v>0</v>
      </c>
      <c r="S49" s="119" t="n">
        <f aca="false">SUMIFS(tabela_registros[VALOR],tabela_registros[MÊS],$AE$1,tabela_registros[DIA],abrtotal305971[[#Headers],[15]],tabela_registros[REGISTRO],DADOS!$N$4,tabela_registros[TIPO],DADOS!$P$3,tabela_registros[CATEGORIA],despesafixaconsolidadoabr[[#This Row],[DESPESA FIXA]])</f>
        <v>0</v>
      </c>
      <c r="T49" s="119" t="n">
        <f aca="false">SUMIFS(tabela_registros[VALOR],tabela_registros[MÊS],$AE$1,tabela_registros[DIA],abrtotal305971[[#Headers],[16]],tabela_registros[REGISTRO],DADOS!$N$4,tabela_registros[TIPO],DADOS!$P$3,tabela_registros[CATEGORIA],despesafixaconsolidadoabr[[#This Row],[DESPESA FIXA]])</f>
        <v>0</v>
      </c>
      <c r="U49" s="119" t="n">
        <f aca="false">SUMIFS(tabela_registros[VALOR],tabela_registros[MÊS],$AE$1,tabela_registros[DIA],abrtotal305971[[#Headers],[17]],tabela_registros[REGISTRO],DADOS!$N$4,tabela_registros[TIPO],DADOS!$P$3,tabela_registros[CATEGORIA],despesafixaconsolidadoabr[[#This Row],[DESPESA FIXA]])</f>
        <v>0</v>
      </c>
      <c r="V49" s="119" t="n">
        <f aca="false">SUMIFS(tabela_registros[VALOR],tabela_registros[MÊS],$AE$1,tabela_registros[DIA],abrtotal305971[[#Headers],[18]],tabela_registros[REGISTRO],DADOS!$N$4,tabela_registros[TIPO],DADOS!$P$3,tabela_registros[CATEGORIA],despesafixaconsolidadoabr[[#This Row],[DESPESA FIXA]])</f>
        <v>0</v>
      </c>
      <c r="W49" s="119" t="n">
        <f aca="false">SUMIFS(tabela_registros[VALOR],tabela_registros[MÊS],$AE$1,tabela_registros[DIA],abrtotal305971[[#Headers],[19]],tabela_registros[REGISTRO],DADOS!$N$4,tabela_registros[TIPO],DADOS!$P$3,tabela_registros[CATEGORIA],despesafixaconsolidadoabr[[#This Row],[DESPESA FIXA]])</f>
        <v>0</v>
      </c>
      <c r="X49" s="119" t="n">
        <f aca="false">SUMIFS(tabela_registros[VALOR],tabela_registros[MÊS],$AE$1,tabela_registros[DIA],abrtotal305971[[#Headers],[20]],tabela_registros[REGISTRO],DADOS!$N$4,tabela_registros[TIPO],DADOS!$P$3,tabela_registros[CATEGORIA],despesafixaconsolidadoabr[[#This Row],[DESPESA FIXA]])</f>
        <v>0</v>
      </c>
      <c r="Y49" s="119" t="n">
        <f aca="false">SUMIFS(tabela_registros[VALOR],tabela_registros[MÊS],$AE$1,tabela_registros[DIA],abrtotal305971[[#Headers],[21]],tabela_registros[REGISTRO],DADOS!$N$4,tabela_registros[TIPO],DADOS!$P$3,tabela_registros[CATEGORIA],despesafixaconsolidadoabr[[#This Row],[DESPESA FIXA]])</f>
        <v>0</v>
      </c>
      <c r="Z49" s="119" t="n">
        <f aca="false">SUMIFS(tabela_registros[VALOR],tabela_registros[MÊS],$AE$1,tabela_registros[DIA],abrtotal305971[[#Headers],[22]],tabela_registros[REGISTRO],DADOS!$N$4,tabela_registros[TIPO],DADOS!$P$3,tabela_registros[CATEGORIA],despesafixaconsolidadoabr[[#This Row],[DESPESA FIXA]])</f>
        <v>0</v>
      </c>
      <c r="AA49" s="119" t="n">
        <f aca="false">SUMIFS(tabela_registros[VALOR],tabela_registros[MÊS],$AE$1,tabela_registros[DIA],abrtotal305971[[#Headers],[23]],tabela_registros[REGISTRO],DADOS!$N$4,tabela_registros[TIPO],DADOS!$P$3,tabela_registros[CATEGORIA],despesafixaconsolidadoabr[[#This Row],[DESPESA FIXA]])</f>
        <v>0</v>
      </c>
      <c r="AB49" s="119" t="n">
        <f aca="false">SUMIFS(tabela_registros[VALOR],tabela_registros[MÊS],$AE$1,tabela_registros[DIA],abrtotal305971[[#Headers],[24]],tabela_registros[REGISTRO],DADOS!$N$4,tabela_registros[TIPO],DADOS!$P$3,tabela_registros[CATEGORIA],despesafixaconsolidadoabr[[#This Row],[DESPESA FIXA]])</f>
        <v>0</v>
      </c>
      <c r="AC49" s="119" t="n">
        <f aca="false">SUMIFS(tabela_registros[VALOR],tabela_registros[MÊS],$AE$1,tabela_registros[DIA],abrtotal305971[[#Headers],[25]],tabela_registros[REGISTRO],DADOS!$N$4,tabela_registros[TIPO],DADOS!$P$3,tabela_registros[CATEGORIA],despesafixaconsolidadoabr[[#This Row],[DESPESA FIXA]])</f>
        <v>0</v>
      </c>
      <c r="AD49" s="119" t="n">
        <f aca="false">SUMIFS(tabela_registros[VALOR],tabela_registros[MÊS],$AE$1,tabela_registros[DIA],abrtotal305971[[#Headers],[26]],tabela_registros[REGISTRO],DADOS!$N$4,tabela_registros[TIPO],DADOS!$P$3,tabela_registros[CATEGORIA],despesafixaconsolidadoabr[[#This Row],[DESPESA FIXA]])</f>
        <v>0</v>
      </c>
      <c r="AE49" s="119" t="n">
        <f aca="false">SUMIFS(tabela_registros[VALOR],tabela_registros[MÊS],$AE$1,tabela_registros[DIA],abrtotal305971[[#Headers],[27]],tabela_registros[REGISTRO],DADOS!$N$4,tabela_registros[TIPO],DADOS!$P$3,tabela_registros[CATEGORIA],despesafixaconsolidadoabr[[#This Row],[DESPESA FIXA]])</f>
        <v>0</v>
      </c>
      <c r="AF49" s="119" t="n">
        <f aca="false">SUMIFS(tabela_registros[VALOR],tabela_registros[MÊS],$AE$1,tabela_registros[DIA],abrtotal305971[[#Headers],[28]],tabela_registros[REGISTRO],DADOS!$N$4,tabela_registros[TIPO],DADOS!$P$3,tabela_registros[CATEGORIA],despesafixaconsolidadoabr[[#This Row],[DESPESA FIXA]])</f>
        <v>0</v>
      </c>
      <c r="AG49" s="119" t="n">
        <f aca="false">SUMIFS(tabela_registros[VALOR],tabela_registros[MÊS],$AE$1,tabela_registros[DIA],abrtotal305971[[#Headers],[29]],tabela_registros[REGISTRO],DADOS!$N$4,tabela_registros[TIPO],DADOS!$P$3,tabela_registros[CATEGORIA],despesafixaconsolidadoabr[[#This Row],[DESPESA FIXA]])</f>
        <v>0</v>
      </c>
      <c r="AH49" s="119" t="n">
        <f aca="false">SUMIFS(tabela_registros[VALOR],tabela_registros[MÊS],$AE$1,tabela_registros[DIA],abrtotal305971[[#Headers],[30]],tabela_registros[REGISTRO],DADOS!$N$4,tabela_registros[TIPO],DADOS!$P$3,tabela_registros[CATEGORIA],despesafixaconsolidadoabr[[#This Row],[DESPESA FIXA]])</f>
        <v>0</v>
      </c>
      <c r="AI49" s="217" t="n">
        <f aca="false">SUMIFS(tabela_registros[VALOR],tabela_registros[MÊS],$AE$1,tabela_registros[DIA],abrtotal305971[[#Headers],[31]],tabela_registros[REGISTRO],DADOS!$N$4,tabela_registros[TIPO],DADOS!$P$3,tabela_registros[CATEGORIA],despesafixaconsolidadoabr[[#This Row],[DESPESA FIXA]])</f>
        <v>0</v>
      </c>
      <c r="AJ49" s="149" t="n">
        <f aca="false">SUM(despesafixaconsolidadoabr[[#This Row],[1]:[31]])</f>
        <v>0</v>
      </c>
      <c r="AK49" s="143"/>
    </row>
    <row r="50" customFormat="false" ht="18" hidden="false" customHeight="true" outlineLevel="0" collapsed="false">
      <c r="B50" s="143"/>
      <c r="C50" s="144" t="str">
        <f aca="false">DADOS!$R$16</f>
        <v>📎 OUTROS</v>
      </c>
      <c r="D50" s="145" t="str">
        <f aca="false">IF(despesafixaconsolidadoabr[[#This Row],[TOTAL]]=0,"",IF(OR(despesafixaconsolidadoabr[[#This Row],[TOTAL]]=LARGE($AJ$37:$AJ$50,1),despesafixaconsolidadoabr[[#This Row],[TOTAL]]=LARGE($AJ$37:$AJ$50,2),despesafixaconsolidadoabr[[#This Row],[TOTAL]]=LARGE($AJ$37:$AJ$50,3),despesafixaconsolidadoabr[[#This Row],[TOTAL]]=LARGE($AJ$37:$AJ$50,4),despesafixaconsolidadoabr[[#This Row],[TOTAL]]=LARGE($AJ$37:$AJ$50,5)),DADOS!$I$8,""))</f>
        <v/>
      </c>
      <c r="E50" s="150" t="n">
        <f aca="false">SUMIFS(tabela_registros[VALOR],tabela_registros[MÊS],$AE$1,tabela_registros[DIA],abrtotal305971[[#Headers],[1]],tabela_registros[REGISTRO],DADOS!$N$4,tabela_registros[TIPO],DADOS!$P$3,tabela_registros[CATEGORIA],despesafixaconsolidadoabr[[#This Row],[DESPESA FIXA]])</f>
        <v>0</v>
      </c>
      <c r="F50" s="151" t="n">
        <f aca="false">SUMIFS(tabela_registros[VALOR],tabela_registros[MÊS],$AE$1,tabela_registros[DIA],abrtotal305971[[#Headers],[2]],tabela_registros[REGISTRO],DADOS!$N$4,tabela_registros[TIPO],DADOS!$P$3,tabela_registros[CATEGORIA],despesafixaconsolidadoabr[[#This Row],[DESPESA FIXA]])</f>
        <v>0</v>
      </c>
      <c r="G50" s="151" t="n">
        <f aca="false">SUMIFS(tabela_registros[VALOR],tabela_registros[MÊS],$AE$1,tabela_registros[DIA],abrtotal305971[[#Headers],[3]],tabela_registros[REGISTRO],DADOS!$N$4,tabela_registros[TIPO],DADOS!$P$3,tabela_registros[CATEGORIA],despesafixaconsolidadoabr[[#This Row],[DESPESA FIXA]])</f>
        <v>0</v>
      </c>
      <c r="H50" s="151" t="n">
        <f aca="false">SUMIFS(tabela_registros[VALOR],tabela_registros[MÊS],$AE$1,tabela_registros[DIA],abrtotal305971[[#Headers],[4]],tabela_registros[REGISTRO],DADOS!$N$4,tabela_registros[TIPO],DADOS!$P$3,tabela_registros[CATEGORIA],despesafixaconsolidadoabr[[#This Row],[DESPESA FIXA]])</f>
        <v>0</v>
      </c>
      <c r="I50" s="151" t="n">
        <f aca="false">SUMIFS(tabela_registros[VALOR],tabela_registros[MÊS],$AE$1,tabela_registros[DIA],abrtotal305971[[#Headers],[5]],tabela_registros[REGISTRO],DADOS!$N$4,tabela_registros[TIPO],DADOS!$P$3,tabela_registros[CATEGORIA],despesafixaconsolidadoabr[[#This Row],[DESPESA FIXA]])</f>
        <v>0</v>
      </c>
      <c r="J50" s="151" t="n">
        <f aca="false">SUMIFS(tabela_registros[VALOR],tabela_registros[MÊS],$AE$1,tabela_registros[DIA],abrtotal305971[[#Headers],[6]],tabela_registros[REGISTRO],DADOS!$N$4,tabela_registros[TIPO],DADOS!$P$3,tabela_registros[CATEGORIA],despesafixaconsolidadoabr[[#This Row],[DESPESA FIXA]])</f>
        <v>0</v>
      </c>
      <c r="K50" s="151" t="n">
        <f aca="false">SUMIFS(tabela_registros[VALOR],tabela_registros[MÊS],$AE$1,tabela_registros[DIA],abrtotal305971[[#Headers],[7]],tabela_registros[REGISTRO],DADOS!$N$4,tabela_registros[TIPO],DADOS!$P$3,tabela_registros[CATEGORIA],despesafixaconsolidadoabr[[#This Row],[DESPESA FIXA]])</f>
        <v>0</v>
      </c>
      <c r="L50" s="151" t="n">
        <f aca="false">SUMIFS(tabela_registros[VALOR],tabela_registros[MÊS],$AE$1,tabela_registros[DIA],abrtotal305971[[#Headers],[8]],tabela_registros[REGISTRO],DADOS!$N$4,tabela_registros[TIPO],DADOS!$P$3,tabela_registros[CATEGORIA],despesafixaconsolidadoabr[[#This Row],[DESPESA FIXA]])</f>
        <v>0</v>
      </c>
      <c r="M50" s="151" t="n">
        <f aca="false">SUMIFS(tabela_registros[VALOR],tabela_registros[MÊS],$AE$1,tabela_registros[DIA],abrtotal305971[[#Headers],[9]],tabela_registros[REGISTRO],DADOS!$N$4,tabela_registros[TIPO],DADOS!$P$3,tabela_registros[CATEGORIA],despesafixaconsolidadoabr[[#This Row],[DESPESA FIXA]])</f>
        <v>0</v>
      </c>
      <c r="N50" s="151" t="n">
        <f aca="false">SUMIFS(tabela_registros[VALOR],tabela_registros[MÊS],$AE$1,tabela_registros[DIA],abrtotal305971[[#Headers],[10]],tabela_registros[REGISTRO],DADOS!$N$4,tabela_registros[TIPO],DADOS!$P$3,tabela_registros[CATEGORIA],despesafixaconsolidadoabr[[#This Row],[DESPESA FIXA]])</f>
        <v>0</v>
      </c>
      <c r="O50" s="151" t="n">
        <f aca="false">SUMIFS(tabela_registros[VALOR],tabela_registros[MÊS],$AE$1,tabela_registros[DIA],abrtotal305971[[#Headers],[11]],tabela_registros[REGISTRO],DADOS!$N$4,tabela_registros[TIPO],DADOS!$P$3,tabela_registros[CATEGORIA],despesafixaconsolidadoabr[[#This Row],[DESPESA FIXA]])</f>
        <v>0</v>
      </c>
      <c r="P50" s="151" t="n">
        <f aca="false">SUMIFS(tabela_registros[VALOR],tabela_registros[MÊS],$AE$1,tabela_registros[DIA],abrtotal305971[[#Headers],[12]],tabela_registros[REGISTRO],DADOS!$N$4,tabela_registros[TIPO],DADOS!$P$3,tabela_registros[CATEGORIA],despesafixaconsolidadoabr[[#This Row],[DESPESA FIXA]])</f>
        <v>0</v>
      </c>
      <c r="Q50" s="151" t="n">
        <f aca="false">SUMIFS(tabela_registros[VALOR],tabela_registros[MÊS],$AE$1,tabela_registros[DIA],abrtotal305971[[#Headers],[13]],tabela_registros[REGISTRO],DADOS!$N$4,tabela_registros[TIPO],DADOS!$P$3,tabela_registros[CATEGORIA],despesafixaconsolidadoabr[[#This Row],[DESPESA FIXA]])</f>
        <v>0</v>
      </c>
      <c r="R50" s="151" t="n">
        <f aca="false">SUMIFS(tabela_registros[VALOR],tabela_registros[MÊS],$AE$1,tabela_registros[DIA],abrtotal305971[[#Headers],[14]],tabela_registros[REGISTRO],DADOS!$N$4,tabela_registros[TIPO],DADOS!$P$3,tabela_registros[CATEGORIA],despesafixaconsolidadoabr[[#This Row],[DESPESA FIXA]])</f>
        <v>0</v>
      </c>
      <c r="S50" s="151" t="n">
        <f aca="false">SUMIFS(tabela_registros[VALOR],tabela_registros[MÊS],$AE$1,tabela_registros[DIA],abrtotal305971[[#Headers],[15]],tabela_registros[REGISTRO],DADOS!$N$4,tabela_registros[TIPO],DADOS!$P$3,tabela_registros[CATEGORIA],despesafixaconsolidadoabr[[#This Row],[DESPESA FIXA]])</f>
        <v>0</v>
      </c>
      <c r="T50" s="151" t="n">
        <f aca="false">SUMIFS(tabela_registros[VALOR],tabela_registros[MÊS],$AE$1,tabela_registros[DIA],abrtotal305971[[#Headers],[16]],tabela_registros[REGISTRO],DADOS!$N$4,tabela_registros[TIPO],DADOS!$P$3,tabela_registros[CATEGORIA],despesafixaconsolidadoabr[[#This Row],[DESPESA FIXA]])</f>
        <v>0</v>
      </c>
      <c r="U50" s="151" t="n">
        <f aca="false">SUMIFS(tabela_registros[VALOR],tabela_registros[MÊS],$AE$1,tabela_registros[DIA],abrtotal305971[[#Headers],[17]],tabela_registros[REGISTRO],DADOS!$N$4,tabela_registros[TIPO],DADOS!$P$3,tabela_registros[CATEGORIA],despesafixaconsolidadoabr[[#This Row],[DESPESA FIXA]])</f>
        <v>0</v>
      </c>
      <c r="V50" s="151" t="n">
        <f aca="false">SUMIFS(tabela_registros[VALOR],tabela_registros[MÊS],$AE$1,tabela_registros[DIA],abrtotal305971[[#Headers],[18]],tabela_registros[REGISTRO],DADOS!$N$4,tabela_registros[TIPO],DADOS!$P$3,tabela_registros[CATEGORIA],despesafixaconsolidadoabr[[#This Row],[DESPESA FIXA]])</f>
        <v>0</v>
      </c>
      <c r="W50" s="151" t="n">
        <f aca="false">SUMIFS(tabela_registros[VALOR],tabela_registros[MÊS],$AE$1,tabela_registros[DIA],abrtotal305971[[#Headers],[19]],tabela_registros[REGISTRO],DADOS!$N$4,tabela_registros[TIPO],DADOS!$P$3,tabela_registros[CATEGORIA],despesafixaconsolidadoabr[[#This Row],[DESPESA FIXA]])</f>
        <v>0</v>
      </c>
      <c r="X50" s="151" t="n">
        <f aca="false">SUMIFS(tabela_registros[VALOR],tabela_registros[MÊS],$AE$1,tabela_registros[DIA],abrtotal305971[[#Headers],[20]],tabela_registros[REGISTRO],DADOS!$N$4,tabela_registros[TIPO],DADOS!$P$3,tabela_registros[CATEGORIA],despesafixaconsolidadoabr[[#This Row],[DESPESA FIXA]])</f>
        <v>0</v>
      </c>
      <c r="Y50" s="151" t="n">
        <f aca="false">SUMIFS(tabela_registros[VALOR],tabela_registros[MÊS],$AE$1,tabela_registros[DIA],abrtotal305971[[#Headers],[21]],tabela_registros[REGISTRO],DADOS!$N$4,tabela_registros[TIPO],DADOS!$P$3,tabela_registros[CATEGORIA],despesafixaconsolidadoabr[[#This Row],[DESPESA FIXA]])</f>
        <v>0</v>
      </c>
      <c r="Z50" s="151" t="n">
        <f aca="false">SUMIFS(tabela_registros[VALOR],tabela_registros[MÊS],$AE$1,tabela_registros[DIA],abrtotal305971[[#Headers],[22]],tabela_registros[REGISTRO],DADOS!$N$4,tabela_registros[TIPO],DADOS!$P$3,tabela_registros[CATEGORIA],despesafixaconsolidadoabr[[#This Row],[DESPESA FIXA]])</f>
        <v>0</v>
      </c>
      <c r="AA50" s="151" t="n">
        <f aca="false">SUMIFS(tabela_registros[VALOR],tabela_registros[MÊS],$AE$1,tabela_registros[DIA],abrtotal305971[[#Headers],[23]],tabela_registros[REGISTRO],DADOS!$N$4,tabela_registros[TIPO],DADOS!$P$3,tabela_registros[CATEGORIA],despesafixaconsolidadoabr[[#This Row],[DESPESA FIXA]])</f>
        <v>0</v>
      </c>
      <c r="AB50" s="151" t="n">
        <f aca="false">SUMIFS(tabela_registros[VALOR],tabela_registros[MÊS],$AE$1,tabela_registros[DIA],abrtotal305971[[#Headers],[24]],tabela_registros[REGISTRO],DADOS!$N$4,tabela_registros[TIPO],DADOS!$P$3,tabela_registros[CATEGORIA],despesafixaconsolidadoabr[[#This Row],[DESPESA FIXA]])</f>
        <v>0</v>
      </c>
      <c r="AC50" s="151" t="n">
        <f aca="false">SUMIFS(tabela_registros[VALOR],tabela_registros[MÊS],$AE$1,tabela_registros[DIA],abrtotal305971[[#Headers],[25]],tabela_registros[REGISTRO],DADOS!$N$4,tabela_registros[TIPO],DADOS!$P$3,tabela_registros[CATEGORIA],despesafixaconsolidadoabr[[#This Row],[DESPESA FIXA]])</f>
        <v>0</v>
      </c>
      <c r="AD50" s="151" t="n">
        <f aca="false">SUMIFS(tabela_registros[VALOR],tabela_registros[MÊS],$AE$1,tabela_registros[DIA],abrtotal305971[[#Headers],[26]],tabela_registros[REGISTRO],DADOS!$N$4,tabela_registros[TIPO],DADOS!$P$3,tabela_registros[CATEGORIA],despesafixaconsolidadoabr[[#This Row],[DESPESA FIXA]])</f>
        <v>0</v>
      </c>
      <c r="AE50" s="151" t="n">
        <f aca="false">SUMIFS(tabela_registros[VALOR],tabela_registros[MÊS],$AE$1,tabela_registros[DIA],abrtotal305971[[#Headers],[27]],tabela_registros[REGISTRO],DADOS!$N$4,tabela_registros[TIPO],DADOS!$P$3,tabela_registros[CATEGORIA],despesafixaconsolidadoabr[[#This Row],[DESPESA FIXA]])</f>
        <v>0</v>
      </c>
      <c r="AF50" s="151" t="n">
        <f aca="false">SUMIFS(tabela_registros[VALOR],tabela_registros[MÊS],$AE$1,tabela_registros[DIA],abrtotal305971[[#Headers],[28]],tabela_registros[REGISTRO],DADOS!$N$4,tabela_registros[TIPO],DADOS!$P$3,tabela_registros[CATEGORIA],despesafixaconsolidadoabr[[#This Row],[DESPESA FIXA]])</f>
        <v>0</v>
      </c>
      <c r="AG50" s="151" t="n">
        <f aca="false">SUMIFS(tabela_registros[VALOR],tabela_registros[MÊS],$AE$1,tabela_registros[DIA],abrtotal305971[[#Headers],[29]],tabela_registros[REGISTRO],DADOS!$N$4,tabela_registros[TIPO],DADOS!$P$3,tabela_registros[CATEGORIA],despesafixaconsolidadoabr[[#This Row],[DESPESA FIXA]])</f>
        <v>0</v>
      </c>
      <c r="AH50" s="151" t="n">
        <f aca="false">SUMIFS(tabela_registros[VALOR],tabela_registros[MÊS],$AE$1,tabela_registros[DIA],abrtotal305971[[#Headers],[30]],tabela_registros[REGISTRO],DADOS!$N$4,tabela_registros[TIPO],DADOS!$P$3,tabela_registros[CATEGORIA],despesafixaconsolidadoabr[[#This Row],[DESPESA FIXA]])</f>
        <v>0</v>
      </c>
      <c r="AI50" s="218" t="n">
        <f aca="false">SUMIFS(tabela_registros[VALOR],tabela_registros[MÊS],$AE$1,tabela_registros[DIA],abrtotal305971[[#Headers],[31]],tabela_registros[REGISTRO],DADOS!$N$4,tabela_registros[TIPO],DADOS!$P$3,tabela_registros[CATEGORIA],despesafixaconsolidadoabr[[#This Row],[DESPESA FIXA]])</f>
        <v>0</v>
      </c>
      <c r="AJ50" s="219" t="n">
        <f aca="false">SUM(despesafixaconsolidadoabr[[#This Row],[1]:[31]])</f>
        <v>0</v>
      </c>
      <c r="AK50" s="143"/>
    </row>
    <row r="51" s="122" customFormat="true" ht="21" hidden="false" customHeight="true" outlineLevel="0" collapsed="false">
      <c r="B51" s="152"/>
      <c r="C51" s="153" t="s">
        <v>2</v>
      </c>
      <c r="D51" s="154" t="str">
        <f aca="false">IF(despesafixaconsolidadoabr[[#This Row],[TOTAL]]=0,"",IF(OR(despesafixaconsolidadoabr[[#This Row],[TOTAL]]=SMALL($AJ$37:$AJ$50,1),despesafixaconsolidadoabr[[#This Row],[TOTAL]]=SMALL($AJ$37:$AJ$50,2),despesafixaconsolidadoabr[[#This Row],[TOTAL]]=SMALL($AJ$37:$AJ$50,3),despesafixaconsolidadoabr[[#This Row],[TOTAL]]=SMALL($AJ$37:$AJ$50,4),despesafixaconsolidadoabr[[#This Row],[TOTAL]]=SMALL($AJ$37:$AJ$50,5)),DADOS!$I$8,""))</f>
        <v/>
      </c>
      <c r="E51" s="155" t="n">
        <f aca="false">SUM(E37:E50)</f>
        <v>0</v>
      </c>
      <c r="F51" s="156" t="n">
        <f aca="false">SUM(F37:F50)+despesafixaconsolidadoabr[[#This Row],[1]]</f>
        <v>0</v>
      </c>
      <c r="G51" s="156" t="n">
        <f aca="false">SUM(G37:G50)+despesafixaconsolidadoabr[[#This Row],[2]]</f>
        <v>0</v>
      </c>
      <c r="H51" s="156" t="n">
        <f aca="false">SUM(H37:H50)+despesafixaconsolidadoabr[[#This Row],[3]]</f>
        <v>0</v>
      </c>
      <c r="I51" s="156" t="n">
        <f aca="false">SUM(I37:I50)+despesafixaconsolidadoabr[[#This Row],[4]]</f>
        <v>0</v>
      </c>
      <c r="J51" s="156" t="n">
        <f aca="false">SUM(J37:J50)+despesafixaconsolidadoabr[[#This Row],[5]]</f>
        <v>0</v>
      </c>
      <c r="K51" s="156" t="n">
        <f aca="false">SUM(K37:K50)+despesafixaconsolidadoabr[[#This Row],[6]]</f>
        <v>0</v>
      </c>
      <c r="L51" s="156" t="n">
        <f aca="false">SUM(L37:L50)+despesafixaconsolidadoabr[[#This Row],[7]]</f>
        <v>0</v>
      </c>
      <c r="M51" s="156" t="n">
        <f aca="false">SUM(M37:M50)+despesafixaconsolidadoabr[[#This Row],[8]]</f>
        <v>0</v>
      </c>
      <c r="N51" s="156" t="n">
        <f aca="false">SUM(N37:N50)+despesafixaconsolidadoabr[[#This Row],[9]]</f>
        <v>0</v>
      </c>
      <c r="O51" s="156" t="n">
        <f aca="false">SUM(O37:O50)+despesafixaconsolidadoabr[[#This Row],[10]]</f>
        <v>0</v>
      </c>
      <c r="P51" s="156" t="n">
        <f aca="false">SUM(P37:P50)+despesafixaconsolidadoabr[[#This Row],[11]]</f>
        <v>0</v>
      </c>
      <c r="Q51" s="156" t="n">
        <f aca="false">SUM(Q37:Q50)+despesafixaconsolidadoabr[[#This Row],[12]]</f>
        <v>0</v>
      </c>
      <c r="R51" s="156" t="n">
        <f aca="false">SUM(R37:R50)+despesafixaconsolidadoabr[[#This Row],[13]]</f>
        <v>0</v>
      </c>
      <c r="S51" s="156" t="n">
        <f aca="false">SUM(S37:S50)+despesafixaconsolidadoabr[[#This Row],[14]]</f>
        <v>0</v>
      </c>
      <c r="T51" s="156" t="n">
        <f aca="false">SUM(T37:T50)+despesafixaconsolidadoabr[[#This Row],[15]]</f>
        <v>0</v>
      </c>
      <c r="U51" s="156" t="n">
        <f aca="false">SUM(U37:U50)+despesafixaconsolidadoabr[[#This Row],[16]]</f>
        <v>0</v>
      </c>
      <c r="V51" s="156" t="n">
        <f aca="false">SUM(V37:V50)+despesafixaconsolidadoabr[[#This Row],[17]]</f>
        <v>0</v>
      </c>
      <c r="W51" s="156" t="n">
        <f aca="false">SUM(W37:W50)+despesafixaconsolidadoabr[[#This Row],[18]]</f>
        <v>0</v>
      </c>
      <c r="X51" s="156" t="n">
        <f aca="false">SUM(X37:X50)+despesafixaconsolidadoabr[[#This Row],[19]]</f>
        <v>0</v>
      </c>
      <c r="Y51" s="156" t="n">
        <f aca="false">SUM(Y37:Y50)+despesafixaconsolidadoabr[[#This Row],[20]]</f>
        <v>0</v>
      </c>
      <c r="Z51" s="156" t="n">
        <f aca="false">SUM(Z37:Z50)+despesafixaconsolidadoabr[[#This Row],[21]]</f>
        <v>0</v>
      </c>
      <c r="AA51" s="156" t="n">
        <f aca="false">SUM(AA37:AA50)+despesafixaconsolidadoabr[[#This Row],[22]]</f>
        <v>0</v>
      </c>
      <c r="AB51" s="156" t="n">
        <f aca="false">SUM(AB37:AB50)+despesafixaconsolidadoabr[[#This Row],[23]]</f>
        <v>0</v>
      </c>
      <c r="AC51" s="156" t="n">
        <f aca="false">SUM(AC37:AC50)+despesafixaconsolidadoabr[[#This Row],[24]]</f>
        <v>0</v>
      </c>
      <c r="AD51" s="156" t="n">
        <f aca="false">SUM(AD37:AD50)+despesafixaconsolidadoabr[[#This Row],[25]]</f>
        <v>0</v>
      </c>
      <c r="AE51" s="156" t="n">
        <f aca="false">SUM(AE37:AE50)+despesafixaconsolidadoabr[[#This Row],[26]]</f>
        <v>0</v>
      </c>
      <c r="AF51" s="156" t="n">
        <f aca="false">SUM(AF37:AF50)+despesafixaconsolidadoabr[[#This Row],[27]]</f>
        <v>0</v>
      </c>
      <c r="AG51" s="156" t="n">
        <f aca="false">SUM(AG37:AG50)+despesafixaconsolidadoabr[[#This Row],[28]]</f>
        <v>0</v>
      </c>
      <c r="AH51" s="156" t="n">
        <f aca="false">SUM(AH37:AH50)+despesafixaconsolidadoabr[[#This Row],[29]]</f>
        <v>0</v>
      </c>
      <c r="AI51" s="223" t="n">
        <f aca="false">SUM(AI37:AI50)+despesafixaconsolidadoabr[[#This Row],[30]]</f>
        <v>0</v>
      </c>
      <c r="AJ51" s="157" t="n">
        <f aca="false">despesafixaconsolidadoabr[[#This Row],[31]]</f>
        <v>0</v>
      </c>
      <c r="AK51" s="158"/>
    </row>
    <row r="52" customFormat="false" ht="6.75" hidden="false" customHeight="true" outlineLevel="0" collapsed="false">
      <c r="B52" s="97"/>
      <c r="C52" s="159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227"/>
      <c r="AJ52" s="97"/>
      <c r="AK52" s="244"/>
    </row>
    <row r="53" customFormat="false" ht="12.75" hidden="false" customHeight="false" outlineLevel="0" collapsed="false">
      <c r="C53" s="133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K53" s="100"/>
    </row>
    <row r="54" customFormat="false" ht="12" hidden="false" customHeight="false" outlineLevel="0" collapsed="false">
      <c r="C54" s="133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</row>
    <row r="55" customFormat="false" ht="12" hidden="false" customHeight="false" outlineLevel="0" collapsed="false">
      <c r="C55" s="133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</row>
    <row r="56" customFormat="false" ht="39.75" hidden="false" customHeight="true" outlineLevel="0" collapsed="false">
      <c r="C56" s="133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3" t="s">
        <v>2</v>
      </c>
    </row>
    <row r="57" s="78" customFormat="true" ht="11.25" hidden="false" customHeight="true" outlineLevel="0" collapsed="false">
      <c r="C57" s="101"/>
      <c r="AJ57" s="106" t="s">
        <v>64</v>
      </c>
    </row>
    <row r="58" customFormat="false" ht="6.75" hidden="false" customHeight="true" outlineLevel="0" collapsed="false">
      <c r="B58" s="139"/>
      <c r="C58" s="140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212"/>
      <c r="AK58" s="139"/>
    </row>
    <row r="59" customFormat="false" ht="12.75" hidden="true" customHeight="false" outlineLevel="0" collapsed="false">
      <c r="B59" s="86"/>
      <c r="C59" s="109" t="s">
        <v>79</v>
      </c>
      <c r="D59" s="110" t="s">
        <v>69</v>
      </c>
      <c r="E59" s="110" t="s">
        <v>30</v>
      </c>
      <c r="F59" s="110" t="s">
        <v>31</v>
      </c>
      <c r="G59" s="110" t="s">
        <v>32</v>
      </c>
      <c r="H59" s="110" t="s">
        <v>33</v>
      </c>
      <c r="I59" s="110" t="s">
        <v>34</v>
      </c>
      <c r="J59" s="110" t="s">
        <v>35</v>
      </c>
      <c r="K59" s="110" t="s">
        <v>36</v>
      </c>
      <c r="L59" s="110" t="s">
        <v>37</v>
      </c>
      <c r="M59" s="110" t="s">
        <v>38</v>
      </c>
      <c r="N59" s="110" t="s">
        <v>39</v>
      </c>
      <c r="O59" s="110" t="s">
        <v>40</v>
      </c>
      <c r="P59" s="110" t="s">
        <v>41</v>
      </c>
      <c r="Q59" s="110" t="s">
        <v>81</v>
      </c>
      <c r="R59" s="110" t="s">
        <v>82</v>
      </c>
      <c r="S59" s="110" t="s">
        <v>83</v>
      </c>
      <c r="T59" s="110" t="s">
        <v>84</v>
      </c>
      <c r="U59" s="110" t="s">
        <v>85</v>
      </c>
      <c r="V59" s="110" t="s">
        <v>86</v>
      </c>
      <c r="W59" s="110" t="s">
        <v>87</v>
      </c>
      <c r="X59" s="110" t="s">
        <v>88</v>
      </c>
      <c r="Y59" s="110" t="s">
        <v>89</v>
      </c>
      <c r="Z59" s="110" t="s">
        <v>90</v>
      </c>
      <c r="AA59" s="110" t="s">
        <v>91</v>
      </c>
      <c r="AB59" s="110" t="s">
        <v>92</v>
      </c>
      <c r="AC59" s="110" t="s">
        <v>93</v>
      </c>
      <c r="AD59" s="110" t="s">
        <v>94</v>
      </c>
      <c r="AE59" s="110" t="s">
        <v>95</v>
      </c>
      <c r="AF59" s="110" t="s">
        <v>96</v>
      </c>
      <c r="AG59" s="110" t="s">
        <v>97</v>
      </c>
      <c r="AH59" s="110" t="s">
        <v>98</v>
      </c>
      <c r="AI59" s="110" t="s">
        <v>99</v>
      </c>
      <c r="AJ59" s="142" t="s">
        <v>2</v>
      </c>
      <c r="AK59" s="86" t="s">
        <v>75</v>
      </c>
    </row>
    <row r="60" customFormat="false" ht="19.5" hidden="false" customHeight="true" outlineLevel="0" collapsed="false">
      <c r="B60" s="143"/>
      <c r="C60" s="144" t="str">
        <f aca="false">DADOS!$T$3</f>
        <v>🍕 ALIMENTAÇÃO</v>
      </c>
      <c r="D60" s="145" t="str">
        <f aca="false">IF(despesavariávelconsolidadoabr[[#This Row],[TOTAL]]=0,"",IF(OR(despesavariávelconsolidadoabr[[#This Row],[TOTAL]]=LARGE($AJ$60:$AJ$72,1),despesavariávelconsolidadoabr[[#This Row],[TOTAL]]=LARGE($AJ$60:$AJ$72,2),despesavariávelconsolidadoabr[[#This Row],[TOTAL]]=LARGE($AJ$60:$AJ$72,3),despesavariávelconsolidadoabr[[#This Row],[TOTAL]]=LARGE($AJ$60:$AJ$72,4),despesavariávelconsolidadoabr[[#This Row],[TOTAL]]=LARGE($AJ$60:$AJ$72,5)),DADOS!$I$8,""))</f>
        <v/>
      </c>
      <c r="E60" s="146" t="n">
        <f aca="false">SUMIFS(tabela_registros[VALOR],tabela_registros[MÊS],$AE$1,tabela_registros[DIA],abrtotal305971[[#Headers],[1]],tabela_registros[REGISTRO],DADOS!$N$4,tabela_registros[TIPO],DADOS!$P$4,tabela_registros[CATEGORIA],despesavariávelconsolidadoabr[[#This Row],[DESPESA VARIÁVEL]])</f>
        <v>0</v>
      </c>
      <c r="F60" s="114" t="n">
        <f aca="false">SUMIFS(tabela_registros[VALOR],tabela_registros[MÊS],$AE$1,tabela_registros[DIA],abrtotal305971[[#Headers],[2]],tabela_registros[REGISTRO],DADOS!$N$4,tabela_registros[TIPO],DADOS!$P$4,tabela_registros[CATEGORIA],despesavariávelconsolidadoabr[[#This Row],[DESPESA VARIÁVEL]])</f>
        <v>0</v>
      </c>
      <c r="G60" s="114" t="n">
        <f aca="false">SUMIFS(tabela_registros[VALOR],tabela_registros[MÊS],$AE$1,tabela_registros[DIA],abrtotal305971[[#Headers],[3]],tabela_registros[REGISTRO],DADOS!$N$4,tabela_registros[TIPO],DADOS!$P$4,tabela_registros[CATEGORIA],despesavariávelconsolidadoabr[[#This Row],[DESPESA VARIÁVEL]])</f>
        <v>0</v>
      </c>
      <c r="H60" s="114" t="n">
        <f aca="false">SUMIFS(tabela_registros[VALOR],tabela_registros[MÊS],$AE$1,tabela_registros[DIA],abrtotal305971[[#Headers],[4]],tabela_registros[REGISTRO],DADOS!$N$4,tabela_registros[TIPO],DADOS!$P$4,tabela_registros[CATEGORIA],despesavariávelconsolidadoabr[[#This Row],[DESPESA VARIÁVEL]])</f>
        <v>0</v>
      </c>
      <c r="I60" s="114" t="n">
        <f aca="false">SUMIFS(tabela_registros[VALOR],tabela_registros[MÊS],$AE$1,tabela_registros[DIA],abrtotal305971[[#Headers],[5]],tabela_registros[REGISTRO],DADOS!$N$4,tabela_registros[TIPO],DADOS!$P$4,tabela_registros[CATEGORIA],despesavariávelconsolidadoabr[[#This Row],[DESPESA VARIÁVEL]])</f>
        <v>0</v>
      </c>
      <c r="J60" s="114" t="n">
        <f aca="false">SUMIFS(tabela_registros[VALOR],tabela_registros[MÊS],$AE$1,tabela_registros[DIA],abrtotal305971[[#Headers],[6]],tabela_registros[REGISTRO],DADOS!$N$4,tabela_registros[TIPO],DADOS!$P$4,tabela_registros[CATEGORIA],despesavariávelconsolidadoabr[[#This Row],[DESPESA VARIÁVEL]])</f>
        <v>0</v>
      </c>
      <c r="K60" s="114" t="n">
        <f aca="false">SUMIFS(tabela_registros[VALOR],tabela_registros[MÊS],$AE$1,tabela_registros[DIA],abrtotal305971[[#Headers],[7]],tabela_registros[REGISTRO],DADOS!$N$4,tabela_registros[TIPO],DADOS!$P$4,tabela_registros[CATEGORIA],despesavariávelconsolidadoabr[[#This Row],[DESPESA VARIÁVEL]])</f>
        <v>0</v>
      </c>
      <c r="L60" s="114" t="n">
        <f aca="false">SUMIFS(tabela_registros[VALOR],tabela_registros[MÊS],$AE$1,tabela_registros[DIA],abrtotal305971[[#Headers],[8]],tabela_registros[REGISTRO],DADOS!$N$4,tabela_registros[TIPO],DADOS!$P$4,tabela_registros[CATEGORIA],despesavariávelconsolidadoabr[[#This Row],[DESPESA VARIÁVEL]])</f>
        <v>0</v>
      </c>
      <c r="M60" s="114" t="n">
        <f aca="false">SUMIFS(tabela_registros[VALOR],tabela_registros[MÊS],$AE$1,tabela_registros[DIA],abrtotal305971[[#Headers],[9]],tabela_registros[REGISTRO],DADOS!$N$4,tabela_registros[TIPO],DADOS!$P$4,tabela_registros[CATEGORIA],despesavariávelconsolidadoabr[[#This Row],[DESPESA VARIÁVEL]])</f>
        <v>0</v>
      </c>
      <c r="N60" s="114" t="n">
        <f aca="false">SUMIFS(tabela_registros[VALOR],tabela_registros[MÊS],$AE$1,tabela_registros[DIA],abrtotal305971[[#Headers],[10]],tabela_registros[REGISTRO],DADOS!$N$4,tabela_registros[TIPO],DADOS!$P$4,tabela_registros[CATEGORIA],despesavariávelconsolidadoabr[[#This Row],[DESPESA VARIÁVEL]])</f>
        <v>0</v>
      </c>
      <c r="O60" s="114" t="n">
        <f aca="false">SUMIFS(tabela_registros[VALOR],tabela_registros[MÊS],$AE$1,tabela_registros[DIA],abrtotal305971[[#Headers],[11]],tabela_registros[REGISTRO],DADOS!$N$4,tabela_registros[TIPO],DADOS!$P$4,tabela_registros[CATEGORIA],despesavariávelconsolidadoabr[[#This Row],[DESPESA VARIÁVEL]])</f>
        <v>0</v>
      </c>
      <c r="P60" s="114" t="n">
        <f aca="false">SUMIFS(tabela_registros[VALOR],tabela_registros[MÊS],$AE$1,tabela_registros[DIA],abrtotal305971[[#Headers],[12]],tabela_registros[REGISTRO],DADOS!$N$4,tabela_registros[TIPO],DADOS!$P$4,tabela_registros[CATEGORIA],despesavariávelconsolidadoabr[[#This Row],[DESPESA VARIÁVEL]])</f>
        <v>0</v>
      </c>
      <c r="Q60" s="114" t="n">
        <f aca="false">SUMIFS(tabela_registros[VALOR],tabela_registros[MÊS],$AE$1,tabela_registros[DIA],abrtotal305971[[#Headers],[13]],tabela_registros[REGISTRO],DADOS!$N$4,tabela_registros[TIPO],DADOS!$P$4,tabela_registros[CATEGORIA],despesavariávelconsolidadoabr[[#This Row],[DESPESA VARIÁVEL]])</f>
        <v>0</v>
      </c>
      <c r="R60" s="114" t="n">
        <f aca="false">SUMIFS(tabela_registros[VALOR],tabela_registros[MÊS],$AE$1,tabela_registros[DIA],abrtotal305971[[#Headers],[14]],tabela_registros[REGISTRO],DADOS!$N$4,tabela_registros[TIPO],DADOS!$P$4,tabela_registros[CATEGORIA],despesavariávelconsolidadoabr[[#This Row],[DESPESA VARIÁVEL]])</f>
        <v>0</v>
      </c>
      <c r="S60" s="114" t="n">
        <f aca="false">SUMIFS(tabela_registros[VALOR],tabela_registros[MÊS],$AE$1,tabela_registros[DIA],abrtotal305971[[#Headers],[15]],tabela_registros[REGISTRO],DADOS!$N$4,tabela_registros[TIPO],DADOS!$P$4,tabela_registros[CATEGORIA],despesavariávelconsolidadoabr[[#This Row],[DESPESA VARIÁVEL]])</f>
        <v>0</v>
      </c>
      <c r="T60" s="114" t="n">
        <f aca="false">SUMIFS(tabela_registros[VALOR],tabela_registros[MÊS],$AE$1,tabela_registros[DIA],abrtotal305971[[#Headers],[16]],tabela_registros[REGISTRO],DADOS!$N$4,tabela_registros[TIPO],DADOS!$P$4,tabela_registros[CATEGORIA],despesavariávelconsolidadoabr[[#This Row],[DESPESA VARIÁVEL]])</f>
        <v>0</v>
      </c>
      <c r="U60" s="114" t="n">
        <f aca="false">SUMIFS(tabela_registros[VALOR],tabela_registros[MÊS],$AE$1,tabela_registros[DIA],abrtotal305971[[#Headers],[17]],tabela_registros[REGISTRO],DADOS!$N$4,tabela_registros[TIPO],DADOS!$P$4,tabela_registros[CATEGORIA],despesavariávelconsolidadoabr[[#This Row],[DESPESA VARIÁVEL]])</f>
        <v>0</v>
      </c>
      <c r="V60" s="114" t="n">
        <f aca="false">SUMIFS(tabela_registros[VALOR],tabela_registros[MÊS],$AE$1,tabela_registros[DIA],abrtotal305971[[#Headers],[18]],tabela_registros[REGISTRO],DADOS!$N$4,tabela_registros[TIPO],DADOS!$P$4,tabela_registros[CATEGORIA],despesavariávelconsolidadoabr[[#This Row],[DESPESA VARIÁVEL]])</f>
        <v>0</v>
      </c>
      <c r="W60" s="114" t="n">
        <f aca="false">SUMIFS(tabela_registros[VALOR],tabela_registros[MÊS],$AE$1,tabela_registros[DIA],abrtotal305971[[#Headers],[19]],tabela_registros[REGISTRO],DADOS!$N$4,tabela_registros[TIPO],DADOS!$P$4,tabela_registros[CATEGORIA],despesavariávelconsolidadoabr[[#This Row],[DESPESA VARIÁVEL]])</f>
        <v>0</v>
      </c>
      <c r="X60" s="114" t="n">
        <f aca="false">SUMIFS(tabela_registros[VALOR],tabela_registros[MÊS],$AE$1,tabela_registros[DIA],abrtotal305971[[#Headers],[20]],tabela_registros[REGISTRO],DADOS!$N$4,tabela_registros[TIPO],DADOS!$P$4,tabela_registros[CATEGORIA],despesavariávelconsolidadoabr[[#This Row],[DESPESA VARIÁVEL]])</f>
        <v>0</v>
      </c>
      <c r="Y60" s="114" t="n">
        <f aca="false">SUMIFS(tabela_registros[VALOR],tabela_registros[MÊS],$AE$1,tabela_registros[DIA],abrtotal305971[[#Headers],[21]],tabela_registros[REGISTRO],DADOS!$N$4,tabela_registros[TIPO],DADOS!$P$4,tabela_registros[CATEGORIA],despesavariávelconsolidadoabr[[#This Row],[DESPESA VARIÁVEL]])</f>
        <v>0</v>
      </c>
      <c r="Z60" s="114" t="n">
        <f aca="false">SUMIFS(tabela_registros[VALOR],tabela_registros[MÊS],$AE$1,tabela_registros[DIA],abrtotal305971[[#Headers],[22]],tabela_registros[REGISTRO],DADOS!$N$4,tabela_registros[TIPO],DADOS!$P$4,tabela_registros[CATEGORIA],despesavariávelconsolidadoabr[[#This Row],[DESPESA VARIÁVEL]])</f>
        <v>0</v>
      </c>
      <c r="AA60" s="114" t="n">
        <f aca="false">SUMIFS(tabela_registros[VALOR],tabela_registros[MÊS],$AE$1,tabela_registros[DIA],abrtotal305971[[#Headers],[23]],tabela_registros[REGISTRO],DADOS!$N$4,tabela_registros[TIPO],DADOS!$P$4,tabela_registros[CATEGORIA],despesavariávelconsolidadoabr[[#This Row],[DESPESA VARIÁVEL]])</f>
        <v>0</v>
      </c>
      <c r="AB60" s="114" t="n">
        <f aca="false">SUMIFS(tabela_registros[VALOR],tabela_registros[MÊS],$AE$1,tabela_registros[DIA],abrtotal305971[[#Headers],[24]],tabela_registros[REGISTRO],DADOS!$N$4,tabela_registros[TIPO],DADOS!$P$4,tabela_registros[CATEGORIA],despesavariávelconsolidadoabr[[#This Row],[DESPESA VARIÁVEL]])</f>
        <v>0</v>
      </c>
      <c r="AC60" s="114" t="n">
        <f aca="false">SUMIFS(tabela_registros[VALOR],tabela_registros[MÊS],$AE$1,tabela_registros[DIA],abrtotal305971[[#Headers],[25]],tabela_registros[REGISTRO],DADOS!$N$4,tabela_registros[TIPO],DADOS!$P$4,tabela_registros[CATEGORIA],despesavariávelconsolidadoabr[[#This Row],[DESPESA VARIÁVEL]])</f>
        <v>0</v>
      </c>
      <c r="AD60" s="114" t="n">
        <f aca="false">SUMIFS(tabela_registros[VALOR],tabela_registros[MÊS],$AE$1,tabela_registros[DIA],abrtotal305971[[#Headers],[26]],tabela_registros[REGISTRO],DADOS!$N$4,tabela_registros[TIPO],DADOS!$P$4,tabela_registros[CATEGORIA],despesavariávelconsolidadoabr[[#This Row],[DESPESA VARIÁVEL]])</f>
        <v>0</v>
      </c>
      <c r="AE60" s="114" t="n">
        <f aca="false">SUMIFS(tabela_registros[VALOR],tabela_registros[MÊS],$AE$1,tabela_registros[DIA],abrtotal305971[[#Headers],[27]],tabela_registros[REGISTRO],DADOS!$N$4,tabela_registros[TIPO],DADOS!$P$4,tabela_registros[CATEGORIA],despesavariávelconsolidadoabr[[#This Row],[DESPESA VARIÁVEL]])</f>
        <v>0</v>
      </c>
      <c r="AF60" s="114" t="n">
        <f aca="false">SUMIFS(tabela_registros[VALOR],tabela_registros[MÊS],$AE$1,tabela_registros[DIA],abrtotal305971[[#Headers],[28]],tabela_registros[REGISTRO],DADOS!$N$4,tabela_registros[TIPO],DADOS!$P$4,tabela_registros[CATEGORIA],despesavariávelconsolidadoabr[[#This Row],[DESPESA VARIÁVEL]])</f>
        <v>0</v>
      </c>
      <c r="AG60" s="114" t="n">
        <f aca="false">SUMIFS(tabela_registros[VALOR],tabela_registros[MÊS],$AE$1,tabela_registros[DIA],abrtotal305971[[#Headers],[29]],tabela_registros[REGISTRO],DADOS!$N$4,tabela_registros[TIPO],DADOS!$P$4,tabela_registros[CATEGORIA],despesavariávelconsolidadoabr[[#This Row],[DESPESA VARIÁVEL]])</f>
        <v>0</v>
      </c>
      <c r="AH60" s="114" t="n">
        <f aca="false">SUMIFS(tabela_registros[VALOR],tabela_registros[MÊS],$AE$1,tabela_registros[DIA],abrtotal305971[[#Headers],[30]],tabela_registros[REGISTRO],DADOS!$N$4,tabela_registros[TIPO],DADOS!$P$4,tabela_registros[CATEGORIA],despesavariávelconsolidadoabr[[#This Row],[DESPESA VARIÁVEL]])</f>
        <v>0</v>
      </c>
      <c r="AI60" s="216" t="n">
        <f aca="false">SUMIFS(tabela_registros[VALOR],tabela_registros[MÊS],$AE$1,tabela_registros[DIA],abrtotal305971[[#Headers],[31]],tabela_registros[REGISTRO],DADOS!$N$4,tabela_registros[TIPO],DADOS!$P$4,tabela_registros[CATEGORIA],despesavariávelconsolidadoabr[[#This Row],[DESPESA VARIÁVEL]])</f>
        <v>0</v>
      </c>
      <c r="AJ60" s="147" t="n">
        <f aca="false">SUM(despesavariávelconsolidadoabr[[#This Row],[1]:[31]])</f>
        <v>0</v>
      </c>
      <c r="AK60" s="143"/>
    </row>
    <row r="61" customFormat="false" ht="18" hidden="false" customHeight="true" outlineLevel="0" collapsed="false">
      <c r="B61" s="143"/>
      <c r="C61" s="144" t="str">
        <f aca="false">DADOS!$T$4</f>
        <v>💳 CARTÃO DE CRÉDITO</v>
      </c>
      <c r="D61" s="145" t="str">
        <f aca="false">IF(despesavariávelconsolidadoabr[[#This Row],[TOTAL]]=0,"",IF(OR(despesavariávelconsolidadoabr[[#This Row],[TOTAL]]=LARGE($AJ$60:$AJ$72,1),despesavariávelconsolidadoabr[[#This Row],[TOTAL]]=LARGE($AJ$60:$AJ$72,2),despesavariávelconsolidadoabr[[#This Row],[TOTAL]]=LARGE($AJ$60:$AJ$72,3),despesavariávelconsolidadoabr[[#This Row],[TOTAL]]=LARGE($AJ$60:$AJ$72,4),despesavariávelconsolidadoabr[[#This Row],[TOTAL]]=LARGE($AJ$60:$AJ$72,5)),DADOS!$I$8,""))</f>
        <v/>
      </c>
      <c r="E61" s="148" t="n">
        <f aca="false">SUMIFS(tabela_registros[VALOR],tabela_registros[MÊS],$AE$1,tabela_registros[DIA],abrtotal305971[[#Headers],[1]],tabela_registros[REGISTRO],DADOS!$N$4,tabela_registros[TIPO],DADOS!$P$4,tabela_registros[CATEGORIA],despesavariávelconsolidadoabr[[#This Row],[DESPESA VARIÁVEL]])</f>
        <v>0</v>
      </c>
      <c r="F61" s="119" t="n">
        <f aca="false">SUMIFS(tabela_registros[VALOR],tabela_registros[MÊS],$AE$1,tabela_registros[DIA],abrtotal305971[[#Headers],[2]],tabela_registros[REGISTRO],DADOS!$N$4,tabela_registros[TIPO],DADOS!$P$4,tabela_registros[CATEGORIA],despesavariávelconsolidadoabr[[#This Row],[DESPESA VARIÁVEL]])</f>
        <v>0</v>
      </c>
      <c r="G61" s="119" t="n">
        <f aca="false">SUMIFS(tabela_registros[VALOR],tabela_registros[MÊS],$AE$1,tabela_registros[DIA],abrtotal305971[[#Headers],[3]],tabela_registros[REGISTRO],DADOS!$N$4,tabela_registros[TIPO],DADOS!$P$4,tabela_registros[CATEGORIA],despesavariávelconsolidadoabr[[#This Row],[DESPESA VARIÁVEL]])</f>
        <v>0</v>
      </c>
      <c r="H61" s="119" t="n">
        <f aca="false">SUMIFS(tabela_registros[VALOR],tabela_registros[MÊS],$AE$1,tabela_registros[DIA],abrtotal305971[[#Headers],[4]],tabela_registros[REGISTRO],DADOS!$N$4,tabela_registros[TIPO],DADOS!$P$4,tabela_registros[CATEGORIA],despesavariávelconsolidadoabr[[#This Row],[DESPESA VARIÁVEL]])</f>
        <v>0</v>
      </c>
      <c r="I61" s="119" t="n">
        <f aca="false">SUMIFS(tabela_registros[VALOR],tabela_registros[MÊS],$AE$1,tabela_registros[DIA],abrtotal305971[[#Headers],[5]],tabela_registros[REGISTRO],DADOS!$N$4,tabela_registros[TIPO],DADOS!$P$4,tabela_registros[CATEGORIA],despesavariávelconsolidadoabr[[#This Row],[DESPESA VARIÁVEL]])</f>
        <v>0</v>
      </c>
      <c r="J61" s="119" t="n">
        <f aca="false">SUMIFS(tabela_registros[VALOR],tabela_registros[MÊS],$AE$1,tabela_registros[DIA],abrtotal305971[[#Headers],[6]],tabela_registros[REGISTRO],DADOS!$N$4,tabela_registros[TIPO],DADOS!$P$4,tabela_registros[CATEGORIA],despesavariávelconsolidadoabr[[#This Row],[DESPESA VARIÁVEL]])</f>
        <v>0</v>
      </c>
      <c r="K61" s="119" t="n">
        <f aca="false">SUMIFS(tabela_registros[VALOR],tabela_registros[MÊS],$AE$1,tabela_registros[DIA],abrtotal305971[[#Headers],[7]],tabela_registros[REGISTRO],DADOS!$N$4,tabela_registros[TIPO],DADOS!$P$4,tabela_registros[CATEGORIA],despesavariávelconsolidadoabr[[#This Row],[DESPESA VARIÁVEL]])</f>
        <v>0</v>
      </c>
      <c r="L61" s="119" t="n">
        <f aca="false">SUMIFS(tabela_registros[VALOR],tabela_registros[MÊS],$AE$1,tabela_registros[DIA],abrtotal305971[[#Headers],[8]],tabela_registros[REGISTRO],DADOS!$N$4,tabela_registros[TIPO],DADOS!$P$4,tabela_registros[CATEGORIA],despesavariávelconsolidadoabr[[#This Row],[DESPESA VARIÁVEL]])</f>
        <v>0</v>
      </c>
      <c r="M61" s="119" t="n">
        <f aca="false">SUMIFS(tabela_registros[VALOR],tabela_registros[MÊS],$AE$1,tabela_registros[DIA],abrtotal305971[[#Headers],[9]],tabela_registros[REGISTRO],DADOS!$N$4,tabela_registros[TIPO],DADOS!$P$4,tabela_registros[CATEGORIA],despesavariávelconsolidadoabr[[#This Row],[DESPESA VARIÁVEL]])</f>
        <v>0</v>
      </c>
      <c r="N61" s="119" t="n">
        <f aca="false">SUMIFS(tabela_registros[VALOR],tabela_registros[MÊS],$AE$1,tabela_registros[DIA],abrtotal305971[[#Headers],[10]],tabela_registros[REGISTRO],DADOS!$N$4,tabela_registros[TIPO],DADOS!$P$4,tabela_registros[CATEGORIA],despesavariávelconsolidadoabr[[#This Row],[DESPESA VARIÁVEL]])</f>
        <v>0</v>
      </c>
      <c r="O61" s="119" t="n">
        <f aca="false">SUMIFS(tabela_registros[VALOR],tabela_registros[MÊS],$AE$1,tabela_registros[DIA],abrtotal305971[[#Headers],[11]],tabela_registros[REGISTRO],DADOS!$N$4,tabela_registros[TIPO],DADOS!$P$4,tabela_registros[CATEGORIA],despesavariávelconsolidadoabr[[#This Row],[DESPESA VARIÁVEL]])</f>
        <v>0</v>
      </c>
      <c r="P61" s="119" t="n">
        <f aca="false">SUMIFS(tabela_registros[VALOR],tabela_registros[MÊS],$AE$1,tabela_registros[DIA],abrtotal305971[[#Headers],[12]],tabela_registros[REGISTRO],DADOS!$N$4,tabela_registros[TIPO],DADOS!$P$4,tabela_registros[CATEGORIA],despesavariávelconsolidadoabr[[#This Row],[DESPESA VARIÁVEL]])</f>
        <v>0</v>
      </c>
      <c r="Q61" s="119" t="n">
        <f aca="false">SUMIFS(tabela_registros[VALOR],tabela_registros[MÊS],$AE$1,tabela_registros[DIA],abrtotal305971[[#Headers],[13]],tabela_registros[REGISTRO],DADOS!$N$4,tabela_registros[TIPO],DADOS!$P$4,tabela_registros[CATEGORIA],despesavariávelconsolidadoabr[[#This Row],[DESPESA VARIÁVEL]])</f>
        <v>0</v>
      </c>
      <c r="R61" s="119" t="n">
        <f aca="false">SUMIFS(tabela_registros[VALOR],tabela_registros[MÊS],$AE$1,tabela_registros[DIA],abrtotal305971[[#Headers],[14]],tabela_registros[REGISTRO],DADOS!$N$4,tabela_registros[TIPO],DADOS!$P$4,tabela_registros[CATEGORIA],despesavariávelconsolidadoabr[[#This Row],[DESPESA VARIÁVEL]])</f>
        <v>0</v>
      </c>
      <c r="S61" s="119" t="n">
        <f aca="false">SUMIFS(tabela_registros[VALOR],tabela_registros[MÊS],$AE$1,tabela_registros[DIA],abrtotal305971[[#Headers],[15]],tabela_registros[REGISTRO],DADOS!$N$4,tabela_registros[TIPO],DADOS!$P$4,tabela_registros[CATEGORIA],despesavariávelconsolidadoabr[[#This Row],[DESPESA VARIÁVEL]])</f>
        <v>0</v>
      </c>
      <c r="T61" s="119" t="n">
        <f aca="false">SUMIFS(tabela_registros[VALOR],tabela_registros[MÊS],$AE$1,tabela_registros[DIA],abrtotal305971[[#Headers],[16]],tabela_registros[REGISTRO],DADOS!$N$4,tabela_registros[TIPO],DADOS!$P$4,tabela_registros[CATEGORIA],despesavariávelconsolidadoabr[[#This Row],[DESPESA VARIÁVEL]])</f>
        <v>0</v>
      </c>
      <c r="U61" s="119" t="n">
        <f aca="false">SUMIFS(tabela_registros[VALOR],tabela_registros[MÊS],$AE$1,tabela_registros[DIA],abrtotal305971[[#Headers],[17]],tabela_registros[REGISTRO],DADOS!$N$4,tabela_registros[TIPO],DADOS!$P$4,tabela_registros[CATEGORIA],despesavariávelconsolidadoabr[[#This Row],[DESPESA VARIÁVEL]])</f>
        <v>0</v>
      </c>
      <c r="V61" s="119" t="n">
        <f aca="false">SUMIFS(tabela_registros[VALOR],tabela_registros[MÊS],$AE$1,tabela_registros[DIA],abrtotal305971[[#Headers],[18]],tabela_registros[REGISTRO],DADOS!$N$4,tabela_registros[TIPO],DADOS!$P$4,tabela_registros[CATEGORIA],despesavariávelconsolidadoabr[[#This Row],[DESPESA VARIÁVEL]])</f>
        <v>0</v>
      </c>
      <c r="W61" s="119" t="n">
        <f aca="false">SUMIFS(tabela_registros[VALOR],tabela_registros[MÊS],$AE$1,tabela_registros[DIA],abrtotal305971[[#Headers],[19]],tabela_registros[REGISTRO],DADOS!$N$4,tabela_registros[TIPO],DADOS!$P$4,tabela_registros[CATEGORIA],despesavariávelconsolidadoabr[[#This Row],[DESPESA VARIÁVEL]])</f>
        <v>0</v>
      </c>
      <c r="X61" s="119" t="n">
        <f aca="false">SUMIFS(tabela_registros[VALOR],tabela_registros[MÊS],$AE$1,tabela_registros[DIA],abrtotal305971[[#Headers],[20]],tabela_registros[REGISTRO],DADOS!$N$4,tabela_registros[TIPO],DADOS!$P$4,tabela_registros[CATEGORIA],despesavariávelconsolidadoabr[[#This Row],[DESPESA VARIÁVEL]])</f>
        <v>0</v>
      </c>
      <c r="Y61" s="119" t="n">
        <f aca="false">SUMIFS(tabela_registros[VALOR],tabela_registros[MÊS],$AE$1,tabela_registros[DIA],abrtotal305971[[#Headers],[21]],tabela_registros[REGISTRO],DADOS!$N$4,tabela_registros[TIPO],DADOS!$P$4,tabela_registros[CATEGORIA],despesavariávelconsolidadoabr[[#This Row],[DESPESA VARIÁVEL]])</f>
        <v>0</v>
      </c>
      <c r="Z61" s="119" t="n">
        <f aca="false">SUMIFS(tabela_registros[VALOR],tabela_registros[MÊS],$AE$1,tabela_registros[DIA],abrtotal305971[[#Headers],[22]],tabela_registros[REGISTRO],DADOS!$N$4,tabela_registros[TIPO],DADOS!$P$4,tabela_registros[CATEGORIA],despesavariávelconsolidadoabr[[#This Row],[DESPESA VARIÁVEL]])</f>
        <v>0</v>
      </c>
      <c r="AA61" s="119" t="n">
        <f aca="false">SUMIFS(tabela_registros[VALOR],tabela_registros[MÊS],$AE$1,tabela_registros[DIA],abrtotal305971[[#Headers],[23]],tabela_registros[REGISTRO],DADOS!$N$4,tabela_registros[TIPO],DADOS!$P$4,tabela_registros[CATEGORIA],despesavariávelconsolidadoabr[[#This Row],[DESPESA VARIÁVEL]])</f>
        <v>0</v>
      </c>
      <c r="AB61" s="119" t="n">
        <f aca="false">SUMIFS(tabela_registros[VALOR],tabela_registros[MÊS],$AE$1,tabela_registros[DIA],abrtotal305971[[#Headers],[24]],tabela_registros[REGISTRO],DADOS!$N$4,tabela_registros[TIPO],DADOS!$P$4,tabela_registros[CATEGORIA],despesavariávelconsolidadoabr[[#This Row],[DESPESA VARIÁVEL]])</f>
        <v>0</v>
      </c>
      <c r="AC61" s="119" t="n">
        <f aca="false">SUMIFS(tabela_registros[VALOR],tabela_registros[MÊS],$AE$1,tabela_registros[DIA],abrtotal305971[[#Headers],[25]],tabela_registros[REGISTRO],DADOS!$N$4,tabela_registros[TIPO],DADOS!$P$4,tabela_registros[CATEGORIA],despesavariávelconsolidadoabr[[#This Row],[DESPESA VARIÁVEL]])</f>
        <v>0</v>
      </c>
      <c r="AD61" s="119" t="n">
        <f aca="false">SUMIFS(tabela_registros[VALOR],tabela_registros[MÊS],$AE$1,tabela_registros[DIA],abrtotal305971[[#Headers],[26]],tabela_registros[REGISTRO],DADOS!$N$4,tabela_registros[TIPO],DADOS!$P$4,tabela_registros[CATEGORIA],despesavariávelconsolidadoabr[[#This Row],[DESPESA VARIÁVEL]])</f>
        <v>0</v>
      </c>
      <c r="AE61" s="119" t="n">
        <f aca="false">SUMIFS(tabela_registros[VALOR],tabela_registros[MÊS],$AE$1,tabela_registros[DIA],abrtotal305971[[#Headers],[27]],tabela_registros[REGISTRO],DADOS!$N$4,tabela_registros[TIPO],DADOS!$P$4,tabela_registros[CATEGORIA],despesavariávelconsolidadoabr[[#This Row],[DESPESA VARIÁVEL]])</f>
        <v>0</v>
      </c>
      <c r="AF61" s="119" t="n">
        <f aca="false">SUMIFS(tabela_registros[VALOR],tabela_registros[MÊS],$AE$1,tabela_registros[DIA],abrtotal305971[[#Headers],[28]],tabela_registros[REGISTRO],DADOS!$N$4,tabela_registros[TIPO],DADOS!$P$4,tabela_registros[CATEGORIA],despesavariávelconsolidadoabr[[#This Row],[DESPESA VARIÁVEL]])</f>
        <v>0</v>
      </c>
      <c r="AG61" s="119" t="n">
        <f aca="false">SUMIFS(tabela_registros[VALOR],tabela_registros[MÊS],$AE$1,tabela_registros[DIA],abrtotal305971[[#Headers],[29]],tabela_registros[REGISTRO],DADOS!$N$4,tabela_registros[TIPO],DADOS!$P$4,tabela_registros[CATEGORIA],despesavariávelconsolidadoabr[[#This Row],[DESPESA VARIÁVEL]])</f>
        <v>0</v>
      </c>
      <c r="AH61" s="119" t="n">
        <f aca="false">SUMIFS(tabela_registros[VALOR],tabela_registros[MÊS],$AE$1,tabela_registros[DIA],abrtotal305971[[#Headers],[30]],tabela_registros[REGISTRO],DADOS!$N$4,tabela_registros[TIPO],DADOS!$P$4,tabela_registros[CATEGORIA],despesavariávelconsolidadoabr[[#This Row],[DESPESA VARIÁVEL]])</f>
        <v>0</v>
      </c>
      <c r="AI61" s="217" t="n">
        <f aca="false">SUMIFS(tabela_registros[VALOR],tabela_registros[MÊS],$AE$1,tabela_registros[DIA],abrtotal305971[[#Headers],[31]],tabela_registros[REGISTRO],DADOS!$N$4,tabela_registros[TIPO],DADOS!$P$4,tabela_registros[CATEGORIA],despesavariávelconsolidadoabr[[#This Row],[DESPESA VARIÁVEL]])</f>
        <v>0</v>
      </c>
      <c r="AJ61" s="149" t="n">
        <f aca="false">SUM(despesavariávelconsolidadoabr[[#This Row],[1]:[31]])</f>
        <v>0</v>
      </c>
      <c r="AK61" s="143"/>
    </row>
    <row r="62" customFormat="false" ht="18" hidden="false" customHeight="true" outlineLevel="0" collapsed="false">
      <c r="B62" s="143"/>
      <c r="C62" s="144" t="str">
        <f aca="false">DADOS!$T$5</f>
        <v>✍️ CHEQUE ESPECIAL</v>
      </c>
      <c r="D62" s="145" t="str">
        <f aca="false">IF(despesavariávelconsolidadoabr[[#This Row],[TOTAL]]=0,"",IF(OR(despesavariávelconsolidadoabr[[#This Row],[TOTAL]]=LARGE($AJ$60:$AJ$72,1),despesavariávelconsolidadoabr[[#This Row],[TOTAL]]=LARGE($AJ$60:$AJ$72,2),despesavariávelconsolidadoabr[[#This Row],[TOTAL]]=LARGE($AJ$60:$AJ$72,3),despesavariávelconsolidadoabr[[#This Row],[TOTAL]]=LARGE($AJ$60:$AJ$72,4),despesavariávelconsolidadoabr[[#This Row],[TOTAL]]=LARGE($AJ$60:$AJ$72,5)),DADOS!$I$8,""))</f>
        <v/>
      </c>
      <c r="E62" s="148" t="n">
        <f aca="false">SUMIFS(tabela_registros[VALOR],tabela_registros[MÊS],$AE$1,tabela_registros[DIA],abrtotal305971[[#Headers],[1]],tabela_registros[REGISTRO],DADOS!$N$4,tabela_registros[TIPO],DADOS!$P$4,tabela_registros[CATEGORIA],despesavariávelconsolidadoabr[[#This Row],[DESPESA VARIÁVEL]])</f>
        <v>0</v>
      </c>
      <c r="F62" s="119" t="n">
        <f aca="false">SUMIFS(tabela_registros[VALOR],tabela_registros[MÊS],$AE$1,tabela_registros[DIA],abrtotal305971[[#Headers],[2]],tabela_registros[REGISTRO],DADOS!$N$4,tabela_registros[TIPO],DADOS!$P$4,tabela_registros[CATEGORIA],despesavariávelconsolidadoabr[[#This Row],[DESPESA VARIÁVEL]])</f>
        <v>0</v>
      </c>
      <c r="G62" s="119" t="n">
        <f aca="false">SUMIFS(tabela_registros[VALOR],tabela_registros[MÊS],$AE$1,tabela_registros[DIA],abrtotal305971[[#Headers],[3]],tabela_registros[REGISTRO],DADOS!$N$4,tabela_registros[TIPO],DADOS!$P$4,tabela_registros[CATEGORIA],despesavariávelconsolidadoabr[[#This Row],[DESPESA VARIÁVEL]])</f>
        <v>0</v>
      </c>
      <c r="H62" s="119" t="n">
        <f aca="false">SUMIFS(tabela_registros[VALOR],tabela_registros[MÊS],$AE$1,tabela_registros[DIA],abrtotal305971[[#Headers],[4]],tabela_registros[REGISTRO],DADOS!$N$4,tabela_registros[TIPO],DADOS!$P$4,tabela_registros[CATEGORIA],despesavariávelconsolidadoabr[[#This Row],[DESPESA VARIÁVEL]])</f>
        <v>0</v>
      </c>
      <c r="I62" s="119" t="n">
        <f aca="false">SUMIFS(tabela_registros[VALOR],tabela_registros[MÊS],$AE$1,tabela_registros[DIA],abrtotal305971[[#Headers],[5]],tabela_registros[REGISTRO],DADOS!$N$4,tabela_registros[TIPO],DADOS!$P$4,tabela_registros[CATEGORIA],despesavariávelconsolidadoabr[[#This Row],[DESPESA VARIÁVEL]])</f>
        <v>0</v>
      </c>
      <c r="J62" s="119" t="n">
        <f aca="false">SUMIFS(tabela_registros[VALOR],tabela_registros[MÊS],$AE$1,tabela_registros[DIA],abrtotal305971[[#Headers],[6]],tabela_registros[REGISTRO],DADOS!$N$4,tabela_registros[TIPO],DADOS!$P$4,tabela_registros[CATEGORIA],despesavariávelconsolidadoabr[[#This Row],[DESPESA VARIÁVEL]])</f>
        <v>0</v>
      </c>
      <c r="K62" s="119" t="n">
        <f aca="false">SUMIFS(tabela_registros[VALOR],tabela_registros[MÊS],$AE$1,tabela_registros[DIA],abrtotal305971[[#Headers],[7]],tabela_registros[REGISTRO],DADOS!$N$4,tabela_registros[TIPO],DADOS!$P$4,tabela_registros[CATEGORIA],despesavariávelconsolidadoabr[[#This Row],[DESPESA VARIÁVEL]])</f>
        <v>0</v>
      </c>
      <c r="L62" s="119" t="n">
        <f aca="false">SUMIFS(tabela_registros[VALOR],tabela_registros[MÊS],$AE$1,tabela_registros[DIA],abrtotal305971[[#Headers],[8]],tabela_registros[REGISTRO],DADOS!$N$4,tabela_registros[TIPO],DADOS!$P$4,tabela_registros[CATEGORIA],despesavariávelconsolidadoabr[[#This Row],[DESPESA VARIÁVEL]])</f>
        <v>0</v>
      </c>
      <c r="M62" s="119" t="n">
        <f aca="false">SUMIFS(tabela_registros[VALOR],tabela_registros[MÊS],$AE$1,tabela_registros[DIA],abrtotal305971[[#Headers],[9]],tabela_registros[REGISTRO],DADOS!$N$4,tabela_registros[TIPO],DADOS!$P$4,tabela_registros[CATEGORIA],despesavariávelconsolidadoabr[[#This Row],[DESPESA VARIÁVEL]])</f>
        <v>0</v>
      </c>
      <c r="N62" s="119" t="n">
        <f aca="false">SUMIFS(tabela_registros[VALOR],tabela_registros[MÊS],$AE$1,tabela_registros[DIA],abrtotal305971[[#Headers],[10]],tabela_registros[REGISTRO],DADOS!$N$4,tabela_registros[TIPO],DADOS!$P$4,tabela_registros[CATEGORIA],despesavariávelconsolidadoabr[[#This Row],[DESPESA VARIÁVEL]])</f>
        <v>0</v>
      </c>
      <c r="O62" s="119" t="n">
        <f aca="false">SUMIFS(tabela_registros[VALOR],tabela_registros[MÊS],$AE$1,tabela_registros[DIA],abrtotal305971[[#Headers],[11]],tabela_registros[REGISTRO],DADOS!$N$4,tabela_registros[TIPO],DADOS!$P$4,tabela_registros[CATEGORIA],despesavariávelconsolidadoabr[[#This Row],[DESPESA VARIÁVEL]])</f>
        <v>0</v>
      </c>
      <c r="P62" s="119" t="n">
        <f aca="false">SUMIFS(tabela_registros[VALOR],tabela_registros[MÊS],$AE$1,tabela_registros[DIA],abrtotal305971[[#Headers],[12]],tabela_registros[REGISTRO],DADOS!$N$4,tabela_registros[TIPO],DADOS!$P$4,tabela_registros[CATEGORIA],despesavariávelconsolidadoabr[[#This Row],[DESPESA VARIÁVEL]])</f>
        <v>0</v>
      </c>
      <c r="Q62" s="119" t="n">
        <f aca="false">SUMIFS(tabela_registros[VALOR],tabela_registros[MÊS],$AE$1,tabela_registros[DIA],abrtotal305971[[#Headers],[13]],tabela_registros[REGISTRO],DADOS!$N$4,tabela_registros[TIPO],DADOS!$P$4,tabela_registros[CATEGORIA],despesavariávelconsolidadoabr[[#This Row],[DESPESA VARIÁVEL]])</f>
        <v>0</v>
      </c>
      <c r="R62" s="119" t="n">
        <f aca="false">SUMIFS(tabela_registros[VALOR],tabela_registros[MÊS],$AE$1,tabela_registros[DIA],abrtotal305971[[#Headers],[14]],tabela_registros[REGISTRO],DADOS!$N$4,tabela_registros[TIPO],DADOS!$P$4,tabela_registros[CATEGORIA],despesavariávelconsolidadoabr[[#This Row],[DESPESA VARIÁVEL]])</f>
        <v>0</v>
      </c>
      <c r="S62" s="119" t="n">
        <f aca="false">SUMIFS(tabela_registros[VALOR],tabela_registros[MÊS],$AE$1,tabela_registros[DIA],abrtotal305971[[#Headers],[15]],tabela_registros[REGISTRO],DADOS!$N$4,tabela_registros[TIPO],DADOS!$P$4,tabela_registros[CATEGORIA],despesavariávelconsolidadoabr[[#This Row],[DESPESA VARIÁVEL]])</f>
        <v>0</v>
      </c>
      <c r="T62" s="119" t="n">
        <f aca="false">SUMIFS(tabela_registros[VALOR],tabela_registros[MÊS],$AE$1,tabela_registros[DIA],abrtotal305971[[#Headers],[16]],tabela_registros[REGISTRO],DADOS!$N$4,tabela_registros[TIPO],DADOS!$P$4,tabela_registros[CATEGORIA],despesavariávelconsolidadoabr[[#This Row],[DESPESA VARIÁVEL]])</f>
        <v>0</v>
      </c>
      <c r="U62" s="119" t="n">
        <f aca="false">SUMIFS(tabela_registros[VALOR],tabela_registros[MÊS],$AE$1,tabela_registros[DIA],abrtotal305971[[#Headers],[17]],tabela_registros[REGISTRO],DADOS!$N$4,tabela_registros[TIPO],DADOS!$P$4,tabela_registros[CATEGORIA],despesavariávelconsolidadoabr[[#This Row],[DESPESA VARIÁVEL]])</f>
        <v>0</v>
      </c>
      <c r="V62" s="119" t="n">
        <f aca="false">SUMIFS(tabela_registros[VALOR],tabela_registros[MÊS],$AE$1,tabela_registros[DIA],abrtotal305971[[#Headers],[18]],tabela_registros[REGISTRO],DADOS!$N$4,tabela_registros[TIPO],DADOS!$P$4,tabela_registros[CATEGORIA],despesavariávelconsolidadoabr[[#This Row],[DESPESA VARIÁVEL]])</f>
        <v>0</v>
      </c>
      <c r="W62" s="119" t="n">
        <f aca="false">SUMIFS(tabela_registros[VALOR],tabela_registros[MÊS],$AE$1,tabela_registros[DIA],abrtotal305971[[#Headers],[19]],tabela_registros[REGISTRO],DADOS!$N$4,tabela_registros[TIPO],DADOS!$P$4,tabela_registros[CATEGORIA],despesavariávelconsolidadoabr[[#This Row],[DESPESA VARIÁVEL]])</f>
        <v>0</v>
      </c>
      <c r="X62" s="119" t="n">
        <f aca="false">SUMIFS(tabela_registros[VALOR],tabela_registros[MÊS],$AE$1,tabela_registros[DIA],abrtotal305971[[#Headers],[20]],tabela_registros[REGISTRO],DADOS!$N$4,tabela_registros[TIPO],DADOS!$P$4,tabela_registros[CATEGORIA],despesavariávelconsolidadoabr[[#This Row],[DESPESA VARIÁVEL]])</f>
        <v>0</v>
      </c>
      <c r="Y62" s="119" t="n">
        <f aca="false">SUMIFS(tabela_registros[VALOR],tabela_registros[MÊS],$AE$1,tabela_registros[DIA],abrtotal305971[[#Headers],[21]],tabela_registros[REGISTRO],DADOS!$N$4,tabela_registros[TIPO],DADOS!$P$4,tabela_registros[CATEGORIA],despesavariávelconsolidadoabr[[#This Row],[DESPESA VARIÁVEL]])</f>
        <v>0</v>
      </c>
      <c r="Z62" s="119" t="n">
        <f aca="false">SUMIFS(tabela_registros[VALOR],tabela_registros[MÊS],$AE$1,tabela_registros[DIA],abrtotal305971[[#Headers],[22]],tabela_registros[REGISTRO],DADOS!$N$4,tabela_registros[TIPO],DADOS!$P$4,tabela_registros[CATEGORIA],despesavariávelconsolidadoabr[[#This Row],[DESPESA VARIÁVEL]])</f>
        <v>0</v>
      </c>
      <c r="AA62" s="119" t="n">
        <f aca="false">SUMIFS(tabela_registros[VALOR],tabela_registros[MÊS],$AE$1,tabela_registros[DIA],abrtotal305971[[#Headers],[23]],tabela_registros[REGISTRO],DADOS!$N$4,tabela_registros[TIPO],DADOS!$P$4,tabela_registros[CATEGORIA],despesavariávelconsolidadoabr[[#This Row],[DESPESA VARIÁVEL]])</f>
        <v>0</v>
      </c>
      <c r="AB62" s="119" t="n">
        <f aca="false">SUMIFS(tabela_registros[VALOR],tabela_registros[MÊS],$AE$1,tabela_registros[DIA],abrtotal305971[[#Headers],[24]],tabela_registros[REGISTRO],DADOS!$N$4,tabela_registros[TIPO],DADOS!$P$4,tabela_registros[CATEGORIA],despesavariávelconsolidadoabr[[#This Row],[DESPESA VARIÁVEL]])</f>
        <v>0</v>
      </c>
      <c r="AC62" s="119" t="n">
        <f aca="false">SUMIFS(tabela_registros[VALOR],tabela_registros[MÊS],$AE$1,tabela_registros[DIA],abrtotal305971[[#Headers],[25]],tabela_registros[REGISTRO],DADOS!$N$4,tabela_registros[TIPO],DADOS!$P$4,tabela_registros[CATEGORIA],despesavariávelconsolidadoabr[[#This Row],[DESPESA VARIÁVEL]])</f>
        <v>0</v>
      </c>
      <c r="AD62" s="119" t="n">
        <f aca="false">SUMIFS(tabela_registros[VALOR],tabela_registros[MÊS],$AE$1,tabela_registros[DIA],abrtotal305971[[#Headers],[26]],tabela_registros[REGISTRO],DADOS!$N$4,tabela_registros[TIPO],DADOS!$P$4,tabela_registros[CATEGORIA],despesavariávelconsolidadoabr[[#This Row],[DESPESA VARIÁVEL]])</f>
        <v>0</v>
      </c>
      <c r="AE62" s="119" t="n">
        <f aca="false">SUMIFS(tabela_registros[VALOR],tabela_registros[MÊS],$AE$1,tabela_registros[DIA],abrtotal305971[[#Headers],[27]],tabela_registros[REGISTRO],DADOS!$N$4,tabela_registros[TIPO],DADOS!$P$4,tabela_registros[CATEGORIA],despesavariávelconsolidadoabr[[#This Row],[DESPESA VARIÁVEL]])</f>
        <v>0</v>
      </c>
      <c r="AF62" s="119" t="n">
        <f aca="false">SUMIFS(tabela_registros[VALOR],tabela_registros[MÊS],$AE$1,tabela_registros[DIA],abrtotal305971[[#Headers],[28]],tabela_registros[REGISTRO],DADOS!$N$4,tabela_registros[TIPO],DADOS!$P$4,tabela_registros[CATEGORIA],despesavariávelconsolidadoabr[[#This Row],[DESPESA VARIÁVEL]])</f>
        <v>0</v>
      </c>
      <c r="AG62" s="119" t="n">
        <f aca="false">SUMIFS(tabela_registros[VALOR],tabela_registros[MÊS],$AE$1,tabela_registros[DIA],abrtotal305971[[#Headers],[29]],tabela_registros[REGISTRO],DADOS!$N$4,tabela_registros[TIPO],DADOS!$P$4,tabela_registros[CATEGORIA],despesavariávelconsolidadoabr[[#This Row],[DESPESA VARIÁVEL]])</f>
        <v>0</v>
      </c>
      <c r="AH62" s="119" t="n">
        <f aca="false">SUMIFS(tabela_registros[VALOR],tabela_registros[MÊS],$AE$1,tabela_registros[DIA],abrtotal305971[[#Headers],[30]],tabela_registros[REGISTRO],DADOS!$N$4,tabela_registros[TIPO],DADOS!$P$4,tabela_registros[CATEGORIA],despesavariávelconsolidadoabr[[#This Row],[DESPESA VARIÁVEL]])</f>
        <v>0</v>
      </c>
      <c r="AI62" s="217" t="n">
        <f aca="false">SUMIFS(tabela_registros[VALOR],tabela_registros[MÊS],$AE$1,tabela_registros[DIA],abrtotal305971[[#Headers],[31]],tabela_registros[REGISTRO],DADOS!$N$4,tabela_registros[TIPO],DADOS!$P$4,tabela_registros[CATEGORIA],despesavariávelconsolidadoabr[[#This Row],[DESPESA VARIÁVEL]])</f>
        <v>0</v>
      </c>
      <c r="AJ62" s="149" t="n">
        <f aca="false">SUM(despesavariávelconsolidadoabr[[#This Row],[1]:[31]])</f>
        <v>0</v>
      </c>
      <c r="AK62" s="143"/>
    </row>
    <row r="63" customFormat="false" ht="18" hidden="false" customHeight="true" outlineLevel="0" collapsed="false">
      <c r="B63" s="143"/>
      <c r="C63" s="144" t="str">
        <f aca="false">DADOS!$T$6</f>
        <v>💄 CUIDADOS PESSOAIS</v>
      </c>
      <c r="D63" s="145" t="str">
        <f aca="false">IF(despesavariávelconsolidadoabr[[#This Row],[TOTAL]]=0,"",IF(OR(despesavariávelconsolidadoabr[[#This Row],[TOTAL]]=LARGE($AJ$60:$AJ$72,1),despesavariávelconsolidadoabr[[#This Row],[TOTAL]]=LARGE($AJ$60:$AJ$72,2),despesavariávelconsolidadoabr[[#This Row],[TOTAL]]=LARGE($AJ$60:$AJ$72,3),despesavariávelconsolidadoabr[[#This Row],[TOTAL]]=LARGE($AJ$60:$AJ$72,4),despesavariávelconsolidadoabr[[#This Row],[TOTAL]]=LARGE($AJ$60:$AJ$72,5)),DADOS!$I$8,""))</f>
        <v/>
      </c>
      <c r="E63" s="148" t="n">
        <f aca="false">SUMIFS(tabela_registros[VALOR],tabela_registros[MÊS],$AE$1,tabela_registros[DIA],abrtotal305971[[#Headers],[1]],tabela_registros[REGISTRO],DADOS!$N$4,tabela_registros[TIPO],DADOS!$P$4,tabela_registros[CATEGORIA],despesavariávelconsolidadoabr[[#This Row],[DESPESA VARIÁVEL]])</f>
        <v>0</v>
      </c>
      <c r="F63" s="119" t="n">
        <f aca="false">SUMIFS(tabela_registros[VALOR],tabela_registros[MÊS],$AE$1,tabela_registros[DIA],abrtotal305971[[#Headers],[2]],tabela_registros[REGISTRO],DADOS!$N$4,tabela_registros[TIPO],DADOS!$P$4,tabela_registros[CATEGORIA],despesavariávelconsolidadoabr[[#This Row],[DESPESA VARIÁVEL]])</f>
        <v>0</v>
      </c>
      <c r="G63" s="119" t="n">
        <f aca="false">SUMIFS(tabela_registros[VALOR],tabela_registros[MÊS],$AE$1,tabela_registros[DIA],abrtotal305971[[#Headers],[3]],tabela_registros[REGISTRO],DADOS!$N$4,tabela_registros[TIPO],DADOS!$P$4,tabela_registros[CATEGORIA],despesavariávelconsolidadoabr[[#This Row],[DESPESA VARIÁVEL]])</f>
        <v>0</v>
      </c>
      <c r="H63" s="119" t="n">
        <f aca="false">SUMIFS(tabela_registros[VALOR],tabela_registros[MÊS],$AE$1,tabela_registros[DIA],abrtotal305971[[#Headers],[4]],tabela_registros[REGISTRO],DADOS!$N$4,tabela_registros[TIPO],DADOS!$P$4,tabela_registros[CATEGORIA],despesavariávelconsolidadoabr[[#This Row],[DESPESA VARIÁVEL]])</f>
        <v>0</v>
      </c>
      <c r="I63" s="119" t="n">
        <f aca="false">SUMIFS(tabela_registros[VALOR],tabela_registros[MÊS],$AE$1,tabela_registros[DIA],abrtotal305971[[#Headers],[5]],tabela_registros[REGISTRO],DADOS!$N$4,tabela_registros[TIPO],DADOS!$P$4,tabela_registros[CATEGORIA],despesavariávelconsolidadoabr[[#This Row],[DESPESA VARIÁVEL]])</f>
        <v>0</v>
      </c>
      <c r="J63" s="119" t="n">
        <f aca="false">SUMIFS(tabela_registros[VALOR],tabela_registros[MÊS],$AE$1,tabela_registros[DIA],abrtotal305971[[#Headers],[6]],tabela_registros[REGISTRO],DADOS!$N$4,tabela_registros[TIPO],DADOS!$P$4,tabela_registros[CATEGORIA],despesavariávelconsolidadoabr[[#This Row],[DESPESA VARIÁVEL]])</f>
        <v>0</v>
      </c>
      <c r="K63" s="119" t="n">
        <f aca="false">SUMIFS(tabela_registros[VALOR],tabela_registros[MÊS],$AE$1,tabela_registros[DIA],abrtotal305971[[#Headers],[7]],tabela_registros[REGISTRO],DADOS!$N$4,tabela_registros[TIPO],DADOS!$P$4,tabela_registros[CATEGORIA],despesavariávelconsolidadoabr[[#This Row],[DESPESA VARIÁVEL]])</f>
        <v>0</v>
      </c>
      <c r="L63" s="119" t="n">
        <f aca="false">SUMIFS(tabela_registros[VALOR],tabela_registros[MÊS],$AE$1,tabela_registros[DIA],abrtotal305971[[#Headers],[8]],tabela_registros[REGISTRO],DADOS!$N$4,tabela_registros[TIPO],DADOS!$P$4,tabela_registros[CATEGORIA],despesavariávelconsolidadoabr[[#This Row],[DESPESA VARIÁVEL]])</f>
        <v>0</v>
      </c>
      <c r="M63" s="119" t="n">
        <f aca="false">SUMIFS(tabela_registros[VALOR],tabela_registros[MÊS],$AE$1,tabela_registros[DIA],abrtotal305971[[#Headers],[9]],tabela_registros[REGISTRO],DADOS!$N$4,tabela_registros[TIPO],DADOS!$P$4,tabela_registros[CATEGORIA],despesavariávelconsolidadoabr[[#This Row],[DESPESA VARIÁVEL]])</f>
        <v>0</v>
      </c>
      <c r="N63" s="119" t="n">
        <f aca="false">SUMIFS(tabela_registros[VALOR],tabela_registros[MÊS],$AE$1,tabela_registros[DIA],abrtotal305971[[#Headers],[10]],tabela_registros[REGISTRO],DADOS!$N$4,tabela_registros[TIPO],DADOS!$P$4,tabela_registros[CATEGORIA],despesavariávelconsolidadoabr[[#This Row],[DESPESA VARIÁVEL]])</f>
        <v>0</v>
      </c>
      <c r="O63" s="119" t="n">
        <f aca="false">SUMIFS(tabela_registros[VALOR],tabela_registros[MÊS],$AE$1,tabela_registros[DIA],abrtotal305971[[#Headers],[11]],tabela_registros[REGISTRO],DADOS!$N$4,tabela_registros[TIPO],DADOS!$P$4,tabela_registros[CATEGORIA],despesavariávelconsolidadoabr[[#This Row],[DESPESA VARIÁVEL]])</f>
        <v>0</v>
      </c>
      <c r="P63" s="119" t="n">
        <f aca="false">SUMIFS(tabela_registros[VALOR],tabela_registros[MÊS],$AE$1,tabela_registros[DIA],abrtotal305971[[#Headers],[12]],tabela_registros[REGISTRO],DADOS!$N$4,tabela_registros[TIPO],DADOS!$P$4,tabela_registros[CATEGORIA],despesavariávelconsolidadoabr[[#This Row],[DESPESA VARIÁVEL]])</f>
        <v>0</v>
      </c>
      <c r="Q63" s="119" t="n">
        <f aca="false">SUMIFS(tabela_registros[VALOR],tabela_registros[MÊS],$AE$1,tabela_registros[DIA],abrtotal305971[[#Headers],[13]],tabela_registros[REGISTRO],DADOS!$N$4,tabela_registros[TIPO],DADOS!$P$4,tabela_registros[CATEGORIA],despesavariávelconsolidadoabr[[#This Row],[DESPESA VARIÁVEL]])</f>
        <v>0</v>
      </c>
      <c r="R63" s="119" t="n">
        <f aca="false">SUMIFS(tabela_registros[VALOR],tabela_registros[MÊS],$AE$1,tabela_registros[DIA],abrtotal305971[[#Headers],[14]],tabela_registros[REGISTRO],DADOS!$N$4,tabela_registros[TIPO],DADOS!$P$4,tabela_registros[CATEGORIA],despesavariávelconsolidadoabr[[#This Row],[DESPESA VARIÁVEL]])</f>
        <v>0</v>
      </c>
      <c r="S63" s="119" t="n">
        <f aca="false">SUMIFS(tabela_registros[VALOR],tabela_registros[MÊS],$AE$1,tabela_registros[DIA],abrtotal305971[[#Headers],[15]],tabela_registros[REGISTRO],DADOS!$N$4,tabela_registros[TIPO],DADOS!$P$4,tabela_registros[CATEGORIA],despesavariávelconsolidadoabr[[#This Row],[DESPESA VARIÁVEL]])</f>
        <v>0</v>
      </c>
      <c r="T63" s="119" t="n">
        <f aca="false">SUMIFS(tabela_registros[VALOR],tabela_registros[MÊS],$AE$1,tabela_registros[DIA],abrtotal305971[[#Headers],[16]],tabela_registros[REGISTRO],DADOS!$N$4,tabela_registros[TIPO],DADOS!$P$4,tabela_registros[CATEGORIA],despesavariávelconsolidadoabr[[#This Row],[DESPESA VARIÁVEL]])</f>
        <v>0</v>
      </c>
      <c r="U63" s="119" t="n">
        <f aca="false">SUMIFS(tabela_registros[VALOR],tabela_registros[MÊS],$AE$1,tabela_registros[DIA],abrtotal305971[[#Headers],[17]],tabela_registros[REGISTRO],DADOS!$N$4,tabela_registros[TIPO],DADOS!$P$4,tabela_registros[CATEGORIA],despesavariávelconsolidadoabr[[#This Row],[DESPESA VARIÁVEL]])</f>
        <v>0</v>
      </c>
      <c r="V63" s="119" t="n">
        <f aca="false">SUMIFS(tabela_registros[VALOR],tabela_registros[MÊS],$AE$1,tabela_registros[DIA],abrtotal305971[[#Headers],[18]],tabela_registros[REGISTRO],DADOS!$N$4,tabela_registros[TIPO],DADOS!$P$4,tabela_registros[CATEGORIA],despesavariávelconsolidadoabr[[#This Row],[DESPESA VARIÁVEL]])</f>
        <v>0</v>
      </c>
      <c r="W63" s="119" t="n">
        <f aca="false">SUMIFS(tabela_registros[VALOR],tabela_registros[MÊS],$AE$1,tabela_registros[DIA],abrtotal305971[[#Headers],[19]],tabela_registros[REGISTRO],DADOS!$N$4,tabela_registros[TIPO],DADOS!$P$4,tabela_registros[CATEGORIA],despesavariávelconsolidadoabr[[#This Row],[DESPESA VARIÁVEL]])</f>
        <v>0</v>
      </c>
      <c r="X63" s="119" t="n">
        <f aca="false">SUMIFS(tabela_registros[VALOR],tabela_registros[MÊS],$AE$1,tabela_registros[DIA],abrtotal305971[[#Headers],[20]],tabela_registros[REGISTRO],DADOS!$N$4,tabela_registros[TIPO],DADOS!$P$4,tabela_registros[CATEGORIA],despesavariávelconsolidadoabr[[#This Row],[DESPESA VARIÁVEL]])</f>
        <v>0</v>
      </c>
      <c r="Y63" s="119" t="n">
        <f aca="false">SUMIFS(tabela_registros[VALOR],tabela_registros[MÊS],$AE$1,tabela_registros[DIA],abrtotal305971[[#Headers],[21]],tabela_registros[REGISTRO],DADOS!$N$4,tabela_registros[TIPO],DADOS!$P$4,tabela_registros[CATEGORIA],despesavariávelconsolidadoabr[[#This Row],[DESPESA VARIÁVEL]])</f>
        <v>0</v>
      </c>
      <c r="Z63" s="119" t="n">
        <f aca="false">SUMIFS(tabela_registros[VALOR],tabela_registros[MÊS],$AE$1,tabela_registros[DIA],abrtotal305971[[#Headers],[22]],tabela_registros[REGISTRO],DADOS!$N$4,tabela_registros[TIPO],DADOS!$P$4,tabela_registros[CATEGORIA],despesavariávelconsolidadoabr[[#This Row],[DESPESA VARIÁVEL]])</f>
        <v>0</v>
      </c>
      <c r="AA63" s="119" t="n">
        <f aca="false">SUMIFS(tabela_registros[VALOR],tabela_registros[MÊS],$AE$1,tabela_registros[DIA],abrtotal305971[[#Headers],[23]],tabela_registros[REGISTRO],DADOS!$N$4,tabela_registros[TIPO],DADOS!$P$4,tabela_registros[CATEGORIA],despesavariávelconsolidadoabr[[#This Row],[DESPESA VARIÁVEL]])</f>
        <v>0</v>
      </c>
      <c r="AB63" s="119" t="n">
        <f aca="false">SUMIFS(tabela_registros[VALOR],tabela_registros[MÊS],$AE$1,tabela_registros[DIA],abrtotal305971[[#Headers],[24]],tabela_registros[REGISTRO],DADOS!$N$4,tabela_registros[TIPO],DADOS!$P$4,tabela_registros[CATEGORIA],despesavariávelconsolidadoabr[[#This Row],[DESPESA VARIÁVEL]])</f>
        <v>0</v>
      </c>
      <c r="AC63" s="119" t="n">
        <f aca="false">SUMIFS(tabela_registros[VALOR],tabela_registros[MÊS],$AE$1,tabela_registros[DIA],abrtotal305971[[#Headers],[25]],tabela_registros[REGISTRO],DADOS!$N$4,tabela_registros[TIPO],DADOS!$P$4,tabela_registros[CATEGORIA],despesavariávelconsolidadoabr[[#This Row],[DESPESA VARIÁVEL]])</f>
        <v>0</v>
      </c>
      <c r="AD63" s="119" t="n">
        <f aca="false">SUMIFS(tabela_registros[VALOR],tabela_registros[MÊS],$AE$1,tabela_registros[DIA],abrtotal305971[[#Headers],[26]],tabela_registros[REGISTRO],DADOS!$N$4,tabela_registros[TIPO],DADOS!$P$4,tabela_registros[CATEGORIA],despesavariávelconsolidadoabr[[#This Row],[DESPESA VARIÁVEL]])</f>
        <v>0</v>
      </c>
      <c r="AE63" s="119" t="n">
        <f aca="false">SUMIFS(tabela_registros[VALOR],tabela_registros[MÊS],$AE$1,tabela_registros[DIA],abrtotal305971[[#Headers],[27]],tabela_registros[REGISTRO],DADOS!$N$4,tabela_registros[TIPO],DADOS!$P$4,tabela_registros[CATEGORIA],despesavariávelconsolidadoabr[[#This Row],[DESPESA VARIÁVEL]])</f>
        <v>0</v>
      </c>
      <c r="AF63" s="119" t="n">
        <f aca="false">SUMIFS(tabela_registros[VALOR],tabela_registros[MÊS],$AE$1,tabela_registros[DIA],abrtotal305971[[#Headers],[28]],tabela_registros[REGISTRO],DADOS!$N$4,tabela_registros[TIPO],DADOS!$P$4,tabela_registros[CATEGORIA],despesavariávelconsolidadoabr[[#This Row],[DESPESA VARIÁVEL]])</f>
        <v>0</v>
      </c>
      <c r="AG63" s="119" t="n">
        <f aca="false">SUMIFS(tabela_registros[VALOR],tabela_registros[MÊS],$AE$1,tabela_registros[DIA],abrtotal305971[[#Headers],[29]],tabela_registros[REGISTRO],DADOS!$N$4,tabela_registros[TIPO],DADOS!$P$4,tabela_registros[CATEGORIA],despesavariávelconsolidadoabr[[#This Row],[DESPESA VARIÁVEL]])</f>
        <v>0</v>
      </c>
      <c r="AH63" s="119" t="n">
        <f aca="false">SUMIFS(tabela_registros[VALOR],tabela_registros[MÊS],$AE$1,tabela_registros[DIA],abrtotal305971[[#Headers],[30]],tabela_registros[REGISTRO],DADOS!$N$4,tabela_registros[TIPO],DADOS!$P$4,tabela_registros[CATEGORIA],despesavariávelconsolidadoabr[[#This Row],[DESPESA VARIÁVEL]])</f>
        <v>0</v>
      </c>
      <c r="AI63" s="217" t="n">
        <f aca="false">SUMIFS(tabela_registros[VALOR],tabela_registros[MÊS],$AE$1,tabela_registros[DIA],abrtotal305971[[#Headers],[31]],tabela_registros[REGISTRO],DADOS!$N$4,tabela_registros[TIPO],DADOS!$P$4,tabela_registros[CATEGORIA],despesavariávelconsolidadoabr[[#This Row],[DESPESA VARIÁVEL]])</f>
        <v>0</v>
      </c>
      <c r="AJ63" s="149" t="n">
        <f aca="false">SUM(despesavariávelconsolidadoabr[[#This Row],[1]:[31]])</f>
        <v>0</v>
      </c>
      <c r="AK63" s="143"/>
    </row>
    <row r="64" customFormat="false" ht="18" hidden="false" customHeight="true" outlineLevel="0" collapsed="false">
      <c r="B64" s="143"/>
      <c r="C64" s="144" t="str">
        <f aca="false">DADOS!$T$7</f>
        <v>🤝 DOAÇÃO</v>
      </c>
      <c r="D64" s="145" t="str">
        <f aca="false">IF(despesavariávelconsolidadoabr[[#This Row],[TOTAL]]=0,"",IF(OR(despesavariávelconsolidadoabr[[#This Row],[TOTAL]]=LARGE($AJ$60:$AJ$72,1),despesavariávelconsolidadoabr[[#This Row],[TOTAL]]=LARGE($AJ$60:$AJ$72,2),despesavariávelconsolidadoabr[[#This Row],[TOTAL]]=LARGE($AJ$60:$AJ$72,3),despesavariávelconsolidadoabr[[#This Row],[TOTAL]]=LARGE($AJ$60:$AJ$72,4),despesavariávelconsolidadoabr[[#This Row],[TOTAL]]=LARGE($AJ$60:$AJ$72,5)),DADOS!$I$8,""))</f>
        <v/>
      </c>
      <c r="E64" s="148" t="n">
        <f aca="false">SUMIFS(tabela_registros[VALOR],tabela_registros[MÊS],$AE$1,tabela_registros[DIA],abrtotal305971[[#Headers],[1]],tabela_registros[REGISTRO],DADOS!$N$4,tabela_registros[TIPO],DADOS!$P$4,tabela_registros[CATEGORIA],despesavariávelconsolidadoabr[[#This Row],[DESPESA VARIÁVEL]])</f>
        <v>0</v>
      </c>
      <c r="F64" s="119" t="n">
        <f aca="false">SUMIFS(tabela_registros[VALOR],tabela_registros[MÊS],$AE$1,tabela_registros[DIA],abrtotal305971[[#Headers],[2]],tabela_registros[REGISTRO],DADOS!$N$4,tabela_registros[TIPO],DADOS!$P$4,tabela_registros[CATEGORIA],despesavariávelconsolidadoabr[[#This Row],[DESPESA VARIÁVEL]])</f>
        <v>0</v>
      </c>
      <c r="G64" s="119" t="n">
        <f aca="false">SUMIFS(tabela_registros[VALOR],tabela_registros[MÊS],$AE$1,tabela_registros[DIA],abrtotal305971[[#Headers],[3]],tabela_registros[REGISTRO],DADOS!$N$4,tabela_registros[TIPO],DADOS!$P$4,tabela_registros[CATEGORIA],despesavariávelconsolidadoabr[[#This Row],[DESPESA VARIÁVEL]])</f>
        <v>0</v>
      </c>
      <c r="H64" s="119" t="n">
        <f aca="false">SUMIFS(tabela_registros[VALOR],tabela_registros[MÊS],$AE$1,tabela_registros[DIA],abrtotal305971[[#Headers],[4]],tabela_registros[REGISTRO],DADOS!$N$4,tabela_registros[TIPO],DADOS!$P$4,tabela_registros[CATEGORIA],despesavariávelconsolidadoabr[[#This Row],[DESPESA VARIÁVEL]])</f>
        <v>0</v>
      </c>
      <c r="I64" s="119" t="n">
        <f aca="false">SUMIFS(tabela_registros[VALOR],tabela_registros[MÊS],$AE$1,tabela_registros[DIA],abrtotal305971[[#Headers],[5]],tabela_registros[REGISTRO],DADOS!$N$4,tabela_registros[TIPO],DADOS!$P$4,tabela_registros[CATEGORIA],despesavariávelconsolidadoabr[[#This Row],[DESPESA VARIÁVEL]])</f>
        <v>0</v>
      </c>
      <c r="J64" s="119" t="n">
        <f aca="false">SUMIFS(tabela_registros[VALOR],tabela_registros[MÊS],$AE$1,tabela_registros[DIA],abrtotal305971[[#Headers],[6]],tabela_registros[REGISTRO],DADOS!$N$4,tabela_registros[TIPO],DADOS!$P$4,tabela_registros[CATEGORIA],despesavariávelconsolidadoabr[[#This Row],[DESPESA VARIÁVEL]])</f>
        <v>0</v>
      </c>
      <c r="K64" s="119" t="n">
        <f aca="false">SUMIFS(tabela_registros[VALOR],tabela_registros[MÊS],$AE$1,tabela_registros[DIA],abrtotal305971[[#Headers],[7]],tabela_registros[REGISTRO],DADOS!$N$4,tabela_registros[TIPO],DADOS!$P$4,tabela_registros[CATEGORIA],despesavariávelconsolidadoabr[[#This Row],[DESPESA VARIÁVEL]])</f>
        <v>0</v>
      </c>
      <c r="L64" s="119" t="n">
        <f aca="false">SUMIFS(tabela_registros[VALOR],tabela_registros[MÊS],$AE$1,tabela_registros[DIA],abrtotal305971[[#Headers],[8]],tabela_registros[REGISTRO],DADOS!$N$4,tabela_registros[TIPO],DADOS!$P$4,tabela_registros[CATEGORIA],despesavariávelconsolidadoabr[[#This Row],[DESPESA VARIÁVEL]])</f>
        <v>0</v>
      </c>
      <c r="M64" s="119" t="n">
        <f aca="false">SUMIFS(tabela_registros[VALOR],tabela_registros[MÊS],$AE$1,tabela_registros[DIA],abrtotal305971[[#Headers],[9]],tabela_registros[REGISTRO],DADOS!$N$4,tabela_registros[TIPO],DADOS!$P$4,tabela_registros[CATEGORIA],despesavariávelconsolidadoabr[[#This Row],[DESPESA VARIÁVEL]])</f>
        <v>0</v>
      </c>
      <c r="N64" s="119" t="n">
        <f aca="false">SUMIFS(tabela_registros[VALOR],tabela_registros[MÊS],$AE$1,tabela_registros[DIA],abrtotal305971[[#Headers],[10]],tabela_registros[REGISTRO],DADOS!$N$4,tabela_registros[TIPO],DADOS!$P$4,tabela_registros[CATEGORIA],despesavariávelconsolidadoabr[[#This Row],[DESPESA VARIÁVEL]])</f>
        <v>0</v>
      </c>
      <c r="O64" s="119" t="n">
        <f aca="false">SUMIFS(tabela_registros[VALOR],tabela_registros[MÊS],$AE$1,tabela_registros[DIA],abrtotal305971[[#Headers],[11]],tabela_registros[REGISTRO],DADOS!$N$4,tabela_registros[TIPO],DADOS!$P$4,tabela_registros[CATEGORIA],despesavariávelconsolidadoabr[[#This Row],[DESPESA VARIÁVEL]])</f>
        <v>0</v>
      </c>
      <c r="P64" s="119" t="n">
        <f aca="false">SUMIFS(tabela_registros[VALOR],tabela_registros[MÊS],$AE$1,tabela_registros[DIA],abrtotal305971[[#Headers],[12]],tabela_registros[REGISTRO],DADOS!$N$4,tabela_registros[TIPO],DADOS!$P$4,tabela_registros[CATEGORIA],despesavariávelconsolidadoabr[[#This Row],[DESPESA VARIÁVEL]])</f>
        <v>0</v>
      </c>
      <c r="Q64" s="119" t="n">
        <f aca="false">SUMIFS(tabela_registros[VALOR],tabela_registros[MÊS],$AE$1,tabela_registros[DIA],abrtotal305971[[#Headers],[13]],tabela_registros[REGISTRO],DADOS!$N$4,tabela_registros[TIPO],DADOS!$P$4,tabela_registros[CATEGORIA],despesavariávelconsolidadoabr[[#This Row],[DESPESA VARIÁVEL]])</f>
        <v>0</v>
      </c>
      <c r="R64" s="119" t="n">
        <f aca="false">SUMIFS(tabela_registros[VALOR],tabela_registros[MÊS],$AE$1,tabela_registros[DIA],abrtotal305971[[#Headers],[14]],tabela_registros[REGISTRO],DADOS!$N$4,tabela_registros[TIPO],DADOS!$P$4,tabela_registros[CATEGORIA],despesavariávelconsolidadoabr[[#This Row],[DESPESA VARIÁVEL]])</f>
        <v>0</v>
      </c>
      <c r="S64" s="119" t="n">
        <f aca="false">SUMIFS(tabela_registros[VALOR],tabela_registros[MÊS],$AE$1,tabela_registros[DIA],abrtotal305971[[#Headers],[15]],tabela_registros[REGISTRO],DADOS!$N$4,tabela_registros[TIPO],DADOS!$P$4,tabela_registros[CATEGORIA],despesavariávelconsolidadoabr[[#This Row],[DESPESA VARIÁVEL]])</f>
        <v>0</v>
      </c>
      <c r="T64" s="119" t="n">
        <f aca="false">SUMIFS(tabela_registros[VALOR],tabela_registros[MÊS],$AE$1,tabela_registros[DIA],abrtotal305971[[#Headers],[16]],tabela_registros[REGISTRO],DADOS!$N$4,tabela_registros[TIPO],DADOS!$P$4,tabela_registros[CATEGORIA],despesavariávelconsolidadoabr[[#This Row],[DESPESA VARIÁVEL]])</f>
        <v>0</v>
      </c>
      <c r="U64" s="119" t="n">
        <f aca="false">SUMIFS(tabela_registros[VALOR],tabela_registros[MÊS],$AE$1,tabela_registros[DIA],abrtotal305971[[#Headers],[17]],tabela_registros[REGISTRO],DADOS!$N$4,tabela_registros[TIPO],DADOS!$P$4,tabela_registros[CATEGORIA],despesavariávelconsolidadoabr[[#This Row],[DESPESA VARIÁVEL]])</f>
        <v>0</v>
      </c>
      <c r="V64" s="119" t="n">
        <f aca="false">SUMIFS(tabela_registros[VALOR],tabela_registros[MÊS],$AE$1,tabela_registros[DIA],abrtotal305971[[#Headers],[18]],tabela_registros[REGISTRO],DADOS!$N$4,tabela_registros[TIPO],DADOS!$P$4,tabela_registros[CATEGORIA],despesavariávelconsolidadoabr[[#This Row],[DESPESA VARIÁVEL]])</f>
        <v>0</v>
      </c>
      <c r="W64" s="119" t="n">
        <f aca="false">SUMIFS(tabela_registros[VALOR],tabela_registros[MÊS],$AE$1,tabela_registros[DIA],abrtotal305971[[#Headers],[19]],tabela_registros[REGISTRO],DADOS!$N$4,tabela_registros[TIPO],DADOS!$P$4,tabela_registros[CATEGORIA],despesavariávelconsolidadoabr[[#This Row],[DESPESA VARIÁVEL]])</f>
        <v>0</v>
      </c>
      <c r="X64" s="119" t="n">
        <f aca="false">SUMIFS(tabela_registros[VALOR],tabela_registros[MÊS],$AE$1,tabela_registros[DIA],abrtotal305971[[#Headers],[20]],tabela_registros[REGISTRO],DADOS!$N$4,tabela_registros[TIPO],DADOS!$P$4,tabela_registros[CATEGORIA],despesavariávelconsolidadoabr[[#This Row],[DESPESA VARIÁVEL]])</f>
        <v>0</v>
      </c>
      <c r="Y64" s="119" t="n">
        <f aca="false">SUMIFS(tabela_registros[VALOR],tabela_registros[MÊS],$AE$1,tabela_registros[DIA],abrtotal305971[[#Headers],[21]],tabela_registros[REGISTRO],DADOS!$N$4,tabela_registros[TIPO],DADOS!$P$4,tabela_registros[CATEGORIA],despesavariávelconsolidadoabr[[#This Row],[DESPESA VARIÁVEL]])</f>
        <v>0</v>
      </c>
      <c r="Z64" s="119" t="n">
        <f aca="false">SUMIFS(tabela_registros[VALOR],tabela_registros[MÊS],$AE$1,tabela_registros[DIA],abrtotal305971[[#Headers],[22]],tabela_registros[REGISTRO],DADOS!$N$4,tabela_registros[TIPO],DADOS!$P$4,tabela_registros[CATEGORIA],despesavariávelconsolidadoabr[[#This Row],[DESPESA VARIÁVEL]])</f>
        <v>0</v>
      </c>
      <c r="AA64" s="119" t="n">
        <f aca="false">SUMIFS(tabela_registros[VALOR],tabela_registros[MÊS],$AE$1,tabela_registros[DIA],abrtotal305971[[#Headers],[23]],tabela_registros[REGISTRO],DADOS!$N$4,tabela_registros[TIPO],DADOS!$P$4,tabela_registros[CATEGORIA],despesavariávelconsolidadoabr[[#This Row],[DESPESA VARIÁVEL]])</f>
        <v>0</v>
      </c>
      <c r="AB64" s="119" t="n">
        <f aca="false">SUMIFS(tabela_registros[VALOR],tabela_registros[MÊS],$AE$1,tabela_registros[DIA],abrtotal305971[[#Headers],[24]],tabela_registros[REGISTRO],DADOS!$N$4,tabela_registros[TIPO],DADOS!$P$4,tabela_registros[CATEGORIA],despesavariávelconsolidadoabr[[#This Row],[DESPESA VARIÁVEL]])</f>
        <v>0</v>
      </c>
      <c r="AC64" s="119" t="n">
        <f aca="false">SUMIFS(tabela_registros[VALOR],tabela_registros[MÊS],$AE$1,tabela_registros[DIA],abrtotal305971[[#Headers],[25]],tabela_registros[REGISTRO],DADOS!$N$4,tabela_registros[TIPO],DADOS!$P$4,tabela_registros[CATEGORIA],despesavariávelconsolidadoabr[[#This Row],[DESPESA VARIÁVEL]])</f>
        <v>0</v>
      </c>
      <c r="AD64" s="119" t="n">
        <f aca="false">SUMIFS(tabela_registros[VALOR],tabela_registros[MÊS],$AE$1,tabela_registros[DIA],abrtotal305971[[#Headers],[26]],tabela_registros[REGISTRO],DADOS!$N$4,tabela_registros[TIPO],DADOS!$P$4,tabela_registros[CATEGORIA],despesavariávelconsolidadoabr[[#This Row],[DESPESA VARIÁVEL]])</f>
        <v>0</v>
      </c>
      <c r="AE64" s="119" t="n">
        <f aca="false">SUMIFS(tabela_registros[VALOR],tabela_registros[MÊS],$AE$1,tabela_registros[DIA],abrtotal305971[[#Headers],[27]],tabela_registros[REGISTRO],DADOS!$N$4,tabela_registros[TIPO],DADOS!$P$4,tabela_registros[CATEGORIA],despesavariávelconsolidadoabr[[#This Row],[DESPESA VARIÁVEL]])</f>
        <v>0</v>
      </c>
      <c r="AF64" s="119" t="n">
        <f aca="false">SUMIFS(tabela_registros[VALOR],tabela_registros[MÊS],$AE$1,tabela_registros[DIA],abrtotal305971[[#Headers],[28]],tabela_registros[REGISTRO],DADOS!$N$4,tabela_registros[TIPO],DADOS!$P$4,tabela_registros[CATEGORIA],despesavariávelconsolidadoabr[[#This Row],[DESPESA VARIÁVEL]])</f>
        <v>0</v>
      </c>
      <c r="AG64" s="119" t="n">
        <f aca="false">SUMIFS(tabela_registros[VALOR],tabela_registros[MÊS],$AE$1,tabela_registros[DIA],abrtotal305971[[#Headers],[29]],tabela_registros[REGISTRO],DADOS!$N$4,tabela_registros[TIPO],DADOS!$P$4,tabela_registros[CATEGORIA],despesavariávelconsolidadoabr[[#This Row],[DESPESA VARIÁVEL]])</f>
        <v>0</v>
      </c>
      <c r="AH64" s="119" t="n">
        <f aca="false">SUMIFS(tabela_registros[VALOR],tabela_registros[MÊS],$AE$1,tabela_registros[DIA],abrtotal305971[[#Headers],[30]],tabela_registros[REGISTRO],DADOS!$N$4,tabela_registros[TIPO],DADOS!$P$4,tabela_registros[CATEGORIA],despesavariávelconsolidadoabr[[#This Row],[DESPESA VARIÁVEL]])</f>
        <v>0</v>
      </c>
      <c r="AI64" s="217" t="n">
        <f aca="false">SUMIFS(tabela_registros[VALOR],tabela_registros[MÊS],$AE$1,tabela_registros[DIA],abrtotal305971[[#Headers],[31]],tabela_registros[REGISTRO],DADOS!$N$4,tabela_registros[TIPO],DADOS!$P$4,tabela_registros[CATEGORIA],despesavariávelconsolidadoabr[[#This Row],[DESPESA VARIÁVEL]])</f>
        <v>0</v>
      </c>
      <c r="AJ64" s="149" t="n">
        <f aca="false">SUM(despesavariávelconsolidadoabr[[#This Row],[1]:[31]])</f>
        <v>0</v>
      </c>
      <c r="AK64" s="143"/>
    </row>
    <row r="65" customFormat="false" ht="18" hidden="false" customHeight="true" outlineLevel="0" collapsed="false">
      <c r="B65" s="143"/>
      <c r="C65" s="144" t="str">
        <f aca="false">DADOS!$T$8</f>
        <v>📖 EDUCAÇÃO</v>
      </c>
      <c r="D65" s="145" t="str">
        <f aca="false">IF(despesavariávelconsolidadoabr[[#This Row],[TOTAL]]=0,"",IF(OR(despesavariávelconsolidadoabr[[#This Row],[TOTAL]]=LARGE($AJ$60:$AJ$72,1),despesavariávelconsolidadoabr[[#This Row],[TOTAL]]=LARGE($AJ$60:$AJ$72,2),despesavariávelconsolidadoabr[[#This Row],[TOTAL]]=LARGE($AJ$60:$AJ$72,3),despesavariávelconsolidadoabr[[#This Row],[TOTAL]]=LARGE($AJ$60:$AJ$72,4),despesavariávelconsolidadoabr[[#This Row],[TOTAL]]=LARGE($AJ$60:$AJ$72,5)),DADOS!$I$8,""))</f>
        <v/>
      </c>
      <c r="E65" s="148" t="n">
        <f aca="false">SUMIFS(tabela_registros[VALOR],tabela_registros[MÊS],$AE$1,tabela_registros[DIA],abrtotal305971[[#Headers],[1]],tabela_registros[REGISTRO],DADOS!$N$4,tabela_registros[TIPO],DADOS!$P$4,tabela_registros[CATEGORIA],despesavariávelconsolidadoabr[[#This Row],[DESPESA VARIÁVEL]])</f>
        <v>0</v>
      </c>
      <c r="F65" s="119" t="n">
        <f aca="false">SUMIFS(tabela_registros[VALOR],tabela_registros[MÊS],$AE$1,tabela_registros[DIA],abrtotal305971[[#Headers],[2]],tabela_registros[REGISTRO],DADOS!$N$4,tabela_registros[TIPO],DADOS!$P$4,tabela_registros[CATEGORIA],despesavariávelconsolidadoabr[[#This Row],[DESPESA VARIÁVEL]])</f>
        <v>0</v>
      </c>
      <c r="G65" s="119" t="n">
        <f aca="false">SUMIFS(tabela_registros[VALOR],tabela_registros[MÊS],$AE$1,tabela_registros[DIA],abrtotal305971[[#Headers],[3]],tabela_registros[REGISTRO],DADOS!$N$4,tabela_registros[TIPO],DADOS!$P$4,tabela_registros[CATEGORIA],despesavariávelconsolidadoabr[[#This Row],[DESPESA VARIÁVEL]])</f>
        <v>0</v>
      </c>
      <c r="H65" s="119" t="n">
        <f aca="false">SUMIFS(tabela_registros[VALOR],tabela_registros[MÊS],$AE$1,tabela_registros[DIA],abrtotal305971[[#Headers],[4]],tabela_registros[REGISTRO],DADOS!$N$4,tabela_registros[TIPO],DADOS!$P$4,tabela_registros[CATEGORIA],despesavariávelconsolidadoabr[[#This Row],[DESPESA VARIÁVEL]])</f>
        <v>0</v>
      </c>
      <c r="I65" s="119" t="n">
        <f aca="false">SUMIFS(tabela_registros[VALOR],tabela_registros[MÊS],$AE$1,tabela_registros[DIA],abrtotal305971[[#Headers],[5]],tabela_registros[REGISTRO],DADOS!$N$4,tabela_registros[TIPO],DADOS!$P$4,tabela_registros[CATEGORIA],despesavariávelconsolidadoabr[[#This Row],[DESPESA VARIÁVEL]])</f>
        <v>0</v>
      </c>
      <c r="J65" s="119" t="n">
        <f aca="false">SUMIFS(tabela_registros[VALOR],tabela_registros[MÊS],$AE$1,tabela_registros[DIA],abrtotal305971[[#Headers],[6]],tabela_registros[REGISTRO],DADOS!$N$4,tabela_registros[TIPO],DADOS!$P$4,tabela_registros[CATEGORIA],despesavariávelconsolidadoabr[[#This Row],[DESPESA VARIÁVEL]])</f>
        <v>0</v>
      </c>
      <c r="K65" s="119" t="n">
        <f aca="false">SUMIFS(tabela_registros[VALOR],tabela_registros[MÊS],$AE$1,tabela_registros[DIA],abrtotal305971[[#Headers],[7]],tabela_registros[REGISTRO],DADOS!$N$4,tabela_registros[TIPO],DADOS!$P$4,tabela_registros[CATEGORIA],despesavariávelconsolidadoabr[[#This Row],[DESPESA VARIÁVEL]])</f>
        <v>0</v>
      </c>
      <c r="L65" s="119" t="n">
        <f aca="false">SUMIFS(tabela_registros[VALOR],tabela_registros[MÊS],$AE$1,tabela_registros[DIA],abrtotal305971[[#Headers],[8]],tabela_registros[REGISTRO],DADOS!$N$4,tabela_registros[TIPO],DADOS!$P$4,tabela_registros[CATEGORIA],despesavariávelconsolidadoabr[[#This Row],[DESPESA VARIÁVEL]])</f>
        <v>0</v>
      </c>
      <c r="M65" s="119" t="n">
        <f aca="false">SUMIFS(tabela_registros[VALOR],tabela_registros[MÊS],$AE$1,tabela_registros[DIA],abrtotal305971[[#Headers],[9]],tabela_registros[REGISTRO],DADOS!$N$4,tabela_registros[TIPO],DADOS!$P$4,tabela_registros[CATEGORIA],despesavariávelconsolidadoabr[[#This Row],[DESPESA VARIÁVEL]])</f>
        <v>0</v>
      </c>
      <c r="N65" s="119" t="n">
        <f aca="false">SUMIFS(tabela_registros[VALOR],tabela_registros[MÊS],$AE$1,tabela_registros[DIA],abrtotal305971[[#Headers],[10]],tabela_registros[REGISTRO],DADOS!$N$4,tabela_registros[TIPO],DADOS!$P$4,tabela_registros[CATEGORIA],despesavariávelconsolidadoabr[[#This Row],[DESPESA VARIÁVEL]])</f>
        <v>0</v>
      </c>
      <c r="O65" s="119" t="n">
        <f aca="false">SUMIFS(tabela_registros[VALOR],tabela_registros[MÊS],$AE$1,tabela_registros[DIA],abrtotal305971[[#Headers],[11]],tabela_registros[REGISTRO],DADOS!$N$4,tabela_registros[TIPO],DADOS!$P$4,tabela_registros[CATEGORIA],despesavariávelconsolidadoabr[[#This Row],[DESPESA VARIÁVEL]])</f>
        <v>0</v>
      </c>
      <c r="P65" s="119" t="n">
        <f aca="false">SUMIFS(tabela_registros[VALOR],tabela_registros[MÊS],$AE$1,tabela_registros[DIA],abrtotal305971[[#Headers],[12]],tabela_registros[REGISTRO],DADOS!$N$4,tabela_registros[TIPO],DADOS!$P$4,tabela_registros[CATEGORIA],despesavariávelconsolidadoabr[[#This Row],[DESPESA VARIÁVEL]])</f>
        <v>0</v>
      </c>
      <c r="Q65" s="119" t="n">
        <f aca="false">SUMIFS(tabela_registros[VALOR],tabela_registros[MÊS],$AE$1,tabela_registros[DIA],abrtotal305971[[#Headers],[13]],tabela_registros[REGISTRO],DADOS!$N$4,tabela_registros[TIPO],DADOS!$P$4,tabela_registros[CATEGORIA],despesavariávelconsolidadoabr[[#This Row],[DESPESA VARIÁVEL]])</f>
        <v>0</v>
      </c>
      <c r="R65" s="119" t="n">
        <f aca="false">SUMIFS(tabela_registros[VALOR],tabela_registros[MÊS],$AE$1,tabela_registros[DIA],abrtotal305971[[#Headers],[14]],tabela_registros[REGISTRO],DADOS!$N$4,tabela_registros[TIPO],DADOS!$P$4,tabela_registros[CATEGORIA],despesavariávelconsolidadoabr[[#This Row],[DESPESA VARIÁVEL]])</f>
        <v>0</v>
      </c>
      <c r="S65" s="119" t="n">
        <f aca="false">SUMIFS(tabela_registros[VALOR],tabela_registros[MÊS],$AE$1,tabela_registros[DIA],abrtotal305971[[#Headers],[15]],tabela_registros[REGISTRO],DADOS!$N$4,tabela_registros[TIPO],DADOS!$P$4,tabela_registros[CATEGORIA],despesavariávelconsolidadoabr[[#This Row],[DESPESA VARIÁVEL]])</f>
        <v>0</v>
      </c>
      <c r="T65" s="119" t="n">
        <f aca="false">SUMIFS(tabela_registros[VALOR],tabela_registros[MÊS],$AE$1,tabela_registros[DIA],abrtotal305971[[#Headers],[16]],tabela_registros[REGISTRO],DADOS!$N$4,tabela_registros[TIPO],DADOS!$P$4,tabela_registros[CATEGORIA],despesavariávelconsolidadoabr[[#This Row],[DESPESA VARIÁVEL]])</f>
        <v>0</v>
      </c>
      <c r="U65" s="119" t="n">
        <f aca="false">SUMIFS(tabela_registros[VALOR],tabela_registros[MÊS],$AE$1,tabela_registros[DIA],abrtotal305971[[#Headers],[17]],tabela_registros[REGISTRO],DADOS!$N$4,tabela_registros[TIPO],DADOS!$P$4,tabela_registros[CATEGORIA],despesavariávelconsolidadoabr[[#This Row],[DESPESA VARIÁVEL]])</f>
        <v>0</v>
      </c>
      <c r="V65" s="119" t="n">
        <f aca="false">SUMIFS(tabela_registros[VALOR],tabela_registros[MÊS],$AE$1,tabela_registros[DIA],abrtotal305971[[#Headers],[18]],tabela_registros[REGISTRO],DADOS!$N$4,tabela_registros[TIPO],DADOS!$P$4,tabela_registros[CATEGORIA],despesavariávelconsolidadoabr[[#This Row],[DESPESA VARIÁVEL]])</f>
        <v>0</v>
      </c>
      <c r="W65" s="119" t="n">
        <f aca="false">SUMIFS(tabela_registros[VALOR],tabela_registros[MÊS],$AE$1,tabela_registros[DIA],abrtotal305971[[#Headers],[19]],tabela_registros[REGISTRO],DADOS!$N$4,tabela_registros[TIPO],DADOS!$P$4,tabela_registros[CATEGORIA],despesavariávelconsolidadoabr[[#This Row],[DESPESA VARIÁVEL]])</f>
        <v>0</v>
      </c>
      <c r="X65" s="119" t="n">
        <f aca="false">SUMIFS(tabela_registros[VALOR],tabela_registros[MÊS],$AE$1,tabela_registros[DIA],abrtotal305971[[#Headers],[20]],tabela_registros[REGISTRO],DADOS!$N$4,tabela_registros[TIPO],DADOS!$P$4,tabela_registros[CATEGORIA],despesavariávelconsolidadoabr[[#This Row],[DESPESA VARIÁVEL]])</f>
        <v>0</v>
      </c>
      <c r="Y65" s="119" t="n">
        <f aca="false">SUMIFS(tabela_registros[VALOR],tabela_registros[MÊS],$AE$1,tabela_registros[DIA],abrtotal305971[[#Headers],[21]],tabela_registros[REGISTRO],DADOS!$N$4,tabela_registros[TIPO],DADOS!$P$4,tabela_registros[CATEGORIA],despesavariávelconsolidadoabr[[#This Row],[DESPESA VARIÁVEL]])</f>
        <v>0</v>
      </c>
      <c r="Z65" s="119" t="n">
        <f aca="false">SUMIFS(tabela_registros[VALOR],tabela_registros[MÊS],$AE$1,tabela_registros[DIA],abrtotal305971[[#Headers],[22]],tabela_registros[REGISTRO],DADOS!$N$4,tabela_registros[TIPO],DADOS!$P$4,tabela_registros[CATEGORIA],despesavariávelconsolidadoabr[[#This Row],[DESPESA VARIÁVEL]])</f>
        <v>0</v>
      </c>
      <c r="AA65" s="119" t="n">
        <f aca="false">SUMIFS(tabela_registros[VALOR],tabela_registros[MÊS],$AE$1,tabela_registros[DIA],abrtotal305971[[#Headers],[23]],tabela_registros[REGISTRO],DADOS!$N$4,tabela_registros[TIPO],DADOS!$P$4,tabela_registros[CATEGORIA],despesavariávelconsolidadoabr[[#This Row],[DESPESA VARIÁVEL]])</f>
        <v>0</v>
      </c>
      <c r="AB65" s="119" t="n">
        <f aca="false">SUMIFS(tabela_registros[VALOR],tabela_registros[MÊS],$AE$1,tabela_registros[DIA],abrtotal305971[[#Headers],[24]],tabela_registros[REGISTRO],DADOS!$N$4,tabela_registros[TIPO],DADOS!$P$4,tabela_registros[CATEGORIA],despesavariávelconsolidadoabr[[#This Row],[DESPESA VARIÁVEL]])</f>
        <v>0</v>
      </c>
      <c r="AC65" s="119" t="n">
        <f aca="false">SUMIFS(tabela_registros[VALOR],tabela_registros[MÊS],$AE$1,tabela_registros[DIA],abrtotal305971[[#Headers],[25]],tabela_registros[REGISTRO],DADOS!$N$4,tabela_registros[TIPO],DADOS!$P$4,tabela_registros[CATEGORIA],despesavariávelconsolidadoabr[[#This Row],[DESPESA VARIÁVEL]])</f>
        <v>0</v>
      </c>
      <c r="AD65" s="119" t="n">
        <f aca="false">SUMIFS(tabela_registros[VALOR],tabela_registros[MÊS],$AE$1,tabela_registros[DIA],abrtotal305971[[#Headers],[26]],tabela_registros[REGISTRO],DADOS!$N$4,tabela_registros[TIPO],DADOS!$P$4,tabela_registros[CATEGORIA],despesavariávelconsolidadoabr[[#This Row],[DESPESA VARIÁVEL]])</f>
        <v>0</v>
      </c>
      <c r="AE65" s="119" t="n">
        <f aca="false">SUMIFS(tabela_registros[VALOR],tabela_registros[MÊS],$AE$1,tabela_registros[DIA],abrtotal305971[[#Headers],[27]],tabela_registros[REGISTRO],DADOS!$N$4,tabela_registros[TIPO],DADOS!$P$4,tabela_registros[CATEGORIA],despesavariávelconsolidadoabr[[#This Row],[DESPESA VARIÁVEL]])</f>
        <v>0</v>
      </c>
      <c r="AF65" s="119" t="n">
        <f aca="false">SUMIFS(tabela_registros[VALOR],tabela_registros[MÊS],$AE$1,tabela_registros[DIA],abrtotal305971[[#Headers],[28]],tabela_registros[REGISTRO],DADOS!$N$4,tabela_registros[TIPO],DADOS!$P$4,tabela_registros[CATEGORIA],despesavariávelconsolidadoabr[[#This Row],[DESPESA VARIÁVEL]])</f>
        <v>0</v>
      </c>
      <c r="AG65" s="119" t="n">
        <f aca="false">SUMIFS(tabela_registros[VALOR],tabela_registros[MÊS],$AE$1,tabela_registros[DIA],abrtotal305971[[#Headers],[29]],tabela_registros[REGISTRO],DADOS!$N$4,tabela_registros[TIPO],DADOS!$P$4,tabela_registros[CATEGORIA],despesavariávelconsolidadoabr[[#This Row],[DESPESA VARIÁVEL]])</f>
        <v>0</v>
      </c>
      <c r="AH65" s="119" t="n">
        <f aca="false">SUMIFS(tabela_registros[VALOR],tabela_registros[MÊS],$AE$1,tabela_registros[DIA],abrtotal305971[[#Headers],[30]],tabela_registros[REGISTRO],DADOS!$N$4,tabela_registros[TIPO],DADOS!$P$4,tabela_registros[CATEGORIA],despesavariávelconsolidadoabr[[#This Row],[DESPESA VARIÁVEL]])</f>
        <v>0</v>
      </c>
      <c r="AI65" s="217" t="n">
        <f aca="false">SUMIFS(tabela_registros[VALOR],tabela_registros[MÊS],$AE$1,tabela_registros[DIA],abrtotal305971[[#Headers],[31]],tabela_registros[REGISTRO],DADOS!$N$4,tabela_registros[TIPO],DADOS!$P$4,tabela_registros[CATEGORIA],despesavariávelconsolidadoabr[[#This Row],[DESPESA VARIÁVEL]])</f>
        <v>0</v>
      </c>
      <c r="AJ65" s="149" t="n">
        <f aca="false">SUM(despesavariávelconsolidadoabr[[#This Row],[1]:[31]])</f>
        <v>0</v>
      </c>
      <c r="AK65" s="143"/>
    </row>
    <row r="66" customFormat="false" ht="18" hidden="false" customHeight="true" outlineLevel="0" collapsed="false">
      <c r="B66" s="143"/>
      <c r="C66" s="144" t="str">
        <f aca="false">DADOS!$T$9</f>
        <v>🎭 LAZER</v>
      </c>
      <c r="D66" s="145" t="str">
        <f aca="false">IF(despesavariávelconsolidadoabr[[#This Row],[TOTAL]]=0,"",IF(OR(despesavariávelconsolidadoabr[[#This Row],[TOTAL]]=LARGE($AJ$60:$AJ$72,1),despesavariávelconsolidadoabr[[#This Row],[TOTAL]]=LARGE($AJ$60:$AJ$72,2),despesavariávelconsolidadoabr[[#This Row],[TOTAL]]=LARGE($AJ$60:$AJ$72,3),despesavariávelconsolidadoabr[[#This Row],[TOTAL]]=LARGE($AJ$60:$AJ$72,4),despesavariávelconsolidadoabr[[#This Row],[TOTAL]]=LARGE($AJ$60:$AJ$72,5)),DADOS!$I$8,""))</f>
        <v/>
      </c>
      <c r="E66" s="148" t="n">
        <f aca="false">SUMIFS(tabela_registros[VALOR],tabela_registros[MÊS],$AE$1,tabela_registros[DIA],abrtotal305971[[#Headers],[1]],tabela_registros[REGISTRO],DADOS!$N$4,tabela_registros[TIPO],DADOS!$P$4,tabela_registros[CATEGORIA],despesavariávelconsolidadoabr[[#This Row],[DESPESA VARIÁVEL]])</f>
        <v>0</v>
      </c>
      <c r="F66" s="119" t="n">
        <f aca="false">SUMIFS(tabela_registros[VALOR],tabela_registros[MÊS],$AE$1,tabela_registros[DIA],abrtotal305971[[#Headers],[2]],tabela_registros[REGISTRO],DADOS!$N$4,tabela_registros[TIPO],DADOS!$P$4,tabela_registros[CATEGORIA],despesavariávelconsolidadoabr[[#This Row],[DESPESA VARIÁVEL]])</f>
        <v>0</v>
      </c>
      <c r="G66" s="119" t="n">
        <f aca="false">SUMIFS(tabela_registros[VALOR],tabela_registros[MÊS],$AE$1,tabela_registros[DIA],abrtotal305971[[#Headers],[3]],tabela_registros[REGISTRO],DADOS!$N$4,tabela_registros[TIPO],DADOS!$P$4,tabela_registros[CATEGORIA],despesavariávelconsolidadoabr[[#This Row],[DESPESA VARIÁVEL]])</f>
        <v>0</v>
      </c>
      <c r="H66" s="119" t="n">
        <f aca="false">SUMIFS(tabela_registros[VALOR],tabela_registros[MÊS],$AE$1,tabela_registros[DIA],abrtotal305971[[#Headers],[4]],tabela_registros[REGISTRO],DADOS!$N$4,tabela_registros[TIPO],DADOS!$P$4,tabela_registros[CATEGORIA],despesavariávelconsolidadoabr[[#This Row],[DESPESA VARIÁVEL]])</f>
        <v>0</v>
      </c>
      <c r="I66" s="119" t="n">
        <f aca="false">SUMIFS(tabela_registros[VALOR],tabela_registros[MÊS],$AE$1,tabela_registros[DIA],abrtotal305971[[#Headers],[5]],tabela_registros[REGISTRO],DADOS!$N$4,tabela_registros[TIPO],DADOS!$P$4,tabela_registros[CATEGORIA],despesavariávelconsolidadoabr[[#This Row],[DESPESA VARIÁVEL]])</f>
        <v>0</v>
      </c>
      <c r="J66" s="119" t="n">
        <f aca="false">SUMIFS(tabela_registros[VALOR],tabela_registros[MÊS],$AE$1,tabela_registros[DIA],abrtotal305971[[#Headers],[6]],tabela_registros[REGISTRO],DADOS!$N$4,tabela_registros[TIPO],DADOS!$P$4,tabela_registros[CATEGORIA],despesavariávelconsolidadoabr[[#This Row],[DESPESA VARIÁVEL]])</f>
        <v>0</v>
      </c>
      <c r="K66" s="119" t="n">
        <f aca="false">SUMIFS(tabela_registros[VALOR],tabela_registros[MÊS],$AE$1,tabela_registros[DIA],abrtotal305971[[#Headers],[7]],tabela_registros[REGISTRO],DADOS!$N$4,tabela_registros[TIPO],DADOS!$P$4,tabela_registros[CATEGORIA],despesavariávelconsolidadoabr[[#This Row],[DESPESA VARIÁVEL]])</f>
        <v>0</v>
      </c>
      <c r="L66" s="119" t="n">
        <f aca="false">SUMIFS(tabela_registros[VALOR],tabela_registros[MÊS],$AE$1,tabela_registros[DIA],abrtotal305971[[#Headers],[8]],tabela_registros[REGISTRO],DADOS!$N$4,tabela_registros[TIPO],DADOS!$P$4,tabela_registros[CATEGORIA],despesavariávelconsolidadoabr[[#This Row],[DESPESA VARIÁVEL]])</f>
        <v>0</v>
      </c>
      <c r="M66" s="119" t="n">
        <f aca="false">SUMIFS(tabela_registros[VALOR],tabela_registros[MÊS],$AE$1,tabela_registros[DIA],abrtotal305971[[#Headers],[9]],tabela_registros[REGISTRO],DADOS!$N$4,tabela_registros[TIPO],DADOS!$P$4,tabela_registros[CATEGORIA],despesavariávelconsolidadoabr[[#This Row],[DESPESA VARIÁVEL]])</f>
        <v>0</v>
      </c>
      <c r="N66" s="119" t="n">
        <f aca="false">SUMIFS(tabela_registros[VALOR],tabela_registros[MÊS],$AE$1,tabela_registros[DIA],abrtotal305971[[#Headers],[10]],tabela_registros[REGISTRO],DADOS!$N$4,tabela_registros[TIPO],DADOS!$P$4,tabela_registros[CATEGORIA],despesavariávelconsolidadoabr[[#This Row],[DESPESA VARIÁVEL]])</f>
        <v>0</v>
      </c>
      <c r="O66" s="119" t="n">
        <f aca="false">SUMIFS(tabela_registros[VALOR],tabela_registros[MÊS],$AE$1,tabela_registros[DIA],abrtotal305971[[#Headers],[11]],tabela_registros[REGISTRO],DADOS!$N$4,tabela_registros[TIPO],DADOS!$P$4,tabela_registros[CATEGORIA],despesavariávelconsolidadoabr[[#This Row],[DESPESA VARIÁVEL]])</f>
        <v>0</v>
      </c>
      <c r="P66" s="119" t="n">
        <f aca="false">SUMIFS(tabela_registros[VALOR],tabela_registros[MÊS],$AE$1,tabela_registros[DIA],abrtotal305971[[#Headers],[12]],tabela_registros[REGISTRO],DADOS!$N$4,tabela_registros[TIPO],DADOS!$P$4,tabela_registros[CATEGORIA],despesavariávelconsolidadoabr[[#This Row],[DESPESA VARIÁVEL]])</f>
        <v>0</v>
      </c>
      <c r="Q66" s="119" t="n">
        <f aca="false">SUMIFS(tabela_registros[VALOR],tabela_registros[MÊS],$AE$1,tabela_registros[DIA],abrtotal305971[[#Headers],[13]],tabela_registros[REGISTRO],DADOS!$N$4,tabela_registros[TIPO],DADOS!$P$4,tabela_registros[CATEGORIA],despesavariávelconsolidadoabr[[#This Row],[DESPESA VARIÁVEL]])</f>
        <v>0</v>
      </c>
      <c r="R66" s="119" t="n">
        <f aca="false">SUMIFS(tabela_registros[VALOR],tabela_registros[MÊS],$AE$1,tabela_registros[DIA],abrtotal305971[[#Headers],[14]],tabela_registros[REGISTRO],DADOS!$N$4,tabela_registros[TIPO],DADOS!$P$4,tabela_registros[CATEGORIA],despesavariávelconsolidadoabr[[#This Row],[DESPESA VARIÁVEL]])</f>
        <v>0</v>
      </c>
      <c r="S66" s="119" t="n">
        <f aca="false">SUMIFS(tabela_registros[VALOR],tabela_registros[MÊS],$AE$1,tabela_registros[DIA],abrtotal305971[[#Headers],[15]],tabela_registros[REGISTRO],DADOS!$N$4,tabela_registros[TIPO],DADOS!$P$4,tabela_registros[CATEGORIA],despesavariávelconsolidadoabr[[#This Row],[DESPESA VARIÁVEL]])</f>
        <v>0</v>
      </c>
      <c r="T66" s="119" t="n">
        <f aca="false">SUMIFS(tabela_registros[VALOR],tabela_registros[MÊS],$AE$1,tabela_registros[DIA],abrtotal305971[[#Headers],[16]],tabela_registros[REGISTRO],DADOS!$N$4,tabela_registros[TIPO],DADOS!$P$4,tabela_registros[CATEGORIA],despesavariávelconsolidadoabr[[#This Row],[DESPESA VARIÁVEL]])</f>
        <v>0</v>
      </c>
      <c r="U66" s="119" t="n">
        <f aca="false">SUMIFS(tabela_registros[VALOR],tabela_registros[MÊS],$AE$1,tabela_registros[DIA],abrtotal305971[[#Headers],[17]],tabela_registros[REGISTRO],DADOS!$N$4,tabela_registros[TIPO],DADOS!$P$4,tabela_registros[CATEGORIA],despesavariávelconsolidadoabr[[#This Row],[DESPESA VARIÁVEL]])</f>
        <v>0</v>
      </c>
      <c r="V66" s="119" t="n">
        <f aca="false">SUMIFS(tabela_registros[VALOR],tabela_registros[MÊS],$AE$1,tabela_registros[DIA],abrtotal305971[[#Headers],[18]],tabela_registros[REGISTRO],DADOS!$N$4,tabela_registros[TIPO],DADOS!$P$4,tabela_registros[CATEGORIA],despesavariávelconsolidadoabr[[#This Row],[DESPESA VARIÁVEL]])</f>
        <v>0</v>
      </c>
      <c r="W66" s="119" t="n">
        <f aca="false">SUMIFS(tabela_registros[VALOR],tabela_registros[MÊS],$AE$1,tabela_registros[DIA],abrtotal305971[[#Headers],[19]],tabela_registros[REGISTRO],DADOS!$N$4,tabela_registros[TIPO],DADOS!$P$4,tabela_registros[CATEGORIA],despesavariávelconsolidadoabr[[#This Row],[DESPESA VARIÁVEL]])</f>
        <v>0</v>
      </c>
      <c r="X66" s="119" t="n">
        <f aca="false">SUMIFS(tabela_registros[VALOR],tabela_registros[MÊS],$AE$1,tabela_registros[DIA],abrtotal305971[[#Headers],[20]],tabela_registros[REGISTRO],DADOS!$N$4,tabela_registros[TIPO],DADOS!$P$4,tabela_registros[CATEGORIA],despesavariávelconsolidadoabr[[#This Row],[DESPESA VARIÁVEL]])</f>
        <v>0</v>
      </c>
      <c r="Y66" s="119" t="n">
        <f aca="false">SUMIFS(tabela_registros[VALOR],tabela_registros[MÊS],$AE$1,tabela_registros[DIA],abrtotal305971[[#Headers],[21]],tabela_registros[REGISTRO],DADOS!$N$4,tabela_registros[TIPO],DADOS!$P$4,tabela_registros[CATEGORIA],despesavariávelconsolidadoabr[[#This Row],[DESPESA VARIÁVEL]])</f>
        <v>0</v>
      </c>
      <c r="Z66" s="119" t="n">
        <f aca="false">SUMIFS(tabela_registros[VALOR],tabela_registros[MÊS],$AE$1,tabela_registros[DIA],abrtotal305971[[#Headers],[22]],tabela_registros[REGISTRO],DADOS!$N$4,tabela_registros[TIPO],DADOS!$P$4,tabela_registros[CATEGORIA],despesavariávelconsolidadoabr[[#This Row],[DESPESA VARIÁVEL]])</f>
        <v>0</v>
      </c>
      <c r="AA66" s="119" t="n">
        <f aca="false">SUMIFS(tabela_registros[VALOR],tabela_registros[MÊS],$AE$1,tabela_registros[DIA],abrtotal305971[[#Headers],[23]],tabela_registros[REGISTRO],DADOS!$N$4,tabela_registros[TIPO],DADOS!$P$4,tabela_registros[CATEGORIA],despesavariávelconsolidadoabr[[#This Row],[DESPESA VARIÁVEL]])</f>
        <v>0</v>
      </c>
      <c r="AB66" s="119" t="n">
        <f aca="false">SUMIFS(tabela_registros[VALOR],tabela_registros[MÊS],$AE$1,tabela_registros[DIA],abrtotal305971[[#Headers],[24]],tabela_registros[REGISTRO],DADOS!$N$4,tabela_registros[TIPO],DADOS!$P$4,tabela_registros[CATEGORIA],despesavariávelconsolidadoabr[[#This Row],[DESPESA VARIÁVEL]])</f>
        <v>0</v>
      </c>
      <c r="AC66" s="119" t="n">
        <f aca="false">SUMIFS(tabela_registros[VALOR],tabela_registros[MÊS],$AE$1,tabela_registros[DIA],abrtotal305971[[#Headers],[25]],tabela_registros[REGISTRO],DADOS!$N$4,tabela_registros[TIPO],DADOS!$P$4,tabela_registros[CATEGORIA],despesavariávelconsolidadoabr[[#This Row],[DESPESA VARIÁVEL]])</f>
        <v>0</v>
      </c>
      <c r="AD66" s="119" t="n">
        <f aca="false">SUMIFS(tabela_registros[VALOR],tabela_registros[MÊS],$AE$1,tabela_registros[DIA],abrtotal305971[[#Headers],[26]],tabela_registros[REGISTRO],DADOS!$N$4,tabela_registros[TIPO],DADOS!$P$4,tabela_registros[CATEGORIA],despesavariávelconsolidadoabr[[#This Row],[DESPESA VARIÁVEL]])</f>
        <v>0</v>
      </c>
      <c r="AE66" s="119" t="n">
        <f aca="false">SUMIFS(tabela_registros[VALOR],tabela_registros[MÊS],$AE$1,tabela_registros[DIA],abrtotal305971[[#Headers],[27]],tabela_registros[REGISTRO],DADOS!$N$4,tabela_registros[TIPO],DADOS!$P$4,tabela_registros[CATEGORIA],despesavariávelconsolidadoabr[[#This Row],[DESPESA VARIÁVEL]])</f>
        <v>0</v>
      </c>
      <c r="AF66" s="119" t="n">
        <f aca="false">SUMIFS(tabela_registros[VALOR],tabela_registros[MÊS],$AE$1,tabela_registros[DIA],abrtotal305971[[#Headers],[28]],tabela_registros[REGISTRO],DADOS!$N$4,tabela_registros[TIPO],DADOS!$P$4,tabela_registros[CATEGORIA],despesavariávelconsolidadoabr[[#This Row],[DESPESA VARIÁVEL]])</f>
        <v>0</v>
      </c>
      <c r="AG66" s="119" t="n">
        <f aca="false">SUMIFS(tabela_registros[VALOR],tabela_registros[MÊS],$AE$1,tabela_registros[DIA],abrtotal305971[[#Headers],[29]],tabela_registros[REGISTRO],DADOS!$N$4,tabela_registros[TIPO],DADOS!$P$4,tabela_registros[CATEGORIA],despesavariávelconsolidadoabr[[#This Row],[DESPESA VARIÁVEL]])</f>
        <v>0</v>
      </c>
      <c r="AH66" s="119" t="n">
        <f aca="false">SUMIFS(tabela_registros[VALOR],tabela_registros[MÊS],$AE$1,tabela_registros[DIA],abrtotal305971[[#Headers],[30]],tabela_registros[REGISTRO],DADOS!$N$4,tabela_registros[TIPO],DADOS!$P$4,tabela_registros[CATEGORIA],despesavariávelconsolidadoabr[[#This Row],[DESPESA VARIÁVEL]])</f>
        <v>0</v>
      </c>
      <c r="AI66" s="217" t="n">
        <f aca="false">SUMIFS(tabela_registros[VALOR],tabela_registros[MÊS],$AE$1,tabela_registros[DIA],abrtotal305971[[#Headers],[31]],tabela_registros[REGISTRO],DADOS!$N$4,tabela_registros[TIPO],DADOS!$P$4,tabela_registros[CATEGORIA],despesavariávelconsolidadoabr[[#This Row],[DESPESA VARIÁVEL]])</f>
        <v>0</v>
      </c>
      <c r="AJ66" s="149" t="n">
        <f aca="false">SUM(despesavariávelconsolidadoabr[[#This Row],[1]:[31]])</f>
        <v>0</v>
      </c>
      <c r="AK66" s="143"/>
    </row>
    <row r="67" customFormat="false" ht="18" hidden="false" customHeight="true" outlineLevel="0" collapsed="false">
      <c r="B67" s="143"/>
      <c r="C67" s="144" t="str">
        <f aca="false">DADOS!$T$10</f>
        <v>🛒 MERCADO</v>
      </c>
      <c r="D67" s="145" t="str">
        <f aca="false">IF(despesavariávelconsolidadoabr[[#This Row],[TOTAL]]=0,"",IF(OR(despesavariávelconsolidadoabr[[#This Row],[TOTAL]]=LARGE($AJ$60:$AJ$72,1),despesavariávelconsolidadoabr[[#This Row],[TOTAL]]=LARGE($AJ$60:$AJ$72,2),despesavariávelconsolidadoabr[[#This Row],[TOTAL]]=LARGE($AJ$60:$AJ$72,3),despesavariávelconsolidadoabr[[#This Row],[TOTAL]]=LARGE($AJ$60:$AJ$72,4),despesavariávelconsolidadoabr[[#This Row],[TOTAL]]=LARGE($AJ$60:$AJ$72,5)),DADOS!$I$8,""))</f>
        <v/>
      </c>
      <c r="E67" s="148" t="n">
        <f aca="false">SUMIFS(tabela_registros[VALOR],tabela_registros[MÊS],$AE$1,tabela_registros[DIA],abrtotal305971[[#Headers],[1]],tabela_registros[REGISTRO],DADOS!$N$4,tabela_registros[TIPO],DADOS!$P$4,tabela_registros[CATEGORIA],despesavariávelconsolidadoabr[[#This Row],[DESPESA VARIÁVEL]])</f>
        <v>0</v>
      </c>
      <c r="F67" s="119" t="n">
        <f aca="false">SUMIFS(tabela_registros[VALOR],tabela_registros[MÊS],$AE$1,tabela_registros[DIA],abrtotal305971[[#Headers],[2]],tabela_registros[REGISTRO],DADOS!$N$4,tabela_registros[TIPO],DADOS!$P$4,tabela_registros[CATEGORIA],despesavariávelconsolidadoabr[[#This Row],[DESPESA VARIÁVEL]])</f>
        <v>0</v>
      </c>
      <c r="G67" s="119" t="n">
        <f aca="false">SUMIFS(tabela_registros[VALOR],tabela_registros[MÊS],$AE$1,tabela_registros[DIA],abrtotal305971[[#Headers],[3]],tabela_registros[REGISTRO],DADOS!$N$4,tabela_registros[TIPO],DADOS!$P$4,tabela_registros[CATEGORIA],despesavariávelconsolidadoabr[[#This Row],[DESPESA VARIÁVEL]])</f>
        <v>0</v>
      </c>
      <c r="H67" s="119" t="n">
        <f aca="false">SUMIFS(tabela_registros[VALOR],tabela_registros[MÊS],$AE$1,tabela_registros[DIA],abrtotal305971[[#Headers],[4]],tabela_registros[REGISTRO],DADOS!$N$4,tabela_registros[TIPO],DADOS!$P$4,tabela_registros[CATEGORIA],despesavariávelconsolidadoabr[[#This Row],[DESPESA VARIÁVEL]])</f>
        <v>0</v>
      </c>
      <c r="I67" s="119" t="n">
        <f aca="false">SUMIFS(tabela_registros[VALOR],tabela_registros[MÊS],$AE$1,tabela_registros[DIA],abrtotal305971[[#Headers],[5]],tabela_registros[REGISTRO],DADOS!$N$4,tabela_registros[TIPO],DADOS!$P$4,tabela_registros[CATEGORIA],despesavariávelconsolidadoabr[[#This Row],[DESPESA VARIÁVEL]])</f>
        <v>0</v>
      </c>
      <c r="J67" s="119" t="n">
        <f aca="false">SUMIFS(tabela_registros[VALOR],tabela_registros[MÊS],$AE$1,tabela_registros[DIA],abrtotal305971[[#Headers],[6]],tabela_registros[REGISTRO],DADOS!$N$4,tabela_registros[TIPO],DADOS!$P$4,tabela_registros[CATEGORIA],despesavariávelconsolidadoabr[[#This Row],[DESPESA VARIÁVEL]])</f>
        <v>0</v>
      </c>
      <c r="K67" s="119" t="n">
        <f aca="false">SUMIFS(tabela_registros[VALOR],tabela_registros[MÊS],$AE$1,tabela_registros[DIA],abrtotal305971[[#Headers],[7]],tabela_registros[REGISTRO],DADOS!$N$4,tabela_registros[TIPO],DADOS!$P$4,tabela_registros[CATEGORIA],despesavariávelconsolidadoabr[[#This Row],[DESPESA VARIÁVEL]])</f>
        <v>0</v>
      </c>
      <c r="L67" s="119" t="n">
        <f aca="false">SUMIFS(tabela_registros[VALOR],tabela_registros[MÊS],$AE$1,tabela_registros[DIA],abrtotal305971[[#Headers],[8]],tabela_registros[REGISTRO],DADOS!$N$4,tabela_registros[TIPO],DADOS!$P$4,tabela_registros[CATEGORIA],despesavariávelconsolidadoabr[[#This Row],[DESPESA VARIÁVEL]])</f>
        <v>0</v>
      </c>
      <c r="M67" s="119" t="n">
        <f aca="false">SUMIFS(tabela_registros[VALOR],tabela_registros[MÊS],$AE$1,tabela_registros[DIA],abrtotal305971[[#Headers],[9]],tabela_registros[REGISTRO],DADOS!$N$4,tabela_registros[TIPO],DADOS!$P$4,tabela_registros[CATEGORIA],despesavariávelconsolidadoabr[[#This Row],[DESPESA VARIÁVEL]])</f>
        <v>0</v>
      </c>
      <c r="N67" s="119" t="n">
        <f aca="false">SUMIFS(tabela_registros[VALOR],tabela_registros[MÊS],$AE$1,tabela_registros[DIA],abrtotal305971[[#Headers],[10]],tabela_registros[REGISTRO],DADOS!$N$4,tabela_registros[TIPO],DADOS!$P$4,tabela_registros[CATEGORIA],despesavariávelconsolidadoabr[[#This Row],[DESPESA VARIÁVEL]])</f>
        <v>0</v>
      </c>
      <c r="O67" s="119" t="n">
        <f aca="false">SUMIFS(tabela_registros[VALOR],tabela_registros[MÊS],$AE$1,tabela_registros[DIA],abrtotal305971[[#Headers],[11]],tabela_registros[REGISTRO],DADOS!$N$4,tabela_registros[TIPO],DADOS!$P$4,tabela_registros[CATEGORIA],despesavariávelconsolidadoabr[[#This Row],[DESPESA VARIÁVEL]])</f>
        <v>0</v>
      </c>
      <c r="P67" s="119" t="n">
        <f aca="false">SUMIFS(tabela_registros[VALOR],tabela_registros[MÊS],$AE$1,tabela_registros[DIA],abrtotal305971[[#Headers],[12]],tabela_registros[REGISTRO],DADOS!$N$4,tabela_registros[TIPO],DADOS!$P$4,tabela_registros[CATEGORIA],despesavariávelconsolidadoabr[[#This Row],[DESPESA VARIÁVEL]])</f>
        <v>0</v>
      </c>
      <c r="Q67" s="119" t="n">
        <f aca="false">SUMIFS(tabela_registros[VALOR],tabela_registros[MÊS],$AE$1,tabela_registros[DIA],abrtotal305971[[#Headers],[13]],tabela_registros[REGISTRO],DADOS!$N$4,tabela_registros[TIPO],DADOS!$P$4,tabela_registros[CATEGORIA],despesavariávelconsolidadoabr[[#This Row],[DESPESA VARIÁVEL]])</f>
        <v>0</v>
      </c>
      <c r="R67" s="119" t="n">
        <f aca="false">SUMIFS(tabela_registros[VALOR],tabela_registros[MÊS],$AE$1,tabela_registros[DIA],abrtotal305971[[#Headers],[14]],tabela_registros[REGISTRO],DADOS!$N$4,tabela_registros[TIPO],DADOS!$P$4,tabela_registros[CATEGORIA],despesavariávelconsolidadoabr[[#This Row],[DESPESA VARIÁVEL]])</f>
        <v>0</v>
      </c>
      <c r="S67" s="119" t="n">
        <f aca="false">SUMIFS(tabela_registros[VALOR],tabela_registros[MÊS],$AE$1,tabela_registros[DIA],abrtotal305971[[#Headers],[15]],tabela_registros[REGISTRO],DADOS!$N$4,tabela_registros[TIPO],DADOS!$P$4,tabela_registros[CATEGORIA],despesavariávelconsolidadoabr[[#This Row],[DESPESA VARIÁVEL]])</f>
        <v>0</v>
      </c>
      <c r="T67" s="119" t="n">
        <f aca="false">SUMIFS(tabela_registros[VALOR],tabela_registros[MÊS],$AE$1,tabela_registros[DIA],abrtotal305971[[#Headers],[16]],tabela_registros[REGISTRO],DADOS!$N$4,tabela_registros[TIPO],DADOS!$P$4,tabela_registros[CATEGORIA],despesavariávelconsolidadoabr[[#This Row],[DESPESA VARIÁVEL]])</f>
        <v>0</v>
      </c>
      <c r="U67" s="119" t="n">
        <f aca="false">SUMIFS(tabela_registros[VALOR],tabela_registros[MÊS],$AE$1,tabela_registros[DIA],abrtotal305971[[#Headers],[17]],tabela_registros[REGISTRO],DADOS!$N$4,tabela_registros[TIPO],DADOS!$P$4,tabela_registros[CATEGORIA],despesavariávelconsolidadoabr[[#This Row],[DESPESA VARIÁVEL]])</f>
        <v>0</v>
      </c>
      <c r="V67" s="119" t="n">
        <f aca="false">SUMIFS(tabela_registros[VALOR],tabela_registros[MÊS],$AE$1,tabela_registros[DIA],abrtotal305971[[#Headers],[18]],tabela_registros[REGISTRO],DADOS!$N$4,tabela_registros[TIPO],DADOS!$P$4,tabela_registros[CATEGORIA],despesavariávelconsolidadoabr[[#This Row],[DESPESA VARIÁVEL]])</f>
        <v>0</v>
      </c>
      <c r="W67" s="119" t="n">
        <f aca="false">SUMIFS(tabela_registros[VALOR],tabela_registros[MÊS],$AE$1,tabela_registros[DIA],abrtotal305971[[#Headers],[19]],tabela_registros[REGISTRO],DADOS!$N$4,tabela_registros[TIPO],DADOS!$P$4,tabela_registros[CATEGORIA],despesavariávelconsolidadoabr[[#This Row],[DESPESA VARIÁVEL]])</f>
        <v>0</v>
      </c>
      <c r="X67" s="119" t="n">
        <f aca="false">SUMIFS(tabela_registros[VALOR],tabela_registros[MÊS],$AE$1,tabela_registros[DIA],abrtotal305971[[#Headers],[20]],tabela_registros[REGISTRO],DADOS!$N$4,tabela_registros[TIPO],DADOS!$P$4,tabela_registros[CATEGORIA],despesavariávelconsolidadoabr[[#This Row],[DESPESA VARIÁVEL]])</f>
        <v>0</v>
      </c>
      <c r="Y67" s="119" t="n">
        <f aca="false">SUMIFS(tabela_registros[VALOR],tabela_registros[MÊS],$AE$1,tabela_registros[DIA],abrtotal305971[[#Headers],[21]],tabela_registros[REGISTRO],DADOS!$N$4,tabela_registros[TIPO],DADOS!$P$4,tabela_registros[CATEGORIA],despesavariávelconsolidadoabr[[#This Row],[DESPESA VARIÁVEL]])</f>
        <v>0</v>
      </c>
      <c r="Z67" s="119" t="n">
        <f aca="false">SUMIFS(tabela_registros[VALOR],tabela_registros[MÊS],$AE$1,tabela_registros[DIA],abrtotal305971[[#Headers],[22]],tabela_registros[REGISTRO],DADOS!$N$4,tabela_registros[TIPO],DADOS!$P$4,tabela_registros[CATEGORIA],despesavariávelconsolidadoabr[[#This Row],[DESPESA VARIÁVEL]])</f>
        <v>0</v>
      </c>
      <c r="AA67" s="119" t="n">
        <f aca="false">SUMIFS(tabela_registros[VALOR],tabela_registros[MÊS],$AE$1,tabela_registros[DIA],abrtotal305971[[#Headers],[23]],tabela_registros[REGISTRO],DADOS!$N$4,tabela_registros[TIPO],DADOS!$P$4,tabela_registros[CATEGORIA],despesavariávelconsolidadoabr[[#This Row],[DESPESA VARIÁVEL]])</f>
        <v>0</v>
      </c>
      <c r="AB67" s="119" t="n">
        <f aca="false">SUMIFS(tabela_registros[VALOR],tabela_registros[MÊS],$AE$1,tabela_registros[DIA],abrtotal305971[[#Headers],[24]],tabela_registros[REGISTRO],DADOS!$N$4,tabela_registros[TIPO],DADOS!$P$4,tabela_registros[CATEGORIA],despesavariávelconsolidadoabr[[#This Row],[DESPESA VARIÁVEL]])</f>
        <v>0</v>
      </c>
      <c r="AC67" s="119" t="n">
        <f aca="false">SUMIFS(tabela_registros[VALOR],tabela_registros[MÊS],$AE$1,tabela_registros[DIA],abrtotal305971[[#Headers],[25]],tabela_registros[REGISTRO],DADOS!$N$4,tabela_registros[TIPO],DADOS!$P$4,tabela_registros[CATEGORIA],despesavariávelconsolidadoabr[[#This Row],[DESPESA VARIÁVEL]])</f>
        <v>0</v>
      </c>
      <c r="AD67" s="119" t="n">
        <f aca="false">SUMIFS(tabela_registros[VALOR],tabela_registros[MÊS],$AE$1,tabela_registros[DIA],abrtotal305971[[#Headers],[26]],tabela_registros[REGISTRO],DADOS!$N$4,tabela_registros[TIPO],DADOS!$P$4,tabela_registros[CATEGORIA],despesavariávelconsolidadoabr[[#This Row],[DESPESA VARIÁVEL]])</f>
        <v>0</v>
      </c>
      <c r="AE67" s="119" t="n">
        <f aca="false">SUMIFS(tabela_registros[VALOR],tabela_registros[MÊS],$AE$1,tabela_registros[DIA],abrtotal305971[[#Headers],[27]],tabela_registros[REGISTRO],DADOS!$N$4,tabela_registros[TIPO],DADOS!$P$4,tabela_registros[CATEGORIA],despesavariávelconsolidadoabr[[#This Row],[DESPESA VARIÁVEL]])</f>
        <v>0</v>
      </c>
      <c r="AF67" s="119" t="n">
        <f aca="false">SUMIFS(tabela_registros[VALOR],tabela_registros[MÊS],$AE$1,tabela_registros[DIA],abrtotal305971[[#Headers],[28]],tabela_registros[REGISTRO],DADOS!$N$4,tabela_registros[TIPO],DADOS!$P$4,tabela_registros[CATEGORIA],despesavariávelconsolidadoabr[[#This Row],[DESPESA VARIÁVEL]])</f>
        <v>0</v>
      </c>
      <c r="AG67" s="119" t="n">
        <f aca="false">SUMIFS(tabela_registros[VALOR],tabela_registros[MÊS],$AE$1,tabela_registros[DIA],abrtotal305971[[#Headers],[29]],tabela_registros[REGISTRO],DADOS!$N$4,tabela_registros[TIPO],DADOS!$P$4,tabela_registros[CATEGORIA],despesavariávelconsolidadoabr[[#This Row],[DESPESA VARIÁVEL]])</f>
        <v>0</v>
      </c>
      <c r="AH67" s="119" t="n">
        <f aca="false">SUMIFS(tabela_registros[VALOR],tabela_registros[MÊS],$AE$1,tabela_registros[DIA],abrtotal305971[[#Headers],[30]],tabela_registros[REGISTRO],DADOS!$N$4,tabela_registros[TIPO],DADOS!$P$4,tabela_registros[CATEGORIA],despesavariávelconsolidadoabr[[#This Row],[DESPESA VARIÁVEL]])</f>
        <v>0</v>
      </c>
      <c r="AI67" s="217" t="n">
        <f aca="false">SUMIFS(tabela_registros[VALOR],tabela_registros[MÊS],$AE$1,tabela_registros[DIA],abrtotal305971[[#Headers],[31]],tabela_registros[REGISTRO],DADOS!$N$4,tabela_registros[TIPO],DADOS!$P$4,tabela_registros[CATEGORIA],despesavariávelconsolidadoabr[[#This Row],[DESPESA VARIÁVEL]])</f>
        <v>0</v>
      </c>
      <c r="AJ67" s="149" t="n">
        <f aca="false">SUM(despesavariávelconsolidadoabr[[#This Row],[1]:[31]])</f>
        <v>0</v>
      </c>
      <c r="AK67" s="143"/>
    </row>
    <row r="68" customFormat="false" ht="18" hidden="false" customHeight="true" outlineLevel="0" collapsed="false">
      <c r="B68" s="143"/>
      <c r="C68" s="144" t="str">
        <f aca="false">DADOS!$T$11</f>
        <v>🎁 PRESENTES</v>
      </c>
      <c r="D68" s="145" t="str">
        <f aca="false">IF(despesavariávelconsolidadoabr[[#This Row],[TOTAL]]=0,"",IF(OR(despesavariávelconsolidadoabr[[#This Row],[TOTAL]]=LARGE($AJ$60:$AJ$72,1),despesavariávelconsolidadoabr[[#This Row],[TOTAL]]=LARGE($AJ$60:$AJ$72,2),despesavariávelconsolidadoabr[[#This Row],[TOTAL]]=LARGE($AJ$60:$AJ$72,3),despesavariávelconsolidadoabr[[#This Row],[TOTAL]]=LARGE($AJ$60:$AJ$72,4),despesavariávelconsolidadoabr[[#This Row],[TOTAL]]=LARGE($AJ$60:$AJ$72,5)),DADOS!$I$8,""))</f>
        <v/>
      </c>
      <c r="E68" s="148" t="n">
        <f aca="false">SUMIFS(tabela_registros[VALOR],tabela_registros[MÊS],$AE$1,tabela_registros[DIA],abrtotal305971[[#Headers],[1]],tabela_registros[REGISTRO],DADOS!$N$4,tabela_registros[TIPO],DADOS!$P$4,tabela_registros[CATEGORIA],despesavariávelconsolidadoabr[[#This Row],[DESPESA VARIÁVEL]])</f>
        <v>0</v>
      </c>
      <c r="F68" s="119" t="n">
        <f aca="false">SUMIFS(tabela_registros[VALOR],tabela_registros[MÊS],$AE$1,tabela_registros[DIA],abrtotal305971[[#Headers],[2]],tabela_registros[REGISTRO],DADOS!$N$4,tabela_registros[TIPO],DADOS!$P$4,tabela_registros[CATEGORIA],despesavariávelconsolidadoabr[[#This Row],[DESPESA VARIÁVEL]])</f>
        <v>0</v>
      </c>
      <c r="G68" s="119" t="n">
        <f aca="false">SUMIFS(tabela_registros[VALOR],tabela_registros[MÊS],$AE$1,tabela_registros[DIA],abrtotal305971[[#Headers],[3]],tabela_registros[REGISTRO],DADOS!$N$4,tabela_registros[TIPO],DADOS!$P$4,tabela_registros[CATEGORIA],despesavariávelconsolidadoabr[[#This Row],[DESPESA VARIÁVEL]])</f>
        <v>0</v>
      </c>
      <c r="H68" s="119" t="n">
        <f aca="false">SUMIFS(tabela_registros[VALOR],tabela_registros[MÊS],$AE$1,tabela_registros[DIA],abrtotal305971[[#Headers],[4]],tabela_registros[REGISTRO],DADOS!$N$4,tabela_registros[TIPO],DADOS!$P$4,tabela_registros[CATEGORIA],despesavariávelconsolidadoabr[[#This Row],[DESPESA VARIÁVEL]])</f>
        <v>0</v>
      </c>
      <c r="I68" s="119" t="n">
        <f aca="false">SUMIFS(tabela_registros[VALOR],tabela_registros[MÊS],$AE$1,tabela_registros[DIA],abrtotal305971[[#Headers],[5]],tabela_registros[REGISTRO],DADOS!$N$4,tabela_registros[TIPO],DADOS!$P$4,tabela_registros[CATEGORIA],despesavariávelconsolidadoabr[[#This Row],[DESPESA VARIÁVEL]])</f>
        <v>0</v>
      </c>
      <c r="J68" s="119" t="n">
        <f aca="false">SUMIFS(tabela_registros[VALOR],tabela_registros[MÊS],$AE$1,tabela_registros[DIA],abrtotal305971[[#Headers],[6]],tabela_registros[REGISTRO],DADOS!$N$4,tabela_registros[TIPO],DADOS!$P$4,tabela_registros[CATEGORIA],despesavariávelconsolidadoabr[[#This Row],[DESPESA VARIÁVEL]])</f>
        <v>0</v>
      </c>
      <c r="K68" s="119" t="n">
        <f aca="false">SUMIFS(tabela_registros[VALOR],tabela_registros[MÊS],$AE$1,tabela_registros[DIA],abrtotal305971[[#Headers],[7]],tabela_registros[REGISTRO],DADOS!$N$4,tabela_registros[TIPO],DADOS!$P$4,tabela_registros[CATEGORIA],despesavariávelconsolidadoabr[[#This Row],[DESPESA VARIÁVEL]])</f>
        <v>0</v>
      </c>
      <c r="L68" s="119" t="n">
        <f aca="false">SUMIFS(tabela_registros[VALOR],tabela_registros[MÊS],$AE$1,tabela_registros[DIA],abrtotal305971[[#Headers],[8]],tabela_registros[REGISTRO],DADOS!$N$4,tabela_registros[TIPO],DADOS!$P$4,tabela_registros[CATEGORIA],despesavariávelconsolidadoabr[[#This Row],[DESPESA VARIÁVEL]])</f>
        <v>0</v>
      </c>
      <c r="M68" s="119" t="n">
        <f aca="false">SUMIFS(tabela_registros[VALOR],tabela_registros[MÊS],$AE$1,tabela_registros[DIA],abrtotal305971[[#Headers],[9]],tabela_registros[REGISTRO],DADOS!$N$4,tabela_registros[TIPO],DADOS!$P$4,tabela_registros[CATEGORIA],despesavariávelconsolidadoabr[[#This Row],[DESPESA VARIÁVEL]])</f>
        <v>0</v>
      </c>
      <c r="N68" s="119" t="n">
        <f aca="false">SUMIFS(tabela_registros[VALOR],tabela_registros[MÊS],$AE$1,tabela_registros[DIA],abrtotal305971[[#Headers],[10]],tabela_registros[REGISTRO],DADOS!$N$4,tabela_registros[TIPO],DADOS!$P$4,tabela_registros[CATEGORIA],despesavariávelconsolidadoabr[[#This Row],[DESPESA VARIÁVEL]])</f>
        <v>0</v>
      </c>
      <c r="O68" s="119" t="n">
        <f aca="false">SUMIFS(tabela_registros[VALOR],tabela_registros[MÊS],$AE$1,tabela_registros[DIA],abrtotal305971[[#Headers],[11]],tabela_registros[REGISTRO],DADOS!$N$4,tabela_registros[TIPO],DADOS!$P$4,tabela_registros[CATEGORIA],despesavariávelconsolidadoabr[[#This Row],[DESPESA VARIÁVEL]])</f>
        <v>0</v>
      </c>
      <c r="P68" s="119" t="n">
        <f aca="false">SUMIFS(tabela_registros[VALOR],tabela_registros[MÊS],$AE$1,tabela_registros[DIA],abrtotal305971[[#Headers],[12]],tabela_registros[REGISTRO],DADOS!$N$4,tabela_registros[TIPO],DADOS!$P$4,tabela_registros[CATEGORIA],despesavariávelconsolidadoabr[[#This Row],[DESPESA VARIÁVEL]])</f>
        <v>0</v>
      </c>
      <c r="Q68" s="119" t="n">
        <f aca="false">SUMIFS(tabela_registros[VALOR],tabela_registros[MÊS],$AE$1,tabela_registros[DIA],abrtotal305971[[#Headers],[13]],tabela_registros[REGISTRO],DADOS!$N$4,tabela_registros[TIPO],DADOS!$P$4,tabela_registros[CATEGORIA],despesavariávelconsolidadoabr[[#This Row],[DESPESA VARIÁVEL]])</f>
        <v>0</v>
      </c>
      <c r="R68" s="119" t="n">
        <f aca="false">SUMIFS(tabela_registros[VALOR],tabela_registros[MÊS],$AE$1,tabela_registros[DIA],abrtotal305971[[#Headers],[14]],tabela_registros[REGISTRO],DADOS!$N$4,tabela_registros[TIPO],DADOS!$P$4,tabela_registros[CATEGORIA],despesavariávelconsolidadoabr[[#This Row],[DESPESA VARIÁVEL]])</f>
        <v>0</v>
      </c>
      <c r="S68" s="119" t="n">
        <f aca="false">SUMIFS(tabela_registros[VALOR],tabela_registros[MÊS],$AE$1,tabela_registros[DIA],abrtotal305971[[#Headers],[15]],tabela_registros[REGISTRO],DADOS!$N$4,tabela_registros[TIPO],DADOS!$P$4,tabela_registros[CATEGORIA],despesavariávelconsolidadoabr[[#This Row],[DESPESA VARIÁVEL]])</f>
        <v>0</v>
      </c>
      <c r="T68" s="119" t="n">
        <f aca="false">SUMIFS(tabela_registros[VALOR],tabela_registros[MÊS],$AE$1,tabela_registros[DIA],abrtotal305971[[#Headers],[16]],tabela_registros[REGISTRO],DADOS!$N$4,tabela_registros[TIPO],DADOS!$P$4,tabela_registros[CATEGORIA],despesavariávelconsolidadoabr[[#This Row],[DESPESA VARIÁVEL]])</f>
        <v>0</v>
      </c>
      <c r="U68" s="119" t="n">
        <f aca="false">SUMIFS(tabela_registros[VALOR],tabela_registros[MÊS],$AE$1,tabela_registros[DIA],abrtotal305971[[#Headers],[17]],tabela_registros[REGISTRO],DADOS!$N$4,tabela_registros[TIPO],DADOS!$P$4,tabela_registros[CATEGORIA],despesavariávelconsolidadoabr[[#This Row],[DESPESA VARIÁVEL]])</f>
        <v>0</v>
      </c>
      <c r="V68" s="119" t="n">
        <f aca="false">SUMIFS(tabela_registros[VALOR],tabela_registros[MÊS],$AE$1,tabela_registros[DIA],abrtotal305971[[#Headers],[18]],tabela_registros[REGISTRO],DADOS!$N$4,tabela_registros[TIPO],DADOS!$P$4,tabela_registros[CATEGORIA],despesavariávelconsolidadoabr[[#This Row],[DESPESA VARIÁVEL]])</f>
        <v>0</v>
      </c>
      <c r="W68" s="119" t="n">
        <f aca="false">SUMIFS(tabela_registros[VALOR],tabela_registros[MÊS],$AE$1,tabela_registros[DIA],abrtotal305971[[#Headers],[19]],tabela_registros[REGISTRO],DADOS!$N$4,tabela_registros[TIPO],DADOS!$P$4,tabela_registros[CATEGORIA],despesavariávelconsolidadoabr[[#This Row],[DESPESA VARIÁVEL]])</f>
        <v>0</v>
      </c>
      <c r="X68" s="119" t="n">
        <f aca="false">SUMIFS(tabela_registros[VALOR],tabela_registros[MÊS],$AE$1,tabela_registros[DIA],abrtotal305971[[#Headers],[20]],tabela_registros[REGISTRO],DADOS!$N$4,tabela_registros[TIPO],DADOS!$P$4,tabela_registros[CATEGORIA],despesavariávelconsolidadoabr[[#This Row],[DESPESA VARIÁVEL]])</f>
        <v>0</v>
      </c>
      <c r="Y68" s="119" t="n">
        <f aca="false">SUMIFS(tabela_registros[VALOR],tabela_registros[MÊS],$AE$1,tabela_registros[DIA],abrtotal305971[[#Headers],[21]],tabela_registros[REGISTRO],DADOS!$N$4,tabela_registros[TIPO],DADOS!$P$4,tabela_registros[CATEGORIA],despesavariávelconsolidadoabr[[#This Row],[DESPESA VARIÁVEL]])</f>
        <v>0</v>
      </c>
      <c r="Z68" s="119" t="n">
        <f aca="false">SUMIFS(tabela_registros[VALOR],tabela_registros[MÊS],$AE$1,tabela_registros[DIA],abrtotal305971[[#Headers],[22]],tabela_registros[REGISTRO],DADOS!$N$4,tabela_registros[TIPO],DADOS!$P$4,tabela_registros[CATEGORIA],despesavariávelconsolidadoabr[[#This Row],[DESPESA VARIÁVEL]])</f>
        <v>0</v>
      </c>
      <c r="AA68" s="119" t="n">
        <f aca="false">SUMIFS(tabela_registros[VALOR],tabela_registros[MÊS],$AE$1,tabela_registros[DIA],abrtotal305971[[#Headers],[23]],tabela_registros[REGISTRO],DADOS!$N$4,tabela_registros[TIPO],DADOS!$P$4,tabela_registros[CATEGORIA],despesavariávelconsolidadoabr[[#This Row],[DESPESA VARIÁVEL]])</f>
        <v>0</v>
      </c>
      <c r="AB68" s="119" t="n">
        <f aca="false">SUMIFS(tabela_registros[VALOR],tabela_registros[MÊS],$AE$1,tabela_registros[DIA],abrtotal305971[[#Headers],[24]],tabela_registros[REGISTRO],DADOS!$N$4,tabela_registros[TIPO],DADOS!$P$4,tabela_registros[CATEGORIA],despesavariávelconsolidadoabr[[#This Row],[DESPESA VARIÁVEL]])</f>
        <v>0</v>
      </c>
      <c r="AC68" s="119" t="n">
        <f aca="false">SUMIFS(tabela_registros[VALOR],tabela_registros[MÊS],$AE$1,tabela_registros[DIA],abrtotal305971[[#Headers],[25]],tabela_registros[REGISTRO],DADOS!$N$4,tabela_registros[TIPO],DADOS!$P$4,tabela_registros[CATEGORIA],despesavariávelconsolidadoabr[[#This Row],[DESPESA VARIÁVEL]])</f>
        <v>0</v>
      </c>
      <c r="AD68" s="119" t="n">
        <f aca="false">SUMIFS(tabela_registros[VALOR],tabela_registros[MÊS],$AE$1,tabela_registros[DIA],abrtotal305971[[#Headers],[26]],tabela_registros[REGISTRO],DADOS!$N$4,tabela_registros[TIPO],DADOS!$P$4,tabela_registros[CATEGORIA],despesavariávelconsolidadoabr[[#This Row],[DESPESA VARIÁVEL]])</f>
        <v>0</v>
      </c>
      <c r="AE68" s="119" t="n">
        <f aca="false">SUMIFS(tabela_registros[VALOR],tabela_registros[MÊS],$AE$1,tabela_registros[DIA],abrtotal305971[[#Headers],[27]],tabela_registros[REGISTRO],DADOS!$N$4,tabela_registros[TIPO],DADOS!$P$4,tabela_registros[CATEGORIA],despesavariávelconsolidadoabr[[#This Row],[DESPESA VARIÁVEL]])</f>
        <v>0</v>
      </c>
      <c r="AF68" s="119" t="n">
        <f aca="false">SUMIFS(tabela_registros[VALOR],tabela_registros[MÊS],$AE$1,tabela_registros[DIA],abrtotal305971[[#Headers],[28]],tabela_registros[REGISTRO],DADOS!$N$4,tabela_registros[TIPO],DADOS!$P$4,tabela_registros[CATEGORIA],despesavariávelconsolidadoabr[[#This Row],[DESPESA VARIÁVEL]])</f>
        <v>0</v>
      </c>
      <c r="AG68" s="119" t="n">
        <f aca="false">SUMIFS(tabela_registros[VALOR],tabela_registros[MÊS],$AE$1,tabela_registros[DIA],abrtotal305971[[#Headers],[29]],tabela_registros[REGISTRO],DADOS!$N$4,tabela_registros[TIPO],DADOS!$P$4,tabela_registros[CATEGORIA],despesavariávelconsolidadoabr[[#This Row],[DESPESA VARIÁVEL]])</f>
        <v>0</v>
      </c>
      <c r="AH68" s="119" t="n">
        <f aca="false">SUMIFS(tabela_registros[VALOR],tabela_registros[MÊS],$AE$1,tabela_registros[DIA],abrtotal305971[[#Headers],[30]],tabela_registros[REGISTRO],DADOS!$N$4,tabela_registros[TIPO],DADOS!$P$4,tabela_registros[CATEGORIA],despesavariávelconsolidadoabr[[#This Row],[DESPESA VARIÁVEL]])</f>
        <v>0</v>
      </c>
      <c r="AI68" s="217" t="n">
        <f aca="false">SUMIFS(tabela_registros[VALOR],tabela_registros[MÊS],$AE$1,tabela_registros[DIA],abrtotal305971[[#Headers],[31]],tabela_registros[REGISTRO],DADOS!$N$4,tabela_registros[TIPO],DADOS!$P$4,tabela_registros[CATEGORIA],despesavariávelconsolidadoabr[[#This Row],[DESPESA VARIÁVEL]])</f>
        <v>0</v>
      </c>
      <c r="AJ68" s="149" t="n">
        <f aca="false">SUM(despesavariávelconsolidadoabr[[#This Row],[1]:[31]])</f>
        <v>0</v>
      </c>
      <c r="AK68" s="143"/>
    </row>
    <row r="69" customFormat="false" ht="18" hidden="false" customHeight="true" outlineLevel="0" collapsed="false">
      <c r="B69" s="143"/>
      <c r="C69" s="144" t="str">
        <f aca="false">DADOS!$T$12</f>
        <v>💊 SAÚDE</v>
      </c>
      <c r="D69" s="145" t="str">
        <f aca="false">IF(despesavariávelconsolidadoabr[[#This Row],[TOTAL]]=0,"",IF(OR(despesavariávelconsolidadoabr[[#This Row],[TOTAL]]=LARGE($AJ$60:$AJ$72,1),despesavariávelconsolidadoabr[[#This Row],[TOTAL]]=LARGE($AJ$60:$AJ$72,2),despesavariávelconsolidadoabr[[#This Row],[TOTAL]]=LARGE($AJ$60:$AJ$72,3),despesavariávelconsolidadoabr[[#This Row],[TOTAL]]=LARGE($AJ$60:$AJ$72,4),despesavariávelconsolidadoabr[[#This Row],[TOTAL]]=LARGE($AJ$60:$AJ$72,5)),DADOS!$I$8,""))</f>
        <v/>
      </c>
      <c r="E69" s="148" t="n">
        <f aca="false">SUMIFS(tabela_registros[VALOR],tabela_registros[MÊS],$AE$1,tabela_registros[DIA],abrtotal305971[[#Headers],[1]],tabela_registros[REGISTRO],DADOS!$N$4,tabela_registros[TIPO],DADOS!$P$4,tabela_registros[CATEGORIA],despesavariávelconsolidadoabr[[#This Row],[DESPESA VARIÁVEL]])</f>
        <v>0</v>
      </c>
      <c r="F69" s="119" t="n">
        <f aca="false">SUMIFS(tabela_registros[VALOR],tabela_registros[MÊS],$AE$1,tabela_registros[DIA],abrtotal305971[[#Headers],[2]],tabela_registros[REGISTRO],DADOS!$N$4,tabela_registros[TIPO],DADOS!$P$4,tabela_registros[CATEGORIA],despesavariávelconsolidadoabr[[#This Row],[DESPESA VARIÁVEL]])</f>
        <v>0</v>
      </c>
      <c r="G69" s="119" t="n">
        <f aca="false">SUMIFS(tabela_registros[VALOR],tabela_registros[MÊS],$AE$1,tabela_registros[DIA],abrtotal305971[[#Headers],[3]],tabela_registros[REGISTRO],DADOS!$N$4,tabela_registros[TIPO],DADOS!$P$4,tabela_registros[CATEGORIA],despesavariávelconsolidadoabr[[#This Row],[DESPESA VARIÁVEL]])</f>
        <v>0</v>
      </c>
      <c r="H69" s="119" t="n">
        <f aca="false">SUMIFS(tabela_registros[VALOR],tabela_registros[MÊS],$AE$1,tabela_registros[DIA],abrtotal305971[[#Headers],[4]],tabela_registros[REGISTRO],DADOS!$N$4,tabela_registros[TIPO],DADOS!$P$4,tabela_registros[CATEGORIA],despesavariávelconsolidadoabr[[#This Row],[DESPESA VARIÁVEL]])</f>
        <v>0</v>
      </c>
      <c r="I69" s="119" t="n">
        <f aca="false">SUMIFS(tabela_registros[VALOR],tabela_registros[MÊS],$AE$1,tabela_registros[DIA],abrtotal305971[[#Headers],[5]],tabela_registros[REGISTRO],DADOS!$N$4,tabela_registros[TIPO],DADOS!$P$4,tabela_registros[CATEGORIA],despesavariávelconsolidadoabr[[#This Row],[DESPESA VARIÁVEL]])</f>
        <v>0</v>
      </c>
      <c r="J69" s="119" t="n">
        <f aca="false">SUMIFS(tabela_registros[VALOR],tabela_registros[MÊS],$AE$1,tabela_registros[DIA],abrtotal305971[[#Headers],[6]],tabela_registros[REGISTRO],DADOS!$N$4,tabela_registros[TIPO],DADOS!$P$4,tabela_registros[CATEGORIA],despesavariávelconsolidadoabr[[#This Row],[DESPESA VARIÁVEL]])</f>
        <v>0</v>
      </c>
      <c r="K69" s="119" t="n">
        <f aca="false">SUMIFS(tabela_registros[VALOR],tabela_registros[MÊS],$AE$1,tabela_registros[DIA],abrtotal305971[[#Headers],[7]],tabela_registros[REGISTRO],DADOS!$N$4,tabela_registros[TIPO],DADOS!$P$4,tabela_registros[CATEGORIA],despesavariávelconsolidadoabr[[#This Row],[DESPESA VARIÁVEL]])</f>
        <v>0</v>
      </c>
      <c r="L69" s="119" t="n">
        <f aca="false">SUMIFS(tabela_registros[VALOR],tabela_registros[MÊS],$AE$1,tabela_registros[DIA],abrtotal305971[[#Headers],[8]],tabela_registros[REGISTRO],DADOS!$N$4,tabela_registros[TIPO],DADOS!$P$4,tabela_registros[CATEGORIA],despesavariávelconsolidadoabr[[#This Row],[DESPESA VARIÁVEL]])</f>
        <v>0</v>
      </c>
      <c r="M69" s="119" t="n">
        <f aca="false">SUMIFS(tabela_registros[VALOR],tabela_registros[MÊS],$AE$1,tabela_registros[DIA],abrtotal305971[[#Headers],[9]],tabela_registros[REGISTRO],DADOS!$N$4,tabela_registros[TIPO],DADOS!$P$4,tabela_registros[CATEGORIA],despesavariávelconsolidadoabr[[#This Row],[DESPESA VARIÁVEL]])</f>
        <v>0</v>
      </c>
      <c r="N69" s="119" t="n">
        <f aca="false">SUMIFS(tabela_registros[VALOR],tabela_registros[MÊS],$AE$1,tabela_registros[DIA],abrtotal305971[[#Headers],[10]],tabela_registros[REGISTRO],DADOS!$N$4,tabela_registros[TIPO],DADOS!$P$4,tabela_registros[CATEGORIA],despesavariávelconsolidadoabr[[#This Row],[DESPESA VARIÁVEL]])</f>
        <v>0</v>
      </c>
      <c r="O69" s="119" t="n">
        <f aca="false">SUMIFS(tabela_registros[VALOR],tabela_registros[MÊS],$AE$1,tabela_registros[DIA],abrtotal305971[[#Headers],[11]],tabela_registros[REGISTRO],DADOS!$N$4,tabela_registros[TIPO],DADOS!$P$4,tabela_registros[CATEGORIA],despesavariávelconsolidadoabr[[#This Row],[DESPESA VARIÁVEL]])</f>
        <v>0</v>
      </c>
      <c r="P69" s="119" t="n">
        <f aca="false">SUMIFS(tabela_registros[VALOR],tabela_registros[MÊS],$AE$1,tabela_registros[DIA],abrtotal305971[[#Headers],[12]],tabela_registros[REGISTRO],DADOS!$N$4,tabela_registros[TIPO],DADOS!$P$4,tabela_registros[CATEGORIA],despesavariávelconsolidadoabr[[#This Row],[DESPESA VARIÁVEL]])</f>
        <v>0</v>
      </c>
      <c r="Q69" s="119" t="n">
        <f aca="false">SUMIFS(tabela_registros[VALOR],tabela_registros[MÊS],$AE$1,tabela_registros[DIA],abrtotal305971[[#Headers],[13]],tabela_registros[REGISTRO],DADOS!$N$4,tabela_registros[TIPO],DADOS!$P$4,tabela_registros[CATEGORIA],despesavariávelconsolidadoabr[[#This Row],[DESPESA VARIÁVEL]])</f>
        <v>0</v>
      </c>
      <c r="R69" s="119" t="n">
        <f aca="false">SUMIFS(tabela_registros[VALOR],tabela_registros[MÊS],$AE$1,tabela_registros[DIA],abrtotal305971[[#Headers],[14]],tabela_registros[REGISTRO],DADOS!$N$4,tabela_registros[TIPO],DADOS!$P$4,tabela_registros[CATEGORIA],despesavariávelconsolidadoabr[[#This Row],[DESPESA VARIÁVEL]])</f>
        <v>0</v>
      </c>
      <c r="S69" s="119" t="n">
        <f aca="false">SUMIFS(tabela_registros[VALOR],tabela_registros[MÊS],$AE$1,tabela_registros[DIA],abrtotal305971[[#Headers],[15]],tabela_registros[REGISTRO],DADOS!$N$4,tabela_registros[TIPO],DADOS!$P$4,tabela_registros[CATEGORIA],despesavariávelconsolidadoabr[[#This Row],[DESPESA VARIÁVEL]])</f>
        <v>0</v>
      </c>
      <c r="T69" s="119" t="n">
        <f aca="false">SUMIFS(tabela_registros[VALOR],tabela_registros[MÊS],$AE$1,tabela_registros[DIA],abrtotal305971[[#Headers],[16]],tabela_registros[REGISTRO],DADOS!$N$4,tabela_registros[TIPO],DADOS!$P$4,tabela_registros[CATEGORIA],despesavariávelconsolidadoabr[[#This Row],[DESPESA VARIÁVEL]])</f>
        <v>0</v>
      </c>
      <c r="U69" s="119" t="n">
        <f aca="false">SUMIFS(tabela_registros[VALOR],tabela_registros[MÊS],$AE$1,tabela_registros[DIA],abrtotal305971[[#Headers],[17]],tabela_registros[REGISTRO],DADOS!$N$4,tabela_registros[TIPO],DADOS!$P$4,tabela_registros[CATEGORIA],despesavariávelconsolidadoabr[[#This Row],[DESPESA VARIÁVEL]])</f>
        <v>0</v>
      </c>
      <c r="V69" s="119" t="n">
        <f aca="false">SUMIFS(tabela_registros[VALOR],tabela_registros[MÊS],$AE$1,tabela_registros[DIA],abrtotal305971[[#Headers],[18]],tabela_registros[REGISTRO],DADOS!$N$4,tabela_registros[TIPO],DADOS!$P$4,tabela_registros[CATEGORIA],despesavariávelconsolidadoabr[[#This Row],[DESPESA VARIÁVEL]])</f>
        <v>0</v>
      </c>
      <c r="W69" s="119" t="n">
        <f aca="false">SUMIFS(tabela_registros[VALOR],tabela_registros[MÊS],$AE$1,tabela_registros[DIA],abrtotal305971[[#Headers],[19]],tabela_registros[REGISTRO],DADOS!$N$4,tabela_registros[TIPO],DADOS!$P$4,tabela_registros[CATEGORIA],despesavariávelconsolidadoabr[[#This Row],[DESPESA VARIÁVEL]])</f>
        <v>0</v>
      </c>
      <c r="X69" s="119" t="n">
        <f aca="false">SUMIFS(tabela_registros[VALOR],tabela_registros[MÊS],$AE$1,tabela_registros[DIA],abrtotal305971[[#Headers],[20]],tabela_registros[REGISTRO],DADOS!$N$4,tabela_registros[TIPO],DADOS!$P$4,tabela_registros[CATEGORIA],despesavariávelconsolidadoabr[[#This Row],[DESPESA VARIÁVEL]])</f>
        <v>0</v>
      </c>
      <c r="Y69" s="119" t="n">
        <f aca="false">SUMIFS(tabela_registros[VALOR],tabela_registros[MÊS],$AE$1,tabela_registros[DIA],abrtotal305971[[#Headers],[21]],tabela_registros[REGISTRO],DADOS!$N$4,tabela_registros[TIPO],DADOS!$P$4,tabela_registros[CATEGORIA],despesavariávelconsolidadoabr[[#This Row],[DESPESA VARIÁVEL]])</f>
        <v>0</v>
      </c>
      <c r="Z69" s="119" t="n">
        <f aca="false">SUMIFS(tabela_registros[VALOR],tabela_registros[MÊS],$AE$1,tabela_registros[DIA],abrtotal305971[[#Headers],[22]],tabela_registros[REGISTRO],DADOS!$N$4,tabela_registros[TIPO],DADOS!$P$4,tabela_registros[CATEGORIA],despesavariávelconsolidadoabr[[#This Row],[DESPESA VARIÁVEL]])</f>
        <v>0</v>
      </c>
      <c r="AA69" s="119" t="n">
        <f aca="false">SUMIFS(tabela_registros[VALOR],tabela_registros[MÊS],$AE$1,tabela_registros[DIA],abrtotal305971[[#Headers],[23]],tabela_registros[REGISTRO],DADOS!$N$4,tabela_registros[TIPO],DADOS!$P$4,tabela_registros[CATEGORIA],despesavariávelconsolidadoabr[[#This Row],[DESPESA VARIÁVEL]])</f>
        <v>0</v>
      </c>
      <c r="AB69" s="119" t="n">
        <f aca="false">SUMIFS(tabela_registros[VALOR],tabela_registros[MÊS],$AE$1,tabela_registros[DIA],abrtotal305971[[#Headers],[24]],tabela_registros[REGISTRO],DADOS!$N$4,tabela_registros[TIPO],DADOS!$P$4,tabela_registros[CATEGORIA],despesavariávelconsolidadoabr[[#This Row],[DESPESA VARIÁVEL]])</f>
        <v>0</v>
      </c>
      <c r="AC69" s="119" t="n">
        <f aca="false">SUMIFS(tabela_registros[VALOR],tabela_registros[MÊS],$AE$1,tabela_registros[DIA],abrtotal305971[[#Headers],[25]],tabela_registros[REGISTRO],DADOS!$N$4,tabela_registros[TIPO],DADOS!$P$4,tabela_registros[CATEGORIA],despesavariávelconsolidadoabr[[#This Row],[DESPESA VARIÁVEL]])</f>
        <v>0</v>
      </c>
      <c r="AD69" s="119" t="n">
        <f aca="false">SUMIFS(tabela_registros[VALOR],tabela_registros[MÊS],$AE$1,tabela_registros[DIA],abrtotal305971[[#Headers],[26]],tabela_registros[REGISTRO],DADOS!$N$4,tabela_registros[TIPO],DADOS!$P$4,tabela_registros[CATEGORIA],despesavariávelconsolidadoabr[[#This Row],[DESPESA VARIÁVEL]])</f>
        <v>0</v>
      </c>
      <c r="AE69" s="119" t="n">
        <f aca="false">SUMIFS(tabela_registros[VALOR],tabela_registros[MÊS],$AE$1,tabela_registros[DIA],abrtotal305971[[#Headers],[27]],tabela_registros[REGISTRO],DADOS!$N$4,tabela_registros[TIPO],DADOS!$P$4,tabela_registros[CATEGORIA],despesavariávelconsolidadoabr[[#This Row],[DESPESA VARIÁVEL]])</f>
        <v>0</v>
      </c>
      <c r="AF69" s="119" t="n">
        <f aca="false">SUMIFS(tabela_registros[VALOR],tabela_registros[MÊS],$AE$1,tabela_registros[DIA],abrtotal305971[[#Headers],[28]],tabela_registros[REGISTRO],DADOS!$N$4,tabela_registros[TIPO],DADOS!$P$4,tabela_registros[CATEGORIA],despesavariávelconsolidadoabr[[#This Row],[DESPESA VARIÁVEL]])</f>
        <v>0</v>
      </c>
      <c r="AG69" s="119" t="n">
        <f aca="false">SUMIFS(tabela_registros[VALOR],tabela_registros[MÊS],$AE$1,tabela_registros[DIA],abrtotal305971[[#Headers],[29]],tabela_registros[REGISTRO],DADOS!$N$4,tabela_registros[TIPO],DADOS!$P$4,tabela_registros[CATEGORIA],despesavariávelconsolidadoabr[[#This Row],[DESPESA VARIÁVEL]])</f>
        <v>0</v>
      </c>
      <c r="AH69" s="119" t="n">
        <f aca="false">SUMIFS(tabela_registros[VALOR],tabela_registros[MÊS],$AE$1,tabela_registros[DIA],abrtotal305971[[#Headers],[30]],tabela_registros[REGISTRO],DADOS!$N$4,tabela_registros[TIPO],DADOS!$P$4,tabela_registros[CATEGORIA],despesavariávelconsolidadoabr[[#This Row],[DESPESA VARIÁVEL]])</f>
        <v>0</v>
      </c>
      <c r="AI69" s="217" t="n">
        <f aca="false">SUMIFS(tabela_registros[VALOR],tabela_registros[MÊS],$AE$1,tabela_registros[DIA],abrtotal305971[[#Headers],[31]],tabela_registros[REGISTRO],DADOS!$N$4,tabela_registros[TIPO],DADOS!$P$4,tabela_registros[CATEGORIA],despesavariávelconsolidadoabr[[#This Row],[DESPESA VARIÁVEL]])</f>
        <v>0</v>
      </c>
      <c r="AJ69" s="149" t="n">
        <f aca="false">SUM(despesavariávelconsolidadoabr[[#This Row],[1]:[31]])</f>
        <v>0</v>
      </c>
      <c r="AK69" s="143"/>
    </row>
    <row r="70" customFormat="false" ht="18" hidden="false" customHeight="true" outlineLevel="0" collapsed="false">
      <c r="B70" s="143"/>
      <c r="C70" s="144" t="str">
        <f aca="false">DADOS!$T$13</f>
        <v>🚍 TRANSPORTE</v>
      </c>
      <c r="D70" s="145" t="str">
        <f aca="false">IF(despesavariávelconsolidadoabr[[#This Row],[TOTAL]]=0,"",IF(OR(despesavariávelconsolidadoabr[[#This Row],[TOTAL]]=LARGE($AJ$60:$AJ$72,1),despesavariávelconsolidadoabr[[#This Row],[TOTAL]]=LARGE($AJ$60:$AJ$72,2),despesavariávelconsolidadoabr[[#This Row],[TOTAL]]=LARGE($AJ$60:$AJ$72,3),despesavariávelconsolidadoabr[[#This Row],[TOTAL]]=LARGE($AJ$60:$AJ$72,4),despesavariávelconsolidadoabr[[#This Row],[TOTAL]]=LARGE($AJ$60:$AJ$72,5)),DADOS!$I$8,""))</f>
        <v/>
      </c>
      <c r="E70" s="148" t="n">
        <f aca="false">SUMIFS(tabela_registros[VALOR],tabela_registros[MÊS],$AE$1,tabela_registros[DIA],abrtotal305971[[#Headers],[1]],tabela_registros[REGISTRO],DADOS!$N$4,tabela_registros[TIPO],DADOS!$P$4,tabela_registros[CATEGORIA],despesavariávelconsolidadoabr[[#This Row],[DESPESA VARIÁVEL]])</f>
        <v>0</v>
      </c>
      <c r="F70" s="119" t="n">
        <f aca="false">SUMIFS(tabela_registros[VALOR],tabela_registros[MÊS],$AE$1,tabela_registros[DIA],abrtotal305971[[#Headers],[2]],tabela_registros[REGISTRO],DADOS!$N$4,tabela_registros[TIPO],DADOS!$P$4,tabela_registros[CATEGORIA],despesavariávelconsolidadoabr[[#This Row],[DESPESA VARIÁVEL]])</f>
        <v>0</v>
      </c>
      <c r="G70" s="119" t="n">
        <f aca="false">SUMIFS(tabela_registros[VALOR],tabela_registros[MÊS],$AE$1,tabela_registros[DIA],abrtotal305971[[#Headers],[3]],tabela_registros[REGISTRO],DADOS!$N$4,tabela_registros[TIPO],DADOS!$P$4,tabela_registros[CATEGORIA],despesavariávelconsolidadoabr[[#This Row],[DESPESA VARIÁVEL]])</f>
        <v>0</v>
      </c>
      <c r="H70" s="119" t="n">
        <f aca="false">SUMIFS(tabela_registros[VALOR],tabela_registros[MÊS],$AE$1,tabela_registros[DIA],abrtotal305971[[#Headers],[4]],tabela_registros[REGISTRO],DADOS!$N$4,tabela_registros[TIPO],DADOS!$P$4,tabela_registros[CATEGORIA],despesavariávelconsolidadoabr[[#This Row],[DESPESA VARIÁVEL]])</f>
        <v>0</v>
      </c>
      <c r="I70" s="119" t="n">
        <f aca="false">SUMIFS(tabela_registros[VALOR],tabela_registros[MÊS],$AE$1,tabela_registros[DIA],abrtotal305971[[#Headers],[5]],tabela_registros[REGISTRO],DADOS!$N$4,tabela_registros[TIPO],DADOS!$P$4,tabela_registros[CATEGORIA],despesavariávelconsolidadoabr[[#This Row],[DESPESA VARIÁVEL]])</f>
        <v>0</v>
      </c>
      <c r="J70" s="119" t="n">
        <f aca="false">SUMIFS(tabela_registros[VALOR],tabela_registros[MÊS],$AE$1,tabela_registros[DIA],abrtotal305971[[#Headers],[6]],tabela_registros[REGISTRO],DADOS!$N$4,tabela_registros[TIPO],DADOS!$P$4,tabela_registros[CATEGORIA],despesavariávelconsolidadoabr[[#This Row],[DESPESA VARIÁVEL]])</f>
        <v>0</v>
      </c>
      <c r="K70" s="119" t="n">
        <f aca="false">SUMIFS(tabela_registros[VALOR],tabela_registros[MÊS],$AE$1,tabela_registros[DIA],abrtotal305971[[#Headers],[7]],tabela_registros[REGISTRO],DADOS!$N$4,tabela_registros[TIPO],DADOS!$P$4,tabela_registros[CATEGORIA],despesavariávelconsolidadoabr[[#This Row],[DESPESA VARIÁVEL]])</f>
        <v>0</v>
      </c>
      <c r="L70" s="119" t="n">
        <f aca="false">SUMIFS(tabela_registros[VALOR],tabela_registros[MÊS],$AE$1,tabela_registros[DIA],abrtotal305971[[#Headers],[8]],tabela_registros[REGISTRO],DADOS!$N$4,tabela_registros[TIPO],DADOS!$P$4,tabela_registros[CATEGORIA],despesavariávelconsolidadoabr[[#This Row],[DESPESA VARIÁVEL]])</f>
        <v>0</v>
      </c>
      <c r="M70" s="119" t="n">
        <f aca="false">SUMIFS(tabela_registros[VALOR],tabela_registros[MÊS],$AE$1,tabela_registros[DIA],abrtotal305971[[#Headers],[9]],tabela_registros[REGISTRO],DADOS!$N$4,tabela_registros[TIPO],DADOS!$P$4,tabela_registros[CATEGORIA],despesavariávelconsolidadoabr[[#This Row],[DESPESA VARIÁVEL]])</f>
        <v>0</v>
      </c>
      <c r="N70" s="119" t="n">
        <f aca="false">SUMIFS(tabela_registros[VALOR],tabela_registros[MÊS],$AE$1,tabela_registros[DIA],abrtotal305971[[#Headers],[10]],tabela_registros[REGISTRO],DADOS!$N$4,tabela_registros[TIPO],DADOS!$P$4,tabela_registros[CATEGORIA],despesavariávelconsolidadoabr[[#This Row],[DESPESA VARIÁVEL]])</f>
        <v>0</v>
      </c>
      <c r="O70" s="119" t="n">
        <f aca="false">SUMIFS(tabela_registros[VALOR],tabela_registros[MÊS],$AE$1,tabela_registros[DIA],abrtotal305971[[#Headers],[11]],tabela_registros[REGISTRO],DADOS!$N$4,tabela_registros[TIPO],DADOS!$P$4,tabela_registros[CATEGORIA],despesavariávelconsolidadoabr[[#This Row],[DESPESA VARIÁVEL]])</f>
        <v>0</v>
      </c>
      <c r="P70" s="119" t="n">
        <f aca="false">SUMIFS(tabela_registros[VALOR],tabela_registros[MÊS],$AE$1,tabela_registros[DIA],abrtotal305971[[#Headers],[12]],tabela_registros[REGISTRO],DADOS!$N$4,tabela_registros[TIPO],DADOS!$P$4,tabela_registros[CATEGORIA],despesavariávelconsolidadoabr[[#This Row],[DESPESA VARIÁVEL]])</f>
        <v>0</v>
      </c>
      <c r="Q70" s="119" t="n">
        <f aca="false">SUMIFS(tabela_registros[VALOR],tabela_registros[MÊS],$AE$1,tabela_registros[DIA],abrtotal305971[[#Headers],[13]],tabela_registros[REGISTRO],DADOS!$N$4,tabela_registros[TIPO],DADOS!$P$4,tabela_registros[CATEGORIA],despesavariávelconsolidadoabr[[#This Row],[DESPESA VARIÁVEL]])</f>
        <v>0</v>
      </c>
      <c r="R70" s="119" t="n">
        <f aca="false">SUMIFS(tabela_registros[VALOR],tabela_registros[MÊS],$AE$1,tabela_registros[DIA],abrtotal305971[[#Headers],[14]],tabela_registros[REGISTRO],DADOS!$N$4,tabela_registros[TIPO],DADOS!$P$4,tabela_registros[CATEGORIA],despesavariávelconsolidadoabr[[#This Row],[DESPESA VARIÁVEL]])</f>
        <v>0</v>
      </c>
      <c r="S70" s="119" t="n">
        <f aca="false">SUMIFS(tabela_registros[VALOR],tabela_registros[MÊS],$AE$1,tabela_registros[DIA],abrtotal305971[[#Headers],[15]],tabela_registros[REGISTRO],DADOS!$N$4,tabela_registros[TIPO],DADOS!$P$4,tabela_registros[CATEGORIA],despesavariávelconsolidadoabr[[#This Row],[DESPESA VARIÁVEL]])</f>
        <v>0</v>
      </c>
      <c r="T70" s="119" t="n">
        <f aca="false">SUMIFS(tabela_registros[VALOR],tabela_registros[MÊS],$AE$1,tabela_registros[DIA],abrtotal305971[[#Headers],[16]],tabela_registros[REGISTRO],DADOS!$N$4,tabela_registros[TIPO],DADOS!$P$4,tabela_registros[CATEGORIA],despesavariávelconsolidadoabr[[#This Row],[DESPESA VARIÁVEL]])</f>
        <v>0</v>
      </c>
      <c r="U70" s="119" t="n">
        <f aca="false">SUMIFS(tabela_registros[VALOR],tabela_registros[MÊS],$AE$1,tabela_registros[DIA],abrtotal305971[[#Headers],[17]],tabela_registros[REGISTRO],DADOS!$N$4,tabela_registros[TIPO],DADOS!$P$4,tabela_registros[CATEGORIA],despesavariávelconsolidadoabr[[#This Row],[DESPESA VARIÁVEL]])</f>
        <v>0</v>
      </c>
      <c r="V70" s="119" t="n">
        <f aca="false">SUMIFS(tabela_registros[VALOR],tabela_registros[MÊS],$AE$1,tabela_registros[DIA],abrtotal305971[[#Headers],[18]],tabela_registros[REGISTRO],DADOS!$N$4,tabela_registros[TIPO],DADOS!$P$4,tabela_registros[CATEGORIA],despesavariávelconsolidadoabr[[#This Row],[DESPESA VARIÁVEL]])</f>
        <v>0</v>
      </c>
      <c r="W70" s="119" t="n">
        <f aca="false">SUMIFS(tabela_registros[VALOR],tabela_registros[MÊS],$AE$1,tabela_registros[DIA],abrtotal305971[[#Headers],[19]],tabela_registros[REGISTRO],DADOS!$N$4,tabela_registros[TIPO],DADOS!$P$4,tabela_registros[CATEGORIA],despesavariávelconsolidadoabr[[#This Row],[DESPESA VARIÁVEL]])</f>
        <v>0</v>
      </c>
      <c r="X70" s="119" t="n">
        <f aca="false">SUMIFS(tabela_registros[VALOR],tabela_registros[MÊS],$AE$1,tabela_registros[DIA],abrtotal305971[[#Headers],[20]],tabela_registros[REGISTRO],DADOS!$N$4,tabela_registros[TIPO],DADOS!$P$4,tabela_registros[CATEGORIA],despesavariávelconsolidadoabr[[#This Row],[DESPESA VARIÁVEL]])</f>
        <v>0</v>
      </c>
      <c r="Y70" s="119" t="n">
        <f aca="false">SUMIFS(tabela_registros[VALOR],tabela_registros[MÊS],$AE$1,tabela_registros[DIA],abrtotal305971[[#Headers],[21]],tabela_registros[REGISTRO],DADOS!$N$4,tabela_registros[TIPO],DADOS!$P$4,tabela_registros[CATEGORIA],despesavariávelconsolidadoabr[[#This Row],[DESPESA VARIÁVEL]])</f>
        <v>0</v>
      </c>
      <c r="Z70" s="119" t="n">
        <f aca="false">SUMIFS(tabela_registros[VALOR],tabela_registros[MÊS],$AE$1,tabela_registros[DIA],abrtotal305971[[#Headers],[22]],tabela_registros[REGISTRO],DADOS!$N$4,tabela_registros[TIPO],DADOS!$P$4,tabela_registros[CATEGORIA],despesavariávelconsolidadoabr[[#This Row],[DESPESA VARIÁVEL]])</f>
        <v>0</v>
      </c>
      <c r="AA70" s="119" t="n">
        <f aca="false">SUMIFS(tabela_registros[VALOR],tabela_registros[MÊS],$AE$1,tabela_registros[DIA],abrtotal305971[[#Headers],[23]],tabela_registros[REGISTRO],DADOS!$N$4,tabela_registros[TIPO],DADOS!$P$4,tabela_registros[CATEGORIA],despesavariávelconsolidadoabr[[#This Row],[DESPESA VARIÁVEL]])</f>
        <v>0</v>
      </c>
      <c r="AB70" s="119" t="n">
        <f aca="false">SUMIFS(tabela_registros[VALOR],tabela_registros[MÊS],$AE$1,tabela_registros[DIA],abrtotal305971[[#Headers],[24]],tabela_registros[REGISTRO],DADOS!$N$4,tabela_registros[TIPO],DADOS!$P$4,tabela_registros[CATEGORIA],despesavariávelconsolidadoabr[[#This Row],[DESPESA VARIÁVEL]])</f>
        <v>0</v>
      </c>
      <c r="AC70" s="119" t="n">
        <f aca="false">SUMIFS(tabela_registros[VALOR],tabela_registros[MÊS],$AE$1,tabela_registros[DIA],abrtotal305971[[#Headers],[25]],tabela_registros[REGISTRO],DADOS!$N$4,tabela_registros[TIPO],DADOS!$P$4,tabela_registros[CATEGORIA],despesavariávelconsolidadoabr[[#This Row],[DESPESA VARIÁVEL]])</f>
        <v>0</v>
      </c>
      <c r="AD70" s="119" t="n">
        <f aca="false">SUMIFS(tabela_registros[VALOR],tabela_registros[MÊS],$AE$1,tabela_registros[DIA],abrtotal305971[[#Headers],[26]],tabela_registros[REGISTRO],DADOS!$N$4,tabela_registros[TIPO],DADOS!$P$4,tabela_registros[CATEGORIA],despesavariávelconsolidadoabr[[#This Row],[DESPESA VARIÁVEL]])</f>
        <v>0</v>
      </c>
      <c r="AE70" s="119" t="n">
        <f aca="false">SUMIFS(tabela_registros[VALOR],tabela_registros[MÊS],$AE$1,tabela_registros[DIA],abrtotal305971[[#Headers],[27]],tabela_registros[REGISTRO],DADOS!$N$4,tabela_registros[TIPO],DADOS!$P$4,tabela_registros[CATEGORIA],despesavariávelconsolidadoabr[[#This Row],[DESPESA VARIÁVEL]])</f>
        <v>0</v>
      </c>
      <c r="AF70" s="119" t="n">
        <f aca="false">SUMIFS(tabela_registros[VALOR],tabela_registros[MÊS],$AE$1,tabela_registros[DIA],abrtotal305971[[#Headers],[28]],tabela_registros[REGISTRO],DADOS!$N$4,tabela_registros[TIPO],DADOS!$P$4,tabela_registros[CATEGORIA],despesavariávelconsolidadoabr[[#This Row],[DESPESA VARIÁVEL]])</f>
        <v>0</v>
      </c>
      <c r="AG70" s="119" t="n">
        <f aca="false">SUMIFS(tabela_registros[VALOR],tabela_registros[MÊS],$AE$1,tabela_registros[DIA],abrtotal305971[[#Headers],[29]],tabela_registros[REGISTRO],DADOS!$N$4,tabela_registros[TIPO],DADOS!$P$4,tabela_registros[CATEGORIA],despesavariávelconsolidadoabr[[#This Row],[DESPESA VARIÁVEL]])</f>
        <v>0</v>
      </c>
      <c r="AH70" s="119" t="n">
        <f aca="false">SUMIFS(tabela_registros[VALOR],tabela_registros[MÊS],$AE$1,tabela_registros[DIA],abrtotal305971[[#Headers],[30]],tabela_registros[REGISTRO],DADOS!$N$4,tabela_registros[TIPO],DADOS!$P$4,tabela_registros[CATEGORIA],despesavariávelconsolidadoabr[[#This Row],[DESPESA VARIÁVEL]])</f>
        <v>0</v>
      </c>
      <c r="AI70" s="217" t="n">
        <f aca="false">SUMIFS(tabela_registros[VALOR],tabela_registros[MÊS],$AE$1,tabela_registros[DIA],abrtotal305971[[#Headers],[31]],tabela_registros[REGISTRO],DADOS!$N$4,tabela_registros[TIPO],DADOS!$P$4,tabela_registros[CATEGORIA],despesavariávelconsolidadoabr[[#This Row],[DESPESA VARIÁVEL]])</f>
        <v>0</v>
      </c>
      <c r="AJ70" s="149" t="n">
        <f aca="false">SUM(despesavariávelconsolidadoabr[[#This Row],[1]:[31]])</f>
        <v>0</v>
      </c>
      <c r="AK70" s="143"/>
    </row>
    <row r="71" customFormat="false" ht="18" hidden="false" customHeight="true" outlineLevel="0" collapsed="false">
      <c r="B71" s="143"/>
      <c r="C71" s="144" t="str">
        <f aca="false">DADOS!$T$14</f>
        <v>🛍️ VESTUÁRIO</v>
      </c>
      <c r="D71" s="145" t="str">
        <f aca="false">IF(despesavariávelconsolidadoabr[[#This Row],[TOTAL]]=0,"",IF(OR(despesavariávelconsolidadoabr[[#This Row],[TOTAL]]=LARGE($AJ$60:$AJ$72,1),despesavariávelconsolidadoabr[[#This Row],[TOTAL]]=LARGE($AJ$60:$AJ$72,2),despesavariávelconsolidadoabr[[#This Row],[TOTAL]]=LARGE($AJ$60:$AJ$72,3),despesavariávelconsolidadoabr[[#This Row],[TOTAL]]=LARGE($AJ$60:$AJ$72,4),despesavariávelconsolidadoabr[[#This Row],[TOTAL]]=LARGE($AJ$60:$AJ$72,5)),DADOS!$I$8,""))</f>
        <v/>
      </c>
      <c r="E71" s="148" t="n">
        <f aca="false">SUMIFS(tabela_registros[VALOR],tabela_registros[MÊS],$AE$1,tabela_registros[DIA],abrtotal305971[[#Headers],[1]],tabela_registros[REGISTRO],DADOS!$N$4,tabela_registros[TIPO],DADOS!$P$4,tabela_registros[CATEGORIA],despesavariávelconsolidadoabr[[#This Row],[DESPESA VARIÁVEL]])</f>
        <v>0</v>
      </c>
      <c r="F71" s="119" t="n">
        <f aca="false">SUMIFS(tabela_registros[VALOR],tabela_registros[MÊS],$AE$1,tabela_registros[DIA],abrtotal305971[[#Headers],[2]],tabela_registros[REGISTRO],DADOS!$N$4,tabela_registros[TIPO],DADOS!$P$4,tabela_registros[CATEGORIA],despesavariávelconsolidadoabr[[#This Row],[DESPESA VARIÁVEL]])</f>
        <v>0</v>
      </c>
      <c r="G71" s="119" t="n">
        <f aca="false">SUMIFS(tabela_registros[VALOR],tabela_registros[MÊS],$AE$1,tabela_registros[DIA],abrtotal305971[[#Headers],[3]],tabela_registros[REGISTRO],DADOS!$N$4,tabela_registros[TIPO],DADOS!$P$4,tabela_registros[CATEGORIA],despesavariávelconsolidadoabr[[#This Row],[DESPESA VARIÁVEL]])</f>
        <v>0</v>
      </c>
      <c r="H71" s="119" t="n">
        <f aca="false">SUMIFS(tabela_registros[VALOR],tabela_registros[MÊS],$AE$1,tabela_registros[DIA],abrtotal305971[[#Headers],[4]],tabela_registros[REGISTRO],DADOS!$N$4,tabela_registros[TIPO],DADOS!$P$4,tabela_registros[CATEGORIA],despesavariávelconsolidadoabr[[#This Row],[DESPESA VARIÁVEL]])</f>
        <v>0</v>
      </c>
      <c r="I71" s="119" t="n">
        <f aca="false">SUMIFS(tabela_registros[VALOR],tabela_registros[MÊS],$AE$1,tabela_registros[DIA],abrtotal305971[[#Headers],[5]],tabela_registros[REGISTRO],DADOS!$N$4,tabela_registros[TIPO],DADOS!$P$4,tabela_registros[CATEGORIA],despesavariávelconsolidadoabr[[#This Row],[DESPESA VARIÁVEL]])</f>
        <v>0</v>
      </c>
      <c r="J71" s="119" t="n">
        <f aca="false">SUMIFS(tabela_registros[VALOR],tabela_registros[MÊS],$AE$1,tabela_registros[DIA],abrtotal305971[[#Headers],[6]],tabela_registros[REGISTRO],DADOS!$N$4,tabela_registros[TIPO],DADOS!$P$4,tabela_registros[CATEGORIA],despesavariávelconsolidadoabr[[#This Row],[DESPESA VARIÁVEL]])</f>
        <v>0</v>
      </c>
      <c r="K71" s="119" t="n">
        <f aca="false">SUMIFS(tabela_registros[VALOR],tabela_registros[MÊS],$AE$1,tabela_registros[DIA],abrtotal305971[[#Headers],[7]],tabela_registros[REGISTRO],DADOS!$N$4,tabela_registros[TIPO],DADOS!$P$4,tabela_registros[CATEGORIA],despesavariávelconsolidadoabr[[#This Row],[DESPESA VARIÁVEL]])</f>
        <v>0</v>
      </c>
      <c r="L71" s="119" t="n">
        <f aca="false">SUMIFS(tabela_registros[VALOR],tabela_registros[MÊS],$AE$1,tabela_registros[DIA],abrtotal305971[[#Headers],[8]],tabela_registros[REGISTRO],DADOS!$N$4,tabela_registros[TIPO],DADOS!$P$4,tabela_registros[CATEGORIA],despesavariávelconsolidadoabr[[#This Row],[DESPESA VARIÁVEL]])</f>
        <v>0</v>
      </c>
      <c r="M71" s="119" t="n">
        <f aca="false">SUMIFS(tabela_registros[VALOR],tabela_registros[MÊS],$AE$1,tabela_registros[DIA],abrtotal305971[[#Headers],[9]],tabela_registros[REGISTRO],DADOS!$N$4,tabela_registros[TIPO],DADOS!$P$4,tabela_registros[CATEGORIA],despesavariávelconsolidadoabr[[#This Row],[DESPESA VARIÁVEL]])</f>
        <v>0</v>
      </c>
      <c r="N71" s="119" t="n">
        <f aca="false">SUMIFS(tabela_registros[VALOR],tabela_registros[MÊS],$AE$1,tabela_registros[DIA],abrtotal305971[[#Headers],[10]],tabela_registros[REGISTRO],DADOS!$N$4,tabela_registros[TIPO],DADOS!$P$4,tabela_registros[CATEGORIA],despesavariávelconsolidadoabr[[#This Row],[DESPESA VARIÁVEL]])</f>
        <v>0</v>
      </c>
      <c r="O71" s="119" t="n">
        <f aca="false">SUMIFS(tabela_registros[VALOR],tabela_registros[MÊS],$AE$1,tabela_registros[DIA],abrtotal305971[[#Headers],[11]],tabela_registros[REGISTRO],DADOS!$N$4,tabela_registros[TIPO],DADOS!$P$4,tabela_registros[CATEGORIA],despesavariávelconsolidadoabr[[#This Row],[DESPESA VARIÁVEL]])</f>
        <v>0</v>
      </c>
      <c r="P71" s="119" t="n">
        <f aca="false">SUMIFS(tabela_registros[VALOR],tabela_registros[MÊS],$AE$1,tabela_registros[DIA],abrtotal305971[[#Headers],[12]],tabela_registros[REGISTRO],DADOS!$N$4,tabela_registros[TIPO],DADOS!$P$4,tabela_registros[CATEGORIA],despesavariávelconsolidadoabr[[#This Row],[DESPESA VARIÁVEL]])</f>
        <v>0</v>
      </c>
      <c r="Q71" s="119" t="n">
        <f aca="false">SUMIFS(tabela_registros[VALOR],tabela_registros[MÊS],$AE$1,tabela_registros[DIA],abrtotal305971[[#Headers],[13]],tabela_registros[REGISTRO],DADOS!$N$4,tabela_registros[TIPO],DADOS!$P$4,tabela_registros[CATEGORIA],despesavariávelconsolidadoabr[[#This Row],[DESPESA VARIÁVEL]])</f>
        <v>0</v>
      </c>
      <c r="R71" s="119" t="n">
        <f aca="false">SUMIFS(tabela_registros[VALOR],tabela_registros[MÊS],$AE$1,tabela_registros[DIA],abrtotal305971[[#Headers],[14]],tabela_registros[REGISTRO],DADOS!$N$4,tabela_registros[TIPO],DADOS!$P$4,tabela_registros[CATEGORIA],despesavariávelconsolidadoabr[[#This Row],[DESPESA VARIÁVEL]])</f>
        <v>0</v>
      </c>
      <c r="S71" s="119" t="n">
        <f aca="false">SUMIFS(tabela_registros[VALOR],tabela_registros[MÊS],$AE$1,tabela_registros[DIA],abrtotal305971[[#Headers],[15]],tabela_registros[REGISTRO],DADOS!$N$4,tabela_registros[TIPO],DADOS!$P$4,tabela_registros[CATEGORIA],despesavariávelconsolidadoabr[[#This Row],[DESPESA VARIÁVEL]])</f>
        <v>0</v>
      </c>
      <c r="T71" s="119" t="n">
        <f aca="false">SUMIFS(tabela_registros[VALOR],tabela_registros[MÊS],$AE$1,tabela_registros[DIA],abrtotal305971[[#Headers],[16]],tabela_registros[REGISTRO],DADOS!$N$4,tabela_registros[TIPO],DADOS!$P$4,tabela_registros[CATEGORIA],despesavariávelconsolidadoabr[[#This Row],[DESPESA VARIÁVEL]])</f>
        <v>0</v>
      </c>
      <c r="U71" s="119" t="n">
        <f aca="false">SUMIFS(tabela_registros[VALOR],tabela_registros[MÊS],$AE$1,tabela_registros[DIA],abrtotal305971[[#Headers],[17]],tabela_registros[REGISTRO],DADOS!$N$4,tabela_registros[TIPO],DADOS!$P$4,tabela_registros[CATEGORIA],despesavariávelconsolidadoabr[[#This Row],[DESPESA VARIÁVEL]])</f>
        <v>0</v>
      </c>
      <c r="V71" s="119" t="n">
        <f aca="false">SUMIFS(tabela_registros[VALOR],tabela_registros[MÊS],$AE$1,tabela_registros[DIA],abrtotal305971[[#Headers],[18]],tabela_registros[REGISTRO],DADOS!$N$4,tabela_registros[TIPO],DADOS!$P$4,tabela_registros[CATEGORIA],despesavariávelconsolidadoabr[[#This Row],[DESPESA VARIÁVEL]])</f>
        <v>0</v>
      </c>
      <c r="W71" s="119" t="n">
        <f aca="false">SUMIFS(tabela_registros[VALOR],tabela_registros[MÊS],$AE$1,tabela_registros[DIA],abrtotal305971[[#Headers],[19]],tabela_registros[REGISTRO],DADOS!$N$4,tabela_registros[TIPO],DADOS!$P$4,tabela_registros[CATEGORIA],despesavariávelconsolidadoabr[[#This Row],[DESPESA VARIÁVEL]])</f>
        <v>0</v>
      </c>
      <c r="X71" s="119" t="n">
        <f aca="false">SUMIFS(tabela_registros[VALOR],tabela_registros[MÊS],$AE$1,tabela_registros[DIA],abrtotal305971[[#Headers],[20]],tabela_registros[REGISTRO],DADOS!$N$4,tabela_registros[TIPO],DADOS!$P$4,tabela_registros[CATEGORIA],despesavariávelconsolidadoabr[[#This Row],[DESPESA VARIÁVEL]])</f>
        <v>0</v>
      </c>
      <c r="Y71" s="119" t="n">
        <f aca="false">SUMIFS(tabela_registros[VALOR],tabela_registros[MÊS],$AE$1,tabela_registros[DIA],abrtotal305971[[#Headers],[21]],tabela_registros[REGISTRO],DADOS!$N$4,tabela_registros[TIPO],DADOS!$P$4,tabela_registros[CATEGORIA],despesavariávelconsolidadoabr[[#This Row],[DESPESA VARIÁVEL]])</f>
        <v>0</v>
      </c>
      <c r="Z71" s="119" t="n">
        <f aca="false">SUMIFS(tabela_registros[VALOR],tabela_registros[MÊS],$AE$1,tabela_registros[DIA],abrtotal305971[[#Headers],[22]],tabela_registros[REGISTRO],DADOS!$N$4,tabela_registros[TIPO],DADOS!$P$4,tabela_registros[CATEGORIA],despesavariávelconsolidadoabr[[#This Row],[DESPESA VARIÁVEL]])</f>
        <v>0</v>
      </c>
      <c r="AA71" s="119" t="n">
        <f aca="false">SUMIFS(tabela_registros[VALOR],tabela_registros[MÊS],$AE$1,tabela_registros[DIA],abrtotal305971[[#Headers],[23]],tabela_registros[REGISTRO],DADOS!$N$4,tabela_registros[TIPO],DADOS!$P$4,tabela_registros[CATEGORIA],despesavariávelconsolidadoabr[[#This Row],[DESPESA VARIÁVEL]])</f>
        <v>0</v>
      </c>
      <c r="AB71" s="119" t="n">
        <f aca="false">SUMIFS(tabela_registros[VALOR],tabela_registros[MÊS],$AE$1,tabela_registros[DIA],abrtotal305971[[#Headers],[24]],tabela_registros[REGISTRO],DADOS!$N$4,tabela_registros[TIPO],DADOS!$P$4,tabela_registros[CATEGORIA],despesavariávelconsolidadoabr[[#This Row],[DESPESA VARIÁVEL]])</f>
        <v>0</v>
      </c>
      <c r="AC71" s="119" t="n">
        <f aca="false">SUMIFS(tabela_registros[VALOR],tabela_registros[MÊS],$AE$1,tabela_registros[DIA],abrtotal305971[[#Headers],[25]],tabela_registros[REGISTRO],DADOS!$N$4,tabela_registros[TIPO],DADOS!$P$4,tabela_registros[CATEGORIA],despesavariávelconsolidadoabr[[#This Row],[DESPESA VARIÁVEL]])</f>
        <v>0</v>
      </c>
      <c r="AD71" s="119" t="n">
        <f aca="false">SUMIFS(tabela_registros[VALOR],tabela_registros[MÊS],$AE$1,tabela_registros[DIA],abrtotal305971[[#Headers],[26]],tabela_registros[REGISTRO],DADOS!$N$4,tabela_registros[TIPO],DADOS!$P$4,tabela_registros[CATEGORIA],despesavariávelconsolidadoabr[[#This Row],[DESPESA VARIÁVEL]])</f>
        <v>0</v>
      </c>
      <c r="AE71" s="119" t="n">
        <f aca="false">SUMIFS(tabela_registros[VALOR],tabela_registros[MÊS],$AE$1,tabela_registros[DIA],abrtotal305971[[#Headers],[27]],tabela_registros[REGISTRO],DADOS!$N$4,tabela_registros[TIPO],DADOS!$P$4,tabela_registros[CATEGORIA],despesavariávelconsolidadoabr[[#This Row],[DESPESA VARIÁVEL]])</f>
        <v>0</v>
      </c>
      <c r="AF71" s="119" t="n">
        <f aca="false">SUMIFS(tabela_registros[VALOR],tabela_registros[MÊS],$AE$1,tabela_registros[DIA],abrtotal305971[[#Headers],[28]],tabela_registros[REGISTRO],DADOS!$N$4,tabela_registros[TIPO],DADOS!$P$4,tabela_registros[CATEGORIA],despesavariávelconsolidadoabr[[#This Row],[DESPESA VARIÁVEL]])</f>
        <v>0</v>
      </c>
      <c r="AG71" s="119" t="n">
        <f aca="false">SUMIFS(tabela_registros[VALOR],tabela_registros[MÊS],$AE$1,tabela_registros[DIA],abrtotal305971[[#Headers],[29]],tabela_registros[REGISTRO],DADOS!$N$4,tabela_registros[TIPO],DADOS!$P$4,tabela_registros[CATEGORIA],despesavariávelconsolidadoabr[[#This Row],[DESPESA VARIÁVEL]])</f>
        <v>0</v>
      </c>
      <c r="AH71" s="119" t="n">
        <f aca="false">SUMIFS(tabela_registros[VALOR],tabela_registros[MÊS],$AE$1,tabela_registros[DIA],abrtotal305971[[#Headers],[30]],tabela_registros[REGISTRO],DADOS!$N$4,tabela_registros[TIPO],DADOS!$P$4,tabela_registros[CATEGORIA],despesavariávelconsolidadoabr[[#This Row],[DESPESA VARIÁVEL]])</f>
        <v>0</v>
      </c>
      <c r="AI71" s="217" t="n">
        <f aca="false">SUMIFS(tabela_registros[VALOR],tabela_registros[MÊS],$AE$1,tabela_registros[DIA],abrtotal305971[[#Headers],[31]],tabela_registros[REGISTRO],DADOS!$N$4,tabela_registros[TIPO],DADOS!$P$4,tabela_registros[CATEGORIA],despesavariávelconsolidadoabr[[#This Row],[DESPESA VARIÁVEL]])</f>
        <v>0</v>
      </c>
      <c r="AJ71" s="149" t="n">
        <f aca="false">SUM(despesavariávelconsolidadoabr[[#This Row],[1]:[31]])</f>
        <v>0</v>
      </c>
      <c r="AK71" s="143"/>
    </row>
    <row r="72" customFormat="false" ht="18" hidden="false" customHeight="true" outlineLevel="0" collapsed="false">
      <c r="B72" s="143"/>
      <c r="C72" s="144" t="str">
        <f aca="false">DADOS!$T$15</f>
        <v>📎 OUTROS</v>
      </c>
      <c r="D72" s="145" t="str">
        <f aca="false">IF(despesavariávelconsolidadoabr[[#This Row],[TOTAL]]=0,"",IF(OR(despesavariávelconsolidadoabr[[#This Row],[TOTAL]]=LARGE($AJ$60:$AJ$72,1),despesavariávelconsolidadoabr[[#This Row],[TOTAL]]=LARGE($AJ$60:$AJ$72,2),despesavariávelconsolidadoabr[[#This Row],[TOTAL]]=LARGE($AJ$60:$AJ$72,3),despesavariávelconsolidadoabr[[#This Row],[TOTAL]]=LARGE($AJ$60:$AJ$72,4),despesavariávelconsolidadoabr[[#This Row],[TOTAL]]=LARGE($AJ$60:$AJ$72,5)),DADOS!$I$8,""))</f>
        <v/>
      </c>
      <c r="E72" s="148" t="n">
        <f aca="false">SUMIFS(tabela_registros[VALOR],tabela_registros[MÊS],$AE$1,tabela_registros[DIA],abrtotal305971[[#Headers],[1]],tabela_registros[REGISTRO],DADOS!$N$4,tabela_registros[TIPO],DADOS!$P$4,tabela_registros[CATEGORIA],despesavariávelconsolidadoabr[[#This Row],[DESPESA VARIÁVEL]])</f>
        <v>0</v>
      </c>
      <c r="F72" s="119" t="n">
        <f aca="false">SUMIFS(tabela_registros[VALOR],tabela_registros[MÊS],$AE$1,tabela_registros[DIA],abrtotal305971[[#Headers],[2]],tabela_registros[REGISTRO],DADOS!$N$4,tabela_registros[TIPO],DADOS!$P$4,tabela_registros[CATEGORIA],despesavariávelconsolidadoabr[[#This Row],[DESPESA VARIÁVEL]])</f>
        <v>0</v>
      </c>
      <c r="G72" s="119" t="n">
        <f aca="false">SUMIFS(tabela_registros[VALOR],tabela_registros[MÊS],$AE$1,tabela_registros[DIA],abrtotal305971[[#Headers],[3]],tabela_registros[REGISTRO],DADOS!$N$4,tabela_registros[TIPO],DADOS!$P$4,tabela_registros[CATEGORIA],despesavariávelconsolidadoabr[[#This Row],[DESPESA VARIÁVEL]])</f>
        <v>0</v>
      </c>
      <c r="H72" s="119" t="n">
        <f aca="false">SUMIFS(tabela_registros[VALOR],tabela_registros[MÊS],$AE$1,tabela_registros[DIA],abrtotal305971[[#Headers],[4]],tabela_registros[REGISTRO],DADOS!$N$4,tabela_registros[TIPO],DADOS!$P$4,tabela_registros[CATEGORIA],despesavariávelconsolidadoabr[[#This Row],[DESPESA VARIÁVEL]])</f>
        <v>0</v>
      </c>
      <c r="I72" s="119" t="n">
        <f aca="false">SUMIFS(tabela_registros[VALOR],tabela_registros[MÊS],$AE$1,tabela_registros[DIA],abrtotal305971[[#Headers],[5]],tabela_registros[REGISTRO],DADOS!$N$4,tabela_registros[TIPO],DADOS!$P$4,tabela_registros[CATEGORIA],despesavariávelconsolidadoabr[[#This Row],[DESPESA VARIÁVEL]])</f>
        <v>0</v>
      </c>
      <c r="J72" s="119" t="n">
        <f aca="false">SUMIFS(tabela_registros[VALOR],tabela_registros[MÊS],$AE$1,tabela_registros[DIA],abrtotal305971[[#Headers],[6]],tabela_registros[REGISTRO],DADOS!$N$4,tabela_registros[TIPO],DADOS!$P$4,tabela_registros[CATEGORIA],despesavariávelconsolidadoabr[[#This Row],[DESPESA VARIÁVEL]])</f>
        <v>0</v>
      </c>
      <c r="K72" s="119" t="n">
        <f aca="false">SUMIFS(tabela_registros[VALOR],tabela_registros[MÊS],$AE$1,tabela_registros[DIA],abrtotal305971[[#Headers],[7]],tabela_registros[REGISTRO],DADOS!$N$4,tabela_registros[TIPO],DADOS!$P$4,tabela_registros[CATEGORIA],despesavariávelconsolidadoabr[[#This Row],[DESPESA VARIÁVEL]])</f>
        <v>0</v>
      </c>
      <c r="L72" s="119" t="n">
        <f aca="false">SUMIFS(tabela_registros[VALOR],tabela_registros[MÊS],$AE$1,tabela_registros[DIA],abrtotal305971[[#Headers],[8]],tabela_registros[REGISTRO],DADOS!$N$4,tabela_registros[TIPO],DADOS!$P$4,tabela_registros[CATEGORIA],despesavariávelconsolidadoabr[[#This Row],[DESPESA VARIÁVEL]])</f>
        <v>0</v>
      </c>
      <c r="M72" s="119" t="n">
        <f aca="false">SUMIFS(tabela_registros[VALOR],tabela_registros[MÊS],$AE$1,tabela_registros[DIA],abrtotal305971[[#Headers],[9]],tabela_registros[REGISTRO],DADOS!$N$4,tabela_registros[TIPO],DADOS!$P$4,tabela_registros[CATEGORIA],despesavariávelconsolidadoabr[[#This Row],[DESPESA VARIÁVEL]])</f>
        <v>0</v>
      </c>
      <c r="N72" s="119" t="n">
        <f aca="false">SUMIFS(tabela_registros[VALOR],tabela_registros[MÊS],$AE$1,tabela_registros[DIA],abrtotal305971[[#Headers],[10]],tabela_registros[REGISTRO],DADOS!$N$4,tabela_registros[TIPO],DADOS!$P$4,tabela_registros[CATEGORIA],despesavariávelconsolidadoabr[[#This Row],[DESPESA VARIÁVEL]])</f>
        <v>0</v>
      </c>
      <c r="O72" s="119" t="n">
        <f aca="false">SUMIFS(tabela_registros[VALOR],tabela_registros[MÊS],$AE$1,tabela_registros[DIA],abrtotal305971[[#Headers],[11]],tabela_registros[REGISTRO],DADOS!$N$4,tabela_registros[TIPO],DADOS!$P$4,tabela_registros[CATEGORIA],despesavariávelconsolidadoabr[[#This Row],[DESPESA VARIÁVEL]])</f>
        <v>0</v>
      </c>
      <c r="P72" s="119" t="n">
        <f aca="false">SUMIFS(tabela_registros[VALOR],tabela_registros[MÊS],$AE$1,tabela_registros[DIA],abrtotal305971[[#Headers],[12]],tabela_registros[REGISTRO],DADOS!$N$4,tabela_registros[TIPO],DADOS!$P$4,tabela_registros[CATEGORIA],despesavariávelconsolidadoabr[[#This Row],[DESPESA VARIÁVEL]])</f>
        <v>0</v>
      </c>
      <c r="Q72" s="119" t="n">
        <f aca="false">SUMIFS(tabela_registros[VALOR],tabela_registros[MÊS],$AE$1,tabela_registros[DIA],abrtotal305971[[#Headers],[13]],tabela_registros[REGISTRO],DADOS!$N$4,tabela_registros[TIPO],DADOS!$P$4,tabela_registros[CATEGORIA],despesavariávelconsolidadoabr[[#This Row],[DESPESA VARIÁVEL]])</f>
        <v>0</v>
      </c>
      <c r="R72" s="119" t="n">
        <f aca="false">SUMIFS(tabela_registros[VALOR],tabela_registros[MÊS],$AE$1,tabela_registros[DIA],abrtotal305971[[#Headers],[14]],tabela_registros[REGISTRO],DADOS!$N$4,tabela_registros[TIPO],DADOS!$P$4,tabela_registros[CATEGORIA],despesavariávelconsolidadoabr[[#This Row],[DESPESA VARIÁVEL]])</f>
        <v>0</v>
      </c>
      <c r="S72" s="119" t="n">
        <f aca="false">SUMIFS(tabela_registros[VALOR],tabela_registros[MÊS],$AE$1,tabela_registros[DIA],abrtotal305971[[#Headers],[15]],tabela_registros[REGISTRO],DADOS!$N$4,tabela_registros[TIPO],DADOS!$P$4,tabela_registros[CATEGORIA],despesavariávelconsolidadoabr[[#This Row],[DESPESA VARIÁVEL]])</f>
        <v>0</v>
      </c>
      <c r="T72" s="119" t="n">
        <f aca="false">SUMIFS(tabela_registros[VALOR],tabela_registros[MÊS],$AE$1,tabela_registros[DIA],abrtotal305971[[#Headers],[16]],tabela_registros[REGISTRO],DADOS!$N$4,tabela_registros[TIPO],DADOS!$P$4,tabela_registros[CATEGORIA],despesavariávelconsolidadoabr[[#This Row],[DESPESA VARIÁVEL]])</f>
        <v>0</v>
      </c>
      <c r="U72" s="119" t="n">
        <f aca="false">SUMIFS(tabela_registros[VALOR],tabela_registros[MÊS],$AE$1,tabela_registros[DIA],abrtotal305971[[#Headers],[17]],tabela_registros[REGISTRO],DADOS!$N$4,tabela_registros[TIPO],DADOS!$P$4,tabela_registros[CATEGORIA],despesavariávelconsolidadoabr[[#This Row],[DESPESA VARIÁVEL]])</f>
        <v>0</v>
      </c>
      <c r="V72" s="119" t="n">
        <f aca="false">SUMIFS(tabela_registros[VALOR],tabela_registros[MÊS],$AE$1,tabela_registros[DIA],abrtotal305971[[#Headers],[18]],tabela_registros[REGISTRO],DADOS!$N$4,tabela_registros[TIPO],DADOS!$P$4,tabela_registros[CATEGORIA],despesavariávelconsolidadoabr[[#This Row],[DESPESA VARIÁVEL]])</f>
        <v>0</v>
      </c>
      <c r="W72" s="119" t="n">
        <f aca="false">SUMIFS(tabela_registros[VALOR],tabela_registros[MÊS],$AE$1,tabela_registros[DIA],abrtotal305971[[#Headers],[19]],tabela_registros[REGISTRO],DADOS!$N$4,tabela_registros[TIPO],DADOS!$P$4,tabela_registros[CATEGORIA],despesavariávelconsolidadoabr[[#This Row],[DESPESA VARIÁVEL]])</f>
        <v>0</v>
      </c>
      <c r="X72" s="119" t="n">
        <f aca="false">SUMIFS(tabela_registros[VALOR],tabela_registros[MÊS],$AE$1,tabela_registros[DIA],abrtotal305971[[#Headers],[20]],tabela_registros[REGISTRO],DADOS!$N$4,tabela_registros[TIPO],DADOS!$P$4,tabela_registros[CATEGORIA],despesavariávelconsolidadoabr[[#This Row],[DESPESA VARIÁVEL]])</f>
        <v>0</v>
      </c>
      <c r="Y72" s="119" t="n">
        <f aca="false">SUMIFS(tabela_registros[VALOR],tabela_registros[MÊS],$AE$1,tabela_registros[DIA],abrtotal305971[[#Headers],[21]],tabela_registros[REGISTRO],DADOS!$N$4,tabela_registros[TIPO],DADOS!$P$4,tabela_registros[CATEGORIA],despesavariávelconsolidadoabr[[#This Row],[DESPESA VARIÁVEL]])</f>
        <v>0</v>
      </c>
      <c r="Z72" s="119" t="n">
        <f aca="false">SUMIFS(tabela_registros[VALOR],tabela_registros[MÊS],$AE$1,tabela_registros[DIA],abrtotal305971[[#Headers],[22]],tabela_registros[REGISTRO],DADOS!$N$4,tabela_registros[TIPO],DADOS!$P$4,tabela_registros[CATEGORIA],despesavariávelconsolidadoabr[[#This Row],[DESPESA VARIÁVEL]])</f>
        <v>0</v>
      </c>
      <c r="AA72" s="119" t="n">
        <f aca="false">SUMIFS(tabela_registros[VALOR],tabela_registros[MÊS],$AE$1,tabela_registros[DIA],abrtotal305971[[#Headers],[23]],tabela_registros[REGISTRO],DADOS!$N$4,tabela_registros[TIPO],DADOS!$P$4,tabela_registros[CATEGORIA],despesavariávelconsolidadoabr[[#This Row],[DESPESA VARIÁVEL]])</f>
        <v>0</v>
      </c>
      <c r="AB72" s="119" t="n">
        <f aca="false">SUMIFS(tabela_registros[VALOR],tabela_registros[MÊS],$AE$1,tabela_registros[DIA],abrtotal305971[[#Headers],[24]],tabela_registros[REGISTRO],DADOS!$N$4,tabela_registros[TIPO],DADOS!$P$4,tabela_registros[CATEGORIA],despesavariávelconsolidadoabr[[#This Row],[DESPESA VARIÁVEL]])</f>
        <v>0</v>
      </c>
      <c r="AC72" s="119" t="n">
        <f aca="false">SUMIFS(tabela_registros[VALOR],tabela_registros[MÊS],$AE$1,tabela_registros[DIA],abrtotal305971[[#Headers],[25]],tabela_registros[REGISTRO],DADOS!$N$4,tabela_registros[TIPO],DADOS!$P$4,tabela_registros[CATEGORIA],despesavariávelconsolidadoabr[[#This Row],[DESPESA VARIÁVEL]])</f>
        <v>0</v>
      </c>
      <c r="AD72" s="119" t="n">
        <f aca="false">SUMIFS(tabela_registros[VALOR],tabela_registros[MÊS],$AE$1,tabela_registros[DIA],abrtotal305971[[#Headers],[26]],tabela_registros[REGISTRO],DADOS!$N$4,tabela_registros[TIPO],DADOS!$P$4,tabela_registros[CATEGORIA],despesavariávelconsolidadoabr[[#This Row],[DESPESA VARIÁVEL]])</f>
        <v>0</v>
      </c>
      <c r="AE72" s="119" t="n">
        <f aca="false">SUMIFS(tabela_registros[VALOR],tabela_registros[MÊS],$AE$1,tabela_registros[DIA],abrtotal305971[[#Headers],[27]],tabela_registros[REGISTRO],DADOS!$N$4,tabela_registros[TIPO],DADOS!$P$4,tabela_registros[CATEGORIA],despesavariávelconsolidadoabr[[#This Row],[DESPESA VARIÁVEL]])</f>
        <v>0</v>
      </c>
      <c r="AF72" s="119" t="n">
        <f aca="false">SUMIFS(tabela_registros[VALOR],tabela_registros[MÊS],$AE$1,tabela_registros[DIA],abrtotal305971[[#Headers],[28]],tabela_registros[REGISTRO],DADOS!$N$4,tabela_registros[TIPO],DADOS!$P$4,tabela_registros[CATEGORIA],despesavariávelconsolidadoabr[[#This Row],[DESPESA VARIÁVEL]])</f>
        <v>0</v>
      </c>
      <c r="AG72" s="119" t="n">
        <f aca="false">SUMIFS(tabela_registros[VALOR],tabela_registros[MÊS],$AE$1,tabela_registros[DIA],abrtotal305971[[#Headers],[29]],tabela_registros[REGISTRO],DADOS!$N$4,tabela_registros[TIPO],DADOS!$P$4,tabela_registros[CATEGORIA],despesavariávelconsolidadoabr[[#This Row],[DESPESA VARIÁVEL]])</f>
        <v>0</v>
      </c>
      <c r="AH72" s="119" t="n">
        <f aca="false">SUMIFS(tabela_registros[VALOR],tabela_registros[MÊS],$AE$1,tabela_registros[DIA],abrtotal305971[[#Headers],[30]],tabela_registros[REGISTRO],DADOS!$N$4,tabela_registros[TIPO],DADOS!$P$4,tabela_registros[CATEGORIA],despesavariávelconsolidadoabr[[#This Row],[DESPESA VARIÁVEL]])</f>
        <v>0</v>
      </c>
      <c r="AI72" s="218" t="n">
        <f aca="false">SUMIFS(tabela_registros[VALOR],tabela_registros[MÊS],$AE$1,tabela_registros[DIA],abrtotal305971[[#Headers],[31]],tabela_registros[REGISTRO],DADOS!$N$4,tabela_registros[TIPO],DADOS!$P$4,tabela_registros[CATEGORIA],despesavariávelconsolidadoabr[[#This Row],[DESPESA VARIÁVEL]])</f>
        <v>0</v>
      </c>
      <c r="AJ72" s="149" t="n">
        <f aca="false">SUM(despesavariávelconsolidadoabr[[#This Row],[1]:[31]])</f>
        <v>0</v>
      </c>
      <c r="AK72" s="143"/>
    </row>
    <row r="73" s="122" customFormat="true" ht="21" hidden="false" customHeight="true" outlineLevel="0" collapsed="false">
      <c r="B73" s="152"/>
      <c r="C73" s="153" t="s">
        <v>2</v>
      </c>
      <c r="D73" s="154" t="str">
        <f aca="false">IF(despesavariávelconsolidadoabr[[#This Row],[TOTAL]]=0,"",IF(OR(despesavariávelconsolidadoabr[[#This Row],[TOTAL]]=SMALL(despesavariávelconsolidadoabr[TOTAL],1),despesavariávelconsolidadoabr[[#This Row],[TOTAL]]=SMALL(despesavariávelconsolidadoabr[TOTAL],2),despesavariávelconsolidadoabr[[#This Row],[TOTAL]]=SMALL(despesavariávelconsolidadoabr[TOTAL],3),despesavariávelconsolidadoabr[[#This Row],[TOTAL]]=SMALL(despesavariávelconsolidadoabr[TOTAL],4),despesavariávelconsolidadoabr[[#This Row],[TOTAL]]=SMALL(despesavariávelconsolidadoabr[TOTAL],5)),DADOS!$I$8,""))</f>
        <v/>
      </c>
      <c r="E73" s="155" t="n">
        <f aca="false">SUM(E60:E72)</f>
        <v>0</v>
      </c>
      <c r="F73" s="156" t="n">
        <f aca="false">SUM(F60:F72)+despesavariávelconsolidadoabr[[#This Row],[1]]</f>
        <v>0</v>
      </c>
      <c r="G73" s="156" t="n">
        <f aca="false">SUM(G60:G72)+despesavariávelconsolidadoabr[[#This Row],[2]]</f>
        <v>0</v>
      </c>
      <c r="H73" s="156" t="n">
        <f aca="false">SUM(H60:H72)+despesavariávelconsolidadoabr[[#This Row],[3]]</f>
        <v>0</v>
      </c>
      <c r="I73" s="156" t="n">
        <f aca="false">SUM(I60:I72)+despesavariávelconsolidadoabr[[#This Row],[4]]</f>
        <v>0</v>
      </c>
      <c r="J73" s="156" t="n">
        <f aca="false">SUM(J60:J72)+despesavariávelconsolidadoabr[[#This Row],[5]]</f>
        <v>0</v>
      </c>
      <c r="K73" s="156" t="n">
        <f aca="false">SUM(K60:K72)+despesavariávelconsolidadoabr[[#This Row],[6]]</f>
        <v>0</v>
      </c>
      <c r="L73" s="156" t="n">
        <f aca="false">SUM(L60:L72)+despesavariávelconsolidadoabr[[#This Row],[7]]</f>
        <v>0</v>
      </c>
      <c r="M73" s="156" t="n">
        <f aca="false">SUM(M60:M72)+despesavariávelconsolidadoabr[[#This Row],[8]]</f>
        <v>0</v>
      </c>
      <c r="N73" s="156" t="n">
        <f aca="false">SUM(N60:N72)+despesavariávelconsolidadoabr[[#This Row],[9]]</f>
        <v>0</v>
      </c>
      <c r="O73" s="156" t="n">
        <f aca="false">SUM(O60:O72)+despesavariávelconsolidadoabr[[#This Row],[10]]</f>
        <v>0</v>
      </c>
      <c r="P73" s="156" t="n">
        <f aca="false">SUM(P60:P72)+despesavariávelconsolidadoabr[[#This Row],[11]]</f>
        <v>0</v>
      </c>
      <c r="Q73" s="156" t="n">
        <f aca="false">SUM(Q60:Q72)+despesavariávelconsolidadoabr[[#This Row],[12]]</f>
        <v>0</v>
      </c>
      <c r="R73" s="156" t="n">
        <f aca="false">SUM(R60:R72)+despesavariávelconsolidadoabr[[#This Row],[13]]</f>
        <v>0</v>
      </c>
      <c r="S73" s="156" t="n">
        <f aca="false">SUM(S60:S72)+despesavariávelconsolidadoabr[[#This Row],[14]]</f>
        <v>0</v>
      </c>
      <c r="T73" s="156" t="n">
        <f aca="false">SUM(T60:T72)+despesavariávelconsolidadoabr[[#This Row],[15]]</f>
        <v>0</v>
      </c>
      <c r="U73" s="156" t="n">
        <f aca="false">SUM(U60:U72)+despesavariávelconsolidadoabr[[#This Row],[16]]</f>
        <v>0</v>
      </c>
      <c r="V73" s="156" t="n">
        <f aca="false">SUM(V60:V72)+despesavariávelconsolidadoabr[[#This Row],[17]]</f>
        <v>0</v>
      </c>
      <c r="W73" s="156" t="n">
        <f aca="false">SUM(W60:W72)+despesavariávelconsolidadoabr[[#This Row],[18]]</f>
        <v>0</v>
      </c>
      <c r="X73" s="156" t="n">
        <f aca="false">SUM(X60:X72)+despesavariávelconsolidadoabr[[#This Row],[19]]</f>
        <v>0</v>
      </c>
      <c r="Y73" s="156" t="n">
        <f aca="false">SUM(Y60:Y72)+despesavariávelconsolidadoabr[[#This Row],[20]]</f>
        <v>0</v>
      </c>
      <c r="Z73" s="156" t="n">
        <f aca="false">SUM(Z60:Z72)+despesavariávelconsolidadoabr[[#This Row],[21]]</f>
        <v>0</v>
      </c>
      <c r="AA73" s="156" t="n">
        <f aca="false">SUM(AA60:AA72)+despesavariávelconsolidadoabr[[#This Row],[22]]</f>
        <v>0</v>
      </c>
      <c r="AB73" s="156" t="n">
        <f aca="false">SUM(AB60:AB72)+despesavariávelconsolidadoabr[[#This Row],[23]]</f>
        <v>0</v>
      </c>
      <c r="AC73" s="156" t="n">
        <f aca="false">SUM(AC60:AC72)+despesavariávelconsolidadoabr[[#This Row],[24]]</f>
        <v>0</v>
      </c>
      <c r="AD73" s="156" t="n">
        <f aca="false">SUM(AD60:AD72)+despesavariávelconsolidadoabr[[#This Row],[25]]</f>
        <v>0</v>
      </c>
      <c r="AE73" s="156" t="n">
        <f aca="false">SUM(AE60:AE72)+despesavariávelconsolidadoabr[[#This Row],[26]]</f>
        <v>0</v>
      </c>
      <c r="AF73" s="156" t="n">
        <f aca="false">SUM(AF60:AF72)+despesavariávelconsolidadoabr[[#This Row],[27]]</f>
        <v>0</v>
      </c>
      <c r="AG73" s="156" t="n">
        <f aca="false">SUM(AG60:AG72)+despesavariávelconsolidadoabr[[#This Row],[28]]</f>
        <v>0</v>
      </c>
      <c r="AH73" s="156" t="n">
        <f aca="false">SUM(AH60:AH72)+despesavariávelconsolidadoabr[[#This Row],[29]]</f>
        <v>0</v>
      </c>
      <c r="AI73" s="223" t="n">
        <f aca="false">SUM(AI60:AI72)+despesavariávelconsolidadoabr[[#This Row],[30]]</f>
        <v>0</v>
      </c>
      <c r="AJ73" s="157" t="n">
        <f aca="false">despesavariávelconsolidadoabr[[#This Row],[31]]</f>
        <v>0</v>
      </c>
      <c r="AK73" s="158"/>
    </row>
    <row r="74" customFormat="false" ht="6.75" hidden="false" customHeight="true" outlineLevel="0" collapsed="false">
      <c r="B74" s="97"/>
      <c r="C74" s="159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229"/>
      <c r="AJ74" s="97"/>
      <c r="AK74" s="244"/>
    </row>
    <row r="75" s="78" customFormat="true" ht="12.75" hidden="false" customHeight="false" outlineLevel="0" collapsed="false">
      <c r="E75" s="100"/>
    </row>
    <row r="76" s="78" customFormat="true" ht="12" hidden="false" customHeight="false" outlineLevel="0" collapsed="false"/>
    <row r="77" s="78" customFormat="true" ht="12" hidden="false" customHeight="false" outlineLevel="0" collapsed="false"/>
    <row r="78" customFormat="false" ht="39.75" hidden="false" customHeight="true" outlineLevel="0" collapsed="false">
      <c r="C78" s="101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3" t="s">
        <v>2</v>
      </c>
    </row>
    <row r="79" s="78" customFormat="true" ht="12.75" hidden="false" customHeight="false" outlineLevel="0" collapsed="false">
      <c r="B79" s="161"/>
      <c r="AJ79" s="106" t="s">
        <v>64</v>
      </c>
    </row>
    <row r="80" customFormat="false" ht="6.75" hidden="false" customHeight="true" outlineLevel="0" collapsed="false">
      <c r="B80" s="86"/>
      <c r="C80" s="162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233"/>
      <c r="AK80" s="139"/>
    </row>
    <row r="81" customFormat="false" ht="13.5" hidden="true" customHeight="false" outlineLevel="0" collapsed="false">
      <c r="B81" s="86"/>
      <c r="C81" s="109" t="s">
        <v>68</v>
      </c>
      <c r="D81" s="110" t="s">
        <v>69</v>
      </c>
      <c r="E81" s="110" t="s">
        <v>30</v>
      </c>
      <c r="F81" s="110" t="s">
        <v>31</v>
      </c>
      <c r="G81" s="110" t="s">
        <v>32</v>
      </c>
      <c r="H81" s="110" t="s">
        <v>33</v>
      </c>
      <c r="I81" s="110" t="s">
        <v>34</v>
      </c>
      <c r="J81" s="110" t="s">
        <v>35</v>
      </c>
      <c r="K81" s="110" t="s">
        <v>36</v>
      </c>
      <c r="L81" s="110" t="s">
        <v>37</v>
      </c>
      <c r="M81" s="110" t="s">
        <v>38</v>
      </c>
      <c r="N81" s="110" t="s">
        <v>39</v>
      </c>
      <c r="O81" s="110" t="s">
        <v>40</v>
      </c>
      <c r="P81" s="110" t="s">
        <v>41</v>
      </c>
      <c r="Q81" s="110" t="s">
        <v>81</v>
      </c>
      <c r="R81" s="110" t="s">
        <v>82</v>
      </c>
      <c r="S81" s="110" t="s">
        <v>83</v>
      </c>
      <c r="T81" s="110" t="s">
        <v>84</v>
      </c>
      <c r="U81" s="110" t="s">
        <v>85</v>
      </c>
      <c r="V81" s="110" t="s">
        <v>86</v>
      </c>
      <c r="W81" s="110" t="s">
        <v>87</v>
      </c>
      <c r="X81" s="110" t="s">
        <v>88</v>
      </c>
      <c r="Y81" s="110" t="s">
        <v>89</v>
      </c>
      <c r="Z81" s="110" t="s">
        <v>90</v>
      </c>
      <c r="AA81" s="110" t="s">
        <v>91</v>
      </c>
      <c r="AB81" s="110" t="s">
        <v>92</v>
      </c>
      <c r="AC81" s="110" t="s">
        <v>93</v>
      </c>
      <c r="AD81" s="110" t="s">
        <v>94</v>
      </c>
      <c r="AE81" s="110" t="s">
        <v>95</v>
      </c>
      <c r="AF81" s="110" t="s">
        <v>96</v>
      </c>
      <c r="AG81" s="110" t="s">
        <v>97</v>
      </c>
      <c r="AH81" s="110" t="s">
        <v>98</v>
      </c>
      <c r="AI81" s="110" t="s">
        <v>99</v>
      </c>
      <c r="AJ81" s="111" t="s">
        <v>70</v>
      </c>
      <c r="AK81" s="86"/>
    </row>
    <row r="82" customFormat="false" ht="19.5" hidden="false" customHeight="true" outlineLevel="0" collapsed="false">
      <c r="B82" s="143"/>
      <c r="C82" s="144" t="str">
        <f aca="false">DADOS!$X$3</f>
        <v>💵 ALUGUEL</v>
      </c>
      <c r="D82" s="145" t="str">
        <f aca="false">IF(receitasfixasconsolidadoabr[[#This Row],[TOTAL (R$)]]=0,"",IF(OR(receitasfixasconsolidadoabr[[#This Row],[TOTAL (R$)]]=LARGE($AJ$82:$AJ$86,1),receitasfixasconsolidadoabr[[#This Row],[TOTAL (R$)]]=LARGE($AJ$82:$AJ$86,2)),DADOS!$I$9,""))</f>
        <v/>
      </c>
      <c r="E82" s="146" t="n">
        <f aca="false">SUMIFS(tabela_registros[VALOR],tabela_registros[MÊS],$AE$1,tabela_registros[DIA],receitasfixasconsolidadoabr[[#Headers],[1]],tabela_registros[REGISTRO],DADOS!$N$3,tabela_registros[TIPO],DADOS!$V$3,tabela_registros[CATEGORIA],receitasfixasconsolidadoabr[[#This Row],[ATUAL]])</f>
        <v>0</v>
      </c>
      <c r="F82" s="114" t="n">
        <f aca="false">SUMIFS(tabela_registros[VALOR],tabela_registros[MÊS],$AE$1,tabela_registros[DIA],receitasfixasconsolidadoabr[[#Headers],[2]],tabela_registros[REGISTRO],DADOS!$N$3,tabela_registros[TIPO],DADOS!$V$3,tabela_registros[CATEGORIA],receitasfixasconsolidadoabr[[#This Row],[ATUAL]])</f>
        <v>0</v>
      </c>
      <c r="G82" s="114" t="n">
        <f aca="false">SUMIFS(tabela_registros[VALOR],tabela_registros[MÊS],$AE$1,tabela_registros[DIA],receitasfixasconsolidadoabr[[#Headers],[3]],tabela_registros[REGISTRO],DADOS!$N$3,tabela_registros[TIPO],DADOS!$V$3,tabela_registros[CATEGORIA],receitasfixasconsolidadoabr[[#This Row],[ATUAL]])</f>
        <v>0</v>
      </c>
      <c r="H82" s="114" t="n">
        <f aca="false">SUMIFS(tabela_registros[VALOR],tabela_registros[MÊS],$AE$1,tabela_registros[DIA],receitasfixasconsolidadoabr[[#Headers],[4]],tabela_registros[REGISTRO],DADOS!$N$3,tabela_registros[TIPO],DADOS!$V$3,tabela_registros[CATEGORIA],receitasfixasconsolidadoabr[[#This Row],[ATUAL]])</f>
        <v>0</v>
      </c>
      <c r="I82" s="114" t="n">
        <f aca="false">SUMIFS(tabela_registros[VALOR],tabela_registros[MÊS],$AE$1,tabela_registros[DIA],receitasfixasconsolidadoabr[[#Headers],[5]],tabela_registros[REGISTRO],DADOS!$N$3,tabela_registros[TIPO],DADOS!$V$3,tabela_registros[CATEGORIA],receitasfixasconsolidadoabr[[#This Row],[ATUAL]])</f>
        <v>0</v>
      </c>
      <c r="J82" s="114" t="n">
        <f aca="false">SUMIFS(tabela_registros[VALOR],tabela_registros[MÊS],$AE$1,tabela_registros[DIA],receitasfixasconsolidadoabr[[#Headers],[6]],tabela_registros[REGISTRO],DADOS!$N$3,tabela_registros[TIPO],DADOS!$V$3,tabela_registros[CATEGORIA],receitasfixasconsolidadoabr[[#This Row],[ATUAL]])</f>
        <v>0</v>
      </c>
      <c r="K82" s="114" t="n">
        <f aca="false">SUMIFS(tabela_registros[VALOR],tabela_registros[MÊS],$AE$1,tabela_registros[DIA],receitasfixasconsolidadoabr[[#Headers],[7]],tabela_registros[REGISTRO],DADOS!$N$3,tabela_registros[TIPO],DADOS!$V$3,tabela_registros[CATEGORIA],receitasfixasconsolidadoabr[[#This Row],[ATUAL]])</f>
        <v>0</v>
      </c>
      <c r="L82" s="114" t="n">
        <f aca="false">SUMIFS(tabela_registros[VALOR],tabela_registros[MÊS],$AE$1,tabela_registros[DIA],receitasfixasconsolidadoabr[[#Headers],[8]],tabela_registros[REGISTRO],DADOS!$N$3,tabela_registros[TIPO],DADOS!$V$3,tabela_registros[CATEGORIA],receitasfixasconsolidadoabr[[#This Row],[ATUAL]])</f>
        <v>0</v>
      </c>
      <c r="M82" s="114" t="n">
        <f aca="false">SUMIFS(tabela_registros[VALOR],tabela_registros[MÊS],$AE$1,tabela_registros[DIA],receitasfixasconsolidadoabr[[#Headers],[9]],tabela_registros[REGISTRO],DADOS!$N$3,tabela_registros[TIPO],DADOS!$V$3,tabela_registros[CATEGORIA],receitasfixasconsolidadoabr[[#This Row],[ATUAL]])</f>
        <v>0</v>
      </c>
      <c r="N82" s="114" t="n">
        <f aca="false">SUMIFS(tabela_registros[VALOR],tabela_registros[MÊS],$AE$1,tabela_registros[DIA],receitasfixasconsolidadoabr[[#Headers],[10]],tabela_registros[REGISTRO],DADOS!$N$3,tabela_registros[TIPO],DADOS!$V$3,tabela_registros[CATEGORIA],receitasfixasconsolidadoabr[[#This Row],[ATUAL]])</f>
        <v>0</v>
      </c>
      <c r="O82" s="114" t="n">
        <f aca="false">SUMIFS(tabela_registros[VALOR],tabela_registros[MÊS],$AE$1,tabela_registros[DIA],receitasfixasconsolidadoabr[[#Headers],[11]],tabela_registros[REGISTRO],DADOS!$N$3,tabela_registros[TIPO],DADOS!$V$3,tabela_registros[CATEGORIA],receitasfixasconsolidadoabr[[#This Row],[ATUAL]])</f>
        <v>0</v>
      </c>
      <c r="P82" s="114" t="n">
        <f aca="false">SUMIFS(tabela_registros[VALOR],tabela_registros[MÊS],$AE$1,tabela_registros[DIA],receitasfixasconsolidadoabr[[#Headers],[12]],tabela_registros[REGISTRO],DADOS!$N$3,tabela_registros[TIPO],DADOS!$V$3,tabela_registros[CATEGORIA],receitasfixasconsolidadoabr[[#This Row],[ATUAL]])</f>
        <v>0</v>
      </c>
      <c r="Q82" s="114" t="n">
        <f aca="false">SUMIFS(tabela_registros[VALOR],tabela_registros[MÊS],$AE$1,tabela_registros[DIA],receitasfixasconsolidadoabr[[#Headers],[13]],tabela_registros[REGISTRO],DADOS!$N$3,tabela_registros[TIPO],DADOS!$V$3,tabela_registros[CATEGORIA],receitasfixasconsolidadoabr[[#This Row],[ATUAL]])</f>
        <v>0</v>
      </c>
      <c r="R82" s="114" t="n">
        <f aca="false">SUMIFS(tabela_registros[VALOR],tabela_registros[MÊS],$AE$1,tabela_registros[DIA],receitasfixasconsolidadoabr[[#Headers],[14]],tabela_registros[REGISTRO],DADOS!$N$3,tabela_registros[TIPO],DADOS!$V$3,tabela_registros[CATEGORIA],receitasfixasconsolidadoabr[[#This Row],[ATUAL]])</f>
        <v>0</v>
      </c>
      <c r="S82" s="114" t="n">
        <f aca="false">SUMIFS(tabela_registros[VALOR],tabela_registros[MÊS],$AE$1,tabela_registros[DIA],receitasfixasconsolidadoabr[[#Headers],[15]],tabela_registros[REGISTRO],DADOS!$N$3,tabela_registros[TIPO],DADOS!$V$3,tabela_registros[CATEGORIA],receitasfixasconsolidadoabr[[#This Row],[ATUAL]])</f>
        <v>0</v>
      </c>
      <c r="T82" s="114" t="n">
        <f aca="false">SUMIFS(tabela_registros[VALOR],tabela_registros[MÊS],$AE$1,tabela_registros[DIA],receitasfixasconsolidadoabr[[#Headers],[16]],tabela_registros[REGISTRO],DADOS!$N$3,tabela_registros[TIPO],DADOS!$V$3,tabela_registros[CATEGORIA],receitasfixasconsolidadoabr[[#This Row],[ATUAL]])</f>
        <v>0</v>
      </c>
      <c r="U82" s="114" t="n">
        <f aca="false">SUMIFS(tabela_registros[VALOR],tabela_registros[MÊS],$AE$1,tabela_registros[DIA],receitasfixasconsolidadoabr[[#Headers],[17]],tabela_registros[REGISTRO],DADOS!$N$3,tabela_registros[TIPO],DADOS!$V$3,tabela_registros[CATEGORIA],receitasfixasconsolidadoabr[[#This Row],[ATUAL]])</f>
        <v>0</v>
      </c>
      <c r="V82" s="114" t="n">
        <f aca="false">SUMIFS(tabela_registros[VALOR],tabela_registros[MÊS],$AE$1,tabela_registros[DIA],receitasfixasconsolidadoabr[[#Headers],[18]],tabela_registros[REGISTRO],DADOS!$N$3,tabela_registros[TIPO],DADOS!$V$3,tabela_registros[CATEGORIA],receitasfixasconsolidadoabr[[#This Row],[ATUAL]])</f>
        <v>0</v>
      </c>
      <c r="W82" s="114" t="n">
        <f aca="false">SUMIFS(tabela_registros[VALOR],tabela_registros[MÊS],$AE$1,tabela_registros[DIA],receitasfixasconsolidadoabr[[#Headers],[19]],tabela_registros[REGISTRO],DADOS!$N$3,tabela_registros[TIPO],DADOS!$V$3,tabela_registros[CATEGORIA],receitasfixasconsolidadoabr[[#This Row],[ATUAL]])</f>
        <v>0</v>
      </c>
      <c r="X82" s="114" t="n">
        <f aca="false">SUMIFS(tabela_registros[VALOR],tabela_registros[MÊS],$AE$1,tabela_registros[DIA],receitasfixasconsolidadoabr[[#Headers],[20]],tabela_registros[REGISTRO],DADOS!$N$3,tabela_registros[TIPO],DADOS!$V$3,tabela_registros[CATEGORIA],receitasfixasconsolidadoabr[[#This Row],[ATUAL]])</f>
        <v>0</v>
      </c>
      <c r="Y82" s="114" t="n">
        <f aca="false">SUMIFS(tabela_registros[VALOR],tabela_registros[MÊS],$AE$1,tabela_registros[DIA],receitasfixasconsolidadoabr[[#Headers],[21]],tabela_registros[REGISTRO],DADOS!$N$3,tabela_registros[TIPO],DADOS!$V$3,tabela_registros[CATEGORIA],receitasfixasconsolidadoabr[[#This Row],[ATUAL]])</f>
        <v>0</v>
      </c>
      <c r="Z82" s="114" t="n">
        <f aca="false">SUMIFS(tabela_registros[VALOR],tabela_registros[MÊS],$AE$1,tabela_registros[DIA],receitasfixasconsolidadoabr[[#Headers],[22]],tabela_registros[REGISTRO],DADOS!$N$3,tabela_registros[TIPO],DADOS!$V$3,tabela_registros[CATEGORIA],receitasfixasconsolidadoabr[[#This Row],[ATUAL]])</f>
        <v>0</v>
      </c>
      <c r="AA82" s="114" t="n">
        <f aca="false">SUMIFS(tabela_registros[VALOR],tabela_registros[MÊS],$AE$1,tabela_registros[DIA],receitasfixasconsolidadoabr[[#Headers],[23]],tabela_registros[REGISTRO],DADOS!$N$3,tabela_registros[TIPO],DADOS!$V$3,tabela_registros[CATEGORIA],receitasfixasconsolidadoabr[[#This Row],[ATUAL]])</f>
        <v>0</v>
      </c>
      <c r="AB82" s="114" t="n">
        <f aca="false">SUMIFS(tabela_registros[VALOR],tabela_registros[MÊS],$AE$1,tabela_registros[DIA],receitasfixasconsolidadoabr[[#Headers],[24]],tabela_registros[REGISTRO],DADOS!$N$3,tabela_registros[TIPO],DADOS!$V$3,tabela_registros[CATEGORIA],receitasfixasconsolidadoabr[[#This Row],[ATUAL]])</f>
        <v>0</v>
      </c>
      <c r="AC82" s="114" t="n">
        <f aca="false">SUMIFS(tabela_registros[VALOR],tabela_registros[MÊS],$AE$1,tabela_registros[DIA],receitasfixasconsolidadoabr[[#Headers],[25]],tabela_registros[REGISTRO],DADOS!$N$3,tabela_registros[TIPO],DADOS!$V$3,tabela_registros[CATEGORIA],receitasfixasconsolidadoabr[[#This Row],[ATUAL]])</f>
        <v>0</v>
      </c>
      <c r="AD82" s="114" t="n">
        <f aca="false">SUMIFS(tabela_registros[VALOR],tabela_registros[MÊS],$AE$1,tabela_registros[DIA],receitasfixasconsolidadoabr[[#Headers],[26]],tabela_registros[REGISTRO],DADOS!$N$3,tabela_registros[TIPO],DADOS!$V$3,tabela_registros[CATEGORIA],receitasfixasconsolidadoabr[[#This Row],[ATUAL]])</f>
        <v>0</v>
      </c>
      <c r="AE82" s="114" t="n">
        <f aca="false">SUMIFS(tabela_registros[VALOR],tabela_registros[MÊS],$AE$1,tabela_registros[DIA],receitasfixasconsolidadoabr[[#Headers],[27]],tabela_registros[REGISTRO],DADOS!$N$3,tabela_registros[TIPO],DADOS!$V$3,tabela_registros[CATEGORIA],receitasfixasconsolidadoabr[[#This Row],[ATUAL]])</f>
        <v>0</v>
      </c>
      <c r="AF82" s="114" t="n">
        <f aca="false">SUMIFS(tabela_registros[VALOR],tabela_registros[MÊS],$AE$1,tabela_registros[DIA],receitasfixasconsolidadoabr[[#Headers],[28]],tabela_registros[REGISTRO],DADOS!$N$3,tabela_registros[TIPO],DADOS!$V$3,tabela_registros[CATEGORIA],receitasfixasconsolidadoabr[[#This Row],[ATUAL]])</f>
        <v>0</v>
      </c>
      <c r="AG82" s="114" t="n">
        <f aca="false">SUMIFS(tabela_registros[VALOR],tabela_registros[MÊS],$AE$1,tabela_registros[DIA],receitasfixasconsolidadoabr[[#Headers],[29]],tabela_registros[REGISTRO],DADOS!$N$3,tabela_registros[TIPO],DADOS!$V$3,tabela_registros[CATEGORIA],receitasfixasconsolidadoabr[[#This Row],[ATUAL]])</f>
        <v>0</v>
      </c>
      <c r="AH82" s="114" t="n">
        <f aca="false">SUMIFS(tabela_registros[VALOR],tabela_registros[MÊS],$AE$1,tabela_registros[DIA],receitasfixasconsolidadoabr[[#Headers],[30]],tabela_registros[REGISTRO],DADOS!$N$3,tabela_registros[TIPO],DADOS!$V$3,tabela_registros[CATEGORIA],receitasfixasconsolidadoabr[[#This Row],[ATUAL]])</f>
        <v>0</v>
      </c>
      <c r="AI82" s="216" t="n">
        <f aca="false">SUMIFS(tabela_registros[VALOR],tabela_registros[MÊS],$AE$1,tabela_registros[DIA],receitasfixasconsolidadoabr[[#Headers],[31]],tabela_registros[REGISTRO],DADOS!$N$3,tabela_registros[TIPO],DADOS!$V$3,tabela_registros[CATEGORIA],receitasfixasconsolidadoabr[[#This Row],[ATUAL]])</f>
        <v>0</v>
      </c>
      <c r="AJ82" s="149" t="n">
        <f aca="false">SUM(receitasfixasconsolidadoabr[[#This Row],[1]:[31]])</f>
        <v>0</v>
      </c>
      <c r="AK82" s="165"/>
    </row>
    <row r="83" customFormat="false" ht="19.5" hidden="false" customHeight="true" outlineLevel="0" collapsed="false">
      <c r="B83" s="143"/>
      <c r="C83" s="144" t="str">
        <f aca="false">DADOS!$X$4</f>
        <v>💸APOSENTADORIA</v>
      </c>
      <c r="D83" s="145" t="str">
        <f aca="false">IF(receitasfixasconsolidadoabr[[#This Row],[TOTAL (R$)]]=0,"",IF(OR(receitasfixasconsolidadoabr[[#This Row],[TOTAL (R$)]]=LARGE($AJ$82:$AJ$86,1),receitasfixasconsolidadoabr[[#This Row],[TOTAL (R$)]]=LARGE($AJ$82:$AJ$86,2)),DADOS!$I$9,""))</f>
        <v/>
      </c>
      <c r="E83" s="148" t="n">
        <f aca="false">SUMIFS(tabela_registros[VALOR],tabela_registros[MÊS],$AE$1,tabela_registros[DIA],receitasfixasconsolidadoabr[[#Headers],[1]],tabela_registros[REGISTRO],DADOS!$N$3,tabela_registros[TIPO],DADOS!$V$3,tabela_registros[CATEGORIA],receitasfixasconsolidadoabr[[#This Row],[ATUAL]])</f>
        <v>0</v>
      </c>
      <c r="F83" s="119" t="n">
        <f aca="false">SUMIFS(tabela_registros[VALOR],tabela_registros[MÊS],$AE$1,tabela_registros[DIA],receitasfixasconsolidadoabr[[#Headers],[2]],tabela_registros[REGISTRO],DADOS!$N$3,tabela_registros[TIPO],DADOS!$V$3,tabela_registros[CATEGORIA],receitasfixasconsolidadoabr[[#This Row],[ATUAL]])</f>
        <v>0</v>
      </c>
      <c r="G83" s="119" t="n">
        <f aca="false">SUMIFS(tabela_registros[VALOR],tabela_registros[MÊS],$AE$1,tabela_registros[DIA],receitasfixasconsolidadoabr[[#Headers],[3]],tabela_registros[REGISTRO],DADOS!$N$3,tabela_registros[TIPO],DADOS!$V$3,tabela_registros[CATEGORIA],receitasfixasconsolidadoabr[[#This Row],[ATUAL]])</f>
        <v>0</v>
      </c>
      <c r="H83" s="119" t="n">
        <f aca="false">SUMIFS(tabela_registros[VALOR],tabela_registros[MÊS],$AE$1,tabela_registros[DIA],receitasfixasconsolidadoabr[[#Headers],[4]],tabela_registros[REGISTRO],DADOS!$N$3,tabela_registros[TIPO],DADOS!$V$3,tabela_registros[CATEGORIA],receitasfixasconsolidadoabr[[#This Row],[ATUAL]])</f>
        <v>0</v>
      </c>
      <c r="I83" s="119" t="n">
        <f aca="false">SUMIFS(tabela_registros[VALOR],tabela_registros[MÊS],$AE$1,tabela_registros[DIA],receitasfixasconsolidadoabr[[#Headers],[5]],tabela_registros[REGISTRO],DADOS!$N$3,tabela_registros[TIPO],DADOS!$V$3,tabela_registros[CATEGORIA],receitasfixasconsolidadoabr[[#This Row],[ATUAL]])</f>
        <v>0</v>
      </c>
      <c r="J83" s="119" t="n">
        <f aca="false">SUMIFS(tabela_registros[VALOR],tabela_registros[MÊS],$AE$1,tabela_registros[DIA],receitasfixasconsolidadoabr[[#Headers],[6]],tabela_registros[REGISTRO],DADOS!$N$3,tabela_registros[TIPO],DADOS!$V$3,tabela_registros[CATEGORIA],receitasfixasconsolidadoabr[[#This Row],[ATUAL]])</f>
        <v>0</v>
      </c>
      <c r="K83" s="119" t="n">
        <f aca="false">SUMIFS(tabela_registros[VALOR],tabela_registros[MÊS],$AE$1,tabela_registros[DIA],receitasfixasconsolidadoabr[[#Headers],[7]],tabela_registros[REGISTRO],DADOS!$N$3,tabela_registros[TIPO],DADOS!$V$3,tabela_registros[CATEGORIA],receitasfixasconsolidadoabr[[#This Row],[ATUAL]])</f>
        <v>0</v>
      </c>
      <c r="L83" s="119" t="n">
        <f aca="false">SUMIFS(tabela_registros[VALOR],tabela_registros[MÊS],$AE$1,tabela_registros[DIA],receitasfixasconsolidadoabr[[#Headers],[8]],tabela_registros[REGISTRO],DADOS!$N$3,tabela_registros[TIPO],DADOS!$V$3,tabela_registros[CATEGORIA],receitasfixasconsolidadoabr[[#This Row],[ATUAL]])</f>
        <v>0</v>
      </c>
      <c r="M83" s="119" t="n">
        <f aca="false">SUMIFS(tabela_registros[VALOR],tabela_registros[MÊS],$AE$1,tabela_registros[DIA],receitasfixasconsolidadoabr[[#Headers],[9]],tabela_registros[REGISTRO],DADOS!$N$3,tabela_registros[TIPO],DADOS!$V$3,tabela_registros[CATEGORIA],receitasfixasconsolidadoabr[[#This Row],[ATUAL]])</f>
        <v>0</v>
      </c>
      <c r="N83" s="119" t="n">
        <f aca="false">SUMIFS(tabela_registros[VALOR],tabela_registros[MÊS],$AE$1,tabela_registros[DIA],receitasfixasconsolidadoabr[[#Headers],[10]],tabela_registros[REGISTRO],DADOS!$N$3,tabela_registros[TIPO],DADOS!$V$3,tabela_registros[CATEGORIA],receitasfixasconsolidadoabr[[#This Row],[ATUAL]])</f>
        <v>0</v>
      </c>
      <c r="O83" s="119" t="n">
        <f aca="false">SUMIFS(tabela_registros[VALOR],tabela_registros[MÊS],$AE$1,tabela_registros[DIA],receitasfixasconsolidadoabr[[#Headers],[11]],tabela_registros[REGISTRO],DADOS!$N$3,tabela_registros[TIPO],DADOS!$V$3,tabela_registros[CATEGORIA],receitasfixasconsolidadoabr[[#This Row],[ATUAL]])</f>
        <v>0</v>
      </c>
      <c r="P83" s="119" t="n">
        <f aca="false">SUMIFS(tabela_registros[VALOR],tabela_registros[MÊS],$AE$1,tabela_registros[DIA],receitasfixasconsolidadoabr[[#Headers],[12]],tabela_registros[REGISTRO],DADOS!$N$3,tabela_registros[TIPO],DADOS!$V$3,tabela_registros[CATEGORIA],receitasfixasconsolidadoabr[[#This Row],[ATUAL]])</f>
        <v>0</v>
      </c>
      <c r="Q83" s="119" t="n">
        <f aca="false">SUMIFS(tabela_registros[VALOR],tabela_registros[MÊS],$AE$1,tabela_registros[DIA],receitasfixasconsolidadoabr[[#Headers],[13]],tabela_registros[REGISTRO],DADOS!$N$3,tabela_registros[TIPO],DADOS!$V$3,tabela_registros[CATEGORIA],receitasfixasconsolidadoabr[[#This Row],[ATUAL]])</f>
        <v>0</v>
      </c>
      <c r="R83" s="119" t="n">
        <f aca="false">SUMIFS(tabela_registros[VALOR],tabela_registros[MÊS],$AE$1,tabela_registros[DIA],receitasfixasconsolidadoabr[[#Headers],[14]],tabela_registros[REGISTRO],DADOS!$N$3,tabela_registros[TIPO],DADOS!$V$3,tabela_registros[CATEGORIA],receitasfixasconsolidadoabr[[#This Row],[ATUAL]])</f>
        <v>0</v>
      </c>
      <c r="S83" s="119" t="n">
        <f aca="false">SUMIFS(tabela_registros[VALOR],tabela_registros[MÊS],$AE$1,tabela_registros[DIA],receitasfixasconsolidadoabr[[#Headers],[15]],tabela_registros[REGISTRO],DADOS!$N$3,tabela_registros[TIPO],DADOS!$V$3,tabela_registros[CATEGORIA],receitasfixasconsolidadoabr[[#This Row],[ATUAL]])</f>
        <v>0</v>
      </c>
      <c r="T83" s="119" t="n">
        <f aca="false">SUMIFS(tabela_registros[VALOR],tabela_registros[MÊS],$AE$1,tabela_registros[DIA],receitasfixasconsolidadoabr[[#Headers],[16]],tabela_registros[REGISTRO],DADOS!$N$3,tabela_registros[TIPO],DADOS!$V$3,tabela_registros[CATEGORIA],receitasfixasconsolidadoabr[[#This Row],[ATUAL]])</f>
        <v>0</v>
      </c>
      <c r="U83" s="119" t="n">
        <f aca="false">SUMIFS(tabela_registros[VALOR],tabela_registros[MÊS],$AE$1,tabela_registros[DIA],receitasfixasconsolidadoabr[[#Headers],[17]],tabela_registros[REGISTRO],DADOS!$N$3,tabela_registros[TIPO],DADOS!$V$3,tabela_registros[CATEGORIA],receitasfixasconsolidadoabr[[#This Row],[ATUAL]])</f>
        <v>0</v>
      </c>
      <c r="V83" s="119" t="n">
        <f aca="false">SUMIFS(tabela_registros[VALOR],tabela_registros[MÊS],$AE$1,tabela_registros[DIA],receitasfixasconsolidadoabr[[#Headers],[18]],tabela_registros[REGISTRO],DADOS!$N$3,tabela_registros[TIPO],DADOS!$V$3,tabela_registros[CATEGORIA],receitasfixasconsolidadoabr[[#This Row],[ATUAL]])</f>
        <v>0</v>
      </c>
      <c r="W83" s="119" t="n">
        <f aca="false">SUMIFS(tabela_registros[VALOR],tabela_registros[MÊS],$AE$1,tabela_registros[DIA],receitasfixasconsolidadoabr[[#Headers],[19]],tabela_registros[REGISTRO],DADOS!$N$3,tabela_registros[TIPO],DADOS!$V$3,tabela_registros[CATEGORIA],receitasfixasconsolidadoabr[[#This Row],[ATUAL]])</f>
        <v>0</v>
      </c>
      <c r="X83" s="119" t="n">
        <f aca="false">SUMIFS(tabela_registros[VALOR],tabela_registros[MÊS],$AE$1,tabela_registros[DIA],receitasfixasconsolidadoabr[[#Headers],[20]],tabela_registros[REGISTRO],DADOS!$N$3,tabela_registros[TIPO],DADOS!$V$3,tabela_registros[CATEGORIA],receitasfixasconsolidadoabr[[#This Row],[ATUAL]])</f>
        <v>0</v>
      </c>
      <c r="Y83" s="119" t="n">
        <f aca="false">SUMIFS(tabela_registros[VALOR],tabela_registros[MÊS],$AE$1,tabela_registros[DIA],receitasfixasconsolidadoabr[[#Headers],[21]],tabela_registros[REGISTRO],DADOS!$N$3,tabela_registros[TIPO],DADOS!$V$3,tabela_registros[CATEGORIA],receitasfixasconsolidadoabr[[#This Row],[ATUAL]])</f>
        <v>0</v>
      </c>
      <c r="Z83" s="119" t="n">
        <f aca="false">SUMIFS(tabela_registros[VALOR],tabela_registros[MÊS],$AE$1,tabela_registros[DIA],receitasfixasconsolidadoabr[[#Headers],[22]],tabela_registros[REGISTRO],DADOS!$N$3,tabela_registros[TIPO],DADOS!$V$3,tabela_registros[CATEGORIA],receitasfixasconsolidadoabr[[#This Row],[ATUAL]])</f>
        <v>0</v>
      </c>
      <c r="AA83" s="119" t="n">
        <f aca="false">SUMIFS(tabela_registros[VALOR],tabela_registros[MÊS],$AE$1,tabela_registros[DIA],receitasfixasconsolidadoabr[[#Headers],[23]],tabela_registros[REGISTRO],DADOS!$N$3,tabela_registros[TIPO],DADOS!$V$3,tabela_registros[CATEGORIA],receitasfixasconsolidadoabr[[#This Row],[ATUAL]])</f>
        <v>0</v>
      </c>
      <c r="AB83" s="119" t="n">
        <f aca="false">SUMIFS(tabela_registros[VALOR],tabela_registros[MÊS],$AE$1,tabela_registros[DIA],receitasfixasconsolidadoabr[[#Headers],[24]],tabela_registros[REGISTRO],DADOS!$N$3,tabela_registros[TIPO],DADOS!$V$3,tabela_registros[CATEGORIA],receitasfixasconsolidadoabr[[#This Row],[ATUAL]])</f>
        <v>0</v>
      </c>
      <c r="AC83" s="119" t="n">
        <f aca="false">SUMIFS(tabela_registros[VALOR],tabela_registros[MÊS],$AE$1,tabela_registros[DIA],receitasfixasconsolidadoabr[[#Headers],[25]],tabela_registros[REGISTRO],DADOS!$N$3,tabela_registros[TIPO],DADOS!$V$3,tabela_registros[CATEGORIA],receitasfixasconsolidadoabr[[#This Row],[ATUAL]])</f>
        <v>0</v>
      </c>
      <c r="AD83" s="119" t="n">
        <f aca="false">SUMIFS(tabela_registros[VALOR],tabela_registros[MÊS],$AE$1,tabela_registros[DIA],receitasfixasconsolidadoabr[[#Headers],[26]],tabela_registros[REGISTRO],DADOS!$N$3,tabela_registros[TIPO],DADOS!$V$3,tabela_registros[CATEGORIA],receitasfixasconsolidadoabr[[#This Row],[ATUAL]])</f>
        <v>0</v>
      </c>
      <c r="AE83" s="119" t="n">
        <f aca="false">SUMIFS(tabela_registros[VALOR],tabela_registros[MÊS],$AE$1,tabela_registros[DIA],receitasfixasconsolidadoabr[[#Headers],[27]],tabela_registros[REGISTRO],DADOS!$N$3,tabela_registros[TIPO],DADOS!$V$3,tabela_registros[CATEGORIA],receitasfixasconsolidadoabr[[#This Row],[ATUAL]])</f>
        <v>0</v>
      </c>
      <c r="AF83" s="119" t="n">
        <f aca="false">SUMIFS(tabela_registros[VALOR],tabela_registros[MÊS],$AE$1,tabela_registros[DIA],receitasfixasconsolidadoabr[[#Headers],[28]],tabela_registros[REGISTRO],DADOS!$N$3,tabela_registros[TIPO],DADOS!$V$3,tabela_registros[CATEGORIA],receitasfixasconsolidadoabr[[#This Row],[ATUAL]])</f>
        <v>0</v>
      </c>
      <c r="AG83" s="119" t="n">
        <f aca="false">SUMIFS(tabela_registros[VALOR],tabela_registros[MÊS],$AE$1,tabela_registros[DIA],receitasfixasconsolidadoabr[[#Headers],[29]],tabela_registros[REGISTRO],DADOS!$N$3,tabela_registros[TIPO],DADOS!$V$3,tabela_registros[CATEGORIA],receitasfixasconsolidadoabr[[#This Row],[ATUAL]])</f>
        <v>0</v>
      </c>
      <c r="AH83" s="119" t="n">
        <f aca="false">SUMIFS(tabela_registros[VALOR],tabela_registros[MÊS],$AE$1,tabela_registros[DIA],receitasfixasconsolidadoabr[[#Headers],[30]],tabela_registros[REGISTRO],DADOS!$N$3,tabela_registros[TIPO],DADOS!$V$3,tabela_registros[CATEGORIA],receitasfixasconsolidadoabr[[#This Row],[ATUAL]])</f>
        <v>0</v>
      </c>
      <c r="AI83" s="217" t="n">
        <f aca="false">SUMIFS(tabela_registros[VALOR],tabela_registros[MÊS],$AE$1,tabela_registros[DIA],receitasfixasconsolidadoabr[[#Headers],[31]],tabela_registros[REGISTRO],DADOS!$N$3,tabela_registros[TIPO],DADOS!$V$3,tabela_registros[CATEGORIA],receitasfixasconsolidadoabr[[#This Row],[ATUAL]])</f>
        <v>0</v>
      </c>
      <c r="AJ83" s="149" t="n">
        <f aca="false">SUM(receitasfixasconsolidadoabr[[#This Row],[1]:[31]])</f>
        <v>0</v>
      </c>
      <c r="AK83" s="165"/>
    </row>
    <row r="84" customFormat="false" ht="19.5" hidden="false" customHeight="true" outlineLevel="0" collapsed="false">
      <c r="B84" s="143"/>
      <c r="C84" s="144" t="str">
        <f aca="false">DADOS!$X$5</f>
        <v>🎀 MESADA</v>
      </c>
      <c r="D84" s="145" t="str">
        <f aca="false">IF(receitasfixasconsolidadoabr[[#This Row],[TOTAL (R$)]]=0,"",IF(OR(receitasfixasconsolidadoabr[[#This Row],[TOTAL (R$)]]=LARGE($AJ$82:$AJ$86,1),receitasfixasconsolidadoabr[[#This Row],[TOTAL (R$)]]=LARGE($AJ$82:$AJ$86,2)),DADOS!$I$9,""))</f>
        <v/>
      </c>
      <c r="E84" s="148" t="n">
        <f aca="false">SUMIFS(tabela_registros[VALOR],tabela_registros[MÊS],$AE$1,tabela_registros[DIA],receitasfixasconsolidadoabr[[#Headers],[1]],tabela_registros[REGISTRO],DADOS!$N$3,tabela_registros[TIPO],DADOS!$V$3,tabela_registros[CATEGORIA],receitasfixasconsolidadoabr[[#This Row],[ATUAL]])</f>
        <v>0</v>
      </c>
      <c r="F84" s="119" t="n">
        <f aca="false">SUMIFS(tabela_registros[VALOR],tabela_registros[MÊS],$AE$1,tabela_registros[DIA],receitasfixasconsolidadoabr[[#Headers],[2]],tabela_registros[REGISTRO],DADOS!$N$3,tabela_registros[TIPO],DADOS!$V$3,tabela_registros[CATEGORIA],receitasfixasconsolidadoabr[[#This Row],[ATUAL]])</f>
        <v>0</v>
      </c>
      <c r="G84" s="119" t="n">
        <f aca="false">SUMIFS(tabela_registros[VALOR],tabela_registros[MÊS],$AE$1,tabela_registros[DIA],receitasfixasconsolidadoabr[[#Headers],[3]],tabela_registros[REGISTRO],DADOS!$N$3,tabela_registros[TIPO],DADOS!$V$3,tabela_registros[CATEGORIA],receitasfixasconsolidadoabr[[#This Row],[ATUAL]])</f>
        <v>0</v>
      </c>
      <c r="H84" s="119" t="n">
        <f aca="false">SUMIFS(tabela_registros[VALOR],tabela_registros[MÊS],$AE$1,tabela_registros[DIA],receitasfixasconsolidadoabr[[#Headers],[4]],tabela_registros[REGISTRO],DADOS!$N$3,tabela_registros[TIPO],DADOS!$V$3,tabela_registros[CATEGORIA],receitasfixasconsolidadoabr[[#This Row],[ATUAL]])</f>
        <v>0</v>
      </c>
      <c r="I84" s="119" t="n">
        <f aca="false">SUMIFS(tabela_registros[VALOR],tabela_registros[MÊS],$AE$1,tabela_registros[DIA],receitasfixasconsolidadoabr[[#Headers],[5]],tabela_registros[REGISTRO],DADOS!$N$3,tabela_registros[TIPO],DADOS!$V$3,tabela_registros[CATEGORIA],receitasfixasconsolidadoabr[[#This Row],[ATUAL]])</f>
        <v>0</v>
      </c>
      <c r="J84" s="119" t="n">
        <f aca="false">SUMIFS(tabela_registros[VALOR],tabela_registros[MÊS],$AE$1,tabela_registros[DIA],receitasfixasconsolidadoabr[[#Headers],[6]],tabela_registros[REGISTRO],DADOS!$N$3,tabela_registros[TIPO],DADOS!$V$3,tabela_registros[CATEGORIA],receitasfixasconsolidadoabr[[#This Row],[ATUAL]])</f>
        <v>0</v>
      </c>
      <c r="K84" s="119" t="n">
        <f aca="false">SUMIFS(tabela_registros[VALOR],tabela_registros[MÊS],$AE$1,tabela_registros[DIA],receitasfixasconsolidadoabr[[#Headers],[7]],tabela_registros[REGISTRO],DADOS!$N$3,tabela_registros[TIPO],DADOS!$V$3,tabela_registros[CATEGORIA],receitasfixasconsolidadoabr[[#This Row],[ATUAL]])</f>
        <v>0</v>
      </c>
      <c r="L84" s="119" t="n">
        <f aca="false">SUMIFS(tabela_registros[VALOR],tabela_registros[MÊS],$AE$1,tabela_registros[DIA],receitasfixasconsolidadoabr[[#Headers],[8]],tabela_registros[REGISTRO],DADOS!$N$3,tabela_registros[TIPO],DADOS!$V$3,tabela_registros[CATEGORIA],receitasfixasconsolidadoabr[[#This Row],[ATUAL]])</f>
        <v>0</v>
      </c>
      <c r="M84" s="119" t="n">
        <f aca="false">SUMIFS(tabela_registros[VALOR],tabela_registros[MÊS],$AE$1,tabela_registros[DIA],receitasfixasconsolidadoabr[[#Headers],[9]],tabela_registros[REGISTRO],DADOS!$N$3,tabela_registros[TIPO],DADOS!$V$3,tabela_registros[CATEGORIA],receitasfixasconsolidadoabr[[#This Row],[ATUAL]])</f>
        <v>0</v>
      </c>
      <c r="N84" s="119" t="n">
        <f aca="false">SUMIFS(tabela_registros[VALOR],tabela_registros[MÊS],$AE$1,tabela_registros[DIA],receitasfixasconsolidadoabr[[#Headers],[10]],tabela_registros[REGISTRO],DADOS!$N$3,tabela_registros[TIPO],DADOS!$V$3,tabela_registros[CATEGORIA],receitasfixasconsolidadoabr[[#This Row],[ATUAL]])</f>
        <v>0</v>
      </c>
      <c r="O84" s="119" t="n">
        <f aca="false">SUMIFS(tabela_registros[VALOR],tabela_registros[MÊS],$AE$1,tabela_registros[DIA],receitasfixasconsolidadoabr[[#Headers],[11]],tabela_registros[REGISTRO],DADOS!$N$3,tabela_registros[TIPO],DADOS!$V$3,tabela_registros[CATEGORIA],receitasfixasconsolidadoabr[[#This Row],[ATUAL]])</f>
        <v>0</v>
      </c>
      <c r="P84" s="119" t="n">
        <f aca="false">SUMIFS(tabela_registros[VALOR],tabela_registros[MÊS],$AE$1,tabela_registros[DIA],receitasfixasconsolidadoabr[[#Headers],[12]],tabela_registros[REGISTRO],DADOS!$N$3,tabela_registros[TIPO],DADOS!$V$3,tabela_registros[CATEGORIA],receitasfixasconsolidadoabr[[#This Row],[ATUAL]])</f>
        <v>0</v>
      </c>
      <c r="Q84" s="119" t="n">
        <f aca="false">SUMIFS(tabela_registros[VALOR],tabela_registros[MÊS],$AE$1,tabela_registros[DIA],receitasfixasconsolidadoabr[[#Headers],[13]],tabela_registros[REGISTRO],DADOS!$N$3,tabela_registros[TIPO],DADOS!$V$3,tabela_registros[CATEGORIA],receitasfixasconsolidadoabr[[#This Row],[ATUAL]])</f>
        <v>0</v>
      </c>
      <c r="R84" s="119" t="n">
        <f aca="false">SUMIFS(tabela_registros[VALOR],tabela_registros[MÊS],$AE$1,tabela_registros[DIA],receitasfixasconsolidadoabr[[#Headers],[14]],tabela_registros[REGISTRO],DADOS!$N$3,tabela_registros[TIPO],DADOS!$V$3,tabela_registros[CATEGORIA],receitasfixasconsolidadoabr[[#This Row],[ATUAL]])</f>
        <v>0</v>
      </c>
      <c r="S84" s="119" t="n">
        <f aca="false">SUMIFS(tabela_registros[VALOR],tabela_registros[MÊS],$AE$1,tabela_registros[DIA],receitasfixasconsolidadoabr[[#Headers],[15]],tabela_registros[REGISTRO],DADOS!$N$3,tabela_registros[TIPO],DADOS!$V$3,tabela_registros[CATEGORIA],receitasfixasconsolidadoabr[[#This Row],[ATUAL]])</f>
        <v>0</v>
      </c>
      <c r="T84" s="119" t="n">
        <f aca="false">SUMIFS(tabela_registros[VALOR],tabela_registros[MÊS],$AE$1,tabela_registros[DIA],receitasfixasconsolidadoabr[[#Headers],[16]],tabela_registros[REGISTRO],DADOS!$N$3,tabela_registros[TIPO],DADOS!$V$3,tabela_registros[CATEGORIA],receitasfixasconsolidadoabr[[#This Row],[ATUAL]])</f>
        <v>0</v>
      </c>
      <c r="U84" s="119" t="n">
        <f aca="false">SUMIFS(tabela_registros[VALOR],tabela_registros[MÊS],$AE$1,tabela_registros[DIA],receitasfixasconsolidadoabr[[#Headers],[17]],tabela_registros[REGISTRO],DADOS!$N$3,tabela_registros[TIPO],DADOS!$V$3,tabela_registros[CATEGORIA],receitasfixasconsolidadoabr[[#This Row],[ATUAL]])</f>
        <v>0</v>
      </c>
      <c r="V84" s="119" t="n">
        <f aca="false">SUMIFS(tabela_registros[VALOR],tabela_registros[MÊS],$AE$1,tabela_registros[DIA],receitasfixasconsolidadoabr[[#Headers],[18]],tabela_registros[REGISTRO],DADOS!$N$3,tabela_registros[TIPO],DADOS!$V$3,tabela_registros[CATEGORIA],receitasfixasconsolidadoabr[[#This Row],[ATUAL]])</f>
        <v>0</v>
      </c>
      <c r="W84" s="119" t="n">
        <f aca="false">SUMIFS(tabela_registros[VALOR],tabela_registros[MÊS],$AE$1,tabela_registros[DIA],receitasfixasconsolidadoabr[[#Headers],[19]],tabela_registros[REGISTRO],DADOS!$N$3,tabela_registros[TIPO],DADOS!$V$3,tabela_registros[CATEGORIA],receitasfixasconsolidadoabr[[#This Row],[ATUAL]])</f>
        <v>0</v>
      </c>
      <c r="X84" s="119" t="n">
        <f aca="false">SUMIFS(tabela_registros[VALOR],tabela_registros[MÊS],$AE$1,tabela_registros[DIA],receitasfixasconsolidadoabr[[#Headers],[20]],tabela_registros[REGISTRO],DADOS!$N$3,tabela_registros[TIPO],DADOS!$V$3,tabela_registros[CATEGORIA],receitasfixasconsolidadoabr[[#This Row],[ATUAL]])</f>
        <v>0</v>
      </c>
      <c r="Y84" s="119" t="n">
        <f aca="false">SUMIFS(tabela_registros[VALOR],tabela_registros[MÊS],$AE$1,tabela_registros[DIA],receitasfixasconsolidadoabr[[#Headers],[21]],tabela_registros[REGISTRO],DADOS!$N$3,tabela_registros[TIPO],DADOS!$V$3,tabela_registros[CATEGORIA],receitasfixasconsolidadoabr[[#This Row],[ATUAL]])</f>
        <v>0</v>
      </c>
      <c r="Z84" s="119" t="n">
        <f aca="false">SUMIFS(tabela_registros[VALOR],tabela_registros[MÊS],$AE$1,tabela_registros[DIA],receitasfixasconsolidadoabr[[#Headers],[22]],tabela_registros[REGISTRO],DADOS!$N$3,tabela_registros[TIPO],DADOS!$V$3,tabela_registros[CATEGORIA],receitasfixasconsolidadoabr[[#This Row],[ATUAL]])</f>
        <v>0</v>
      </c>
      <c r="AA84" s="119" t="n">
        <f aca="false">SUMIFS(tabela_registros[VALOR],tabela_registros[MÊS],$AE$1,tabela_registros[DIA],receitasfixasconsolidadoabr[[#Headers],[23]],tabela_registros[REGISTRO],DADOS!$N$3,tabela_registros[TIPO],DADOS!$V$3,tabela_registros[CATEGORIA],receitasfixasconsolidadoabr[[#This Row],[ATUAL]])</f>
        <v>0</v>
      </c>
      <c r="AB84" s="119" t="n">
        <f aca="false">SUMIFS(tabela_registros[VALOR],tabela_registros[MÊS],$AE$1,tabela_registros[DIA],receitasfixasconsolidadoabr[[#Headers],[24]],tabela_registros[REGISTRO],DADOS!$N$3,tabela_registros[TIPO],DADOS!$V$3,tabela_registros[CATEGORIA],receitasfixasconsolidadoabr[[#This Row],[ATUAL]])</f>
        <v>0</v>
      </c>
      <c r="AC84" s="119" t="n">
        <f aca="false">SUMIFS(tabela_registros[VALOR],tabela_registros[MÊS],$AE$1,tabela_registros[DIA],receitasfixasconsolidadoabr[[#Headers],[25]],tabela_registros[REGISTRO],DADOS!$N$3,tabela_registros[TIPO],DADOS!$V$3,tabela_registros[CATEGORIA],receitasfixasconsolidadoabr[[#This Row],[ATUAL]])</f>
        <v>0</v>
      </c>
      <c r="AD84" s="119" t="n">
        <f aca="false">SUMIFS(tabela_registros[VALOR],tabela_registros[MÊS],$AE$1,tabela_registros[DIA],receitasfixasconsolidadoabr[[#Headers],[26]],tabela_registros[REGISTRO],DADOS!$N$3,tabela_registros[TIPO],DADOS!$V$3,tabela_registros[CATEGORIA],receitasfixasconsolidadoabr[[#This Row],[ATUAL]])</f>
        <v>0</v>
      </c>
      <c r="AE84" s="119" t="n">
        <f aca="false">SUMIFS(tabela_registros[VALOR],tabela_registros[MÊS],$AE$1,tabela_registros[DIA],receitasfixasconsolidadoabr[[#Headers],[27]],tabela_registros[REGISTRO],DADOS!$N$3,tabela_registros[TIPO],DADOS!$V$3,tabela_registros[CATEGORIA],receitasfixasconsolidadoabr[[#This Row],[ATUAL]])</f>
        <v>0</v>
      </c>
      <c r="AF84" s="119" t="n">
        <f aca="false">SUMIFS(tabela_registros[VALOR],tabela_registros[MÊS],$AE$1,tabela_registros[DIA],receitasfixasconsolidadoabr[[#Headers],[28]],tabela_registros[REGISTRO],DADOS!$N$3,tabela_registros[TIPO],DADOS!$V$3,tabela_registros[CATEGORIA],receitasfixasconsolidadoabr[[#This Row],[ATUAL]])</f>
        <v>0</v>
      </c>
      <c r="AG84" s="119" t="n">
        <f aca="false">SUMIFS(tabela_registros[VALOR],tabela_registros[MÊS],$AE$1,tabela_registros[DIA],receitasfixasconsolidadoabr[[#Headers],[29]],tabela_registros[REGISTRO],DADOS!$N$3,tabela_registros[TIPO],DADOS!$V$3,tabela_registros[CATEGORIA],receitasfixasconsolidadoabr[[#This Row],[ATUAL]])</f>
        <v>0</v>
      </c>
      <c r="AH84" s="119" t="n">
        <f aca="false">SUMIFS(tabela_registros[VALOR],tabela_registros[MÊS],$AE$1,tabela_registros[DIA],receitasfixasconsolidadoabr[[#Headers],[30]],tabela_registros[REGISTRO],DADOS!$N$3,tabela_registros[TIPO],DADOS!$V$3,tabela_registros[CATEGORIA],receitasfixasconsolidadoabr[[#This Row],[ATUAL]])</f>
        <v>0</v>
      </c>
      <c r="AI84" s="217" t="n">
        <f aca="false">SUMIFS(tabela_registros[VALOR],tabela_registros[MÊS],$AE$1,tabela_registros[DIA],receitasfixasconsolidadoabr[[#Headers],[31]],tabela_registros[REGISTRO],DADOS!$N$3,tabela_registros[TIPO],DADOS!$V$3,tabela_registros[CATEGORIA],receitasfixasconsolidadoabr[[#This Row],[ATUAL]])</f>
        <v>0</v>
      </c>
      <c r="AJ84" s="149" t="n">
        <f aca="false">SUM(receitasfixasconsolidadoabr[[#This Row],[1]:[31]])</f>
        <v>0</v>
      </c>
      <c r="AK84" s="165"/>
    </row>
    <row r="85" customFormat="false" ht="19.5" hidden="false" customHeight="true" outlineLevel="0" collapsed="false">
      <c r="B85" s="143"/>
      <c r="C85" s="144" t="str">
        <f aca="false">DADOS!$X$6</f>
        <v>💰 SALÁRIO</v>
      </c>
      <c r="D85" s="145" t="str">
        <f aca="false">IF(receitasfixasconsolidadoabr[[#This Row],[TOTAL (R$)]]=0,"",IF(OR(receitasfixasconsolidadoabr[[#This Row],[TOTAL (R$)]]=LARGE($AJ$82:$AJ$86,1),receitasfixasconsolidadoabr[[#This Row],[TOTAL (R$)]]=LARGE($AJ$82:$AJ$86,2)),DADOS!$I$9,""))</f>
        <v/>
      </c>
      <c r="E85" s="148" t="n">
        <f aca="false">SUMIFS(tabela_registros[VALOR],tabela_registros[MÊS],$AE$1,tabela_registros[DIA],receitasfixasconsolidadoabr[[#Headers],[1]],tabela_registros[REGISTRO],DADOS!$N$3,tabela_registros[TIPO],DADOS!$V$3,tabela_registros[CATEGORIA],receitasfixasconsolidadoabr[[#This Row],[ATUAL]])</f>
        <v>0</v>
      </c>
      <c r="F85" s="119" t="n">
        <f aca="false">SUMIFS(tabela_registros[VALOR],tabela_registros[MÊS],$AE$1,tabela_registros[DIA],receitasfixasconsolidadoabr[[#Headers],[2]],tabela_registros[REGISTRO],DADOS!$N$3,tabela_registros[TIPO],DADOS!$V$3,tabela_registros[CATEGORIA],receitasfixasconsolidadoabr[[#This Row],[ATUAL]])</f>
        <v>0</v>
      </c>
      <c r="G85" s="119" t="n">
        <f aca="false">SUMIFS(tabela_registros[VALOR],tabela_registros[MÊS],$AE$1,tabela_registros[DIA],receitasfixasconsolidadoabr[[#Headers],[3]],tabela_registros[REGISTRO],DADOS!$N$3,tabela_registros[TIPO],DADOS!$V$3,tabela_registros[CATEGORIA],receitasfixasconsolidadoabr[[#This Row],[ATUAL]])</f>
        <v>0</v>
      </c>
      <c r="H85" s="119" t="n">
        <f aca="false">SUMIFS(tabela_registros[VALOR],tabela_registros[MÊS],$AE$1,tabela_registros[DIA],receitasfixasconsolidadoabr[[#Headers],[4]],tabela_registros[REGISTRO],DADOS!$N$3,tabela_registros[TIPO],DADOS!$V$3,tabela_registros[CATEGORIA],receitasfixasconsolidadoabr[[#This Row],[ATUAL]])</f>
        <v>0</v>
      </c>
      <c r="I85" s="119" t="n">
        <f aca="false">SUMIFS(tabela_registros[VALOR],tabela_registros[MÊS],$AE$1,tabela_registros[DIA],receitasfixasconsolidadoabr[[#Headers],[5]],tabela_registros[REGISTRO],DADOS!$N$3,tabela_registros[TIPO],DADOS!$V$3,tabela_registros[CATEGORIA],receitasfixasconsolidadoabr[[#This Row],[ATUAL]])</f>
        <v>0</v>
      </c>
      <c r="J85" s="119" t="n">
        <f aca="false">SUMIFS(tabela_registros[VALOR],tabela_registros[MÊS],$AE$1,tabela_registros[DIA],receitasfixasconsolidadoabr[[#Headers],[6]],tabela_registros[REGISTRO],DADOS!$N$3,tabela_registros[TIPO],DADOS!$V$3,tabela_registros[CATEGORIA],receitasfixasconsolidadoabr[[#This Row],[ATUAL]])</f>
        <v>0</v>
      </c>
      <c r="K85" s="119" t="n">
        <f aca="false">SUMIFS(tabela_registros[VALOR],tabela_registros[MÊS],$AE$1,tabela_registros[DIA],receitasfixasconsolidadoabr[[#Headers],[7]],tabela_registros[REGISTRO],DADOS!$N$3,tabela_registros[TIPO],DADOS!$V$3,tabela_registros[CATEGORIA],receitasfixasconsolidadoabr[[#This Row],[ATUAL]])</f>
        <v>0</v>
      </c>
      <c r="L85" s="119" t="n">
        <f aca="false">SUMIFS(tabela_registros[VALOR],tabela_registros[MÊS],$AE$1,tabela_registros[DIA],receitasfixasconsolidadoabr[[#Headers],[8]],tabela_registros[REGISTRO],DADOS!$N$3,tabela_registros[TIPO],DADOS!$V$3,tabela_registros[CATEGORIA],receitasfixasconsolidadoabr[[#This Row],[ATUAL]])</f>
        <v>0</v>
      </c>
      <c r="M85" s="119" t="n">
        <f aca="false">SUMIFS(tabela_registros[VALOR],tabela_registros[MÊS],$AE$1,tabela_registros[DIA],receitasfixasconsolidadoabr[[#Headers],[9]],tabela_registros[REGISTRO],DADOS!$N$3,tabela_registros[TIPO],DADOS!$V$3,tabela_registros[CATEGORIA],receitasfixasconsolidadoabr[[#This Row],[ATUAL]])</f>
        <v>0</v>
      </c>
      <c r="N85" s="119" t="n">
        <f aca="false">SUMIFS(tabela_registros[VALOR],tabela_registros[MÊS],$AE$1,tabela_registros[DIA],receitasfixasconsolidadoabr[[#Headers],[10]],tabela_registros[REGISTRO],DADOS!$N$3,tabela_registros[TIPO],DADOS!$V$3,tabela_registros[CATEGORIA],receitasfixasconsolidadoabr[[#This Row],[ATUAL]])</f>
        <v>0</v>
      </c>
      <c r="O85" s="119" t="n">
        <f aca="false">SUMIFS(tabela_registros[VALOR],tabela_registros[MÊS],$AE$1,tabela_registros[DIA],receitasfixasconsolidadoabr[[#Headers],[11]],tabela_registros[REGISTRO],DADOS!$N$3,tabela_registros[TIPO],DADOS!$V$3,tabela_registros[CATEGORIA],receitasfixasconsolidadoabr[[#This Row],[ATUAL]])</f>
        <v>0</v>
      </c>
      <c r="P85" s="119" t="n">
        <f aca="false">SUMIFS(tabela_registros[VALOR],tabela_registros[MÊS],$AE$1,tabela_registros[DIA],receitasfixasconsolidadoabr[[#Headers],[12]],tabela_registros[REGISTRO],DADOS!$N$3,tabela_registros[TIPO],DADOS!$V$3,tabela_registros[CATEGORIA],receitasfixasconsolidadoabr[[#This Row],[ATUAL]])</f>
        <v>0</v>
      </c>
      <c r="Q85" s="119" t="n">
        <f aca="false">SUMIFS(tabela_registros[VALOR],tabela_registros[MÊS],$AE$1,tabela_registros[DIA],receitasfixasconsolidadoabr[[#Headers],[13]],tabela_registros[REGISTRO],DADOS!$N$3,tabela_registros[TIPO],DADOS!$V$3,tabela_registros[CATEGORIA],receitasfixasconsolidadoabr[[#This Row],[ATUAL]])</f>
        <v>0</v>
      </c>
      <c r="R85" s="119" t="n">
        <f aca="false">SUMIFS(tabela_registros[VALOR],tabela_registros[MÊS],$AE$1,tabela_registros[DIA],receitasfixasconsolidadoabr[[#Headers],[14]],tabela_registros[REGISTRO],DADOS!$N$3,tabela_registros[TIPO],DADOS!$V$3,tabela_registros[CATEGORIA],receitasfixasconsolidadoabr[[#This Row],[ATUAL]])</f>
        <v>0</v>
      </c>
      <c r="S85" s="119" t="n">
        <f aca="false">SUMIFS(tabela_registros[VALOR],tabela_registros[MÊS],$AE$1,tabela_registros[DIA],receitasfixasconsolidadoabr[[#Headers],[15]],tabela_registros[REGISTRO],DADOS!$N$3,tabela_registros[TIPO],DADOS!$V$3,tabela_registros[CATEGORIA],receitasfixasconsolidadoabr[[#This Row],[ATUAL]])</f>
        <v>0</v>
      </c>
      <c r="T85" s="119" t="n">
        <f aca="false">SUMIFS(tabela_registros[VALOR],tabela_registros[MÊS],$AE$1,tabela_registros[DIA],receitasfixasconsolidadoabr[[#Headers],[16]],tabela_registros[REGISTRO],DADOS!$N$3,tabela_registros[TIPO],DADOS!$V$3,tabela_registros[CATEGORIA],receitasfixasconsolidadoabr[[#This Row],[ATUAL]])</f>
        <v>0</v>
      </c>
      <c r="U85" s="119" t="n">
        <f aca="false">SUMIFS(tabela_registros[VALOR],tabela_registros[MÊS],$AE$1,tabela_registros[DIA],receitasfixasconsolidadoabr[[#Headers],[17]],tabela_registros[REGISTRO],DADOS!$N$3,tabela_registros[TIPO],DADOS!$V$3,tabela_registros[CATEGORIA],receitasfixasconsolidadoabr[[#This Row],[ATUAL]])</f>
        <v>0</v>
      </c>
      <c r="V85" s="119" t="n">
        <f aca="false">SUMIFS(tabela_registros[VALOR],tabela_registros[MÊS],$AE$1,tabela_registros[DIA],receitasfixasconsolidadoabr[[#Headers],[18]],tabela_registros[REGISTRO],DADOS!$N$3,tabela_registros[TIPO],DADOS!$V$3,tabela_registros[CATEGORIA],receitasfixasconsolidadoabr[[#This Row],[ATUAL]])</f>
        <v>0</v>
      </c>
      <c r="W85" s="119" t="n">
        <f aca="false">SUMIFS(tabela_registros[VALOR],tabela_registros[MÊS],$AE$1,tabela_registros[DIA],receitasfixasconsolidadoabr[[#Headers],[19]],tabela_registros[REGISTRO],DADOS!$N$3,tabela_registros[TIPO],DADOS!$V$3,tabela_registros[CATEGORIA],receitasfixasconsolidadoabr[[#This Row],[ATUAL]])</f>
        <v>0</v>
      </c>
      <c r="X85" s="119" t="n">
        <f aca="false">SUMIFS(tabela_registros[VALOR],tabela_registros[MÊS],$AE$1,tabela_registros[DIA],receitasfixasconsolidadoabr[[#Headers],[20]],tabela_registros[REGISTRO],DADOS!$N$3,tabela_registros[TIPO],DADOS!$V$3,tabela_registros[CATEGORIA],receitasfixasconsolidadoabr[[#This Row],[ATUAL]])</f>
        <v>0</v>
      </c>
      <c r="Y85" s="119" t="n">
        <f aca="false">SUMIFS(tabela_registros[VALOR],tabela_registros[MÊS],$AE$1,tabela_registros[DIA],receitasfixasconsolidadoabr[[#Headers],[21]],tabela_registros[REGISTRO],DADOS!$N$3,tabela_registros[TIPO],DADOS!$V$3,tabela_registros[CATEGORIA],receitasfixasconsolidadoabr[[#This Row],[ATUAL]])</f>
        <v>0</v>
      </c>
      <c r="Z85" s="119" t="n">
        <f aca="false">SUMIFS(tabela_registros[VALOR],tabela_registros[MÊS],$AE$1,tabela_registros[DIA],receitasfixasconsolidadoabr[[#Headers],[22]],tabela_registros[REGISTRO],DADOS!$N$3,tabela_registros[TIPO],DADOS!$V$3,tabela_registros[CATEGORIA],receitasfixasconsolidadoabr[[#This Row],[ATUAL]])</f>
        <v>0</v>
      </c>
      <c r="AA85" s="119" t="n">
        <f aca="false">SUMIFS(tabela_registros[VALOR],tabela_registros[MÊS],$AE$1,tabela_registros[DIA],receitasfixasconsolidadoabr[[#Headers],[23]],tabela_registros[REGISTRO],DADOS!$N$3,tabela_registros[TIPO],DADOS!$V$3,tabela_registros[CATEGORIA],receitasfixasconsolidadoabr[[#This Row],[ATUAL]])</f>
        <v>0</v>
      </c>
      <c r="AB85" s="119" t="n">
        <f aca="false">SUMIFS(tabela_registros[VALOR],tabela_registros[MÊS],$AE$1,tabela_registros[DIA],receitasfixasconsolidadoabr[[#Headers],[24]],tabela_registros[REGISTRO],DADOS!$N$3,tabela_registros[TIPO],DADOS!$V$3,tabela_registros[CATEGORIA],receitasfixasconsolidadoabr[[#This Row],[ATUAL]])</f>
        <v>0</v>
      </c>
      <c r="AC85" s="119" t="n">
        <f aca="false">SUMIFS(tabela_registros[VALOR],tabela_registros[MÊS],$AE$1,tabela_registros[DIA],receitasfixasconsolidadoabr[[#Headers],[25]],tabela_registros[REGISTRO],DADOS!$N$3,tabela_registros[TIPO],DADOS!$V$3,tabela_registros[CATEGORIA],receitasfixasconsolidadoabr[[#This Row],[ATUAL]])</f>
        <v>0</v>
      </c>
      <c r="AD85" s="119" t="n">
        <f aca="false">SUMIFS(tabela_registros[VALOR],tabela_registros[MÊS],$AE$1,tabela_registros[DIA],receitasfixasconsolidadoabr[[#Headers],[26]],tabela_registros[REGISTRO],DADOS!$N$3,tabela_registros[TIPO],DADOS!$V$3,tabela_registros[CATEGORIA],receitasfixasconsolidadoabr[[#This Row],[ATUAL]])</f>
        <v>0</v>
      </c>
      <c r="AE85" s="119" t="n">
        <f aca="false">SUMIFS(tabela_registros[VALOR],tabela_registros[MÊS],$AE$1,tabela_registros[DIA],receitasfixasconsolidadoabr[[#Headers],[27]],tabela_registros[REGISTRO],DADOS!$N$3,tabela_registros[TIPO],DADOS!$V$3,tabela_registros[CATEGORIA],receitasfixasconsolidadoabr[[#This Row],[ATUAL]])</f>
        <v>0</v>
      </c>
      <c r="AF85" s="119" t="n">
        <f aca="false">SUMIFS(tabela_registros[VALOR],tabela_registros[MÊS],$AE$1,tabela_registros[DIA],receitasfixasconsolidadoabr[[#Headers],[28]],tabela_registros[REGISTRO],DADOS!$N$3,tabela_registros[TIPO],DADOS!$V$3,tabela_registros[CATEGORIA],receitasfixasconsolidadoabr[[#This Row],[ATUAL]])</f>
        <v>0</v>
      </c>
      <c r="AG85" s="119" t="n">
        <f aca="false">SUMIFS(tabela_registros[VALOR],tabela_registros[MÊS],$AE$1,tabela_registros[DIA],receitasfixasconsolidadoabr[[#Headers],[29]],tabela_registros[REGISTRO],DADOS!$N$3,tabela_registros[TIPO],DADOS!$V$3,tabela_registros[CATEGORIA],receitasfixasconsolidadoabr[[#This Row],[ATUAL]])</f>
        <v>0</v>
      </c>
      <c r="AH85" s="119" t="n">
        <f aca="false">SUMIFS(tabela_registros[VALOR],tabela_registros[MÊS],$AE$1,tabela_registros[DIA],receitasfixasconsolidadoabr[[#Headers],[30]],tabela_registros[REGISTRO],DADOS!$N$3,tabela_registros[TIPO],DADOS!$V$3,tabela_registros[CATEGORIA],receitasfixasconsolidadoabr[[#This Row],[ATUAL]])</f>
        <v>0</v>
      </c>
      <c r="AI85" s="217" t="n">
        <f aca="false">SUMIFS(tabela_registros[VALOR],tabela_registros[MÊS],$AE$1,tabela_registros[DIA],receitasfixasconsolidadoabr[[#Headers],[31]],tabela_registros[REGISTRO],DADOS!$N$3,tabela_registros[TIPO],DADOS!$V$3,tabela_registros[CATEGORIA],receitasfixasconsolidadoabr[[#This Row],[ATUAL]])</f>
        <v>0</v>
      </c>
      <c r="AJ85" s="149" t="n">
        <f aca="false">SUM(receitasfixasconsolidadoabr[[#This Row],[1]:[31]])</f>
        <v>0</v>
      </c>
      <c r="AK85" s="165"/>
    </row>
    <row r="86" customFormat="false" ht="18" hidden="false" customHeight="true" outlineLevel="0" collapsed="false">
      <c r="B86" s="143"/>
      <c r="C86" s="144" t="str">
        <f aca="false">DADOS!$X$7</f>
        <v>📎 OUTROS</v>
      </c>
      <c r="D86" s="145" t="str">
        <f aca="false">IF(receitasfixasconsolidadoabr[[#This Row],[TOTAL (R$)]]=0,"",IF(OR(receitasfixasconsolidadoabr[[#This Row],[TOTAL (R$)]]=LARGE($AJ$82:$AJ$86,1),receitasfixasconsolidadoabr[[#This Row],[TOTAL (R$)]]=LARGE($AJ$82:$AJ$86,2)),DADOS!$I$9,""))</f>
        <v/>
      </c>
      <c r="E86" s="148" t="n">
        <f aca="false">SUMIFS(tabela_registros[VALOR],tabela_registros[MÊS],$AE$1,tabela_registros[DIA],receitasfixasconsolidadoabr[[#Headers],[1]],tabela_registros[REGISTRO],DADOS!$N$3,tabela_registros[TIPO],DADOS!$V$3,tabela_registros[CATEGORIA],receitasfixasconsolidadoabr[[#This Row],[ATUAL]])</f>
        <v>0</v>
      </c>
      <c r="F86" s="119" t="n">
        <f aca="false">SUMIFS(tabela_registros[VALOR],tabela_registros[MÊS],$AE$1,tabela_registros[DIA],receitasfixasconsolidadoabr[[#Headers],[2]],tabela_registros[REGISTRO],DADOS!$N$3,tabela_registros[TIPO],DADOS!$V$3,tabela_registros[CATEGORIA],receitasfixasconsolidadoabr[[#This Row],[ATUAL]])</f>
        <v>0</v>
      </c>
      <c r="G86" s="119" t="n">
        <f aca="false">SUMIFS(tabela_registros[VALOR],tabela_registros[MÊS],$AE$1,tabela_registros[DIA],receitasfixasconsolidadoabr[[#Headers],[3]],tabela_registros[REGISTRO],DADOS!$N$3,tabela_registros[TIPO],DADOS!$V$3,tabela_registros[CATEGORIA],receitasfixasconsolidadoabr[[#This Row],[ATUAL]])</f>
        <v>0</v>
      </c>
      <c r="H86" s="119" t="n">
        <f aca="false">SUMIFS(tabela_registros[VALOR],tabela_registros[MÊS],$AE$1,tabela_registros[DIA],receitasfixasconsolidadoabr[[#Headers],[4]],tabela_registros[REGISTRO],DADOS!$N$3,tabela_registros[TIPO],DADOS!$V$3,tabela_registros[CATEGORIA],receitasfixasconsolidadoabr[[#This Row],[ATUAL]])</f>
        <v>0</v>
      </c>
      <c r="I86" s="119" t="n">
        <f aca="false">SUMIFS(tabela_registros[VALOR],tabela_registros[MÊS],$AE$1,tabela_registros[DIA],receitasfixasconsolidadoabr[[#Headers],[5]],tabela_registros[REGISTRO],DADOS!$N$3,tabela_registros[TIPO],DADOS!$V$3,tabela_registros[CATEGORIA],receitasfixasconsolidadoabr[[#This Row],[ATUAL]])</f>
        <v>0</v>
      </c>
      <c r="J86" s="119" t="n">
        <f aca="false">SUMIFS(tabela_registros[VALOR],tabela_registros[MÊS],$AE$1,tabela_registros[DIA],receitasfixasconsolidadoabr[[#Headers],[6]],tabela_registros[REGISTRO],DADOS!$N$3,tabela_registros[TIPO],DADOS!$V$3,tabela_registros[CATEGORIA],receitasfixasconsolidadoabr[[#This Row],[ATUAL]])</f>
        <v>0</v>
      </c>
      <c r="K86" s="119" t="n">
        <f aca="false">SUMIFS(tabela_registros[VALOR],tabela_registros[MÊS],$AE$1,tabela_registros[DIA],receitasfixasconsolidadoabr[[#Headers],[7]],tabela_registros[REGISTRO],DADOS!$N$3,tabela_registros[TIPO],DADOS!$V$3,tabela_registros[CATEGORIA],receitasfixasconsolidadoabr[[#This Row],[ATUAL]])</f>
        <v>0</v>
      </c>
      <c r="L86" s="119" t="n">
        <f aca="false">SUMIFS(tabela_registros[VALOR],tabela_registros[MÊS],$AE$1,tabela_registros[DIA],receitasfixasconsolidadoabr[[#Headers],[8]],tabela_registros[REGISTRO],DADOS!$N$3,tabela_registros[TIPO],DADOS!$V$3,tabela_registros[CATEGORIA],receitasfixasconsolidadoabr[[#This Row],[ATUAL]])</f>
        <v>0</v>
      </c>
      <c r="M86" s="119" t="n">
        <f aca="false">SUMIFS(tabela_registros[VALOR],tabela_registros[MÊS],$AE$1,tabela_registros[DIA],receitasfixasconsolidadoabr[[#Headers],[9]],tabela_registros[REGISTRO],DADOS!$N$3,tabela_registros[TIPO],DADOS!$V$3,tabela_registros[CATEGORIA],receitasfixasconsolidadoabr[[#This Row],[ATUAL]])</f>
        <v>0</v>
      </c>
      <c r="N86" s="119" t="n">
        <f aca="false">SUMIFS(tabela_registros[VALOR],tabela_registros[MÊS],$AE$1,tabela_registros[DIA],receitasfixasconsolidadoabr[[#Headers],[10]],tabela_registros[REGISTRO],DADOS!$N$3,tabela_registros[TIPO],DADOS!$V$3,tabela_registros[CATEGORIA],receitasfixasconsolidadoabr[[#This Row],[ATUAL]])</f>
        <v>0</v>
      </c>
      <c r="O86" s="119" t="n">
        <f aca="false">SUMIFS(tabela_registros[VALOR],tabela_registros[MÊS],$AE$1,tabela_registros[DIA],receitasfixasconsolidadoabr[[#Headers],[11]],tabela_registros[REGISTRO],DADOS!$N$3,tabela_registros[TIPO],DADOS!$V$3,tabela_registros[CATEGORIA],receitasfixasconsolidadoabr[[#This Row],[ATUAL]])</f>
        <v>0</v>
      </c>
      <c r="P86" s="119" t="n">
        <f aca="false">SUMIFS(tabela_registros[VALOR],tabela_registros[MÊS],$AE$1,tabela_registros[DIA],receitasfixasconsolidadoabr[[#Headers],[12]],tabela_registros[REGISTRO],DADOS!$N$3,tabela_registros[TIPO],DADOS!$V$3,tabela_registros[CATEGORIA],receitasfixasconsolidadoabr[[#This Row],[ATUAL]])</f>
        <v>0</v>
      </c>
      <c r="Q86" s="119" t="n">
        <f aca="false">SUMIFS(tabela_registros[VALOR],tabela_registros[MÊS],$AE$1,tabela_registros[DIA],receitasfixasconsolidadoabr[[#Headers],[13]],tabela_registros[REGISTRO],DADOS!$N$3,tabela_registros[TIPO],DADOS!$V$3,tabela_registros[CATEGORIA],receitasfixasconsolidadoabr[[#This Row],[ATUAL]])</f>
        <v>0</v>
      </c>
      <c r="R86" s="119" t="n">
        <f aca="false">SUMIFS(tabela_registros[VALOR],tabela_registros[MÊS],$AE$1,tabela_registros[DIA],receitasfixasconsolidadoabr[[#Headers],[14]],tabela_registros[REGISTRO],DADOS!$N$3,tabela_registros[TIPO],DADOS!$V$3,tabela_registros[CATEGORIA],receitasfixasconsolidadoabr[[#This Row],[ATUAL]])</f>
        <v>0</v>
      </c>
      <c r="S86" s="119" t="n">
        <f aca="false">SUMIFS(tabela_registros[VALOR],tabela_registros[MÊS],$AE$1,tabela_registros[DIA],receitasfixasconsolidadoabr[[#Headers],[15]],tabela_registros[REGISTRO],DADOS!$N$3,tabela_registros[TIPO],DADOS!$V$3,tabela_registros[CATEGORIA],receitasfixasconsolidadoabr[[#This Row],[ATUAL]])</f>
        <v>0</v>
      </c>
      <c r="T86" s="119" t="n">
        <f aca="false">SUMIFS(tabela_registros[VALOR],tabela_registros[MÊS],$AE$1,tabela_registros[DIA],receitasfixasconsolidadoabr[[#Headers],[16]],tabela_registros[REGISTRO],DADOS!$N$3,tabela_registros[TIPO],DADOS!$V$3,tabela_registros[CATEGORIA],receitasfixasconsolidadoabr[[#This Row],[ATUAL]])</f>
        <v>0</v>
      </c>
      <c r="U86" s="119" t="n">
        <f aca="false">SUMIFS(tabela_registros[VALOR],tabela_registros[MÊS],$AE$1,tabela_registros[DIA],receitasfixasconsolidadoabr[[#Headers],[17]],tabela_registros[REGISTRO],DADOS!$N$3,tabela_registros[TIPO],DADOS!$V$3,tabela_registros[CATEGORIA],receitasfixasconsolidadoabr[[#This Row],[ATUAL]])</f>
        <v>0</v>
      </c>
      <c r="V86" s="119" t="n">
        <f aca="false">SUMIFS(tabela_registros[VALOR],tabela_registros[MÊS],$AE$1,tabela_registros[DIA],receitasfixasconsolidadoabr[[#Headers],[18]],tabela_registros[REGISTRO],DADOS!$N$3,tabela_registros[TIPO],DADOS!$V$3,tabela_registros[CATEGORIA],receitasfixasconsolidadoabr[[#This Row],[ATUAL]])</f>
        <v>0</v>
      </c>
      <c r="W86" s="119" t="n">
        <f aca="false">SUMIFS(tabela_registros[VALOR],tabela_registros[MÊS],$AE$1,tabela_registros[DIA],receitasfixasconsolidadoabr[[#Headers],[19]],tabela_registros[REGISTRO],DADOS!$N$3,tabela_registros[TIPO],DADOS!$V$3,tabela_registros[CATEGORIA],receitasfixasconsolidadoabr[[#This Row],[ATUAL]])</f>
        <v>0</v>
      </c>
      <c r="X86" s="119" t="n">
        <f aca="false">SUMIFS(tabela_registros[VALOR],tabela_registros[MÊS],$AE$1,tabela_registros[DIA],receitasfixasconsolidadoabr[[#Headers],[20]],tabela_registros[REGISTRO],DADOS!$N$3,tabela_registros[TIPO],DADOS!$V$3,tabela_registros[CATEGORIA],receitasfixasconsolidadoabr[[#This Row],[ATUAL]])</f>
        <v>0</v>
      </c>
      <c r="Y86" s="119" t="n">
        <f aca="false">SUMIFS(tabela_registros[VALOR],tabela_registros[MÊS],$AE$1,tabela_registros[DIA],receitasfixasconsolidadoabr[[#Headers],[21]],tabela_registros[REGISTRO],DADOS!$N$3,tabela_registros[TIPO],DADOS!$V$3,tabela_registros[CATEGORIA],receitasfixasconsolidadoabr[[#This Row],[ATUAL]])</f>
        <v>0</v>
      </c>
      <c r="Z86" s="119" t="n">
        <f aca="false">SUMIFS(tabela_registros[VALOR],tabela_registros[MÊS],$AE$1,tabela_registros[DIA],receitasfixasconsolidadoabr[[#Headers],[22]],tabela_registros[REGISTRO],DADOS!$N$3,tabela_registros[TIPO],DADOS!$V$3,tabela_registros[CATEGORIA],receitasfixasconsolidadoabr[[#This Row],[ATUAL]])</f>
        <v>0</v>
      </c>
      <c r="AA86" s="119" t="n">
        <f aca="false">SUMIFS(tabela_registros[VALOR],tabela_registros[MÊS],$AE$1,tabela_registros[DIA],receitasfixasconsolidadoabr[[#Headers],[23]],tabela_registros[REGISTRO],DADOS!$N$3,tabela_registros[TIPO],DADOS!$V$3,tabela_registros[CATEGORIA],receitasfixasconsolidadoabr[[#This Row],[ATUAL]])</f>
        <v>0</v>
      </c>
      <c r="AB86" s="119" t="n">
        <f aca="false">SUMIFS(tabela_registros[VALOR],tabela_registros[MÊS],$AE$1,tabela_registros[DIA],receitasfixasconsolidadoabr[[#Headers],[24]],tabela_registros[REGISTRO],DADOS!$N$3,tabela_registros[TIPO],DADOS!$V$3,tabela_registros[CATEGORIA],receitasfixasconsolidadoabr[[#This Row],[ATUAL]])</f>
        <v>0</v>
      </c>
      <c r="AC86" s="119" t="n">
        <f aca="false">SUMIFS(tabela_registros[VALOR],tabela_registros[MÊS],$AE$1,tabela_registros[DIA],receitasfixasconsolidadoabr[[#Headers],[25]],tabela_registros[REGISTRO],DADOS!$N$3,tabela_registros[TIPO],DADOS!$V$3,tabela_registros[CATEGORIA],receitasfixasconsolidadoabr[[#This Row],[ATUAL]])</f>
        <v>0</v>
      </c>
      <c r="AD86" s="119" t="n">
        <f aca="false">SUMIFS(tabela_registros[VALOR],tabela_registros[MÊS],$AE$1,tabela_registros[DIA],receitasfixasconsolidadoabr[[#Headers],[26]],tabela_registros[REGISTRO],DADOS!$N$3,tabela_registros[TIPO],DADOS!$V$3,tabela_registros[CATEGORIA],receitasfixasconsolidadoabr[[#This Row],[ATUAL]])</f>
        <v>0</v>
      </c>
      <c r="AE86" s="119" t="n">
        <f aca="false">SUMIFS(tabela_registros[VALOR],tabela_registros[MÊS],$AE$1,tabela_registros[DIA],receitasfixasconsolidadoabr[[#Headers],[27]],tabela_registros[REGISTRO],DADOS!$N$3,tabela_registros[TIPO],DADOS!$V$3,tabela_registros[CATEGORIA],receitasfixasconsolidadoabr[[#This Row],[ATUAL]])</f>
        <v>0</v>
      </c>
      <c r="AF86" s="119" t="n">
        <f aca="false">SUMIFS(tabela_registros[VALOR],tabela_registros[MÊS],$AE$1,tabela_registros[DIA],receitasfixasconsolidadoabr[[#Headers],[28]],tabela_registros[REGISTRO],DADOS!$N$3,tabela_registros[TIPO],DADOS!$V$3,tabela_registros[CATEGORIA],receitasfixasconsolidadoabr[[#This Row],[ATUAL]])</f>
        <v>0</v>
      </c>
      <c r="AG86" s="119" t="n">
        <f aca="false">SUMIFS(tabela_registros[VALOR],tabela_registros[MÊS],$AE$1,tabela_registros[DIA],receitasfixasconsolidadoabr[[#Headers],[29]],tabela_registros[REGISTRO],DADOS!$N$3,tabela_registros[TIPO],DADOS!$V$3,tabela_registros[CATEGORIA],receitasfixasconsolidadoabr[[#This Row],[ATUAL]])</f>
        <v>0</v>
      </c>
      <c r="AH86" s="119" t="n">
        <f aca="false">SUMIFS(tabela_registros[VALOR],tabela_registros[MÊS],$AE$1,tabela_registros[DIA],receitasfixasconsolidadoabr[[#Headers],[30]],tabela_registros[REGISTRO],DADOS!$N$3,tabela_registros[TIPO],DADOS!$V$3,tabela_registros[CATEGORIA],receitasfixasconsolidadoabr[[#This Row],[ATUAL]])</f>
        <v>0</v>
      </c>
      <c r="AI86" s="218" t="n">
        <f aca="false">SUMIFS(tabela_registros[VALOR],tabela_registros[MÊS],$AE$1,tabela_registros[DIA],receitasfixasconsolidadoabr[[#Headers],[31]],tabela_registros[REGISTRO],DADOS!$N$3,tabela_registros[TIPO],DADOS!$V$3,tabela_registros[CATEGORIA],receitasfixasconsolidadoabr[[#This Row],[ATUAL]])</f>
        <v>0</v>
      </c>
      <c r="AJ86" s="149" t="n">
        <f aca="false">SUM(receitasfixasconsolidadoabr[[#This Row],[1]:[31]])</f>
        <v>0</v>
      </c>
      <c r="AK86" s="165"/>
    </row>
    <row r="87" s="122" customFormat="true" ht="21" hidden="false" customHeight="true" outlineLevel="0" collapsed="false">
      <c r="B87" s="152"/>
      <c r="C87" s="153" t="s">
        <v>2</v>
      </c>
      <c r="D87" s="166"/>
      <c r="E87" s="155" t="n">
        <f aca="false">SUM(E82:E86)</f>
        <v>0</v>
      </c>
      <c r="F87" s="156" t="n">
        <f aca="false">SUM(F82:F86)+receitasfixasconsolidadoabr[[#This Row],[1]]</f>
        <v>0</v>
      </c>
      <c r="G87" s="156" t="n">
        <f aca="false">SUM(G82:G86)+receitasfixasconsolidadoabr[[#This Row],[2]]</f>
        <v>0</v>
      </c>
      <c r="H87" s="156" t="n">
        <f aca="false">SUM(H82:H86)+receitasfixasconsolidadoabr[[#This Row],[3]]</f>
        <v>0</v>
      </c>
      <c r="I87" s="156" t="n">
        <f aca="false">SUM(I82:I86)+receitasfixasconsolidadoabr[[#This Row],[4]]</f>
        <v>0</v>
      </c>
      <c r="J87" s="156" t="n">
        <f aca="false">SUM(J82:J86)+receitasfixasconsolidadoabr[[#This Row],[5]]</f>
        <v>0</v>
      </c>
      <c r="K87" s="156" t="n">
        <f aca="false">SUM(K82:K86)+receitasfixasconsolidadoabr[[#This Row],[6]]</f>
        <v>0</v>
      </c>
      <c r="L87" s="156" t="n">
        <f aca="false">SUM(L82:L86)+receitasfixasconsolidadoabr[[#This Row],[7]]</f>
        <v>0</v>
      </c>
      <c r="M87" s="156" t="n">
        <f aca="false">SUM(M82:M86)+receitasfixasconsolidadoabr[[#This Row],[8]]</f>
        <v>0</v>
      </c>
      <c r="N87" s="156" t="n">
        <f aca="false">SUM(N82:N86)+receitasfixasconsolidadoabr[[#This Row],[9]]</f>
        <v>0</v>
      </c>
      <c r="O87" s="156" t="n">
        <f aca="false">SUM(O82:O86)+receitasfixasconsolidadoabr[[#This Row],[10]]</f>
        <v>0</v>
      </c>
      <c r="P87" s="156" t="n">
        <f aca="false">SUM(P82:P86)+receitasfixasconsolidadoabr[[#This Row],[11]]</f>
        <v>0</v>
      </c>
      <c r="Q87" s="156" t="n">
        <f aca="false">SUM(Q82:Q86)+receitasfixasconsolidadoabr[[#This Row],[12]]</f>
        <v>0</v>
      </c>
      <c r="R87" s="156" t="n">
        <f aca="false">SUM(R82:R86)+receitasfixasconsolidadoabr[[#This Row],[13]]</f>
        <v>0</v>
      </c>
      <c r="S87" s="156" t="n">
        <f aca="false">SUM(S82:S86)+receitasfixasconsolidadoabr[[#This Row],[14]]</f>
        <v>0</v>
      </c>
      <c r="T87" s="156" t="n">
        <f aca="false">SUM(T82:T86)+receitasfixasconsolidadoabr[[#This Row],[15]]</f>
        <v>0</v>
      </c>
      <c r="U87" s="156" t="n">
        <f aca="false">SUM(U82:U86)+receitasfixasconsolidadoabr[[#This Row],[16]]</f>
        <v>0</v>
      </c>
      <c r="V87" s="156" t="n">
        <f aca="false">SUM(V82:V86)+receitasfixasconsolidadoabr[[#This Row],[17]]</f>
        <v>0</v>
      </c>
      <c r="W87" s="156" t="n">
        <f aca="false">SUM(W82:W86)+receitasfixasconsolidadoabr[[#This Row],[18]]</f>
        <v>0</v>
      </c>
      <c r="X87" s="156" t="n">
        <f aca="false">SUM(X82:X86)+receitasfixasconsolidadoabr[[#This Row],[19]]</f>
        <v>0</v>
      </c>
      <c r="Y87" s="156" t="n">
        <f aca="false">SUM(Y82:Y86)+receitasfixasconsolidadoabr[[#This Row],[20]]</f>
        <v>0</v>
      </c>
      <c r="Z87" s="156" t="n">
        <f aca="false">SUM(Z82:Z86)+receitasfixasconsolidadoabr[[#This Row],[21]]</f>
        <v>0</v>
      </c>
      <c r="AA87" s="156" t="n">
        <f aca="false">SUM(AA82:AA86)+receitasfixasconsolidadoabr[[#This Row],[22]]</f>
        <v>0</v>
      </c>
      <c r="AB87" s="156" t="n">
        <f aca="false">SUM(AB82:AB86)+receitasfixasconsolidadoabr[[#This Row],[23]]</f>
        <v>0</v>
      </c>
      <c r="AC87" s="156" t="n">
        <f aca="false">SUM(AC82:AC86)+receitasfixasconsolidadoabr[[#This Row],[24]]</f>
        <v>0</v>
      </c>
      <c r="AD87" s="156" t="n">
        <f aca="false">SUM(AD82:AD86)+receitasfixasconsolidadoabr[[#This Row],[25]]</f>
        <v>0</v>
      </c>
      <c r="AE87" s="156" t="n">
        <f aca="false">SUM(AE82:AE86)+receitasfixasconsolidadoabr[[#This Row],[26]]</f>
        <v>0</v>
      </c>
      <c r="AF87" s="156" t="n">
        <f aca="false">SUM(AF82:AF86)+receitasfixasconsolidadoabr[[#This Row],[27]]</f>
        <v>0</v>
      </c>
      <c r="AG87" s="156" t="n">
        <f aca="false">SUM(AG82:AG86)+receitasfixasconsolidadoabr[[#This Row],[28]]</f>
        <v>0</v>
      </c>
      <c r="AH87" s="156" t="n">
        <f aca="false">SUM(AH82:AH86)+receitasfixasconsolidadoabr[[#This Row],[29]]</f>
        <v>0</v>
      </c>
      <c r="AI87" s="223" t="n">
        <f aca="false">SUM(AI82:AI86)+receitasfixasconsolidadoabr[[#This Row],[30]]</f>
        <v>0</v>
      </c>
      <c r="AJ87" s="157" t="n">
        <f aca="false">receitasfixasconsolidadoabr[[#This Row],[31]]</f>
        <v>0</v>
      </c>
      <c r="AK87" s="158"/>
    </row>
    <row r="88" customFormat="false" ht="6.75" hidden="false" customHeight="true" outlineLevel="0" collapsed="false">
      <c r="B88" s="97"/>
      <c r="C88" s="162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233"/>
      <c r="AJ88" s="164"/>
      <c r="AK88" s="244"/>
    </row>
    <row r="89" s="78" customFormat="true" ht="12.75" hidden="false" customHeight="false" outlineLevel="0" collapsed="false">
      <c r="E89" s="100"/>
    </row>
    <row r="90" s="78" customFormat="true" ht="12" hidden="false" customHeight="false" outlineLevel="0" collapsed="false"/>
    <row r="91" s="78" customFormat="true" ht="12" hidden="false" customHeight="false" outlineLevel="0" collapsed="false"/>
    <row r="92" customFormat="false" ht="39.75" hidden="false" customHeight="true" outlineLevel="0" collapsed="false">
      <c r="C92" s="101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3" t="s">
        <v>2</v>
      </c>
    </row>
    <row r="93" s="78" customFormat="true" ht="12.75" hidden="false" customHeight="false" outlineLevel="0" collapsed="false">
      <c r="B93" s="161"/>
      <c r="AJ93" s="106" t="s">
        <v>64</v>
      </c>
    </row>
    <row r="94" customFormat="false" ht="6.75" hidden="false" customHeight="true" outlineLevel="0" collapsed="false">
      <c r="B94" s="86"/>
      <c r="C94" s="162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233"/>
      <c r="AK94" s="139"/>
    </row>
    <row r="95" customFormat="false" ht="13.5" hidden="true" customHeight="false" outlineLevel="0" collapsed="false">
      <c r="B95" s="86"/>
      <c r="C95" s="109" t="s">
        <v>68</v>
      </c>
      <c r="D95" s="110" t="s">
        <v>69</v>
      </c>
      <c r="E95" s="110" t="s">
        <v>30</v>
      </c>
      <c r="F95" s="110" t="s">
        <v>31</v>
      </c>
      <c r="G95" s="110" t="s">
        <v>32</v>
      </c>
      <c r="H95" s="110" t="s">
        <v>33</v>
      </c>
      <c r="I95" s="110" t="s">
        <v>34</v>
      </c>
      <c r="J95" s="110" t="s">
        <v>35</v>
      </c>
      <c r="K95" s="110" t="s">
        <v>36</v>
      </c>
      <c r="L95" s="110" t="s">
        <v>37</v>
      </c>
      <c r="M95" s="110" t="s">
        <v>38</v>
      </c>
      <c r="N95" s="110" t="s">
        <v>39</v>
      </c>
      <c r="O95" s="110" t="s">
        <v>40</v>
      </c>
      <c r="P95" s="110" t="s">
        <v>41</v>
      </c>
      <c r="Q95" s="110" t="s">
        <v>81</v>
      </c>
      <c r="R95" s="110" t="s">
        <v>82</v>
      </c>
      <c r="S95" s="110" t="s">
        <v>83</v>
      </c>
      <c r="T95" s="110" t="s">
        <v>84</v>
      </c>
      <c r="U95" s="110" t="s">
        <v>85</v>
      </c>
      <c r="V95" s="110" t="s">
        <v>86</v>
      </c>
      <c r="W95" s="110" t="s">
        <v>87</v>
      </c>
      <c r="X95" s="110" t="s">
        <v>88</v>
      </c>
      <c r="Y95" s="110" t="s">
        <v>89</v>
      </c>
      <c r="Z95" s="110" t="s">
        <v>90</v>
      </c>
      <c r="AA95" s="110" t="s">
        <v>91</v>
      </c>
      <c r="AB95" s="110" t="s">
        <v>92</v>
      </c>
      <c r="AC95" s="110" t="s">
        <v>93</v>
      </c>
      <c r="AD95" s="110" t="s">
        <v>94</v>
      </c>
      <c r="AE95" s="110" t="s">
        <v>95</v>
      </c>
      <c r="AF95" s="110" t="s">
        <v>96</v>
      </c>
      <c r="AG95" s="110" t="s">
        <v>97</v>
      </c>
      <c r="AH95" s="110" t="s">
        <v>98</v>
      </c>
      <c r="AI95" s="110" t="s">
        <v>99</v>
      </c>
      <c r="AJ95" s="111" t="s">
        <v>70</v>
      </c>
      <c r="AK95" s="86"/>
    </row>
    <row r="96" customFormat="false" ht="19.5" hidden="false" customHeight="true" outlineLevel="0" collapsed="false">
      <c r="B96" s="143"/>
      <c r="C96" s="144" t="str">
        <f aca="false">DADOS!$Z$3</f>
        <v>🏅 BÔNUS</v>
      </c>
      <c r="D96" s="145" t="str">
        <f aca="false">IF(receitasvariáveisconsolidadoabr[[#This Row],[TOTAL (R$)]]=0,"",IF(OR(receitasvariáveisconsolidadoabr[[#This Row],[TOTAL (R$)]]=LARGE($AJ$96:$AJ$103,1),receitasvariáveisconsolidadoabr[[#This Row],[TOTAL (R$)]]=LARGE($AJ$96:$AJ$103,2)),DADOS!$I$9,""))</f>
        <v/>
      </c>
      <c r="E96" s="148" t="n">
        <f aca="false">SUMIFS(tabela_registros[VALOR],tabela_registros[MÊS],$AE$1,tabela_registros[DIA],receitasvariáveisconsolidadoabr[[#Headers],[1]],tabela_registros[REGISTRO],DADOS!$N$3,tabela_registros[TIPO],DADOS!$V$4,tabela_registros[CATEGORIA],receitasvariáveisconsolidadoabr[[#This Row],[ATUAL]])</f>
        <v>0</v>
      </c>
      <c r="F96" s="119" t="n">
        <f aca="false">SUMIFS(tabela_registros[VALOR],tabela_registros[MÊS],$AE$1,tabela_registros[DIA],receitasvariáveisconsolidadoabr[[#Headers],[2]],tabela_registros[REGISTRO],DADOS!$N$3,tabela_registros[TIPO],DADOS!$V$4,tabela_registros[CATEGORIA],receitasvariáveisconsolidadoabr[[#This Row],[ATUAL]])</f>
        <v>0</v>
      </c>
      <c r="G96" s="119" t="n">
        <f aca="false">SUMIFS(tabela_registros[VALOR],tabela_registros[MÊS],$AE$1,tabela_registros[DIA],receitasvariáveisconsolidadoabr[[#Headers],[3]],tabela_registros[REGISTRO],DADOS!$N$3,tabela_registros[TIPO],DADOS!$V$4,tabela_registros[CATEGORIA],receitasvariáveisconsolidadoabr[[#This Row],[ATUAL]])</f>
        <v>0</v>
      </c>
      <c r="H96" s="119" t="n">
        <f aca="false">SUMIFS(tabela_registros[VALOR],tabela_registros[MÊS],$AE$1,tabela_registros[DIA],receitasvariáveisconsolidadoabr[[#Headers],[4]],tabela_registros[REGISTRO],DADOS!$N$3,tabela_registros[TIPO],DADOS!$V$4,tabela_registros[CATEGORIA],receitasvariáveisconsolidadoabr[[#This Row],[ATUAL]])</f>
        <v>0</v>
      </c>
      <c r="I96" s="119" t="n">
        <f aca="false">SUMIFS(tabela_registros[VALOR],tabela_registros[MÊS],$AE$1,tabela_registros[DIA],receitasvariáveisconsolidadoabr[[#Headers],[5]],tabela_registros[REGISTRO],DADOS!$N$3,tabela_registros[TIPO],DADOS!$V$4,tabela_registros[CATEGORIA],receitasvariáveisconsolidadoabr[[#This Row],[ATUAL]])</f>
        <v>0</v>
      </c>
      <c r="J96" s="119" t="n">
        <f aca="false">SUMIFS(tabela_registros[VALOR],tabela_registros[MÊS],$AE$1,tabela_registros[DIA],receitasvariáveisconsolidadoabr[[#Headers],[6]],tabela_registros[REGISTRO],DADOS!$N$3,tabela_registros[TIPO],DADOS!$V$4,tabela_registros[CATEGORIA],receitasvariáveisconsolidadoabr[[#This Row],[ATUAL]])</f>
        <v>0</v>
      </c>
      <c r="K96" s="119" t="n">
        <f aca="false">SUMIFS(tabela_registros[VALOR],tabela_registros[MÊS],$AE$1,tabela_registros[DIA],receitasvariáveisconsolidadoabr[[#Headers],[7]],tabela_registros[REGISTRO],DADOS!$N$3,tabela_registros[TIPO],DADOS!$V$4,tabela_registros[CATEGORIA],receitasvariáveisconsolidadoabr[[#This Row],[ATUAL]])</f>
        <v>0</v>
      </c>
      <c r="L96" s="119" t="n">
        <f aca="false">SUMIFS(tabela_registros[VALOR],tabela_registros[MÊS],$AE$1,tabela_registros[DIA],receitasvariáveisconsolidadoabr[[#Headers],[8]],tabela_registros[REGISTRO],DADOS!$N$3,tabela_registros[TIPO],DADOS!$V$4,tabela_registros[CATEGORIA],receitasvariáveisconsolidadoabr[[#This Row],[ATUAL]])</f>
        <v>0</v>
      </c>
      <c r="M96" s="119" t="n">
        <f aca="false">SUMIFS(tabela_registros[VALOR],tabela_registros[MÊS],$AE$1,tabela_registros[DIA],receitasvariáveisconsolidadoabr[[#Headers],[9]],tabela_registros[REGISTRO],DADOS!$N$3,tabela_registros[TIPO],DADOS!$V$4,tabela_registros[CATEGORIA],receitasvariáveisconsolidadoabr[[#This Row],[ATUAL]])</f>
        <v>0</v>
      </c>
      <c r="N96" s="119" t="n">
        <f aca="false">SUMIFS(tabela_registros[VALOR],tabela_registros[MÊS],$AE$1,tabela_registros[DIA],receitasvariáveisconsolidadoabr[[#Headers],[10]],tabela_registros[REGISTRO],DADOS!$N$3,tabela_registros[TIPO],DADOS!$V$4,tabela_registros[CATEGORIA],receitasvariáveisconsolidadoabr[[#This Row],[ATUAL]])</f>
        <v>0</v>
      </c>
      <c r="O96" s="119" t="n">
        <f aca="false">SUMIFS(tabela_registros[VALOR],tabela_registros[MÊS],$AE$1,tabela_registros[DIA],receitasvariáveisconsolidadoabr[[#Headers],[11]],tabela_registros[REGISTRO],DADOS!$N$3,tabela_registros[TIPO],DADOS!$V$4,tabela_registros[CATEGORIA],receitasvariáveisconsolidadoabr[[#This Row],[ATUAL]])</f>
        <v>0</v>
      </c>
      <c r="P96" s="119" t="n">
        <f aca="false">SUMIFS(tabela_registros[VALOR],tabela_registros[MÊS],$AE$1,tabela_registros[DIA],receitasvariáveisconsolidadoabr[[#Headers],[12]],tabela_registros[REGISTRO],DADOS!$N$3,tabela_registros[TIPO],DADOS!$V$4,tabela_registros[CATEGORIA],receitasvariáveisconsolidadoabr[[#This Row],[ATUAL]])</f>
        <v>0</v>
      </c>
      <c r="Q96" s="119" t="n">
        <f aca="false">SUMIFS(tabela_registros[VALOR],tabela_registros[MÊS],$AE$1,tabela_registros[DIA],receitasvariáveisconsolidadoabr[[#Headers],[13]],tabela_registros[REGISTRO],DADOS!$N$3,tabela_registros[TIPO],DADOS!$V$4,tabela_registros[CATEGORIA],receitasvariáveisconsolidadoabr[[#This Row],[ATUAL]])</f>
        <v>0</v>
      </c>
      <c r="R96" s="119" t="n">
        <f aca="false">SUMIFS(tabela_registros[VALOR],tabela_registros[MÊS],$AE$1,tabela_registros[DIA],receitasvariáveisconsolidadoabr[[#Headers],[14]],tabela_registros[REGISTRO],DADOS!$N$3,tabela_registros[TIPO],DADOS!$V$4,tabela_registros[CATEGORIA],receitasvariáveisconsolidadoabr[[#This Row],[ATUAL]])</f>
        <v>0</v>
      </c>
      <c r="S96" s="119" t="n">
        <f aca="false">SUMIFS(tabela_registros[VALOR],tabela_registros[MÊS],$AE$1,tabela_registros[DIA],receitasvariáveisconsolidadoabr[[#Headers],[15]],tabela_registros[REGISTRO],DADOS!$N$3,tabela_registros[TIPO],DADOS!$V$4,tabela_registros[CATEGORIA],receitasvariáveisconsolidadoabr[[#This Row],[ATUAL]])</f>
        <v>0</v>
      </c>
      <c r="T96" s="119" t="n">
        <f aca="false">SUMIFS(tabela_registros[VALOR],tabela_registros[MÊS],$AE$1,tabela_registros[DIA],receitasvariáveisconsolidadoabr[[#Headers],[16]],tabela_registros[REGISTRO],DADOS!$N$3,tabela_registros[TIPO],DADOS!$V$4,tabela_registros[CATEGORIA],receitasvariáveisconsolidadoabr[[#This Row],[ATUAL]])</f>
        <v>0</v>
      </c>
      <c r="U96" s="119" t="n">
        <f aca="false">SUMIFS(tabela_registros[VALOR],tabela_registros[MÊS],$AE$1,tabela_registros[DIA],receitasvariáveisconsolidadoabr[[#Headers],[17]],tabela_registros[REGISTRO],DADOS!$N$3,tabela_registros[TIPO],DADOS!$V$4,tabela_registros[CATEGORIA],receitasvariáveisconsolidadoabr[[#This Row],[ATUAL]])</f>
        <v>0</v>
      </c>
      <c r="V96" s="119" t="n">
        <f aca="false">SUMIFS(tabela_registros[VALOR],tabela_registros[MÊS],$AE$1,tabela_registros[DIA],receitasvariáveisconsolidadoabr[[#Headers],[18]],tabela_registros[REGISTRO],DADOS!$N$3,tabela_registros[TIPO],DADOS!$V$4,tabela_registros[CATEGORIA],receitasvariáveisconsolidadoabr[[#This Row],[ATUAL]])</f>
        <v>0</v>
      </c>
      <c r="W96" s="119" t="n">
        <f aca="false">SUMIFS(tabela_registros[VALOR],tabela_registros[MÊS],$AE$1,tabela_registros[DIA],receitasvariáveisconsolidadoabr[[#Headers],[19]],tabela_registros[REGISTRO],DADOS!$N$3,tabela_registros[TIPO],DADOS!$V$4,tabela_registros[CATEGORIA],receitasvariáveisconsolidadoabr[[#This Row],[ATUAL]])</f>
        <v>0</v>
      </c>
      <c r="X96" s="119" t="n">
        <f aca="false">SUMIFS(tabela_registros[VALOR],tabela_registros[MÊS],$AE$1,tabela_registros[DIA],receitasvariáveisconsolidadoabr[[#Headers],[20]],tabela_registros[REGISTRO],DADOS!$N$3,tabela_registros[TIPO],DADOS!$V$4,tabela_registros[CATEGORIA],receitasvariáveisconsolidadoabr[[#This Row],[ATUAL]])</f>
        <v>0</v>
      </c>
      <c r="Y96" s="119" t="n">
        <f aca="false">SUMIFS(tabela_registros[VALOR],tabela_registros[MÊS],$AE$1,tabela_registros[DIA],receitasvariáveisconsolidadoabr[[#Headers],[21]],tabela_registros[REGISTRO],DADOS!$N$3,tabela_registros[TIPO],DADOS!$V$4,tabela_registros[CATEGORIA],receitasvariáveisconsolidadoabr[[#This Row],[ATUAL]])</f>
        <v>0</v>
      </c>
      <c r="Z96" s="119" t="n">
        <f aca="false">SUMIFS(tabela_registros[VALOR],tabela_registros[MÊS],$AE$1,tabela_registros[DIA],receitasvariáveisconsolidadoabr[[#Headers],[22]],tabela_registros[REGISTRO],DADOS!$N$3,tabela_registros[TIPO],DADOS!$V$4,tabela_registros[CATEGORIA],receitasvariáveisconsolidadoabr[[#This Row],[ATUAL]])</f>
        <v>0</v>
      </c>
      <c r="AA96" s="119" t="n">
        <f aca="false">SUMIFS(tabela_registros[VALOR],tabela_registros[MÊS],$AE$1,tabela_registros[DIA],receitasvariáveisconsolidadoabr[[#Headers],[23]],tabela_registros[REGISTRO],DADOS!$N$3,tabela_registros[TIPO],DADOS!$V$4,tabela_registros[CATEGORIA],receitasvariáveisconsolidadoabr[[#This Row],[ATUAL]])</f>
        <v>0</v>
      </c>
      <c r="AB96" s="119" t="n">
        <f aca="false">SUMIFS(tabela_registros[VALOR],tabela_registros[MÊS],$AE$1,tabela_registros[DIA],receitasvariáveisconsolidadoabr[[#Headers],[24]],tabela_registros[REGISTRO],DADOS!$N$3,tabela_registros[TIPO],DADOS!$V$4,tabela_registros[CATEGORIA],receitasvariáveisconsolidadoabr[[#This Row],[ATUAL]])</f>
        <v>0</v>
      </c>
      <c r="AC96" s="119" t="n">
        <f aca="false">SUMIFS(tabela_registros[VALOR],tabela_registros[MÊS],$AE$1,tabela_registros[DIA],receitasvariáveisconsolidadoabr[[#Headers],[25]],tabela_registros[REGISTRO],DADOS!$N$3,tabela_registros[TIPO],DADOS!$V$4,tabela_registros[CATEGORIA],receitasvariáveisconsolidadoabr[[#This Row],[ATUAL]])</f>
        <v>0</v>
      </c>
      <c r="AD96" s="119" t="n">
        <f aca="false">SUMIFS(tabela_registros[VALOR],tabela_registros[MÊS],$AE$1,tabela_registros[DIA],receitasvariáveisconsolidadoabr[[#Headers],[26]],tabela_registros[REGISTRO],DADOS!$N$3,tabela_registros[TIPO],DADOS!$V$4,tabela_registros[CATEGORIA],receitasvariáveisconsolidadoabr[[#This Row],[ATUAL]])</f>
        <v>0</v>
      </c>
      <c r="AE96" s="119" t="n">
        <f aca="false">SUMIFS(tabela_registros[VALOR],tabela_registros[MÊS],$AE$1,tabela_registros[DIA],receitasvariáveisconsolidadoabr[[#Headers],[27]],tabela_registros[REGISTRO],DADOS!$N$3,tabela_registros[TIPO],DADOS!$V$4,tabela_registros[CATEGORIA],receitasvariáveisconsolidadoabr[[#This Row],[ATUAL]])</f>
        <v>0</v>
      </c>
      <c r="AF96" s="119" t="n">
        <f aca="false">SUMIFS(tabela_registros[VALOR],tabela_registros[MÊS],$AE$1,tabela_registros[DIA],receitasvariáveisconsolidadoabr[[#Headers],[28]],tabela_registros[REGISTRO],DADOS!$N$3,tabela_registros[TIPO],DADOS!$V$4,tabela_registros[CATEGORIA],receitasvariáveisconsolidadoabr[[#This Row],[ATUAL]])</f>
        <v>0</v>
      </c>
      <c r="AG96" s="119" t="n">
        <f aca="false">SUMIFS(tabela_registros[VALOR],tabela_registros[MÊS],$AE$1,tabela_registros[DIA],receitasvariáveisconsolidadoabr[[#Headers],[29]],tabela_registros[REGISTRO],DADOS!$N$3,tabela_registros[TIPO],DADOS!$V$4,tabela_registros[CATEGORIA],receitasvariáveisconsolidadoabr[[#This Row],[ATUAL]])</f>
        <v>0</v>
      </c>
      <c r="AH96" s="119" t="n">
        <f aca="false">SUMIFS(tabela_registros[VALOR],tabela_registros[MÊS],$AE$1,tabela_registros[DIA],receitasvariáveisconsolidadoabr[[#Headers],[30]],tabela_registros[REGISTRO],DADOS!$N$3,tabela_registros[TIPO],DADOS!$V$4,tabela_registros[CATEGORIA],receitasvariáveisconsolidadoabr[[#This Row],[ATUAL]])</f>
        <v>0</v>
      </c>
      <c r="AI96" s="217" t="n">
        <f aca="false">SUMIFS(tabela_registros[VALOR],tabela_registros[MÊS],$AE$1,tabela_registros[DIA],receitasvariáveisconsolidadoabr[[#Headers],[31]],tabela_registros[REGISTRO],DADOS!$N$3,tabela_registros[TIPO],DADOS!$V$4,tabela_registros[CATEGORIA],receitasvariáveisconsolidadoabr[[#This Row],[ATUAL]])</f>
        <v>0</v>
      </c>
      <c r="AJ96" s="149" t="n">
        <f aca="false">SUM(receitasvariáveisconsolidadoabr[[#This Row],[1]:[31]])</f>
        <v>0</v>
      </c>
      <c r="AK96" s="165"/>
    </row>
    <row r="97" customFormat="false" ht="19.5" hidden="false" customHeight="true" outlineLevel="0" collapsed="false">
      <c r="B97" s="143"/>
      <c r="C97" s="144" t="str">
        <f aca="false">DADOS!$Z$4</f>
        <v>🤑 COMISSÃO</v>
      </c>
      <c r="D97" s="145" t="str">
        <f aca="false">IF(receitasvariáveisconsolidadoabr[[#This Row],[TOTAL (R$)]]=0,"",IF(OR(receitasvariáveisconsolidadoabr[[#This Row],[TOTAL (R$)]]=LARGE($AJ$96:$AJ$103,1),receitasvariáveisconsolidadoabr[[#This Row],[TOTAL (R$)]]=LARGE($AJ$96:$AJ$103,2)),DADOS!$I$9,""))</f>
        <v/>
      </c>
      <c r="E97" s="148" t="n">
        <f aca="false">SUMIFS(tabela_registros[VALOR],tabela_registros[MÊS],$AE$1,tabela_registros[DIA],receitasvariáveisconsolidadoabr[[#Headers],[1]],tabela_registros[REGISTRO],DADOS!$N$3,tabela_registros[TIPO],DADOS!$V$4,tabela_registros[CATEGORIA],receitasvariáveisconsolidadoabr[[#This Row],[ATUAL]])</f>
        <v>0</v>
      </c>
      <c r="F97" s="119" t="n">
        <f aca="false">SUMIFS(tabela_registros[VALOR],tabela_registros[MÊS],$AE$1,tabela_registros[DIA],receitasvariáveisconsolidadoabr[[#Headers],[2]],tabela_registros[REGISTRO],DADOS!$N$3,tabela_registros[TIPO],DADOS!$V$4,tabela_registros[CATEGORIA],receitasvariáveisconsolidadoabr[[#This Row],[ATUAL]])</f>
        <v>0</v>
      </c>
      <c r="G97" s="119" t="n">
        <f aca="false">SUMIFS(tabela_registros[VALOR],tabela_registros[MÊS],$AE$1,tabela_registros[DIA],receitasvariáveisconsolidadoabr[[#Headers],[3]],tabela_registros[REGISTRO],DADOS!$N$3,tabela_registros[TIPO],DADOS!$V$4,tabela_registros[CATEGORIA],receitasvariáveisconsolidadoabr[[#This Row],[ATUAL]])</f>
        <v>0</v>
      </c>
      <c r="H97" s="119" t="n">
        <f aca="false">SUMIFS(tabela_registros[VALOR],tabela_registros[MÊS],$AE$1,tabela_registros[DIA],receitasvariáveisconsolidadoabr[[#Headers],[4]],tabela_registros[REGISTRO],DADOS!$N$3,tabela_registros[TIPO],DADOS!$V$4,tabela_registros[CATEGORIA],receitasvariáveisconsolidadoabr[[#This Row],[ATUAL]])</f>
        <v>0</v>
      </c>
      <c r="I97" s="119" t="n">
        <f aca="false">SUMIFS(tabela_registros[VALOR],tabela_registros[MÊS],$AE$1,tabela_registros[DIA],receitasvariáveisconsolidadoabr[[#Headers],[5]],tabela_registros[REGISTRO],DADOS!$N$3,tabela_registros[TIPO],DADOS!$V$4,tabela_registros[CATEGORIA],receitasvariáveisconsolidadoabr[[#This Row],[ATUAL]])</f>
        <v>0</v>
      </c>
      <c r="J97" s="119" t="n">
        <f aca="false">SUMIFS(tabela_registros[VALOR],tabela_registros[MÊS],$AE$1,tabela_registros[DIA],receitasvariáveisconsolidadoabr[[#Headers],[6]],tabela_registros[REGISTRO],DADOS!$N$3,tabela_registros[TIPO],DADOS!$V$4,tabela_registros[CATEGORIA],receitasvariáveisconsolidadoabr[[#This Row],[ATUAL]])</f>
        <v>0</v>
      </c>
      <c r="K97" s="119" t="n">
        <f aca="false">SUMIFS(tabela_registros[VALOR],tabela_registros[MÊS],$AE$1,tabela_registros[DIA],receitasvariáveisconsolidadoabr[[#Headers],[7]],tabela_registros[REGISTRO],DADOS!$N$3,tabela_registros[TIPO],DADOS!$V$4,tabela_registros[CATEGORIA],receitasvariáveisconsolidadoabr[[#This Row],[ATUAL]])</f>
        <v>0</v>
      </c>
      <c r="L97" s="119" t="n">
        <f aca="false">SUMIFS(tabela_registros[VALOR],tabela_registros[MÊS],$AE$1,tabela_registros[DIA],receitasvariáveisconsolidadoabr[[#Headers],[8]],tabela_registros[REGISTRO],DADOS!$N$3,tabela_registros[TIPO],DADOS!$V$4,tabela_registros[CATEGORIA],receitasvariáveisconsolidadoabr[[#This Row],[ATUAL]])</f>
        <v>0</v>
      </c>
      <c r="M97" s="119" t="n">
        <f aca="false">SUMIFS(tabela_registros[VALOR],tabela_registros[MÊS],$AE$1,tabela_registros[DIA],receitasvariáveisconsolidadoabr[[#Headers],[9]],tabela_registros[REGISTRO],DADOS!$N$3,tabela_registros[TIPO],DADOS!$V$4,tabela_registros[CATEGORIA],receitasvariáveisconsolidadoabr[[#This Row],[ATUAL]])</f>
        <v>0</v>
      </c>
      <c r="N97" s="119" t="n">
        <f aca="false">SUMIFS(tabela_registros[VALOR],tabela_registros[MÊS],$AE$1,tabela_registros[DIA],receitasvariáveisconsolidadoabr[[#Headers],[10]],tabela_registros[REGISTRO],DADOS!$N$3,tabela_registros[TIPO],DADOS!$V$4,tabela_registros[CATEGORIA],receitasvariáveisconsolidadoabr[[#This Row],[ATUAL]])</f>
        <v>0</v>
      </c>
      <c r="O97" s="119" t="n">
        <f aca="false">SUMIFS(tabela_registros[VALOR],tabela_registros[MÊS],$AE$1,tabela_registros[DIA],receitasvariáveisconsolidadoabr[[#Headers],[11]],tabela_registros[REGISTRO],DADOS!$N$3,tabela_registros[TIPO],DADOS!$V$4,tabela_registros[CATEGORIA],receitasvariáveisconsolidadoabr[[#This Row],[ATUAL]])</f>
        <v>0</v>
      </c>
      <c r="P97" s="119" t="n">
        <f aca="false">SUMIFS(tabela_registros[VALOR],tabela_registros[MÊS],$AE$1,tabela_registros[DIA],receitasvariáveisconsolidadoabr[[#Headers],[12]],tabela_registros[REGISTRO],DADOS!$N$3,tabela_registros[TIPO],DADOS!$V$4,tabela_registros[CATEGORIA],receitasvariáveisconsolidadoabr[[#This Row],[ATUAL]])</f>
        <v>0</v>
      </c>
      <c r="Q97" s="119" t="n">
        <f aca="false">SUMIFS(tabela_registros[VALOR],tabela_registros[MÊS],$AE$1,tabela_registros[DIA],receitasvariáveisconsolidadoabr[[#Headers],[13]],tabela_registros[REGISTRO],DADOS!$N$3,tabela_registros[TIPO],DADOS!$V$4,tabela_registros[CATEGORIA],receitasvariáveisconsolidadoabr[[#This Row],[ATUAL]])</f>
        <v>0</v>
      </c>
      <c r="R97" s="119" t="n">
        <f aca="false">SUMIFS(tabela_registros[VALOR],tabela_registros[MÊS],$AE$1,tabela_registros[DIA],receitasvariáveisconsolidadoabr[[#Headers],[14]],tabela_registros[REGISTRO],DADOS!$N$3,tabela_registros[TIPO],DADOS!$V$4,tabela_registros[CATEGORIA],receitasvariáveisconsolidadoabr[[#This Row],[ATUAL]])</f>
        <v>0</v>
      </c>
      <c r="S97" s="119" t="n">
        <f aca="false">SUMIFS(tabela_registros[VALOR],tabela_registros[MÊS],$AE$1,tabela_registros[DIA],receitasvariáveisconsolidadoabr[[#Headers],[15]],tabela_registros[REGISTRO],DADOS!$N$3,tabela_registros[TIPO],DADOS!$V$4,tabela_registros[CATEGORIA],receitasvariáveisconsolidadoabr[[#This Row],[ATUAL]])</f>
        <v>0</v>
      </c>
      <c r="T97" s="119" t="n">
        <f aca="false">SUMIFS(tabela_registros[VALOR],tabela_registros[MÊS],$AE$1,tabela_registros[DIA],receitasvariáveisconsolidadoabr[[#Headers],[16]],tabela_registros[REGISTRO],DADOS!$N$3,tabela_registros[TIPO],DADOS!$V$4,tabela_registros[CATEGORIA],receitasvariáveisconsolidadoabr[[#This Row],[ATUAL]])</f>
        <v>0</v>
      </c>
      <c r="U97" s="119" t="n">
        <f aca="false">SUMIFS(tabela_registros[VALOR],tabela_registros[MÊS],$AE$1,tabela_registros[DIA],receitasvariáveisconsolidadoabr[[#Headers],[17]],tabela_registros[REGISTRO],DADOS!$N$3,tabela_registros[TIPO],DADOS!$V$4,tabela_registros[CATEGORIA],receitasvariáveisconsolidadoabr[[#This Row],[ATUAL]])</f>
        <v>0</v>
      </c>
      <c r="V97" s="119" t="n">
        <f aca="false">SUMIFS(tabela_registros[VALOR],tabela_registros[MÊS],$AE$1,tabela_registros[DIA],receitasvariáveisconsolidadoabr[[#Headers],[18]],tabela_registros[REGISTRO],DADOS!$N$3,tabela_registros[TIPO],DADOS!$V$4,tabela_registros[CATEGORIA],receitasvariáveisconsolidadoabr[[#This Row],[ATUAL]])</f>
        <v>0</v>
      </c>
      <c r="W97" s="119" t="n">
        <f aca="false">SUMIFS(tabela_registros[VALOR],tabela_registros[MÊS],$AE$1,tabela_registros[DIA],receitasvariáveisconsolidadoabr[[#Headers],[19]],tabela_registros[REGISTRO],DADOS!$N$3,tabela_registros[TIPO],DADOS!$V$4,tabela_registros[CATEGORIA],receitasvariáveisconsolidadoabr[[#This Row],[ATUAL]])</f>
        <v>0</v>
      </c>
      <c r="X97" s="119" t="n">
        <f aca="false">SUMIFS(tabela_registros[VALOR],tabela_registros[MÊS],$AE$1,tabela_registros[DIA],receitasvariáveisconsolidadoabr[[#Headers],[20]],tabela_registros[REGISTRO],DADOS!$N$3,tabela_registros[TIPO],DADOS!$V$4,tabela_registros[CATEGORIA],receitasvariáveisconsolidadoabr[[#This Row],[ATUAL]])</f>
        <v>0</v>
      </c>
      <c r="Y97" s="119" t="n">
        <f aca="false">SUMIFS(tabela_registros[VALOR],tabela_registros[MÊS],$AE$1,tabela_registros[DIA],receitasvariáveisconsolidadoabr[[#Headers],[21]],tabela_registros[REGISTRO],DADOS!$N$3,tabela_registros[TIPO],DADOS!$V$4,tabela_registros[CATEGORIA],receitasvariáveisconsolidadoabr[[#This Row],[ATUAL]])</f>
        <v>0</v>
      </c>
      <c r="Z97" s="119" t="n">
        <f aca="false">SUMIFS(tabela_registros[VALOR],tabela_registros[MÊS],$AE$1,tabela_registros[DIA],receitasvariáveisconsolidadoabr[[#Headers],[22]],tabela_registros[REGISTRO],DADOS!$N$3,tabela_registros[TIPO],DADOS!$V$4,tabela_registros[CATEGORIA],receitasvariáveisconsolidadoabr[[#This Row],[ATUAL]])</f>
        <v>0</v>
      </c>
      <c r="AA97" s="119" t="n">
        <f aca="false">SUMIFS(tabela_registros[VALOR],tabela_registros[MÊS],$AE$1,tabela_registros[DIA],receitasvariáveisconsolidadoabr[[#Headers],[23]],tabela_registros[REGISTRO],DADOS!$N$3,tabela_registros[TIPO],DADOS!$V$4,tabela_registros[CATEGORIA],receitasvariáveisconsolidadoabr[[#This Row],[ATUAL]])</f>
        <v>0</v>
      </c>
      <c r="AB97" s="119" t="n">
        <f aca="false">SUMIFS(tabela_registros[VALOR],tabela_registros[MÊS],$AE$1,tabela_registros[DIA],receitasvariáveisconsolidadoabr[[#Headers],[24]],tabela_registros[REGISTRO],DADOS!$N$3,tabela_registros[TIPO],DADOS!$V$4,tabela_registros[CATEGORIA],receitasvariáveisconsolidadoabr[[#This Row],[ATUAL]])</f>
        <v>0</v>
      </c>
      <c r="AC97" s="119" t="n">
        <f aca="false">SUMIFS(tabela_registros[VALOR],tabela_registros[MÊS],$AE$1,tabela_registros[DIA],receitasvariáveisconsolidadoabr[[#Headers],[25]],tabela_registros[REGISTRO],DADOS!$N$3,tabela_registros[TIPO],DADOS!$V$4,tabela_registros[CATEGORIA],receitasvariáveisconsolidadoabr[[#This Row],[ATUAL]])</f>
        <v>0</v>
      </c>
      <c r="AD97" s="119" t="n">
        <f aca="false">SUMIFS(tabela_registros[VALOR],tabela_registros[MÊS],$AE$1,tabela_registros[DIA],receitasvariáveisconsolidadoabr[[#Headers],[26]],tabela_registros[REGISTRO],DADOS!$N$3,tabela_registros[TIPO],DADOS!$V$4,tabela_registros[CATEGORIA],receitasvariáveisconsolidadoabr[[#This Row],[ATUAL]])</f>
        <v>0</v>
      </c>
      <c r="AE97" s="119" t="n">
        <f aca="false">SUMIFS(tabela_registros[VALOR],tabela_registros[MÊS],$AE$1,tabela_registros[DIA],receitasvariáveisconsolidadoabr[[#Headers],[27]],tabela_registros[REGISTRO],DADOS!$N$3,tabela_registros[TIPO],DADOS!$V$4,tabela_registros[CATEGORIA],receitasvariáveisconsolidadoabr[[#This Row],[ATUAL]])</f>
        <v>0</v>
      </c>
      <c r="AF97" s="119" t="n">
        <f aca="false">SUMIFS(tabela_registros[VALOR],tabela_registros[MÊS],$AE$1,tabela_registros[DIA],receitasvariáveisconsolidadoabr[[#Headers],[28]],tabela_registros[REGISTRO],DADOS!$N$3,tabela_registros[TIPO],DADOS!$V$4,tabela_registros[CATEGORIA],receitasvariáveisconsolidadoabr[[#This Row],[ATUAL]])</f>
        <v>0</v>
      </c>
      <c r="AG97" s="119" t="n">
        <f aca="false">SUMIFS(tabela_registros[VALOR],tabela_registros[MÊS],$AE$1,tabela_registros[DIA],receitasvariáveisconsolidadoabr[[#Headers],[29]],tabela_registros[REGISTRO],DADOS!$N$3,tabela_registros[TIPO],DADOS!$V$4,tabela_registros[CATEGORIA],receitasvariáveisconsolidadoabr[[#This Row],[ATUAL]])</f>
        <v>0</v>
      </c>
      <c r="AH97" s="119" t="n">
        <f aca="false">SUMIFS(tabela_registros[VALOR],tabela_registros[MÊS],$AE$1,tabela_registros[DIA],receitasvariáveisconsolidadoabr[[#Headers],[30]],tabela_registros[REGISTRO],DADOS!$N$3,tabela_registros[TIPO],DADOS!$V$4,tabela_registros[CATEGORIA],receitasvariáveisconsolidadoabr[[#This Row],[ATUAL]])</f>
        <v>0</v>
      </c>
      <c r="AI97" s="217" t="n">
        <f aca="false">SUMIFS(tabela_registros[VALOR],tabela_registros[MÊS],$AE$1,tabela_registros[DIA],receitasvariáveisconsolidadoabr[[#Headers],[31]],tabela_registros[REGISTRO],DADOS!$N$3,tabela_registros[TIPO],DADOS!$V$4,tabela_registros[CATEGORIA],receitasvariáveisconsolidadoabr[[#This Row],[ATUAL]])</f>
        <v>0</v>
      </c>
      <c r="AJ97" s="149" t="n">
        <f aca="false">SUM(receitasvariáveisconsolidadoabr[[#This Row],[1]:[31]])</f>
        <v>0</v>
      </c>
      <c r="AK97" s="165"/>
    </row>
    <row r="98" customFormat="false" ht="19.5" hidden="false" customHeight="true" outlineLevel="0" collapsed="false">
      <c r="B98" s="143"/>
      <c r="C98" s="144" t="str">
        <f aca="false">DADOS!$Z$5</f>
        <v>🎗️ HERANÇA</v>
      </c>
      <c r="D98" s="145" t="str">
        <f aca="false">IF(receitasvariáveisconsolidadoabr[[#This Row],[TOTAL (R$)]]=0,"",IF(OR(receitasvariáveisconsolidadoabr[[#This Row],[TOTAL (R$)]]=LARGE($AJ$96:$AJ$103,1),receitasvariáveisconsolidadoabr[[#This Row],[TOTAL (R$)]]=LARGE($AJ$96:$AJ$103,2)),DADOS!$I$9,""))</f>
        <v/>
      </c>
      <c r="E98" s="148" t="n">
        <f aca="false">SUMIFS(tabela_registros[VALOR],tabela_registros[MÊS],$AE$1,tabela_registros[DIA],receitasvariáveisconsolidadoabr[[#Headers],[1]],tabela_registros[REGISTRO],DADOS!$N$3,tabela_registros[TIPO],DADOS!$V$4,tabela_registros[CATEGORIA],receitasvariáveisconsolidadoabr[[#This Row],[ATUAL]])</f>
        <v>0</v>
      </c>
      <c r="F98" s="119" t="n">
        <f aca="false">SUMIFS(tabela_registros[VALOR],tabela_registros[MÊS],$AE$1,tabela_registros[DIA],receitasvariáveisconsolidadoabr[[#Headers],[2]],tabela_registros[REGISTRO],DADOS!$N$3,tabela_registros[TIPO],DADOS!$V$4,tabela_registros[CATEGORIA],receitasvariáveisconsolidadoabr[[#This Row],[ATUAL]])</f>
        <v>0</v>
      </c>
      <c r="G98" s="119" t="n">
        <f aca="false">SUMIFS(tabela_registros[VALOR],tabela_registros[MÊS],$AE$1,tabela_registros[DIA],receitasvariáveisconsolidadoabr[[#Headers],[3]],tabela_registros[REGISTRO],DADOS!$N$3,tabela_registros[TIPO],DADOS!$V$4,tabela_registros[CATEGORIA],receitasvariáveisconsolidadoabr[[#This Row],[ATUAL]])</f>
        <v>0</v>
      </c>
      <c r="H98" s="119" t="n">
        <f aca="false">SUMIFS(tabela_registros[VALOR],tabela_registros[MÊS],$AE$1,tabela_registros[DIA],receitasvariáveisconsolidadoabr[[#Headers],[4]],tabela_registros[REGISTRO],DADOS!$N$3,tabela_registros[TIPO],DADOS!$V$4,tabela_registros[CATEGORIA],receitasvariáveisconsolidadoabr[[#This Row],[ATUAL]])</f>
        <v>0</v>
      </c>
      <c r="I98" s="119" t="n">
        <f aca="false">SUMIFS(tabela_registros[VALOR],tabela_registros[MÊS],$AE$1,tabela_registros[DIA],receitasvariáveisconsolidadoabr[[#Headers],[5]],tabela_registros[REGISTRO],DADOS!$N$3,tabela_registros[TIPO],DADOS!$V$4,tabela_registros[CATEGORIA],receitasvariáveisconsolidadoabr[[#This Row],[ATUAL]])</f>
        <v>0</v>
      </c>
      <c r="J98" s="119" t="n">
        <f aca="false">SUMIFS(tabela_registros[VALOR],tabela_registros[MÊS],$AE$1,tabela_registros[DIA],receitasvariáveisconsolidadoabr[[#Headers],[6]],tabela_registros[REGISTRO],DADOS!$N$3,tabela_registros[TIPO],DADOS!$V$4,tabela_registros[CATEGORIA],receitasvariáveisconsolidadoabr[[#This Row],[ATUAL]])</f>
        <v>0</v>
      </c>
      <c r="K98" s="119" t="n">
        <f aca="false">SUMIFS(tabela_registros[VALOR],tabela_registros[MÊS],$AE$1,tabela_registros[DIA],receitasvariáveisconsolidadoabr[[#Headers],[7]],tabela_registros[REGISTRO],DADOS!$N$3,tabela_registros[TIPO],DADOS!$V$4,tabela_registros[CATEGORIA],receitasvariáveisconsolidadoabr[[#This Row],[ATUAL]])</f>
        <v>0</v>
      </c>
      <c r="L98" s="119" t="n">
        <f aca="false">SUMIFS(tabela_registros[VALOR],tabela_registros[MÊS],$AE$1,tabela_registros[DIA],receitasvariáveisconsolidadoabr[[#Headers],[8]],tabela_registros[REGISTRO],DADOS!$N$3,tabela_registros[TIPO],DADOS!$V$4,tabela_registros[CATEGORIA],receitasvariáveisconsolidadoabr[[#This Row],[ATUAL]])</f>
        <v>0</v>
      </c>
      <c r="M98" s="119" t="n">
        <f aca="false">SUMIFS(tabela_registros[VALOR],tabela_registros[MÊS],$AE$1,tabela_registros[DIA],receitasvariáveisconsolidadoabr[[#Headers],[9]],tabela_registros[REGISTRO],DADOS!$N$3,tabela_registros[TIPO],DADOS!$V$4,tabela_registros[CATEGORIA],receitasvariáveisconsolidadoabr[[#This Row],[ATUAL]])</f>
        <v>0</v>
      </c>
      <c r="N98" s="119" t="n">
        <f aca="false">SUMIFS(tabela_registros[VALOR],tabela_registros[MÊS],$AE$1,tabela_registros[DIA],receitasvariáveisconsolidadoabr[[#Headers],[10]],tabela_registros[REGISTRO],DADOS!$N$3,tabela_registros[TIPO],DADOS!$V$4,tabela_registros[CATEGORIA],receitasvariáveisconsolidadoabr[[#This Row],[ATUAL]])</f>
        <v>0</v>
      </c>
      <c r="O98" s="119" t="n">
        <f aca="false">SUMIFS(tabela_registros[VALOR],tabela_registros[MÊS],$AE$1,tabela_registros[DIA],receitasvariáveisconsolidadoabr[[#Headers],[11]],tabela_registros[REGISTRO],DADOS!$N$3,tabela_registros[TIPO],DADOS!$V$4,tabela_registros[CATEGORIA],receitasvariáveisconsolidadoabr[[#This Row],[ATUAL]])</f>
        <v>0</v>
      </c>
      <c r="P98" s="119" t="n">
        <f aca="false">SUMIFS(tabela_registros[VALOR],tabela_registros[MÊS],$AE$1,tabela_registros[DIA],receitasvariáveisconsolidadoabr[[#Headers],[12]],tabela_registros[REGISTRO],DADOS!$N$3,tabela_registros[TIPO],DADOS!$V$4,tabela_registros[CATEGORIA],receitasvariáveisconsolidadoabr[[#This Row],[ATUAL]])</f>
        <v>0</v>
      </c>
      <c r="Q98" s="119" t="n">
        <f aca="false">SUMIFS(tabela_registros[VALOR],tabela_registros[MÊS],$AE$1,tabela_registros[DIA],receitasvariáveisconsolidadoabr[[#Headers],[13]],tabela_registros[REGISTRO],DADOS!$N$3,tabela_registros[TIPO],DADOS!$V$4,tabela_registros[CATEGORIA],receitasvariáveisconsolidadoabr[[#This Row],[ATUAL]])</f>
        <v>0</v>
      </c>
      <c r="R98" s="119" t="n">
        <f aca="false">SUMIFS(tabela_registros[VALOR],tabela_registros[MÊS],$AE$1,tabela_registros[DIA],receitasvariáveisconsolidadoabr[[#Headers],[14]],tabela_registros[REGISTRO],DADOS!$N$3,tabela_registros[TIPO],DADOS!$V$4,tabela_registros[CATEGORIA],receitasvariáveisconsolidadoabr[[#This Row],[ATUAL]])</f>
        <v>0</v>
      </c>
      <c r="S98" s="119" t="n">
        <f aca="false">SUMIFS(tabela_registros[VALOR],tabela_registros[MÊS],$AE$1,tabela_registros[DIA],receitasvariáveisconsolidadoabr[[#Headers],[15]],tabela_registros[REGISTRO],DADOS!$N$3,tabela_registros[TIPO],DADOS!$V$4,tabela_registros[CATEGORIA],receitasvariáveisconsolidadoabr[[#This Row],[ATUAL]])</f>
        <v>0</v>
      </c>
      <c r="T98" s="119" t="n">
        <f aca="false">SUMIFS(tabela_registros[VALOR],tabela_registros[MÊS],$AE$1,tabela_registros[DIA],receitasvariáveisconsolidadoabr[[#Headers],[16]],tabela_registros[REGISTRO],DADOS!$N$3,tabela_registros[TIPO],DADOS!$V$4,tabela_registros[CATEGORIA],receitasvariáveisconsolidadoabr[[#This Row],[ATUAL]])</f>
        <v>0</v>
      </c>
      <c r="U98" s="119" t="n">
        <f aca="false">SUMIFS(tabela_registros[VALOR],tabela_registros[MÊS],$AE$1,tabela_registros[DIA],receitasvariáveisconsolidadoabr[[#Headers],[17]],tabela_registros[REGISTRO],DADOS!$N$3,tabela_registros[TIPO],DADOS!$V$4,tabela_registros[CATEGORIA],receitasvariáveisconsolidadoabr[[#This Row],[ATUAL]])</f>
        <v>0</v>
      </c>
      <c r="V98" s="119" t="n">
        <f aca="false">SUMIFS(tabela_registros[VALOR],tabela_registros[MÊS],$AE$1,tabela_registros[DIA],receitasvariáveisconsolidadoabr[[#Headers],[18]],tabela_registros[REGISTRO],DADOS!$N$3,tabela_registros[TIPO],DADOS!$V$4,tabela_registros[CATEGORIA],receitasvariáveisconsolidadoabr[[#This Row],[ATUAL]])</f>
        <v>0</v>
      </c>
      <c r="W98" s="119" t="n">
        <f aca="false">SUMIFS(tabela_registros[VALOR],tabela_registros[MÊS],$AE$1,tabela_registros[DIA],receitasvariáveisconsolidadoabr[[#Headers],[19]],tabela_registros[REGISTRO],DADOS!$N$3,tabela_registros[TIPO],DADOS!$V$4,tabela_registros[CATEGORIA],receitasvariáveisconsolidadoabr[[#This Row],[ATUAL]])</f>
        <v>0</v>
      </c>
      <c r="X98" s="119" t="n">
        <f aca="false">SUMIFS(tabela_registros[VALOR],tabela_registros[MÊS],$AE$1,tabela_registros[DIA],receitasvariáveisconsolidadoabr[[#Headers],[20]],tabela_registros[REGISTRO],DADOS!$N$3,tabela_registros[TIPO],DADOS!$V$4,tabela_registros[CATEGORIA],receitasvariáveisconsolidadoabr[[#This Row],[ATUAL]])</f>
        <v>0</v>
      </c>
      <c r="Y98" s="119" t="n">
        <f aca="false">SUMIFS(tabela_registros[VALOR],tabela_registros[MÊS],$AE$1,tabela_registros[DIA],receitasvariáveisconsolidadoabr[[#Headers],[21]],tabela_registros[REGISTRO],DADOS!$N$3,tabela_registros[TIPO],DADOS!$V$4,tabela_registros[CATEGORIA],receitasvariáveisconsolidadoabr[[#This Row],[ATUAL]])</f>
        <v>0</v>
      </c>
      <c r="Z98" s="119" t="n">
        <f aca="false">SUMIFS(tabela_registros[VALOR],tabela_registros[MÊS],$AE$1,tabela_registros[DIA],receitasvariáveisconsolidadoabr[[#Headers],[22]],tabela_registros[REGISTRO],DADOS!$N$3,tabela_registros[TIPO],DADOS!$V$4,tabela_registros[CATEGORIA],receitasvariáveisconsolidadoabr[[#This Row],[ATUAL]])</f>
        <v>0</v>
      </c>
      <c r="AA98" s="119" t="n">
        <f aca="false">SUMIFS(tabela_registros[VALOR],tabela_registros[MÊS],$AE$1,tabela_registros[DIA],receitasvariáveisconsolidadoabr[[#Headers],[23]],tabela_registros[REGISTRO],DADOS!$N$3,tabela_registros[TIPO],DADOS!$V$4,tabela_registros[CATEGORIA],receitasvariáveisconsolidadoabr[[#This Row],[ATUAL]])</f>
        <v>0</v>
      </c>
      <c r="AB98" s="119" t="n">
        <f aca="false">SUMIFS(tabela_registros[VALOR],tabela_registros[MÊS],$AE$1,tabela_registros[DIA],receitasvariáveisconsolidadoabr[[#Headers],[24]],tabela_registros[REGISTRO],DADOS!$N$3,tabela_registros[TIPO],DADOS!$V$4,tabela_registros[CATEGORIA],receitasvariáveisconsolidadoabr[[#This Row],[ATUAL]])</f>
        <v>0</v>
      </c>
      <c r="AC98" s="119" t="n">
        <f aca="false">SUMIFS(tabela_registros[VALOR],tabela_registros[MÊS],$AE$1,tabela_registros[DIA],receitasvariáveisconsolidadoabr[[#Headers],[25]],tabela_registros[REGISTRO],DADOS!$N$3,tabela_registros[TIPO],DADOS!$V$4,tabela_registros[CATEGORIA],receitasvariáveisconsolidadoabr[[#This Row],[ATUAL]])</f>
        <v>0</v>
      </c>
      <c r="AD98" s="119" t="n">
        <f aca="false">SUMIFS(tabela_registros[VALOR],tabela_registros[MÊS],$AE$1,tabela_registros[DIA],receitasvariáveisconsolidadoabr[[#Headers],[26]],tabela_registros[REGISTRO],DADOS!$N$3,tabela_registros[TIPO],DADOS!$V$4,tabela_registros[CATEGORIA],receitasvariáveisconsolidadoabr[[#This Row],[ATUAL]])</f>
        <v>0</v>
      </c>
      <c r="AE98" s="119" t="n">
        <f aca="false">SUMIFS(tabela_registros[VALOR],tabela_registros[MÊS],$AE$1,tabela_registros[DIA],receitasvariáveisconsolidadoabr[[#Headers],[27]],tabela_registros[REGISTRO],DADOS!$N$3,tabela_registros[TIPO],DADOS!$V$4,tabela_registros[CATEGORIA],receitasvariáveisconsolidadoabr[[#This Row],[ATUAL]])</f>
        <v>0</v>
      </c>
      <c r="AF98" s="119" t="n">
        <f aca="false">SUMIFS(tabela_registros[VALOR],tabela_registros[MÊS],$AE$1,tabela_registros[DIA],receitasvariáveisconsolidadoabr[[#Headers],[28]],tabela_registros[REGISTRO],DADOS!$N$3,tabela_registros[TIPO],DADOS!$V$4,tabela_registros[CATEGORIA],receitasvariáveisconsolidadoabr[[#This Row],[ATUAL]])</f>
        <v>0</v>
      </c>
      <c r="AG98" s="119" t="n">
        <f aca="false">SUMIFS(tabela_registros[VALOR],tabela_registros[MÊS],$AE$1,tabela_registros[DIA],receitasvariáveisconsolidadoabr[[#Headers],[29]],tabela_registros[REGISTRO],DADOS!$N$3,tabela_registros[TIPO],DADOS!$V$4,tabela_registros[CATEGORIA],receitasvariáveisconsolidadoabr[[#This Row],[ATUAL]])</f>
        <v>0</v>
      </c>
      <c r="AH98" s="119" t="n">
        <f aca="false">SUMIFS(tabela_registros[VALOR],tabela_registros[MÊS],$AE$1,tabela_registros[DIA],receitasvariáveisconsolidadoabr[[#Headers],[30]],tabela_registros[REGISTRO],DADOS!$N$3,tabela_registros[TIPO],DADOS!$V$4,tabela_registros[CATEGORIA],receitasvariáveisconsolidadoabr[[#This Row],[ATUAL]])</f>
        <v>0</v>
      </c>
      <c r="AI98" s="217" t="n">
        <f aca="false">SUMIFS(tabela_registros[VALOR],tabela_registros[MÊS],$AE$1,tabela_registros[DIA],receitasvariáveisconsolidadoabr[[#Headers],[31]],tabela_registros[REGISTRO],DADOS!$N$3,tabela_registros[TIPO],DADOS!$V$4,tabela_registros[CATEGORIA],receitasvariáveisconsolidadoabr[[#This Row],[ATUAL]])</f>
        <v>0</v>
      </c>
      <c r="AJ98" s="149" t="n">
        <f aca="false">SUM(receitasvariáveisconsolidadoabr[[#This Row],[1]:[31]])</f>
        <v>0</v>
      </c>
      <c r="AK98" s="165"/>
    </row>
    <row r="99" customFormat="false" ht="19.5" hidden="false" customHeight="true" outlineLevel="0" collapsed="false">
      <c r="B99" s="143"/>
      <c r="C99" s="144" t="str">
        <f aca="false">DADOS!$Z$6</f>
        <v>💲 INVESTIMENTOS</v>
      </c>
      <c r="D99" s="145" t="str">
        <f aca="false">IF(receitasvariáveisconsolidadoabr[[#This Row],[TOTAL (R$)]]=0,"",IF(OR(receitasvariáveisconsolidadoabr[[#This Row],[TOTAL (R$)]]=LARGE($AJ$96:$AJ$103,1),receitasvariáveisconsolidadoabr[[#This Row],[TOTAL (R$)]]=LARGE($AJ$96:$AJ$103,2)),DADOS!$I$9,""))</f>
        <v/>
      </c>
      <c r="E99" s="148" t="n">
        <f aca="false">SUMIFS(tabela_registros[VALOR],tabela_registros[MÊS],$AE$1,tabela_registros[DIA],receitasvariáveisconsolidadoabr[[#Headers],[1]],tabela_registros[REGISTRO],DADOS!$N$3,tabela_registros[TIPO],DADOS!$V$4,tabela_registros[CATEGORIA],receitasvariáveisconsolidadoabr[[#This Row],[ATUAL]])</f>
        <v>0</v>
      </c>
      <c r="F99" s="119" t="n">
        <f aca="false">SUMIFS(tabela_registros[VALOR],tabela_registros[MÊS],$AE$1,tabela_registros[DIA],receitasvariáveisconsolidadoabr[[#Headers],[2]],tabela_registros[REGISTRO],DADOS!$N$3,tabela_registros[TIPO],DADOS!$V$4,tabela_registros[CATEGORIA],receitasvariáveisconsolidadoabr[[#This Row],[ATUAL]])</f>
        <v>0</v>
      </c>
      <c r="G99" s="119" t="n">
        <f aca="false">SUMIFS(tabela_registros[VALOR],tabela_registros[MÊS],$AE$1,tabela_registros[DIA],receitasvariáveisconsolidadoabr[[#Headers],[3]],tabela_registros[REGISTRO],DADOS!$N$3,tabela_registros[TIPO],DADOS!$V$4,tabela_registros[CATEGORIA],receitasvariáveisconsolidadoabr[[#This Row],[ATUAL]])</f>
        <v>0</v>
      </c>
      <c r="H99" s="119" t="n">
        <f aca="false">SUMIFS(tabela_registros[VALOR],tabela_registros[MÊS],$AE$1,tabela_registros[DIA],receitasvariáveisconsolidadoabr[[#Headers],[4]],tabela_registros[REGISTRO],DADOS!$N$3,tabela_registros[TIPO],DADOS!$V$4,tabela_registros[CATEGORIA],receitasvariáveisconsolidadoabr[[#This Row],[ATUAL]])</f>
        <v>0</v>
      </c>
      <c r="I99" s="119" t="n">
        <f aca="false">SUMIFS(tabela_registros[VALOR],tabela_registros[MÊS],$AE$1,tabela_registros[DIA],receitasvariáveisconsolidadoabr[[#Headers],[5]],tabela_registros[REGISTRO],DADOS!$N$3,tabela_registros[TIPO],DADOS!$V$4,tabela_registros[CATEGORIA],receitasvariáveisconsolidadoabr[[#This Row],[ATUAL]])</f>
        <v>0</v>
      </c>
      <c r="J99" s="119" t="n">
        <f aca="false">SUMIFS(tabela_registros[VALOR],tabela_registros[MÊS],$AE$1,tabela_registros[DIA],receitasvariáveisconsolidadoabr[[#Headers],[6]],tabela_registros[REGISTRO],DADOS!$N$3,tabela_registros[TIPO],DADOS!$V$4,tabela_registros[CATEGORIA],receitasvariáveisconsolidadoabr[[#This Row],[ATUAL]])</f>
        <v>0</v>
      </c>
      <c r="K99" s="119" t="n">
        <f aca="false">SUMIFS(tabela_registros[VALOR],tabela_registros[MÊS],$AE$1,tabela_registros[DIA],receitasvariáveisconsolidadoabr[[#Headers],[7]],tabela_registros[REGISTRO],DADOS!$N$3,tabela_registros[TIPO],DADOS!$V$4,tabela_registros[CATEGORIA],receitasvariáveisconsolidadoabr[[#This Row],[ATUAL]])</f>
        <v>0</v>
      </c>
      <c r="L99" s="119" t="n">
        <f aca="false">SUMIFS(tabela_registros[VALOR],tabela_registros[MÊS],$AE$1,tabela_registros[DIA],receitasvariáveisconsolidadoabr[[#Headers],[8]],tabela_registros[REGISTRO],DADOS!$N$3,tabela_registros[TIPO],DADOS!$V$4,tabela_registros[CATEGORIA],receitasvariáveisconsolidadoabr[[#This Row],[ATUAL]])</f>
        <v>0</v>
      </c>
      <c r="M99" s="119" t="n">
        <f aca="false">SUMIFS(tabela_registros[VALOR],tabela_registros[MÊS],$AE$1,tabela_registros[DIA],receitasvariáveisconsolidadoabr[[#Headers],[9]],tabela_registros[REGISTRO],DADOS!$N$3,tabela_registros[TIPO],DADOS!$V$4,tabela_registros[CATEGORIA],receitasvariáveisconsolidadoabr[[#This Row],[ATUAL]])</f>
        <v>0</v>
      </c>
      <c r="N99" s="119" t="n">
        <f aca="false">SUMIFS(tabela_registros[VALOR],tabela_registros[MÊS],$AE$1,tabela_registros[DIA],receitasvariáveisconsolidadoabr[[#Headers],[10]],tabela_registros[REGISTRO],DADOS!$N$3,tabela_registros[TIPO],DADOS!$V$4,tabela_registros[CATEGORIA],receitasvariáveisconsolidadoabr[[#This Row],[ATUAL]])</f>
        <v>0</v>
      </c>
      <c r="O99" s="119" t="n">
        <f aca="false">SUMIFS(tabela_registros[VALOR],tabela_registros[MÊS],$AE$1,tabela_registros[DIA],receitasvariáveisconsolidadoabr[[#Headers],[11]],tabela_registros[REGISTRO],DADOS!$N$3,tabela_registros[TIPO],DADOS!$V$4,tabela_registros[CATEGORIA],receitasvariáveisconsolidadoabr[[#This Row],[ATUAL]])</f>
        <v>0</v>
      </c>
      <c r="P99" s="119" t="n">
        <f aca="false">SUMIFS(tabela_registros[VALOR],tabela_registros[MÊS],$AE$1,tabela_registros[DIA],receitasvariáveisconsolidadoabr[[#Headers],[12]],tabela_registros[REGISTRO],DADOS!$N$3,tabela_registros[TIPO],DADOS!$V$4,tabela_registros[CATEGORIA],receitasvariáveisconsolidadoabr[[#This Row],[ATUAL]])</f>
        <v>0</v>
      </c>
      <c r="Q99" s="119" t="n">
        <f aca="false">SUMIFS(tabela_registros[VALOR],tabela_registros[MÊS],$AE$1,tabela_registros[DIA],receitasvariáveisconsolidadoabr[[#Headers],[13]],tabela_registros[REGISTRO],DADOS!$N$3,tabela_registros[TIPO],DADOS!$V$4,tabela_registros[CATEGORIA],receitasvariáveisconsolidadoabr[[#This Row],[ATUAL]])</f>
        <v>0</v>
      </c>
      <c r="R99" s="119" t="n">
        <f aca="false">SUMIFS(tabela_registros[VALOR],tabela_registros[MÊS],$AE$1,tabela_registros[DIA],receitasvariáveisconsolidadoabr[[#Headers],[14]],tabela_registros[REGISTRO],DADOS!$N$3,tabela_registros[TIPO],DADOS!$V$4,tabela_registros[CATEGORIA],receitasvariáveisconsolidadoabr[[#This Row],[ATUAL]])</f>
        <v>0</v>
      </c>
      <c r="S99" s="119" t="n">
        <f aca="false">SUMIFS(tabela_registros[VALOR],tabela_registros[MÊS],$AE$1,tabela_registros[DIA],receitasvariáveisconsolidadoabr[[#Headers],[15]],tabela_registros[REGISTRO],DADOS!$N$3,tabela_registros[TIPO],DADOS!$V$4,tabela_registros[CATEGORIA],receitasvariáveisconsolidadoabr[[#This Row],[ATUAL]])</f>
        <v>0</v>
      </c>
      <c r="T99" s="119" t="n">
        <f aca="false">SUMIFS(tabela_registros[VALOR],tabela_registros[MÊS],$AE$1,tabela_registros[DIA],receitasvariáveisconsolidadoabr[[#Headers],[16]],tabela_registros[REGISTRO],DADOS!$N$3,tabela_registros[TIPO],DADOS!$V$4,tabela_registros[CATEGORIA],receitasvariáveisconsolidadoabr[[#This Row],[ATUAL]])</f>
        <v>0</v>
      </c>
      <c r="U99" s="119" t="n">
        <f aca="false">SUMIFS(tabela_registros[VALOR],tabela_registros[MÊS],$AE$1,tabela_registros[DIA],receitasvariáveisconsolidadoabr[[#Headers],[17]],tabela_registros[REGISTRO],DADOS!$N$3,tabela_registros[TIPO],DADOS!$V$4,tabela_registros[CATEGORIA],receitasvariáveisconsolidadoabr[[#This Row],[ATUAL]])</f>
        <v>0</v>
      </c>
      <c r="V99" s="119" t="n">
        <f aca="false">SUMIFS(tabela_registros[VALOR],tabela_registros[MÊS],$AE$1,tabela_registros[DIA],receitasvariáveisconsolidadoabr[[#Headers],[18]],tabela_registros[REGISTRO],DADOS!$N$3,tabela_registros[TIPO],DADOS!$V$4,tabela_registros[CATEGORIA],receitasvariáveisconsolidadoabr[[#This Row],[ATUAL]])</f>
        <v>0</v>
      </c>
      <c r="W99" s="119" t="n">
        <f aca="false">SUMIFS(tabela_registros[VALOR],tabela_registros[MÊS],$AE$1,tabela_registros[DIA],receitasvariáveisconsolidadoabr[[#Headers],[19]],tabela_registros[REGISTRO],DADOS!$N$3,tabela_registros[TIPO],DADOS!$V$4,tabela_registros[CATEGORIA],receitasvariáveisconsolidadoabr[[#This Row],[ATUAL]])</f>
        <v>0</v>
      </c>
      <c r="X99" s="119" t="n">
        <f aca="false">SUMIFS(tabela_registros[VALOR],tabela_registros[MÊS],$AE$1,tabela_registros[DIA],receitasvariáveisconsolidadoabr[[#Headers],[20]],tabela_registros[REGISTRO],DADOS!$N$3,tabela_registros[TIPO],DADOS!$V$4,tabela_registros[CATEGORIA],receitasvariáveisconsolidadoabr[[#This Row],[ATUAL]])</f>
        <v>0</v>
      </c>
      <c r="Y99" s="119" t="n">
        <f aca="false">SUMIFS(tabela_registros[VALOR],tabela_registros[MÊS],$AE$1,tabela_registros[DIA],receitasvariáveisconsolidadoabr[[#Headers],[21]],tabela_registros[REGISTRO],DADOS!$N$3,tabela_registros[TIPO],DADOS!$V$4,tabela_registros[CATEGORIA],receitasvariáveisconsolidadoabr[[#This Row],[ATUAL]])</f>
        <v>0</v>
      </c>
      <c r="Z99" s="119" t="n">
        <f aca="false">SUMIFS(tabela_registros[VALOR],tabela_registros[MÊS],$AE$1,tabela_registros[DIA],receitasvariáveisconsolidadoabr[[#Headers],[22]],tabela_registros[REGISTRO],DADOS!$N$3,tabela_registros[TIPO],DADOS!$V$4,tabela_registros[CATEGORIA],receitasvariáveisconsolidadoabr[[#This Row],[ATUAL]])</f>
        <v>0</v>
      </c>
      <c r="AA99" s="119" t="n">
        <f aca="false">SUMIFS(tabela_registros[VALOR],tabela_registros[MÊS],$AE$1,tabela_registros[DIA],receitasvariáveisconsolidadoabr[[#Headers],[23]],tabela_registros[REGISTRO],DADOS!$N$3,tabela_registros[TIPO],DADOS!$V$4,tabela_registros[CATEGORIA],receitasvariáveisconsolidadoabr[[#This Row],[ATUAL]])</f>
        <v>0</v>
      </c>
      <c r="AB99" s="119" t="n">
        <f aca="false">SUMIFS(tabela_registros[VALOR],tabela_registros[MÊS],$AE$1,tabela_registros[DIA],receitasvariáveisconsolidadoabr[[#Headers],[24]],tabela_registros[REGISTRO],DADOS!$N$3,tabela_registros[TIPO],DADOS!$V$4,tabela_registros[CATEGORIA],receitasvariáveisconsolidadoabr[[#This Row],[ATUAL]])</f>
        <v>0</v>
      </c>
      <c r="AC99" s="119" t="n">
        <f aca="false">SUMIFS(tabela_registros[VALOR],tabela_registros[MÊS],$AE$1,tabela_registros[DIA],receitasvariáveisconsolidadoabr[[#Headers],[25]],tabela_registros[REGISTRO],DADOS!$N$3,tabela_registros[TIPO],DADOS!$V$4,tabela_registros[CATEGORIA],receitasvariáveisconsolidadoabr[[#This Row],[ATUAL]])</f>
        <v>0</v>
      </c>
      <c r="AD99" s="119" t="n">
        <f aca="false">SUMIFS(tabela_registros[VALOR],tabela_registros[MÊS],$AE$1,tabela_registros[DIA],receitasvariáveisconsolidadoabr[[#Headers],[26]],tabela_registros[REGISTRO],DADOS!$N$3,tabela_registros[TIPO],DADOS!$V$4,tabela_registros[CATEGORIA],receitasvariáveisconsolidadoabr[[#This Row],[ATUAL]])</f>
        <v>0</v>
      </c>
      <c r="AE99" s="119" t="n">
        <f aca="false">SUMIFS(tabela_registros[VALOR],tabela_registros[MÊS],$AE$1,tabela_registros[DIA],receitasvariáveisconsolidadoabr[[#Headers],[27]],tabela_registros[REGISTRO],DADOS!$N$3,tabela_registros[TIPO],DADOS!$V$4,tabela_registros[CATEGORIA],receitasvariáveisconsolidadoabr[[#This Row],[ATUAL]])</f>
        <v>0</v>
      </c>
      <c r="AF99" s="119" t="n">
        <f aca="false">SUMIFS(tabela_registros[VALOR],tabela_registros[MÊS],$AE$1,tabela_registros[DIA],receitasvariáveisconsolidadoabr[[#Headers],[28]],tabela_registros[REGISTRO],DADOS!$N$3,tabela_registros[TIPO],DADOS!$V$4,tabela_registros[CATEGORIA],receitasvariáveisconsolidadoabr[[#This Row],[ATUAL]])</f>
        <v>0</v>
      </c>
      <c r="AG99" s="119" t="n">
        <f aca="false">SUMIFS(tabela_registros[VALOR],tabela_registros[MÊS],$AE$1,tabela_registros[DIA],receitasvariáveisconsolidadoabr[[#Headers],[29]],tabela_registros[REGISTRO],DADOS!$N$3,tabela_registros[TIPO],DADOS!$V$4,tabela_registros[CATEGORIA],receitasvariáveisconsolidadoabr[[#This Row],[ATUAL]])</f>
        <v>0</v>
      </c>
      <c r="AH99" s="119" t="n">
        <f aca="false">SUMIFS(tabela_registros[VALOR],tabela_registros[MÊS],$AE$1,tabela_registros[DIA],receitasvariáveisconsolidadoabr[[#Headers],[30]],tabela_registros[REGISTRO],DADOS!$N$3,tabela_registros[TIPO],DADOS!$V$4,tabela_registros[CATEGORIA],receitasvariáveisconsolidadoabr[[#This Row],[ATUAL]])</f>
        <v>0</v>
      </c>
      <c r="AI99" s="217" t="n">
        <f aca="false">SUMIFS(tabela_registros[VALOR],tabela_registros[MÊS],$AE$1,tabela_registros[DIA],receitasvariáveisconsolidadoabr[[#Headers],[31]],tabela_registros[REGISTRO],DADOS!$N$3,tabela_registros[TIPO],DADOS!$V$4,tabela_registros[CATEGORIA],receitasvariáveisconsolidadoabr[[#This Row],[ATUAL]])</f>
        <v>0</v>
      </c>
      <c r="AJ99" s="149" t="n">
        <f aca="false">SUM(receitasvariáveisconsolidadoabr[[#This Row],[1]:[31]])</f>
        <v>0</v>
      </c>
      <c r="AK99" s="165"/>
    </row>
    <row r="100" customFormat="false" ht="19.5" hidden="false" customHeight="true" outlineLevel="0" collapsed="false">
      <c r="B100" s="143"/>
      <c r="C100" s="144" t="str">
        <f aca="false">DADOS!$Z$7</f>
        <v>🧾 NOTA DE SERVIÇO</v>
      </c>
      <c r="D100" s="145" t="str">
        <f aca="false">IF(receitasvariáveisconsolidadoabr[[#This Row],[TOTAL (R$)]]=0,"",IF(OR(receitasvariáveisconsolidadoabr[[#This Row],[TOTAL (R$)]]=LARGE($AJ$96:$AJ$103,1),receitasvariáveisconsolidadoabr[[#This Row],[TOTAL (R$)]]=LARGE($AJ$96:$AJ$103,2)),DADOS!$I$9,""))</f>
        <v/>
      </c>
      <c r="E100" s="148" t="n">
        <f aca="false">SUMIFS(tabela_registros[VALOR],tabela_registros[MÊS],$AE$1,tabela_registros[DIA],receitasvariáveisconsolidadoabr[[#Headers],[1]],tabela_registros[REGISTRO],DADOS!$N$3,tabela_registros[TIPO],DADOS!$V$4,tabela_registros[CATEGORIA],receitasvariáveisconsolidadoabr[[#This Row],[ATUAL]])</f>
        <v>0</v>
      </c>
      <c r="F100" s="119" t="n">
        <f aca="false">SUMIFS(tabela_registros[VALOR],tabela_registros[MÊS],$AE$1,tabela_registros[DIA],receitasvariáveisconsolidadoabr[[#Headers],[2]],tabela_registros[REGISTRO],DADOS!$N$3,tabela_registros[TIPO],DADOS!$V$4,tabela_registros[CATEGORIA],receitasvariáveisconsolidadoabr[[#This Row],[ATUAL]])</f>
        <v>0</v>
      </c>
      <c r="G100" s="119" t="n">
        <f aca="false">SUMIFS(tabela_registros[VALOR],tabela_registros[MÊS],$AE$1,tabela_registros[DIA],receitasvariáveisconsolidadoabr[[#Headers],[3]],tabela_registros[REGISTRO],DADOS!$N$3,tabela_registros[TIPO],DADOS!$V$4,tabela_registros[CATEGORIA],receitasvariáveisconsolidadoabr[[#This Row],[ATUAL]])</f>
        <v>0</v>
      </c>
      <c r="H100" s="119" t="n">
        <f aca="false">SUMIFS(tabela_registros[VALOR],tabela_registros[MÊS],$AE$1,tabela_registros[DIA],receitasvariáveisconsolidadoabr[[#Headers],[4]],tabela_registros[REGISTRO],DADOS!$N$3,tabela_registros[TIPO],DADOS!$V$4,tabela_registros[CATEGORIA],receitasvariáveisconsolidadoabr[[#This Row],[ATUAL]])</f>
        <v>0</v>
      </c>
      <c r="I100" s="119" t="n">
        <f aca="false">SUMIFS(tabela_registros[VALOR],tabela_registros[MÊS],$AE$1,tabela_registros[DIA],receitasvariáveisconsolidadoabr[[#Headers],[5]],tabela_registros[REGISTRO],DADOS!$N$3,tabela_registros[TIPO],DADOS!$V$4,tabela_registros[CATEGORIA],receitasvariáveisconsolidadoabr[[#This Row],[ATUAL]])</f>
        <v>0</v>
      </c>
      <c r="J100" s="119" t="n">
        <f aca="false">SUMIFS(tabela_registros[VALOR],tabela_registros[MÊS],$AE$1,tabela_registros[DIA],receitasvariáveisconsolidadoabr[[#Headers],[6]],tabela_registros[REGISTRO],DADOS!$N$3,tabela_registros[TIPO],DADOS!$V$4,tabela_registros[CATEGORIA],receitasvariáveisconsolidadoabr[[#This Row],[ATUAL]])</f>
        <v>0</v>
      </c>
      <c r="K100" s="119" t="n">
        <f aca="false">SUMIFS(tabela_registros[VALOR],tabela_registros[MÊS],$AE$1,tabela_registros[DIA],receitasvariáveisconsolidadoabr[[#Headers],[7]],tabela_registros[REGISTRO],DADOS!$N$3,tabela_registros[TIPO],DADOS!$V$4,tabela_registros[CATEGORIA],receitasvariáveisconsolidadoabr[[#This Row],[ATUAL]])</f>
        <v>0</v>
      </c>
      <c r="L100" s="119" t="n">
        <f aca="false">SUMIFS(tabela_registros[VALOR],tabela_registros[MÊS],$AE$1,tabela_registros[DIA],receitasvariáveisconsolidadoabr[[#Headers],[8]],tabela_registros[REGISTRO],DADOS!$N$3,tabela_registros[TIPO],DADOS!$V$4,tabela_registros[CATEGORIA],receitasvariáveisconsolidadoabr[[#This Row],[ATUAL]])</f>
        <v>0</v>
      </c>
      <c r="M100" s="119" t="n">
        <f aca="false">SUMIFS(tabela_registros[VALOR],tabela_registros[MÊS],$AE$1,tabela_registros[DIA],receitasvariáveisconsolidadoabr[[#Headers],[9]],tabela_registros[REGISTRO],DADOS!$N$3,tabela_registros[TIPO],DADOS!$V$4,tabela_registros[CATEGORIA],receitasvariáveisconsolidadoabr[[#This Row],[ATUAL]])</f>
        <v>0</v>
      </c>
      <c r="N100" s="119" t="n">
        <f aca="false">SUMIFS(tabela_registros[VALOR],tabela_registros[MÊS],$AE$1,tabela_registros[DIA],receitasvariáveisconsolidadoabr[[#Headers],[10]],tabela_registros[REGISTRO],DADOS!$N$3,tabela_registros[TIPO],DADOS!$V$4,tabela_registros[CATEGORIA],receitasvariáveisconsolidadoabr[[#This Row],[ATUAL]])</f>
        <v>0</v>
      </c>
      <c r="O100" s="119" t="n">
        <f aca="false">SUMIFS(tabela_registros[VALOR],tabela_registros[MÊS],$AE$1,tabela_registros[DIA],receitasvariáveisconsolidadoabr[[#Headers],[11]],tabela_registros[REGISTRO],DADOS!$N$3,tabela_registros[TIPO],DADOS!$V$4,tabela_registros[CATEGORIA],receitasvariáveisconsolidadoabr[[#This Row],[ATUAL]])</f>
        <v>0</v>
      </c>
      <c r="P100" s="119" t="n">
        <f aca="false">SUMIFS(tabela_registros[VALOR],tabela_registros[MÊS],$AE$1,tabela_registros[DIA],receitasvariáveisconsolidadoabr[[#Headers],[12]],tabela_registros[REGISTRO],DADOS!$N$3,tabela_registros[TIPO],DADOS!$V$4,tabela_registros[CATEGORIA],receitasvariáveisconsolidadoabr[[#This Row],[ATUAL]])</f>
        <v>0</v>
      </c>
      <c r="Q100" s="119" t="n">
        <f aca="false">SUMIFS(tabela_registros[VALOR],tabela_registros[MÊS],$AE$1,tabela_registros[DIA],receitasvariáveisconsolidadoabr[[#Headers],[13]],tabela_registros[REGISTRO],DADOS!$N$3,tabela_registros[TIPO],DADOS!$V$4,tabela_registros[CATEGORIA],receitasvariáveisconsolidadoabr[[#This Row],[ATUAL]])</f>
        <v>0</v>
      </c>
      <c r="R100" s="119" t="n">
        <f aca="false">SUMIFS(tabela_registros[VALOR],tabela_registros[MÊS],$AE$1,tabela_registros[DIA],receitasvariáveisconsolidadoabr[[#Headers],[14]],tabela_registros[REGISTRO],DADOS!$N$3,tabela_registros[TIPO],DADOS!$V$4,tabela_registros[CATEGORIA],receitasvariáveisconsolidadoabr[[#This Row],[ATUAL]])</f>
        <v>0</v>
      </c>
      <c r="S100" s="119" t="n">
        <f aca="false">SUMIFS(tabela_registros[VALOR],tabela_registros[MÊS],$AE$1,tabela_registros[DIA],receitasvariáveisconsolidadoabr[[#Headers],[15]],tabela_registros[REGISTRO],DADOS!$N$3,tabela_registros[TIPO],DADOS!$V$4,tabela_registros[CATEGORIA],receitasvariáveisconsolidadoabr[[#This Row],[ATUAL]])</f>
        <v>0</v>
      </c>
      <c r="T100" s="119" t="n">
        <f aca="false">SUMIFS(tabela_registros[VALOR],tabela_registros[MÊS],$AE$1,tabela_registros[DIA],receitasvariáveisconsolidadoabr[[#Headers],[16]],tabela_registros[REGISTRO],DADOS!$N$3,tabela_registros[TIPO],DADOS!$V$4,tabela_registros[CATEGORIA],receitasvariáveisconsolidadoabr[[#This Row],[ATUAL]])</f>
        <v>0</v>
      </c>
      <c r="U100" s="119" t="n">
        <f aca="false">SUMIFS(tabela_registros[VALOR],tabela_registros[MÊS],$AE$1,tabela_registros[DIA],receitasvariáveisconsolidadoabr[[#Headers],[17]],tabela_registros[REGISTRO],DADOS!$N$3,tabela_registros[TIPO],DADOS!$V$4,tabela_registros[CATEGORIA],receitasvariáveisconsolidadoabr[[#This Row],[ATUAL]])</f>
        <v>0</v>
      </c>
      <c r="V100" s="119" t="n">
        <f aca="false">SUMIFS(tabela_registros[VALOR],tabela_registros[MÊS],$AE$1,tabela_registros[DIA],receitasvariáveisconsolidadoabr[[#Headers],[18]],tabela_registros[REGISTRO],DADOS!$N$3,tabela_registros[TIPO],DADOS!$V$4,tabela_registros[CATEGORIA],receitasvariáveisconsolidadoabr[[#This Row],[ATUAL]])</f>
        <v>0</v>
      </c>
      <c r="W100" s="119" t="n">
        <f aca="false">SUMIFS(tabela_registros[VALOR],tabela_registros[MÊS],$AE$1,tabela_registros[DIA],receitasvariáveisconsolidadoabr[[#Headers],[19]],tabela_registros[REGISTRO],DADOS!$N$3,tabela_registros[TIPO],DADOS!$V$4,tabela_registros[CATEGORIA],receitasvariáveisconsolidadoabr[[#This Row],[ATUAL]])</f>
        <v>0</v>
      </c>
      <c r="X100" s="119" t="n">
        <f aca="false">SUMIFS(tabela_registros[VALOR],tabela_registros[MÊS],$AE$1,tabela_registros[DIA],receitasvariáveisconsolidadoabr[[#Headers],[20]],tabela_registros[REGISTRO],DADOS!$N$3,tabela_registros[TIPO],DADOS!$V$4,tabela_registros[CATEGORIA],receitasvariáveisconsolidadoabr[[#This Row],[ATUAL]])</f>
        <v>0</v>
      </c>
      <c r="Y100" s="119" t="n">
        <f aca="false">SUMIFS(tabela_registros[VALOR],tabela_registros[MÊS],$AE$1,tabela_registros[DIA],receitasvariáveisconsolidadoabr[[#Headers],[21]],tabela_registros[REGISTRO],DADOS!$N$3,tabela_registros[TIPO],DADOS!$V$4,tabela_registros[CATEGORIA],receitasvariáveisconsolidadoabr[[#This Row],[ATUAL]])</f>
        <v>0</v>
      </c>
      <c r="Z100" s="119" t="n">
        <f aca="false">SUMIFS(tabela_registros[VALOR],tabela_registros[MÊS],$AE$1,tabela_registros[DIA],receitasvariáveisconsolidadoabr[[#Headers],[22]],tabela_registros[REGISTRO],DADOS!$N$3,tabela_registros[TIPO],DADOS!$V$4,tabela_registros[CATEGORIA],receitasvariáveisconsolidadoabr[[#This Row],[ATUAL]])</f>
        <v>0</v>
      </c>
      <c r="AA100" s="119" t="n">
        <f aca="false">SUMIFS(tabela_registros[VALOR],tabela_registros[MÊS],$AE$1,tabela_registros[DIA],receitasvariáveisconsolidadoabr[[#Headers],[23]],tabela_registros[REGISTRO],DADOS!$N$3,tabela_registros[TIPO],DADOS!$V$4,tabela_registros[CATEGORIA],receitasvariáveisconsolidadoabr[[#This Row],[ATUAL]])</f>
        <v>0</v>
      </c>
      <c r="AB100" s="119" t="n">
        <f aca="false">SUMIFS(tabela_registros[VALOR],tabela_registros[MÊS],$AE$1,tabela_registros[DIA],receitasvariáveisconsolidadoabr[[#Headers],[24]],tabela_registros[REGISTRO],DADOS!$N$3,tabela_registros[TIPO],DADOS!$V$4,tabela_registros[CATEGORIA],receitasvariáveisconsolidadoabr[[#This Row],[ATUAL]])</f>
        <v>0</v>
      </c>
      <c r="AC100" s="119" t="n">
        <f aca="false">SUMIFS(tabela_registros[VALOR],tabela_registros[MÊS],$AE$1,tabela_registros[DIA],receitasvariáveisconsolidadoabr[[#Headers],[25]],tabela_registros[REGISTRO],DADOS!$N$3,tabela_registros[TIPO],DADOS!$V$4,tabela_registros[CATEGORIA],receitasvariáveisconsolidadoabr[[#This Row],[ATUAL]])</f>
        <v>0</v>
      </c>
      <c r="AD100" s="119" t="n">
        <f aca="false">SUMIFS(tabela_registros[VALOR],tabela_registros[MÊS],$AE$1,tabela_registros[DIA],receitasvariáveisconsolidadoabr[[#Headers],[26]],tabela_registros[REGISTRO],DADOS!$N$3,tabela_registros[TIPO],DADOS!$V$4,tabela_registros[CATEGORIA],receitasvariáveisconsolidadoabr[[#This Row],[ATUAL]])</f>
        <v>0</v>
      </c>
      <c r="AE100" s="119" t="n">
        <f aca="false">SUMIFS(tabela_registros[VALOR],tabela_registros[MÊS],$AE$1,tabela_registros[DIA],receitasvariáveisconsolidadoabr[[#Headers],[27]],tabela_registros[REGISTRO],DADOS!$N$3,tabela_registros[TIPO],DADOS!$V$4,tabela_registros[CATEGORIA],receitasvariáveisconsolidadoabr[[#This Row],[ATUAL]])</f>
        <v>0</v>
      </c>
      <c r="AF100" s="119" t="n">
        <f aca="false">SUMIFS(tabela_registros[VALOR],tabela_registros[MÊS],$AE$1,tabela_registros[DIA],receitasvariáveisconsolidadoabr[[#Headers],[28]],tabela_registros[REGISTRO],DADOS!$N$3,tabela_registros[TIPO],DADOS!$V$4,tabela_registros[CATEGORIA],receitasvariáveisconsolidadoabr[[#This Row],[ATUAL]])</f>
        <v>0</v>
      </c>
      <c r="AG100" s="119" t="n">
        <f aca="false">SUMIFS(tabela_registros[VALOR],tabela_registros[MÊS],$AE$1,tabela_registros[DIA],receitasvariáveisconsolidadoabr[[#Headers],[29]],tabela_registros[REGISTRO],DADOS!$N$3,tabela_registros[TIPO],DADOS!$V$4,tabela_registros[CATEGORIA],receitasvariáveisconsolidadoabr[[#This Row],[ATUAL]])</f>
        <v>0</v>
      </c>
      <c r="AH100" s="119" t="n">
        <f aca="false">SUMIFS(tabela_registros[VALOR],tabela_registros[MÊS],$AE$1,tabela_registros[DIA],receitasvariáveisconsolidadoabr[[#Headers],[30]],tabela_registros[REGISTRO],DADOS!$N$3,tabela_registros[TIPO],DADOS!$V$4,tabela_registros[CATEGORIA],receitasvariáveisconsolidadoabr[[#This Row],[ATUAL]])</f>
        <v>0</v>
      </c>
      <c r="AI100" s="217" t="n">
        <f aca="false">SUMIFS(tabela_registros[VALOR],tabela_registros[MÊS],$AE$1,tabela_registros[DIA],receitasvariáveisconsolidadoabr[[#Headers],[31]],tabela_registros[REGISTRO],DADOS!$N$3,tabela_registros[TIPO],DADOS!$V$4,tabela_registros[CATEGORIA],receitasvariáveisconsolidadoabr[[#This Row],[ATUAL]])</f>
        <v>0</v>
      </c>
      <c r="AJ100" s="149" t="n">
        <f aca="false">SUM(receitasvariáveisconsolidadoabr[[#This Row],[1]:[31]])</f>
        <v>0</v>
      </c>
      <c r="AK100" s="165"/>
    </row>
    <row r="101" customFormat="false" ht="19.5" hidden="false" customHeight="true" outlineLevel="0" collapsed="false">
      <c r="B101" s="143"/>
      <c r="C101" s="144" t="str">
        <f aca="false">DADOS!$Z$8</f>
        <v>🎁 PRESENTE</v>
      </c>
      <c r="D101" s="145" t="str">
        <f aca="false">IF(receitasvariáveisconsolidadoabr[[#This Row],[TOTAL (R$)]]=0,"",IF(OR(receitasvariáveisconsolidadoabr[[#This Row],[TOTAL (R$)]]=LARGE($AJ$96:$AJ$103,1),receitasvariáveisconsolidadoabr[[#This Row],[TOTAL (R$)]]=LARGE($AJ$96:$AJ$103,2)),DADOS!$I$9,""))</f>
        <v/>
      </c>
      <c r="E101" s="148" t="n">
        <f aca="false">SUMIFS(tabela_registros[VALOR],tabela_registros[MÊS],$AE$1,tabela_registros[DIA],receitasvariáveisconsolidadoabr[[#Headers],[1]],tabela_registros[REGISTRO],DADOS!$N$3,tabela_registros[TIPO],DADOS!$V$4,tabela_registros[CATEGORIA],receitasvariáveisconsolidadoabr[[#This Row],[ATUAL]])</f>
        <v>0</v>
      </c>
      <c r="F101" s="119" t="n">
        <f aca="false">SUMIFS(tabela_registros[VALOR],tabela_registros[MÊS],$AE$1,tabela_registros[DIA],receitasvariáveisconsolidadoabr[[#Headers],[2]],tabela_registros[REGISTRO],DADOS!$N$3,tabela_registros[TIPO],DADOS!$V$4,tabela_registros[CATEGORIA],receitasvariáveisconsolidadoabr[[#This Row],[ATUAL]])</f>
        <v>0</v>
      </c>
      <c r="G101" s="119" t="n">
        <f aca="false">SUMIFS(tabela_registros[VALOR],tabela_registros[MÊS],$AE$1,tabela_registros[DIA],receitasvariáveisconsolidadoabr[[#Headers],[3]],tabela_registros[REGISTRO],DADOS!$N$3,tabela_registros[TIPO],DADOS!$V$4,tabela_registros[CATEGORIA],receitasvariáveisconsolidadoabr[[#This Row],[ATUAL]])</f>
        <v>0</v>
      </c>
      <c r="H101" s="119" t="n">
        <f aca="false">SUMIFS(tabela_registros[VALOR],tabela_registros[MÊS],$AE$1,tabela_registros[DIA],receitasvariáveisconsolidadoabr[[#Headers],[4]],tabela_registros[REGISTRO],DADOS!$N$3,tabela_registros[TIPO],DADOS!$V$4,tabela_registros[CATEGORIA],receitasvariáveisconsolidadoabr[[#This Row],[ATUAL]])</f>
        <v>0</v>
      </c>
      <c r="I101" s="119" t="n">
        <f aca="false">SUMIFS(tabela_registros[VALOR],tabela_registros[MÊS],$AE$1,tabela_registros[DIA],receitasvariáveisconsolidadoabr[[#Headers],[5]],tabela_registros[REGISTRO],DADOS!$N$3,tabela_registros[TIPO],DADOS!$V$4,tabela_registros[CATEGORIA],receitasvariáveisconsolidadoabr[[#This Row],[ATUAL]])</f>
        <v>0</v>
      </c>
      <c r="J101" s="119" t="n">
        <f aca="false">SUMIFS(tabela_registros[VALOR],tabela_registros[MÊS],$AE$1,tabela_registros[DIA],receitasvariáveisconsolidadoabr[[#Headers],[6]],tabela_registros[REGISTRO],DADOS!$N$3,tabela_registros[TIPO],DADOS!$V$4,tabela_registros[CATEGORIA],receitasvariáveisconsolidadoabr[[#This Row],[ATUAL]])</f>
        <v>0</v>
      </c>
      <c r="K101" s="119" t="n">
        <f aca="false">SUMIFS(tabela_registros[VALOR],tabela_registros[MÊS],$AE$1,tabela_registros[DIA],receitasvariáveisconsolidadoabr[[#Headers],[7]],tabela_registros[REGISTRO],DADOS!$N$3,tabela_registros[TIPO],DADOS!$V$4,tabela_registros[CATEGORIA],receitasvariáveisconsolidadoabr[[#This Row],[ATUAL]])</f>
        <v>0</v>
      </c>
      <c r="L101" s="119" t="n">
        <f aca="false">SUMIFS(tabela_registros[VALOR],tabela_registros[MÊS],$AE$1,tabela_registros[DIA],receitasvariáveisconsolidadoabr[[#Headers],[8]],tabela_registros[REGISTRO],DADOS!$N$3,tabela_registros[TIPO],DADOS!$V$4,tabela_registros[CATEGORIA],receitasvariáveisconsolidadoabr[[#This Row],[ATUAL]])</f>
        <v>0</v>
      </c>
      <c r="M101" s="119" t="n">
        <f aca="false">SUMIFS(tabela_registros[VALOR],tabela_registros[MÊS],$AE$1,tabela_registros[DIA],receitasvariáveisconsolidadoabr[[#Headers],[9]],tabela_registros[REGISTRO],DADOS!$N$3,tabela_registros[TIPO],DADOS!$V$4,tabela_registros[CATEGORIA],receitasvariáveisconsolidadoabr[[#This Row],[ATUAL]])</f>
        <v>0</v>
      </c>
      <c r="N101" s="119" t="n">
        <f aca="false">SUMIFS(tabela_registros[VALOR],tabela_registros[MÊS],$AE$1,tabela_registros[DIA],receitasvariáveisconsolidadoabr[[#Headers],[10]],tabela_registros[REGISTRO],DADOS!$N$3,tabela_registros[TIPO],DADOS!$V$4,tabela_registros[CATEGORIA],receitasvariáveisconsolidadoabr[[#This Row],[ATUAL]])</f>
        <v>0</v>
      </c>
      <c r="O101" s="119" t="n">
        <f aca="false">SUMIFS(tabela_registros[VALOR],tabela_registros[MÊS],$AE$1,tabela_registros[DIA],receitasvariáveisconsolidadoabr[[#Headers],[11]],tabela_registros[REGISTRO],DADOS!$N$3,tabela_registros[TIPO],DADOS!$V$4,tabela_registros[CATEGORIA],receitasvariáveisconsolidadoabr[[#This Row],[ATUAL]])</f>
        <v>0</v>
      </c>
      <c r="P101" s="119" t="n">
        <f aca="false">SUMIFS(tabela_registros[VALOR],tabela_registros[MÊS],$AE$1,tabela_registros[DIA],receitasvariáveisconsolidadoabr[[#Headers],[12]],tabela_registros[REGISTRO],DADOS!$N$3,tabela_registros[TIPO],DADOS!$V$4,tabela_registros[CATEGORIA],receitasvariáveisconsolidadoabr[[#This Row],[ATUAL]])</f>
        <v>0</v>
      </c>
      <c r="Q101" s="119" t="n">
        <f aca="false">SUMIFS(tabela_registros[VALOR],tabela_registros[MÊS],$AE$1,tabela_registros[DIA],receitasvariáveisconsolidadoabr[[#Headers],[13]],tabela_registros[REGISTRO],DADOS!$N$3,tabela_registros[TIPO],DADOS!$V$4,tabela_registros[CATEGORIA],receitasvariáveisconsolidadoabr[[#This Row],[ATUAL]])</f>
        <v>0</v>
      </c>
      <c r="R101" s="119" t="n">
        <f aca="false">SUMIFS(tabela_registros[VALOR],tabela_registros[MÊS],$AE$1,tabela_registros[DIA],receitasvariáveisconsolidadoabr[[#Headers],[14]],tabela_registros[REGISTRO],DADOS!$N$3,tabela_registros[TIPO],DADOS!$V$4,tabela_registros[CATEGORIA],receitasvariáveisconsolidadoabr[[#This Row],[ATUAL]])</f>
        <v>0</v>
      </c>
      <c r="S101" s="119" t="n">
        <f aca="false">SUMIFS(tabela_registros[VALOR],tabela_registros[MÊS],$AE$1,tabela_registros[DIA],receitasvariáveisconsolidadoabr[[#Headers],[15]],tabela_registros[REGISTRO],DADOS!$N$3,tabela_registros[TIPO],DADOS!$V$4,tabela_registros[CATEGORIA],receitasvariáveisconsolidadoabr[[#This Row],[ATUAL]])</f>
        <v>0</v>
      </c>
      <c r="T101" s="119" t="n">
        <f aca="false">SUMIFS(tabela_registros[VALOR],tabela_registros[MÊS],$AE$1,tabela_registros[DIA],receitasvariáveisconsolidadoabr[[#Headers],[16]],tabela_registros[REGISTRO],DADOS!$N$3,tabela_registros[TIPO],DADOS!$V$4,tabela_registros[CATEGORIA],receitasvariáveisconsolidadoabr[[#This Row],[ATUAL]])</f>
        <v>0</v>
      </c>
      <c r="U101" s="119" t="n">
        <f aca="false">SUMIFS(tabela_registros[VALOR],tabela_registros[MÊS],$AE$1,tabela_registros[DIA],receitasvariáveisconsolidadoabr[[#Headers],[17]],tabela_registros[REGISTRO],DADOS!$N$3,tabela_registros[TIPO],DADOS!$V$4,tabela_registros[CATEGORIA],receitasvariáveisconsolidadoabr[[#This Row],[ATUAL]])</f>
        <v>0</v>
      </c>
      <c r="V101" s="119" t="n">
        <f aca="false">SUMIFS(tabela_registros[VALOR],tabela_registros[MÊS],$AE$1,tabela_registros[DIA],receitasvariáveisconsolidadoabr[[#Headers],[18]],tabela_registros[REGISTRO],DADOS!$N$3,tabela_registros[TIPO],DADOS!$V$4,tabela_registros[CATEGORIA],receitasvariáveisconsolidadoabr[[#This Row],[ATUAL]])</f>
        <v>0</v>
      </c>
      <c r="W101" s="119" t="n">
        <f aca="false">SUMIFS(tabela_registros[VALOR],tabela_registros[MÊS],$AE$1,tabela_registros[DIA],receitasvariáveisconsolidadoabr[[#Headers],[19]],tabela_registros[REGISTRO],DADOS!$N$3,tabela_registros[TIPO],DADOS!$V$4,tabela_registros[CATEGORIA],receitasvariáveisconsolidadoabr[[#This Row],[ATUAL]])</f>
        <v>0</v>
      </c>
      <c r="X101" s="119" t="n">
        <f aca="false">SUMIFS(tabela_registros[VALOR],tabela_registros[MÊS],$AE$1,tabela_registros[DIA],receitasvariáveisconsolidadoabr[[#Headers],[20]],tabela_registros[REGISTRO],DADOS!$N$3,tabela_registros[TIPO],DADOS!$V$4,tabela_registros[CATEGORIA],receitasvariáveisconsolidadoabr[[#This Row],[ATUAL]])</f>
        <v>0</v>
      </c>
      <c r="Y101" s="119" t="n">
        <f aca="false">SUMIFS(tabela_registros[VALOR],tabela_registros[MÊS],$AE$1,tabela_registros[DIA],receitasvariáveisconsolidadoabr[[#Headers],[21]],tabela_registros[REGISTRO],DADOS!$N$3,tabela_registros[TIPO],DADOS!$V$4,tabela_registros[CATEGORIA],receitasvariáveisconsolidadoabr[[#This Row],[ATUAL]])</f>
        <v>0</v>
      </c>
      <c r="Z101" s="119" t="n">
        <f aca="false">SUMIFS(tabela_registros[VALOR],tabela_registros[MÊS],$AE$1,tabela_registros[DIA],receitasvariáveisconsolidadoabr[[#Headers],[22]],tabela_registros[REGISTRO],DADOS!$N$3,tabela_registros[TIPO],DADOS!$V$4,tabela_registros[CATEGORIA],receitasvariáveisconsolidadoabr[[#This Row],[ATUAL]])</f>
        <v>0</v>
      </c>
      <c r="AA101" s="119" t="n">
        <f aca="false">SUMIFS(tabela_registros[VALOR],tabela_registros[MÊS],$AE$1,tabela_registros[DIA],receitasvariáveisconsolidadoabr[[#Headers],[23]],tabela_registros[REGISTRO],DADOS!$N$3,tabela_registros[TIPO],DADOS!$V$4,tabela_registros[CATEGORIA],receitasvariáveisconsolidadoabr[[#This Row],[ATUAL]])</f>
        <v>0</v>
      </c>
      <c r="AB101" s="119" t="n">
        <f aca="false">SUMIFS(tabela_registros[VALOR],tabela_registros[MÊS],$AE$1,tabela_registros[DIA],receitasvariáveisconsolidadoabr[[#Headers],[24]],tabela_registros[REGISTRO],DADOS!$N$3,tabela_registros[TIPO],DADOS!$V$4,tabela_registros[CATEGORIA],receitasvariáveisconsolidadoabr[[#This Row],[ATUAL]])</f>
        <v>0</v>
      </c>
      <c r="AC101" s="119" t="n">
        <f aca="false">SUMIFS(tabela_registros[VALOR],tabela_registros[MÊS],$AE$1,tabela_registros[DIA],receitasvariáveisconsolidadoabr[[#Headers],[25]],tabela_registros[REGISTRO],DADOS!$N$3,tabela_registros[TIPO],DADOS!$V$4,tabela_registros[CATEGORIA],receitasvariáveisconsolidadoabr[[#This Row],[ATUAL]])</f>
        <v>0</v>
      </c>
      <c r="AD101" s="119" t="n">
        <f aca="false">SUMIFS(tabela_registros[VALOR],tabela_registros[MÊS],$AE$1,tabela_registros[DIA],receitasvariáveisconsolidadoabr[[#Headers],[26]],tabela_registros[REGISTRO],DADOS!$N$3,tabela_registros[TIPO],DADOS!$V$4,tabela_registros[CATEGORIA],receitasvariáveisconsolidadoabr[[#This Row],[ATUAL]])</f>
        <v>0</v>
      </c>
      <c r="AE101" s="119" t="n">
        <f aca="false">SUMIFS(tabela_registros[VALOR],tabela_registros[MÊS],$AE$1,tabela_registros[DIA],receitasvariáveisconsolidadoabr[[#Headers],[27]],tabela_registros[REGISTRO],DADOS!$N$3,tabela_registros[TIPO],DADOS!$V$4,tabela_registros[CATEGORIA],receitasvariáveisconsolidadoabr[[#This Row],[ATUAL]])</f>
        <v>0</v>
      </c>
      <c r="AF101" s="119" t="n">
        <f aca="false">SUMIFS(tabela_registros[VALOR],tabela_registros[MÊS],$AE$1,tabela_registros[DIA],receitasvariáveisconsolidadoabr[[#Headers],[28]],tabela_registros[REGISTRO],DADOS!$N$3,tabela_registros[TIPO],DADOS!$V$4,tabela_registros[CATEGORIA],receitasvariáveisconsolidadoabr[[#This Row],[ATUAL]])</f>
        <v>0</v>
      </c>
      <c r="AG101" s="119" t="n">
        <f aca="false">SUMIFS(tabela_registros[VALOR],tabela_registros[MÊS],$AE$1,tabela_registros[DIA],receitasvariáveisconsolidadoabr[[#Headers],[29]],tabela_registros[REGISTRO],DADOS!$N$3,tabela_registros[TIPO],DADOS!$V$4,tabela_registros[CATEGORIA],receitasvariáveisconsolidadoabr[[#This Row],[ATUAL]])</f>
        <v>0</v>
      </c>
      <c r="AH101" s="119" t="n">
        <f aca="false">SUMIFS(tabela_registros[VALOR],tabela_registros[MÊS],$AE$1,tabela_registros[DIA],receitasvariáveisconsolidadoabr[[#Headers],[30]],tabela_registros[REGISTRO],DADOS!$N$3,tabela_registros[TIPO],DADOS!$V$4,tabela_registros[CATEGORIA],receitasvariáveisconsolidadoabr[[#This Row],[ATUAL]])</f>
        <v>0</v>
      </c>
      <c r="AI101" s="217" t="n">
        <f aca="false">SUMIFS(tabela_registros[VALOR],tabela_registros[MÊS],$AE$1,tabela_registros[DIA],receitasvariáveisconsolidadoabr[[#Headers],[31]],tabela_registros[REGISTRO],DADOS!$N$3,tabela_registros[TIPO],DADOS!$V$4,tabela_registros[CATEGORIA],receitasvariáveisconsolidadoabr[[#This Row],[ATUAL]])</f>
        <v>0</v>
      </c>
      <c r="AJ101" s="149" t="n">
        <f aca="false">SUM(receitasvariáveisconsolidadoabr[[#This Row],[1]:[31]])</f>
        <v>0</v>
      </c>
      <c r="AK101" s="165"/>
    </row>
    <row r="102" customFormat="false" ht="19.5" hidden="false" customHeight="true" outlineLevel="0" collapsed="false">
      <c r="B102" s="143"/>
      <c r="C102" s="144" t="str">
        <f aca="false">DADOS!$Z$9</f>
        <v>👷‍♀️ TRABALHO TEMPORÁRIO</v>
      </c>
      <c r="D102" s="145" t="str">
        <f aca="false">IF(receitasvariáveisconsolidadoabr[[#This Row],[TOTAL (R$)]]=0,"",IF(OR(receitasvariáveisconsolidadoabr[[#This Row],[TOTAL (R$)]]=LARGE($AJ$96:$AJ$103,1),receitasvariáveisconsolidadoabr[[#This Row],[TOTAL (R$)]]=LARGE($AJ$96:$AJ$103,2)),DADOS!$I$9,""))</f>
        <v/>
      </c>
      <c r="E102" s="148" t="n">
        <f aca="false">SUMIFS(tabela_registros[VALOR],tabela_registros[MÊS],$AE$1,tabela_registros[DIA],receitasvariáveisconsolidadoabr[[#Headers],[1]],tabela_registros[REGISTRO],DADOS!$N$3,tabela_registros[TIPO],DADOS!$V$4,tabela_registros[CATEGORIA],receitasvariáveisconsolidadoabr[[#This Row],[ATUAL]])</f>
        <v>0</v>
      </c>
      <c r="F102" s="119" t="n">
        <f aca="false">SUMIFS(tabela_registros[VALOR],tabela_registros[MÊS],$AE$1,tabela_registros[DIA],receitasvariáveisconsolidadoabr[[#Headers],[2]],tabela_registros[REGISTRO],DADOS!$N$3,tabela_registros[TIPO],DADOS!$V$4,tabela_registros[CATEGORIA],receitasvariáveisconsolidadoabr[[#This Row],[ATUAL]])</f>
        <v>0</v>
      </c>
      <c r="G102" s="119" t="n">
        <f aca="false">SUMIFS(tabela_registros[VALOR],tabela_registros[MÊS],$AE$1,tabela_registros[DIA],receitasvariáveisconsolidadoabr[[#Headers],[3]],tabela_registros[REGISTRO],DADOS!$N$3,tabela_registros[TIPO],DADOS!$V$4,tabela_registros[CATEGORIA],receitasvariáveisconsolidadoabr[[#This Row],[ATUAL]])</f>
        <v>0</v>
      </c>
      <c r="H102" s="119" t="n">
        <f aca="false">SUMIFS(tabela_registros[VALOR],tabela_registros[MÊS],$AE$1,tabela_registros[DIA],receitasvariáveisconsolidadoabr[[#Headers],[4]],tabela_registros[REGISTRO],DADOS!$N$3,tabela_registros[TIPO],DADOS!$V$4,tabela_registros[CATEGORIA],receitasvariáveisconsolidadoabr[[#This Row],[ATUAL]])</f>
        <v>0</v>
      </c>
      <c r="I102" s="119" t="n">
        <f aca="false">SUMIFS(tabela_registros[VALOR],tabela_registros[MÊS],$AE$1,tabela_registros[DIA],receitasvariáveisconsolidadoabr[[#Headers],[5]],tabela_registros[REGISTRO],DADOS!$N$3,tabela_registros[TIPO],DADOS!$V$4,tabela_registros[CATEGORIA],receitasvariáveisconsolidadoabr[[#This Row],[ATUAL]])</f>
        <v>0</v>
      </c>
      <c r="J102" s="119" t="n">
        <f aca="false">SUMIFS(tabela_registros[VALOR],tabela_registros[MÊS],$AE$1,tabela_registros[DIA],receitasvariáveisconsolidadoabr[[#Headers],[6]],tabela_registros[REGISTRO],DADOS!$N$3,tabela_registros[TIPO],DADOS!$V$4,tabela_registros[CATEGORIA],receitasvariáveisconsolidadoabr[[#This Row],[ATUAL]])</f>
        <v>0</v>
      </c>
      <c r="K102" s="119" t="n">
        <f aca="false">SUMIFS(tabela_registros[VALOR],tabela_registros[MÊS],$AE$1,tabela_registros[DIA],receitasvariáveisconsolidadoabr[[#Headers],[7]],tabela_registros[REGISTRO],DADOS!$N$3,tabela_registros[TIPO],DADOS!$V$4,tabela_registros[CATEGORIA],receitasvariáveisconsolidadoabr[[#This Row],[ATUAL]])</f>
        <v>0</v>
      </c>
      <c r="L102" s="119" t="n">
        <f aca="false">SUMIFS(tabela_registros[VALOR],tabela_registros[MÊS],$AE$1,tabela_registros[DIA],receitasvariáveisconsolidadoabr[[#Headers],[8]],tabela_registros[REGISTRO],DADOS!$N$3,tabela_registros[TIPO],DADOS!$V$4,tabela_registros[CATEGORIA],receitasvariáveisconsolidadoabr[[#This Row],[ATUAL]])</f>
        <v>0</v>
      </c>
      <c r="M102" s="119" t="n">
        <f aca="false">SUMIFS(tabela_registros[VALOR],tabela_registros[MÊS],$AE$1,tabela_registros[DIA],receitasvariáveisconsolidadoabr[[#Headers],[9]],tabela_registros[REGISTRO],DADOS!$N$3,tabela_registros[TIPO],DADOS!$V$4,tabela_registros[CATEGORIA],receitasvariáveisconsolidadoabr[[#This Row],[ATUAL]])</f>
        <v>0</v>
      </c>
      <c r="N102" s="119" t="n">
        <f aca="false">SUMIFS(tabela_registros[VALOR],tabela_registros[MÊS],$AE$1,tabela_registros[DIA],receitasvariáveisconsolidadoabr[[#Headers],[10]],tabela_registros[REGISTRO],DADOS!$N$3,tabela_registros[TIPO],DADOS!$V$4,tabela_registros[CATEGORIA],receitasvariáveisconsolidadoabr[[#This Row],[ATUAL]])</f>
        <v>0</v>
      </c>
      <c r="O102" s="119" t="n">
        <f aca="false">SUMIFS(tabela_registros[VALOR],tabela_registros[MÊS],$AE$1,tabela_registros[DIA],receitasvariáveisconsolidadoabr[[#Headers],[11]],tabela_registros[REGISTRO],DADOS!$N$3,tabela_registros[TIPO],DADOS!$V$4,tabela_registros[CATEGORIA],receitasvariáveisconsolidadoabr[[#This Row],[ATUAL]])</f>
        <v>0</v>
      </c>
      <c r="P102" s="119" t="n">
        <f aca="false">SUMIFS(tabela_registros[VALOR],tabela_registros[MÊS],$AE$1,tabela_registros[DIA],receitasvariáveisconsolidadoabr[[#Headers],[12]],tabela_registros[REGISTRO],DADOS!$N$3,tabela_registros[TIPO],DADOS!$V$4,tabela_registros[CATEGORIA],receitasvariáveisconsolidadoabr[[#This Row],[ATUAL]])</f>
        <v>0</v>
      </c>
      <c r="Q102" s="119" t="n">
        <f aca="false">SUMIFS(tabela_registros[VALOR],tabela_registros[MÊS],$AE$1,tabela_registros[DIA],receitasvariáveisconsolidadoabr[[#Headers],[13]],tabela_registros[REGISTRO],DADOS!$N$3,tabela_registros[TIPO],DADOS!$V$4,tabela_registros[CATEGORIA],receitasvariáveisconsolidadoabr[[#This Row],[ATUAL]])</f>
        <v>0</v>
      </c>
      <c r="R102" s="119" t="n">
        <f aca="false">SUMIFS(tabela_registros[VALOR],tabela_registros[MÊS],$AE$1,tabela_registros[DIA],receitasvariáveisconsolidadoabr[[#Headers],[14]],tabela_registros[REGISTRO],DADOS!$N$3,tabela_registros[TIPO],DADOS!$V$4,tabela_registros[CATEGORIA],receitasvariáveisconsolidadoabr[[#This Row],[ATUAL]])</f>
        <v>0</v>
      </c>
      <c r="S102" s="119" t="n">
        <f aca="false">SUMIFS(tabela_registros[VALOR],tabela_registros[MÊS],$AE$1,tabela_registros[DIA],receitasvariáveisconsolidadoabr[[#Headers],[15]],tabela_registros[REGISTRO],DADOS!$N$3,tabela_registros[TIPO],DADOS!$V$4,tabela_registros[CATEGORIA],receitasvariáveisconsolidadoabr[[#This Row],[ATUAL]])</f>
        <v>0</v>
      </c>
      <c r="T102" s="119" t="n">
        <f aca="false">SUMIFS(tabela_registros[VALOR],tabela_registros[MÊS],$AE$1,tabela_registros[DIA],receitasvariáveisconsolidadoabr[[#Headers],[16]],tabela_registros[REGISTRO],DADOS!$N$3,tabela_registros[TIPO],DADOS!$V$4,tabela_registros[CATEGORIA],receitasvariáveisconsolidadoabr[[#This Row],[ATUAL]])</f>
        <v>0</v>
      </c>
      <c r="U102" s="119" t="n">
        <f aca="false">SUMIFS(tabela_registros[VALOR],tabela_registros[MÊS],$AE$1,tabela_registros[DIA],receitasvariáveisconsolidadoabr[[#Headers],[17]],tabela_registros[REGISTRO],DADOS!$N$3,tabela_registros[TIPO],DADOS!$V$4,tabela_registros[CATEGORIA],receitasvariáveisconsolidadoabr[[#This Row],[ATUAL]])</f>
        <v>0</v>
      </c>
      <c r="V102" s="119" t="n">
        <f aca="false">SUMIFS(tabela_registros[VALOR],tabela_registros[MÊS],$AE$1,tabela_registros[DIA],receitasvariáveisconsolidadoabr[[#Headers],[18]],tabela_registros[REGISTRO],DADOS!$N$3,tabela_registros[TIPO],DADOS!$V$4,tabela_registros[CATEGORIA],receitasvariáveisconsolidadoabr[[#This Row],[ATUAL]])</f>
        <v>0</v>
      </c>
      <c r="W102" s="119" t="n">
        <f aca="false">SUMIFS(tabela_registros[VALOR],tabela_registros[MÊS],$AE$1,tabela_registros[DIA],receitasvariáveisconsolidadoabr[[#Headers],[19]],tabela_registros[REGISTRO],DADOS!$N$3,tabela_registros[TIPO],DADOS!$V$4,tabela_registros[CATEGORIA],receitasvariáveisconsolidadoabr[[#This Row],[ATUAL]])</f>
        <v>0</v>
      </c>
      <c r="X102" s="119" t="n">
        <f aca="false">SUMIFS(tabela_registros[VALOR],tabela_registros[MÊS],$AE$1,tabela_registros[DIA],receitasvariáveisconsolidadoabr[[#Headers],[20]],tabela_registros[REGISTRO],DADOS!$N$3,tabela_registros[TIPO],DADOS!$V$4,tabela_registros[CATEGORIA],receitasvariáveisconsolidadoabr[[#This Row],[ATUAL]])</f>
        <v>0</v>
      </c>
      <c r="Y102" s="119" t="n">
        <f aca="false">SUMIFS(tabela_registros[VALOR],tabela_registros[MÊS],$AE$1,tabela_registros[DIA],receitasvariáveisconsolidadoabr[[#Headers],[21]],tabela_registros[REGISTRO],DADOS!$N$3,tabela_registros[TIPO],DADOS!$V$4,tabela_registros[CATEGORIA],receitasvariáveisconsolidadoabr[[#This Row],[ATUAL]])</f>
        <v>0</v>
      </c>
      <c r="Z102" s="119" t="n">
        <f aca="false">SUMIFS(tabela_registros[VALOR],tabela_registros[MÊS],$AE$1,tabela_registros[DIA],receitasvariáveisconsolidadoabr[[#Headers],[22]],tabela_registros[REGISTRO],DADOS!$N$3,tabela_registros[TIPO],DADOS!$V$4,tabela_registros[CATEGORIA],receitasvariáveisconsolidadoabr[[#This Row],[ATUAL]])</f>
        <v>0</v>
      </c>
      <c r="AA102" s="119" t="n">
        <f aca="false">SUMIFS(tabela_registros[VALOR],tabela_registros[MÊS],$AE$1,tabela_registros[DIA],receitasvariáveisconsolidadoabr[[#Headers],[23]],tabela_registros[REGISTRO],DADOS!$N$3,tabela_registros[TIPO],DADOS!$V$4,tabela_registros[CATEGORIA],receitasvariáveisconsolidadoabr[[#This Row],[ATUAL]])</f>
        <v>0</v>
      </c>
      <c r="AB102" s="119" t="n">
        <f aca="false">SUMIFS(tabela_registros[VALOR],tabela_registros[MÊS],$AE$1,tabela_registros[DIA],receitasvariáveisconsolidadoabr[[#Headers],[24]],tabela_registros[REGISTRO],DADOS!$N$3,tabela_registros[TIPO],DADOS!$V$4,tabela_registros[CATEGORIA],receitasvariáveisconsolidadoabr[[#This Row],[ATUAL]])</f>
        <v>0</v>
      </c>
      <c r="AC102" s="119" t="n">
        <f aca="false">SUMIFS(tabela_registros[VALOR],tabela_registros[MÊS],$AE$1,tabela_registros[DIA],receitasvariáveisconsolidadoabr[[#Headers],[25]],tabela_registros[REGISTRO],DADOS!$N$3,tabela_registros[TIPO],DADOS!$V$4,tabela_registros[CATEGORIA],receitasvariáveisconsolidadoabr[[#This Row],[ATUAL]])</f>
        <v>0</v>
      </c>
      <c r="AD102" s="119" t="n">
        <f aca="false">SUMIFS(tabela_registros[VALOR],tabela_registros[MÊS],$AE$1,tabela_registros[DIA],receitasvariáveisconsolidadoabr[[#Headers],[26]],tabela_registros[REGISTRO],DADOS!$N$3,tabela_registros[TIPO],DADOS!$V$4,tabela_registros[CATEGORIA],receitasvariáveisconsolidadoabr[[#This Row],[ATUAL]])</f>
        <v>0</v>
      </c>
      <c r="AE102" s="119" t="n">
        <f aca="false">SUMIFS(tabela_registros[VALOR],tabela_registros[MÊS],$AE$1,tabela_registros[DIA],receitasvariáveisconsolidadoabr[[#Headers],[27]],tabela_registros[REGISTRO],DADOS!$N$3,tabela_registros[TIPO],DADOS!$V$4,tabela_registros[CATEGORIA],receitasvariáveisconsolidadoabr[[#This Row],[ATUAL]])</f>
        <v>0</v>
      </c>
      <c r="AF102" s="119" t="n">
        <f aca="false">SUMIFS(tabela_registros[VALOR],tabela_registros[MÊS],$AE$1,tabela_registros[DIA],receitasvariáveisconsolidadoabr[[#Headers],[28]],tabela_registros[REGISTRO],DADOS!$N$3,tabela_registros[TIPO],DADOS!$V$4,tabela_registros[CATEGORIA],receitasvariáveisconsolidadoabr[[#This Row],[ATUAL]])</f>
        <v>0</v>
      </c>
      <c r="AG102" s="119" t="n">
        <f aca="false">SUMIFS(tabela_registros[VALOR],tabela_registros[MÊS],$AE$1,tabela_registros[DIA],receitasvariáveisconsolidadoabr[[#Headers],[29]],tabela_registros[REGISTRO],DADOS!$N$3,tabela_registros[TIPO],DADOS!$V$4,tabela_registros[CATEGORIA],receitasvariáveisconsolidadoabr[[#This Row],[ATUAL]])</f>
        <v>0</v>
      </c>
      <c r="AH102" s="119" t="n">
        <f aca="false">SUMIFS(tabela_registros[VALOR],tabela_registros[MÊS],$AE$1,tabela_registros[DIA],receitasvariáveisconsolidadoabr[[#Headers],[30]],tabela_registros[REGISTRO],DADOS!$N$3,tabela_registros[TIPO],DADOS!$V$4,tabela_registros[CATEGORIA],receitasvariáveisconsolidadoabr[[#This Row],[ATUAL]])</f>
        <v>0</v>
      </c>
      <c r="AI102" s="217" t="n">
        <f aca="false">SUMIFS(tabela_registros[VALOR],tabela_registros[MÊS],$AE$1,tabela_registros[DIA],receitasvariáveisconsolidadoabr[[#Headers],[31]],tabela_registros[REGISTRO],DADOS!$N$3,tabela_registros[TIPO],DADOS!$V$4,tabela_registros[CATEGORIA],receitasvariáveisconsolidadoabr[[#This Row],[ATUAL]])</f>
        <v>0</v>
      </c>
      <c r="AJ102" s="149" t="n">
        <f aca="false">SUM(receitasvariáveisconsolidadoabr[[#This Row],[1]:[31]])</f>
        <v>0</v>
      </c>
      <c r="AK102" s="165"/>
    </row>
    <row r="103" customFormat="false" ht="18" hidden="false" customHeight="true" outlineLevel="0" collapsed="false">
      <c r="B103" s="143"/>
      <c r="C103" s="144" t="str">
        <f aca="false">DADOS!$Z$10</f>
        <v>📎 OUTROS</v>
      </c>
      <c r="D103" s="145" t="str">
        <f aca="false">IF(receitasvariáveisconsolidadoabr[[#This Row],[TOTAL (R$)]]=0,"",IF(OR(receitasvariáveisconsolidadoabr[[#This Row],[TOTAL (R$)]]=LARGE($AJ$96:$AJ$103,1),receitasvariáveisconsolidadoabr[[#This Row],[TOTAL (R$)]]=LARGE($AJ$96:$AJ$103,2)),DADOS!$I$9,""))</f>
        <v/>
      </c>
      <c r="E103" s="148" t="n">
        <f aca="false">SUMIFS(tabela_registros[VALOR],tabela_registros[MÊS],$AE$1,tabela_registros[DIA],receitasvariáveisconsolidadoabr[[#Headers],[1]],tabela_registros[REGISTRO],DADOS!$N$3,tabela_registros[TIPO],DADOS!$V$4,tabela_registros[CATEGORIA],receitasvariáveisconsolidadoabr[[#This Row],[ATUAL]])</f>
        <v>0</v>
      </c>
      <c r="F103" s="119" t="n">
        <f aca="false">SUMIFS(tabela_registros[VALOR],tabela_registros[MÊS],$AE$1,tabela_registros[DIA],receitasvariáveisconsolidadoabr[[#Headers],[2]],tabela_registros[REGISTRO],DADOS!$N$3,tabela_registros[TIPO],DADOS!$V$4,tabela_registros[CATEGORIA],receitasvariáveisconsolidadoabr[[#This Row],[ATUAL]])</f>
        <v>0</v>
      </c>
      <c r="G103" s="119" t="n">
        <f aca="false">SUMIFS(tabela_registros[VALOR],tabela_registros[MÊS],$AE$1,tabela_registros[DIA],receitasvariáveisconsolidadoabr[[#Headers],[3]],tabela_registros[REGISTRO],DADOS!$N$3,tabela_registros[TIPO],DADOS!$V$4,tabela_registros[CATEGORIA],receitasvariáveisconsolidadoabr[[#This Row],[ATUAL]])</f>
        <v>0</v>
      </c>
      <c r="H103" s="119" t="n">
        <f aca="false">SUMIFS(tabela_registros[VALOR],tabela_registros[MÊS],$AE$1,tabela_registros[DIA],receitasvariáveisconsolidadoabr[[#Headers],[4]],tabela_registros[REGISTRO],DADOS!$N$3,tabela_registros[TIPO],DADOS!$V$4,tabela_registros[CATEGORIA],receitasvariáveisconsolidadoabr[[#This Row],[ATUAL]])</f>
        <v>0</v>
      </c>
      <c r="I103" s="119" t="n">
        <f aca="false">SUMIFS(tabela_registros[VALOR],tabela_registros[MÊS],$AE$1,tabela_registros[DIA],receitasvariáveisconsolidadoabr[[#Headers],[5]],tabela_registros[REGISTRO],DADOS!$N$3,tabela_registros[TIPO],DADOS!$V$4,tabela_registros[CATEGORIA],receitasvariáveisconsolidadoabr[[#This Row],[ATUAL]])</f>
        <v>0</v>
      </c>
      <c r="J103" s="119" t="n">
        <f aca="false">SUMIFS(tabela_registros[VALOR],tabela_registros[MÊS],$AE$1,tabela_registros[DIA],receitasvariáveisconsolidadoabr[[#Headers],[6]],tabela_registros[REGISTRO],DADOS!$N$3,tabela_registros[TIPO],DADOS!$V$4,tabela_registros[CATEGORIA],receitasvariáveisconsolidadoabr[[#This Row],[ATUAL]])</f>
        <v>0</v>
      </c>
      <c r="K103" s="119" t="n">
        <f aca="false">SUMIFS(tabela_registros[VALOR],tabela_registros[MÊS],$AE$1,tabela_registros[DIA],receitasvariáveisconsolidadoabr[[#Headers],[7]],tabela_registros[REGISTRO],DADOS!$N$3,tabela_registros[TIPO],DADOS!$V$4,tabela_registros[CATEGORIA],receitasvariáveisconsolidadoabr[[#This Row],[ATUAL]])</f>
        <v>0</v>
      </c>
      <c r="L103" s="119" t="n">
        <f aca="false">SUMIFS(tabela_registros[VALOR],tabela_registros[MÊS],$AE$1,tabela_registros[DIA],receitasvariáveisconsolidadoabr[[#Headers],[8]],tabela_registros[REGISTRO],DADOS!$N$3,tabela_registros[TIPO],DADOS!$V$4,tabela_registros[CATEGORIA],receitasvariáveisconsolidadoabr[[#This Row],[ATUAL]])</f>
        <v>0</v>
      </c>
      <c r="M103" s="119" t="n">
        <f aca="false">SUMIFS(tabela_registros[VALOR],tabela_registros[MÊS],$AE$1,tabela_registros[DIA],receitasvariáveisconsolidadoabr[[#Headers],[9]],tabela_registros[REGISTRO],DADOS!$N$3,tabela_registros[TIPO],DADOS!$V$4,tabela_registros[CATEGORIA],receitasvariáveisconsolidadoabr[[#This Row],[ATUAL]])</f>
        <v>0</v>
      </c>
      <c r="N103" s="119" t="n">
        <f aca="false">SUMIFS(tabela_registros[VALOR],tabela_registros[MÊS],$AE$1,tabela_registros[DIA],receitasvariáveisconsolidadoabr[[#Headers],[10]],tabela_registros[REGISTRO],DADOS!$N$3,tabela_registros[TIPO],DADOS!$V$4,tabela_registros[CATEGORIA],receitasvariáveisconsolidadoabr[[#This Row],[ATUAL]])</f>
        <v>0</v>
      </c>
      <c r="O103" s="119" t="n">
        <f aca="false">SUMIFS(tabela_registros[VALOR],tabela_registros[MÊS],$AE$1,tabela_registros[DIA],receitasvariáveisconsolidadoabr[[#Headers],[11]],tabela_registros[REGISTRO],DADOS!$N$3,tabela_registros[TIPO],DADOS!$V$4,tabela_registros[CATEGORIA],receitasvariáveisconsolidadoabr[[#This Row],[ATUAL]])</f>
        <v>0</v>
      </c>
      <c r="P103" s="119" t="n">
        <f aca="false">SUMIFS(tabela_registros[VALOR],tabela_registros[MÊS],$AE$1,tabela_registros[DIA],receitasvariáveisconsolidadoabr[[#Headers],[12]],tabela_registros[REGISTRO],DADOS!$N$3,tabela_registros[TIPO],DADOS!$V$4,tabela_registros[CATEGORIA],receitasvariáveisconsolidadoabr[[#This Row],[ATUAL]])</f>
        <v>0</v>
      </c>
      <c r="Q103" s="119" t="n">
        <f aca="false">SUMIFS(tabela_registros[VALOR],tabela_registros[MÊS],$AE$1,tabela_registros[DIA],receitasvariáveisconsolidadoabr[[#Headers],[13]],tabela_registros[REGISTRO],DADOS!$N$3,tabela_registros[TIPO],DADOS!$V$4,tabela_registros[CATEGORIA],receitasvariáveisconsolidadoabr[[#This Row],[ATUAL]])</f>
        <v>0</v>
      </c>
      <c r="R103" s="119" t="n">
        <f aca="false">SUMIFS(tabela_registros[VALOR],tabela_registros[MÊS],$AE$1,tabela_registros[DIA],receitasvariáveisconsolidadoabr[[#Headers],[14]],tabela_registros[REGISTRO],DADOS!$N$3,tabela_registros[TIPO],DADOS!$V$4,tabela_registros[CATEGORIA],receitasvariáveisconsolidadoabr[[#This Row],[ATUAL]])</f>
        <v>0</v>
      </c>
      <c r="S103" s="119" t="n">
        <f aca="false">SUMIFS(tabela_registros[VALOR],tabela_registros[MÊS],$AE$1,tabela_registros[DIA],receitasvariáveisconsolidadoabr[[#Headers],[15]],tabela_registros[REGISTRO],DADOS!$N$3,tabela_registros[TIPO],DADOS!$V$4,tabela_registros[CATEGORIA],receitasvariáveisconsolidadoabr[[#This Row],[ATUAL]])</f>
        <v>0</v>
      </c>
      <c r="T103" s="119" t="n">
        <f aca="false">SUMIFS(tabela_registros[VALOR],tabela_registros[MÊS],$AE$1,tabela_registros[DIA],receitasvariáveisconsolidadoabr[[#Headers],[16]],tabela_registros[REGISTRO],DADOS!$N$3,tabela_registros[TIPO],DADOS!$V$4,tabela_registros[CATEGORIA],receitasvariáveisconsolidadoabr[[#This Row],[ATUAL]])</f>
        <v>0</v>
      </c>
      <c r="U103" s="119" t="n">
        <f aca="false">SUMIFS(tabela_registros[VALOR],tabela_registros[MÊS],$AE$1,tabela_registros[DIA],receitasvariáveisconsolidadoabr[[#Headers],[17]],tabela_registros[REGISTRO],DADOS!$N$3,tabela_registros[TIPO],DADOS!$V$4,tabela_registros[CATEGORIA],receitasvariáveisconsolidadoabr[[#This Row],[ATUAL]])</f>
        <v>0</v>
      </c>
      <c r="V103" s="119" t="n">
        <f aca="false">SUMIFS(tabela_registros[VALOR],tabela_registros[MÊS],$AE$1,tabela_registros[DIA],receitasvariáveisconsolidadoabr[[#Headers],[18]],tabela_registros[REGISTRO],DADOS!$N$3,tabela_registros[TIPO],DADOS!$V$4,tabela_registros[CATEGORIA],receitasvariáveisconsolidadoabr[[#This Row],[ATUAL]])</f>
        <v>0</v>
      </c>
      <c r="W103" s="119" t="n">
        <f aca="false">SUMIFS(tabela_registros[VALOR],tabela_registros[MÊS],$AE$1,tabela_registros[DIA],receitasvariáveisconsolidadoabr[[#Headers],[19]],tabela_registros[REGISTRO],DADOS!$N$3,tabela_registros[TIPO],DADOS!$V$4,tabela_registros[CATEGORIA],receitasvariáveisconsolidadoabr[[#This Row],[ATUAL]])</f>
        <v>0</v>
      </c>
      <c r="X103" s="119" t="n">
        <f aca="false">SUMIFS(tabela_registros[VALOR],tabela_registros[MÊS],$AE$1,tabela_registros[DIA],receitasvariáveisconsolidadoabr[[#Headers],[20]],tabela_registros[REGISTRO],DADOS!$N$3,tabela_registros[TIPO],DADOS!$V$4,tabela_registros[CATEGORIA],receitasvariáveisconsolidadoabr[[#This Row],[ATUAL]])</f>
        <v>0</v>
      </c>
      <c r="Y103" s="119" t="n">
        <f aca="false">SUMIFS(tabela_registros[VALOR],tabela_registros[MÊS],$AE$1,tabela_registros[DIA],receitasvariáveisconsolidadoabr[[#Headers],[21]],tabela_registros[REGISTRO],DADOS!$N$3,tabela_registros[TIPO],DADOS!$V$4,tabela_registros[CATEGORIA],receitasvariáveisconsolidadoabr[[#This Row],[ATUAL]])</f>
        <v>0</v>
      </c>
      <c r="Z103" s="119" t="n">
        <f aca="false">SUMIFS(tabela_registros[VALOR],tabela_registros[MÊS],$AE$1,tabela_registros[DIA],receitasvariáveisconsolidadoabr[[#Headers],[22]],tabela_registros[REGISTRO],DADOS!$N$3,tabela_registros[TIPO],DADOS!$V$4,tabela_registros[CATEGORIA],receitasvariáveisconsolidadoabr[[#This Row],[ATUAL]])</f>
        <v>0</v>
      </c>
      <c r="AA103" s="119" t="n">
        <f aca="false">SUMIFS(tabela_registros[VALOR],tabela_registros[MÊS],$AE$1,tabela_registros[DIA],receitasvariáveisconsolidadoabr[[#Headers],[23]],tabela_registros[REGISTRO],DADOS!$N$3,tabela_registros[TIPO],DADOS!$V$4,tabela_registros[CATEGORIA],receitasvariáveisconsolidadoabr[[#This Row],[ATUAL]])</f>
        <v>0</v>
      </c>
      <c r="AB103" s="119" t="n">
        <f aca="false">SUMIFS(tabela_registros[VALOR],tabela_registros[MÊS],$AE$1,tabela_registros[DIA],receitasvariáveisconsolidadoabr[[#Headers],[24]],tabela_registros[REGISTRO],DADOS!$N$3,tabela_registros[TIPO],DADOS!$V$4,tabela_registros[CATEGORIA],receitasvariáveisconsolidadoabr[[#This Row],[ATUAL]])</f>
        <v>0</v>
      </c>
      <c r="AC103" s="119" t="n">
        <f aca="false">SUMIFS(tabela_registros[VALOR],tabela_registros[MÊS],$AE$1,tabela_registros[DIA],receitasvariáveisconsolidadoabr[[#Headers],[25]],tabela_registros[REGISTRO],DADOS!$N$3,tabela_registros[TIPO],DADOS!$V$4,tabela_registros[CATEGORIA],receitasvariáveisconsolidadoabr[[#This Row],[ATUAL]])</f>
        <v>0</v>
      </c>
      <c r="AD103" s="119" t="n">
        <f aca="false">SUMIFS(tabela_registros[VALOR],tabela_registros[MÊS],$AE$1,tabela_registros[DIA],receitasvariáveisconsolidadoabr[[#Headers],[26]],tabela_registros[REGISTRO],DADOS!$N$3,tabela_registros[TIPO],DADOS!$V$4,tabela_registros[CATEGORIA],receitasvariáveisconsolidadoabr[[#This Row],[ATUAL]])</f>
        <v>0</v>
      </c>
      <c r="AE103" s="119" t="n">
        <f aca="false">SUMIFS(tabela_registros[VALOR],tabela_registros[MÊS],$AE$1,tabela_registros[DIA],receitasvariáveisconsolidadoabr[[#Headers],[27]],tabela_registros[REGISTRO],DADOS!$N$3,tabela_registros[TIPO],DADOS!$V$4,tabela_registros[CATEGORIA],receitasvariáveisconsolidadoabr[[#This Row],[ATUAL]])</f>
        <v>0</v>
      </c>
      <c r="AF103" s="119" t="n">
        <f aca="false">SUMIFS(tabela_registros[VALOR],tabela_registros[MÊS],$AE$1,tabela_registros[DIA],receitasvariáveisconsolidadoabr[[#Headers],[28]],tabela_registros[REGISTRO],DADOS!$N$3,tabela_registros[TIPO],DADOS!$V$4,tabela_registros[CATEGORIA],receitasvariáveisconsolidadoabr[[#This Row],[ATUAL]])</f>
        <v>0</v>
      </c>
      <c r="AG103" s="119" t="n">
        <f aca="false">SUMIFS(tabela_registros[VALOR],tabela_registros[MÊS],$AE$1,tabela_registros[DIA],receitasvariáveisconsolidadoabr[[#Headers],[29]],tabela_registros[REGISTRO],DADOS!$N$3,tabela_registros[TIPO],DADOS!$V$4,tabela_registros[CATEGORIA],receitasvariáveisconsolidadoabr[[#This Row],[ATUAL]])</f>
        <v>0</v>
      </c>
      <c r="AH103" s="119" t="n">
        <f aca="false">SUMIFS(tabela_registros[VALOR],tabela_registros[MÊS],$AE$1,tabela_registros[DIA],receitasvariáveisconsolidadoabr[[#Headers],[30]],tabela_registros[REGISTRO],DADOS!$N$3,tabela_registros[TIPO],DADOS!$V$4,tabela_registros[CATEGORIA],receitasvariáveisconsolidadoabr[[#This Row],[ATUAL]])</f>
        <v>0</v>
      </c>
      <c r="AI103" s="218" t="n">
        <f aca="false">SUMIFS(tabela_registros[VALOR],tabela_registros[MÊS],$AE$1,tabela_registros[DIA],receitasvariáveisconsolidadoabr[[#Headers],[31]],tabela_registros[REGISTRO],DADOS!$N$3,tabela_registros[TIPO],DADOS!$V$4,tabela_registros[CATEGORIA],receitasvariáveisconsolidadoabr[[#This Row],[ATUAL]])</f>
        <v>0</v>
      </c>
      <c r="AJ103" s="149" t="n">
        <f aca="false">SUM(receitasvariáveisconsolidadoabr[[#This Row],[1]:[31]])</f>
        <v>0</v>
      </c>
      <c r="AK103" s="165"/>
    </row>
    <row r="104" s="122" customFormat="true" ht="21" hidden="false" customHeight="true" outlineLevel="0" collapsed="false">
      <c r="B104" s="152"/>
      <c r="C104" s="153" t="s">
        <v>2</v>
      </c>
      <c r="D104" s="166"/>
      <c r="E104" s="155" t="n">
        <f aca="false">SUM(E96:E103)</f>
        <v>0</v>
      </c>
      <c r="F104" s="156" t="n">
        <f aca="false">SUM(F96:F103)+receitasvariáveisconsolidadoabr[[#This Row],[1]]</f>
        <v>0</v>
      </c>
      <c r="G104" s="156" t="n">
        <f aca="false">SUM(G96:G103)+receitasvariáveisconsolidadoabr[[#This Row],[2]]</f>
        <v>0</v>
      </c>
      <c r="H104" s="156" t="n">
        <f aca="false">SUM(H96:H103)+receitasvariáveisconsolidadoabr[[#This Row],[3]]</f>
        <v>0</v>
      </c>
      <c r="I104" s="156" t="n">
        <f aca="false">SUM(I96:I103)+receitasvariáveisconsolidadoabr[[#This Row],[4]]</f>
        <v>0</v>
      </c>
      <c r="J104" s="156" t="n">
        <f aca="false">SUM(J96:J103)+receitasvariáveisconsolidadoabr[[#This Row],[5]]</f>
        <v>0</v>
      </c>
      <c r="K104" s="156" t="n">
        <f aca="false">SUM(K96:K103)+receitasvariáveisconsolidadoabr[[#This Row],[6]]</f>
        <v>0</v>
      </c>
      <c r="L104" s="156" t="n">
        <f aca="false">SUM(L96:L103)+receitasvariáveisconsolidadoabr[[#This Row],[7]]</f>
        <v>0</v>
      </c>
      <c r="M104" s="156" t="n">
        <f aca="false">SUM(M96:M103)+receitasvariáveisconsolidadoabr[[#This Row],[8]]</f>
        <v>0</v>
      </c>
      <c r="N104" s="156" t="n">
        <f aca="false">SUM(N96:N103)+receitasvariáveisconsolidadoabr[[#This Row],[9]]</f>
        <v>0</v>
      </c>
      <c r="O104" s="156" t="n">
        <f aca="false">SUM(O96:O103)+receitasvariáveisconsolidadoabr[[#This Row],[10]]</f>
        <v>0</v>
      </c>
      <c r="P104" s="156" t="n">
        <f aca="false">SUM(P96:P103)+receitasvariáveisconsolidadoabr[[#This Row],[11]]</f>
        <v>0</v>
      </c>
      <c r="Q104" s="156" t="n">
        <f aca="false">SUM(Q96:Q103)+receitasvariáveisconsolidadoabr[[#This Row],[12]]</f>
        <v>0</v>
      </c>
      <c r="R104" s="156" t="n">
        <f aca="false">SUM(R96:R103)+receitasvariáveisconsolidadoabr[[#This Row],[13]]</f>
        <v>0</v>
      </c>
      <c r="S104" s="156" t="n">
        <f aca="false">SUM(S96:S103)+receitasvariáveisconsolidadoabr[[#This Row],[14]]</f>
        <v>0</v>
      </c>
      <c r="T104" s="156" t="n">
        <f aca="false">SUM(T96:T103)+receitasvariáveisconsolidadoabr[[#This Row],[15]]</f>
        <v>0</v>
      </c>
      <c r="U104" s="156" t="n">
        <f aca="false">SUM(U96:U103)+receitasvariáveisconsolidadoabr[[#This Row],[16]]</f>
        <v>0</v>
      </c>
      <c r="V104" s="156" t="n">
        <f aca="false">SUM(V96:V103)+receitasvariáveisconsolidadoabr[[#This Row],[17]]</f>
        <v>0</v>
      </c>
      <c r="W104" s="156" t="n">
        <f aca="false">SUM(W96:W103)+receitasvariáveisconsolidadoabr[[#This Row],[18]]</f>
        <v>0</v>
      </c>
      <c r="X104" s="156" t="n">
        <f aca="false">SUM(X96:X103)+receitasvariáveisconsolidadoabr[[#This Row],[19]]</f>
        <v>0</v>
      </c>
      <c r="Y104" s="156" t="n">
        <f aca="false">SUM(Y96:Y103)+receitasvariáveisconsolidadoabr[[#This Row],[20]]</f>
        <v>0</v>
      </c>
      <c r="Z104" s="156" t="n">
        <f aca="false">SUM(Z96:Z103)+receitasvariáveisconsolidadoabr[[#This Row],[21]]</f>
        <v>0</v>
      </c>
      <c r="AA104" s="156" t="n">
        <f aca="false">SUM(AA96:AA103)+receitasvariáveisconsolidadoabr[[#This Row],[22]]</f>
        <v>0</v>
      </c>
      <c r="AB104" s="156" t="n">
        <f aca="false">SUM(AB96:AB103)+receitasvariáveisconsolidadoabr[[#This Row],[23]]</f>
        <v>0</v>
      </c>
      <c r="AC104" s="156" t="n">
        <f aca="false">SUM(AC96:AC103)+receitasvariáveisconsolidadoabr[[#This Row],[24]]</f>
        <v>0</v>
      </c>
      <c r="AD104" s="156" t="n">
        <f aca="false">SUM(AD96:AD103)+receitasvariáveisconsolidadoabr[[#This Row],[25]]</f>
        <v>0</v>
      </c>
      <c r="AE104" s="156" t="n">
        <f aca="false">SUM(AE96:AE103)+receitasvariáveisconsolidadoabr[[#This Row],[26]]</f>
        <v>0</v>
      </c>
      <c r="AF104" s="156" t="n">
        <f aca="false">SUM(AF96:AF103)+receitasvariáveisconsolidadoabr[[#This Row],[27]]</f>
        <v>0</v>
      </c>
      <c r="AG104" s="156" t="n">
        <f aca="false">SUM(AG96:AG103)+receitasvariáveisconsolidadoabr[[#This Row],[28]]</f>
        <v>0</v>
      </c>
      <c r="AH104" s="156" t="n">
        <f aca="false">SUM(AH96:AH103)+receitasvariáveisconsolidadoabr[[#This Row],[29]]</f>
        <v>0</v>
      </c>
      <c r="AI104" s="223" t="n">
        <f aca="false">SUM(AI96:AI103)+receitasvariáveisconsolidadoabr[[#This Row],[30]]</f>
        <v>0</v>
      </c>
      <c r="AJ104" s="157" t="n">
        <f aca="false">receitasvariáveisconsolidadoabr[[#This Row],[31]]</f>
        <v>0</v>
      </c>
      <c r="AK104" s="158"/>
    </row>
    <row r="105" customFormat="false" ht="6.75" hidden="false" customHeight="true" outlineLevel="0" collapsed="false">
      <c r="B105" s="97"/>
      <c r="C105" s="162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233"/>
      <c r="AJ105" s="164"/>
      <c r="AK105" s="244"/>
    </row>
    <row r="106" s="78" customFormat="true" ht="12.75" hidden="false" customHeight="false" outlineLevel="0" collapsed="false">
      <c r="E106" s="100"/>
    </row>
    <row r="107" s="78" customFormat="true" ht="12" hidden="false" customHeight="false" outlineLevel="0" collapsed="false"/>
    <row r="108" s="78" customFormat="true" ht="12" hidden="false" customHeight="false" outlineLevel="0" collapsed="false"/>
    <row r="109" customFormat="false" ht="39.75" hidden="false" customHeight="true" outlineLevel="0" collapsed="false">
      <c r="C109" s="101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3" t="s">
        <v>2</v>
      </c>
    </row>
    <row r="110" s="78" customFormat="true" ht="12.75" hidden="false" customHeight="false" outlineLevel="0" collapsed="false">
      <c r="B110" s="161"/>
      <c r="AJ110" s="106" t="s">
        <v>64</v>
      </c>
    </row>
    <row r="111" customFormat="false" ht="6.75" hidden="false" customHeight="true" outlineLevel="0" collapsed="false">
      <c r="B111" s="86"/>
      <c r="C111" s="162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233"/>
      <c r="AK111" s="139"/>
    </row>
    <row r="112" customFormat="false" ht="13.5" hidden="true" customHeight="false" outlineLevel="0" collapsed="false">
      <c r="B112" s="86"/>
      <c r="C112" s="109" t="s">
        <v>68</v>
      </c>
      <c r="D112" s="110" t="s">
        <v>69</v>
      </c>
      <c r="E112" s="110" t="s">
        <v>30</v>
      </c>
      <c r="F112" s="110" t="s">
        <v>31</v>
      </c>
      <c r="G112" s="110" t="s">
        <v>32</v>
      </c>
      <c r="H112" s="110" t="s">
        <v>33</v>
      </c>
      <c r="I112" s="110" t="s">
        <v>34</v>
      </c>
      <c r="J112" s="110" t="s">
        <v>35</v>
      </c>
      <c r="K112" s="110" t="s">
        <v>36</v>
      </c>
      <c r="L112" s="110" t="s">
        <v>37</v>
      </c>
      <c r="M112" s="110" t="s">
        <v>38</v>
      </c>
      <c r="N112" s="110" t="s">
        <v>39</v>
      </c>
      <c r="O112" s="110" t="s">
        <v>40</v>
      </c>
      <c r="P112" s="110" t="s">
        <v>41</v>
      </c>
      <c r="Q112" s="110" t="s">
        <v>81</v>
      </c>
      <c r="R112" s="110" t="s">
        <v>82</v>
      </c>
      <c r="S112" s="110" t="s">
        <v>83</v>
      </c>
      <c r="T112" s="110" t="s">
        <v>84</v>
      </c>
      <c r="U112" s="110" t="s">
        <v>85</v>
      </c>
      <c r="V112" s="110" t="s">
        <v>86</v>
      </c>
      <c r="W112" s="110" t="s">
        <v>87</v>
      </c>
      <c r="X112" s="110" t="s">
        <v>88</v>
      </c>
      <c r="Y112" s="110" t="s">
        <v>89</v>
      </c>
      <c r="Z112" s="110" t="s">
        <v>90</v>
      </c>
      <c r="AA112" s="110" t="s">
        <v>91</v>
      </c>
      <c r="AB112" s="110" t="s">
        <v>92</v>
      </c>
      <c r="AC112" s="110" t="s">
        <v>93</v>
      </c>
      <c r="AD112" s="110" t="s">
        <v>94</v>
      </c>
      <c r="AE112" s="110" t="s">
        <v>95</v>
      </c>
      <c r="AF112" s="110" t="s">
        <v>96</v>
      </c>
      <c r="AG112" s="110" t="s">
        <v>97</v>
      </c>
      <c r="AH112" s="110" t="s">
        <v>98</v>
      </c>
      <c r="AI112" s="110" t="s">
        <v>99</v>
      </c>
      <c r="AJ112" s="111" t="s">
        <v>70</v>
      </c>
      <c r="AK112" s="86"/>
    </row>
    <row r="113" customFormat="false" ht="19.5" hidden="false" customHeight="true" outlineLevel="0" collapsed="false">
      <c r="B113" s="143"/>
      <c r="C113" s="144" t="str">
        <f aca="false">DADOS!$AD$3</f>
        <v>📝 CDB</v>
      </c>
      <c r="D113" s="145" t="str">
        <f aca="false">IF(investirrendafixaconsolidadoabr[[#This Row],[TOTAL (R$)]]=0,"",IF(OR(investirrendafixaconsolidadoabr[[#This Row],[TOTAL (R$)]]=LARGE($AJ$113:$AJ$122,1),investirrendafixaconsolidadoabr[[#This Row],[TOTAL (R$)]]=LARGE($AJ$113:$AJ$122,2)),DADOS!$I$10,""))</f>
        <v/>
      </c>
      <c r="E113" s="148" t="n">
        <f aca="false">SUMIFS(tabela_registros[VALOR],tabela_registros[MÊS],$AE$1,tabela_registros[DIA],investirrendafixaconsolidadoabr[[#Headers],[1]],tabela_registros[REGISTRO],DADOS!$N$5,tabela_registros[TIPO],DADOS!$AB$3,tabela_registros[CATEGORIA],investirrendafixaconsolidadoabr[[#This Row],[ATUAL]])</f>
        <v>0</v>
      </c>
      <c r="F113" s="119" t="n">
        <f aca="false">SUMIFS(tabela_registros[VALOR],tabela_registros[MÊS],$AE$1,tabela_registros[DIA],investirrendafixaconsolidadoabr[[#Headers],[2]],tabela_registros[REGISTRO],DADOS!$N$5,tabela_registros[TIPO],DADOS!$AB$3,tabela_registros[CATEGORIA],investirrendafixaconsolidadoabr[[#This Row],[ATUAL]])</f>
        <v>0</v>
      </c>
      <c r="G113" s="119" t="n">
        <f aca="false">SUMIFS(tabela_registros[VALOR],tabela_registros[MÊS],$AE$1,tabela_registros[DIA],investirrendafixaconsolidadoabr[[#Headers],[3]],tabela_registros[REGISTRO],DADOS!$N$5,tabela_registros[TIPO],DADOS!$AB$3,tabela_registros[CATEGORIA],investirrendafixaconsolidadoabr[[#This Row],[ATUAL]])</f>
        <v>0</v>
      </c>
      <c r="H113" s="119" t="n">
        <f aca="false">SUMIFS(tabela_registros[VALOR],tabela_registros[MÊS],$AE$1,tabela_registros[DIA],investirrendafixaconsolidadoabr[[#Headers],[4]],tabela_registros[REGISTRO],DADOS!$N$5,tabela_registros[TIPO],DADOS!$AB$3,tabela_registros[CATEGORIA],investirrendafixaconsolidadoabr[[#This Row],[ATUAL]])</f>
        <v>0</v>
      </c>
      <c r="I113" s="119" t="n">
        <f aca="false">SUMIFS(tabela_registros[VALOR],tabela_registros[MÊS],$AE$1,tabela_registros[DIA],investirrendafixaconsolidadoabr[[#Headers],[5]],tabela_registros[REGISTRO],DADOS!$N$5,tabela_registros[TIPO],DADOS!$AB$3,tabela_registros[CATEGORIA],investirrendafixaconsolidadoabr[[#This Row],[ATUAL]])</f>
        <v>0</v>
      </c>
      <c r="J113" s="119" t="n">
        <f aca="false">SUMIFS(tabela_registros[VALOR],tabela_registros[MÊS],$AE$1,tabela_registros[DIA],investirrendafixaconsolidadoabr[[#Headers],[6]],tabela_registros[REGISTRO],DADOS!$N$5,tabela_registros[TIPO],DADOS!$AB$3,tabela_registros[CATEGORIA],investirrendafixaconsolidadoabr[[#This Row],[ATUAL]])</f>
        <v>0</v>
      </c>
      <c r="K113" s="119" t="n">
        <f aca="false">SUMIFS(tabela_registros[VALOR],tabela_registros[MÊS],$AE$1,tabela_registros[DIA],investirrendafixaconsolidadoabr[[#Headers],[7]],tabela_registros[REGISTRO],DADOS!$N$5,tabela_registros[TIPO],DADOS!$AB$3,tabela_registros[CATEGORIA],investirrendafixaconsolidadoabr[[#This Row],[ATUAL]])</f>
        <v>0</v>
      </c>
      <c r="L113" s="119" t="n">
        <f aca="false">SUMIFS(tabela_registros[VALOR],tabela_registros[MÊS],$AE$1,tabela_registros[DIA],investirrendafixaconsolidadoabr[[#Headers],[8]],tabela_registros[REGISTRO],DADOS!$N$5,tabela_registros[TIPO],DADOS!$AB$3,tabela_registros[CATEGORIA],investirrendafixaconsolidadoabr[[#This Row],[ATUAL]])</f>
        <v>0</v>
      </c>
      <c r="M113" s="119" t="n">
        <f aca="false">SUMIFS(tabela_registros[VALOR],tabela_registros[MÊS],$AE$1,tabela_registros[DIA],investirrendafixaconsolidadoabr[[#Headers],[9]],tabela_registros[REGISTRO],DADOS!$N$5,tabela_registros[TIPO],DADOS!$AB$3,tabela_registros[CATEGORIA],investirrendafixaconsolidadoabr[[#This Row],[ATUAL]])</f>
        <v>0</v>
      </c>
      <c r="N113" s="119" t="n">
        <f aca="false">SUMIFS(tabela_registros[VALOR],tabela_registros[MÊS],$AE$1,tabela_registros[DIA],investirrendafixaconsolidadoabr[[#Headers],[10]],tabela_registros[REGISTRO],DADOS!$N$5,tabela_registros[TIPO],DADOS!$AB$3,tabela_registros[CATEGORIA],investirrendafixaconsolidadoabr[[#This Row],[ATUAL]])</f>
        <v>0</v>
      </c>
      <c r="O113" s="119" t="n">
        <f aca="false">SUMIFS(tabela_registros[VALOR],tabela_registros[MÊS],$AE$1,tabela_registros[DIA],investirrendafixaconsolidadoabr[[#Headers],[11]],tabela_registros[REGISTRO],DADOS!$N$5,tabela_registros[TIPO],DADOS!$AB$3,tabela_registros[CATEGORIA],investirrendafixaconsolidadoabr[[#This Row],[ATUAL]])</f>
        <v>0</v>
      </c>
      <c r="P113" s="119" t="n">
        <f aca="false">SUMIFS(tabela_registros[VALOR],tabela_registros[MÊS],$AE$1,tabela_registros[DIA],investirrendafixaconsolidadoabr[[#Headers],[12]],tabela_registros[REGISTRO],DADOS!$N$5,tabela_registros[TIPO],DADOS!$AB$3,tabela_registros[CATEGORIA],investirrendafixaconsolidadoabr[[#This Row],[ATUAL]])</f>
        <v>0</v>
      </c>
      <c r="Q113" s="119" t="n">
        <f aca="false">SUMIFS(tabela_registros[VALOR],tabela_registros[MÊS],$AE$1,tabela_registros[DIA],investirrendafixaconsolidadoabr[[#Headers],[13]],tabela_registros[REGISTRO],DADOS!$N$5,tabela_registros[TIPO],DADOS!$AB$3,tabela_registros[CATEGORIA],investirrendafixaconsolidadoabr[[#This Row],[ATUAL]])</f>
        <v>0</v>
      </c>
      <c r="R113" s="119" t="n">
        <f aca="false">SUMIFS(tabela_registros[VALOR],tabela_registros[MÊS],$AE$1,tabela_registros[DIA],investirrendafixaconsolidadoabr[[#Headers],[14]],tabela_registros[REGISTRO],DADOS!$N$5,tabela_registros[TIPO],DADOS!$AB$3,tabela_registros[CATEGORIA],investirrendafixaconsolidadoabr[[#This Row],[ATUAL]])</f>
        <v>0</v>
      </c>
      <c r="S113" s="119" t="n">
        <f aca="false">SUMIFS(tabela_registros[VALOR],tabela_registros[MÊS],$AE$1,tabela_registros[DIA],investirrendafixaconsolidadoabr[[#Headers],[15]],tabela_registros[REGISTRO],DADOS!$N$5,tabela_registros[TIPO],DADOS!$AB$3,tabela_registros[CATEGORIA],investirrendafixaconsolidadoabr[[#This Row],[ATUAL]])</f>
        <v>0</v>
      </c>
      <c r="T113" s="119" t="n">
        <f aca="false">SUMIFS(tabela_registros[VALOR],tabela_registros[MÊS],$AE$1,tabela_registros[DIA],investirrendafixaconsolidadoabr[[#Headers],[16]],tabela_registros[REGISTRO],DADOS!$N$5,tabela_registros[TIPO],DADOS!$AB$3,tabela_registros[CATEGORIA],investirrendafixaconsolidadoabr[[#This Row],[ATUAL]])</f>
        <v>0</v>
      </c>
      <c r="U113" s="119" t="n">
        <f aca="false">SUMIFS(tabela_registros[VALOR],tabela_registros[MÊS],$AE$1,tabela_registros[DIA],investirrendafixaconsolidadoabr[[#Headers],[17]],tabela_registros[REGISTRO],DADOS!$N$5,tabela_registros[TIPO],DADOS!$AB$3,tabela_registros[CATEGORIA],investirrendafixaconsolidadoabr[[#This Row],[ATUAL]])</f>
        <v>0</v>
      </c>
      <c r="V113" s="119" t="n">
        <f aca="false">SUMIFS(tabela_registros[VALOR],tabela_registros[MÊS],$AE$1,tabela_registros[DIA],investirrendafixaconsolidadoabr[[#Headers],[18]],tabela_registros[REGISTRO],DADOS!$N$5,tabela_registros[TIPO],DADOS!$AB$3,tabela_registros[CATEGORIA],investirrendafixaconsolidadoabr[[#This Row],[ATUAL]])</f>
        <v>0</v>
      </c>
      <c r="W113" s="119" t="n">
        <f aca="false">SUMIFS(tabela_registros[VALOR],tabela_registros[MÊS],$AE$1,tabela_registros[DIA],investirrendafixaconsolidadoabr[[#Headers],[19]],tabela_registros[REGISTRO],DADOS!$N$5,tabela_registros[TIPO],DADOS!$AB$3,tabela_registros[CATEGORIA],investirrendafixaconsolidadoabr[[#This Row],[ATUAL]])</f>
        <v>0</v>
      </c>
      <c r="X113" s="119" t="n">
        <f aca="false">SUMIFS(tabela_registros[VALOR],tabela_registros[MÊS],$AE$1,tabela_registros[DIA],investirrendafixaconsolidadoabr[[#Headers],[20]],tabela_registros[REGISTRO],DADOS!$N$5,tabela_registros[TIPO],DADOS!$AB$3,tabela_registros[CATEGORIA],investirrendafixaconsolidadoabr[[#This Row],[ATUAL]])</f>
        <v>0</v>
      </c>
      <c r="Y113" s="119" t="n">
        <f aca="false">SUMIFS(tabela_registros[VALOR],tabela_registros[MÊS],$AE$1,tabela_registros[DIA],investirrendafixaconsolidadoabr[[#Headers],[21]],tabela_registros[REGISTRO],DADOS!$N$5,tabela_registros[TIPO],DADOS!$AB$3,tabela_registros[CATEGORIA],investirrendafixaconsolidadoabr[[#This Row],[ATUAL]])</f>
        <v>0</v>
      </c>
      <c r="Z113" s="119" t="n">
        <f aca="false">SUMIFS(tabela_registros[VALOR],tabela_registros[MÊS],$AE$1,tabela_registros[DIA],investirrendafixaconsolidadoabr[[#Headers],[22]],tabela_registros[REGISTRO],DADOS!$N$5,tabela_registros[TIPO],DADOS!$AB$3,tabela_registros[CATEGORIA],investirrendafixaconsolidadoabr[[#This Row],[ATUAL]])</f>
        <v>0</v>
      </c>
      <c r="AA113" s="119" t="n">
        <f aca="false">SUMIFS(tabela_registros[VALOR],tabela_registros[MÊS],$AE$1,tabela_registros[DIA],investirrendafixaconsolidadoabr[[#Headers],[23]],tabela_registros[REGISTRO],DADOS!$N$5,tabela_registros[TIPO],DADOS!$AB$3,tabela_registros[CATEGORIA],investirrendafixaconsolidadoabr[[#This Row],[ATUAL]])</f>
        <v>0</v>
      </c>
      <c r="AB113" s="119" t="n">
        <f aca="false">SUMIFS(tabela_registros[VALOR],tabela_registros[MÊS],$AE$1,tabela_registros[DIA],investirrendafixaconsolidadoabr[[#Headers],[24]],tabela_registros[REGISTRO],DADOS!$N$5,tabela_registros[TIPO],DADOS!$AB$3,tabela_registros[CATEGORIA],investirrendafixaconsolidadoabr[[#This Row],[ATUAL]])</f>
        <v>0</v>
      </c>
      <c r="AC113" s="119" t="n">
        <f aca="false">SUMIFS(tabela_registros[VALOR],tabela_registros[MÊS],$AE$1,tabela_registros[DIA],investirrendafixaconsolidadoabr[[#Headers],[25]],tabela_registros[REGISTRO],DADOS!$N$5,tabela_registros[TIPO],DADOS!$AB$3,tabela_registros[CATEGORIA],investirrendafixaconsolidadoabr[[#This Row],[ATUAL]])</f>
        <v>0</v>
      </c>
      <c r="AD113" s="119" t="n">
        <f aca="false">SUMIFS(tabela_registros[VALOR],tabela_registros[MÊS],$AE$1,tabela_registros[DIA],investirrendafixaconsolidadoabr[[#Headers],[26]],tabela_registros[REGISTRO],DADOS!$N$5,tabela_registros[TIPO],DADOS!$AB$3,tabela_registros[CATEGORIA],investirrendafixaconsolidadoabr[[#This Row],[ATUAL]])</f>
        <v>0</v>
      </c>
      <c r="AE113" s="119" t="n">
        <f aca="false">SUMIFS(tabela_registros[VALOR],tabela_registros[MÊS],$AE$1,tabela_registros[DIA],investirrendafixaconsolidadoabr[[#Headers],[27]],tabela_registros[REGISTRO],DADOS!$N$5,tabela_registros[TIPO],DADOS!$AB$3,tabela_registros[CATEGORIA],investirrendafixaconsolidadoabr[[#This Row],[ATUAL]])</f>
        <v>0</v>
      </c>
      <c r="AF113" s="119" t="n">
        <f aca="false">SUMIFS(tabela_registros[VALOR],tabela_registros[MÊS],$AE$1,tabela_registros[DIA],investirrendafixaconsolidadoabr[[#Headers],[28]],tabela_registros[REGISTRO],DADOS!$N$5,tabela_registros[TIPO],DADOS!$AB$3,tabela_registros[CATEGORIA],investirrendafixaconsolidadoabr[[#This Row],[ATUAL]])</f>
        <v>0</v>
      </c>
      <c r="AG113" s="119" t="n">
        <f aca="false">SUMIFS(tabela_registros[VALOR],tabela_registros[MÊS],$AE$1,tabela_registros[DIA],investirrendafixaconsolidadoabr[[#Headers],[29]],tabela_registros[REGISTRO],DADOS!$N$5,tabela_registros[TIPO],DADOS!$AB$3,tabela_registros[CATEGORIA],investirrendafixaconsolidadoabr[[#This Row],[ATUAL]])</f>
        <v>0</v>
      </c>
      <c r="AH113" s="119" t="n">
        <f aca="false">SUMIFS(tabela_registros[VALOR],tabela_registros[MÊS],$AE$1,tabela_registros[DIA],investirrendafixaconsolidadoabr[[#Headers],[30]],tabela_registros[REGISTRO],DADOS!$N$5,tabela_registros[TIPO],DADOS!$AB$3,tabela_registros[CATEGORIA],investirrendafixaconsolidadoabr[[#This Row],[ATUAL]])</f>
        <v>0</v>
      </c>
      <c r="AI113" s="217" t="n">
        <f aca="false">SUMIFS(tabela_registros[VALOR],tabela_registros[MÊS],$AE$1,tabela_registros[DIA],investirrendafixaconsolidadoabr[[#Headers],[31]],tabela_registros[REGISTRO],DADOS!$N$5,tabela_registros[TIPO],DADOS!$AB$3,tabela_registros[CATEGORIA],investirrendafixaconsolidadoabr[[#This Row],[ATUAL]])</f>
        <v>0</v>
      </c>
      <c r="AJ113" s="149" t="n">
        <f aca="false">SUM(investirrendafixaconsolidadoabr[[#This Row],[1]:[31]])</f>
        <v>0</v>
      </c>
      <c r="AK113" s="165"/>
    </row>
    <row r="114" customFormat="false" ht="19.5" hidden="false" customHeight="true" outlineLevel="0" collapsed="false">
      <c r="B114" s="143"/>
      <c r="C114" s="144" t="str">
        <f aca="false">DADOS!$AD$4</f>
        <v>📝 CRA</v>
      </c>
      <c r="D114" s="145" t="str">
        <f aca="false">IF(investirrendafixaconsolidadoabr[[#This Row],[TOTAL (R$)]]=0,"",IF(OR(investirrendafixaconsolidadoabr[[#This Row],[TOTAL (R$)]]=LARGE($AJ$113:$AJ$122,1),investirrendafixaconsolidadoabr[[#This Row],[TOTAL (R$)]]=LARGE($AJ$113:$AJ$122,2)),DADOS!$I$10,""))</f>
        <v/>
      </c>
      <c r="E114" s="148" t="n">
        <f aca="false">SUMIFS(tabela_registros[VALOR],tabela_registros[MÊS],$AE$1,tabela_registros[DIA],investirrendafixaconsolidadoabr[[#Headers],[1]],tabela_registros[REGISTRO],DADOS!$N$5,tabela_registros[TIPO],DADOS!$AB$3,tabela_registros[CATEGORIA],investirrendafixaconsolidadoabr[[#This Row],[ATUAL]])</f>
        <v>0</v>
      </c>
      <c r="F114" s="119" t="n">
        <f aca="false">SUMIFS(tabela_registros[VALOR],tabela_registros[MÊS],$AE$1,tabela_registros[DIA],investirrendafixaconsolidadoabr[[#Headers],[2]],tabela_registros[REGISTRO],DADOS!$N$5,tabela_registros[TIPO],DADOS!$AB$3,tabela_registros[CATEGORIA],investirrendafixaconsolidadoabr[[#This Row],[ATUAL]])</f>
        <v>0</v>
      </c>
      <c r="G114" s="119" t="n">
        <f aca="false">SUMIFS(tabela_registros[VALOR],tabela_registros[MÊS],$AE$1,tabela_registros[DIA],investirrendafixaconsolidadoabr[[#Headers],[3]],tabela_registros[REGISTRO],DADOS!$N$5,tabela_registros[TIPO],DADOS!$AB$3,tabela_registros[CATEGORIA],investirrendafixaconsolidadoabr[[#This Row],[ATUAL]])</f>
        <v>0</v>
      </c>
      <c r="H114" s="119" t="n">
        <f aca="false">SUMIFS(tabela_registros[VALOR],tabela_registros[MÊS],$AE$1,tabela_registros[DIA],investirrendafixaconsolidadoabr[[#Headers],[4]],tabela_registros[REGISTRO],DADOS!$N$5,tabela_registros[TIPO],DADOS!$AB$3,tabela_registros[CATEGORIA],investirrendafixaconsolidadoabr[[#This Row],[ATUAL]])</f>
        <v>0</v>
      </c>
      <c r="I114" s="119" t="n">
        <f aca="false">SUMIFS(tabela_registros[VALOR],tabela_registros[MÊS],$AE$1,tabela_registros[DIA],investirrendafixaconsolidadoabr[[#Headers],[5]],tabela_registros[REGISTRO],DADOS!$N$5,tabela_registros[TIPO],DADOS!$AB$3,tabela_registros[CATEGORIA],investirrendafixaconsolidadoabr[[#This Row],[ATUAL]])</f>
        <v>0</v>
      </c>
      <c r="J114" s="119" t="n">
        <f aca="false">SUMIFS(tabela_registros[VALOR],tabela_registros[MÊS],$AE$1,tabela_registros[DIA],investirrendafixaconsolidadoabr[[#Headers],[6]],tabela_registros[REGISTRO],DADOS!$N$5,tabela_registros[TIPO],DADOS!$AB$3,tabela_registros[CATEGORIA],investirrendafixaconsolidadoabr[[#This Row],[ATUAL]])</f>
        <v>0</v>
      </c>
      <c r="K114" s="119" t="n">
        <f aca="false">SUMIFS(tabela_registros[VALOR],tabela_registros[MÊS],$AE$1,tabela_registros[DIA],investirrendafixaconsolidadoabr[[#Headers],[7]],tabela_registros[REGISTRO],DADOS!$N$5,tabela_registros[TIPO],DADOS!$AB$3,tabela_registros[CATEGORIA],investirrendafixaconsolidadoabr[[#This Row],[ATUAL]])</f>
        <v>0</v>
      </c>
      <c r="L114" s="119" t="n">
        <f aca="false">SUMIFS(tabela_registros[VALOR],tabela_registros[MÊS],$AE$1,tabela_registros[DIA],investirrendafixaconsolidadoabr[[#Headers],[8]],tabela_registros[REGISTRO],DADOS!$N$5,tabela_registros[TIPO],DADOS!$AB$3,tabela_registros[CATEGORIA],investirrendafixaconsolidadoabr[[#This Row],[ATUAL]])</f>
        <v>0</v>
      </c>
      <c r="M114" s="119" t="n">
        <f aca="false">SUMIFS(tabela_registros[VALOR],tabela_registros[MÊS],$AE$1,tabela_registros[DIA],investirrendafixaconsolidadoabr[[#Headers],[9]],tabela_registros[REGISTRO],DADOS!$N$5,tabela_registros[TIPO],DADOS!$AB$3,tabela_registros[CATEGORIA],investirrendafixaconsolidadoabr[[#This Row],[ATUAL]])</f>
        <v>0</v>
      </c>
      <c r="N114" s="119" t="n">
        <f aca="false">SUMIFS(tabela_registros[VALOR],tabela_registros[MÊS],$AE$1,tabela_registros[DIA],investirrendafixaconsolidadoabr[[#Headers],[10]],tabela_registros[REGISTRO],DADOS!$N$5,tabela_registros[TIPO],DADOS!$AB$3,tabela_registros[CATEGORIA],investirrendafixaconsolidadoabr[[#This Row],[ATUAL]])</f>
        <v>0</v>
      </c>
      <c r="O114" s="119" t="n">
        <f aca="false">SUMIFS(tabela_registros[VALOR],tabela_registros[MÊS],$AE$1,tabela_registros[DIA],investirrendafixaconsolidadoabr[[#Headers],[11]],tabela_registros[REGISTRO],DADOS!$N$5,tabela_registros[TIPO],DADOS!$AB$3,tabela_registros[CATEGORIA],investirrendafixaconsolidadoabr[[#This Row],[ATUAL]])</f>
        <v>0</v>
      </c>
      <c r="P114" s="119" t="n">
        <f aca="false">SUMIFS(tabela_registros[VALOR],tabela_registros[MÊS],$AE$1,tabela_registros[DIA],investirrendafixaconsolidadoabr[[#Headers],[12]],tabela_registros[REGISTRO],DADOS!$N$5,tabela_registros[TIPO],DADOS!$AB$3,tabela_registros[CATEGORIA],investirrendafixaconsolidadoabr[[#This Row],[ATUAL]])</f>
        <v>0</v>
      </c>
      <c r="Q114" s="119" t="n">
        <f aca="false">SUMIFS(tabela_registros[VALOR],tabela_registros[MÊS],$AE$1,tabela_registros[DIA],investirrendafixaconsolidadoabr[[#Headers],[13]],tabela_registros[REGISTRO],DADOS!$N$5,tabela_registros[TIPO],DADOS!$AB$3,tabela_registros[CATEGORIA],investirrendafixaconsolidadoabr[[#This Row],[ATUAL]])</f>
        <v>0</v>
      </c>
      <c r="R114" s="119" t="n">
        <f aca="false">SUMIFS(tabela_registros[VALOR],tabela_registros[MÊS],$AE$1,tabela_registros[DIA],investirrendafixaconsolidadoabr[[#Headers],[14]],tabela_registros[REGISTRO],DADOS!$N$5,tabela_registros[TIPO],DADOS!$AB$3,tabela_registros[CATEGORIA],investirrendafixaconsolidadoabr[[#This Row],[ATUAL]])</f>
        <v>0</v>
      </c>
      <c r="S114" s="119" t="n">
        <f aca="false">SUMIFS(tabela_registros[VALOR],tabela_registros[MÊS],$AE$1,tabela_registros[DIA],investirrendafixaconsolidadoabr[[#Headers],[15]],tabela_registros[REGISTRO],DADOS!$N$5,tabela_registros[TIPO],DADOS!$AB$3,tabela_registros[CATEGORIA],investirrendafixaconsolidadoabr[[#This Row],[ATUAL]])</f>
        <v>0</v>
      </c>
      <c r="T114" s="119" t="n">
        <f aca="false">SUMIFS(tabela_registros[VALOR],tabela_registros[MÊS],$AE$1,tabela_registros[DIA],investirrendafixaconsolidadoabr[[#Headers],[16]],tabela_registros[REGISTRO],DADOS!$N$5,tabela_registros[TIPO],DADOS!$AB$3,tabela_registros[CATEGORIA],investirrendafixaconsolidadoabr[[#This Row],[ATUAL]])</f>
        <v>0</v>
      </c>
      <c r="U114" s="119" t="n">
        <f aca="false">SUMIFS(tabela_registros[VALOR],tabela_registros[MÊS],$AE$1,tabela_registros[DIA],investirrendafixaconsolidadoabr[[#Headers],[17]],tabela_registros[REGISTRO],DADOS!$N$5,tabela_registros[TIPO],DADOS!$AB$3,tabela_registros[CATEGORIA],investirrendafixaconsolidadoabr[[#This Row],[ATUAL]])</f>
        <v>0</v>
      </c>
      <c r="V114" s="119" t="n">
        <f aca="false">SUMIFS(tabela_registros[VALOR],tabela_registros[MÊS],$AE$1,tabela_registros[DIA],investirrendafixaconsolidadoabr[[#Headers],[18]],tabela_registros[REGISTRO],DADOS!$N$5,tabela_registros[TIPO],DADOS!$AB$3,tabela_registros[CATEGORIA],investirrendafixaconsolidadoabr[[#This Row],[ATUAL]])</f>
        <v>0</v>
      </c>
      <c r="W114" s="119" t="n">
        <f aca="false">SUMIFS(tabela_registros[VALOR],tabela_registros[MÊS],$AE$1,tabela_registros[DIA],investirrendafixaconsolidadoabr[[#Headers],[19]],tabela_registros[REGISTRO],DADOS!$N$5,tabela_registros[TIPO],DADOS!$AB$3,tabela_registros[CATEGORIA],investirrendafixaconsolidadoabr[[#This Row],[ATUAL]])</f>
        <v>0</v>
      </c>
      <c r="X114" s="119" t="n">
        <f aca="false">SUMIFS(tabela_registros[VALOR],tabela_registros[MÊS],$AE$1,tabela_registros[DIA],investirrendafixaconsolidadoabr[[#Headers],[20]],tabela_registros[REGISTRO],DADOS!$N$5,tabela_registros[TIPO],DADOS!$AB$3,tabela_registros[CATEGORIA],investirrendafixaconsolidadoabr[[#This Row],[ATUAL]])</f>
        <v>0</v>
      </c>
      <c r="Y114" s="119" t="n">
        <f aca="false">SUMIFS(tabela_registros[VALOR],tabela_registros[MÊS],$AE$1,tabela_registros[DIA],investirrendafixaconsolidadoabr[[#Headers],[21]],tabela_registros[REGISTRO],DADOS!$N$5,tabela_registros[TIPO],DADOS!$AB$3,tabela_registros[CATEGORIA],investirrendafixaconsolidadoabr[[#This Row],[ATUAL]])</f>
        <v>0</v>
      </c>
      <c r="Z114" s="119" t="n">
        <f aca="false">SUMIFS(tabela_registros[VALOR],tabela_registros[MÊS],$AE$1,tabela_registros[DIA],investirrendafixaconsolidadoabr[[#Headers],[22]],tabela_registros[REGISTRO],DADOS!$N$5,tabela_registros[TIPO],DADOS!$AB$3,tabela_registros[CATEGORIA],investirrendafixaconsolidadoabr[[#This Row],[ATUAL]])</f>
        <v>0</v>
      </c>
      <c r="AA114" s="119" t="n">
        <f aca="false">SUMIFS(tabela_registros[VALOR],tabela_registros[MÊS],$AE$1,tabela_registros[DIA],investirrendafixaconsolidadoabr[[#Headers],[23]],tabela_registros[REGISTRO],DADOS!$N$5,tabela_registros[TIPO],DADOS!$AB$3,tabela_registros[CATEGORIA],investirrendafixaconsolidadoabr[[#This Row],[ATUAL]])</f>
        <v>0</v>
      </c>
      <c r="AB114" s="119" t="n">
        <f aca="false">SUMIFS(tabela_registros[VALOR],tabela_registros[MÊS],$AE$1,tabela_registros[DIA],investirrendafixaconsolidadoabr[[#Headers],[24]],tabela_registros[REGISTRO],DADOS!$N$5,tabela_registros[TIPO],DADOS!$AB$3,tabela_registros[CATEGORIA],investirrendafixaconsolidadoabr[[#This Row],[ATUAL]])</f>
        <v>0</v>
      </c>
      <c r="AC114" s="119" t="n">
        <f aca="false">SUMIFS(tabela_registros[VALOR],tabela_registros[MÊS],$AE$1,tabela_registros[DIA],investirrendafixaconsolidadoabr[[#Headers],[25]],tabela_registros[REGISTRO],DADOS!$N$5,tabela_registros[TIPO],DADOS!$AB$3,tabela_registros[CATEGORIA],investirrendafixaconsolidadoabr[[#This Row],[ATUAL]])</f>
        <v>0</v>
      </c>
      <c r="AD114" s="119" t="n">
        <f aca="false">SUMIFS(tabela_registros[VALOR],tabela_registros[MÊS],$AE$1,tabela_registros[DIA],investirrendafixaconsolidadoabr[[#Headers],[26]],tabela_registros[REGISTRO],DADOS!$N$5,tabela_registros[TIPO],DADOS!$AB$3,tabela_registros[CATEGORIA],investirrendafixaconsolidadoabr[[#This Row],[ATUAL]])</f>
        <v>0</v>
      </c>
      <c r="AE114" s="119" t="n">
        <f aca="false">SUMIFS(tabela_registros[VALOR],tabela_registros[MÊS],$AE$1,tabela_registros[DIA],investirrendafixaconsolidadoabr[[#Headers],[27]],tabela_registros[REGISTRO],DADOS!$N$5,tabela_registros[TIPO],DADOS!$AB$3,tabela_registros[CATEGORIA],investirrendafixaconsolidadoabr[[#This Row],[ATUAL]])</f>
        <v>0</v>
      </c>
      <c r="AF114" s="119" t="n">
        <f aca="false">SUMIFS(tabela_registros[VALOR],tabela_registros[MÊS],$AE$1,tabela_registros[DIA],investirrendafixaconsolidadoabr[[#Headers],[28]],tabela_registros[REGISTRO],DADOS!$N$5,tabela_registros[TIPO],DADOS!$AB$3,tabela_registros[CATEGORIA],investirrendafixaconsolidadoabr[[#This Row],[ATUAL]])</f>
        <v>0</v>
      </c>
      <c r="AG114" s="119" t="n">
        <f aca="false">SUMIFS(tabela_registros[VALOR],tabela_registros[MÊS],$AE$1,tabela_registros[DIA],investirrendafixaconsolidadoabr[[#Headers],[29]],tabela_registros[REGISTRO],DADOS!$N$5,tabela_registros[TIPO],DADOS!$AB$3,tabela_registros[CATEGORIA],investirrendafixaconsolidadoabr[[#This Row],[ATUAL]])</f>
        <v>0</v>
      </c>
      <c r="AH114" s="119" t="n">
        <f aca="false">SUMIFS(tabela_registros[VALOR],tabela_registros[MÊS],$AE$1,tabela_registros[DIA],investirrendafixaconsolidadoabr[[#Headers],[30]],tabela_registros[REGISTRO],DADOS!$N$5,tabela_registros[TIPO],DADOS!$AB$3,tabela_registros[CATEGORIA],investirrendafixaconsolidadoabr[[#This Row],[ATUAL]])</f>
        <v>0</v>
      </c>
      <c r="AI114" s="217" t="n">
        <f aca="false">SUMIFS(tabela_registros[VALOR],tabela_registros[MÊS],$AE$1,tabela_registros[DIA],investirrendafixaconsolidadoabr[[#Headers],[31]],tabela_registros[REGISTRO],DADOS!$N$5,tabela_registros[TIPO],DADOS!$AB$3,tabela_registros[CATEGORIA],investirrendafixaconsolidadoabr[[#This Row],[ATUAL]])</f>
        <v>0</v>
      </c>
      <c r="AJ114" s="149" t="n">
        <f aca="false">SUM(investirrendafixaconsolidadoabr[[#This Row],[1]:[31]])</f>
        <v>0</v>
      </c>
      <c r="AK114" s="165"/>
    </row>
    <row r="115" customFormat="false" ht="19.5" hidden="false" customHeight="true" outlineLevel="0" collapsed="false">
      <c r="B115" s="143"/>
      <c r="C115" s="144" t="str">
        <f aca="false">DADOS!$AD$5</f>
        <v>📝 CRI</v>
      </c>
      <c r="D115" s="145" t="str">
        <f aca="false">IF(investirrendafixaconsolidadoabr[[#This Row],[TOTAL (R$)]]=0,"",IF(OR(investirrendafixaconsolidadoabr[[#This Row],[TOTAL (R$)]]=LARGE($AJ$113:$AJ$122,1),investirrendafixaconsolidadoabr[[#This Row],[TOTAL (R$)]]=LARGE($AJ$113:$AJ$122,2)),DADOS!$I$10,""))</f>
        <v/>
      </c>
      <c r="E115" s="148" t="n">
        <f aca="false">SUMIFS(tabela_registros[VALOR],tabela_registros[MÊS],$AE$1,tabela_registros[DIA],investirrendafixaconsolidadoabr[[#Headers],[1]],tabela_registros[REGISTRO],DADOS!$N$5,tabela_registros[TIPO],DADOS!$AB$3,tabela_registros[CATEGORIA],investirrendafixaconsolidadoabr[[#This Row],[ATUAL]])</f>
        <v>0</v>
      </c>
      <c r="F115" s="119" t="n">
        <f aca="false">SUMIFS(tabela_registros[VALOR],tabela_registros[MÊS],$AE$1,tabela_registros[DIA],investirrendafixaconsolidadoabr[[#Headers],[2]],tabela_registros[REGISTRO],DADOS!$N$5,tabela_registros[TIPO],DADOS!$AB$3,tabela_registros[CATEGORIA],investirrendafixaconsolidadoabr[[#This Row],[ATUAL]])</f>
        <v>0</v>
      </c>
      <c r="G115" s="119" t="n">
        <f aca="false">SUMIFS(tabela_registros[VALOR],tabela_registros[MÊS],$AE$1,tabela_registros[DIA],investirrendafixaconsolidadoabr[[#Headers],[3]],tabela_registros[REGISTRO],DADOS!$N$5,tabela_registros[TIPO],DADOS!$AB$3,tabela_registros[CATEGORIA],investirrendafixaconsolidadoabr[[#This Row],[ATUAL]])</f>
        <v>0</v>
      </c>
      <c r="H115" s="119" t="n">
        <f aca="false">SUMIFS(tabela_registros[VALOR],tabela_registros[MÊS],$AE$1,tabela_registros[DIA],investirrendafixaconsolidadoabr[[#Headers],[4]],tabela_registros[REGISTRO],DADOS!$N$5,tabela_registros[TIPO],DADOS!$AB$3,tabela_registros[CATEGORIA],investirrendafixaconsolidadoabr[[#This Row],[ATUAL]])</f>
        <v>0</v>
      </c>
      <c r="I115" s="119" t="n">
        <f aca="false">SUMIFS(tabela_registros[VALOR],tabela_registros[MÊS],$AE$1,tabela_registros[DIA],investirrendafixaconsolidadoabr[[#Headers],[5]],tabela_registros[REGISTRO],DADOS!$N$5,tabela_registros[TIPO],DADOS!$AB$3,tabela_registros[CATEGORIA],investirrendafixaconsolidadoabr[[#This Row],[ATUAL]])</f>
        <v>0</v>
      </c>
      <c r="J115" s="119" t="n">
        <f aca="false">SUMIFS(tabela_registros[VALOR],tabela_registros[MÊS],$AE$1,tabela_registros[DIA],investirrendafixaconsolidadoabr[[#Headers],[6]],tabela_registros[REGISTRO],DADOS!$N$5,tabela_registros[TIPO],DADOS!$AB$3,tabela_registros[CATEGORIA],investirrendafixaconsolidadoabr[[#This Row],[ATUAL]])</f>
        <v>0</v>
      </c>
      <c r="K115" s="119" t="n">
        <f aca="false">SUMIFS(tabela_registros[VALOR],tabela_registros[MÊS],$AE$1,tabela_registros[DIA],investirrendafixaconsolidadoabr[[#Headers],[7]],tabela_registros[REGISTRO],DADOS!$N$5,tabela_registros[TIPO],DADOS!$AB$3,tabela_registros[CATEGORIA],investirrendafixaconsolidadoabr[[#This Row],[ATUAL]])</f>
        <v>0</v>
      </c>
      <c r="L115" s="119" t="n">
        <f aca="false">SUMIFS(tabela_registros[VALOR],tabela_registros[MÊS],$AE$1,tabela_registros[DIA],investirrendafixaconsolidadoabr[[#Headers],[8]],tabela_registros[REGISTRO],DADOS!$N$5,tabela_registros[TIPO],DADOS!$AB$3,tabela_registros[CATEGORIA],investirrendafixaconsolidadoabr[[#This Row],[ATUAL]])</f>
        <v>0</v>
      </c>
      <c r="M115" s="119" t="n">
        <f aca="false">SUMIFS(tabela_registros[VALOR],tabela_registros[MÊS],$AE$1,tabela_registros[DIA],investirrendafixaconsolidadoabr[[#Headers],[9]],tabela_registros[REGISTRO],DADOS!$N$5,tabela_registros[TIPO],DADOS!$AB$3,tabela_registros[CATEGORIA],investirrendafixaconsolidadoabr[[#This Row],[ATUAL]])</f>
        <v>0</v>
      </c>
      <c r="N115" s="119" t="n">
        <f aca="false">SUMIFS(tabela_registros[VALOR],tabela_registros[MÊS],$AE$1,tabela_registros[DIA],investirrendafixaconsolidadoabr[[#Headers],[10]],tabela_registros[REGISTRO],DADOS!$N$5,tabela_registros[TIPO],DADOS!$AB$3,tabela_registros[CATEGORIA],investirrendafixaconsolidadoabr[[#This Row],[ATUAL]])</f>
        <v>0</v>
      </c>
      <c r="O115" s="119" t="n">
        <f aca="false">SUMIFS(tabela_registros[VALOR],tabela_registros[MÊS],$AE$1,tabela_registros[DIA],investirrendafixaconsolidadoabr[[#Headers],[11]],tabela_registros[REGISTRO],DADOS!$N$5,tabela_registros[TIPO],DADOS!$AB$3,tabela_registros[CATEGORIA],investirrendafixaconsolidadoabr[[#This Row],[ATUAL]])</f>
        <v>0</v>
      </c>
      <c r="P115" s="119" t="n">
        <f aca="false">SUMIFS(tabela_registros[VALOR],tabela_registros[MÊS],$AE$1,tabela_registros[DIA],investirrendafixaconsolidadoabr[[#Headers],[12]],tabela_registros[REGISTRO],DADOS!$N$5,tabela_registros[TIPO],DADOS!$AB$3,tabela_registros[CATEGORIA],investirrendafixaconsolidadoabr[[#This Row],[ATUAL]])</f>
        <v>0</v>
      </c>
      <c r="Q115" s="119" t="n">
        <f aca="false">SUMIFS(tabela_registros[VALOR],tabela_registros[MÊS],$AE$1,tabela_registros[DIA],investirrendafixaconsolidadoabr[[#Headers],[13]],tabela_registros[REGISTRO],DADOS!$N$5,tabela_registros[TIPO],DADOS!$AB$3,tabela_registros[CATEGORIA],investirrendafixaconsolidadoabr[[#This Row],[ATUAL]])</f>
        <v>0</v>
      </c>
      <c r="R115" s="119" t="n">
        <f aca="false">SUMIFS(tabela_registros[VALOR],tabela_registros[MÊS],$AE$1,tabela_registros[DIA],investirrendafixaconsolidadoabr[[#Headers],[14]],tabela_registros[REGISTRO],DADOS!$N$5,tabela_registros[TIPO],DADOS!$AB$3,tabela_registros[CATEGORIA],investirrendafixaconsolidadoabr[[#This Row],[ATUAL]])</f>
        <v>0</v>
      </c>
      <c r="S115" s="119" t="n">
        <f aca="false">SUMIFS(tabela_registros[VALOR],tabela_registros[MÊS],$AE$1,tabela_registros[DIA],investirrendafixaconsolidadoabr[[#Headers],[15]],tabela_registros[REGISTRO],DADOS!$N$5,tabela_registros[TIPO],DADOS!$AB$3,tabela_registros[CATEGORIA],investirrendafixaconsolidadoabr[[#This Row],[ATUAL]])</f>
        <v>0</v>
      </c>
      <c r="T115" s="119" t="n">
        <f aca="false">SUMIFS(tabela_registros[VALOR],tabela_registros[MÊS],$AE$1,tabela_registros[DIA],investirrendafixaconsolidadoabr[[#Headers],[16]],tabela_registros[REGISTRO],DADOS!$N$5,tabela_registros[TIPO],DADOS!$AB$3,tabela_registros[CATEGORIA],investirrendafixaconsolidadoabr[[#This Row],[ATUAL]])</f>
        <v>0</v>
      </c>
      <c r="U115" s="119" t="n">
        <f aca="false">SUMIFS(tabela_registros[VALOR],tabela_registros[MÊS],$AE$1,tabela_registros[DIA],investirrendafixaconsolidadoabr[[#Headers],[17]],tabela_registros[REGISTRO],DADOS!$N$5,tabela_registros[TIPO],DADOS!$AB$3,tabela_registros[CATEGORIA],investirrendafixaconsolidadoabr[[#This Row],[ATUAL]])</f>
        <v>0</v>
      </c>
      <c r="V115" s="119" t="n">
        <f aca="false">SUMIFS(tabela_registros[VALOR],tabela_registros[MÊS],$AE$1,tabela_registros[DIA],investirrendafixaconsolidadoabr[[#Headers],[18]],tabela_registros[REGISTRO],DADOS!$N$5,tabela_registros[TIPO],DADOS!$AB$3,tabela_registros[CATEGORIA],investirrendafixaconsolidadoabr[[#This Row],[ATUAL]])</f>
        <v>0</v>
      </c>
      <c r="W115" s="119" t="n">
        <f aca="false">SUMIFS(tabela_registros[VALOR],tabela_registros[MÊS],$AE$1,tabela_registros[DIA],investirrendafixaconsolidadoabr[[#Headers],[19]],tabela_registros[REGISTRO],DADOS!$N$5,tabela_registros[TIPO],DADOS!$AB$3,tabela_registros[CATEGORIA],investirrendafixaconsolidadoabr[[#This Row],[ATUAL]])</f>
        <v>0</v>
      </c>
      <c r="X115" s="119" t="n">
        <f aca="false">SUMIFS(tabela_registros[VALOR],tabela_registros[MÊS],$AE$1,tabela_registros[DIA],investirrendafixaconsolidadoabr[[#Headers],[20]],tabela_registros[REGISTRO],DADOS!$N$5,tabela_registros[TIPO],DADOS!$AB$3,tabela_registros[CATEGORIA],investirrendafixaconsolidadoabr[[#This Row],[ATUAL]])</f>
        <v>0</v>
      </c>
      <c r="Y115" s="119" t="n">
        <f aca="false">SUMIFS(tabela_registros[VALOR],tabela_registros[MÊS],$AE$1,tabela_registros[DIA],investirrendafixaconsolidadoabr[[#Headers],[21]],tabela_registros[REGISTRO],DADOS!$N$5,tabela_registros[TIPO],DADOS!$AB$3,tabela_registros[CATEGORIA],investirrendafixaconsolidadoabr[[#This Row],[ATUAL]])</f>
        <v>0</v>
      </c>
      <c r="Z115" s="119" t="n">
        <f aca="false">SUMIFS(tabela_registros[VALOR],tabela_registros[MÊS],$AE$1,tabela_registros[DIA],investirrendafixaconsolidadoabr[[#Headers],[22]],tabela_registros[REGISTRO],DADOS!$N$5,tabela_registros[TIPO],DADOS!$AB$3,tabela_registros[CATEGORIA],investirrendafixaconsolidadoabr[[#This Row],[ATUAL]])</f>
        <v>0</v>
      </c>
      <c r="AA115" s="119" t="n">
        <f aca="false">SUMIFS(tabela_registros[VALOR],tabela_registros[MÊS],$AE$1,tabela_registros[DIA],investirrendafixaconsolidadoabr[[#Headers],[23]],tabela_registros[REGISTRO],DADOS!$N$5,tabela_registros[TIPO],DADOS!$AB$3,tabela_registros[CATEGORIA],investirrendafixaconsolidadoabr[[#This Row],[ATUAL]])</f>
        <v>0</v>
      </c>
      <c r="AB115" s="119" t="n">
        <f aca="false">SUMIFS(tabela_registros[VALOR],tabela_registros[MÊS],$AE$1,tabela_registros[DIA],investirrendafixaconsolidadoabr[[#Headers],[24]],tabela_registros[REGISTRO],DADOS!$N$5,tabela_registros[TIPO],DADOS!$AB$3,tabela_registros[CATEGORIA],investirrendafixaconsolidadoabr[[#This Row],[ATUAL]])</f>
        <v>0</v>
      </c>
      <c r="AC115" s="119" t="n">
        <f aca="false">SUMIFS(tabela_registros[VALOR],tabela_registros[MÊS],$AE$1,tabela_registros[DIA],investirrendafixaconsolidadoabr[[#Headers],[25]],tabela_registros[REGISTRO],DADOS!$N$5,tabela_registros[TIPO],DADOS!$AB$3,tabela_registros[CATEGORIA],investirrendafixaconsolidadoabr[[#This Row],[ATUAL]])</f>
        <v>0</v>
      </c>
      <c r="AD115" s="119" t="n">
        <f aca="false">SUMIFS(tabela_registros[VALOR],tabela_registros[MÊS],$AE$1,tabela_registros[DIA],investirrendafixaconsolidadoabr[[#Headers],[26]],tabela_registros[REGISTRO],DADOS!$N$5,tabela_registros[TIPO],DADOS!$AB$3,tabela_registros[CATEGORIA],investirrendafixaconsolidadoabr[[#This Row],[ATUAL]])</f>
        <v>0</v>
      </c>
      <c r="AE115" s="119" t="n">
        <f aca="false">SUMIFS(tabela_registros[VALOR],tabela_registros[MÊS],$AE$1,tabela_registros[DIA],investirrendafixaconsolidadoabr[[#Headers],[27]],tabela_registros[REGISTRO],DADOS!$N$5,tabela_registros[TIPO],DADOS!$AB$3,tabela_registros[CATEGORIA],investirrendafixaconsolidadoabr[[#This Row],[ATUAL]])</f>
        <v>0</v>
      </c>
      <c r="AF115" s="119" t="n">
        <f aca="false">SUMIFS(tabela_registros[VALOR],tabela_registros[MÊS],$AE$1,tabela_registros[DIA],investirrendafixaconsolidadoabr[[#Headers],[28]],tabela_registros[REGISTRO],DADOS!$N$5,tabela_registros[TIPO],DADOS!$AB$3,tabela_registros[CATEGORIA],investirrendafixaconsolidadoabr[[#This Row],[ATUAL]])</f>
        <v>0</v>
      </c>
      <c r="AG115" s="119" t="n">
        <f aca="false">SUMIFS(tabela_registros[VALOR],tabela_registros[MÊS],$AE$1,tabela_registros[DIA],investirrendafixaconsolidadoabr[[#Headers],[29]],tabela_registros[REGISTRO],DADOS!$N$5,tabela_registros[TIPO],DADOS!$AB$3,tabela_registros[CATEGORIA],investirrendafixaconsolidadoabr[[#This Row],[ATUAL]])</f>
        <v>0</v>
      </c>
      <c r="AH115" s="119" t="n">
        <f aca="false">SUMIFS(tabela_registros[VALOR],tabela_registros[MÊS],$AE$1,tabela_registros[DIA],investirrendafixaconsolidadoabr[[#Headers],[30]],tabela_registros[REGISTRO],DADOS!$N$5,tabela_registros[TIPO],DADOS!$AB$3,tabela_registros[CATEGORIA],investirrendafixaconsolidadoabr[[#This Row],[ATUAL]])</f>
        <v>0</v>
      </c>
      <c r="AI115" s="217" t="n">
        <f aca="false">SUMIFS(tabela_registros[VALOR],tabela_registros[MÊS],$AE$1,tabela_registros[DIA],investirrendafixaconsolidadoabr[[#Headers],[31]],tabela_registros[REGISTRO],DADOS!$N$5,tabela_registros[TIPO],DADOS!$AB$3,tabela_registros[CATEGORIA],investirrendafixaconsolidadoabr[[#This Row],[ATUAL]])</f>
        <v>0</v>
      </c>
      <c r="AJ115" s="149" t="n">
        <f aca="false">SUM(investirrendafixaconsolidadoabr[[#This Row],[1]:[31]])</f>
        <v>0</v>
      </c>
      <c r="AK115" s="165"/>
    </row>
    <row r="116" customFormat="false" ht="19.5" hidden="false" customHeight="true" outlineLevel="0" collapsed="false">
      <c r="B116" s="143"/>
      <c r="C116" s="144" t="str">
        <f aca="false">DADOS!$AD$6</f>
        <v>📝 DEBÊNTURE</v>
      </c>
      <c r="D116" s="145" t="str">
        <f aca="false">IF(investirrendafixaconsolidadoabr[[#This Row],[TOTAL (R$)]]=0,"",IF(OR(investirrendafixaconsolidadoabr[[#This Row],[TOTAL (R$)]]=LARGE($AJ$113:$AJ$122,1),investirrendafixaconsolidadoabr[[#This Row],[TOTAL (R$)]]=LARGE($AJ$113:$AJ$122,2)),DADOS!$I$10,""))</f>
        <v/>
      </c>
      <c r="E116" s="148" t="n">
        <f aca="false">SUMIFS(tabela_registros[VALOR],tabela_registros[MÊS],$AE$1,tabela_registros[DIA],investirrendafixaconsolidadoabr[[#Headers],[1]],tabela_registros[REGISTRO],DADOS!$N$5,tabela_registros[TIPO],DADOS!$AB$3,tabela_registros[CATEGORIA],investirrendafixaconsolidadoabr[[#This Row],[ATUAL]])</f>
        <v>0</v>
      </c>
      <c r="F116" s="119" t="n">
        <f aca="false">SUMIFS(tabela_registros[VALOR],tabela_registros[MÊS],$AE$1,tabela_registros[DIA],investirrendafixaconsolidadoabr[[#Headers],[2]],tabela_registros[REGISTRO],DADOS!$N$5,tabela_registros[TIPO],DADOS!$AB$3,tabela_registros[CATEGORIA],investirrendafixaconsolidadoabr[[#This Row],[ATUAL]])</f>
        <v>0</v>
      </c>
      <c r="G116" s="119" t="n">
        <f aca="false">SUMIFS(tabela_registros[VALOR],tabela_registros[MÊS],$AE$1,tabela_registros[DIA],investirrendafixaconsolidadoabr[[#Headers],[3]],tabela_registros[REGISTRO],DADOS!$N$5,tabela_registros[TIPO],DADOS!$AB$3,tabela_registros[CATEGORIA],investirrendafixaconsolidadoabr[[#This Row],[ATUAL]])</f>
        <v>0</v>
      </c>
      <c r="H116" s="119" t="n">
        <f aca="false">SUMIFS(tabela_registros[VALOR],tabela_registros[MÊS],$AE$1,tabela_registros[DIA],investirrendafixaconsolidadoabr[[#Headers],[4]],tabela_registros[REGISTRO],DADOS!$N$5,tabela_registros[TIPO],DADOS!$AB$3,tabela_registros[CATEGORIA],investirrendafixaconsolidadoabr[[#This Row],[ATUAL]])</f>
        <v>0</v>
      </c>
      <c r="I116" s="119" t="n">
        <f aca="false">SUMIFS(tabela_registros[VALOR],tabela_registros[MÊS],$AE$1,tabela_registros[DIA],investirrendafixaconsolidadoabr[[#Headers],[5]],tabela_registros[REGISTRO],DADOS!$N$5,tabela_registros[TIPO],DADOS!$AB$3,tabela_registros[CATEGORIA],investirrendafixaconsolidadoabr[[#This Row],[ATUAL]])</f>
        <v>0</v>
      </c>
      <c r="J116" s="119" t="n">
        <f aca="false">SUMIFS(tabela_registros[VALOR],tabela_registros[MÊS],$AE$1,tabela_registros[DIA],investirrendafixaconsolidadoabr[[#Headers],[6]],tabela_registros[REGISTRO],DADOS!$N$5,tabela_registros[TIPO],DADOS!$AB$3,tabela_registros[CATEGORIA],investirrendafixaconsolidadoabr[[#This Row],[ATUAL]])</f>
        <v>0</v>
      </c>
      <c r="K116" s="119" t="n">
        <f aca="false">SUMIFS(tabela_registros[VALOR],tabela_registros[MÊS],$AE$1,tabela_registros[DIA],investirrendafixaconsolidadoabr[[#Headers],[7]],tabela_registros[REGISTRO],DADOS!$N$5,tabela_registros[TIPO],DADOS!$AB$3,tabela_registros[CATEGORIA],investirrendafixaconsolidadoabr[[#This Row],[ATUAL]])</f>
        <v>0</v>
      </c>
      <c r="L116" s="119" t="n">
        <f aca="false">SUMIFS(tabela_registros[VALOR],tabela_registros[MÊS],$AE$1,tabela_registros[DIA],investirrendafixaconsolidadoabr[[#Headers],[8]],tabela_registros[REGISTRO],DADOS!$N$5,tabela_registros[TIPO],DADOS!$AB$3,tabela_registros[CATEGORIA],investirrendafixaconsolidadoabr[[#This Row],[ATUAL]])</f>
        <v>0</v>
      </c>
      <c r="M116" s="119" t="n">
        <f aca="false">SUMIFS(tabela_registros[VALOR],tabela_registros[MÊS],$AE$1,tabela_registros[DIA],investirrendafixaconsolidadoabr[[#Headers],[9]],tabela_registros[REGISTRO],DADOS!$N$5,tabela_registros[TIPO],DADOS!$AB$3,tabela_registros[CATEGORIA],investirrendafixaconsolidadoabr[[#This Row],[ATUAL]])</f>
        <v>0</v>
      </c>
      <c r="N116" s="119" t="n">
        <f aca="false">SUMIFS(tabela_registros[VALOR],tabela_registros[MÊS],$AE$1,tabela_registros[DIA],investirrendafixaconsolidadoabr[[#Headers],[10]],tabela_registros[REGISTRO],DADOS!$N$5,tabela_registros[TIPO],DADOS!$AB$3,tabela_registros[CATEGORIA],investirrendafixaconsolidadoabr[[#This Row],[ATUAL]])</f>
        <v>0</v>
      </c>
      <c r="O116" s="119" t="n">
        <f aca="false">SUMIFS(tabela_registros[VALOR],tabela_registros[MÊS],$AE$1,tabela_registros[DIA],investirrendafixaconsolidadoabr[[#Headers],[11]],tabela_registros[REGISTRO],DADOS!$N$5,tabela_registros[TIPO],DADOS!$AB$3,tabela_registros[CATEGORIA],investirrendafixaconsolidadoabr[[#This Row],[ATUAL]])</f>
        <v>0</v>
      </c>
      <c r="P116" s="119" t="n">
        <f aca="false">SUMIFS(tabela_registros[VALOR],tabela_registros[MÊS],$AE$1,tabela_registros[DIA],investirrendafixaconsolidadoabr[[#Headers],[12]],tabela_registros[REGISTRO],DADOS!$N$5,tabela_registros[TIPO],DADOS!$AB$3,tabela_registros[CATEGORIA],investirrendafixaconsolidadoabr[[#This Row],[ATUAL]])</f>
        <v>0</v>
      </c>
      <c r="Q116" s="119" t="n">
        <f aca="false">SUMIFS(tabela_registros[VALOR],tabela_registros[MÊS],$AE$1,tabela_registros[DIA],investirrendafixaconsolidadoabr[[#Headers],[13]],tabela_registros[REGISTRO],DADOS!$N$5,tabela_registros[TIPO],DADOS!$AB$3,tabela_registros[CATEGORIA],investirrendafixaconsolidadoabr[[#This Row],[ATUAL]])</f>
        <v>0</v>
      </c>
      <c r="R116" s="119" t="n">
        <f aca="false">SUMIFS(tabela_registros[VALOR],tabela_registros[MÊS],$AE$1,tabela_registros[DIA],investirrendafixaconsolidadoabr[[#Headers],[14]],tabela_registros[REGISTRO],DADOS!$N$5,tabela_registros[TIPO],DADOS!$AB$3,tabela_registros[CATEGORIA],investirrendafixaconsolidadoabr[[#This Row],[ATUAL]])</f>
        <v>0</v>
      </c>
      <c r="S116" s="119" t="n">
        <f aca="false">SUMIFS(tabela_registros[VALOR],tabela_registros[MÊS],$AE$1,tabela_registros[DIA],investirrendafixaconsolidadoabr[[#Headers],[15]],tabela_registros[REGISTRO],DADOS!$N$5,tabela_registros[TIPO],DADOS!$AB$3,tabela_registros[CATEGORIA],investirrendafixaconsolidadoabr[[#This Row],[ATUAL]])</f>
        <v>0</v>
      </c>
      <c r="T116" s="119" t="n">
        <f aca="false">SUMIFS(tabela_registros[VALOR],tabela_registros[MÊS],$AE$1,tabela_registros[DIA],investirrendafixaconsolidadoabr[[#Headers],[16]],tabela_registros[REGISTRO],DADOS!$N$5,tabela_registros[TIPO],DADOS!$AB$3,tabela_registros[CATEGORIA],investirrendafixaconsolidadoabr[[#This Row],[ATUAL]])</f>
        <v>0</v>
      </c>
      <c r="U116" s="119" t="n">
        <f aca="false">SUMIFS(tabela_registros[VALOR],tabela_registros[MÊS],$AE$1,tabela_registros[DIA],investirrendafixaconsolidadoabr[[#Headers],[17]],tabela_registros[REGISTRO],DADOS!$N$5,tabela_registros[TIPO],DADOS!$AB$3,tabela_registros[CATEGORIA],investirrendafixaconsolidadoabr[[#This Row],[ATUAL]])</f>
        <v>0</v>
      </c>
      <c r="V116" s="119" t="n">
        <f aca="false">SUMIFS(tabela_registros[VALOR],tabela_registros[MÊS],$AE$1,tabela_registros[DIA],investirrendafixaconsolidadoabr[[#Headers],[18]],tabela_registros[REGISTRO],DADOS!$N$5,tabela_registros[TIPO],DADOS!$AB$3,tabela_registros[CATEGORIA],investirrendafixaconsolidadoabr[[#This Row],[ATUAL]])</f>
        <v>0</v>
      </c>
      <c r="W116" s="119" t="n">
        <f aca="false">SUMIFS(tabela_registros[VALOR],tabela_registros[MÊS],$AE$1,tabela_registros[DIA],investirrendafixaconsolidadoabr[[#Headers],[19]],tabela_registros[REGISTRO],DADOS!$N$5,tabela_registros[TIPO],DADOS!$AB$3,tabela_registros[CATEGORIA],investirrendafixaconsolidadoabr[[#This Row],[ATUAL]])</f>
        <v>0</v>
      </c>
      <c r="X116" s="119" t="n">
        <f aca="false">SUMIFS(tabela_registros[VALOR],tabela_registros[MÊS],$AE$1,tabela_registros[DIA],investirrendafixaconsolidadoabr[[#Headers],[20]],tabela_registros[REGISTRO],DADOS!$N$5,tabela_registros[TIPO],DADOS!$AB$3,tabela_registros[CATEGORIA],investirrendafixaconsolidadoabr[[#This Row],[ATUAL]])</f>
        <v>0</v>
      </c>
      <c r="Y116" s="119" t="n">
        <f aca="false">SUMIFS(tabela_registros[VALOR],tabela_registros[MÊS],$AE$1,tabela_registros[DIA],investirrendafixaconsolidadoabr[[#Headers],[21]],tabela_registros[REGISTRO],DADOS!$N$5,tabela_registros[TIPO],DADOS!$AB$3,tabela_registros[CATEGORIA],investirrendafixaconsolidadoabr[[#This Row],[ATUAL]])</f>
        <v>0</v>
      </c>
      <c r="Z116" s="119" t="n">
        <f aca="false">SUMIFS(tabela_registros[VALOR],tabela_registros[MÊS],$AE$1,tabela_registros[DIA],investirrendafixaconsolidadoabr[[#Headers],[22]],tabela_registros[REGISTRO],DADOS!$N$5,tabela_registros[TIPO],DADOS!$AB$3,tabela_registros[CATEGORIA],investirrendafixaconsolidadoabr[[#This Row],[ATUAL]])</f>
        <v>0</v>
      </c>
      <c r="AA116" s="119" t="n">
        <f aca="false">SUMIFS(tabela_registros[VALOR],tabela_registros[MÊS],$AE$1,tabela_registros[DIA],investirrendafixaconsolidadoabr[[#Headers],[23]],tabela_registros[REGISTRO],DADOS!$N$5,tabela_registros[TIPO],DADOS!$AB$3,tabela_registros[CATEGORIA],investirrendafixaconsolidadoabr[[#This Row],[ATUAL]])</f>
        <v>0</v>
      </c>
      <c r="AB116" s="119" t="n">
        <f aca="false">SUMIFS(tabela_registros[VALOR],tabela_registros[MÊS],$AE$1,tabela_registros[DIA],investirrendafixaconsolidadoabr[[#Headers],[24]],tabela_registros[REGISTRO],DADOS!$N$5,tabela_registros[TIPO],DADOS!$AB$3,tabela_registros[CATEGORIA],investirrendafixaconsolidadoabr[[#This Row],[ATUAL]])</f>
        <v>0</v>
      </c>
      <c r="AC116" s="119" t="n">
        <f aca="false">SUMIFS(tabela_registros[VALOR],tabela_registros[MÊS],$AE$1,tabela_registros[DIA],investirrendafixaconsolidadoabr[[#Headers],[25]],tabela_registros[REGISTRO],DADOS!$N$5,tabela_registros[TIPO],DADOS!$AB$3,tabela_registros[CATEGORIA],investirrendafixaconsolidadoabr[[#This Row],[ATUAL]])</f>
        <v>0</v>
      </c>
      <c r="AD116" s="119" t="n">
        <f aca="false">SUMIFS(tabela_registros[VALOR],tabela_registros[MÊS],$AE$1,tabela_registros[DIA],investirrendafixaconsolidadoabr[[#Headers],[26]],tabela_registros[REGISTRO],DADOS!$N$5,tabela_registros[TIPO],DADOS!$AB$3,tabela_registros[CATEGORIA],investirrendafixaconsolidadoabr[[#This Row],[ATUAL]])</f>
        <v>0</v>
      </c>
      <c r="AE116" s="119" t="n">
        <f aca="false">SUMIFS(tabela_registros[VALOR],tabela_registros[MÊS],$AE$1,tabela_registros[DIA],investirrendafixaconsolidadoabr[[#Headers],[27]],tabela_registros[REGISTRO],DADOS!$N$5,tabela_registros[TIPO],DADOS!$AB$3,tabela_registros[CATEGORIA],investirrendafixaconsolidadoabr[[#This Row],[ATUAL]])</f>
        <v>0</v>
      </c>
      <c r="AF116" s="119" t="n">
        <f aca="false">SUMIFS(tabela_registros[VALOR],tabela_registros[MÊS],$AE$1,tabela_registros[DIA],investirrendafixaconsolidadoabr[[#Headers],[28]],tabela_registros[REGISTRO],DADOS!$N$5,tabela_registros[TIPO],DADOS!$AB$3,tabela_registros[CATEGORIA],investirrendafixaconsolidadoabr[[#This Row],[ATUAL]])</f>
        <v>0</v>
      </c>
      <c r="AG116" s="119" t="n">
        <f aca="false">SUMIFS(tabela_registros[VALOR],tabela_registros[MÊS],$AE$1,tabela_registros[DIA],investirrendafixaconsolidadoabr[[#Headers],[29]],tabela_registros[REGISTRO],DADOS!$N$5,tabela_registros[TIPO],DADOS!$AB$3,tabela_registros[CATEGORIA],investirrendafixaconsolidadoabr[[#This Row],[ATUAL]])</f>
        <v>0</v>
      </c>
      <c r="AH116" s="119" t="n">
        <f aca="false">SUMIFS(tabela_registros[VALOR],tabela_registros[MÊS],$AE$1,tabela_registros[DIA],investirrendafixaconsolidadoabr[[#Headers],[30]],tabela_registros[REGISTRO],DADOS!$N$5,tabela_registros[TIPO],DADOS!$AB$3,tabela_registros[CATEGORIA],investirrendafixaconsolidadoabr[[#This Row],[ATUAL]])</f>
        <v>0</v>
      </c>
      <c r="AI116" s="217" t="n">
        <f aca="false">SUMIFS(tabela_registros[VALOR],tabela_registros[MÊS],$AE$1,tabela_registros[DIA],investirrendafixaconsolidadoabr[[#Headers],[31]],tabela_registros[REGISTRO],DADOS!$N$5,tabela_registros[TIPO],DADOS!$AB$3,tabela_registros[CATEGORIA],investirrendafixaconsolidadoabr[[#This Row],[ATUAL]])</f>
        <v>0</v>
      </c>
      <c r="AJ116" s="149" t="n">
        <f aca="false">SUM(investirrendafixaconsolidadoabr[[#This Row],[1]:[31]])</f>
        <v>0</v>
      </c>
      <c r="AK116" s="165"/>
    </row>
    <row r="117" customFormat="false" ht="19.5" hidden="false" customHeight="true" outlineLevel="0" collapsed="false">
      <c r="B117" s="143"/>
      <c r="C117" s="144" t="str">
        <f aca="false">DADOS!$AD$7</f>
        <v>📝 EXTERIOR</v>
      </c>
      <c r="D117" s="145" t="str">
        <f aca="false">IF(investirrendafixaconsolidadoabr[[#This Row],[TOTAL (R$)]]=0,"",IF(OR(investirrendafixaconsolidadoabr[[#This Row],[TOTAL (R$)]]=LARGE($AJ$113:$AJ$122,1),investirrendafixaconsolidadoabr[[#This Row],[TOTAL (R$)]]=LARGE($AJ$113:$AJ$122,2)),DADOS!$I$10,""))</f>
        <v/>
      </c>
      <c r="E117" s="148" t="n">
        <f aca="false">SUMIFS(tabela_registros[VALOR],tabela_registros[MÊS],$AE$1,tabela_registros[DIA],investirrendafixaconsolidadoabr[[#Headers],[1]],tabela_registros[REGISTRO],DADOS!$N$5,tabela_registros[TIPO],DADOS!$AB$3,tabela_registros[CATEGORIA],investirrendafixaconsolidadoabr[[#This Row],[ATUAL]])</f>
        <v>0</v>
      </c>
      <c r="F117" s="119" t="n">
        <f aca="false">SUMIFS(tabela_registros[VALOR],tabela_registros[MÊS],$AE$1,tabela_registros[DIA],investirrendafixaconsolidadoabr[[#Headers],[2]],tabela_registros[REGISTRO],DADOS!$N$5,tabela_registros[TIPO],DADOS!$AB$3,tabela_registros[CATEGORIA],investirrendafixaconsolidadoabr[[#This Row],[ATUAL]])</f>
        <v>0</v>
      </c>
      <c r="G117" s="119" t="n">
        <f aca="false">SUMIFS(tabela_registros[VALOR],tabela_registros[MÊS],$AE$1,tabela_registros[DIA],investirrendafixaconsolidadoabr[[#Headers],[3]],tabela_registros[REGISTRO],DADOS!$N$5,tabela_registros[TIPO],DADOS!$AB$3,tabela_registros[CATEGORIA],investirrendafixaconsolidadoabr[[#This Row],[ATUAL]])</f>
        <v>0</v>
      </c>
      <c r="H117" s="119" t="n">
        <f aca="false">SUMIFS(tabela_registros[VALOR],tabela_registros[MÊS],$AE$1,tabela_registros[DIA],investirrendafixaconsolidadoabr[[#Headers],[4]],tabela_registros[REGISTRO],DADOS!$N$5,tabela_registros[TIPO],DADOS!$AB$3,tabela_registros[CATEGORIA],investirrendafixaconsolidadoabr[[#This Row],[ATUAL]])</f>
        <v>0</v>
      </c>
      <c r="I117" s="119" t="n">
        <f aca="false">SUMIFS(tabela_registros[VALOR],tabela_registros[MÊS],$AE$1,tabela_registros[DIA],investirrendafixaconsolidadoabr[[#Headers],[5]],tabela_registros[REGISTRO],DADOS!$N$5,tabela_registros[TIPO],DADOS!$AB$3,tabela_registros[CATEGORIA],investirrendafixaconsolidadoabr[[#This Row],[ATUAL]])</f>
        <v>0</v>
      </c>
      <c r="J117" s="119" t="n">
        <f aca="false">SUMIFS(tabela_registros[VALOR],tabela_registros[MÊS],$AE$1,tabela_registros[DIA],investirrendafixaconsolidadoabr[[#Headers],[6]],tabela_registros[REGISTRO],DADOS!$N$5,tabela_registros[TIPO],DADOS!$AB$3,tabela_registros[CATEGORIA],investirrendafixaconsolidadoabr[[#This Row],[ATUAL]])</f>
        <v>0</v>
      </c>
      <c r="K117" s="119" t="n">
        <f aca="false">SUMIFS(tabela_registros[VALOR],tabela_registros[MÊS],$AE$1,tabela_registros[DIA],investirrendafixaconsolidadoabr[[#Headers],[7]],tabela_registros[REGISTRO],DADOS!$N$5,tabela_registros[TIPO],DADOS!$AB$3,tabela_registros[CATEGORIA],investirrendafixaconsolidadoabr[[#This Row],[ATUAL]])</f>
        <v>0</v>
      </c>
      <c r="L117" s="119" t="n">
        <f aca="false">SUMIFS(tabela_registros[VALOR],tabela_registros[MÊS],$AE$1,tabela_registros[DIA],investirrendafixaconsolidadoabr[[#Headers],[8]],tabela_registros[REGISTRO],DADOS!$N$5,tabela_registros[TIPO],DADOS!$AB$3,tabela_registros[CATEGORIA],investirrendafixaconsolidadoabr[[#This Row],[ATUAL]])</f>
        <v>0</v>
      </c>
      <c r="M117" s="119" t="n">
        <f aca="false">SUMIFS(tabela_registros[VALOR],tabela_registros[MÊS],$AE$1,tabela_registros[DIA],investirrendafixaconsolidadoabr[[#Headers],[9]],tabela_registros[REGISTRO],DADOS!$N$5,tabela_registros[TIPO],DADOS!$AB$3,tabela_registros[CATEGORIA],investirrendafixaconsolidadoabr[[#This Row],[ATUAL]])</f>
        <v>0</v>
      </c>
      <c r="N117" s="119" t="n">
        <f aca="false">SUMIFS(tabela_registros[VALOR],tabela_registros[MÊS],$AE$1,tabela_registros[DIA],investirrendafixaconsolidadoabr[[#Headers],[10]],tabela_registros[REGISTRO],DADOS!$N$5,tabela_registros[TIPO],DADOS!$AB$3,tabela_registros[CATEGORIA],investirrendafixaconsolidadoabr[[#This Row],[ATUAL]])</f>
        <v>0</v>
      </c>
      <c r="O117" s="119" t="n">
        <f aca="false">SUMIFS(tabela_registros[VALOR],tabela_registros[MÊS],$AE$1,tabela_registros[DIA],investirrendafixaconsolidadoabr[[#Headers],[11]],tabela_registros[REGISTRO],DADOS!$N$5,tabela_registros[TIPO],DADOS!$AB$3,tabela_registros[CATEGORIA],investirrendafixaconsolidadoabr[[#This Row],[ATUAL]])</f>
        <v>0</v>
      </c>
      <c r="P117" s="119" t="n">
        <f aca="false">SUMIFS(tabela_registros[VALOR],tabela_registros[MÊS],$AE$1,tabela_registros[DIA],investirrendafixaconsolidadoabr[[#Headers],[12]],tabela_registros[REGISTRO],DADOS!$N$5,tabela_registros[TIPO],DADOS!$AB$3,tabela_registros[CATEGORIA],investirrendafixaconsolidadoabr[[#This Row],[ATUAL]])</f>
        <v>0</v>
      </c>
      <c r="Q117" s="119" t="n">
        <f aca="false">SUMIFS(tabela_registros[VALOR],tabela_registros[MÊS],$AE$1,tabela_registros[DIA],investirrendafixaconsolidadoabr[[#Headers],[13]],tabela_registros[REGISTRO],DADOS!$N$5,tabela_registros[TIPO],DADOS!$AB$3,tabela_registros[CATEGORIA],investirrendafixaconsolidadoabr[[#This Row],[ATUAL]])</f>
        <v>0</v>
      </c>
      <c r="R117" s="119" t="n">
        <f aca="false">SUMIFS(tabela_registros[VALOR],tabela_registros[MÊS],$AE$1,tabela_registros[DIA],investirrendafixaconsolidadoabr[[#Headers],[14]],tabela_registros[REGISTRO],DADOS!$N$5,tabela_registros[TIPO],DADOS!$AB$3,tabela_registros[CATEGORIA],investirrendafixaconsolidadoabr[[#This Row],[ATUAL]])</f>
        <v>0</v>
      </c>
      <c r="S117" s="119" t="n">
        <f aca="false">SUMIFS(tabela_registros[VALOR],tabela_registros[MÊS],$AE$1,tabela_registros[DIA],investirrendafixaconsolidadoabr[[#Headers],[15]],tabela_registros[REGISTRO],DADOS!$N$5,tabela_registros[TIPO],DADOS!$AB$3,tabela_registros[CATEGORIA],investirrendafixaconsolidadoabr[[#This Row],[ATUAL]])</f>
        <v>0</v>
      </c>
      <c r="T117" s="119" t="n">
        <f aca="false">SUMIFS(tabela_registros[VALOR],tabela_registros[MÊS],$AE$1,tabela_registros[DIA],investirrendafixaconsolidadoabr[[#Headers],[16]],tabela_registros[REGISTRO],DADOS!$N$5,tabela_registros[TIPO],DADOS!$AB$3,tabela_registros[CATEGORIA],investirrendafixaconsolidadoabr[[#This Row],[ATUAL]])</f>
        <v>0</v>
      </c>
      <c r="U117" s="119" t="n">
        <f aca="false">SUMIFS(tabela_registros[VALOR],tabela_registros[MÊS],$AE$1,tabela_registros[DIA],investirrendafixaconsolidadoabr[[#Headers],[17]],tabela_registros[REGISTRO],DADOS!$N$5,tabela_registros[TIPO],DADOS!$AB$3,tabela_registros[CATEGORIA],investirrendafixaconsolidadoabr[[#This Row],[ATUAL]])</f>
        <v>0</v>
      </c>
      <c r="V117" s="119" t="n">
        <f aca="false">SUMIFS(tabela_registros[VALOR],tabela_registros[MÊS],$AE$1,tabela_registros[DIA],investirrendafixaconsolidadoabr[[#Headers],[18]],tabela_registros[REGISTRO],DADOS!$N$5,tabela_registros[TIPO],DADOS!$AB$3,tabela_registros[CATEGORIA],investirrendafixaconsolidadoabr[[#This Row],[ATUAL]])</f>
        <v>0</v>
      </c>
      <c r="W117" s="119" t="n">
        <f aca="false">SUMIFS(tabela_registros[VALOR],tabela_registros[MÊS],$AE$1,tabela_registros[DIA],investirrendafixaconsolidadoabr[[#Headers],[19]],tabela_registros[REGISTRO],DADOS!$N$5,tabela_registros[TIPO],DADOS!$AB$3,tabela_registros[CATEGORIA],investirrendafixaconsolidadoabr[[#This Row],[ATUAL]])</f>
        <v>0</v>
      </c>
      <c r="X117" s="119" t="n">
        <f aca="false">SUMIFS(tabela_registros[VALOR],tabela_registros[MÊS],$AE$1,tabela_registros[DIA],investirrendafixaconsolidadoabr[[#Headers],[20]],tabela_registros[REGISTRO],DADOS!$N$5,tabela_registros[TIPO],DADOS!$AB$3,tabela_registros[CATEGORIA],investirrendafixaconsolidadoabr[[#This Row],[ATUAL]])</f>
        <v>0</v>
      </c>
      <c r="Y117" s="119" t="n">
        <f aca="false">SUMIFS(tabela_registros[VALOR],tabela_registros[MÊS],$AE$1,tabela_registros[DIA],investirrendafixaconsolidadoabr[[#Headers],[21]],tabela_registros[REGISTRO],DADOS!$N$5,tabela_registros[TIPO],DADOS!$AB$3,tabela_registros[CATEGORIA],investirrendafixaconsolidadoabr[[#This Row],[ATUAL]])</f>
        <v>0</v>
      </c>
      <c r="Z117" s="119" t="n">
        <f aca="false">SUMIFS(tabela_registros[VALOR],tabela_registros[MÊS],$AE$1,tabela_registros[DIA],investirrendafixaconsolidadoabr[[#Headers],[22]],tabela_registros[REGISTRO],DADOS!$N$5,tabela_registros[TIPO],DADOS!$AB$3,tabela_registros[CATEGORIA],investirrendafixaconsolidadoabr[[#This Row],[ATUAL]])</f>
        <v>0</v>
      </c>
      <c r="AA117" s="119" t="n">
        <f aca="false">SUMIFS(tabela_registros[VALOR],tabela_registros[MÊS],$AE$1,tabela_registros[DIA],investirrendafixaconsolidadoabr[[#Headers],[23]],tabela_registros[REGISTRO],DADOS!$N$5,tabela_registros[TIPO],DADOS!$AB$3,tabela_registros[CATEGORIA],investirrendafixaconsolidadoabr[[#This Row],[ATUAL]])</f>
        <v>0</v>
      </c>
      <c r="AB117" s="119" t="n">
        <f aca="false">SUMIFS(tabela_registros[VALOR],tabela_registros[MÊS],$AE$1,tabela_registros[DIA],investirrendafixaconsolidadoabr[[#Headers],[24]],tabela_registros[REGISTRO],DADOS!$N$5,tabela_registros[TIPO],DADOS!$AB$3,tabela_registros[CATEGORIA],investirrendafixaconsolidadoabr[[#This Row],[ATUAL]])</f>
        <v>0</v>
      </c>
      <c r="AC117" s="119" t="n">
        <f aca="false">SUMIFS(tabela_registros[VALOR],tabela_registros[MÊS],$AE$1,tabela_registros[DIA],investirrendafixaconsolidadoabr[[#Headers],[25]],tabela_registros[REGISTRO],DADOS!$N$5,tabela_registros[TIPO],DADOS!$AB$3,tabela_registros[CATEGORIA],investirrendafixaconsolidadoabr[[#This Row],[ATUAL]])</f>
        <v>0</v>
      </c>
      <c r="AD117" s="119" t="n">
        <f aca="false">SUMIFS(tabela_registros[VALOR],tabela_registros[MÊS],$AE$1,tabela_registros[DIA],investirrendafixaconsolidadoabr[[#Headers],[26]],tabela_registros[REGISTRO],DADOS!$N$5,tabela_registros[TIPO],DADOS!$AB$3,tabela_registros[CATEGORIA],investirrendafixaconsolidadoabr[[#This Row],[ATUAL]])</f>
        <v>0</v>
      </c>
      <c r="AE117" s="119" t="n">
        <f aca="false">SUMIFS(tabela_registros[VALOR],tabela_registros[MÊS],$AE$1,tabela_registros[DIA],investirrendafixaconsolidadoabr[[#Headers],[27]],tabela_registros[REGISTRO],DADOS!$N$5,tabela_registros[TIPO],DADOS!$AB$3,tabela_registros[CATEGORIA],investirrendafixaconsolidadoabr[[#This Row],[ATUAL]])</f>
        <v>0</v>
      </c>
      <c r="AF117" s="119" t="n">
        <f aca="false">SUMIFS(tabela_registros[VALOR],tabela_registros[MÊS],$AE$1,tabela_registros[DIA],investirrendafixaconsolidadoabr[[#Headers],[28]],tabela_registros[REGISTRO],DADOS!$N$5,tabela_registros[TIPO],DADOS!$AB$3,tabela_registros[CATEGORIA],investirrendafixaconsolidadoabr[[#This Row],[ATUAL]])</f>
        <v>0</v>
      </c>
      <c r="AG117" s="119" t="n">
        <f aca="false">SUMIFS(tabela_registros[VALOR],tabela_registros[MÊS],$AE$1,tabela_registros[DIA],investirrendafixaconsolidadoabr[[#Headers],[29]],tabela_registros[REGISTRO],DADOS!$N$5,tabela_registros[TIPO],DADOS!$AB$3,tabela_registros[CATEGORIA],investirrendafixaconsolidadoabr[[#This Row],[ATUAL]])</f>
        <v>0</v>
      </c>
      <c r="AH117" s="119" t="n">
        <f aca="false">SUMIFS(tabela_registros[VALOR],tabela_registros[MÊS],$AE$1,tabela_registros[DIA],investirrendafixaconsolidadoabr[[#Headers],[30]],tabela_registros[REGISTRO],DADOS!$N$5,tabela_registros[TIPO],DADOS!$AB$3,tabela_registros[CATEGORIA],investirrendafixaconsolidadoabr[[#This Row],[ATUAL]])</f>
        <v>0</v>
      </c>
      <c r="AI117" s="217" t="n">
        <f aca="false">SUMIFS(tabela_registros[VALOR],tabela_registros[MÊS],$AE$1,tabela_registros[DIA],investirrendafixaconsolidadoabr[[#Headers],[31]],tabela_registros[REGISTRO],DADOS!$N$5,tabela_registros[TIPO],DADOS!$AB$3,tabela_registros[CATEGORIA],investirrendafixaconsolidadoabr[[#This Row],[ATUAL]])</f>
        <v>0</v>
      </c>
      <c r="AJ117" s="149" t="n">
        <f aca="false">SUM(investirrendafixaconsolidadoabr[[#This Row],[1]:[31]])</f>
        <v>0</v>
      </c>
      <c r="AK117" s="165"/>
    </row>
    <row r="118" customFormat="false" ht="19.5" hidden="false" customHeight="true" outlineLevel="0" collapsed="false">
      <c r="B118" s="143"/>
      <c r="C118" s="144" t="str">
        <f aca="false">DADOS!$AD$8</f>
        <v>📝 LC</v>
      </c>
      <c r="D118" s="145" t="str">
        <f aca="false">IF(investirrendafixaconsolidadoabr[[#This Row],[TOTAL (R$)]]=0,"",IF(OR(investirrendafixaconsolidadoabr[[#This Row],[TOTAL (R$)]]=LARGE($AJ$113:$AJ$122,1),investirrendafixaconsolidadoabr[[#This Row],[TOTAL (R$)]]=LARGE($AJ$113:$AJ$122,2)),DADOS!$I$10,""))</f>
        <v/>
      </c>
      <c r="E118" s="148" t="n">
        <f aca="false">SUMIFS(tabela_registros[VALOR],tabela_registros[MÊS],$AE$1,tabela_registros[DIA],investirrendafixaconsolidadoabr[[#Headers],[1]],tabela_registros[REGISTRO],DADOS!$N$5,tabela_registros[TIPO],DADOS!$AB$3,tabela_registros[CATEGORIA],investirrendafixaconsolidadoabr[[#This Row],[ATUAL]])</f>
        <v>0</v>
      </c>
      <c r="F118" s="119" t="n">
        <f aca="false">SUMIFS(tabela_registros[VALOR],tabela_registros[MÊS],$AE$1,tabela_registros[DIA],investirrendafixaconsolidadoabr[[#Headers],[2]],tabela_registros[REGISTRO],DADOS!$N$5,tabela_registros[TIPO],DADOS!$AB$3,tabela_registros[CATEGORIA],investirrendafixaconsolidadoabr[[#This Row],[ATUAL]])</f>
        <v>0</v>
      </c>
      <c r="G118" s="119" t="n">
        <f aca="false">SUMIFS(tabela_registros[VALOR],tabela_registros[MÊS],$AE$1,tabela_registros[DIA],investirrendafixaconsolidadoabr[[#Headers],[3]],tabela_registros[REGISTRO],DADOS!$N$5,tabela_registros[TIPO],DADOS!$AB$3,tabela_registros[CATEGORIA],investirrendafixaconsolidadoabr[[#This Row],[ATUAL]])</f>
        <v>0</v>
      </c>
      <c r="H118" s="119" t="n">
        <f aca="false">SUMIFS(tabela_registros[VALOR],tabela_registros[MÊS],$AE$1,tabela_registros[DIA],investirrendafixaconsolidadoabr[[#Headers],[4]],tabela_registros[REGISTRO],DADOS!$N$5,tabela_registros[TIPO],DADOS!$AB$3,tabela_registros[CATEGORIA],investirrendafixaconsolidadoabr[[#This Row],[ATUAL]])</f>
        <v>0</v>
      </c>
      <c r="I118" s="119" t="n">
        <f aca="false">SUMIFS(tabela_registros[VALOR],tabela_registros[MÊS],$AE$1,tabela_registros[DIA],investirrendafixaconsolidadoabr[[#Headers],[5]],tabela_registros[REGISTRO],DADOS!$N$5,tabela_registros[TIPO],DADOS!$AB$3,tabela_registros[CATEGORIA],investirrendafixaconsolidadoabr[[#This Row],[ATUAL]])</f>
        <v>0</v>
      </c>
      <c r="J118" s="119" t="n">
        <f aca="false">SUMIFS(tabela_registros[VALOR],tabela_registros[MÊS],$AE$1,tabela_registros[DIA],investirrendafixaconsolidadoabr[[#Headers],[6]],tabela_registros[REGISTRO],DADOS!$N$5,tabela_registros[TIPO],DADOS!$AB$3,tabela_registros[CATEGORIA],investirrendafixaconsolidadoabr[[#This Row],[ATUAL]])</f>
        <v>0</v>
      </c>
      <c r="K118" s="119" t="n">
        <f aca="false">SUMIFS(tabela_registros[VALOR],tabela_registros[MÊS],$AE$1,tabela_registros[DIA],investirrendafixaconsolidadoabr[[#Headers],[7]],tabela_registros[REGISTRO],DADOS!$N$5,tabela_registros[TIPO],DADOS!$AB$3,tabela_registros[CATEGORIA],investirrendafixaconsolidadoabr[[#This Row],[ATUAL]])</f>
        <v>0</v>
      </c>
      <c r="L118" s="119" t="n">
        <f aca="false">SUMIFS(tabela_registros[VALOR],tabela_registros[MÊS],$AE$1,tabela_registros[DIA],investirrendafixaconsolidadoabr[[#Headers],[8]],tabela_registros[REGISTRO],DADOS!$N$5,tabela_registros[TIPO],DADOS!$AB$3,tabela_registros[CATEGORIA],investirrendafixaconsolidadoabr[[#This Row],[ATUAL]])</f>
        <v>0</v>
      </c>
      <c r="M118" s="119" t="n">
        <f aca="false">SUMIFS(tabela_registros[VALOR],tabela_registros[MÊS],$AE$1,tabela_registros[DIA],investirrendafixaconsolidadoabr[[#Headers],[9]],tabela_registros[REGISTRO],DADOS!$N$5,tabela_registros[TIPO],DADOS!$AB$3,tabela_registros[CATEGORIA],investirrendafixaconsolidadoabr[[#This Row],[ATUAL]])</f>
        <v>0</v>
      </c>
      <c r="N118" s="119" t="n">
        <f aca="false">SUMIFS(tabela_registros[VALOR],tabela_registros[MÊS],$AE$1,tabela_registros[DIA],investirrendafixaconsolidadoabr[[#Headers],[10]],tabela_registros[REGISTRO],DADOS!$N$5,tabela_registros[TIPO],DADOS!$AB$3,tabela_registros[CATEGORIA],investirrendafixaconsolidadoabr[[#This Row],[ATUAL]])</f>
        <v>0</v>
      </c>
      <c r="O118" s="119" t="n">
        <f aca="false">SUMIFS(tabela_registros[VALOR],tabela_registros[MÊS],$AE$1,tabela_registros[DIA],investirrendafixaconsolidadoabr[[#Headers],[11]],tabela_registros[REGISTRO],DADOS!$N$5,tabela_registros[TIPO],DADOS!$AB$3,tabela_registros[CATEGORIA],investirrendafixaconsolidadoabr[[#This Row],[ATUAL]])</f>
        <v>0</v>
      </c>
      <c r="P118" s="119" t="n">
        <f aca="false">SUMIFS(tabela_registros[VALOR],tabela_registros[MÊS],$AE$1,tabela_registros[DIA],investirrendafixaconsolidadoabr[[#Headers],[12]],tabela_registros[REGISTRO],DADOS!$N$5,tabela_registros[TIPO],DADOS!$AB$3,tabela_registros[CATEGORIA],investirrendafixaconsolidadoabr[[#This Row],[ATUAL]])</f>
        <v>0</v>
      </c>
      <c r="Q118" s="119" t="n">
        <f aca="false">SUMIFS(tabela_registros[VALOR],tabela_registros[MÊS],$AE$1,tabela_registros[DIA],investirrendafixaconsolidadoabr[[#Headers],[13]],tabela_registros[REGISTRO],DADOS!$N$5,tabela_registros[TIPO],DADOS!$AB$3,tabela_registros[CATEGORIA],investirrendafixaconsolidadoabr[[#This Row],[ATUAL]])</f>
        <v>0</v>
      </c>
      <c r="R118" s="119" t="n">
        <f aca="false">SUMIFS(tabela_registros[VALOR],tabela_registros[MÊS],$AE$1,tabela_registros[DIA],investirrendafixaconsolidadoabr[[#Headers],[14]],tabela_registros[REGISTRO],DADOS!$N$5,tabela_registros[TIPO],DADOS!$AB$3,tabela_registros[CATEGORIA],investirrendafixaconsolidadoabr[[#This Row],[ATUAL]])</f>
        <v>0</v>
      </c>
      <c r="S118" s="119" t="n">
        <f aca="false">SUMIFS(tabela_registros[VALOR],tabela_registros[MÊS],$AE$1,tabela_registros[DIA],investirrendafixaconsolidadoabr[[#Headers],[15]],tabela_registros[REGISTRO],DADOS!$N$5,tabela_registros[TIPO],DADOS!$AB$3,tabela_registros[CATEGORIA],investirrendafixaconsolidadoabr[[#This Row],[ATUAL]])</f>
        <v>0</v>
      </c>
      <c r="T118" s="119" t="n">
        <f aca="false">SUMIFS(tabela_registros[VALOR],tabela_registros[MÊS],$AE$1,tabela_registros[DIA],investirrendafixaconsolidadoabr[[#Headers],[16]],tabela_registros[REGISTRO],DADOS!$N$5,tabela_registros[TIPO],DADOS!$AB$3,tabela_registros[CATEGORIA],investirrendafixaconsolidadoabr[[#This Row],[ATUAL]])</f>
        <v>0</v>
      </c>
      <c r="U118" s="119" t="n">
        <f aca="false">SUMIFS(tabela_registros[VALOR],tabela_registros[MÊS],$AE$1,tabela_registros[DIA],investirrendafixaconsolidadoabr[[#Headers],[17]],tabela_registros[REGISTRO],DADOS!$N$5,tabela_registros[TIPO],DADOS!$AB$3,tabela_registros[CATEGORIA],investirrendafixaconsolidadoabr[[#This Row],[ATUAL]])</f>
        <v>0</v>
      </c>
      <c r="V118" s="119" t="n">
        <f aca="false">SUMIFS(tabela_registros[VALOR],tabela_registros[MÊS],$AE$1,tabela_registros[DIA],investirrendafixaconsolidadoabr[[#Headers],[18]],tabela_registros[REGISTRO],DADOS!$N$5,tabela_registros[TIPO],DADOS!$AB$3,tabela_registros[CATEGORIA],investirrendafixaconsolidadoabr[[#This Row],[ATUAL]])</f>
        <v>0</v>
      </c>
      <c r="W118" s="119" t="n">
        <f aca="false">SUMIFS(tabela_registros[VALOR],tabela_registros[MÊS],$AE$1,tabela_registros[DIA],investirrendafixaconsolidadoabr[[#Headers],[19]],tabela_registros[REGISTRO],DADOS!$N$5,tabela_registros[TIPO],DADOS!$AB$3,tabela_registros[CATEGORIA],investirrendafixaconsolidadoabr[[#This Row],[ATUAL]])</f>
        <v>0</v>
      </c>
      <c r="X118" s="119" t="n">
        <f aca="false">SUMIFS(tabela_registros[VALOR],tabela_registros[MÊS],$AE$1,tabela_registros[DIA],investirrendafixaconsolidadoabr[[#Headers],[20]],tabela_registros[REGISTRO],DADOS!$N$5,tabela_registros[TIPO],DADOS!$AB$3,tabela_registros[CATEGORIA],investirrendafixaconsolidadoabr[[#This Row],[ATUAL]])</f>
        <v>0</v>
      </c>
      <c r="Y118" s="119" t="n">
        <f aca="false">SUMIFS(tabela_registros[VALOR],tabela_registros[MÊS],$AE$1,tabela_registros[DIA],investirrendafixaconsolidadoabr[[#Headers],[21]],tabela_registros[REGISTRO],DADOS!$N$5,tabela_registros[TIPO],DADOS!$AB$3,tabela_registros[CATEGORIA],investirrendafixaconsolidadoabr[[#This Row],[ATUAL]])</f>
        <v>0</v>
      </c>
      <c r="Z118" s="119" t="n">
        <f aca="false">SUMIFS(tabela_registros[VALOR],tabela_registros[MÊS],$AE$1,tabela_registros[DIA],investirrendafixaconsolidadoabr[[#Headers],[22]],tabela_registros[REGISTRO],DADOS!$N$5,tabela_registros[TIPO],DADOS!$AB$3,tabela_registros[CATEGORIA],investirrendafixaconsolidadoabr[[#This Row],[ATUAL]])</f>
        <v>0</v>
      </c>
      <c r="AA118" s="119" t="n">
        <f aca="false">SUMIFS(tabela_registros[VALOR],tabela_registros[MÊS],$AE$1,tabela_registros[DIA],investirrendafixaconsolidadoabr[[#Headers],[23]],tabela_registros[REGISTRO],DADOS!$N$5,tabela_registros[TIPO],DADOS!$AB$3,tabela_registros[CATEGORIA],investirrendafixaconsolidadoabr[[#This Row],[ATUAL]])</f>
        <v>0</v>
      </c>
      <c r="AB118" s="119" t="n">
        <f aca="false">SUMIFS(tabela_registros[VALOR],tabela_registros[MÊS],$AE$1,tabela_registros[DIA],investirrendafixaconsolidadoabr[[#Headers],[24]],tabela_registros[REGISTRO],DADOS!$N$5,tabela_registros[TIPO],DADOS!$AB$3,tabela_registros[CATEGORIA],investirrendafixaconsolidadoabr[[#This Row],[ATUAL]])</f>
        <v>0</v>
      </c>
      <c r="AC118" s="119" t="n">
        <f aca="false">SUMIFS(tabela_registros[VALOR],tabela_registros[MÊS],$AE$1,tabela_registros[DIA],investirrendafixaconsolidadoabr[[#Headers],[25]],tabela_registros[REGISTRO],DADOS!$N$5,tabela_registros[TIPO],DADOS!$AB$3,tabela_registros[CATEGORIA],investirrendafixaconsolidadoabr[[#This Row],[ATUAL]])</f>
        <v>0</v>
      </c>
      <c r="AD118" s="119" t="n">
        <f aca="false">SUMIFS(tabela_registros[VALOR],tabela_registros[MÊS],$AE$1,tabela_registros[DIA],investirrendafixaconsolidadoabr[[#Headers],[26]],tabela_registros[REGISTRO],DADOS!$N$5,tabela_registros[TIPO],DADOS!$AB$3,tabela_registros[CATEGORIA],investirrendafixaconsolidadoabr[[#This Row],[ATUAL]])</f>
        <v>0</v>
      </c>
      <c r="AE118" s="119" t="n">
        <f aca="false">SUMIFS(tabela_registros[VALOR],tabela_registros[MÊS],$AE$1,tabela_registros[DIA],investirrendafixaconsolidadoabr[[#Headers],[27]],tabela_registros[REGISTRO],DADOS!$N$5,tabela_registros[TIPO],DADOS!$AB$3,tabela_registros[CATEGORIA],investirrendafixaconsolidadoabr[[#This Row],[ATUAL]])</f>
        <v>0</v>
      </c>
      <c r="AF118" s="119" t="n">
        <f aca="false">SUMIFS(tabela_registros[VALOR],tabela_registros[MÊS],$AE$1,tabela_registros[DIA],investirrendafixaconsolidadoabr[[#Headers],[28]],tabela_registros[REGISTRO],DADOS!$N$5,tabela_registros[TIPO],DADOS!$AB$3,tabela_registros[CATEGORIA],investirrendafixaconsolidadoabr[[#This Row],[ATUAL]])</f>
        <v>0</v>
      </c>
      <c r="AG118" s="119" t="n">
        <f aca="false">SUMIFS(tabela_registros[VALOR],tabela_registros[MÊS],$AE$1,tabela_registros[DIA],investirrendafixaconsolidadoabr[[#Headers],[29]],tabela_registros[REGISTRO],DADOS!$N$5,tabela_registros[TIPO],DADOS!$AB$3,tabela_registros[CATEGORIA],investirrendafixaconsolidadoabr[[#This Row],[ATUAL]])</f>
        <v>0</v>
      </c>
      <c r="AH118" s="119" t="n">
        <f aca="false">SUMIFS(tabela_registros[VALOR],tabela_registros[MÊS],$AE$1,tabela_registros[DIA],investirrendafixaconsolidadoabr[[#Headers],[30]],tabela_registros[REGISTRO],DADOS!$N$5,tabela_registros[TIPO],DADOS!$AB$3,tabela_registros[CATEGORIA],investirrendafixaconsolidadoabr[[#This Row],[ATUAL]])</f>
        <v>0</v>
      </c>
      <c r="AI118" s="217" t="n">
        <f aca="false">SUMIFS(tabela_registros[VALOR],tabela_registros[MÊS],$AE$1,tabela_registros[DIA],investirrendafixaconsolidadoabr[[#Headers],[31]],tabela_registros[REGISTRO],DADOS!$N$5,tabela_registros[TIPO],DADOS!$AB$3,tabela_registros[CATEGORIA],investirrendafixaconsolidadoabr[[#This Row],[ATUAL]])</f>
        <v>0</v>
      </c>
      <c r="AJ118" s="149" t="n">
        <f aca="false">SUM(investirrendafixaconsolidadoabr[[#This Row],[1]:[31]])</f>
        <v>0</v>
      </c>
      <c r="AK118" s="165"/>
    </row>
    <row r="119" customFormat="false" ht="19.5" hidden="false" customHeight="true" outlineLevel="0" collapsed="false">
      <c r="B119" s="143"/>
      <c r="C119" s="144" t="str">
        <f aca="false">DADOS!$AD$9</f>
        <v>📝 LCA</v>
      </c>
      <c r="D119" s="145" t="str">
        <f aca="false">IF(investirrendafixaconsolidadoabr[[#This Row],[TOTAL (R$)]]=0,"",IF(OR(investirrendafixaconsolidadoabr[[#This Row],[TOTAL (R$)]]=LARGE($AJ$113:$AJ$122,1),investirrendafixaconsolidadoabr[[#This Row],[TOTAL (R$)]]=LARGE($AJ$113:$AJ$122,2)),DADOS!$I$10,""))</f>
        <v/>
      </c>
      <c r="E119" s="148" t="n">
        <f aca="false">SUMIFS(tabela_registros[VALOR],tabela_registros[MÊS],$AE$1,tabela_registros[DIA],investirrendafixaconsolidadoabr[[#Headers],[1]],tabela_registros[REGISTRO],DADOS!$N$5,tabela_registros[TIPO],DADOS!$AB$3,tabela_registros[CATEGORIA],investirrendafixaconsolidadoabr[[#This Row],[ATUAL]])</f>
        <v>0</v>
      </c>
      <c r="F119" s="119" t="n">
        <f aca="false">SUMIFS(tabela_registros[VALOR],tabela_registros[MÊS],$AE$1,tabela_registros[DIA],investirrendafixaconsolidadoabr[[#Headers],[2]],tabela_registros[REGISTRO],DADOS!$N$5,tabela_registros[TIPO],DADOS!$AB$3,tabela_registros[CATEGORIA],investirrendafixaconsolidadoabr[[#This Row],[ATUAL]])</f>
        <v>0</v>
      </c>
      <c r="G119" s="119" t="n">
        <f aca="false">SUMIFS(tabela_registros[VALOR],tabela_registros[MÊS],$AE$1,tabela_registros[DIA],investirrendafixaconsolidadoabr[[#Headers],[3]],tabela_registros[REGISTRO],DADOS!$N$5,tabela_registros[TIPO],DADOS!$AB$3,tabela_registros[CATEGORIA],investirrendafixaconsolidadoabr[[#This Row],[ATUAL]])</f>
        <v>0</v>
      </c>
      <c r="H119" s="119" t="n">
        <f aca="false">SUMIFS(tabela_registros[VALOR],tabela_registros[MÊS],$AE$1,tabela_registros[DIA],investirrendafixaconsolidadoabr[[#Headers],[4]],tabela_registros[REGISTRO],DADOS!$N$5,tabela_registros[TIPO],DADOS!$AB$3,tabela_registros[CATEGORIA],investirrendafixaconsolidadoabr[[#This Row],[ATUAL]])</f>
        <v>0</v>
      </c>
      <c r="I119" s="119" t="n">
        <f aca="false">SUMIFS(tabela_registros[VALOR],tabela_registros[MÊS],$AE$1,tabela_registros[DIA],investirrendafixaconsolidadoabr[[#Headers],[5]],tabela_registros[REGISTRO],DADOS!$N$5,tabela_registros[TIPO],DADOS!$AB$3,tabela_registros[CATEGORIA],investirrendafixaconsolidadoabr[[#This Row],[ATUAL]])</f>
        <v>0</v>
      </c>
      <c r="J119" s="119" t="n">
        <f aca="false">SUMIFS(tabela_registros[VALOR],tabela_registros[MÊS],$AE$1,tabela_registros[DIA],investirrendafixaconsolidadoabr[[#Headers],[6]],tabela_registros[REGISTRO],DADOS!$N$5,tabela_registros[TIPO],DADOS!$AB$3,tabela_registros[CATEGORIA],investirrendafixaconsolidadoabr[[#This Row],[ATUAL]])</f>
        <v>0</v>
      </c>
      <c r="K119" s="119" t="n">
        <f aca="false">SUMIFS(tabela_registros[VALOR],tabela_registros[MÊS],$AE$1,tabela_registros[DIA],investirrendafixaconsolidadoabr[[#Headers],[7]],tabela_registros[REGISTRO],DADOS!$N$5,tabela_registros[TIPO],DADOS!$AB$3,tabela_registros[CATEGORIA],investirrendafixaconsolidadoabr[[#This Row],[ATUAL]])</f>
        <v>0</v>
      </c>
      <c r="L119" s="119" t="n">
        <f aca="false">SUMIFS(tabela_registros[VALOR],tabela_registros[MÊS],$AE$1,tabela_registros[DIA],investirrendafixaconsolidadoabr[[#Headers],[8]],tabela_registros[REGISTRO],DADOS!$N$5,tabela_registros[TIPO],DADOS!$AB$3,tabela_registros[CATEGORIA],investirrendafixaconsolidadoabr[[#This Row],[ATUAL]])</f>
        <v>0</v>
      </c>
      <c r="M119" s="119" t="n">
        <f aca="false">SUMIFS(tabela_registros[VALOR],tabela_registros[MÊS],$AE$1,tabela_registros[DIA],investirrendafixaconsolidadoabr[[#Headers],[9]],tabela_registros[REGISTRO],DADOS!$N$5,tabela_registros[TIPO],DADOS!$AB$3,tabela_registros[CATEGORIA],investirrendafixaconsolidadoabr[[#This Row],[ATUAL]])</f>
        <v>0</v>
      </c>
      <c r="N119" s="119" t="n">
        <f aca="false">SUMIFS(tabela_registros[VALOR],tabela_registros[MÊS],$AE$1,tabela_registros[DIA],investirrendafixaconsolidadoabr[[#Headers],[10]],tabela_registros[REGISTRO],DADOS!$N$5,tabela_registros[TIPO],DADOS!$AB$3,tabela_registros[CATEGORIA],investirrendafixaconsolidadoabr[[#This Row],[ATUAL]])</f>
        <v>0</v>
      </c>
      <c r="O119" s="119" t="n">
        <f aca="false">SUMIFS(tabela_registros[VALOR],tabela_registros[MÊS],$AE$1,tabela_registros[DIA],investirrendafixaconsolidadoabr[[#Headers],[11]],tabela_registros[REGISTRO],DADOS!$N$5,tabela_registros[TIPO],DADOS!$AB$3,tabela_registros[CATEGORIA],investirrendafixaconsolidadoabr[[#This Row],[ATUAL]])</f>
        <v>0</v>
      </c>
      <c r="P119" s="119" t="n">
        <f aca="false">SUMIFS(tabela_registros[VALOR],tabela_registros[MÊS],$AE$1,tabela_registros[DIA],investirrendafixaconsolidadoabr[[#Headers],[12]],tabela_registros[REGISTRO],DADOS!$N$5,tabela_registros[TIPO],DADOS!$AB$3,tabela_registros[CATEGORIA],investirrendafixaconsolidadoabr[[#This Row],[ATUAL]])</f>
        <v>0</v>
      </c>
      <c r="Q119" s="119" t="n">
        <f aca="false">SUMIFS(tabela_registros[VALOR],tabela_registros[MÊS],$AE$1,tabela_registros[DIA],investirrendafixaconsolidadoabr[[#Headers],[13]],tabela_registros[REGISTRO],DADOS!$N$5,tabela_registros[TIPO],DADOS!$AB$3,tabela_registros[CATEGORIA],investirrendafixaconsolidadoabr[[#This Row],[ATUAL]])</f>
        <v>0</v>
      </c>
      <c r="R119" s="119" t="n">
        <f aca="false">SUMIFS(tabela_registros[VALOR],tabela_registros[MÊS],$AE$1,tabela_registros[DIA],investirrendafixaconsolidadoabr[[#Headers],[14]],tabela_registros[REGISTRO],DADOS!$N$5,tabela_registros[TIPO],DADOS!$AB$3,tabela_registros[CATEGORIA],investirrendafixaconsolidadoabr[[#This Row],[ATUAL]])</f>
        <v>0</v>
      </c>
      <c r="S119" s="119" t="n">
        <f aca="false">SUMIFS(tabela_registros[VALOR],tabela_registros[MÊS],$AE$1,tabela_registros[DIA],investirrendafixaconsolidadoabr[[#Headers],[15]],tabela_registros[REGISTRO],DADOS!$N$5,tabela_registros[TIPO],DADOS!$AB$3,tabela_registros[CATEGORIA],investirrendafixaconsolidadoabr[[#This Row],[ATUAL]])</f>
        <v>0</v>
      </c>
      <c r="T119" s="119" t="n">
        <f aca="false">SUMIFS(tabela_registros[VALOR],tabela_registros[MÊS],$AE$1,tabela_registros[DIA],investirrendafixaconsolidadoabr[[#Headers],[16]],tabela_registros[REGISTRO],DADOS!$N$5,tabela_registros[TIPO],DADOS!$AB$3,tabela_registros[CATEGORIA],investirrendafixaconsolidadoabr[[#This Row],[ATUAL]])</f>
        <v>0</v>
      </c>
      <c r="U119" s="119" t="n">
        <f aca="false">SUMIFS(tabela_registros[VALOR],tabela_registros[MÊS],$AE$1,tabela_registros[DIA],investirrendafixaconsolidadoabr[[#Headers],[17]],tabela_registros[REGISTRO],DADOS!$N$5,tabela_registros[TIPO],DADOS!$AB$3,tabela_registros[CATEGORIA],investirrendafixaconsolidadoabr[[#This Row],[ATUAL]])</f>
        <v>0</v>
      </c>
      <c r="V119" s="119" t="n">
        <f aca="false">SUMIFS(tabela_registros[VALOR],tabela_registros[MÊS],$AE$1,tabela_registros[DIA],investirrendafixaconsolidadoabr[[#Headers],[18]],tabela_registros[REGISTRO],DADOS!$N$5,tabela_registros[TIPO],DADOS!$AB$3,tabela_registros[CATEGORIA],investirrendafixaconsolidadoabr[[#This Row],[ATUAL]])</f>
        <v>0</v>
      </c>
      <c r="W119" s="119" t="n">
        <f aca="false">SUMIFS(tabela_registros[VALOR],tabela_registros[MÊS],$AE$1,tabela_registros[DIA],investirrendafixaconsolidadoabr[[#Headers],[19]],tabela_registros[REGISTRO],DADOS!$N$5,tabela_registros[TIPO],DADOS!$AB$3,tabela_registros[CATEGORIA],investirrendafixaconsolidadoabr[[#This Row],[ATUAL]])</f>
        <v>0</v>
      </c>
      <c r="X119" s="119" t="n">
        <f aca="false">SUMIFS(tabela_registros[VALOR],tabela_registros[MÊS],$AE$1,tabela_registros[DIA],investirrendafixaconsolidadoabr[[#Headers],[20]],tabela_registros[REGISTRO],DADOS!$N$5,tabela_registros[TIPO],DADOS!$AB$3,tabela_registros[CATEGORIA],investirrendafixaconsolidadoabr[[#This Row],[ATUAL]])</f>
        <v>0</v>
      </c>
      <c r="Y119" s="119" t="n">
        <f aca="false">SUMIFS(tabela_registros[VALOR],tabela_registros[MÊS],$AE$1,tabela_registros[DIA],investirrendafixaconsolidadoabr[[#Headers],[21]],tabela_registros[REGISTRO],DADOS!$N$5,tabela_registros[TIPO],DADOS!$AB$3,tabela_registros[CATEGORIA],investirrendafixaconsolidadoabr[[#This Row],[ATUAL]])</f>
        <v>0</v>
      </c>
      <c r="Z119" s="119" t="n">
        <f aca="false">SUMIFS(tabela_registros[VALOR],tabela_registros[MÊS],$AE$1,tabela_registros[DIA],investirrendafixaconsolidadoabr[[#Headers],[22]],tabela_registros[REGISTRO],DADOS!$N$5,tabela_registros[TIPO],DADOS!$AB$3,tabela_registros[CATEGORIA],investirrendafixaconsolidadoabr[[#This Row],[ATUAL]])</f>
        <v>0</v>
      </c>
      <c r="AA119" s="119" t="n">
        <f aca="false">SUMIFS(tabela_registros[VALOR],tabela_registros[MÊS],$AE$1,tabela_registros[DIA],investirrendafixaconsolidadoabr[[#Headers],[23]],tabela_registros[REGISTRO],DADOS!$N$5,tabela_registros[TIPO],DADOS!$AB$3,tabela_registros[CATEGORIA],investirrendafixaconsolidadoabr[[#This Row],[ATUAL]])</f>
        <v>0</v>
      </c>
      <c r="AB119" s="119" t="n">
        <f aca="false">SUMIFS(tabela_registros[VALOR],tabela_registros[MÊS],$AE$1,tabela_registros[DIA],investirrendafixaconsolidadoabr[[#Headers],[24]],tabela_registros[REGISTRO],DADOS!$N$5,tabela_registros[TIPO],DADOS!$AB$3,tabela_registros[CATEGORIA],investirrendafixaconsolidadoabr[[#This Row],[ATUAL]])</f>
        <v>0</v>
      </c>
      <c r="AC119" s="119" t="n">
        <f aca="false">SUMIFS(tabela_registros[VALOR],tabela_registros[MÊS],$AE$1,tabela_registros[DIA],investirrendafixaconsolidadoabr[[#Headers],[25]],tabela_registros[REGISTRO],DADOS!$N$5,tabela_registros[TIPO],DADOS!$AB$3,tabela_registros[CATEGORIA],investirrendafixaconsolidadoabr[[#This Row],[ATUAL]])</f>
        <v>0</v>
      </c>
      <c r="AD119" s="119" t="n">
        <f aca="false">SUMIFS(tabela_registros[VALOR],tabela_registros[MÊS],$AE$1,tabela_registros[DIA],investirrendafixaconsolidadoabr[[#Headers],[26]],tabela_registros[REGISTRO],DADOS!$N$5,tabela_registros[TIPO],DADOS!$AB$3,tabela_registros[CATEGORIA],investirrendafixaconsolidadoabr[[#This Row],[ATUAL]])</f>
        <v>0</v>
      </c>
      <c r="AE119" s="119" t="n">
        <f aca="false">SUMIFS(tabela_registros[VALOR],tabela_registros[MÊS],$AE$1,tabela_registros[DIA],investirrendafixaconsolidadoabr[[#Headers],[27]],tabela_registros[REGISTRO],DADOS!$N$5,tabela_registros[TIPO],DADOS!$AB$3,tabela_registros[CATEGORIA],investirrendafixaconsolidadoabr[[#This Row],[ATUAL]])</f>
        <v>0</v>
      </c>
      <c r="AF119" s="119" t="n">
        <f aca="false">SUMIFS(tabela_registros[VALOR],tabela_registros[MÊS],$AE$1,tabela_registros[DIA],investirrendafixaconsolidadoabr[[#Headers],[28]],tabela_registros[REGISTRO],DADOS!$N$5,tabela_registros[TIPO],DADOS!$AB$3,tabela_registros[CATEGORIA],investirrendafixaconsolidadoabr[[#This Row],[ATUAL]])</f>
        <v>0</v>
      </c>
      <c r="AG119" s="119" t="n">
        <f aca="false">SUMIFS(tabela_registros[VALOR],tabela_registros[MÊS],$AE$1,tabela_registros[DIA],investirrendafixaconsolidadoabr[[#Headers],[29]],tabela_registros[REGISTRO],DADOS!$N$5,tabela_registros[TIPO],DADOS!$AB$3,tabela_registros[CATEGORIA],investirrendafixaconsolidadoabr[[#This Row],[ATUAL]])</f>
        <v>0</v>
      </c>
      <c r="AH119" s="119" t="n">
        <f aca="false">SUMIFS(tabela_registros[VALOR],tabela_registros[MÊS],$AE$1,tabela_registros[DIA],investirrendafixaconsolidadoabr[[#Headers],[30]],tabela_registros[REGISTRO],DADOS!$N$5,tabela_registros[TIPO],DADOS!$AB$3,tabela_registros[CATEGORIA],investirrendafixaconsolidadoabr[[#This Row],[ATUAL]])</f>
        <v>0</v>
      </c>
      <c r="AI119" s="217" t="n">
        <f aca="false">SUMIFS(tabela_registros[VALOR],tabela_registros[MÊS],$AE$1,tabela_registros[DIA],investirrendafixaconsolidadoabr[[#Headers],[31]],tabela_registros[REGISTRO],DADOS!$N$5,tabela_registros[TIPO],DADOS!$AB$3,tabela_registros[CATEGORIA],investirrendafixaconsolidadoabr[[#This Row],[ATUAL]])</f>
        <v>0</v>
      </c>
      <c r="AJ119" s="149" t="n">
        <f aca="false">SUM(investirrendafixaconsolidadoabr[[#This Row],[1]:[31]])</f>
        <v>0</v>
      </c>
      <c r="AK119" s="165"/>
    </row>
    <row r="120" customFormat="false" ht="19.5" hidden="false" customHeight="true" outlineLevel="0" collapsed="false">
      <c r="B120" s="143"/>
      <c r="C120" s="144" t="str">
        <f aca="false">DADOS!$AD$10</f>
        <v>📝 LCI</v>
      </c>
      <c r="D120" s="145" t="str">
        <f aca="false">IF(investirrendafixaconsolidadoabr[[#This Row],[TOTAL (R$)]]=0,"",IF(OR(investirrendafixaconsolidadoabr[[#This Row],[TOTAL (R$)]]=LARGE($AJ$113:$AJ$122,1),investirrendafixaconsolidadoabr[[#This Row],[TOTAL (R$)]]=LARGE($AJ$113:$AJ$122,2)),DADOS!$I$10,""))</f>
        <v/>
      </c>
      <c r="E120" s="148" t="n">
        <f aca="false">SUMIFS(tabela_registros[VALOR],tabela_registros[MÊS],$AE$1,tabela_registros[DIA],investirrendafixaconsolidadoabr[[#Headers],[1]],tabela_registros[REGISTRO],DADOS!$N$5,tabela_registros[TIPO],DADOS!$AB$3,tabela_registros[CATEGORIA],investirrendafixaconsolidadoabr[[#This Row],[ATUAL]])</f>
        <v>0</v>
      </c>
      <c r="F120" s="119" t="n">
        <f aca="false">SUMIFS(tabela_registros[VALOR],tabela_registros[MÊS],$AE$1,tabela_registros[DIA],investirrendafixaconsolidadoabr[[#Headers],[2]],tabela_registros[REGISTRO],DADOS!$N$5,tabela_registros[TIPO],DADOS!$AB$3,tabela_registros[CATEGORIA],investirrendafixaconsolidadoabr[[#This Row],[ATUAL]])</f>
        <v>0</v>
      </c>
      <c r="G120" s="119" t="n">
        <f aca="false">SUMIFS(tabela_registros[VALOR],tabela_registros[MÊS],$AE$1,tabela_registros[DIA],investirrendafixaconsolidadoabr[[#Headers],[3]],tabela_registros[REGISTRO],DADOS!$N$5,tabela_registros[TIPO],DADOS!$AB$3,tabela_registros[CATEGORIA],investirrendafixaconsolidadoabr[[#This Row],[ATUAL]])</f>
        <v>0</v>
      </c>
      <c r="H120" s="119" t="n">
        <f aca="false">SUMIFS(tabela_registros[VALOR],tabela_registros[MÊS],$AE$1,tabela_registros[DIA],investirrendafixaconsolidadoabr[[#Headers],[4]],tabela_registros[REGISTRO],DADOS!$N$5,tabela_registros[TIPO],DADOS!$AB$3,tabela_registros[CATEGORIA],investirrendafixaconsolidadoabr[[#This Row],[ATUAL]])</f>
        <v>0</v>
      </c>
      <c r="I120" s="119" t="n">
        <f aca="false">SUMIFS(tabela_registros[VALOR],tabela_registros[MÊS],$AE$1,tabela_registros[DIA],investirrendafixaconsolidadoabr[[#Headers],[5]],tabela_registros[REGISTRO],DADOS!$N$5,tabela_registros[TIPO],DADOS!$AB$3,tabela_registros[CATEGORIA],investirrendafixaconsolidadoabr[[#This Row],[ATUAL]])</f>
        <v>0</v>
      </c>
      <c r="J120" s="119" t="n">
        <f aca="false">SUMIFS(tabela_registros[VALOR],tabela_registros[MÊS],$AE$1,tabela_registros[DIA],investirrendafixaconsolidadoabr[[#Headers],[6]],tabela_registros[REGISTRO],DADOS!$N$5,tabela_registros[TIPO],DADOS!$AB$3,tabela_registros[CATEGORIA],investirrendafixaconsolidadoabr[[#This Row],[ATUAL]])</f>
        <v>0</v>
      </c>
      <c r="K120" s="119" t="n">
        <f aca="false">SUMIFS(tabela_registros[VALOR],tabela_registros[MÊS],$AE$1,tabela_registros[DIA],investirrendafixaconsolidadoabr[[#Headers],[7]],tabela_registros[REGISTRO],DADOS!$N$5,tabela_registros[TIPO],DADOS!$AB$3,tabela_registros[CATEGORIA],investirrendafixaconsolidadoabr[[#This Row],[ATUAL]])</f>
        <v>0</v>
      </c>
      <c r="L120" s="119" t="n">
        <f aca="false">SUMIFS(tabela_registros[VALOR],tabela_registros[MÊS],$AE$1,tabela_registros[DIA],investirrendafixaconsolidadoabr[[#Headers],[8]],tabela_registros[REGISTRO],DADOS!$N$5,tabela_registros[TIPO],DADOS!$AB$3,tabela_registros[CATEGORIA],investirrendafixaconsolidadoabr[[#This Row],[ATUAL]])</f>
        <v>0</v>
      </c>
      <c r="M120" s="119" t="n">
        <f aca="false">SUMIFS(tabela_registros[VALOR],tabela_registros[MÊS],$AE$1,tabela_registros[DIA],investirrendafixaconsolidadoabr[[#Headers],[9]],tabela_registros[REGISTRO],DADOS!$N$5,tabela_registros[TIPO],DADOS!$AB$3,tabela_registros[CATEGORIA],investirrendafixaconsolidadoabr[[#This Row],[ATUAL]])</f>
        <v>0</v>
      </c>
      <c r="N120" s="119" t="n">
        <f aca="false">SUMIFS(tabela_registros[VALOR],tabela_registros[MÊS],$AE$1,tabela_registros[DIA],investirrendafixaconsolidadoabr[[#Headers],[10]],tabela_registros[REGISTRO],DADOS!$N$5,tabela_registros[TIPO],DADOS!$AB$3,tabela_registros[CATEGORIA],investirrendafixaconsolidadoabr[[#This Row],[ATUAL]])</f>
        <v>0</v>
      </c>
      <c r="O120" s="119" t="n">
        <f aca="false">SUMIFS(tabela_registros[VALOR],tabela_registros[MÊS],$AE$1,tabela_registros[DIA],investirrendafixaconsolidadoabr[[#Headers],[11]],tabela_registros[REGISTRO],DADOS!$N$5,tabela_registros[TIPO],DADOS!$AB$3,tabela_registros[CATEGORIA],investirrendafixaconsolidadoabr[[#This Row],[ATUAL]])</f>
        <v>0</v>
      </c>
      <c r="P120" s="119" t="n">
        <f aca="false">SUMIFS(tabela_registros[VALOR],tabela_registros[MÊS],$AE$1,tabela_registros[DIA],investirrendafixaconsolidadoabr[[#Headers],[12]],tabela_registros[REGISTRO],DADOS!$N$5,tabela_registros[TIPO],DADOS!$AB$3,tabela_registros[CATEGORIA],investirrendafixaconsolidadoabr[[#This Row],[ATUAL]])</f>
        <v>0</v>
      </c>
      <c r="Q120" s="119" t="n">
        <f aca="false">SUMIFS(tabela_registros[VALOR],tabela_registros[MÊS],$AE$1,tabela_registros[DIA],investirrendafixaconsolidadoabr[[#Headers],[13]],tabela_registros[REGISTRO],DADOS!$N$5,tabela_registros[TIPO],DADOS!$AB$3,tabela_registros[CATEGORIA],investirrendafixaconsolidadoabr[[#This Row],[ATUAL]])</f>
        <v>0</v>
      </c>
      <c r="R120" s="119" t="n">
        <f aca="false">SUMIFS(tabela_registros[VALOR],tabela_registros[MÊS],$AE$1,tabela_registros[DIA],investirrendafixaconsolidadoabr[[#Headers],[14]],tabela_registros[REGISTRO],DADOS!$N$5,tabela_registros[TIPO],DADOS!$AB$3,tabela_registros[CATEGORIA],investirrendafixaconsolidadoabr[[#This Row],[ATUAL]])</f>
        <v>0</v>
      </c>
      <c r="S120" s="119" t="n">
        <f aca="false">SUMIFS(tabela_registros[VALOR],tabela_registros[MÊS],$AE$1,tabela_registros[DIA],investirrendafixaconsolidadoabr[[#Headers],[15]],tabela_registros[REGISTRO],DADOS!$N$5,tabela_registros[TIPO],DADOS!$AB$3,tabela_registros[CATEGORIA],investirrendafixaconsolidadoabr[[#This Row],[ATUAL]])</f>
        <v>0</v>
      </c>
      <c r="T120" s="119" t="n">
        <f aca="false">SUMIFS(tabela_registros[VALOR],tabela_registros[MÊS],$AE$1,tabela_registros[DIA],investirrendafixaconsolidadoabr[[#Headers],[16]],tabela_registros[REGISTRO],DADOS!$N$5,tabela_registros[TIPO],DADOS!$AB$3,tabela_registros[CATEGORIA],investirrendafixaconsolidadoabr[[#This Row],[ATUAL]])</f>
        <v>0</v>
      </c>
      <c r="U120" s="119" t="n">
        <f aca="false">SUMIFS(tabela_registros[VALOR],tabela_registros[MÊS],$AE$1,tabela_registros[DIA],investirrendafixaconsolidadoabr[[#Headers],[17]],tabela_registros[REGISTRO],DADOS!$N$5,tabela_registros[TIPO],DADOS!$AB$3,tabela_registros[CATEGORIA],investirrendafixaconsolidadoabr[[#This Row],[ATUAL]])</f>
        <v>0</v>
      </c>
      <c r="V120" s="119" t="n">
        <f aca="false">SUMIFS(tabela_registros[VALOR],tabela_registros[MÊS],$AE$1,tabela_registros[DIA],investirrendafixaconsolidadoabr[[#Headers],[18]],tabela_registros[REGISTRO],DADOS!$N$5,tabela_registros[TIPO],DADOS!$AB$3,tabela_registros[CATEGORIA],investirrendafixaconsolidadoabr[[#This Row],[ATUAL]])</f>
        <v>0</v>
      </c>
      <c r="W120" s="119" t="n">
        <f aca="false">SUMIFS(tabela_registros[VALOR],tabela_registros[MÊS],$AE$1,tabela_registros[DIA],investirrendafixaconsolidadoabr[[#Headers],[19]],tabela_registros[REGISTRO],DADOS!$N$5,tabela_registros[TIPO],DADOS!$AB$3,tabela_registros[CATEGORIA],investirrendafixaconsolidadoabr[[#This Row],[ATUAL]])</f>
        <v>0</v>
      </c>
      <c r="X120" s="119" t="n">
        <f aca="false">SUMIFS(tabela_registros[VALOR],tabela_registros[MÊS],$AE$1,tabela_registros[DIA],investirrendafixaconsolidadoabr[[#Headers],[20]],tabela_registros[REGISTRO],DADOS!$N$5,tabela_registros[TIPO],DADOS!$AB$3,tabela_registros[CATEGORIA],investirrendafixaconsolidadoabr[[#This Row],[ATUAL]])</f>
        <v>0</v>
      </c>
      <c r="Y120" s="119" t="n">
        <f aca="false">SUMIFS(tabela_registros[VALOR],tabela_registros[MÊS],$AE$1,tabela_registros[DIA],investirrendafixaconsolidadoabr[[#Headers],[21]],tabela_registros[REGISTRO],DADOS!$N$5,tabela_registros[TIPO],DADOS!$AB$3,tabela_registros[CATEGORIA],investirrendafixaconsolidadoabr[[#This Row],[ATUAL]])</f>
        <v>0</v>
      </c>
      <c r="Z120" s="119" t="n">
        <f aca="false">SUMIFS(tabela_registros[VALOR],tabela_registros[MÊS],$AE$1,tabela_registros[DIA],investirrendafixaconsolidadoabr[[#Headers],[22]],tabela_registros[REGISTRO],DADOS!$N$5,tabela_registros[TIPO],DADOS!$AB$3,tabela_registros[CATEGORIA],investirrendafixaconsolidadoabr[[#This Row],[ATUAL]])</f>
        <v>0</v>
      </c>
      <c r="AA120" s="119" t="n">
        <f aca="false">SUMIFS(tabela_registros[VALOR],tabela_registros[MÊS],$AE$1,tabela_registros[DIA],investirrendafixaconsolidadoabr[[#Headers],[23]],tabela_registros[REGISTRO],DADOS!$N$5,tabela_registros[TIPO],DADOS!$AB$3,tabela_registros[CATEGORIA],investirrendafixaconsolidadoabr[[#This Row],[ATUAL]])</f>
        <v>0</v>
      </c>
      <c r="AB120" s="119" t="n">
        <f aca="false">SUMIFS(tabela_registros[VALOR],tabela_registros[MÊS],$AE$1,tabela_registros[DIA],investirrendafixaconsolidadoabr[[#Headers],[24]],tabela_registros[REGISTRO],DADOS!$N$5,tabela_registros[TIPO],DADOS!$AB$3,tabela_registros[CATEGORIA],investirrendafixaconsolidadoabr[[#This Row],[ATUAL]])</f>
        <v>0</v>
      </c>
      <c r="AC120" s="119" t="n">
        <f aca="false">SUMIFS(tabela_registros[VALOR],tabela_registros[MÊS],$AE$1,tabela_registros[DIA],investirrendafixaconsolidadoabr[[#Headers],[25]],tabela_registros[REGISTRO],DADOS!$N$5,tabela_registros[TIPO],DADOS!$AB$3,tabela_registros[CATEGORIA],investirrendafixaconsolidadoabr[[#This Row],[ATUAL]])</f>
        <v>0</v>
      </c>
      <c r="AD120" s="119" t="n">
        <f aca="false">SUMIFS(tabela_registros[VALOR],tabela_registros[MÊS],$AE$1,tabela_registros[DIA],investirrendafixaconsolidadoabr[[#Headers],[26]],tabela_registros[REGISTRO],DADOS!$N$5,tabela_registros[TIPO],DADOS!$AB$3,tabela_registros[CATEGORIA],investirrendafixaconsolidadoabr[[#This Row],[ATUAL]])</f>
        <v>0</v>
      </c>
      <c r="AE120" s="119" t="n">
        <f aca="false">SUMIFS(tabela_registros[VALOR],tabela_registros[MÊS],$AE$1,tabela_registros[DIA],investirrendafixaconsolidadoabr[[#Headers],[27]],tabela_registros[REGISTRO],DADOS!$N$5,tabela_registros[TIPO],DADOS!$AB$3,tabela_registros[CATEGORIA],investirrendafixaconsolidadoabr[[#This Row],[ATUAL]])</f>
        <v>0</v>
      </c>
      <c r="AF120" s="119" t="n">
        <f aca="false">SUMIFS(tabela_registros[VALOR],tabela_registros[MÊS],$AE$1,tabela_registros[DIA],investirrendafixaconsolidadoabr[[#Headers],[28]],tabela_registros[REGISTRO],DADOS!$N$5,tabela_registros[TIPO],DADOS!$AB$3,tabela_registros[CATEGORIA],investirrendafixaconsolidadoabr[[#This Row],[ATUAL]])</f>
        <v>0</v>
      </c>
      <c r="AG120" s="119" t="n">
        <f aca="false">SUMIFS(tabela_registros[VALOR],tabela_registros[MÊS],$AE$1,tabela_registros[DIA],investirrendafixaconsolidadoabr[[#Headers],[29]],tabela_registros[REGISTRO],DADOS!$N$5,tabela_registros[TIPO],DADOS!$AB$3,tabela_registros[CATEGORIA],investirrendafixaconsolidadoabr[[#This Row],[ATUAL]])</f>
        <v>0</v>
      </c>
      <c r="AH120" s="119" t="n">
        <f aca="false">SUMIFS(tabela_registros[VALOR],tabela_registros[MÊS],$AE$1,tabela_registros[DIA],investirrendafixaconsolidadoabr[[#Headers],[30]],tabela_registros[REGISTRO],DADOS!$N$5,tabela_registros[TIPO],DADOS!$AB$3,tabela_registros[CATEGORIA],investirrendafixaconsolidadoabr[[#This Row],[ATUAL]])</f>
        <v>0</v>
      </c>
      <c r="AI120" s="217" t="n">
        <f aca="false">SUMIFS(tabela_registros[VALOR],tabela_registros[MÊS],$AE$1,tabela_registros[DIA],investirrendafixaconsolidadoabr[[#Headers],[31]],tabela_registros[REGISTRO],DADOS!$N$5,tabela_registros[TIPO],DADOS!$AB$3,tabela_registros[CATEGORIA],investirrendafixaconsolidadoabr[[#This Row],[ATUAL]])</f>
        <v>0</v>
      </c>
      <c r="AJ120" s="149" t="n">
        <f aca="false">SUM(investirrendafixaconsolidadoabr[[#This Row],[1]:[31]])</f>
        <v>0</v>
      </c>
      <c r="AK120" s="165"/>
    </row>
    <row r="121" customFormat="false" ht="19.5" hidden="false" customHeight="true" outlineLevel="0" collapsed="false">
      <c r="B121" s="143"/>
      <c r="C121" s="144" t="str">
        <f aca="false">DADOS!$AD$11</f>
        <v>📝 TESOURO DIRETO</v>
      </c>
      <c r="D121" s="145" t="str">
        <f aca="false">IF(investirrendafixaconsolidadoabr[[#This Row],[TOTAL (R$)]]=0,"",IF(OR(investirrendafixaconsolidadoabr[[#This Row],[TOTAL (R$)]]=LARGE($AJ$113:$AJ$122,1),investirrendafixaconsolidadoabr[[#This Row],[TOTAL (R$)]]=LARGE($AJ$113:$AJ$122,2)),DADOS!$I$10,""))</f>
        <v/>
      </c>
      <c r="E121" s="148" t="n">
        <f aca="false">SUMIFS(tabela_registros[VALOR],tabela_registros[MÊS],$AE$1,tabela_registros[DIA],investirrendafixaconsolidadoabr[[#Headers],[1]],tabela_registros[REGISTRO],DADOS!$N$5,tabela_registros[TIPO],DADOS!$AB$3,tabela_registros[CATEGORIA],investirrendafixaconsolidadoabr[[#This Row],[ATUAL]])</f>
        <v>0</v>
      </c>
      <c r="F121" s="119" t="n">
        <f aca="false">SUMIFS(tabela_registros[VALOR],tabela_registros[MÊS],$AE$1,tabela_registros[DIA],investirrendafixaconsolidadoabr[[#Headers],[2]],tabela_registros[REGISTRO],DADOS!$N$5,tabela_registros[TIPO],DADOS!$AB$3,tabela_registros[CATEGORIA],investirrendafixaconsolidadoabr[[#This Row],[ATUAL]])</f>
        <v>0</v>
      </c>
      <c r="G121" s="119" t="n">
        <f aca="false">SUMIFS(tabela_registros[VALOR],tabela_registros[MÊS],$AE$1,tabela_registros[DIA],investirrendafixaconsolidadoabr[[#Headers],[3]],tabela_registros[REGISTRO],DADOS!$N$5,tabela_registros[TIPO],DADOS!$AB$3,tabela_registros[CATEGORIA],investirrendafixaconsolidadoabr[[#This Row],[ATUAL]])</f>
        <v>0</v>
      </c>
      <c r="H121" s="119" t="n">
        <f aca="false">SUMIFS(tabela_registros[VALOR],tabela_registros[MÊS],$AE$1,tabela_registros[DIA],investirrendafixaconsolidadoabr[[#Headers],[4]],tabela_registros[REGISTRO],DADOS!$N$5,tabela_registros[TIPO],DADOS!$AB$3,tabela_registros[CATEGORIA],investirrendafixaconsolidadoabr[[#This Row],[ATUAL]])</f>
        <v>0</v>
      </c>
      <c r="I121" s="119" t="n">
        <f aca="false">SUMIFS(tabela_registros[VALOR],tabela_registros[MÊS],$AE$1,tabela_registros[DIA],investirrendafixaconsolidadoabr[[#Headers],[5]],tabela_registros[REGISTRO],DADOS!$N$5,tabela_registros[TIPO],DADOS!$AB$3,tabela_registros[CATEGORIA],investirrendafixaconsolidadoabr[[#This Row],[ATUAL]])</f>
        <v>0</v>
      </c>
      <c r="J121" s="119" t="n">
        <f aca="false">SUMIFS(tabela_registros[VALOR],tabela_registros[MÊS],$AE$1,tabela_registros[DIA],investirrendafixaconsolidadoabr[[#Headers],[6]],tabela_registros[REGISTRO],DADOS!$N$5,tabela_registros[TIPO],DADOS!$AB$3,tabela_registros[CATEGORIA],investirrendafixaconsolidadoabr[[#This Row],[ATUAL]])</f>
        <v>0</v>
      </c>
      <c r="K121" s="119" t="n">
        <f aca="false">SUMIFS(tabela_registros[VALOR],tabela_registros[MÊS],$AE$1,tabela_registros[DIA],investirrendafixaconsolidadoabr[[#Headers],[7]],tabela_registros[REGISTRO],DADOS!$N$5,tabela_registros[TIPO],DADOS!$AB$3,tabela_registros[CATEGORIA],investirrendafixaconsolidadoabr[[#This Row],[ATUAL]])</f>
        <v>0</v>
      </c>
      <c r="L121" s="119" t="n">
        <f aca="false">SUMIFS(tabela_registros[VALOR],tabela_registros[MÊS],$AE$1,tabela_registros[DIA],investirrendafixaconsolidadoabr[[#Headers],[8]],tabela_registros[REGISTRO],DADOS!$N$5,tabela_registros[TIPO],DADOS!$AB$3,tabela_registros[CATEGORIA],investirrendafixaconsolidadoabr[[#This Row],[ATUAL]])</f>
        <v>0</v>
      </c>
      <c r="M121" s="119" t="n">
        <f aca="false">SUMIFS(tabela_registros[VALOR],tabela_registros[MÊS],$AE$1,tabela_registros[DIA],investirrendafixaconsolidadoabr[[#Headers],[9]],tabela_registros[REGISTRO],DADOS!$N$5,tabela_registros[TIPO],DADOS!$AB$3,tabela_registros[CATEGORIA],investirrendafixaconsolidadoabr[[#This Row],[ATUAL]])</f>
        <v>0</v>
      </c>
      <c r="N121" s="119" t="n">
        <f aca="false">SUMIFS(tabela_registros[VALOR],tabela_registros[MÊS],$AE$1,tabela_registros[DIA],investirrendafixaconsolidadoabr[[#Headers],[10]],tabela_registros[REGISTRO],DADOS!$N$5,tabela_registros[TIPO],DADOS!$AB$3,tabela_registros[CATEGORIA],investirrendafixaconsolidadoabr[[#This Row],[ATUAL]])</f>
        <v>0</v>
      </c>
      <c r="O121" s="119" t="n">
        <f aca="false">SUMIFS(tabela_registros[VALOR],tabela_registros[MÊS],$AE$1,tabela_registros[DIA],investirrendafixaconsolidadoabr[[#Headers],[11]],tabela_registros[REGISTRO],DADOS!$N$5,tabela_registros[TIPO],DADOS!$AB$3,tabela_registros[CATEGORIA],investirrendafixaconsolidadoabr[[#This Row],[ATUAL]])</f>
        <v>0</v>
      </c>
      <c r="P121" s="119" t="n">
        <f aca="false">SUMIFS(tabela_registros[VALOR],tabela_registros[MÊS],$AE$1,tabela_registros[DIA],investirrendafixaconsolidadoabr[[#Headers],[12]],tabela_registros[REGISTRO],DADOS!$N$5,tabela_registros[TIPO],DADOS!$AB$3,tabela_registros[CATEGORIA],investirrendafixaconsolidadoabr[[#This Row],[ATUAL]])</f>
        <v>0</v>
      </c>
      <c r="Q121" s="119" t="n">
        <f aca="false">SUMIFS(tabela_registros[VALOR],tabela_registros[MÊS],$AE$1,tabela_registros[DIA],investirrendafixaconsolidadoabr[[#Headers],[13]],tabela_registros[REGISTRO],DADOS!$N$5,tabela_registros[TIPO],DADOS!$AB$3,tabela_registros[CATEGORIA],investirrendafixaconsolidadoabr[[#This Row],[ATUAL]])</f>
        <v>0</v>
      </c>
      <c r="R121" s="119" t="n">
        <f aca="false">SUMIFS(tabela_registros[VALOR],tabela_registros[MÊS],$AE$1,tabela_registros[DIA],investirrendafixaconsolidadoabr[[#Headers],[14]],tabela_registros[REGISTRO],DADOS!$N$5,tabela_registros[TIPO],DADOS!$AB$3,tabela_registros[CATEGORIA],investirrendafixaconsolidadoabr[[#This Row],[ATUAL]])</f>
        <v>0</v>
      </c>
      <c r="S121" s="119" t="n">
        <f aca="false">SUMIFS(tabela_registros[VALOR],tabela_registros[MÊS],$AE$1,tabela_registros[DIA],investirrendafixaconsolidadoabr[[#Headers],[15]],tabela_registros[REGISTRO],DADOS!$N$5,tabela_registros[TIPO],DADOS!$AB$3,tabela_registros[CATEGORIA],investirrendafixaconsolidadoabr[[#This Row],[ATUAL]])</f>
        <v>0</v>
      </c>
      <c r="T121" s="119" t="n">
        <f aca="false">SUMIFS(tabela_registros[VALOR],tabela_registros[MÊS],$AE$1,tabela_registros[DIA],investirrendafixaconsolidadoabr[[#Headers],[16]],tabela_registros[REGISTRO],DADOS!$N$5,tabela_registros[TIPO],DADOS!$AB$3,tabela_registros[CATEGORIA],investirrendafixaconsolidadoabr[[#This Row],[ATUAL]])</f>
        <v>0</v>
      </c>
      <c r="U121" s="119" t="n">
        <f aca="false">SUMIFS(tabela_registros[VALOR],tabela_registros[MÊS],$AE$1,tabela_registros[DIA],investirrendafixaconsolidadoabr[[#Headers],[17]],tabela_registros[REGISTRO],DADOS!$N$5,tabela_registros[TIPO],DADOS!$AB$3,tabela_registros[CATEGORIA],investirrendafixaconsolidadoabr[[#This Row],[ATUAL]])</f>
        <v>0</v>
      </c>
      <c r="V121" s="119" t="n">
        <f aca="false">SUMIFS(tabela_registros[VALOR],tabela_registros[MÊS],$AE$1,tabela_registros[DIA],investirrendafixaconsolidadoabr[[#Headers],[18]],tabela_registros[REGISTRO],DADOS!$N$5,tabela_registros[TIPO],DADOS!$AB$3,tabela_registros[CATEGORIA],investirrendafixaconsolidadoabr[[#This Row],[ATUAL]])</f>
        <v>0</v>
      </c>
      <c r="W121" s="119" t="n">
        <f aca="false">SUMIFS(tabela_registros[VALOR],tabela_registros[MÊS],$AE$1,tabela_registros[DIA],investirrendafixaconsolidadoabr[[#Headers],[19]],tabela_registros[REGISTRO],DADOS!$N$5,tabela_registros[TIPO],DADOS!$AB$3,tabela_registros[CATEGORIA],investirrendafixaconsolidadoabr[[#This Row],[ATUAL]])</f>
        <v>0</v>
      </c>
      <c r="X121" s="119" t="n">
        <f aca="false">SUMIFS(tabela_registros[VALOR],tabela_registros[MÊS],$AE$1,tabela_registros[DIA],investirrendafixaconsolidadoabr[[#Headers],[20]],tabela_registros[REGISTRO],DADOS!$N$5,tabela_registros[TIPO],DADOS!$AB$3,tabela_registros[CATEGORIA],investirrendafixaconsolidadoabr[[#This Row],[ATUAL]])</f>
        <v>0</v>
      </c>
      <c r="Y121" s="119" t="n">
        <f aca="false">SUMIFS(tabela_registros[VALOR],tabela_registros[MÊS],$AE$1,tabela_registros[DIA],investirrendafixaconsolidadoabr[[#Headers],[21]],tabela_registros[REGISTRO],DADOS!$N$5,tabela_registros[TIPO],DADOS!$AB$3,tabela_registros[CATEGORIA],investirrendafixaconsolidadoabr[[#This Row],[ATUAL]])</f>
        <v>0</v>
      </c>
      <c r="Z121" s="119" t="n">
        <f aca="false">SUMIFS(tabela_registros[VALOR],tabela_registros[MÊS],$AE$1,tabela_registros[DIA],investirrendafixaconsolidadoabr[[#Headers],[22]],tabela_registros[REGISTRO],DADOS!$N$5,tabela_registros[TIPO],DADOS!$AB$3,tabela_registros[CATEGORIA],investirrendafixaconsolidadoabr[[#This Row],[ATUAL]])</f>
        <v>0</v>
      </c>
      <c r="AA121" s="119" t="n">
        <f aca="false">SUMIFS(tabela_registros[VALOR],tabela_registros[MÊS],$AE$1,tabela_registros[DIA],investirrendafixaconsolidadoabr[[#Headers],[23]],tabela_registros[REGISTRO],DADOS!$N$5,tabela_registros[TIPO],DADOS!$AB$3,tabela_registros[CATEGORIA],investirrendafixaconsolidadoabr[[#This Row],[ATUAL]])</f>
        <v>0</v>
      </c>
      <c r="AB121" s="119" t="n">
        <f aca="false">SUMIFS(tabela_registros[VALOR],tabela_registros[MÊS],$AE$1,tabela_registros[DIA],investirrendafixaconsolidadoabr[[#Headers],[24]],tabela_registros[REGISTRO],DADOS!$N$5,tabela_registros[TIPO],DADOS!$AB$3,tabela_registros[CATEGORIA],investirrendafixaconsolidadoabr[[#This Row],[ATUAL]])</f>
        <v>0</v>
      </c>
      <c r="AC121" s="119" t="n">
        <f aca="false">SUMIFS(tabela_registros[VALOR],tabela_registros[MÊS],$AE$1,tabela_registros[DIA],investirrendafixaconsolidadoabr[[#Headers],[25]],tabela_registros[REGISTRO],DADOS!$N$5,tabela_registros[TIPO],DADOS!$AB$3,tabela_registros[CATEGORIA],investirrendafixaconsolidadoabr[[#This Row],[ATUAL]])</f>
        <v>0</v>
      </c>
      <c r="AD121" s="119" t="n">
        <f aca="false">SUMIFS(tabela_registros[VALOR],tabela_registros[MÊS],$AE$1,tabela_registros[DIA],investirrendafixaconsolidadoabr[[#Headers],[26]],tabela_registros[REGISTRO],DADOS!$N$5,tabela_registros[TIPO],DADOS!$AB$3,tabela_registros[CATEGORIA],investirrendafixaconsolidadoabr[[#This Row],[ATUAL]])</f>
        <v>0</v>
      </c>
      <c r="AE121" s="119" t="n">
        <f aca="false">SUMIFS(tabela_registros[VALOR],tabela_registros[MÊS],$AE$1,tabela_registros[DIA],investirrendafixaconsolidadoabr[[#Headers],[27]],tabela_registros[REGISTRO],DADOS!$N$5,tabela_registros[TIPO],DADOS!$AB$3,tabela_registros[CATEGORIA],investirrendafixaconsolidadoabr[[#This Row],[ATUAL]])</f>
        <v>0</v>
      </c>
      <c r="AF121" s="119" t="n">
        <f aca="false">SUMIFS(tabela_registros[VALOR],tabela_registros[MÊS],$AE$1,tabela_registros[DIA],investirrendafixaconsolidadoabr[[#Headers],[28]],tabela_registros[REGISTRO],DADOS!$N$5,tabela_registros[TIPO],DADOS!$AB$3,tabela_registros[CATEGORIA],investirrendafixaconsolidadoabr[[#This Row],[ATUAL]])</f>
        <v>0</v>
      </c>
      <c r="AG121" s="119" t="n">
        <f aca="false">SUMIFS(tabela_registros[VALOR],tabela_registros[MÊS],$AE$1,tabela_registros[DIA],investirrendafixaconsolidadoabr[[#Headers],[29]],tabela_registros[REGISTRO],DADOS!$N$5,tabela_registros[TIPO],DADOS!$AB$3,tabela_registros[CATEGORIA],investirrendafixaconsolidadoabr[[#This Row],[ATUAL]])</f>
        <v>0</v>
      </c>
      <c r="AH121" s="119" t="n">
        <f aca="false">SUMIFS(tabela_registros[VALOR],tabela_registros[MÊS],$AE$1,tabela_registros[DIA],investirrendafixaconsolidadoabr[[#Headers],[30]],tabela_registros[REGISTRO],DADOS!$N$5,tabela_registros[TIPO],DADOS!$AB$3,tabela_registros[CATEGORIA],investirrendafixaconsolidadoabr[[#This Row],[ATUAL]])</f>
        <v>0</v>
      </c>
      <c r="AI121" s="217" t="n">
        <f aca="false">SUMIFS(tabela_registros[VALOR],tabela_registros[MÊS],$AE$1,tabela_registros[DIA],investirrendafixaconsolidadoabr[[#Headers],[31]],tabela_registros[REGISTRO],DADOS!$N$5,tabela_registros[TIPO],DADOS!$AB$3,tabela_registros[CATEGORIA],investirrendafixaconsolidadoabr[[#This Row],[ATUAL]])</f>
        <v>0</v>
      </c>
      <c r="AJ121" s="149" t="n">
        <f aca="false">SUM(investirrendafixaconsolidadoabr[[#This Row],[1]:[31]])</f>
        <v>0</v>
      </c>
      <c r="AK121" s="165"/>
    </row>
    <row r="122" customFormat="false" ht="19.5" hidden="false" customHeight="true" outlineLevel="0" collapsed="false">
      <c r="B122" s="143"/>
      <c r="C122" s="144" t="str">
        <f aca="false">DADOS!$AD$12</f>
        <v>📎 OUTROS</v>
      </c>
      <c r="D122" s="145" t="str">
        <f aca="false">IF(investirrendafixaconsolidadoabr[[#This Row],[TOTAL (R$)]]=0,"",IF(OR(investirrendafixaconsolidadoabr[[#This Row],[TOTAL (R$)]]=LARGE($AJ$113:$AJ$122,1),investirrendafixaconsolidadoabr[[#This Row],[TOTAL (R$)]]=LARGE($AJ$113:$AJ$122,2)),DADOS!$I$10,""))</f>
        <v/>
      </c>
      <c r="E122" s="148" t="n">
        <f aca="false">SUMIFS(tabela_registros[VALOR],tabela_registros[MÊS],$AE$1,tabela_registros[DIA],investirrendafixaconsolidadoabr[[#Headers],[1]],tabela_registros[REGISTRO],DADOS!$N$5,tabela_registros[TIPO],DADOS!$AB$3,tabela_registros[CATEGORIA],investirrendafixaconsolidadoabr[[#This Row],[ATUAL]])</f>
        <v>0</v>
      </c>
      <c r="F122" s="119" t="n">
        <f aca="false">SUMIFS(tabela_registros[VALOR],tabela_registros[MÊS],$AE$1,tabela_registros[DIA],investirrendafixaconsolidadoabr[[#Headers],[2]],tabela_registros[REGISTRO],DADOS!$N$5,tabela_registros[TIPO],DADOS!$AB$3,tabela_registros[CATEGORIA],investirrendafixaconsolidadoabr[[#This Row],[ATUAL]])</f>
        <v>0</v>
      </c>
      <c r="G122" s="119" t="n">
        <f aca="false">SUMIFS(tabela_registros[VALOR],tabela_registros[MÊS],$AE$1,tabela_registros[DIA],investirrendafixaconsolidadoabr[[#Headers],[3]],tabela_registros[REGISTRO],DADOS!$N$5,tabela_registros[TIPO],DADOS!$AB$3,tabela_registros[CATEGORIA],investirrendafixaconsolidadoabr[[#This Row],[ATUAL]])</f>
        <v>0</v>
      </c>
      <c r="H122" s="119" t="n">
        <f aca="false">SUMIFS(tabela_registros[VALOR],tabela_registros[MÊS],$AE$1,tabela_registros[DIA],investirrendafixaconsolidadoabr[[#Headers],[4]],tabela_registros[REGISTRO],DADOS!$N$5,tabela_registros[TIPO],DADOS!$AB$3,tabela_registros[CATEGORIA],investirrendafixaconsolidadoabr[[#This Row],[ATUAL]])</f>
        <v>0</v>
      </c>
      <c r="I122" s="119" t="n">
        <f aca="false">SUMIFS(tabela_registros[VALOR],tabela_registros[MÊS],$AE$1,tabela_registros[DIA],investirrendafixaconsolidadoabr[[#Headers],[5]],tabela_registros[REGISTRO],DADOS!$N$5,tabela_registros[TIPO],DADOS!$AB$3,tabela_registros[CATEGORIA],investirrendafixaconsolidadoabr[[#This Row],[ATUAL]])</f>
        <v>0</v>
      </c>
      <c r="J122" s="119" t="n">
        <f aca="false">SUMIFS(tabela_registros[VALOR],tabela_registros[MÊS],$AE$1,tabela_registros[DIA],investirrendafixaconsolidadoabr[[#Headers],[6]],tabela_registros[REGISTRO],DADOS!$N$5,tabela_registros[TIPO],DADOS!$AB$3,tabela_registros[CATEGORIA],investirrendafixaconsolidadoabr[[#This Row],[ATUAL]])</f>
        <v>0</v>
      </c>
      <c r="K122" s="119" t="n">
        <f aca="false">SUMIFS(tabela_registros[VALOR],tabela_registros[MÊS],$AE$1,tabela_registros[DIA],investirrendafixaconsolidadoabr[[#Headers],[7]],tabela_registros[REGISTRO],DADOS!$N$5,tabela_registros[TIPO],DADOS!$AB$3,tabela_registros[CATEGORIA],investirrendafixaconsolidadoabr[[#This Row],[ATUAL]])</f>
        <v>0</v>
      </c>
      <c r="L122" s="119" t="n">
        <f aca="false">SUMIFS(tabela_registros[VALOR],tabela_registros[MÊS],$AE$1,tabela_registros[DIA],investirrendafixaconsolidadoabr[[#Headers],[8]],tabela_registros[REGISTRO],DADOS!$N$5,tabela_registros[TIPO],DADOS!$AB$3,tabela_registros[CATEGORIA],investirrendafixaconsolidadoabr[[#This Row],[ATUAL]])</f>
        <v>0</v>
      </c>
      <c r="M122" s="119" t="n">
        <f aca="false">SUMIFS(tabela_registros[VALOR],tabela_registros[MÊS],$AE$1,tabela_registros[DIA],investirrendafixaconsolidadoabr[[#Headers],[9]],tabela_registros[REGISTRO],DADOS!$N$5,tabela_registros[TIPO],DADOS!$AB$3,tabela_registros[CATEGORIA],investirrendafixaconsolidadoabr[[#This Row],[ATUAL]])</f>
        <v>0</v>
      </c>
      <c r="N122" s="119" t="n">
        <f aca="false">SUMIFS(tabela_registros[VALOR],tabela_registros[MÊS],$AE$1,tabela_registros[DIA],investirrendafixaconsolidadoabr[[#Headers],[10]],tabela_registros[REGISTRO],DADOS!$N$5,tabela_registros[TIPO],DADOS!$AB$3,tabela_registros[CATEGORIA],investirrendafixaconsolidadoabr[[#This Row],[ATUAL]])</f>
        <v>0</v>
      </c>
      <c r="O122" s="119" t="n">
        <f aca="false">SUMIFS(tabela_registros[VALOR],tabela_registros[MÊS],$AE$1,tabela_registros[DIA],investirrendafixaconsolidadoabr[[#Headers],[11]],tabela_registros[REGISTRO],DADOS!$N$5,tabela_registros[TIPO],DADOS!$AB$3,tabela_registros[CATEGORIA],investirrendafixaconsolidadoabr[[#This Row],[ATUAL]])</f>
        <v>0</v>
      </c>
      <c r="P122" s="119" t="n">
        <f aca="false">SUMIFS(tabela_registros[VALOR],tabela_registros[MÊS],$AE$1,tabela_registros[DIA],investirrendafixaconsolidadoabr[[#Headers],[12]],tabela_registros[REGISTRO],DADOS!$N$5,tabela_registros[TIPO],DADOS!$AB$3,tabela_registros[CATEGORIA],investirrendafixaconsolidadoabr[[#This Row],[ATUAL]])</f>
        <v>0</v>
      </c>
      <c r="Q122" s="119" t="n">
        <f aca="false">SUMIFS(tabela_registros[VALOR],tabela_registros[MÊS],$AE$1,tabela_registros[DIA],investirrendafixaconsolidadoabr[[#Headers],[13]],tabela_registros[REGISTRO],DADOS!$N$5,tabela_registros[TIPO],DADOS!$AB$3,tabela_registros[CATEGORIA],investirrendafixaconsolidadoabr[[#This Row],[ATUAL]])</f>
        <v>0</v>
      </c>
      <c r="R122" s="119" t="n">
        <f aca="false">SUMIFS(tabela_registros[VALOR],tabela_registros[MÊS],$AE$1,tabela_registros[DIA],investirrendafixaconsolidadoabr[[#Headers],[14]],tabela_registros[REGISTRO],DADOS!$N$5,tabela_registros[TIPO],DADOS!$AB$3,tabela_registros[CATEGORIA],investirrendafixaconsolidadoabr[[#This Row],[ATUAL]])</f>
        <v>0</v>
      </c>
      <c r="S122" s="119" t="n">
        <f aca="false">SUMIFS(tabela_registros[VALOR],tabela_registros[MÊS],$AE$1,tabela_registros[DIA],investirrendafixaconsolidadoabr[[#Headers],[15]],tabela_registros[REGISTRO],DADOS!$N$5,tabela_registros[TIPO],DADOS!$AB$3,tabela_registros[CATEGORIA],investirrendafixaconsolidadoabr[[#This Row],[ATUAL]])</f>
        <v>0</v>
      </c>
      <c r="T122" s="119" t="n">
        <f aca="false">SUMIFS(tabela_registros[VALOR],tabela_registros[MÊS],$AE$1,tabela_registros[DIA],investirrendafixaconsolidadoabr[[#Headers],[16]],tabela_registros[REGISTRO],DADOS!$N$5,tabela_registros[TIPO],DADOS!$AB$3,tabela_registros[CATEGORIA],investirrendafixaconsolidadoabr[[#This Row],[ATUAL]])</f>
        <v>0</v>
      </c>
      <c r="U122" s="119" t="n">
        <f aca="false">SUMIFS(tabela_registros[VALOR],tabela_registros[MÊS],$AE$1,tabela_registros[DIA],investirrendafixaconsolidadoabr[[#Headers],[17]],tabela_registros[REGISTRO],DADOS!$N$5,tabela_registros[TIPO],DADOS!$AB$3,tabela_registros[CATEGORIA],investirrendafixaconsolidadoabr[[#This Row],[ATUAL]])</f>
        <v>0</v>
      </c>
      <c r="V122" s="119" t="n">
        <f aca="false">SUMIFS(tabela_registros[VALOR],tabela_registros[MÊS],$AE$1,tabela_registros[DIA],investirrendafixaconsolidadoabr[[#Headers],[18]],tabela_registros[REGISTRO],DADOS!$N$5,tabela_registros[TIPO],DADOS!$AB$3,tabela_registros[CATEGORIA],investirrendafixaconsolidadoabr[[#This Row],[ATUAL]])</f>
        <v>0</v>
      </c>
      <c r="W122" s="119" t="n">
        <f aca="false">SUMIFS(tabela_registros[VALOR],tabela_registros[MÊS],$AE$1,tabela_registros[DIA],investirrendafixaconsolidadoabr[[#Headers],[19]],tabela_registros[REGISTRO],DADOS!$N$5,tabela_registros[TIPO],DADOS!$AB$3,tabela_registros[CATEGORIA],investirrendafixaconsolidadoabr[[#This Row],[ATUAL]])</f>
        <v>0</v>
      </c>
      <c r="X122" s="119" t="n">
        <f aca="false">SUMIFS(tabela_registros[VALOR],tabela_registros[MÊS],$AE$1,tabela_registros[DIA],investirrendafixaconsolidadoabr[[#Headers],[20]],tabela_registros[REGISTRO],DADOS!$N$5,tabela_registros[TIPO],DADOS!$AB$3,tabela_registros[CATEGORIA],investirrendafixaconsolidadoabr[[#This Row],[ATUAL]])</f>
        <v>0</v>
      </c>
      <c r="Y122" s="119" t="n">
        <f aca="false">SUMIFS(tabela_registros[VALOR],tabela_registros[MÊS],$AE$1,tabela_registros[DIA],investirrendafixaconsolidadoabr[[#Headers],[21]],tabela_registros[REGISTRO],DADOS!$N$5,tabela_registros[TIPO],DADOS!$AB$3,tabela_registros[CATEGORIA],investirrendafixaconsolidadoabr[[#This Row],[ATUAL]])</f>
        <v>0</v>
      </c>
      <c r="Z122" s="119" t="n">
        <f aca="false">SUMIFS(tabela_registros[VALOR],tabela_registros[MÊS],$AE$1,tabela_registros[DIA],investirrendafixaconsolidadoabr[[#Headers],[22]],tabela_registros[REGISTRO],DADOS!$N$5,tabela_registros[TIPO],DADOS!$AB$3,tabela_registros[CATEGORIA],investirrendafixaconsolidadoabr[[#This Row],[ATUAL]])</f>
        <v>0</v>
      </c>
      <c r="AA122" s="119" t="n">
        <f aca="false">SUMIFS(tabela_registros[VALOR],tabela_registros[MÊS],$AE$1,tabela_registros[DIA],investirrendafixaconsolidadoabr[[#Headers],[23]],tabela_registros[REGISTRO],DADOS!$N$5,tabela_registros[TIPO],DADOS!$AB$3,tabela_registros[CATEGORIA],investirrendafixaconsolidadoabr[[#This Row],[ATUAL]])</f>
        <v>0</v>
      </c>
      <c r="AB122" s="119" t="n">
        <f aca="false">SUMIFS(tabela_registros[VALOR],tabela_registros[MÊS],$AE$1,tabela_registros[DIA],investirrendafixaconsolidadoabr[[#Headers],[24]],tabela_registros[REGISTRO],DADOS!$N$5,tabela_registros[TIPO],DADOS!$AB$3,tabela_registros[CATEGORIA],investirrendafixaconsolidadoabr[[#This Row],[ATUAL]])</f>
        <v>0</v>
      </c>
      <c r="AC122" s="119" t="n">
        <f aca="false">SUMIFS(tabela_registros[VALOR],tabela_registros[MÊS],$AE$1,tabela_registros[DIA],investirrendafixaconsolidadoabr[[#Headers],[25]],tabela_registros[REGISTRO],DADOS!$N$5,tabela_registros[TIPO],DADOS!$AB$3,tabela_registros[CATEGORIA],investirrendafixaconsolidadoabr[[#This Row],[ATUAL]])</f>
        <v>0</v>
      </c>
      <c r="AD122" s="119" t="n">
        <f aca="false">SUMIFS(tabela_registros[VALOR],tabela_registros[MÊS],$AE$1,tabela_registros[DIA],investirrendafixaconsolidadoabr[[#Headers],[26]],tabela_registros[REGISTRO],DADOS!$N$5,tabela_registros[TIPO],DADOS!$AB$3,tabela_registros[CATEGORIA],investirrendafixaconsolidadoabr[[#This Row],[ATUAL]])</f>
        <v>0</v>
      </c>
      <c r="AE122" s="119" t="n">
        <f aca="false">SUMIFS(tabela_registros[VALOR],tabela_registros[MÊS],$AE$1,tabela_registros[DIA],investirrendafixaconsolidadoabr[[#Headers],[27]],tabela_registros[REGISTRO],DADOS!$N$5,tabela_registros[TIPO],DADOS!$AB$3,tabela_registros[CATEGORIA],investirrendafixaconsolidadoabr[[#This Row],[ATUAL]])</f>
        <v>0</v>
      </c>
      <c r="AF122" s="119" t="n">
        <f aca="false">SUMIFS(tabela_registros[VALOR],tabela_registros[MÊS],$AE$1,tabela_registros[DIA],investirrendafixaconsolidadoabr[[#Headers],[28]],tabela_registros[REGISTRO],DADOS!$N$5,tabela_registros[TIPO],DADOS!$AB$3,tabela_registros[CATEGORIA],investirrendafixaconsolidadoabr[[#This Row],[ATUAL]])</f>
        <v>0</v>
      </c>
      <c r="AG122" s="119" t="n">
        <f aca="false">SUMIFS(tabela_registros[VALOR],tabela_registros[MÊS],$AE$1,tabela_registros[DIA],investirrendafixaconsolidadoabr[[#Headers],[29]],tabela_registros[REGISTRO],DADOS!$N$5,tabela_registros[TIPO],DADOS!$AB$3,tabela_registros[CATEGORIA],investirrendafixaconsolidadoabr[[#This Row],[ATUAL]])</f>
        <v>0</v>
      </c>
      <c r="AH122" s="119" t="n">
        <f aca="false">SUMIFS(tabela_registros[VALOR],tabela_registros[MÊS],$AE$1,tabela_registros[DIA],investirrendafixaconsolidadoabr[[#Headers],[30]],tabela_registros[REGISTRO],DADOS!$N$5,tabela_registros[TIPO],DADOS!$AB$3,tabela_registros[CATEGORIA],investirrendafixaconsolidadoabr[[#This Row],[ATUAL]])</f>
        <v>0</v>
      </c>
      <c r="AI122" s="218" t="n">
        <f aca="false">SUMIFS(tabela_registros[VALOR],tabela_registros[MÊS],$AE$1,tabela_registros[DIA],investirrendafixaconsolidadoabr[[#Headers],[31]],tabela_registros[REGISTRO],DADOS!$N$5,tabela_registros[TIPO],DADOS!$AB$3,tabela_registros[CATEGORIA],investirrendafixaconsolidadoabr[[#This Row],[ATUAL]])</f>
        <v>0</v>
      </c>
      <c r="AJ122" s="149" t="n">
        <f aca="false">SUM(investirrendafixaconsolidadoabr[[#This Row],[1]:[31]])</f>
        <v>0</v>
      </c>
      <c r="AK122" s="165"/>
    </row>
    <row r="123" s="122" customFormat="true" ht="21" hidden="false" customHeight="true" outlineLevel="0" collapsed="false">
      <c r="B123" s="152"/>
      <c r="C123" s="153" t="s">
        <v>2</v>
      </c>
      <c r="D123" s="166"/>
      <c r="E123" s="155" t="n">
        <f aca="false">SUM(E113:E122)</f>
        <v>0</v>
      </c>
      <c r="F123" s="156" t="n">
        <f aca="false">SUM(F113:F122)+investirrendafixaconsolidadoabr[[#This Row],[1]]</f>
        <v>0</v>
      </c>
      <c r="G123" s="156" t="n">
        <f aca="false">SUM(G113:G122)+investirrendafixaconsolidadoabr[[#This Row],[2]]</f>
        <v>0</v>
      </c>
      <c r="H123" s="156" t="n">
        <f aca="false">SUM(H113:H122)+investirrendafixaconsolidadoabr[[#This Row],[3]]</f>
        <v>0</v>
      </c>
      <c r="I123" s="156" t="n">
        <f aca="false">SUM(I113:I122)+investirrendafixaconsolidadoabr[[#This Row],[4]]</f>
        <v>0</v>
      </c>
      <c r="J123" s="156" t="n">
        <f aca="false">SUM(J113:J122)+investirrendafixaconsolidadoabr[[#This Row],[5]]</f>
        <v>0</v>
      </c>
      <c r="K123" s="156" t="n">
        <f aca="false">SUM(K113:K122)+investirrendafixaconsolidadoabr[[#This Row],[6]]</f>
        <v>0</v>
      </c>
      <c r="L123" s="156" t="n">
        <f aca="false">SUM(L113:L122)+investirrendafixaconsolidadoabr[[#This Row],[7]]</f>
        <v>0</v>
      </c>
      <c r="M123" s="156" t="n">
        <f aca="false">SUM(M113:M122)+investirrendafixaconsolidadoabr[[#This Row],[8]]</f>
        <v>0</v>
      </c>
      <c r="N123" s="156" t="n">
        <f aca="false">SUM(N113:N122)+investirrendafixaconsolidadoabr[[#This Row],[9]]</f>
        <v>0</v>
      </c>
      <c r="O123" s="156" t="n">
        <f aca="false">SUM(O113:O122)+investirrendafixaconsolidadoabr[[#This Row],[10]]</f>
        <v>0</v>
      </c>
      <c r="P123" s="156" t="n">
        <f aca="false">SUM(P113:P122)+investirrendafixaconsolidadoabr[[#This Row],[11]]</f>
        <v>0</v>
      </c>
      <c r="Q123" s="156" t="n">
        <f aca="false">SUM(Q113:Q122)+investirrendafixaconsolidadoabr[[#This Row],[12]]</f>
        <v>0</v>
      </c>
      <c r="R123" s="156" t="n">
        <f aca="false">SUM(R113:R122)+investirrendafixaconsolidadoabr[[#This Row],[13]]</f>
        <v>0</v>
      </c>
      <c r="S123" s="156" t="n">
        <f aca="false">SUM(S113:S122)+investirrendafixaconsolidadoabr[[#This Row],[14]]</f>
        <v>0</v>
      </c>
      <c r="T123" s="156" t="n">
        <f aca="false">SUM(T113:T122)+investirrendafixaconsolidadoabr[[#This Row],[15]]</f>
        <v>0</v>
      </c>
      <c r="U123" s="156" t="n">
        <f aca="false">SUM(U113:U122)+investirrendafixaconsolidadoabr[[#This Row],[16]]</f>
        <v>0</v>
      </c>
      <c r="V123" s="156" t="n">
        <f aca="false">SUM(V113:V122)+investirrendafixaconsolidadoabr[[#This Row],[17]]</f>
        <v>0</v>
      </c>
      <c r="W123" s="156" t="n">
        <f aca="false">SUM(W113:W122)+investirrendafixaconsolidadoabr[[#This Row],[18]]</f>
        <v>0</v>
      </c>
      <c r="X123" s="156" t="n">
        <f aca="false">SUM(X113:X122)+investirrendafixaconsolidadoabr[[#This Row],[19]]</f>
        <v>0</v>
      </c>
      <c r="Y123" s="156" t="n">
        <f aca="false">SUM(Y113:Y122)+investirrendafixaconsolidadoabr[[#This Row],[20]]</f>
        <v>0</v>
      </c>
      <c r="Z123" s="156" t="n">
        <f aca="false">SUM(Z113:Z122)+investirrendafixaconsolidadoabr[[#This Row],[21]]</f>
        <v>0</v>
      </c>
      <c r="AA123" s="156" t="n">
        <f aca="false">SUM(AA113:AA122)+investirrendafixaconsolidadoabr[[#This Row],[22]]</f>
        <v>0</v>
      </c>
      <c r="AB123" s="156" t="n">
        <f aca="false">SUM(AB113:AB122)+investirrendafixaconsolidadoabr[[#This Row],[23]]</f>
        <v>0</v>
      </c>
      <c r="AC123" s="156" t="n">
        <f aca="false">SUM(AC113:AC122)+investirrendafixaconsolidadoabr[[#This Row],[24]]</f>
        <v>0</v>
      </c>
      <c r="AD123" s="156" t="n">
        <f aca="false">SUM(AD113:AD122)+investirrendafixaconsolidadoabr[[#This Row],[25]]</f>
        <v>0</v>
      </c>
      <c r="AE123" s="156" t="n">
        <f aca="false">SUM(AE113:AE122)+investirrendafixaconsolidadoabr[[#This Row],[26]]</f>
        <v>0</v>
      </c>
      <c r="AF123" s="156" t="n">
        <f aca="false">SUM(AF113:AF122)+investirrendafixaconsolidadoabr[[#This Row],[27]]</f>
        <v>0</v>
      </c>
      <c r="AG123" s="156" t="n">
        <f aca="false">SUM(AG113:AG122)+investirrendafixaconsolidadoabr[[#This Row],[28]]</f>
        <v>0</v>
      </c>
      <c r="AH123" s="156" t="n">
        <f aca="false">SUM(AH113:AH122)+investirrendafixaconsolidadoabr[[#This Row],[29]]</f>
        <v>0</v>
      </c>
      <c r="AI123" s="223" t="n">
        <f aca="false">SUM(AI113:AI122)+investirrendafixaconsolidadoabr[[#This Row],[30]]</f>
        <v>0</v>
      </c>
      <c r="AJ123" s="157" t="n">
        <f aca="false">investirrendafixaconsolidadoabr[[#This Row],[31]]</f>
        <v>0</v>
      </c>
      <c r="AK123" s="158"/>
    </row>
    <row r="124" customFormat="false" ht="6.75" hidden="false" customHeight="true" outlineLevel="0" collapsed="false">
      <c r="B124" s="97"/>
      <c r="C124" s="162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233"/>
      <c r="AJ124" s="164"/>
      <c r="AK124" s="244"/>
    </row>
    <row r="125" s="78" customFormat="true" ht="12.75" hidden="false" customHeight="false" outlineLevel="0" collapsed="false">
      <c r="E125" s="100"/>
    </row>
    <row r="126" s="78" customFormat="true" ht="12" hidden="false" customHeight="false" outlineLevel="0" collapsed="false"/>
    <row r="127" s="78" customFormat="true" ht="12" hidden="false" customHeight="false" outlineLevel="0" collapsed="false"/>
    <row r="128" customFormat="false" ht="39.75" hidden="false" customHeight="true" outlineLevel="0" collapsed="false">
      <c r="C128" s="101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3" t="s">
        <v>2</v>
      </c>
    </row>
    <row r="129" s="78" customFormat="true" ht="12.75" hidden="false" customHeight="false" outlineLevel="0" collapsed="false">
      <c r="B129" s="161"/>
      <c r="AJ129" s="106" t="s">
        <v>64</v>
      </c>
    </row>
    <row r="130" customFormat="false" ht="6.75" hidden="false" customHeight="true" outlineLevel="0" collapsed="false">
      <c r="B130" s="86"/>
      <c r="C130" s="162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233"/>
      <c r="AK130" s="139"/>
    </row>
    <row r="131" customFormat="false" ht="13.5" hidden="true" customHeight="false" outlineLevel="0" collapsed="false">
      <c r="B131" s="86"/>
      <c r="C131" s="109" t="s">
        <v>68</v>
      </c>
      <c r="D131" s="110" t="s">
        <v>69</v>
      </c>
      <c r="E131" s="110" t="s">
        <v>30</v>
      </c>
      <c r="F131" s="110" t="s">
        <v>31</v>
      </c>
      <c r="G131" s="110" t="s">
        <v>32</v>
      </c>
      <c r="H131" s="110" t="s">
        <v>33</v>
      </c>
      <c r="I131" s="110" t="s">
        <v>34</v>
      </c>
      <c r="J131" s="110" t="s">
        <v>35</v>
      </c>
      <c r="K131" s="110" t="s">
        <v>36</v>
      </c>
      <c r="L131" s="110" t="s">
        <v>37</v>
      </c>
      <c r="M131" s="110" t="s">
        <v>38</v>
      </c>
      <c r="N131" s="110" t="s">
        <v>39</v>
      </c>
      <c r="O131" s="110" t="s">
        <v>40</v>
      </c>
      <c r="P131" s="110" t="s">
        <v>41</v>
      </c>
      <c r="Q131" s="110" t="s">
        <v>81</v>
      </c>
      <c r="R131" s="110" t="s">
        <v>82</v>
      </c>
      <c r="S131" s="110" t="s">
        <v>83</v>
      </c>
      <c r="T131" s="110" t="s">
        <v>84</v>
      </c>
      <c r="U131" s="110" t="s">
        <v>85</v>
      </c>
      <c r="V131" s="110" t="s">
        <v>86</v>
      </c>
      <c r="W131" s="110" t="s">
        <v>87</v>
      </c>
      <c r="X131" s="110" t="s">
        <v>88</v>
      </c>
      <c r="Y131" s="110" t="s">
        <v>89</v>
      </c>
      <c r="Z131" s="110" t="s">
        <v>90</v>
      </c>
      <c r="AA131" s="110" t="s">
        <v>91</v>
      </c>
      <c r="AB131" s="110" t="s">
        <v>92</v>
      </c>
      <c r="AC131" s="110" t="s">
        <v>93</v>
      </c>
      <c r="AD131" s="110" t="s">
        <v>94</v>
      </c>
      <c r="AE131" s="110" t="s">
        <v>95</v>
      </c>
      <c r="AF131" s="110" t="s">
        <v>96</v>
      </c>
      <c r="AG131" s="110" t="s">
        <v>97</v>
      </c>
      <c r="AH131" s="110" t="s">
        <v>98</v>
      </c>
      <c r="AI131" s="110" t="s">
        <v>99</v>
      </c>
      <c r="AJ131" s="111" t="s">
        <v>70</v>
      </c>
      <c r="AK131" s="86"/>
    </row>
    <row r="132" customFormat="false" ht="19.5" hidden="false" customHeight="true" outlineLevel="0" collapsed="false">
      <c r="B132" s="143"/>
      <c r="C132" s="144" t="str">
        <f aca="false">DADOS!$AF$3</f>
        <v>📝 AÇÃO</v>
      </c>
      <c r="D132" s="145" t="str">
        <f aca="false">IF(investirrendavariávelconsolidadoabr[[#This Row],[TOTAL (R$)]]=0,"",IF(OR(investirrendavariávelconsolidadoabr[[#This Row],[TOTAL (R$)]]=LARGE($AJ$132:$AJ$141,1),investirrendavariávelconsolidadoabr[[#This Row],[TOTAL (R$)]]=LARGE($AJ$132:$AJ$141,2)),DADOS!$I$10,""))</f>
        <v/>
      </c>
      <c r="E132" s="148" t="n">
        <f aca="false">SUMIFS(tabela_registros[VALOR],tabela_registros[MÊS],$AE$1,tabela_registros[DIA],investirrendavariávelconsolidadoabr[[#Headers],[1]],tabela_registros[REGISTRO],DADOS!$N$5,tabela_registros[TIPO],DADOS!$AB$4,tabela_registros[CATEGORIA],investirrendavariávelconsolidadoabr[[#This Row],[ATUAL]])</f>
        <v>0</v>
      </c>
      <c r="F132" s="119" t="n">
        <f aca="false">SUMIFS(tabela_registros[VALOR],tabela_registros[MÊS],$AE$1,tabela_registros[DIA],investirrendavariávelconsolidadoabr[[#Headers],[2]],tabela_registros[REGISTRO],DADOS!$N$5,tabela_registros[TIPO],DADOS!$AB$4,tabela_registros[CATEGORIA],investirrendavariávelconsolidadoabr[[#This Row],[ATUAL]])</f>
        <v>0</v>
      </c>
      <c r="G132" s="119" t="n">
        <f aca="false">SUMIFS(tabela_registros[VALOR],tabela_registros[MÊS],$AE$1,tabela_registros[DIA],investirrendavariávelconsolidadoabr[[#Headers],[3]],tabela_registros[REGISTRO],DADOS!$N$5,tabela_registros[TIPO],DADOS!$AB$4,tabela_registros[CATEGORIA],investirrendavariávelconsolidadoabr[[#This Row],[ATUAL]])</f>
        <v>0</v>
      </c>
      <c r="H132" s="119" t="n">
        <f aca="false">SUMIFS(tabela_registros[VALOR],tabela_registros[MÊS],$AE$1,tabela_registros[DIA],investirrendavariávelconsolidadoabr[[#Headers],[4]],tabela_registros[REGISTRO],DADOS!$N$5,tabela_registros[TIPO],DADOS!$AB$4,tabela_registros[CATEGORIA],investirrendavariávelconsolidadoabr[[#This Row],[ATUAL]])</f>
        <v>0</v>
      </c>
      <c r="I132" s="119" t="n">
        <f aca="false">SUMIFS(tabela_registros[VALOR],tabela_registros[MÊS],$AE$1,tabela_registros[DIA],investirrendavariávelconsolidadoabr[[#Headers],[5]],tabela_registros[REGISTRO],DADOS!$N$5,tabela_registros[TIPO],DADOS!$AB$4,tabela_registros[CATEGORIA],investirrendavariávelconsolidadoabr[[#This Row],[ATUAL]])</f>
        <v>0</v>
      </c>
      <c r="J132" s="119" t="n">
        <f aca="false">SUMIFS(tabela_registros[VALOR],tabela_registros[MÊS],$AE$1,tabela_registros[DIA],investirrendavariávelconsolidadoabr[[#Headers],[6]],tabela_registros[REGISTRO],DADOS!$N$5,tabela_registros[TIPO],DADOS!$AB$4,tabela_registros[CATEGORIA],investirrendavariávelconsolidadoabr[[#This Row],[ATUAL]])</f>
        <v>0</v>
      </c>
      <c r="K132" s="119" t="n">
        <f aca="false">SUMIFS(tabela_registros[VALOR],tabela_registros[MÊS],$AE$1,tabela_registros[DIA],investirrendavariávelconsolidadoabr[[#Headers],[7]],tabela_registros[REGISTRO],DADOS!$N$5,tabela_registros[TIPO],DADOS!$AB$4,tabela_registros[CATEGORIA],investirrendavariávelconsolidadoabr[[#This Row],[ATUAL]])</f>
        <v>0</v>
      </c>
      <c r="L132" s="119" t="n">
        <f aca="false">SUMIFS(tabela_registros[VALOR],tabela_registros[MÊS],$AE$1,tabela_registros[DIA],investirrendavariávelconsolidadoabr[[#Headers],[8]],tabela_registros[REGISTRO],DADOS!$N$5,tabela_registros[TIPO],DADOS!$AB$4,tabela_registros[CATEGORIA],investirrendavariávelconsolidadoabr[[#This Row],[ATUAL]])</f>
        <v>0</v>
      </c>
      <c r="M132" s="119" t="n">
        <f aca="false">SUMIFS(tabela_registros[VALOR],tabela_registros[MÊS],$AE$1,tabela_registros[DIA],investirrendavariávelconsolidadoabr[[#Headers],[9]],tabela_registros[REGISTRO],DADOS!$N$5,tabela_registros[TIPO],DADOS!$AB$4,tabela_registros[CATEGORIA],investirrendavariávelconsolidadoabr[[#This Row],[ATUAL]])</f>
        <v>0</v>
      </c>
      <c r="N132" s="119" t="n">
        <f aca="false">SUMIFS(tabela_registros[VALOR],tabela_registros[MÊS],$AE$1,tabela_registros[DIA],investirrendavariávelconsolidadoabr[[#Headers],[10]],tabela_registros[REGISTRO],DADOS!$N$5,tabela_registros[TIPO],DADOS!$AB$4,tabela_registros[CATEGORIA],investirrendavariávelconsolidadoabr[[#This Row],[ATUAL]])</f>
        <v>0</v>
      </c>
      <c r="O132" s="119" t="n">
        <f aca="false">SUMIFS(tabela_registros[VALOR],tabela_registros[MÊS],$AE$1,tabela_registros[DIA],investirrendavariávelconsolidadoabr[[#Headers],[11]],tabela_registros[REGISTRO],DADOS!$N$5,tabela_registros[TIPO],DADOS!$AB$4,tabela_registros[CATEGORIA],investirrendavariávelconsolidadoabr[[#This Row],[ATUAL]])</f>
        <v>0</v>
      </c>
      <c r="P132" s="119" t="n">
        <f aca="false">SUMIFS(tabela_registros[VALOR],tabela_registros[MÊS],$AE$1,tabela_registros[DIA],investirrendavariávelconsolidadoabr[[#Headers],[12]],tabela_registros[REGISTRO],DADOS!$N$5,tabela_registros[TIPO],DADOS!$AB$4,tabela_registros[CATEGORIA],investirrendavariávelconsolidadoabr[[#This Row],[ATUAL]])</f>
        <v>0</v>
      </c>
      <c r="Q132" s="119" t="n">
        <f aca="false">SUMIFS(tabela_registros[VALOR],tabela_registros[MÊS],$AE$1,tabela_registros[DIA],investirrendavariávelconsolidadoabr[[#Headers],[13]],tabela_registros[REGISTRO],DADOS!$N$5,tabela_registros[TIPO],DADOS!$AB$4,tabela_registros[CATEGORIA],investirrendavariávelconsolidadoabr[[#This Row],[ATUAL]])</f>
        <v>0</v>
      </c>
      <c r="R132" s="119" t="n">
        <f aca="false">SUMIFS(tabela_registros[VALOR],tabela_registros[MÊS],$AE$1,tabela_registros[DIA],investirrendavariávelconsolidadoabr[[#Headers],[14]],tabela_registros[REGISTRO],DADOS!$N$5,tabela_registros[TIPO],DADOS!$AB$4,tabela_registros[CATEGORIA],investirrendavariávelconsolidadoabr[[#This Row],[ATUAL]])</f>
        <v>0</v>
      </c>
      <c r="S132" s="119" t="n">
        <f aca="false">SUMIFS(tabela_registros[VALOR],tabela_registros[MÊS],$AE$1,tabela_registros[DIA],investirrendavariávelconsolidadoabr[[#Headers],[15]],tabela_registros[REGISTRO],DADOS!$N$5,tabela_registros[TIPO],DADOS!$AB$4,tabela_registros[CATEGORIA],investirrendavariávelconsolidadoabr[[#This Row],[ATUAL]])</f>
        <v>0</v>
      </c>
      <c r="T132" s="119" t="n">
        <f aca="false">SUMIFS(tabela_registros[VALOR],tabela_registros[MÊS],$AE$1,tabela_registros[DIA],investirrendavariávelconsolidadoabr[[#Headers],[16]],tabela_registros[REGISTRO],DADOS!$N$5,tabela_registros[TIPO],DADOS!$AB$4,tabela_registros[CATEGORIA],investirrendavariávelconsolidadoabr[[#This Row],[ATUAL]])</f>
        <v>0</v>
      </c>
      <c r="U132" s="119" t="n">
        <f aca="false">SUMIFS(tabela_registros[VALOR],tabela_registros[MÊS],$AE$1,tabela_registros[DIA],investirrendavariávelconsolidadoabr[[#Headers],[17]],tabela_registros[REGISTRO],DADOS!$N$5,tabela_registros[TIPO],DADOS!$AB$4,tabela_registros[CATEGORIA],investirrendavariávelconsolidadoabr[[#This Row],[ATUAL]])</f>
        <v>0</v>
      </c>
      <c r="V132" s="119" t="n">
        <f aca="false">SUMIFS(tabela_registros[VALOR],tabela_registros[MÊS],$AE$1,tabela_registros[DIA],investirrendavariávelconsolidadoabr[[#Headers],[18]],tabela_registros[REGISTRO],DADOS!$N$5,tabela_registros[TIPO],DADOS!$AB$4,tabela_registros[CATEGORIA],investirrendavariávelconsolidadoabr[[#This Row],[ATUAL]])</f>
        <v>0</v>
      </c>
      <c r="W132" s="119" t="n">
        <f aca="false">SUMIFS(tabela_registros[VALOR],tabela_registros[MÊS],$AE$1,tabela_registros[DIA],investirrendavariávelconsolidadoabr[[#Headers],[19]],tabela_registros[REGISTRO],DADOS!$N$5,tabela_registros[TIPO],DADOS!$AB$4,tabela_registros[CATEGORIA],investirrendavariávelconsolidadoabr[[#This Row],[ATUAL]])</f>
        <v>0</v>
      </c>
      <c r="X132" s="119" t="n">
        <f aca="false">SUMIFS(tabela_registros[VALOR],tabela_registros[MÊS],$AE$1,tabela_registros[DIA],investirrendavariávelconsolidadoabr[[#Headers],[20]],tabela_registros[REGISTRO],DADOS!$N$5,tabela_registros[TIPO],DADOS!$AB$4,tabela_registros[CATEGORIA],investirrendavariávelconsolidadoabr[[#This Row],[ATUAL]])</f>
        <v>0</v>
      </c>
      <c r="Y132" s="119" t="n">
        <f aca="false">SUMIFS(tabela_registros[VALOR],tabela_registros[MÊS],$AE$1,tabela_registros[DIA],investirrendavariávelconsolidadoabr[[#Headers],[21]],tabela_registros[REGISTRO],DADOS!$N$5,tabela_registros[TIPO],DADOS!$AB$4,tabela_registros[CATEGORIA],investirrendavariávelconsolidadoabr[[#This Row],[ATUAL]])</f>
        <v>0</v>
      </c>
      <c r="Z132" s="119" t="n">
        <f aca="false">SUMIFS(tabela_registros[VALOR],tabela_registros[MÊS],$AE$1,tabela_registros[DIA],investirrendavariávelconsolidadoabr[[#Headers],[22]],tabela_registros[REGISTRO],DADOS!$N$5,tabela_registros[TIPO],DADOS!$AB$4,tabela_registros[CATEGORIA],investirrendavariávelconsolidadoabr[[#This Row],[ATUAL]])</f>
        <v>0</v>
      </c>
      <c r="AA132" s="119" t="n">
        <f aca="false">SUMIFS(tabela_registros[VALOR],tabela_registros[MÊS],$AE$1,tabela_registros[DIA],investirrendavariávelconsolidadoabr[[#Headers],[23]],tabela_registros[REGISTRO],DADOS!$N$5,tabela_registros[TIPO],DADOS!$AB$4,tabela_registros[CATEGORIA],investirrendavariávelconsolidadoabr[[#This Row],[ATUAL]])</f>
        <v>0</v>
      </c>
      <c r="AB132" s="119" t="n">
        <f aca="false">SUMIFS(tabela_registros[VALOR],tabela_registros[MÊS],$AE$1,tabela_registros[DIA],investirrendavariávelconsolidadoabr[[#Headers],[24]],tabela_registros[REGISTRO],DADOS!$N$5,tabela_registros[TIPO],DADOS!$AB$4,tabela_registros[CATEGORIA],investirrendavariávelconsolidadoabr[[#This Row],[ATUAL]])</f>
        <v>0</v>
      </c>
      <c r="AC132" s="119" t="n">
        <f aca="false">SUMIFS(tabela_registros[VALOR],tabela_registros[MÊS],$AE$1,tabela_registros[DIA],investirrendavariávelconsolidadoabr[[#Headers],[25]],tabela_registros[REGISTRO],DADOS!$N$5,tabela_registros[TIPO],DADOS!$AB$4,tabela_registros[CATEGORIA],investirrendavariávelconsolidadoabr[[#This Row],[ATUAL]])</f>
        <v>0</v>
      </c>
      <c r="AD132" s="119" t="n">
        <f aca="false">SUMIFS(tabela_registros[VALOR],tabela_registros[MÊS],$AE$1,tabela_registros[DIA],investirrendavariávelconsolidadoabr[[#Headers],[26]],tabela_registros[REGISTRO],DADOS!$N$5,tabela_registros[TIPO],DADOS!$AB$4,tabela_registros[CATEGORIA],investirrendavariávelconsolidadoabr[[#This Row],[ATUAL]])</f>
        <v>0</v>
      </c>
      <c r="AE132" s="119" t="n">
        <f aca="false">SUMIFS(tabela_registros[VALOR],tabela_registros[MÊS],$AE$1,tabela_registros[DIA],investirrendavariávelconsolidadoabr[[#Headers],[27]],tabela_registros[REGISTRO],DADOS!$N$5,tabela_registros[TIPO],DADOS!$AB$4,tabela_registros[CATEGORIA],investirrendavariávelconsolidadoabr[[#This Row],[ATUAL]])</f>
        <v>0</v>
      </c>
      <c r="AF132" s="119" t="n">
        <f aca="false">SUMIFS(tabela_registros[VALOR],tabela_registros[MÊS],$AE$1,tabela_registros[DIA],investirrendavariávelconsolidadoabr[[#Headers],[28]],tabela_registros[REGISTRO],DADOS!$N$5,tabela_registros[TIPO],DADOS!$AB$4,tabela_registros[CATEGORIA],investirrendavariávelconsolidadoabr[[#This Row],[ATUAL]])</f>
        <v>0</v>
      </c>
      <c r="AG132" s="119" t="n">
        <f aca="false">SUMIFS(tabela_registros[VALOR],tabela_registros[MÊS],$AE$1,tabela_registros[DIA],investirrendavariávelconsolidadoabr[[#Headers],[29]],tabela_registros[REGISTRO],DADOS!$N$5,tabela_registros[TIPO],DADOS!$AB$4,tabela_registros[CATEGORIA],investirrendavariávelconsolidadoabr[[#This Row],[ATUAL]])</f>
        <v>0</v>
      </c>
      <c r="AH132" s="119" t="n">
        <f aca="false">SUMIFS(tabela_registros[VALOR],tabela_registros[MÊS],$AE$1,tabela_registros[DIA],investirrendavariávelconsolidadoabr[[#Headers],[30]],tabela_registros[REGISTRO],DADOS!$N$5,tabela_registros[TIPO],DADOS!$AB$4,tabela_registros[CATEGORIA],investirrendavariávelconsolidadoabr[[#This Row],[ATUAL]])</f>
        <v>0</v>
      </c>
      <c r="AI132" s="217" t="n">
        <f aca="false">SUMIFS(tabela_registros[VALOR],tabela_registros[MÊS],$AE$1,tabela_registros[DIA],investirrendavariávelconsolidadoabr[[#Headers],[31]],tabela_registros[REGISTRO],DADOS!$N$5,tabela_registros[TIPO],DADOS!$AB$4,tabela_registros[CATEGORIA],investirrendavariávelconsolidadoabr[[#This Row],[ATUAL]])</f>
        <v>0</v>
      </c>
      <c r="AJ132" s="149" t="n">
        <f aca="false">SUM(investirrendavariávelconsolidadoabr[[#This Row],[1]:[31]])</f>
        <v>0</v>
      </c>
      <c r="AK132" s="165"/>
    </row>
    <row r="133" customFormat="false" ht="19.5" hidden="false" customHeight="true" outlineLevel="0" collapsed="false">
      <c r="B133" s="143"/>
      <c r="C133" s="144" t="str">
        <f aca="false">DADOS!$AF$4</f>
        <v>📝 COMÓDITE</v>
      </c>
      <c r="D133" s="145" t="str">
        <f aca="false">IF(investirrendavariávelconsolidadoabr[[#This Row],[TOTAL (R$)]]=0,"",IF(OR(investirrendavariávelconsolidadoabr[[#This Row],[TOTAL (R$)]]=LARGE($AJ$132:$AJ$141,1),investirrendavariávelconsolidadoabr[[#This Row],[TOTAL (R$)]]=LARGE($AJ$132:$AJ$141,2)),DADOS!$I$10,""))</f>
        <v/>
      </c>
      <c r="E133" s="148" t="n">
        <f aca="false">SUMIFS(tabela_registros[VALOR],tabela_registros[MÊS],$AE$1,tabela_registros[DIA],investirrendavariávelconsolidadoabr[[#Headers],[1]],tabela_registros[REGISTRO],DADOS!$N$5,tabela_registros[TIPO],DADOS!$AB$4,tabela_registros[CATEGORIA],investirrendavariávelconsolidadoabr[[#This Row],[ATUAL]])</f>
        <v>0</v>
      </c>
      <c r="F133" s="119" t="n">
        <f aca="false">SUMIFS(tabela_registros[VALOR],tabela_registros[MÊS],$AE$1,tabela_registros[DIA],investirrendavariávelconsolidadoabr[[#Headers],[2]],tabela_registros[REGISTRO],DADOS!$N$5,tabela_registros[TIPO],DADOS!$AB$4,tabela_registros[CATEGORIA],investirrendavariávelconsolidadoabr[[#This Row],[ATUAL]])</f>
        <v>0</v>
      </c>
      <c r="G133" s="119" t="n">
        <f aca="false">SUMIFS(tabela_registros[VALOR],tabela_registros[MÊS],$AE$1,tabela_registros[DIA],investirrendavariávelconsolidadoabr[[#Headers],[3]],tabela_registros[REGISTRO],DADOS!$N$5,tabela_registros[TIPO],DADOS!$AB$4,tabela_registros[CATEGORIA],investirrendavariávelconsolidadoabr[[#This Row],[ATUAL]])</f>
        <v>0</v>
      </c>
      <c r="H133" s="119" t="n">
        <f aca="false">SUMIFS(tabela_registros[VALOR],tabela_registros[MÊS],$AE$1,tabela_registros[DIA],investirrendavariávelconsolidadoabr[[#Headers],[4]],tabela_registros[REGISTRO],DADOS!$N$5,tabela_registros[TIPO],DADOS!$AB$4,tabela_registros[CATEGORIA],investirrendavariávelconsolidadoabr[[#This Row],[ATUAL]])</f>
        <v>0</v>
      </c>
      <c r="I133" s="119" t="n">
        <f aca="false">SUMIFS(tabela_registros[VALOR],tabela_registros[MÊS],$AE$1,tabela_registros[DIA],investirrendavariávelconsolidadoabr[[#Headers],[5]],tabela_registros[REGISTRO],DADOS!$N$5,tabela_registros[TIPO],DADOS!$AB$4,tabela_registros[CATEGORIA],investirrendavariávelconsolidadoabr[[#This Row],[ATUAL]])</f>
        <v>0</v>
      </c>
      <c r="J133" s="119" t="n">
        <f aca="false">SUMIFS(tabela_registros[VALOR],tabela_registros[MÊS],$AE$1,tabela_registros[DIA],investirrendavariávelconsolidadoabr[[#Headers],[6]],tabela_registros[REGISTRO],DADOS!$N$5,tabela_registros[TIPO],DADOS!$AB$4,tabela_registros[CATEGORIA],investirrendavariávelconsolidadoabr[[#This Row],[ATUAL]])</f>
        <v>0</v>
      </c>
      <c r="K133" s="119" t="n">
        <f aca="false">SUMIFS(tabela_registros[VALOR],tabela_registros[MÊS],$AE$1,tabela_registros[DIA],investirrendavariávelconsolidadoabr[[#Headers],[7]],tabela_registros[REGISTRO],DADOS!$N$5,tabela_registros[TIPO],DADOS!$AB$4,tabela_registros[CATEGORIA],investirrendavariávelconsolidadoabr[[#This Row],[ATUAL]])</f>
        <v>0</v>
      </c>
      <c r="L133" s="119" t="n">
        <f aca="false">SUMIFS(tabela_registros[VALOR],tabela_registros[MÊS],$AE$1,tabela_registros[DIA],investirrendavariávelconsolidadoabr[[#Headers],[8]],tabela_registros[REGISTRO],DADOS!$N$5,tabela_registros[TIPO],DADOS!$AB$4,tabela_registros[CATEGORIA],investirrendavariávelconsolidadoabr[[#This Row],[ATUAL]])</f>
        <v>0</v>
      </c>
      <c r="M133" s="119" t="n">
        <f aca="false">SUMIFS(tabela_registros[VALOR],tabela_registros[MÊS],$AE$1,tabela_registros[DIA],investirrendavariávelconsolidadoabr[[#Headers],[9]],tabela_registros[REGISTRO],DADOS!$N$5,tabela_registros[TIPO],DADOS!$AB$4,tabela_registros[CATEGORIA],investirrendavariávelconsolidadoabr[[#This Row],[ATUAL]])</f>
        <v>0</v>
      </c>
      <c r="N133" s="119" t="n">
        <f aca="false">SUMIFS(tabela_registros[VALOR],tabela_registros[MÊS],$AE$1,tabela_registros[DIA],investirrendavariávelconsolidadoabr[[#Headers],[10]],tabela_registros[REGISTRO],DADOS!$N$5,tabela_registros[TIPO],DADOS!$AB$4,tabela_registros[CATEGORIA],investirrendavariávelconsolidadoabr[[#This Row],[ATUAL]])</f>
        <v>0</v>
      </c>
      <c r="O133" s="119" t="n">
        <f aca="false">SUMIFS(tabela_registros[VALOR],tabela_registros[MÊS],$AE$1,tabela_registros[DIA],investirrendavariávelconsolidadoabr[[#Headers],[11]],tabela_registros[REGISTRO],DADOS!$N$5,tabela_registros[TIPO],DADOS!$AB$4,tabela_registros[CATEGORIA],investirrendavariávelconsolidadoabr[[#This Row],[ATUAL]])</f>
        <v>0</v>
      </c>
      <c r="P133" s="119" t="n">
        <f aca="false">SUMIFS(tabela_registros[VALOR],tabela_registros[MÊS],$AE$1,tabela_registros[DIA],investirrendavariávelconsolidadoabr[[#Headers],[12]],tabela_registros[REGISTRO],DADOS!$N$5,tabela_registros[TIPO],DADOS!$AB$4,tabela_registros[CATEGORIA],investirrendavariávelconsolidadoabr[[#This Row],[ATUAL]])</f>
        <v>0</v>
      </c>
      <c r="Q133" s="119" t="n">
        <f aca="false">SUMIFS(tabela_registros[VALOR],tabela_registros[MÊS],$AE$1,tabela_registros[DIA],investirrendavariávelconsolidadoabr[[#Headers],[13]],tabela_registros[REGISTRO],DADOS!$N$5,tabela_registros[TIPO],DADOS!$AB$4,tabela_registros[CATEGORIA],investirrendavariávelconsolidadoabr[[#This Row],[ATUAL]])</f>
        <v>0</v>
      </c>
      <c r="R133" s="119" t="n">
        <f aca="false">SUMIFS(tabela_registros[VALOR],tabela_registros[MÊS],$AE$1,tabela_registros[DIA],investirrendavariávelconsolidadoabr[[#Headers],[14]],tabela_registros[REGISTRO],DADOS!$N$5,tabela_registros[TIPO],DADOS!$AB$4,tabela_registros[CATEGORIA],investirrendavariávelconsolidadoabr[[#This Row],[ATUAL]])</f>
        <v>0</v>
      </c>
      <c r="S133" s="119" t="n">
        <f aca="false">SUMIFS(tabela_registros[VALOR],tabela_registros[MÊS],$AE$1,tabela_registros[DIA],investirrendavariávelconsolidadoabr[[#Headers],[15]],tabela_registros[REGISTRO],DADOS!$N$5,tabela_registros[TIPO],DADOS!$AB$4,tabela_registros[CATEGORIA],investirrendavariávelconsolidadoabr[[#This Row],[ATUAL]])</f>
        <v>0</v>
      </c>
      <c r="T133" s="119" t="n">
        <f aca="false">SUMIFS(tabela_registros[VALOR],tabela_registros[MÊS],$AE$1,tabela_registros[DIA],investirrendavariávelconsolidadoabr[[#Headers],[16]],tabela_registros[REGISTRO],DADOS!$N$5,tabela_registros[TIPO],DADOS!$AB$4,tabela_registros[CATEGORIA],investirrendavariávelconsolidadoabr[[#This Row],[ATUAL]])</f>
        <v>0</v>
      </c>
      <c r="U133" s="119" t="n">
        <f aca="false">SUMIFS(tabela_registros[VALOR],tabela_registros[MÊS],$AE$1,tabela_registros[DIA],investirrendavariávelconsolidadoabr[[#Headers],[17]],tabela_registros[REGISTRO],DADOS!$N$5,tabela_registros[TIPO],DADOS!$AB$4,tabela_registros[CATEGORIA],investirrendavariávelconsolidadoabr[[#This Row],[ATUAL]])</f>
        <v>0</v>
      </c>
      <c r="V133" s="119" t="n">
        <f aca="false">SUMIFS(tabela_registros[VALOR],tabela_registros[MÊS],$AE$1,tabela_registros[DIA],investirrendavariávelconsolidadoabr[[#Headers],[18]],tabela_registros[REGISTRO],DADOS!$N$5,tabela_registros[TIPO],DADOS!$AB$4,tabela_registros[CATEGORIA],investirrendavariávelconsolidadoabr[[#This Row],[ATUAL]])</f>
        <v>0</v>
      </c>
      <c r="W133" s="119" t="n">
        <f aca="false">SUMIFS(tabela_registros[VALOR],tabela_registros[MÊS],$AE$1,tabela_registros[DIA],investirrendavariávelconsolidadoabr[[#Headers],[19]],tabela_registros[REGISTRO],DADOS!$N$5,tabela_registros[TIPO],DADOS!$AB$4,tabela_registros[CATEGORIA],investirrendavariávelconsolidadoabr[[#This Row],[ATUAL]])</f>
        <v>0</v>
      </c>
      <c r="X133" s="119" t="n">
        <f aca="false">SUMIFS(tabela_registros[VALOR],tabela_registros[MÊS],$AE$1,tabela_registros[DIA],investirrendavariávelconsolidadoabr[[#Headers],[20]],tabela_registros[REGISTRO],DADOS!$N$5,tabela_registros[TIPO],DADOS!$AB$4,tabela_registros[CATEGORIA],investirrendavariávelconsolidadoabr[[#This Row],[ATUAL]])</f>
        <v>0</v>
      </c>
      <c r="Y133" s="119" t="n">
        <f aca="false">SUMIFS(tabela_registros[VALOR],tabela_registros[MÊS],$AE$1,tabela_registros[DIA],investirrendavariávelconsolidadoabr[[#Headers],[21]],tabela_registros[REGISTRO],DADOS!$N$5,tabela_registros[TIPO],DADOS!$AB$4,tabela_registros[CATEGORIA],investirrendavariávelconsolidadoabr[[#This Row],[ATUAL]])</f>
        <v>0</v>
      </c>
      <c r="Z133" s="119" t="n">
        <f aca="false">SUMIFS(tabela_registros[VALOR],tabela_registros[MÊS],$AE$1,tabela_registros[DIA],investirrendavariávelconsolidadoabr[[#Headers],[22]],tabela_registros[REGISTRO],DADOS!$N$5,tabela_registros[TIPO],DADOS!$AB$4,tabela_registros[CATEGORIA],investirrendavariávelconsolidadoabr[[#This Row],[ATUAL]])</f>
        <v>0</v>
      </c>
      <c r="AA133" s="119" t="n">
        <f aca="false">SUMIFS(tabela_registros[VALOR],tabela_registros[MÊS],$AE$1,tabela_registros[DIA],investirrendavariávelconsolidadoabr[[#Headers],[23]],tabela_registros[REGISTRO],DADOS!$N$5,tabela_registros[TIPO],DADOS!$AB$4,tabela_registros[CATEGORIA],investirrendavariávelconsolidadoabr[[#This Row],[ATUAL]])</f>
        <v>0</v>
      </c>
      <c r="AB133" s="119" t="n">
        <f aca="false">SUMIFS(tabela_registros[VALOR],tabela_registros[MÊS],$AE$1,tabela_registros[DIA],investirrendavariávelconsolidadoabr[[#Headers],[24]],tabela_registros[REGISTRO],DADOS!$N$5,tabela_registros[TIPO],DADOS!$AB$4,tabela_registros[CATEGORIA],investirrendavariávelconsolidadoabr[[#This Row],[ATUAL]])</f>
        <v>0</v>
      </c>
      <c r="AC133" s="119" t="n">
        <f aca="false">SUMIFS(tabela_registros[VALOR],tabela_registros[MÊS],$AE$1,tabela_registros[DIA],investirrendavariávelconsolidadoabr[[#Headers],[25]],tabela_registros[REGISTRO],DADOS!$N$5,tabela_registros[TIPO],DADOS!$AB$4,tabela_registros[CATEGORIA],investirrendavariávelconsolidadoabr[[#This Row],[ATUAL]])</f>
        <v>0</v>
      </c>
      <c r="AD133" s="119" t="n">
        <f aca="false">SUMIFS(tabela_registros[VALOR],tabela_registros[MÊS],$AE$1,tabela_registros[DIA],investirrendavariávelconsolidadoabr[[#Headers],[26]],tabela_registros[REGISTRO],DADOS!$N$5,tabela_registros[TIPO],DADOS!$AB$4,tabela_registros[CATEGORIA],investirrendavariávelconsolidadoabr[[#This Row],[ATUAL]])</f>
        <v>0</v>
      </c>
      <c r="AE133" s="119" t="n">
        <f aca="false">SUMIFS(tabela_registros[VALOR],tabela_registros[MÊS],$AE$1,tabela_registros[DIA],investirrendavariávelconsolidadoabr[[#Headers],[27]],tabela_registros[REGISTRO],DADOS!$N$5,tabela_registros[TIPO],DADOS!$AB$4,tabela_registros[CATEGORIA],investirrendavariávelconsolidadoabr[[#This Row],[ATUAL]])</f>
        <v>0</v>
      </c>
      <c r="AF133" s="119" t="n">
        <f aca="false">SUMIFS(tabela_registros[VALOR],tabela_registros[MÊS],$AE$1,tabela_registros[DIA],investirrendavariávelconsolidadoabr[[#Headers],[28]],tabela_registros[REGISTRO],DADOS!$N$5,tabela_registros[TIPO],DADOS!$AB$4,tabela_registros[CATEGORIA],investirrendavariávelconsolidadoabr[[#This Row],[ATUAL]])</f>
        <v>0</v>
      </c>
      <c r="AG133" s="119" t="n">
        <f aca="false">SUMIFS(tabela_registros[VALOR],tabela_registros[MÊS],$AE$1,tabela_registros[DIA],investirrendavariávelconsolidadoabr[[#Headers],[29]],tabela_registros[REGISTRO],DADOS!$N$5,tabela_registros[TIPO],DADOS!$AB$4,tabela_registros[CATEGORIA],investirrendavariávelconsolidadoabr[[#This Row],[ATUAL]])</f>
        <v>0</v>
      </c>
      <c r="AH133" s="119" t="n">
        <f aca="false">SUMIFS(tabela_registros[VALOR],tabela_registros[MÊS],$AE$1,tabela_registros[DIA],investirrendavariávelconsolidadoabr[[#Headers],[30]],tabela_registros[REGISTRO],DADOS!$N$5,tabela_registros[TIPO],DADOS!$AB$4,tabela_registros[CATEGORIA],investirrendavariávelconsolidadoabr[[#This Row],[ATUAL]])</f>
        <v>0</v>
      </c>
      <c r="AI133" s="217" t="n">
        <f aca="false">SUMIFS(tabela_registros[VALOR],tabela_registros[MÊS],$AE$1,tabela_registros[DIA],investirrendavariávelconsolidadoabr[[#Headers],[31]],tabela_registros[REGISTRO],DADOS!$N$5,tabela_registros[TIPO],DADOS!$AB$4,tabela_registros[CATEGORIA],investirrendavariávelconsolidadoabr[[#This Row],[ATUAL]])</f>
        <v>0</v>
      </c>
      <c r="AJ133" s="149" t="n">
        <f aca="false">SUM(investirrendavariávelconsolidadoabr[[#This Row],[1]:[31]])</f>
        <v>0</v>
      </c>
      <c r="AK133" s="165"/>
    </row>
    <row r="134" customFormat="false" ht="19.5" hidden="false" customHeight="true" outlineLevel="0" collapsed="false">
      <c r="B134" s="143"/>
      <c r="C134" s="144" t="str">
        <f aca="false">DADOS!$AF$5</f>
        <v>📝 CONTRATO DE FUTUROS</v>
      </c>
      <c r="D134" s="145" t="str">
        <f aca="false">IF(investirrendavariávelconsolidadoabr[[#This Row],[TOTAL (R$)]]=0,"",IF(OR(investirrendavariávelconsolidadoabr[[#This Row],[TOTAL (R$)]]=LARGE($AJ$132:$AJ$141,1),investirrendavariávelconsolidadoabr[[#This Row],[TOTAL (R$)]]=LARGE($AJ$132:$AJ$141,2)),DADOS!$I$10,""))</f>
        <v/>
      </c>
      <c r="E134" s="148" t="n">
        <f aca="false">SUMIFS(tabela_registros[VALOR],tabela_registros[MÊS],$AE$1,tabela_registros[DIA],investirrendavariávelconsolidadoabr[[#Headers],[1]],tabela_registros[REGISTRO],DADOS!$N$5,tabela_registros[TIPO],DADOS!$AB$4,tabela_registros[CATEGORIA],investirrendavariávelconsolidadoabr[[#This Row],[ATUAL]])</f>
        <v>0</v>
      </c>
      <c r="F134" s="119" t="n">
        <f aca="false">SUMIFS(tabela_registros[VALOR],tabela_registros[MÊS],$AE$1,tabela_registros[DIA],investirrendavariávelconsolidadoabr[[#Headers],[2]],tabela_registros[REGISTRO],DADOS!$N$5,tabela_registros[TIPO],DADOS!$AB$4,tabela_registros[CATEGORIA],investirrendavariávelconsolidadoabr[[#This Row],[ATUAL]])</f>
        <v>0</v>
      </c>
      <c r="G134" s="119" t="n">
        <f aca="false">SUMIFS(tabela_registros[VALOR],tabela_registros[MÊS],$AE$1,tabela_registros[DIA],investirrendavariávelconsolidadoabr[[#Headers],[3]],tabela_registros[REGISTRO],DADOS!$N$5,tabela_registros[TIPO],DADOS!$AB$4,tabela_registros[CATEGORIA],investirrendavariávelconsolidadoabr[[#This Row],[ATUAL]])</f>
        <v>0</v>
      </c>
      <c r="H134" s="119" t="n">
        <f aca="false">SUMIFS(tabela_registros[VALOR],tabela_registros[MÊS],$AE$1,tabela_registros[DIA],investirrendavariávelconsolidadoabr[[#Headers],[4]],tabela_registros[REGISTRO],DADOS!$N$5,tabela_registros[TIPO],DADOS!$AB$4,tabela_registros[CATEGORIA],investirrendavariávelconsolidadoabr[[#This Row],[ATUAL]])</f>
        <v>0</v>
      </c>
      <c r="I134" s="119" t="n">
        <f aca="false">SUMIFS(tabela_registros[VALOR],tabela_registros[MÊS],$AE$1,tabela_registros[DIA],investirrendavariávelconsolidadoabr[[#Headers],[5]],tabela_registros[REGISTRO],DADOS!$N$5,tabela_registros[TIPO],DADOS!$AB$4,tabela_registros[CATEGORIA],investirrendavariávelconsolidadoabr[[#This Row],[ATUAL]])</f>
        <v>0</v>
      </c>
      <c r="J134" s="119" t="n">
        <f aca="false">SUMIFS(tabela_registros[VALOR],tabela_registros[MÊS],$AE$1,tabela_registros[DIA],investirrendavariávelconsolidadoabr[[#Headers],[6]],tabela_registros[REGISTRO],DADOS!$N$5,tabela_registros[TIPO],DADOS!$AB$4,tabela_registros[CATEGORIA],investirrendavariávelconsolidadoabr[[#This Row],[ATUAL]])</f>
        <v>0</v>
      </c>
      <c r="K134" s="119" t="n">
        <f aca="false">SUMIFS(tabela_registros[VALOR],tabela_registros[MÊS],$AE$1,tabela_registros[DIA],investirrendavariávelconsolidadoabr[[#Headers],[7]],tabela_registros[REGISTRO],DADOS!$N$5,tabela_registros[TIPO],DADOS!$AB$4,tabela_registros[CATEGORIA],investirrendavariávelconsolidadoabr[[#This Row],[ATUAL]])</f>
        <v>0</v>
      </c>
      <c r="L134" s="119" t="n">
        <f aca="false">SUMIFS(tabela_registros[VALOR],tabela_registros[MÊS],$AE$1,tabela_registros[DIA],investirrendavariávelconsolidadoabr[[#Headers],[8]],tabela_registros[REGISTRO],DADOS!$N$5,tabela_registros[TIPO],DADOS!$AB$4,tabela_registros[CATEGORIA],investirrendavariávelconsolidadoabr[[#This Row],[ATUAL]])</f>
        <v>0</v>
      </c>
      <c r="M134" s="119" t="n">
        <f aca="false">SUMIFS(tabela_registros[VALOR],tabela_registros[MÊS],$AE$1,tabela_registros[DIA],investirrendavariávelconsolidadoabr[[#Headers],[9]],tabela_registros[REGISTRO],DADOS!$N$5,tabela_registros[TIPO],DADOS!$AB$4,tabela_registros[CATEGORIA],investirrendavariávelconsolidadoabr[[#This Row],[ATUAL]])</f>
        <v>0</v>
      </c>
      <c r="N134" s="119" t="n">
        <f aca="false">SUMIFS(tabela_registros[VALOR],tabela_registros[MÊS],$AE$1,tabela_registros[DIA],investirrendavariávelconsolidadoabr[[#Headers],[10]],tabela_registros[REGISTRO],DADOS!$N$5,tabela_registros[TIPO],DADOS!$AB$4,tabela_registros[CATEGORIA],investirrendavariávelconsolidadoabr[[#This Row],[ATUAL]])</f>
        <v>0</v>
      </c>
      <c r="O134" s="119" t="n">
        <f aca="false">SUMIFS(tabela_registros[VALOR],tabela_registros[MÊS],$AE$1,tabela_registros[DIA],investirrendavariávelconsolidadoabr[[#Headers],[11]],tabela_registros[REGISTRO],DADOS!$N$5,tabela_registros[TIPO],DADOS!$AB$4,tabela_registros[CATEGORIA],investirrendavariávelconsolidadoabr[[#This Row],[ATUAL]])</f>
        <v>0</v>
      </c>
      <c r="P134" s="119" t="n">
        <f aca="false">SUMIFS(tabela_registros[VALOR],tabela_registros[MÊS],$AE$1,tabela_registros[DIA],investirrendavariávelconsolidadoabr[[#Headers],[12]],tabela_registros[REGISTRO],DADOS!$N$5,tabela_registros[TIPO],DADOS!$AB$4,tabela_registros[CATEGORIA],investirrendavariávelconsolidadoabr[[#This Row],[ATUAL]])</f>
        <v>0</v>
      </c>
      <c r="Q134" s="119" t="n">
        <f aca="false">SUMIFS(tabela_registros[VALOR],tabela_registros[MÊS],$AE$1,tabela_registros[DIA],investirrendavariávelconsolidadoabr[[#Headers],[13]],tabela_registros[REGISTRO],DADOS!$N$5,tabela_registros[TIPO],DADOS!$AB$4,tabela_registros[CATEGORIA],investirrendavariávelconsolidadoabr[[#This Row],[ATUAL]])</f>
        <v>0</v>
      </c>
      <c r="R134" s="119" t="n">
        <f aca="false">SUMIFS(tabela_registros[VALOR],tabela_registros[MÊS],$AE$1,tabela_registros[DIA],investirrendavariávelconsolidadoabr[[#Headers],[14]],tabela_registros[REGISTRO],DADOS!$N$5,tabela_registros[TIPO],DADOS!$AB$4,tabela_registros[CATEGORIA],investirrendavariávelconsolidadoabr[[#This Row],[ATUAL]])</f>
        <v>0</v>
      </c>
      <c r="S134" s="119" t="n">
        <f aca="false">SUMIFS(tabela_registros[VALOR],tabela_registros[MÊS],$AE$1,tabela_registros[DIA],investirrendavariávelconsolidadoabr[[#Headers],[15]],tabela_registros[REGISTRO],DADOS!$N$5,tabela_registros[TIPO],DADOS!$AB$4,tabela_registros[CATEGORIA],investirrendavariávelconsolidadoabr[[#This Row],[ATUAL]])</f>
        <v>0</v>
      </c>
      <c r="T134" s="119" t="n">
        <f aca="false">SUMIFS(tabela_registros[VALOR],tabela_registros[MÊS],$AE$1,tabela_registros[DIA],investirrendavariávelconsolidadoabr[[#Headers],[16]],tabela_registros[REGISTRO],DADOS!$N$5,tabela_registros[TIPO],DADOS!$AB$4,tabela_registros[CATEGORIA],investirrendavariávelconsolidadoabr[[#This Row],[ATUAL]])</f>
        <v>0</v>
      </c>
      <c r="U134" s="119" t="n">
        <f aca="false">SUMIFS(tabela_registros[VALOR],tabela_registros[MÊS],$AE$1,tabela_registros[DIA],investirrendavariávelconsolidadoabr[[#Headers],[17]],tabela_registros[REGISTRO],DADOS!$N$5,tabela_registros[TIPO],DADOS!$AB$4,tabela_registros[CATEGORIA],investirrendavariávelconsolidadoabr[[#This Row],[ATUAL]])</f>
        <v>0</v>
      </c>
      <c r="V134" s="119" t="n">
        <f aca="false">SUMIFS(tabela_registros[VALOR],tabela_registros[MÊS],$AE$1,tabela_registros[DIA],investirrendavariávelconsolidadoabr[[#Headers],[18]],tabela_registros[REGISTRO],DADOS!$N$5,tabela_registros[TIPO],DADOS!$AB$4,tabela_registros[CATEGORIA],investirrendavariávelconsolidadoabr[[#This Row],[ATUAL]])</f>
        <v>0</v>
      </c>
      <c r="W134" s="119" t="n">
        <f aca="false">SUMIFS(tabela_registros[VALOR],tabela_registros[MÊS],$AE$1,tabela_registros[DIA],investirrendavariávelconsolidadoabr[[#Headers],[19]],tabela_registros[REGISTRO],DADOS!$N$5,tabela_registros[TIPO],DADOS!$AB$4,tabela_registros[CATEGORIA],investirrendavariávelconsolidadoabr[[#This Row],[ATUAL]])</f>
        <v>0</v>
      </c>
      <c r="X134" s="119" t="n">
        <f aca="false">SUMIFS(tabela_registros[VALOR],tabela_registros[MÊS],$AE$1,tabela_registros[DIA],investirrendavariávelconsolidadoabr[[#Headers],[20]],tabela_registros[REGISTRO],DADOS!$N$5,tabela_registros[TIPO],DADOS!$AB$4,tabela_registros[CATEGORIA],investirrendavariávelconsolidadoabr[[#This Row],[ATUAL]])</f>
        <v>0</v>
      </c>
      <c r="Y134" s="119" t="n">
        <f aca="false">SUMIFS(tabela_registros[VALOR],tabela_registros[MÊS],$AE$1,tabela_registros[DIA],investirrendavariávelconsolidadoabr[[#Headers],[21]],tabela_registros[REGISTRO],DADOS!$N$5,tabela_registros[TIPO],DADOS!$AB$4,tabela_registros[CATEGORIA],investirrendavariávelconsolidadoabr[[#This Row],[ATUAL]])</f>
        <v>0</v>
      </c>
      <c r="Z134" s="119" t="n">
        <f aca="false">SUMIFS(tabela_registros[VALOR],tabela_registros[MÊS],$AE$1,tabela_registros[DIA],investirrendavariávelconsolidadoabr[[#Headers],[22]],tabela_registros[REGISTRO],DADOS!$N$5,tabela_registros[TIPO],DADOS!$AB$4,tabela_registros[CATEGORIA],investirrendavariávelconsolidadoabr[[#This Row],[ATUAL]])</f>
        <v>0</v>
      </c>
      <c r="AA134" s="119" t="n">
        <f aca="false">SUMIFS(tabela_registros[VALOR],tabela_registros[MÊS],$AE$1,tabela_registros[DIA],investirrendavariávelconsolidadoabr[[#Headers],[23]],tabela_registros[REGISTRO],DADOS!$N$5,tabela_registros[TIPO],DADOS!$AB$4,tabela_registros[CATEGORIA],investirrendavariávelconsolidadoabr[[#This Row],[ATUAL]])</f>
        <v>0</v>
      </c>
      <c r="AB134" s="119" t="n">
        <f aca="false">SUMIFS(tabela_registros[VALOR],tabela_registros[MÊS],$AE$1,tabela_registros[DIA],investirrendavariávelconsolidadoabr[[#Headers],[24]],tabela_registros[REGISTRO],DADOS!$N$5,tabela_registros[TIPO],DADOS!$AB$4,tabela_registros[CATEGORIA],investirrendavariávelconsolidadoabr[[#This Row],[ATUAL]])</f>
        <v>0</v>
      </c>
      <c r="AC134" s="119" t="n">
        <f aca="false">SUMIFS(tabela_registros[VALOR],tabela_registros[MÊS],$AE$1,tabela_registros[DIA],investirrendavariávelconsolidadoabr[[#Headers],[25]],tabela_registros[REGISTRO],DADOS!$N$5,tabela_registros[TIPO],DADOS!$AB$4,tabela_registros[CATEGORIA],investirrendavariávelconsolidadoabr[[#This Row],[ATUAL]])</f>
        <v>0</v>
      </c>
      <c r="AD134" s="119" t="n">
        <f aca="false">SUMIFS(tabela_registros[VALOR],tabela_registros[MÊS],$AE$1,tabela_registros[DIA],investirrendavariávelconsolidadoabr[[#Headers],[26]],tabela_registros[REGISTRO],DADOS!$N$5,tabela_registros[TIPO],DADOS!$AB$4,tabela_registros[CATEGORIA],investirrendavariávelconsolidadoabr[[#This Row],[ATUAL]])</f>
        <v>0</v>
      </c>
      <c r="AE134" s="119" t="n">
        <f aca="false">SUMIFS(tabela_registros[VALOR],tabela_registros[MÊS],$AE$1,tabela_registros[DIA],investirrendavariávelconsolidadoabr[[#Headers],[27]],tabela_registros[REGISTRO],DADOS!$N$5,tabela_registros[TIPO],DADOS!$AB$4,tabela_registros[CATEGORIA],investirrendavariávelconsolidadoabr[[#This Row],[ATUAL]])</f>
        <v>0</v>
      </c>
      <c r="AF134" s="119" t="n">
        <f aca="false">SUMIFS(tabela_registros[VALOR],tabela_registros[MÊS],$AE$1,tabela_registros[DIA],investirrendavariávelconsolidadoabr[[#Headers],[28]],tabela_registros[REGISTRO],DADOS!$N$5,tabela_registros[TIPO],DADOS!$AB$4,tabela_registros[CATEGORIA],investirrendavariávelconsolidadoabr[[#This Row],[ATUAL]])</f>
        <v>0</v>
      </c>
      <c r="AG134" s="119" t="n">
        <f aca="false">SUMIFS(tabela_registros[VALOR],tabela_registros[MÊS],$AE$1,tabela_registros[DIA],investirrendavariávelconsolidadoabr[[#Headers],[29]],tabela_registros[REGISTRO],DADOS!$N$5,tabela_registros[TIPO],DADOS!$AB$4,tabela_registros[CATEGORIA],investirrendavariávelconsolidadoabr[[#This Row],[ATUAL]])</f>
        <v>0</v>
      </c>
      <c r="AH134" s="119" t="n">
        <f aca="false">SUMIFS(tabela_registros[VALOR],tabela_registros[MÊS],$AE$1,tabela_registros[DIA],investirrendavariávelconsolidadoabr[[#Headers],[30]],tabela_registros[REGISTRO],DADOS!$N$5,tabela_registros[TIPO],DADOS!$AB$4,tabela_registros[CATEGORIA],investirrendavariávelconsolidadoabr[[#This Row],[ATUAL]])</f>
        <v>0</v>
      </c>
      <c r="AI134" s="217" t="n">
        <f aca="false">SUMIFS(tabela_registros[VALOR],tabela_registros[MÊS],$AE$1,tabela_registros[DIA],investirrendavariávelconsolidadoabr[[#Headers],[31]],tabela_registros[REGISTRO],DADOS!$N$5,tabela_registros[TIPO],DADOS!$AB$4,tabela_registros[CATEGORIA],investirrendavariávelconsolidadoabr[[#This Row],[ATUAL]])</f>
        <v>0</v>
      </c>
      <c r="AJ134" s="149" t="n">
        <f aca="false">SUM(investirrendavariávelconsolidadoabr[[#This Row],[1]:[31]])</f>
        <v>0</v>
      </c>
      <c r="AK134" s="165"/>
    </row>
    <row r="135" customFormat="false" ht="19.5" hidden="false" customHeight="true" outlineLevel="0" collapsed="false">
      <c r="B135" s="143"/>
      <c r="C135" s="144" t="str">
        <f aca="false">DADOS!$AF$6</f>
        <v>📝 CONTRATO DE OPÇÕES</v>
      </c>
      <c r="D135" s="145" t="str">
        <f aca="false">IF(investirrendavariávelconsolidadoabr[[#This Row],[TOTAL (R$)]]=0,"",IF(OR(investirrendavariávelconsolidadoabr[[#This Row],[TOTAL (R$)]]=LARGE($AJ$132:$AJ$141,1),investirrendavariávelconsolidadoabr[[#This Row],[TOTAL (R$)]]=LARGE($AJ$132:$AJ$141,2)),DADOS!$I$10,""))</f>
        <v/>
      </c>
      <c r="E135" s="148" t="n">
        <f aca="false">SUMIFS(tabela_registros[VALOR],tabela_registros[MÊS],$AE$1,tabela_registros[DIA],investirrendavariávelconsolidadoabr[[#Headers],[1]],tabela_registros[REGISTRO],DADOS!$N$5,tabela_registros[TIPO],DADOS!$AB$4,tabela_registros[CATEGORIA],investirrendavariávelconsolidadoabr[[#This Row],[ATUAL]])</f>
        <v>0</v>
      </c>
      <c r="F135" s="119" t="n">
        <f aca="false">SUMIFS(tabela_registros[VALOR],tabela_registros[MÊS],$AE$1,tabela_registros[DIA],investirrendavariávelconsolidadoabr[[#Headers],[2]],tabela_registros[REGISTRO],DADOS!$N$5,tabela_registros[TIPO],DADOS!$AB$4,tabela_registros[CATEGORIA],investirrendavariávelconsolidadoabr[[#This Row],[ATUAL]])</f>
        <v>0</v>
      </c>
      <c r="G135" s="119" t="n">
        <f aca="false">SUMIFS(tabela_registros[VALOR],tabela_registros[MÊS],$AE$1,tabela_registros[DIA],investirrendavariávelconsolidadoabr[[#Headers],[3]],tabela_registros[REGISTRO],DADOS!$N$5,tabela_registros[TIPO],DADOS!$AB$4,tabela_registros[CATEGORIA],investirrendavariávelconsolidadoabr[[#This Row],[ATUAL]])</f>
        <v>0</v>
      </c>
      <c r="H135" s="119" t="n">
        <f aca="false">SUMIFS(tabela_registros[VALOR],tabela_registros[MÊS],$AE$1,tabela_registros[DIA],investirrendavariávelconsolidadoabr[[#Headers],[4]],tabela_registros[REGISTRO],DADOS!$N$5,tabela_registros[TIPO],DADOS!$AB$4,tabela_registros[CATEGORIA],investirrendavariávelconsolidadoabr[[#This Row],[ATUAL]])</f>
        <v>0</v>
      </c>
      <c r="I135" s="119" t="n">
        <f aca="false">SUMIFS(tabela_registros[VALOR],tabela_registros[MÊS],$AE$1,tabela_registros[DIA],investirrendavariávelconsolidadoabr[[#Headers],[5]],tabela_registros[REGISTRO],DADOS!$N$5,tabela_registros[TIPO],DADOS!$AB$4,tabela_registros[CATEGORIA],investirrendavariávelconsolidadoabr[[#This Row],[ATUAL]])</f>
        <v>0</v>
      </c>
      <c r="J135" s="119" t="n">
        <f aca="false">SUMIFS(tabela_registros[VALOR],tabela_registros[MÊS],$AE$1,tabela_registros[DIA],investirrendavariávelconsolidadoabr[[#Headers],[6]],tabela_registros[REGISTRO],DADOS!$N$5,tabela_registros[TIPO],DADOS!$AB$4,tabela_registros[CATEGORIA],investirrendavariávelconsolidadoabr[[#This Row],[ATUAL]])</f>
        <v>0</v>
      </c>
      <c r="K135" s="119" t="n">
        <f aca="false">SUMIFS(tabela_registros[VALOR],tabela_registros[MÊS],$AE$1,tabela_registros[DIA],investirrendavariávelconsolidadoabr[[#Headers],[7]],tabela_registros[REGISTRO],DADOS!$N$5,tabela_registros[TIPO],DADOS!$AB$4,tabela_registros[CATEGORIA],investirrendavariávelconsolidadoabr[[#This Row],[ATUAL]])</f>
        <v>0</v>
      </c>
      <c r="L135" s="119" t="n">
        <f aca="false">SUMIFS(tabela_registros[VALOR],tabela_registros[MÊS],$AE$1,tabela_registros[DIA],investirrendavariávelconsolidadoabr[[#Headers],[8]],tabela_registros[REGISTRO],DADOS!$N$5,tabela_registros[TIPO],DADOS!$AB$4,tabela_registros[CATEGORIA],investirrendavariávelconsolidadoabr[[#This Row],[ATUAL]])</f>
        <v>0</v>
      </c>
      <c r="M135" s="119" t="n">
        <f aca="false">SUMIFS(tabela_registros[VALOR],tabela_registros[MÊS],$AE$1,tabela_registros[DIA],investirrendavariávelconsolidadoabr[[#Headers],[9]],tabela_registros[REGISTRO],DADOS!$N$5,tabela_registros[TIPO],DADOS!$AB$4,tabela_registros[CATEGORIA],investirrendavariávelconsolidadoabr[[#This Row],[ATUAL]])</f>
        <v>0</v>
      </c>
      <c r="N135" s="119" t="n">
        <f aca="false">SUMIFS(tabela_registros[VALOR],tabela_registros[MÊS],$AE$1,tabela_registros[DIA],investirrendavariávelconsolidadoabr[[#Headers],[10]],tabela_registros[REGISTRO],DADOS!$N$5,tabela_registros[TIPO],DADOS!$AB$4,tabela_registros[CATEGORIA],investirrendavariávelconsolidadoabr[[#This Row],[ATUAL]])</f>
        <v>0</v>
      </c>
      <c r="O135" s="119" t="n">
        <f aca="false">SUMIFS(tabela_registros[VALOR],tabela_registros[MÊS],$AE$1,tabela_registros[DIA],investirrendavariávelconsolidadoabr[[#Headers],[11]],tabela_registros[REGISTRO],DADOS!$N$5,tabela_registros[TIPO],DADOS!$AB$4,tabela_registros[CATEGORIA],investirrendavariávelconsolidadoabr[[#This Row],[ATUAL]])</f>
        <v>0</v>
      </c>
      <c r="P135" s="119" t="n">
        <f aca="false">SUMIFS(tabela_registros[VALOR],tabela_registros[MÊS],$AE$1,tabela_registros[DIA],investirrendavariávelconsolidadoabr[[#Headers],[12]],tabela_registros[REGISTRO],DADOS!$N$5,tabela_registros[TIPO],DADOS!$AB$4,tabela_registros[CATEGORIA],investirrendavariávelconsolidadoabr[[#This Row],[ATUAL]])</f>
        <v>0</v>
      </c>
      <c r="Q135" s="119" t="n">
        <f aca="false">SUMIFS(tabela_registros[VALOR],tabela_registros[MÊS],$AE$1,tabela_registros[DIA],investirrendavariávelconsolidadoabr[[#Headers],[13]],tabela_registros[REGISTRO],DADOS!$N$5,tabela_registros[TIPO],DADOS!$AB$4,tabela_registros[CATEGORIA],investirrendavariávelconsolidadoabr[[#This Row],[ATUAL]])</f>
        <v>0</v>
      </c>
      <c r="R135" s="119" t="n">
        <f aca="false">SUMIFS(tabela_registros[VALOR],tabela_registros[MÊS],$AE$1,tabela_registros[DIA],investirrendavariávelconsolidadoabr[[#Headers],[14]],tabela_registros[REGISTRO],DADOS!$N$5,tabela_registros[TIPO],DADOS!$AB$4,tabela_registros[CATEGORIA],investirrendavariávelconsolidadoabr[[#This Row],[ATUAL]])</f>
        <v>0</v>
      </c>
      <c r="S135" s="119" t="n">
        <f aca="false">SUMIFS(tabela_registros[VALOR],tabela_registros[MÊS],$AE$1,tabela_registros[DIA],investirrendavariávelconsolidadoabr[[#Headers],[15]],tabela_registros[REGISTRO],DADOS!$N$5,tabela_registros[TIPO],DADOS!$AB$4,tabela_registros[CATEGORIA],investirrendavariávelconsolidadoabr[[#This Row],[ATUAL]])</f>
        <v>0</v>
      </c>
      <c r="T135" s="119" t="n">
        <f aca="false">SUMIFS(tabela_registros[VALOR],tabela_registros[MÊS],$AE$1,tabela_registros[DIA],investirrendavariávelconsolidadoabr[[#Headers],[16]],tabela_registros[REGISTRO],DADOS!$N$5,tabela_registros[TIPO],DADOS!$AB$4,tabela_registros[CATEGORIA],investirrendavariávelconsolidadoabr[[#This Row],[ATUAL]])</f>
        <v>0</v>
      </c>
      <c r="U135" s="119" t="n">
        <f aca="false">SUMIFS(tabela_registros[VALOR],tabela_registros[MÊS],$AE$1,tabela_registros[DIA],investirrendavariávelconsolidadoabr[[#Headers],[17]],tabela_registros[REGISTRO],DADOS!$N$5,tabela_registros[TIPO],DADOS!$AB$4,tabela_registros[CATEGORIA],investirrendavariávelconsolidadoabr[[#This Row],[ATUAL]])</f>
        <v>0</v>
      </c>
      <c r="V135" s="119" t="n">
        <f aca="false">SUMIFS(tabela_registros[VALOR],tabela_registros[MÊS],$AE$1,tabela_registros[DIA],investirrendavariávelconsolidadoabr[[#Headers],[18]],tabela_registros[REGISTRO],DADOS!$N$5,tabela_registros[TIPO],DADOS!$AB$4,tabela_registros[CATEGORIA],investirrendavariávelconsolidadoabr[[#This Row],[ATUAL]])</f>
        <v>0</v>
      </c>
      <c r="W135" s="119" t="n">
        <f aca="false">SUMIFS(tabela_registros[VALOR],tabela_registros[MÊS],$AE$1,tabela_registros[DIA],investirrendavariávelconsolidadoabr[[#Headers],[19]],tabela_registros[REGISTRO],DADOS!$N$5,tabela_registros[TIPO],DADOS!$AB$4,tabela_registros[CATEGORIA],investirrendavariávelconsolidadoabr[[#This Row],[ATUAL]])</f>
        <v>0</v>
      </c>
      <c r="X135" s="119" t="n">
        <f aca="false">SUMIFS(tabela_registros[VALOR],tabela_registros[MÊS],$AE$1,tabela_registros[DIA],investirrendavariávelconsolidadoabr[[#Headers],[20]],tabela_registros[REGISTRO],DADOS!$N$5,tabela_registros[TIPO],DADOS!$AB$4,tabela_registros[CATEGORIA],investirrendavariávelconsolidadoabr[[#This Row],[ATUAL]])</f>
        <v>0</v>
      </c>
      <c r="Y135" s="119" t="n">
        <f aca="false">SUMIFS(tabela_registros[VALOR],tabela_registros[MÊS],$AE$1,tabela_registros[DIA],investirrendavariávelconsolidadoabr[[#Headers],[21]],tabela_registros[REGISTRO],DADOS!$N$5,tabela_registros[TIPO],DADOS!$AB$4,tabela_registros[CATEGORIA],investirrendavariávelconsolidadoabr[[#This Row],[ATUAL]])</f>
        <v>0</v>
      </c>
      <c r="Z135" s="119" t="n">
        <f aca="false">SUMIFS(tabela_registros[VALOR],tabela_registros[MÊS],$AE$1,tabela_registros[DIA],investirrendavariávelconsolidadoabr[[#Headers],[22]],tabela_registros[REGISTRO],DADOS!$N$5,tabela_registros[TIPO],DADOS!$AB$4,tabela_registros[CATEGORIA],investirrendavariávelconsolidadoabr[[#This Row],[ATUAL]])</f>
        <v>0</v>
      </c>
      <c r="AA135" s="119" t="n">
        <f aca="false">SUMIFS(tabela_registros[VALOR],tabela_registros[MÊS],$AE$1,tabela_registros[DIA],investirrendavariávelconsolidadoabr[[#Headers],[23]],tabela_registros[REGISTRO],DADOS!$N$5,tabela_registros[TIPO],DADOS!$AB$4,tabela_registros[CATEGORIA],investirrendavariávelconsolidadoabr[[#This Row],[ATUAL]])</f>
        <v>0</v>
      </c>
      <c r="AB135" s="119" t="n">
        <f aca="false">SUMIFS(tabela_registros[VALOR],tabela_registros[MÊS],$AE$1,tabela_registros[DIA],investirrendavariávelconsolidadoabr[[#Headers],[24]],tabela_registros[REGISTRO],DADOS!$N$5,tabela_registros[TIPO],DADOS!$AB$4,tabela_registros[CATEGORIA],investirrendavariávelconsolidadoabr[[#This Row],[ATUAL]])</f>
        <v>0</v>
      </c>
      <c r="AC135" s="119" t="n">
        <f aca="false">SUMIFS(tabela_registros[VALOR],tabela_registros[MÊS],$AE$1,tabela_registros[DIA],investirrendavariávelconsolidadoabr[[#Headers],[25]],tabela_registros[REGISTRO],DADOS!$N$5,tabela_registros[TIPO],DADOS!$AB$4,tabela_registros[CATEGORIA],investirrendavariávelconsolidadoabr[[#This Row],[ATUAL]])</f>
        <v>0</v>
      </c>
      <c r="AD135" s="119" t="n">
        <f aca="false">SUMIFS(tabela_registros[VALOR],tabela_registros[MÊS],$AE$1,tabela_registros[DIA],investirrendavariávelconsolidadoabr[[#Headers],[26]],tabela_registros[REGISTRO],DADOS!$N$5,tabela_registros[TIPO],DADOS!$AB$4,tabela_registros[CATEGORIA],investirrendavariávelconsolidadoabr[[#This Row],[ATUAL]])</f>
        <v>0</v>
      </c>
      <c r="AE135" s="119" t="n">
        <f aca="false">SUMIFS(tabela_registros[VALOR],tabela_registros[MÊS],$AE$1,tabela_registros[DIA],investirrendavariávelconsolidadoabr[[#Headers],[27]],tabela_registros[REGISTRO],DADOS!$N$5,tabela_registros[TIPO],DADOS!$AB$4,tabela_registros[CATEGORIA],investirrendavariávelconsolidadoabr[[#This Row],[ATUAL]])</f>
        <v>0</v>
      </c>
      <c r="AF135" s="119" t="n">
        <f aca="false">SUMIFS(tabela_registros[VALOR],tabela_registros[MÊS],$AE$1,tabela_registros[DIA],investirrendavariávelconsolidadoabr[[#Headers],[28]],tabela_registros[REGISTRO],DADOS!$N$5,tabela_registros[TIPO],DADOS!$AB$4,tabela_registros[CATEGORIA],investirrendavariávelconsolidadoabr[[#This Row],[ATUAL]])</f>
        <v>0</v>
      </c>
      <c r="AG135" s="119" t="n">
        <f aca="false">SUMIFS(tabela_registros[VALOR],tabela_registros[MÊS],$AE$1,tabela_registros[DIA],investirrendavariávelconsolidadoabr[[#Headers],[29]],tabela_registros[REGISTRO],DADOS!$N$5,tabela_registros[TIPO],DADOS!$AB$4,tabela_registros[CATEGORIA],investirrendavariávelconsolidadoabr[[#This Row],[ATUAL]])</f>
        <v>0</v>
      </c>
      <c r="AH135" s="119" t="n">
        <f aca="false">SUMIFS(tabela_registros[VALOR],tabela_registros[MÊS],$AE$1,tabela_registros[DIA],investirrendavariávelconsolidadoabr[[#Headers],[30]],tabela_registros[REGISTRO],DADOS!$N$5,tabela_registros[TIPO],DADOS!$AB$4,tabela_registros[CATEGORIA],investirrendavariávelconsolidadoabr[[#This Row],[ATUAL]])</f>
        <v>0</v>
      </c>
      <c r="AI135" s="217" t="n">
        <f aca="false">SUMIFS(tabela_registros[VALOR],tabela_registros[MÊS],$AE$1,tabela_registros[DIA],investirrendavariávelconsolidadoabr[[#Headers],[31]],tabela_registros[REGISTRO],DADOS!$N$5,tabela_registros[TIPO],DADOS!$AB$4,tabela_registros[CATEGORIA],investirrendavariávelconsolidadoabr[[#This Row],[ATUAL]])</f>
        <v>0</v>
      </c>
      <c r="AJ135" s="149" t="n">
        <f aca="false">SUM(investirrendavariávelconsolidadoabr[[#This Row],[1]:[31]])</f>
        <v>0</v>
      </c>
      <c r="AK135" s="165"/>
    </row>
    <row r="136" customFormat="false" ht="19.5" hidden="false" customHeight="true" outlineLevel="0" collapsed="false">
      <c r="B136" s="143"/>
      <c r="C136" s="144" t="str">
        <f aca="false">DADOS!$AF$7</f>
        <v>📝 CRIPTOMOEDA</v>
      </c>
      <c r="D136" s="145" t="str">
        <f aca="false">IF(investirrendavariávelconsolidadoabr[[#This Row],[TOTAL (R$)]]=0,"",IF(OR(investirrendavariávelconsolidadoabr[[#This Row],[TOTAL (R$)]]=LARGE($AJ$132:$AJ$141,1),investirrendavariávelconsolidadoabr[[#This Row],[TOTAL (R$)]]=LARGE($AJ$132:$AJ$141,2)),DADOS!$I$10,""))</f>
        <v/>
      </c>
      <c r="E136" s="148" t="n">
        <f aca="false">SUMIFS(tabela_registros[VALOR],tabela_registros[MÊS],$AE$1,tabela_registros[DIA],investirrendavariávelconsolidadoabr[[#Headers],[1]],tabela_registros[REGISTRO],DADOS!$N$5,tabela_registros[TIPO],DADOS!$AB$4,tabela_registros[CATEGORIA],investirrendavariávelconsolidadoabr[[#This Row],[ATUAL]])</f>
        <v>0</v>
      </c>
      <c r="F136" s="119" t="n">
        <f aca="false">SUMIFS(tabela_registros[VALOR],tabela_registros[MÊS],$AE$1,tabela_registros[DIA],investirrendavariávelconsolidadoabr[[#Headers],[2]],tabela_registros[REGISTRO],DADOS!$N$5,tabela_registros[TIPO],DADOS!$AB$4,tabela_registros[CATEGORIA],investirrendavariávelconsolidadoabr[[#This Row],[ATUAL]])</f>
        <v>0</v>
      </c>
      <c r="G136" s="119" t="n">
        <f aca="false">SUMIFS(tabela_registros[VALOR],tabela_registros[MÊS],$AE$1,tabela_registros[DIA],investirrendavariávelconsolidadoabr[[#Headers],[3]],tabela_registros[REGISTRO],DADOS!$N$5,tabela_registros[TIPO],DADOS!$AB$4,tabela_registros[CATEGORIA],investirrendavariávelconsolidadoabr[[#This Row],[ATUAL]])</f>
        <v>0</v>
      </c>
      <c r="H136" s="119" t="n">
        <f aca="false">SUMIFS(tabela_registros[VALOR],tabela_registros[MÊS],$AE$1,tabela_registros[DIA],investirrendavariávelconsolidadoabr[[#Headers],[4]],tabela_registros[REGISTRO],DADOS!$N$5,tabela_registros[TIPO],DADOS!$AB$4,tabela_registros[CATEGORIA],investirrendavariávelconsolidadoabr[[#This Row],[ATUAL]])</f>
        <v>0</v>
      </c>
      <c r="I136" s="119" t="n">
        <f aca="false">SUMIFS(tabela_registros[VALOR],tabela_registros[MÊS],$AE$1,tabela_registros[DIA],investirrendavariávelconsolidadoabr[[#Headers],[5]],tabela_registros[REGISTRO],DADOS!$N$5,tabela_registros[TIPO],DADOS!$AB$4,tabela_registros[CATEGORIA],investirrendavariávelconsolidadoabr[[#This Row],[ATUAL]])</f>
        <v>0</v>
      </c>
      <c r="J136" s="119" t="n">
        <f aca="false">SUMIFS(tabela_registros[VALOR],tabela_registros[MÊS],$AE$1,tabela_registros[DIA],investirrendavariávelconsolidadoabr[[#Headers],[6]],tabela_registros[REGISTRO],DADOS!$N$5,tabela_registros[TIPO],DADOS!$AB$4,tabela_registros[CATEGORIA],investirrendavariávelconsolidadoabr[[#This Row],[ATUAL]])</f>
        <v>0</v>
      </c>
      <c r="K136" s="119" t="n">
        <f aca="false">SUMIFS(tabela_registros[VALOR],tabela_registros[MÊS],$AE$1,tabela_registros[DIA],investirrendavariávelconsolidadoabr[[#Headers],[7]],tabela_registros[REGISTRO],DADOS!$N$5,tabela_registros[TIPO],DADOS!$AB$4,tabela_registros[CATEGORIA],investirrendavariávelconsolidadoabr[[#This Row],[ATUAL]])</f>
        <v>0</v>
      </c>
      <c r="L136" s="119" t="n">
        <f aca="false">SUMIFS(tabela_registros[VALOR],tabela_registros[MÊS],$AE$1,tabela_registros[DIA],investirrendavariávelconsolidadoabr[[#Headers],[8]],tabela_registros[REGISTRO],DADOS!$N$5,tabela_registros[TIPO],DADOS!$AB$4,tabela_registros[CATEGORIA],investirrendavariávelconsolidadoabr[[#This Row],[ATUAL]])</f>
        <v>0</v>
      </c>
      <c r="M136" s="119" t="n">
        <f aca="false">SUMIFS(tabela_registros[VALOR],tabela_registros[MÊS],$AE$1,tabela_registros[DIA],investirrendavariávelconsolidadoabr[[#Headers],[9]],tabela_registros[REGISTRO],DADOS!$N$5,tabela_registros[TIPO],DADOS!$AB$4,tabela_registros[CATEGORIA],investirrendavariávelconsolidadoabr[[#This Row],[ATUAL]])</f>
        <v>0</v>
      </c>
      <c r="N136" s="119" t="n">
        <f aca="false">SUMIFS(tabela_registros[VALOR],tabela_registros[MÊS],$AE$1,tabela_registros[DIA],investirrendavariávelconsolidadoabr[[#Headers],[10]],tabela_registros[REGISTRO],DADOS!$N$5,tabela_registros[TIPO],DADOS!$AB$4,tabela_registros[CATEGORIA],investirrendavariávelconsolidadoabr[[#This Row],[ATUAL]])</f>
        <v>0</v>
      </c>
      <c r="O136" s="119" t="n">
        <f aca="false">SUMIFS(tabela_registros[VALOR],tabela_registros[MÊS],$AE$1,tabela_registros[DIA],investirrendavariávelconsolidadoabr[[#Headers],[11]],tabela_registros[REGISTRO],DADOS!$N$5,tabela_registros[TIPO],DADOS!$AB$4,tabela_registros[CATEGORIA],investirrendavariávelconsolidadoabr[[#This Row],[ATUAL]])</f>
        <v>0</v>
      </c>
      <c r="P136" s="119" t="n">
        <f aca="false">SUMIFS(tabela_registros[VALOR],tabela_registros[MÊS],$AE$1,tabela_registros[DIA],investirrendavariávelconsolidadoabr[[#Headers],[12]],tabela_registros[REGISTRO],DADOS!$N$5,tabela_registros[TIPO],DADOS!$AB$4,tabela_registros[CATEGORIA],investirrendavariávelconsolidadoabr[[#This Row],[ATUAL]])</f>
        <v>0</v>
      </c>
      <c r="Q136" s="119" t="n">
        <f aca="false">SUMIFS(tabela_registros[VALOR],tabela_registros[MÊS],$AE$1,tabela_registros[DIA],investirrendavariávelconsolidadoabr[[#Headers],[13]],tabela_registros[REGISTRO],DADOS!$N$5,tabela_registros[TIPO],DADOS!$AB$4,tabela_registros[CATEGORIA],investirrendavariávelconsolidadoabr[[#This Row],[ATUAL]])</f>
        <v>0</v>
      </c>
      <c r="R136" s="119" t="n">
        <f aca="false">SUMIFS(tabela_registros[VALOR],tabela_registros[MÊS],$AE$1,tabela_registros[DIA],investirrendavariávelconsolidadoabr[[#Headers],[14]],tabela_registros[REGISTRO],DADOS!$N$5,tabela_registros[TIPO],DADOS!$AB$4,tabela_registros[CATEGORIA],investirrendavariávelconsolidadoabr[[#This Row],[ATUAL]])</f>
        <v>0</v>
      </c>
      <c r="S136" s="119" t="n">
        <f aca="false">SUMIFS(tabela_registros[VALOR],tabela_registros[MÊS],$AE$1,tabela_registros[DIA],investirrendavariávelconsolidadoabr[[#Headers],[15]],tabela_registros[REGISTRO],DADOS!$N$5,tabela_registros[TIPO],DADOS!$AB$4,tabela_registros[CATEGORIA],investirrendavariávelconsolidadoabr[[#This Row],[ATUAL]])</f>
        <v>0</v>
      </c>
      <c r="T136" s="119" t="n">
        <f aca="false">SUMIFS(tabela_registros[VALOR],tabela_registros[MÊS],$AE$1,tabela_registros[DIA],investirrendavariávelconsolidadoabr[[#Headers],[16]],tabela_registros[REGISTRO],DADOS!$N$5,tabela_registros[TIPO],DADOS!$AB$4,tabela_registros[CATEGORIA],investirrendavariávelconsolidadoabr[[#This Row],[ATUAL]])</f>
        <v>0</v>
      </c>
      <c r="U136" s="119" t="n">
        <f aca="false">SUMIFS(tabela_registros[VALOR],tabela_registros[MÊS],$AE$1,tabela_registros[DIA],investirrendavariávelconsolidadoabr[[#Headers],[17]],tabela_registros[REGISTRO],DADOS!$N$5,tabela_registros[TIPO],DADOS!$AB$4,tabela_registros[CATEGORIA],investirrendavariávelconsolidadoabr[[#This Row],[ATUAL]])</f>
        <v>0</v>
      </c>
      <c r="V136" s="119" t="n">
        <f aca="false">SUMIFS(tabela_registros[VALOR],tabela_registros[MÊS],$AE$1,tabela_registros[DIA],investirrendavariávelconsolidadoabr[[#Headers],[18]],tabela_registros[REGISTRO],DADOS!$N$5,tabela_registros[TIPO],DADOS!$AB$4,tabela_registros[CATEGORIA],investirrendavariávelconsolidadoabr[[#This Row],[ATUAL]])</f>
        <v>0</v>
      </c>
      <c r="W136" s="119" t="n">
        <f aca="false">SUMIFS(tabela_registros[VALOR],tabela_registros[MÊS],$AE$1,tabela_registros[DIA],investirrendavariávelconsolidadoabr[[#Headers],[19]],tabela_registros[REGISTRO],DADOS!$N$5,tabela_registros[TIPO],DADOS!$AB$4,tabela_registros[CATEGORIA],investirrendavariávelconsolidadoabr[[#This Row],[ATUAL]])</f>
        <v>0</v>
      </c>
      <c r="X136" s="119" t="n">
        <f aca="false">SUMIFS(tabela_registros[VALOR],tabela_registros[MÊS],$AE$1,tabela_registros[DIA],investirrendavariávelconsolidadoabr[[#Headers],[20]],tabela_registros[REGISTRO],DADOS!$N$5,tabela_registros[TIPO],DADOS!$AB$4,tabela_registros[CATEGORIA],investirrendavariávelconsolidadoabr[[#This Row],[ATUAL]])</f>
        <v>0</v>
      </c>
      <c r="Y136" s="119" t="n">
        <f aca="false">SUMIFS(tabela_registros[VALOR],tabela_registros[MÊS],$AE$1,tabela_registros[DIA],investirrendavariávelconsolidadoabr[[#Headers],[21]],tabela_registros[REGISTRO],DADOS!$N$5,tabela_registros[TIPO],DADOS!$AB$4,tabela_registros[CATEGORIA],investirrendavariávelconsolidadoabr[[#This Row],[ATUAL]])</f>
        <v>0</v>
      </c>
      <c r="Z136" s="119" t="n">
        <f aca="false">SUMIFS(tabela_registros[VALOR],tabela_registros[MÊS],$AE$1,tabela_registros[DIA],investirrendavariávelconsolidadoabr[[#Headers],[22]],tabela_registros[REGISTRO],DADOS!$N$5,tabela_registros[TIPO],DADOS!$AB$4,tabela_registros[CATEGORIA],investirrendavariávelconsolidadoabr[[#This Row],[ATUAL]])</f>
        <v>0</v>
      </c>
      <c r="AA136" s="119" t="n">
        <f aca="false">SUMIFS(tabela_registros[VALOR],tabela_registros[MÊS],$AE$1,tabela_registros[DIA],investirrendavariávelconsolidadoabr[[#Headers],[23]],tabela_registros[REGISTRO],DADOS!$N$5,tabela_registros[TIPO],DADOS!$AB$4,tabela_registros[CATEGORIA],investirrendavariávelconsolidadoabr[[#This Row],[ATUAL]])</f>
        <v>0</v>
      </c>
      <c r="AB136" s="119" t="n">
        <f aca="false">SUMIFS(tabela_registros[VALOR],tabela_registros[MÊS],$AE$1,tabela_registros[DIA],investirrendavariávelconsolidadoabr[[#Headers],[24]],tabela_registros[REGISTRO],DADOS!$N$5,tabela_registros[TIPO],DADOS!$AB$4,tabela_registros[CATEGORIA],investirrendavariávelconsolidadoabr[[#This Row],[ATUAL]])</f>
        <v>0</v>
      </c>
      <c r="AC136" s="119" t="n">
        <f aca="false">SUMIFS(tabela_registros[VALOR],tabela_registros[MÊS],$AE$1,tabela_registros[DIA],investirrendavariávelconsolidadoabr[[#Headers],[25]],tabela_registros[REGISTRO],DADOS!$N$5,tabela_registros[TIPO],DADOS!$AB$4,tabela_registros[CATEGORIA],investirrendavariávelconsolidadoabr[[#This Row],[ATUAL]])</f>
        <v>0</v>
      </c>
      <c r="AD136" s="119" t="n">
        <f aca="false">SUMIFS(tabela_registros[VALOR],tabela_registros[MÊS],$AE$1,tabela_registros[DIA],investirrendavariávelconsolidadoabr[[#Headers],[26]],tabela_registros[REGISTRO],DADOS!$N$5,tabela_registros[TIPO],DADOS!$AB$4,tabela_registros[CATEGORIA],investirrendavariávelconsolidadoabr[[#This Row],[ATUAL]])</f>
        <v>0</v>
      </c>
      <c r="AE136" s="119" t="n">
        <f aca="false">SUMIFS(tabela_registros[VALOR],tabela_registros[MÊS],$AE$1,tabela_registros[DIA],investirrendavariávelconsolidadoabr[[#Headers],[27]],tabela_registros[REGISTRO],DADOS!$N$5,tabela_registros[TIPO],DADOS!$AB$4,tabela_registros[CATEGORIA],investirrendavariávelconsolidadoabr[[#This Row],[ATUAL]])</f>
        <v>0</v>
      </c>
      <c r="AF136" s="119" t="n">
        <f aca="false">SUMIFS(tabela_registros[VALOR],tabela_registros[MÊS],$AE$1,tabela_registros[DIA],investirrendavariávelconsolidadoabr[[#Headers],[28]],tabela_registros[REGISTRO],DADOS!$N$5,tabela_registros[TIPO],DADOS!$AB$4,tabela_registros[CATEGORIA],investirrendavariávelconsolidadoabr[[#This Row],[ATUAL]])</f>
        <v>0</v>
      </c>
      <c r="AG136" s="119" t="n">
        <f aca="false">SUMIFS(tabela_registros[VALOR],tabela_registros[MÊS],$AE$1,tabela_registros[DIA],investirrendavariávelconsolidadoabr[[#Headers],[29]],tabela_registros[REGISTRO],DADOS!$N$5,tabela_registros[TIPO],DADOS!$AB$4,tabela_registros[CATEGORIA],investirrendavariávelconsolidadoabr[[#This Row],[ATUAL]])</f>
        <v>0</v>
      </c>
      <c r="AH136" s="119" t="n">
        <f aca="false">SUMIFS(tabela_registros[VALOR],tabela_registros[MÊS],$AE$1,tabela_registros[DIA],investirrendavariávelconsolidadoabr[[#Headers],[30]],tabela_registros[REGISTRO],DADOS!$N$5,tabela_registros[TIPO],DADOS!$AB$4,tabela_registros[CATEGORIA],investirrendavariávelconsolidadoabr[[#This Row],[ATUAL]])</f>
        <v>0</v>
      </c>
      <c r="AI136" s="217" t="n">
        <f aca="false">SUMIFS(tabela_registros[VALOR],tabela_registros[MÊS],$AE$1,tabela_registros[DIA],investirrendavariávelconsolidadoabr[[#Headers],[31]],tabela_registros[REGISTRO],DADOS!$N$5,tabela_registros[TIPO],DADOS!$AB$4,tabela_registros[CATEGORIA],investirrendavariávelconsolidadoabr[[#This Row],[ATUAL]])</f>
        <v>0</v>
      </c>
      <c r="AJ136" s="149" t="n">
        <f aca="false">SUM(investirrendavariávelconsolidadoabr[[#This Row],[1]:[31]])</f>
        <v>0</v>
      </c>
      <c r="AK136" s="165"/>
    </row>
    <row r="137" customFormat="false" ht="19.5" hidden="false" customHeight="true" outlineLevel="0" collapsed="false">
      <c r="B137" s="143"/>
      <c r="C137" s="144" t="str">
        <f aca="false">DADOS!$AF$8</f>
        <v>📝 ETF</v>
      </c>
      <c r="D137" s="145" t="str">
        <f aca="false">IF(investirrendavariávelconsolidadoabr[[#This Row],[TOTAL (R$)]]=0,"",IF(OR(investirrendavariávelconsolidadoabr[[#This Row],[TOTAL (R$)]]=LARGE($AJ$132:$AJ$141,1),investirrendavariávelconsolidadoabr[[#This Row],[TOTAL (R$)]]=LARGE($AJ$132:$AJ$141,2)),DADOS!$I$10,""))</f>
        <v/>
      </c>
      <c r="E137" s="148" t="n">
        <f aca="false">SUMIFS(tabela_registros[VALOR],tabela_registros[MÊS],$AE$1,tabela_registros[DIA],investirrendavariávelconsolidadoabr[[#Headers],[1]],tabela_registros[REGISTRO],DADOS!$N$5,tabela_registros[TIPO],DADOS!$AB$4,tabela_registros[CATEGORIA],investirrendavariávelconsolidadoabr[[#This Row],[ATUAL]])</f>
        <v>0</v>
      </c>
      <c r="F137" s="119" t="n">
        <f aca="false">SUMIFS(tabela_registros[VALOR],tabela_registros[MÊS],$AE$1,tabela_registros[DIA],investirrendavariávelconsolidadoabr[[#Headers],[2]],tabela_registros[REGISTRO],DADOS!$N$5,tabela_registros[TIPO],DADOS!$AB$4,tabela_registros[CATEGORIA],investirrendavariávelconsolidadoabr[[#This Row],[ATUAL]])</f>
        <v>0</v>
      </c>
      <c r="G137" s="119" t="n">
        <f aca="false">SUMIFS(tabela_registros[VALOR],tabela_registros[MÊS],$AE$1,tabela_registros[DIA],investirrendavariávelconsolidadoabr[[#Headers],[3]],tabela_registros[REGISTRO],DADOS!$N$5,tabela_registros[TIPO],DADOS!$AB$4,tabela_registros[CATEGORIA],investirrendavariávelconsolidadoabr[[#This Row],[ATUAL]])</f>
        <v>0</v>
      </c>
      <c r="H137" s="119" t="n">
        <f aca="false">SUMIFS(tabela_registros[VALOR],tabela_registros[MÊS],$AE$1,tabela_registros[DIA],investirrendavariávelconsolidadoabr[[#Headers],[4]],tabela_registros[REGISTRO],DADOS!$N$5,tabela_registros[TIPO],DADOS!$AB$4,tabela_registros[CATEGORIA],investirrendavariávelconsolidadoabr[[#This Row],[ATUAL]])</f>
        <v>0</v>
      </c>
      <c r="I137" s="119" t="n">
        <f aca="false">SUMIFS(tabela_registros[VALOR],tabela_registros[MÊS],$AE$1,tabela_registros[DIA],investirrendavariávelconsolidadoabr[[#Headers],[5]],tabela_registros[REGISTRO],DADOS!$N$5,tabela_registros[TIPO],DADOS!$AB$4,tabela_registros[CATEGORIA],investirrendavariávelconsolidadoabr[[#This Row],[ATUAL]])</f>
        <v>0</v>
      </c>
      <c r="J137" s="119" t="n">
        <f aca="false">SUMIFS(tabela_registros[VALOR],tabela_registros[MÊS],$AE$1,tabela_registros[DIA],investirrendavariávelconsolidadoabr[[#Headers],[6]],tabela_registros[REGISTRO],DADOS!$N$5,tabela_registros[TIPO],DADOS!$AB$4,tabela_registros[CATEGORIA],investirrendavariávelconsolidadoabr[[#This Row],[ATUAL]])</f>
        <v>0</v>
      </c>
      <c r="K137" s="119" t="n">
        <f aca="false">SUMIFS(tabela_registros[VALOR],tabela_registros[MÊS],$AE$1,tabela_registros[DIA],investirrendavariávelconsolidadoabr[[#Headers],[7]],tabela_registros[REGISTRO],DADOS!$N$5,tabela_registros[TIPO],DADOS!$AB$4,tabela_registros[CATEGORIA],investirrendavariávelconsolidadoabr[[#This Row],[ATUAL]])</f>
        <v>0</v>
      </c>
      <c r="L137" s="119" t="n">
        <f aca="false">SUMIFS(tabela_registros[VALOR],tabela_registros[MÊS],$AE$1,tabela_registros[DIA],investirrendavariávelconsolidadoabr[[#Headers],[8]],tabela_registros[REGISTRO],DADOS!$N$5,tabela_registros[TIPO],DADOS!$AB$4,tabela_registros[CATEGORIA],investirrendavariávelconsolidadoabr[[#This Row],[ATUAL]])</f>
        <v>0</v>
      </c>
      <c r="M137" s="119" t="n">
        <f aca="false">SUMIFS(tabela_registros[VALOR],tabela_registros[MÊS],$AE$1,tabela_registros[DIA],investirrendavariávelconsolidadoabr[[#Headers],[9]],tabela_registros[REGISTRO],DADOS!$N$5,tabela_registros[TIPO],DADOS!$AB$4,tabela_registros[CATEGORIA],investirrendavariávelconsolidadoabr[[#This Row],[ATUAL]])</f>
        <v>0</v>
      </c>
      <c r="N137" s="119" t="n">
        <f aca="false">SUMIFS(tabela_registros[VALOR],tabela_registros[MÊS],$AE$1,tabela_registros[DIA],investirrendavariávelconsolidadoabr[[#Headers],[10]],tabela_registros[REGISTRO],DADOS!$N$5,tabela_registros[TIPO],DADOS!$AB$4,tabela_registros[CATEGORIA],investirrendavariávelconsolidadoabr[[#This Row],[ATUAL]])</f>
        <v>0</v>
      </c>
      <c r="O137" s="119" t="n">
        <f aca="false">SUMIFS(tabela_registros[VALOR],tabela_registros[MÊS],$AE$1,tabela_registros[DIA],investirrendavariávelconsolidadoabr[[#Headers],[11]],tabela_registros[REGISTRO],DADOS!$N$5,tabela_registros[TIPO],DADOS!$AB$4,tabela_registros[CATEGORIA],investirrendavariávelconsolidadoabr[[#This Row],[ATUAL]])</f>
        <v>0</v>
      </c>
      <c r="P137" s="119" t="n">
        <f aca="false">SUMIFS(tabela_registros[VALOR],tabela_registros[MÊS],$AE$1,tabela_registros[DIA],investirrendavariávelconsolidadoabr[[#Headers],[12]],tabela_registros[REGISTRO],DADOS!$N$5,tabela_registros[TIPO],DADOS!$AB$4,tabela_registros[CATEGORIA],investirrendavariávelconsolidadoabr[[#This Row],[ATUAL]])</f>
        <v>0</v>
      </c>
      <c r="Q137" s="119" t="n">
        <f aca="false">SUMIFS(tabela_registros[VALOR],tabela_registros[MÊS],$AE$1,tabela_registros[DIA],investirrendavariávelconsolidadoabr[[#Headers],[13]],tabela_registros[REGISTRO],DADOS!$N$5,tabela_registros[TIPO],DADOS!$AB$4,tabela_registros[CATEGORIA],investirrendavariávelconsolidadoabr[[#This Row],[ATUAL]])</f>
        <v>0</v>
      </c>
      <c r="R137" s="119" t="n">
        <f aca="false">SUMIFS(tabela_registros[VALOR],tabela_registros[MÊS],$AE$1,tabela_registros[DIA],investirrendavariávelconsolidadoabr[[#Headers],[14]],tabela_registros[REGISTRO],DADOS!$N$5,tabela_registros[TIPO],DADOS!$AB$4,tabela_registros[CATEGORIA],investirrendavariávelconsolidadoabr[[#This Row],[ATUAL]])</f>
        <v>0</v>
      </c>
      <c r="S137" s="119" t="n">
        <f aca="false">SUMIFS(tabela_registros[VALOR],tabela_registros[MÊS],$AE$1,tabela_registros[DIA],investirrendavariávelconsolidadoabr[[#Headers],[15]],tabela_registros[REGISTRO],DADOS!$N$5,tabela_registros[TIPO],DADOS!$AB$4,tabela_registros[CATEGORIA],investirrendavariávelconsolidadoabr[[#This Row],[ATUAL]])</f>
        <v>0</v>
      </c>
      <c r="T137" s="119" t="n">
        <f aca="false">SUMIFS(tabela_registros[VALOR],tabela_registros[MÊS],$AE$1,tabela_registros[DIA],investirrendavariávelconsolidadoabr[[#Headers],[16]],tabela_registros[REGISTRO],DADOS!$N$5,tabela_registros[TIPO],DADOS!$AB$4,tabela_registros[CATEGORIA],investirrendavariávelconsolidadoabr[[#This Row],[ATUAL]])</f>
        <v>0</v>
      </c>
      <c r="U137" s="119" t="n">
        <f aca="false">SUMIFS(tabela_registros[VALOR],tabela_registros[MÊS],$AE$1,tabela_registros[DIA],investirrendavariávelconsolidadoabr[[#Headers],[17]],tabela_registros[REGISTRO],DADOS!$N$5,tabela_registros[TIPO],DADOS!$AB$4,tabela_registros[CATEGORIA],investirrendavariávelconsolidadoabr[[#This Row],[ATUAL]])</f>
        <v>0</v>
      </c>
      <c r="V137" s="119" t="n">
        <f aca="false">SUMIFS(tabela_registros[VALOR],tabela_registros[MÊS],$AE$1,tabela_registros[DIA],investirrendavariávelconsolidadoabr[[#Headers],[18]],tabela_registros[REGISTRO],DADOS!$N$5,tabela_registros[TIPO],DADOS!$AB$4,tabela_registros[CATEGORIA],investirrendavariávelconsolidadoabr[[#This Row],[ATUAL]])</f>
        <v>0</v>
      </c>
      <c r="W137" s="119" t="n">
        <f aca="false">SUMIFS(tabela_registros[VALOR],tabela_registros[MÊS],$AE$1,tabela_registros[DIA],investirrendavariávelconsolidadoabr[[#Headers],[19]],tabela_registros[REGISTRO],DADOS!$N$5,tabela_registros[TIPO],DADOS!$AB$4,tabela_registros[CATEGORIA],investirrendavariávelconsolidadoabr[[#This Row],[ATUAL]])</f>
        <v>0</v>
      </c>
      <c r="X137" s="119" t="n">
        <f aca="false">SUMIFS(tabela_registros[VALOR],tabela_registros[MÊS],$AE$1,tabela_registros[DIA],investirrendavariávelconsolidadoabr[[#Headers],[20]],tabela_registros[REGISTRO],DADOS!$N$5,tabela_registros[TIPO],DADOS!$AB$4,tabela_registros[CATEGORIA],investirrendavariávelconsolidadoabr[[#This Row],[ATUAL]])</f>
        <v>0</v>
      </c>
      <c r="Y137" s="119" t="n">
        <f aca="false">SUMIFS(tabela_registros[VALOR],tabela_registros[MÊS],$AE$1,tabela_registros[DIA],investirrendavariávelconsolidadoabr[[#Headers],[21]],tabela_registros[REGISTRO],DADOS!$N$5,tabela_registros[TIPO],DADOS!$AB$4,tabela_registros[CATEGORIA],investirrendavariávelconsolidadoabr[[#This Row],[ATUAL]])</f>
        <v>0</v>
      </c>
      <c r="Z137" s="119" t="n">
        <f aca="false">SUMIFS(tabela_registros[VALOR],tabela_registros[MÊS],$AE$1,tabela_registros[DIA],investirrendavariávelconsolidadoabr[[#Headers],[22]],tabela_registros[REGISTRO],DADOS!$N$5,tabela_registros[TIPO],DADOS!$AB$4,tabela_registros[CATEGORIA],investirrendavariávelconsolidadoabr[[#This Row],[ATUAL]])</f>
        <v>0</v>
      </c>
      <c r="AA137" s="119" t="n">
        <f aca="false">SUMIFS(tabela_registros[VALOR],tabela_registros[MÊS],$AE$1,tabela_registros[DIA],investirrendavariávelconsolidadoabr[[#Headers],[23]],tabela_registros[REGISTRO],DADOS!$N$5,tabela_registros[TIPO],DADOS!$AB$4,tabela_registros[CATEGORIA],investirrendavariávelconsolidadoabr[[#This Row],[ATUAL]])</f>
        <v>0</v>
      </c>
      <c r="AB137" s="119" t="n">
        <f aca="false">SUMIFS(tabela_registros[VALOR],tabela_registros[MÊS],$AE$1,tabela_registros[DIA],investirrendavariávelconsolidadoabr[[#Headers],[24]],tabela_registros[REGISTRO],DADOS!$N$5,tabela_registros[TIPO],DADOS!$AB$4,tabela_registros[CATEGORIA],investirrendavariávelconsolidadoabr[[#This Row],[ATUAL]])</f>
        <v>0</v>
      </c>
      <c r="AC137" s="119" t="n">
        <f aca="false">SUMIFS(tabela_registros[VALOR],tabela_registros[MÊS],$AE$1,tabela_registros[DIA],investirrendavariávelconsolidadoabr[[#Headers],[25]],tabela_registros[REGISTRO],DADOS!$N$5,tabela_registros[TIPO],DADOS!$AB$4,tabela_registros[CATEGORIA],investirrendavariávelconsolidadoabr[[#This Row],[ATUAL]])</f>
        <v>0</v>
      </c>
      <c r="AD137" s="119" t="n">
        <f aca="false">SUMIFS(tabela_registros[VALOR],tabela_registros[MÊS],$AE$1,tabela_registros[DIA],investirrendavariávelconsolidadoabr[[#Headers],[26]],tabela_registros[REGISTRO],DADOS!$N$5,tabela_registros[TIPO],DADOS!$AB$4,tabela_registros[CATEGORIA],investirrendavariávelconsolidadoabr[[#This Row],[ATUAL]])</f>
        <v>0</v>
      </c>
      <c r="AE137" s="119" t="n">
        <f aca="false">SUMIFS(tabela_registros[VALOR],tabela_registros[MÊS],$AE$1,tabela_registros[DIA],investirrendavariávelconsolidadoabr[[#Headers],[27]],tabela_registros[REGISTRO],DADOS!$N$5,tabela_registros[TIPO],DADOS!$AB$4,tabela_registros[CATEGORIA],investirrendavariávelconsolidadoabr[[#This Row],[ATUAL]])</f>
        <v>0</v>
      </c>
      <c r="AF137" s="119" t="n">
        <f aca="false">SUMIFS(tabela_registros[VALOR],tabela_registros[MÊS],$AE$1,tabela_registros[DIA],investirrendavariávelconsolidadoabr[[#Headers],[28]],tabela_registros[REGISTRO],DADOS!$N$5,tabela_registros[TIPO],DADOS!$AB$4,tabela_registros[CATEGORIA],investirrendavariávelconsolidadoabr[[#This Row],[ATUAL]])</f>
        <v>0</v>
      </c>
      <c r="AG137" s="119" t="n">
        <f aca="false">SUMIFS(tabela_registros[VALOR],tabela_registros[MÊS],$AE$1,tabela_registros[DIA],investirrendavariávelconsolidadoabr[[#Headers],[29]],tabela_registros[REGISTRO],DADOS!$N$5,tabela_registros[TIPO],DADOS!$AB$4,tabela_registros[CATEGORIA],investirrendavariávelconsolidadoabr[[#This Row],[ATUAL]])</f>
        <v>0</v>
      </c>
      <c r="AH137" s="119" t="n">
        <f aca="false">SUMIFS(tabela_registros[VALOR],tabela_registros[MÊS],$AE$1,tabela_registros[DIA],investirrendavariávelconsolidadoabr[[#Headers],[30]],tabela_registros[REGISTRO],DADOS!$N$5,tabela_registros[TIPO],DADOS!$AB$4,tabela_registros[CATEGORIA],investirrendavariávelconsolidadoabr[[#This Row],[ATUAL]])</f>
        <v>0</v>
      </c>
      <c r="AI137" s="217" t="n">
        <f aca="false">SUMIFS(tabela_registros[VALOR],tabela_registros[MÊS],$AE$1,tabela_registros[DIA],investirrendavariávelconsolidadoabr[[#Headers],[31]],tabela_registros[REGISTRO],DADOS!$N$5,tabela_registros[TIPO],DADOS!$AB$4,tabela_registros[CATEGORIA],investirrendavariávelconsolidadoabr[[#This Row],[ATUAL]])</f>
        <v>0</v>
      </c>
      <c r="AJ137" s="149" t="n">
        <f aca="false">SUM(investirrendavariávelconsolidadoabr[[#This Row],[1]:[31]])</f>
        <v>0</v>
      </c>
      <c r="AK137" s="165"/>
    </row>
    <row r="138" customFormat="false" ht="19.5" hidden="false" customHeight="true" outlineLevel="0" collapsed="false">
      <c r="B138" s="143"/>
      <c r="C138" s="144" t="str">
        <f aca="false">DADOS!$AF$9</f>
        <v>📝 EXTERIOR</v>
      </c>
      <c r="D138" s="145" t="str">
        <f aca="false">IF(investirrendavariávelconsolidadoabr[[#This Row],[TOTAL (R$)]]=0,"",IF(OR(investirrendavariávelconsolidadoabr[[#This Row],[TOTAL (R$)]]=LARGE($AJ$132:$AJ$141,1),investirrendavariávelconsolidadoabr[[#This Row],[TOTAL (R$)]]=LARGE($AJ$132:$AJ$141,2)),DADOS!$I$10,""))</f>
        <v/>
      </c>
      <c r="E138" s="148" t="n">
        <f aca="false">SUMIFS(tabela_registros[VALOR],tabela_registros[MÊS],$AE$1,tabela_registros[DIA],investirrendavariávelconsolidadoabr[[#Headers],[1]],tabela_registros[REGISTRO],DADOS!$N$5,tabela_registros[TIPO],DADOS!$AB$4,tabela_registros[CATEGORIA],investirrendavariávelconsolidadoabr[[#This Row],[ATUAL]])</f>
        <v>0</v>
      </c>
      <c r="F138" s="119" t="n">
        <f aca="false">SUMIFS(tabela_registros[VALOR],tabela_registros[MÊS],$AE$1,tabela_registros[DIA],investirrendavariávelconsolidadoabr[[#Headers],[2]],tabela_registros[REGISTRO],DADOS!$N$5,tabela_registros[TIPO],DADOS!$AB$4,tabela_registros[CATEGORIA],investirrendavariávelconsolidadoabr[[#This Row],[ATUAL]])</f>
        <v>0</v>
      </c>
      <c r="G138" s="119" t="n">
        <f aca="false">SUMIFS(tabela_registros[VALOR],tabela_registros[MÊS],$AE$1,tabela_registros[DIA],investirrendavariávelconsolidadoabr[[#Headers],[3]],tabela_registros[REGISTRO],DADOS!$N$5,tabela_registros[TIPO],DADOS!$AB$4,tabela_registros[CATEGORIA],investirrendavariávelconsolidadoabr[[#This Row],[ATUAL]])</f>
        <v>0</v>
      </c>
      <c r="H138" s="119" t="n">
        <f aca="false">SUMIFS(tabela_registros[VALOR],tabela_registros[MÊS],$AE$1,tabela_registros[DIA],investirrendavariávelconsolidadoabr[[#Headers],[4]],tabela_registros[REGISTRO],DADOS!$N$5,tabela_registros[TIPO],DADOS!$AB$4,tabela_registros[CATEGORIA],investirrendavariávelconsolidadoabr[[#This Row],[ATUAL]])</f>
        <v>0</v>
      </c>
      <c r="I138" s="119" t="n">
        <f aca="false">SUMIFS(tabela_registros[VALOR],tabela_registros[MÊS],$AE$1,tabela_registros[DIA],investirrendavariávelconsolidadoabr[[#Headers],[5]],tabela_registros[REGISTRO],DADOS!$N$5,tabela_registros[TIPO],DADOS!$AB$4,tabela_registros[CATEGORIA],investirrendavariávelconsolidadoabr[[#This Row],[ATUAL]])</f>
        <v>0</v>
      </c>
      <c r="J138" s="119" t="n">
        <f aca="false">SUMIFS(tabela_registros[VALOR],tabela_registros[MÊS],$AE$1,tabela_registros[DIA],investirrendavariávelconsolidadoabr[[#Headers],[6]],tabela_registros[REGISTRO],DADOS!$N$5,tabela_registros[TIPO],DADOS!$AB$4,tabela_registros[CATEGORIA],investirrendavariávelconsolidadoabr[[#This Row],[ATUAL]])</f>
        <v>0</v>
      </c>
      <c r="K138" s="119" t="n">
        <f aca="false">SUMIFS(tabela_registros[VALOR],tabela_registros[MÊS],$AE$1,tabela_registros[DIA],investirrendavariávelconsolidadoabr[[#Headers],[7]],tabela_registros[REGISTRO],DADOS!$N$5,tabela_registros[TIPO],DADOS!$AB$4,tabela_registros[CATEGORIA],investirrendavariávelconsolidadoabr[[#This Row],[ATUAL]])</f>
        <v>0</v>
      </c>
      <c r="L138" s="119" t="n">
        <f aca="false">SUMIFS(tabela_registros[VALOR],tabela_registros[MÊS],$AE$1,tabela_registros[DIA],investirrendavariávelconsolidadoabr[[#Headers],[8]],tabela_registros[REGISTRO],DADOS!$N$5,tabela_registros[TIPO],DADOS!$AB$4,tabela_registros[CATEGORIA],investirrendavariávelconsolidadoabr[[#This Row],[ATUAL]])</f>
        <v>0</v>
      </c>
      <c r="M138" s="119" t="n">
        <f aca="false">SUMIFS(tabela_registros[VALOR],tabela_registros[MÊS],$AE$1,tabela_registros[DIA],investirrendavariávelconsolidadoabr[[#Headers],[9]],tabela_registros[REGISTRO],DADOS!$N$5,tabela_registros[TIPO],DADOS!$AB$4,tabela_registros[CATEGORIA],investirrendavariávelconsolidadoabr[[#This Row],[ATUAL]])</f>
        <v>0</v>
      </c>
      <c r="N138" s="119" t="n">
        <f aca="false">SUMIFS(tabela_registros[VALOR],tabela_registros[MÊS],$AE$1,tabela_registros[DIA],investirrendavariávelconsolidadoabr[[#Headers],[10]],tabela_registros[REGISTRO],DADOS!$N$5,tabela_registros[TIPO],DADOS!$AB$4,tabela_registros[CATEGORIA],investirrendavariávelconsolidadoabr[[#This Row],[ATUAL]])</f>
        <v>0</v>
      </c>
      <c r="O138" s="119" t="n">
        <f aca="false">SUMIFS(tabela_registros[VALOR],tabela_registros[MÊS],$AE$1,tabela_registros[DIA],investirrendavariávelconsolidadoabr[[#Headers],[11]],tabela_registros[REGISTRO],DADOS!$N$5,tabela_registros[TIPO],DADOS!$AB$4,tabela_registros[CATEGORIA],investirrendavariávelconsolidadoabr[[#This Row],[ATUAL]])</f>
        <v>0</v>
      </c>
      <c r="P138" s="119" t="n">
        <f aca="false">SUMIFS(tabela_registros[VALOR],tabela_registros[MÊS],$AE$1,tabela_registros[DIA],investirrendavariávelconsolidadoabr[[#Headers],[12]],tabela_registros[REGISTRO],DADOS!$N$5,tabela_registros[TIPO],DADOS!$AB$4,tabela_registros[CATEGORIA],investirrendavariávelconsolidadoabr[[#This Row],[ATUAL]])</f>
        <v>0</v>
      </c>
      <c r="Q138" s="119" t="n">
        <f aca="false">SUMIFS(tabela_registros[VALOR],tabela_registros[MÊS],$AE$1,tabela_registros[DIA],investirrendavariávelconsolidadoabr[[#Headers],[13]],tabela_registros[REGISTRO],DADOS!$N$5,tabela_registros[TIPO],DADOS!$AB$4,tabela_registros[CATEGORIA],investirrendavariávelconsolidadoabr[[#This Row],[ATUAL]])</f>
        <v>0</v>
      </c>
      <c r="R138" s="119" t="n">
        <f aca="false">SUMIFS(tabela_registros[VALOR],tabela_registros[MÊS],$AE$1,tabela_registros[DIA],investirrendavariávelconsolidadoabr[[#Headers],[14]],tabela_registros[REGISTRO],DADOS!$N$5,tabela_registros[TIPO],DADOS!$AB$4,tabela_registros[CATEGORIA],investirrendavariávelconsolidadoabr[[#This Row],[ATUAL]])</f>
        <v>0</v>
      </c>
      <c r="S138" s="119" t="n">
        <f aca="false">SUMIFS(tabela_registros[VALOR],tabela_registros[MÊS],$AE$1,tabela_registros[DIA],investirrendavariávelconsolidadoabr[[#Headers],[15]],tabela_registros[REGISTRO],DADOS!$N$5,tabela_registros[TIPO],DADOS!$AB$4,tabela_registros[CATEGORIA],investirrendavariávelconsolidadoabr[[#This Row],[ATUAL]])</f>
        <v>0</v>
      </c>
      <c r="T138" s="119" t="n">
        <f aca="false">SUMIFS(tabela_registros[VALOR],tabela_registros[MÊS],$AE$1,tabela_registros[DIA],investirrendavariávelconsolidadoabr[[#Headers],[16]],tabela_registros[REGISTRO],DADOS!$N$5,tabela_registros[TIPO],DADOS!$AB$4,tabela_registros[CATEGORIA],investirrendavariávelconsolidadoabr[[#This Row],[ATUAL]])</f>
        <v>0</v>
      </c>
      <c r="U138" s="119" t="n">
        <f aca="false">SUMIFS(tabela_registros[VALOR],tabela_registros[MÊS],$AE$1,tabela_registros[DIA],investirrendavariávelconsolidadoabr[[#Headers],[17]],tabela_registros[REGISTRO],DADOS!$N$5,tabela_registros[TIPO],DADOS!$AB$4,tabela_registros[CATEGORIA],investirrendavariávelconsolidadoabr[[#This Row],[ATUAL]])</f>
        <v>0</v>
      </c>
      <c r="V138" s="119" t="n">
        <f aca="false">SUMIFS(tabela_registros[VALOR],tabela_registros[MÊS],$AE$1,tabela_registros[DIA],investirrendavariávelconsolidadoabr[[#Headers],[18]],tabela_registros[REGISTRO],DADOS!$N$5,tabela_registros[TIPO],DADOS!$AB$4,tabela_registros[CATEGORIA],investirrendavariávelconsolidadoabr[[#This Row],[ATUAL]])</f>
        <v>0</v>
      </c>
      <c r="W138" s="119" t="n">
        <f aca="false">SUMIFS(tabela_registros[VALOR],tabela_registros[MÊS],$AE$1,tabela_registros[DIA],investirrendavariávelconsolidadoabr[[#Headers],[19]],tabela_registros[REGISTRO],DADOS!$N$5,tabela_registros[TIPO],DADOS!$AB$4,tabela_registros[CATEGORIA],investirrendavariávelconsolidadoabr[[#This Row],[ATUAL]])</f>
        <v>0</v>
      </c>
      <c r="X138" s="119" t="n">
        <f aca="false">SUMIFS(tabela_registros[VALOR],tabela_registros[MÊS],$AE$1,tabela_registros[DIA],investirrendavariávelconsolidadoabr[[#Headers],[20]],tabela_registros[REGISTRO],DADOS!$N$5,tabela_registros[TIPO],DADOS!$AB$4,tabela_registros[CATEGORIA],investirrendavariávelconsolidadoabr[[#This Row],[ATUAL]])</f>
        <v>0</v>
      </c>
      <c r="Y138" s="119" t="n">
        <f aca="false">SUMIFS(tabela_registros[VALOR],tabela_registros[MÊS],$AE$1,tabela_registros[DIA],investirrendavariávelconsolidadoabr[[#Headers],[21]],tabela_registros[REGISTRO],DADOS!$N$5,tabela_registros[TIPO],DADOS!$AB$4,tabela_registros[CATEGORIA],investirrendavariávelconsolidadoabr[[#This Row],[ATUAL]])</f>
        <v>0</v>
      </c>
      <c r="Z138" s="119" t="n">
        <f aca="false">SUMIFS(tabela_registros[VALOR],tabela_registros[MÊS],$AE$1,tabela_registros[DIA],investirrendavariávelconsolidadoabr[[#Headers],[22]],tabela_registros[REGISTRO],DADOS!$N$5,tabela_registros[TIPO],DADOS!$AB$4,tabela_registros[CATEGORIA],investirrendavariávelconsolidadoabr[[#This Row],[ATUAL]])</f>
        <v>0</v>
      </c>
      <c r="AA138" s="119" t="n">
        <f aca="false">SUMIFS(tabela_registros[VALOR],tabela_registros[MÊS],$AE$1,tabela_registros[DIA],investirrendavariávelconsolidadoabr[[#Headers],[23]],tabela_registros[REGISTRO],DADOS!$N$5,tabela_registros[TIPO],DADOS!$AB$4,tabela_registros[CATEGORIA],investirrendavariávelconsolidadoabr[[#This Row],[ATUAL]])</f>
        <v>0</v>
      </c>
      <c r="AB138" s="119" t="n">
        <f aca="false">SUMIFS(tabela_registros[VALOR],tabela_registros[MÊS],$AE$1,tabela_registros[DIA],investirrendavariávelconsolidadoabr[[#Headers],[24]],tabela_registros[REGISTRO],DADOS!$N$5,tabela_registros[TIPO],DADOS!$AB$4,tabela_registros[CATEGORIA],investirrendavariávelconsolidadoabr[[#This Row],[ATUAL]])</f>
        <v>0</v>
      </c>
      <c r="AC138" s="119" t="n">
        <f aca="false">SUMIFS(tabela_registros[VALOR],tabela_registros[MÊS],$AE$1,tabela_registros[DIA],investirrendavariávelconsolidadoabr[[#Headers],[25]],tabela_registros[REGISTRO],DADOS!$N$5,tabela_registros[TIPO],DADOS!$AB$4,tabela_registros[CATEGORIA],investirrendavariávelconsolidadoabr[[#This Row],[ATUAL]])</f>
        <v>0</v>
      </c>
      <c r="AD138" s="119" t="n">
        <f aca="false">SUMIFS(tabela_registros[VALOR],tabela_registros[MÊS],$AE$1,tabela_registros[DIA],investirrendavariávelconsolidadoabr[[#Headers],[26]],tabela_registros[REGISTRO],DADOS!$N$5,tabela_registros[TIPO],DADOS!$AB$4,tabela_registros[CATEGORIA],investirrendavariávelconsolidadoabr[[#This Row],[ATUAL]])</f>
        <v>0</v>
      </c>
      <c r="AE138" s="119" t="n">
        <f aca="false">SUMIFS(tabela_registros[VALOR],tabela_registros[MÊS],$AE$1,tabela_registros[DIA],investirrendavariávelconsolidadoabr[[#Headers],[27]],tabela_registros[REGISTRO],DADOS!$N$5,tabela_registros[TIPO],DADOS!$AB$4,tabela_registros[CATEGORIA],investirrendavariávelconsolidadoabr[[#This Row],[ATUAL]])</f>
        <v>0</v>
      </c>
      <c r="AF138" s="119" t="n">
        <f aca="false">SUMIFS(tabela_registros[VALOR],tabela_registros[MÊS],$AE$1,tabela_registros[DIA],investirrendavariávelconsolidadoabr[[#Headers],[28]],tabela_registros[REGISTRO],DADOS!$N$5,tabela_registros[TIPO],DADOS!$AB$4,tabela_registros[CATEGORIA],investirrendavariávelconsolidadoabr[[#This Row],[ATUAL]])</f>
        <v>0</v>
      </c>
      <c r="AG138" s="119" t="n">
        <f aca="false">SUMIFS(tabela_registros[VALOR],tabela_registros[MÊS],$AE$1,tabela_registros[DIA],investirrendavariávelconsolidadoabr[[#Headers],[29]],tabela_registros[REGISTRO],DADOS!$N$5,tabela_registros[TIPO],DADOS!$AB$4,tabela_registros[CATEGORIA],investirrendavariávelconsolidadoabr[[#This Row],[ATUAL]])</f>
        <v>0</v>
      </c>
      <c r="AH138" s="119" t="n">
        <f aca="false">SUMIFS(tabela_registros[VALOR],tabela_registros[MÊS],$AE$1,tabela_registros[DIA],investirrendavariávelconsolidadoabr[[#Headers],[30]],tabela_registros[REGISTRO],DADOS!$N$5,tabela_registros[TIPO],DADOS!$AB$4,tabela_registros[CATEGORIA],investirrendavariávelconsolidadoabr[[#This Row],[ATUAL]])</f>
        <v>0</v>
      </c>
      <c r="AI138" s="217" t="n">
        <f aca="false">SUMIFS(tabela_registros[VALOR],tabela_registros[MÊS],$AE$1,tabela_registros[DIA],investirrendavariávelconsolidadoabr[[#Headers],[31]],tabela_registros[REGISTRO],DADOS!$N$5,tabela_registros[TIPO],DADOS!$AB$4,tabela_registros[CATEGORIA],investirrendavariávelconsolidadoabr[[#This Row],[ATUAL]])</f>
        <v>0</v>
      </c>
      <c r="AJ138" s="149" t="n">
        <f aca="false">SUM(investirrendavariávelconsolidadoabr[[#This Row],[1]:[31]])</f>
        <v>0</v>
      </c>
      <c r="AK138" s="165"/>
    </row>
    <row r="139" customFormat="false" ht="19.5" hidden="false" customHeight="true" outlineLevel="0" collapsed="false">
      <c r="B139" s="143"/>
      <c r="C139" s="144" t="str">
        <f aca="false">DADOS!$AF$10</f>
        <v>📝 FII</v>
      </c>
      <c r="D139" s="145" t="str">
        <f aca="false">IF(investirrendavariávelconsolidadoabr[[#This Row],[TOTAL (R$)]]=0,"",IF(OR(investirrendavariávelconsolidadoabr[[#This Row],[TOTAL (R$)]]=LARGE($AJ$132:$AJ$141,1),investirrendavariávelconsolidadoabr[[#This Row],[TOTAL (R$)]]=LARGE($AJ$132:$AJ$141,2)),DADOS!$I$10,""))</f>
        <v/>
      </c>
      <c r="E139" s="148" t="n">
        <f aca="false">SUMIFS(tabela_registros[VALOR],tabela_registros[MÊS],$AE$1,tabela_registros[DIA],investirrendavariávelconsolidadoabr[[#Headers],[1]],tabela_registros[REGISTRO],DADOS!$N$5,tabela_registros[TIPO],DADOS!$AB$4,tabela_registros[CATEGORIA],investirrendavariávelconsolidadoabr[[#This Row],[ATUAL]])</f>
        <v>0</v>
      </c>
      <c r="F139" s="119" t="n">
        <f aca="false">SUMIFS(tabela_registros[VALOR],tabela_registros[MÊS],$AE$1,tabela_registros[DIA],investirrendavariávelconsolidadoabr[[#Headers],[2]],tabela_registros[REGISTRO],DADOS!$N$5,tabela_registros[TIPO],DADOS!$AB$4,tabela_registros[CATEGORIA],investirrendavariávelconsolidadoabr[[#This Row],[ATUAL]])</f>
        <v>0</v>
      </c>
      <c r="G139" s="119" t="n">
        <f aca="false">SUMIFS(tabela_registros[VALOR],tabela_registros[MÊS],$AE$1,tabela_registros[DIA],investirrendavariávelconsolidadoabr[[#Headers],[3]],tabela_registros[REGISTRO],DADOS!$N$5,tabela_registros[TIPO],DADOS!$AB$4,tabela_registros[CATEGORIA],investirrendavariávelconsolidadoabr[[#This Row],[ATUAL]])</f>
        <v>0</v>
      </c>
      <c r="H139" s="119" t="n">
        <f aca="false">SUMIFS(tabela_registros[VALOR],tabela_registros[MÊS],$AE$1,tabela_registros[DIA],investirrendavariávelconsolidadoabr[[#Headers],[4]],tabela_registros[REGISTRO],DADOS!$N$5,tabela_registros[TIPO],DADOS!$AB$4,tabela_registros[CATEGORIA],investirrendavariávelconsolidadoabr[[#This Row],[ATUAL]])</f>
        <v>0</v>
      </c>
      <c r="I139" s="119" t="n">
        <f aca="false">SUMIFS(tabela_registros[VALOR],tabela_registros[MÊS],$AE$1,tabela_registros[DIA],investirrendavariávelconsolidadoabr[[#Headers],[5]],tabela_registros[REGISTRO],DADOS!$N$5,tabela_registros[TIPO],DADOS!$AB$4,tabela_registros[CATEGORIA],investirrendavariávelconsolidadoabr[[#This Row],[ATUAL]])</f>
        <v>0</v>
      </c>
      <c r="J139" s="119" t="n">
        <f aca="false">SUMIFS(tabela_registros[VALOR],tabela_registros[MÊS],$AE$1,tabela_registros[DIA],investirrendavariávelconsolidadoabr[[#Headers],[6]],tabela_registros[REGISTRO],DADOS!$N$5,tabela_registros[TIPO],DADOS!$AB$4,tabela_registros[CATEGORIA],investirrendavariávelconsolidadoabr[[#This Row],[ATUAL]])</f>
        <v>0</v>
      </c>
      <c r="K139" s="119" t="n">
        <f aca="false">SUMIFS(tabela_registros[VALOR],tabela_registros[MÊS],$AE$1,tabela_registros[DIA],investirrendavariávelconsolidadoabr[[#Headers],[7]],tabela_registros[REGISTRO],DADOS!$N$5,tabela_registros[TIPO],DADOS!$AB$4,tabela_registros[CATEGORIA],investirrendavariávelconsolidadoabr[[#This Row],[ATUAL]])</f>
        <v>0</v>
      </c>
      <c r="L139" s="119" t="n">
        <f aca="false">SUMIFS(tabela_registros[VALOR],tabela_registros[MÊS],$AE$1,tabela_registros[DIA],investirrendavariávelconsolidadoabr[[#Headers],[8]],tabela_registros[REGISTRO],DADOS!$N$5,tabela_registros[TIPO],DADOS!$AB$4,tabela_registros[CATEGORIA],investirrendavariávelconsolidadoabr[[#This Row],[ATUAL]])</f>
        <v>0</v>
      </c>
      <c r="M139" s="119" t="n">
        <f aca="false">SUMIFS(tabela_registros[VALOR],tabela_registros[MÊS],$AE$1,tabela_registros[DIA],investirrendavariávelconsolidadoabr[[#Headers],[9]],tabela_registros[REGISTRO],DADOS!$N$5,tabela_registros[TIPO],DADOS!$AB$4,tabela_registros[CATEGORIA],investirrendavariávelconsolidadoabr[[#This Row],[ATUAL]])</f>
        <v>0</v>
      </c>
      <c r="N139" s="119" t="n">
        <f aca="false">SUMIFS(tabela_registros[VALOR],tabela_registros[MÊS],$AE$1,tabela_registros[DIA],investirrendavariávelconsolidadoabr[[#Headers],[10]],tabela_registros[REGISTRO],DADOS!$N$5,tabela_registros[TIPO],DADOS!$AB$4,tabela_registros[CATEGORIA],investirrendavariávelconsolidadoabr[[#This Row],[ATUAL]])</f>
        <v>0</v>
      </c>
      <c r="O139" s="119" t="n">
        <f aca="false">SUMIFS(tabela_registros[VALOR],tabela_registros[MÊS],$AE$1,tabela_registros[DIA],investirrendavariávelconsolidadoabr[[#Headers],[11]],tabela_registros[REGISTRO],DADOS!$N$5,tabela_registros[TIPO],DADOS!$AB$4,tabela_registros[CATEGORIA],investirrendavariávelconsolidadoabr[[#This Row],[ATUAL]])</f>
        <v>0</v>
      </c>
      <c r="P139" s="119" t="n">
        <f aca="false">SUMIFS(tabela_registros[VALOR],tabela_registros[MÊS],$AE$1,tabela_registros[DIA],investirrendavariávelconsolidadoabr[[#Headers],[12]],tabela_registros[REGISTRO],DADOS!$N$5,tabela_registros[TIPO],DADOS!$AB$4,tabela_registros[CATEGORIA],investirrendavariávelconsolidadoabr[[#This Row],[ATUAL]])</f>
        <v>0</v>
      </c>
      <c r="Q139" s="119" t="n">
        <f aca="false">SUMIFS(tabela_registros[VALOR],tabela_registros[MÊS],$AE$1,tabela_registros[DIA],investirrendavariávelconsolidadoabr[[#Headers],[13]],tabela_registros[REGISTRO],DADOS!$N$5,tabela_registros[TIPO],DADOS!$AB$4,tabela_registros[CATEGORIA],investirrendavariávelconsolidadoabr[[#This Row],[ATUAL]])</f>
        <v>0</v>
      </c>
      <c r="R139" s="119" t="n">
        <f aca="false">SUMIFS(tabela_registros[VALOR],tabela_registros[MÊS],$AE$1,tabela_registros[DIA],investirrendavariávelconsolidadoabr[[#Headers],[14]],tabela_registros[REGISTRO],DADOS!$N$5,tabela_registros[TIPO],DADOS!$AB$4,tabela_registros[CATEGORIA],investirrendavariávelconsolidadoabr[[#This Row],[ATUAL]])</f>
        <v>0</v>
      </c>
      <c r="S139" s="119" t="n">
        <f aca="false">SUMIFS(tabela_registros[VALOR],tabela_registros[MÊS],$AE$1,tabela_registros[DIA],investirrendavariávelconsolidadoabr[[#Headers],[15]],tabela_registros[REGISTRO],DADOS!$N$5,tabela_registros[TIPO],DADOS!$AB$4,tabela_registros[CATEGORIA],investirrendavariávelconsolidadoabr[[#This Row],[ATUAL]])</f>
        <v>0</v>
      </c>
      <c r="T139" s="119" t="n">
        <f aca="false">SUMIFS(tabela_registros[VALOR],tabela_registros[MÊS],$AE$1,tabela_registros[DIA],investirrendavariávelconsolidadoabr[[#Headers],[16]],tabela_registros[REGISTRO],DADOS!$N$5,tabela_registros[TIPO],DADOS!$AB$4,tabela_registros[CATEGORIA],investirrendavariávelconsolidadoabr[[#This Row],[ATUAL]])</f>
        <v>0</v>
      </c>
      <c r="U139" s="119" t="n">
        <f aca="false">SUMIFS(tabela_registros[VALOR],tabela_registros[MÊS],$AE$1,tabela_registros[DIA],investirrendavariávelconsolidadoabr[[#Headers],[17]],tabela_registros[REGISTRO],DADOS!$N$5,tabela_registros[TIPO],DADOS!$AB$4,tabela_registros[CATEGORIA],investirrendavariávelconsolidadoabr[[#This Row],[ATUAL]])</f>
        <v>0</v>
      </c>
      <c r="V139" s="119" t="n">
        <f aca="false">SUMIFS(tabela_registros[VALOR],tabela_registros[MÊS],$AE$1,tabela_registros[DIA],investirrendavariávelconsolidadoabr[[#Headers],[18]],tabela_registros[REGISTRO],DADOS!$N$5,tabela_registros[TIPO],DADOS!$AB$4,tabela_registros[CATEGORIA],investirrendavariávelconsolidadoabr[[#This Row],[ATUAL]])</f>
        <v>0</v>
      </c>
      <c r="W139" s="119" t="n">
        <f aca="false">SUMIFS(tabela_registros[VALOR],tabela_registros[MÊS],$AE$1,tabela_registros[DIA],investirrendavariávelconsolidadoabr[[#Headers],[19]],tabela_registros[REGISTRO],DADOS!$N$5,tabela_registros[TIPO],DADOS!$AB$4,tabela_registros[CATEGORIA],investirrendavariávelconsolidadoabr[[#This Row],[ATUAL]])</f>
        <v>0</v>
      </c>
      <c r="X139" s="119" t="n">
        <f aca="false">SUMIFS(tabela_registros[VALOR],tabela_registros[MÊS],$AE$1,tabela_registros[DIA],investirrendavariávelconsolidadoabr[[#Headers],[20]],tabela_registros[REGISTRO],DADOS!$N$5,tabela_registros[TIPO],DADOS!$AB$4,tabela_registros[CATEGORIA],investirrendavariávelconsolidadoabr[[#This Row],[ATUAL]])</f>
        <v>0</v>
      </c>
      <c r="Y139" s="119" t="n">
        <f aca="false">SUMIFS(tabela_registros[VALOR],tabela_registros[MÊS],$AE$1,tabela_registros[DIA],investirrendavariávelconsolidadoabr[[#Headers],[21]],tabela_registros[REGISTRO],DADOS!$N$5,tabela_registros[TIPO],DADOS!$AB$4,tabela_registros[CATEGORIA],investirrendavariávelconsolidadoabr[[#This Row],[ATUAL]])</f>
        <v>0</v>
      </c>
      <c r="Z139" s="119" t="n">
        <f aca="false">SUMIFS(tabela_registros[VALOR],tabela_registros[MÊS],$AE$1,tabela_registros[DIA],investirrendavariávelconsolidadoabr[[#Headers],[22]],tabela_registros[REGISTRO],DADOS!$N$5,tabela_registros[TIPO],DADOS!$AB$4,tabela_registros[CATEGORIA],investirrendavariávelconsolidadoabr[[#This Row],[ATUAL]])</f>
        <v>0</v>
      </c>
      <c r="AA139" s="119" t="n">
        <f aca="false">SUMIFS(tabela_registros[VALOR],tabela_registros[MÊS],$AE$1,tabela_registros[DIA],investirrendavariávelconsolidadoabr[[#Headers],[23]],tabela_registros[REGISTRO],DADOS!$N$5,tabela_registros[TIPO],DADOS!$AB$4,tabela_registros[CATEGORIA],investirrendavariávelconsolidadoabr[[#This Row],[ATUAL]])</f>
        <v>0</v>
      </c>
      <c r="AB139" s="119" t="n">
        <f aca="false">SUMIFS(tabela_registros[VALOR],tabela_registros[MÊS],$AE$1,tabela_registros[DIA],investirrendavariávelconsolidadoabr[[#Headers],[24]],tabela_registros[REGISTRO],DADOS!$N$5,tabela_registros[TIPO],DADOS!$AB$4,tabela_registros[CATEGORIA],investirrendavariávelconsolidadoabr[[#This Row],[ATUAL]])</f>
        <v>0</v>
      </c>
      <c r="AC139" s="119" t="n">
        <f aca="false">SUMIFS(tabela_registros[VALOR],tabela_registros[MÊS],$AE$1,tabela_registros[DIA],investirrendavariávelconsolidadoabr[[#Headers],[25]],tabela_registros[REGISTRO],DADOS!$N$5,tabela_registros[TIPO],DADOS!$AB$4,tabela_registros[CATEGORIA],investirrendavariávelconsolidadoabr[[#This Row],[ATUAL]])</f>
        <v>0</v>
      </c>
      <c r="AD139" s="119" t="n">
        <f aca="false">SUMIFS(tabela_registros[VALOR],tabela_registros[MÊS],$AE$1,tabela_registros[DIA],investirrendavariávelconsolidadoabr[[#Headers],[26]],tabela_registros[REGISTRO],DADOS!$N$5,tabela_registros[TIPO],DADOS!$AB$4,tabela_registros[CATEGORIA],investirrendavariávelconsolidadoabr[[#This Row],[ATUAL]])</f>
        <v>0</v>
      </c>
      <c r="AE139" s="119" t="n">
        <f aca="false">SUMIFS(tabela_registros[VALOR],tabela_registros[MÊS],$AE$1,tabela_registros[DIA],investirrendavariávelconsolidadoabr[[#Headers],[27]],tabela_registros[REGISTRO],DADOS!$N$5,tabela_registros[TIPO],DADOS!$AB$4,tabela_registros[CATEGORIA],investirrendavariávelconsolidadoabr[[#This Row],[ATUAL]])</f>
        <v>0</v>
      </c>
      <c r="AF139" s="119" t="n">
        <f aca="false">SUMIFS(tabela_registros[VALOR],tabela_registros[MÊS],$AE$1,tabela_registros[DIA],investirrendavariávelconsolidadoabr[[#Headers],[28]],tabela_registros[REGISTRO],DADOS!$N$5,tabela_registros[TIPO],DADOS!$AB$4,tabela_registros[CATEGORIA],investirrendavariávelconsolidadoabr[[#This Row],[ATUAL]])</f>
        <v>0</v>
      </c>
      <c r="AG139" s="119" t="n">
        <f aca="false">SUMIFS(tabela_registros[VALOR],tabela_registros[MÊS],$AE$1,tabela_registros[DIA],investirrendavariávelconsolidadoabr[[#Headers],[29]],tabela_registros[REGISTRO],DADOS!$N$5,tabela_registros[TIPO],DADOS!$AB$4,tabela_registros[CATEGORIA],investirrendavariávelconsolidadoabr[[#This Row],[ATUAL]])</f>
        <v>0</v>
      </c>
      <c r="AH139" s="119" t="n">
        <f aca="false">SUMIFS(tabela_registros[VALOR],tabela_registros[MÊS],$AE$1,tabela_registros[DIA],investirrendavariávelconsolidadoabr[[#Headers],[30]],tabela_registros[REGISTRO],DADOS!$N$5,tabela_registros[TIPO],DADOS!$AB$4,tabela_registros[CATEGORIA],investirrendavariávelconsolidadoabr[[#This Row],[ATUAL]])</f>
        <v>0</v>
      </c>
      <c r="AI139" s="217" t="n">
        <f aca="false">SUMIFS(tabela_registros[VALOR],tabela_registros[MÊS],$AE$1,tabela_registros[DIA],investirrendavariávelconsolidadoabr[[#Headers],[31]],tabela_registros[REGISTRO],DADOS!$N$5,tabela_registros[TIPO],DADOS!$AB$4,tabela_registros[CATEGORIA],investirrendavariávelconsolidadoabr[[#This Row],[ATUAL]])</f>
        <v>0</v>
      </c>
      <c r="AJ139" s="149" t="n">
        <f aca="false">SUM(investirrendavariávelconsolidadoabr[[#This Row],[1]:[31]])</f>
        <v>0</v>
      </c>
      <c r="AK139" s="165"/>
    </row>
    <row r="140" customFormat="false" ht="19.5" hidden="false" customHeight="true" outlineLevel="0" collapsed="false">
      <c r="B140" s="143"/>
      <c r="C140" s="144" t="str">
        <f aca="false">DADOS!$AF$11</f>
        <v>📝 MOEDA</v>
      </c>
      <c r="D140" s="145" t="str">
        <f aca="false">IF(investirrendavariávelconsolidadoabr[[#This Row],[TOTAL (R$)]]=0,"",IF(OR(investirrendavariávelconsolidadoabr[[#This Row],[TOTAL (R$)]]=LARGE($AJ$132:$AJ$141,1),investirrendavariávelconsolidadoabr[[#This Row],[TOTAL (R$)]]=LARGE($AJ$132:$AJ$141,2)),DADOS!$I$10,""))</f>
        <v/>
      </c>
      <c r="E140" s="148" t="n">
        <f aca="false">SUMIFS(tabela_registros[VALOR],tabela_registros[MÊS],$AE$1,tabela_registros[DIA],investirrendavariávelconsolidadoabr[[#Headers],[1]],tabela_registros[REGISTRO],DADOS!$N$5,tabela_registros[TIPO],DADOS!$AB$4,tabela_registros[CATEGORIA],investirrendavariávelconsolidadoabr[[#This Row],[ATUAL]])</f>
        <v>0</v>
      </c>
      <c r="F140" s="119" t="n">
        <f aca="false">SUMIFS(tabela_registros[VALOR],tabela_registros[MÊS],$AE$1,tabela_registros[DIA],investirrendavariávelconsolidadoabr[[#Headers],[2]],tabela_registros[REGISTRO],DADOS!$N$5,tabela_registros[TIPO],DADOS!$AB$4,tabela_registros[CATEGORIA],investirrendavariávelconsolidadoabr[[#This Row],[ATUAL]])</f>
        <v>0</v>
      </c>
      <c r="G140" s="119" t="n">
        <f aca="false">SUMIFS(tabela_registros[VALOR],tabela_registros[MÊS],$AE$1,tabela_registros[DIA],investirrendavariávelconsolidadoabr[[#Headers],[3]],tabela_registros[REGISTRO],DADOS!$N$5,tabela_registros[TIPO],DADOS!$AB$4,tabela_registros[CATEGORIA],investirrendavariávelconsolidadoabr[[#This Row],[ATUAL]])</f>
        <v>0</v>
      </c>
      <c r="H140" s="119" t="n">
        <f aca="false">SUMIFS(tabela_registros[VALOR],tabela_registros[MÊS],$AE$1,tabela_registros[DIA],investirrendavariávelconsolidadoabr[[#Headers],[4]],tabela_registros[REGISTRO],DADOS!$N$5,tabela_registros[TIPO],DADOS!$AB$4,tabela_registros[CATEGORIA],investirrendavariávelconsolidadoabr[[#This Row],[ATUAL]])</f>
        <v>0</v>
      </c>
      <c r="I140" s="119" t="n">
        <f aca="false">SUMIFS(tabela_registros[VALOR],tabela_registros[MÊS],$AE$1,tabela_registros[DIA],investirrendavariávelconsolidadoabr[[#Headers],[5]],tabela_registros[REGISTRO],DADOS!$N$5,tabela_registros[TIPO],DADOS!$AB$4,tabela_registros[CATEGORIA],investirrendavariávelconsolidadoabr[[#This Row],[ATUAL]])</f>
        <v>0</v>
      </c>
      <c r="J140" s="119" t="n">
        <f aca="false">SUMIFS(tabela_registros[VALOR],tabela_registros[MÊS],$AE$1,tabela_registros[DIA],investirrendavariávelconsolidadoabr[[#Headers],[6]],tabela_registros[REGISTRO],DADOS!$N$5,tabela_registros[TIPO],DADOS!$AB$4,tabela_registros[CATEGORIA],investirrendavariávelconsolidadoabr[[#This Row],[ATUAL]])</f>
        <v>0</v>
      </c>
      <c r="K140" s="119" t="n">
        <f aca="false">SUMIFS(tabela_registros[VALOR],tabela_registros[MÊS],$AE$1,tabela_registros[DIA],investirrendavariávelconsolidadoabr[[#Headers],[7]],tabela_registros[REGISTRO],DADOS!$N$5,tabela_registros[TIPO],DADOS!$AB$4,tabela_registros[CATEGORIA],investirrendavariávelconsolidadoabr[[#This Row],[ATUAL]])</f>
        <v>0</v>
      </c>
      <c r="L140" s="119" t="n">
        <f aca="false">SUMIFS(tabela_registros[VALOR],tabela_registros[MÊS],$AE$1,tabela_registros[DIA],investirrendavariávelconsolidadoabr[[#Headers],[8]],tabela_registros[REGISTRO],DADOS!$N$5,tabela_registros[TIPO],DADOS!$AB$4,tabela_registros[CATEGORIA],investirrendavariávelconsolidadoabr[[#This Row],[ATUAL]])</f>
        <v>0</v>
      </c>
      <c r="M140" s="119" t="n">
        <f aca="false">SUMIFS(tabela_registros[VALOR],tabela_registros[MÊS],$AE$1,tabela_registros[DIA],investirrendavariávelconsolidadoabr[[#Headers],[9]],tabela_registros[REGISTRO],DADOS!$N$5,tabela_registros[TIPO],DADOS!$AB$4,tabela_registros[CATEGORIA],investirrendavariávelconsolidadoabr[[#This Row],[ATUAL]])</f>
        <v>0</v>
      </c>
      <c r="N140" s="119" t="n">
        <f aca="false">SUMIFS(tabela_registros[VALOR],tabela_registros[MÊS],$AE$1,tabela_registros[DIA],investirrendavariávelconsolidadoabr[[#Headers],[10]],tabela_registros[REGISTRO],DADOS!$N$5,tabela_registros[TIPO],DADOS!$AB$4,tabela_registros[CATEGORIA],investirrendavariávelconsolidadoabr[[#This Row],[ATUAL]])</f>
        <v>0</v>
      </c>
      <c r="O140" s="119" t="n">
        <f aca="false">SUMIFS(tabela_registros[VALOR],tabela_registros[MÊS],$AE$1,tabela_registros[DIA],investirrendavariávelconsolidadoabr[[#Headers],[11]],tabela_registros[REGISTRO],DADOS!$N$5,tabela_registros[TIPO],DADOS!$AB$4,tabela_registros[CATEGORIA],investirrendavariávelconsolidadoabr[[#This Row],[ATUAL]])</f>
        <v>0</v>
      </c>
      <c r="P140" s="119" t="n">
        <f aca="false">SUMIFS(tabela_registros[VALOR],tabela_registros[MÊS],$AE$1,tabela_registros[DIA],investirrendavariávelconsolidadoabr[[#Headers],[12]],tabela_registros[REGISTRO],DADOS!$N$5,tabela_registros[TIPO],DADOS!$AB$4,tabela_registros[CATEGORIA],investirrendavariávelconsolidadoabr[[#This Row],[ATUAL]])</f>
        <v>0</v>
      </c>
      <c r="Q140" s="119" t="n">
        <f aca="false">SUMIFS(tabela_registros[VALOR],tabela_registros[MÊS],$AE$1,tabela_registros[DIA],investirrendavariávelconsolidadoabr[[#Headers],[13]],tabela_registros[REGISTRO],DADOS!$N$5,tabela_registros[TIPO],DADOS!$AB$4,tabela_registros[CATEGORIA],investirrendavariávelconsolidadoabr[[#This Row],[ATUAL]])</f>
        <v>0</v>
      </c>
      <c r="R140" s="119" t="n">
        <f aca="false">SUMIFS(tabela_registros[VALOR],tabela_registros[MÊS],$AE$1,tabela_registros[DIA],investirrendavariávelconsolidadoabr[[#Headers],[14]],tabela_registros[REGISTRO],DADOS!$N$5,tabela_registros[TIPO],DADOS!$AB$4,tabela_registros[CATEGORIA],investirrendavariávelconsolidadoabr[[#This Row],[ATUAL]])</f>
        <v>0</v>
      </c>
      <c r="S140" s="119" t="n">
        <f aca="false">SUMIFS(tabela_registros[VALOR],tabela_registros[MÊS],$AE$1,tabela_registros[DIA],investirrendavariávelconsolidadoabr[[#Headers],[15]],tabela_registros[REGISTRO],DADOS!$N$5,tabela_registros[TIPO],DADOS!$AB$4,tabela_registros[CATEGORIA],investirrendavariávelconsolidadoabr[[#This Row],[ATUAL]])</f>
        <v>0</v>
      </c>
      <c r="T140" s="119" t="n">
        <f aca="false">SUMIFS(tabela_registros[VALOR],tabela_registros[MÊS],$AE$1,tabela_registros[DIA],investirrendavariávelconsolidadoabr[[#Headers],[16]],tabela_registros[REGISTRO],DADOS!$N$5,tabela_registros[TIPO],DADOS!$AB$4,tabela_registros[CATEGORIA],investirrendavariávelconsolidadoabr[[#This Row],[ATUAL]])</f>
        <v>0</v>
      </c>
      <c r="U140" s="119" t="n">
        <f aca="false">SUMIFS(tabela_registros[VALOR],tabela_registros[MÊS],$AE$1,tabela_registros[DIA],investirrendavariávelconsolidadoabr[[#Headers],[17]],tabela_registros[REGISTRO],DADOS!$N$5,tabela_registros[TIPO],DADOS!$AB$4,tabela_registros[CATEGORIA],investirrendavariávelconsolidadoabr[[#This Row],[ATUAL]])</f>
        <v>0</v>
      </c>
      <c r="V140" s="119" t="n">
        <f aca="false">SUMIFS(tabela_registros[VALOR],tabela_registros[MÊS],$AE$1,tabela_registros[DIA],investirrendavariávelconsolidadoabr[[#Headers],[18]],tabela_registros[REGISTRO],DADOS!$N$5,tabela_registros[TIPO],DADOS!$AB$4,tabela_registros[CATEGORIA],investirrendavariávelconsolidadoabr[[#This Row],[ATUAL]])</f>
        <v>0</v>
      </c>
      <c r="W140" s="119" t="n">
        <f aca="false">SUMIFS(tabela_registros[VALOR],tabela_registros[MÊS],$AE$1,tabela_registros[DIA],investirrendavariávelconsolidadoabr[[#Headers],[19]],tabela_registros[REGISTRO],DADOS!$N$5,tabela_registros[TIPO],DADOS!$AB$4,tabela_registros[CATEGORIA],investirrendavariávelconsolidadoabr[[#This Row],[ATUAL]])</f>
        <v>0</v>
      </c>
      <c r="X140" s="119" t="n">
        <f aca="false">SUMIFS(tabela_registros[VALOR],tabela_registros[MÊS],$AE$1,tabela_registros[DIA],investirrendavariávelconsolidadoabr[[#Headers],[20]],tabela_registros[REGISTRO],DADOS!$N$5,tabela_registros[TIPO],DADOS!$AB$4,tabela_registros[CATEGORIA],investirrendavariávelconsolidadoabr[[#This Row],[ATUAL]])</f>
        <v>0</v>
      </c>
      <c r="Y140" s="119" t="n">
        <f aca="false">SUMIFS(tabela_registros[VALOR],tabela_registros[MÊS],$AE$1,tabela_registros[DIA],investirrendavariávelconsolidadoabr[[#Headers],[21]],tabela_registros[REGISTRO],DADOS!$N$5,tabela_registros[TIPO],DADOS!$AB$4,tabela_registros[CATEGORIA],investirrendavariávelconsolidadoabr[[#This Row],[ATUAL]])</f>
        <v>0</v>
      </c>
      <c r="Z140" s="119" t="n">
        <f aca="false">SUMIFS(tabela_registros[VALOR],tabela_registros[MÊS],$AE$1,tabela_registros[DIA],investirrendavariávelconsolidadoabr[[#Headers],[22]],tabela_registros[REGISTRO],DADOS!$N$5,tabela_registros[TIPO],DADOS!$AB$4,tabela_registros[CATEGORIA],investirrendavariávelconsolidadoabr[[#This Row],[ATUAL]])</f>
        <v>0</v>
      </c>
      <c r="AA140" s="119" t="n">
        <f aca="false">SUMIFS(tabela_registros[VALOR],tabela_registros[MÊS],$AE$1,tabela_registros[DIA],investirrendavariávelconsolidadoabr[[#Headers],[23]],tabela_registros[REGISTRO],DADOS!$N$5,tabela_registros[TIPO],DADOS!$AB$4,tabela_registros[CATEGORIA],investirrendavariávelconsolidadoabr[[#This Row],[ATUAL]])</f>
        <v>0</v>
      </c>
      <c r="AB140" s="119" t="n">
        <f aca="false">SUMIFS(tabela_registros[VALOR],tabela_registros[MÊS],$AE$1,tabela_registros[DIA],investirrendavariávelconsolidadoabr[[#Headers],[24]],tabela_registros[REGISTRO],DADOS!$N$5,tabela_registros[TIPO],DADOS!$AB$4,tabela_registros[CATEGORIA],investirrendavariávelconsolidadoabr[[#This Row],[ATUAL]])</f>
        <v>0</v>
      </c>
      <c r="AC140" s="119" t="n">
        <f aca="false">SUMIFS(tabela_registros[VALOR],tabela_registros[MÊS],$AE$1,tabela_registros[DIA],investirrendavariávelconsolidadoabr[[#Headers],[25]],tabela_registros[REGISTRO],DADOS!$N$5,tabela_registros[TIPO],DADOS!$AB$4,tabela_registros[CATEGORIA],investirrendavariávelconsolidadoabr[[#This Row],[ATUAL]])</f>
        <v>0</v>
      </c>
      <c r="AD140" s="119" t="n">
        <f aca="false">SUMIFS(tabela_registros[VALOR],tabela_registros[MÊS],$AE$1,tabela_registros[DIA],investirrendavariávelconsolidadoabr[[#Headers],[26]],tabela_registros[REGISTRO],DADOS!$N$5,tabela_registros[TIPO],DADOS!$AB$4,tabela_registros[CATEGORIA],investirrendavariávelconsolidadoabr[[#This Row],[ATUAL]])</f>
        <v>0</v>
      </c>
      <c r="AE140" s="119" t="n">
        <f aca="false">SUMIFS(tabela_registros[VALOR],tabela_registros[MÊS],$AE$1,tabela_registros[DIA],investirrendavariávelconsolidadoabr[[#Headers],[27]],tabela_registros[REGISTRO],DADOS!$N$5,tabela_registros[TIPO],DADOS!$AB$4,tabela_registros[CATEGORIA],investirrendavariávelconsolidadoabr[[#This Row],[ATUAL]])</f>
        <v>0</v>
      </c>
      <c r="AF140" s="119" t="n">
        <f aca="false">SUMIFS(tabela_registros[VALOR],tabela_registros[MÊS],$AE$1,tabela_registros[DIA],investirrendavariávelconsolidadoabr[[#Headers],[28]],tabela_registros[REGISTRO],DADOS!$N$5,tabela_registros[TIPO],DADOS!$AB$4,tabela_registros[CATEGORIA],investirrendavariávelconsolidadoabr[[#This Row],[ATUAL]])</f>
        <v>0</v>
      </c>
      <c r="AG140" s="119" t="n">
        <f aca="false">SUMIFS(tabela_registros[VALOR],tabela_registros[MÊS],$AE$1,tabela_registros[DIA],investirrendavariávelconsolidadoabr[[#Headers],[29]],tabela_registros[REGISTRO],DADOS!$N$5,tabela_registros[TIPO],DADOS!$AB$4,tabela_registros[CATEGORIA],investirrendavariávelconsolidadoabr[[#This Row],[ATUAL]])</f>
        <v>0</v>
      </c>
      <c r="AH140" s="119" t="n">
        <f aca="false">SUMIFS(tabela_registros[VALOR],tabela_registros[MÊS],$AE$1,tabela_registros[DIA],investirrendavariávelconsolidadoabr[[#Headers],[30]],tabela_registros[REGISTRO],DADOS!$N$5,tabela_registros[TIPO],DADOS!$AB$4,tabela_registros[CATEGORIA],investirrendavariávelconsolidadoabr[[#This Row],[ATUAL]])</f>
        <v>0</v>
      </c>
      <c r="AI140" s="217" t="n">
        <f aca="false">SUMIFS(tabela_registros[VALOR],tabela_registros[MÊS],$AE$1,tabela_registros[DIA],investirrendavariávelconsolidadoabr[[#Headers],[31]],tabela_registros[REGISTRO],DADOS!$N$5,tabela_registros[TIPO],DADOS!$AB$4,tabela_registros[CATEGORIA],investirrendavariávelconsolidadoabr[[#This Row],[ATUAL]])</f>
        <v>0</v>
      </c>
      <c r="AJ140" s="149" t="n">
        <f aca="false">SUM(investirrendavariávelconsolidadoabr[[#This Row],[1]:[31]])</f>
        <v>0</v>
      </c>
      <c r="AK140" s="165"/>
    </row>
    <row r="141" customFormat="false" ht="19.5" hidden="false" customHeight="true" outlineLevel="0" collapsed="false">
      <c r="B141" s="143"/>
      <c r="C141" s="144" t="str">
        <f aca="false">DADOS!$AF$12</f>
        <v>📎 OUTROS</v>
      </c>
      <c r="D141" s="145" t="str">
        <f aca="false">IF(investirrendavariávelconsolidadoabr[[#This Row],[TOTAL (R$)]]=0,"",IF(OR(investirrendavariávelconsolidadoabr[[#This Row],[TOTAL (R$)]]=LARGE($AJ$132:$AJ$141,1),investirrendavariávelconsolidadoabr[[#This Row],[TOTAL (R$)]]=LARGE($AJ$132:$AJ$141,2)),DADOS!$I$10,""))</f>
        <v/>
      </c>
      <c r="E141" s="148" t="n">
        <f aca="false">SUMIFS(tabela_registros[VALOR],tabela_registros[MÊS],$AE$1,tabela_registros[DIA],investirrendavariávelconsolidadoabr[[#Headers],[1]],tabela_registros[REGISTRO],DADOS!$N$5,tabela_registros[TIPO],DADOS!$AB$4,tabela_registros[CATEGORIA],investirrendavariávelconsolidadoabr[[#This Row],[ATUAL]])</f>
        <v>0</v>
      </c>
      <c r="F141" s="119" t="n">
        <f aca="false">SUMIFS(tabela_registros[VALOR],tabela_registros[MÊS],$AE$1,tabela_registros[DIA],investirrendavariávelconsolidadoabr[[#Headers],[2]],tabela_registros[REGISTRO],DADOS!$N$5,tabela_registros[TIPO],DADOS!$AB$4,tabela_registros[CATEGORIA],investirrendavariávelconsolidadoabr[[#This Row],[ATUAL]])</f>
        <v>0</v>
      </c>
      <c r="G141" s="119" t="n">
        <f aca="false">SUMIFS(tabela_registros[VALOR],tabela_registros[MÊS],$AE$1,tabela_registros[DIA],investirrendavariávelconsolidadoabr[[#Headers],[3]],tabela_registros[REGISTRO],DADOS!$N$5,tabela_registros[TIPO],DADOS!$AB$4,tabela_registros[CATEGORIA],investirrendavariávelconsolidadoabr[[#This Row],[ATUAL]])</f>
        <v>0</v>
      </c>
      <c r="H141" s="119" t="n">
        <f aca="false">SUMIFS(tabela_registros[VALOR],tabela_registros[MÊS],$AE$1,tabela_registros[DIA],investirrendavariávelconsolidadoabr[[#Headers],[4]],tabela_registros[REGISTRO],DADOS!$N$5,tabela_registros[TIPO],DADOS!$AB$4,tabela_registros[CATEGORIA],investirrendavariávelconsolidadoabr[[#This Row],[ATUAL]])</f>
        <v>0</v>
      </c>
      <c r="I141" s="119" t="n">
        <f aca="false">SUMIFS(tabela_registros[VALOR],tabela_registros[MÊS],$AE$1,tabela_registros[DIA],investirrendavariávelconsolidadoabr[[#Headers],[5]],tabela_registros[REGISTRO],DADOS!$N$5,tabela_registros[TIPO],DADOS!$AB$4,tabela_registros[CATEGORIA],investirrendavariávelconsolidadoabr[[#This Row],[ATUAL]])</f>
        <v>0</v>
      </c>
      <c r="J141" s="119" t="n">
        <f aca="false">SUMIFS(tabela_registros[VALOR],tabela_registros[MÊS],$AE$1,tabela_registros[DIA],investirrendavariávelconsolidadoabr[[#Headers],[6]],tabela_registros[REGISTRO],DADOS!$N$5,tabela_registros[TIPO],DADOS!$AB$4,tabela_registros[CATEGORIA],investirrendavariávelconsolidadoabr[[#This Row],[ATUAL]])</f>
        <v>0</v>
      </c>
      <c r="K141" s="119" t="n">
        <f aca="false">SUMIFS(tabela_registros[VALOR],tabela_registros[MÊS],$AE$1,tabela_registros[DIA],investirrendavariávelconsolidadoabr[[#Headers],[7]],tabela_registros[REGISTRO],DADOS!$N$5,tabela_registros[TIPO],DADOS!$AB$4,tabela_registros[CATEGORIA],investirrendavariávelconsolidadoabr[[#This Row],[ATUAL]])</f>
        <v>0</v>
      </c>
      <c r="L141" s="119" t="n">
        <f aca="false">SUMIFS(tabela_registros[VALOR],tabela_registros[MÊS],$AE$1,tabela_registros[DIA],investirrendavariávelconsolidadoabr[[#Headers],[8]],tabela_registros[REGISTRO],DADOS!$N$5,tabela_registros[TIPO],DADOS!$AB$4,tabela_registros[CATEGORIA],investirrendavariávelconsolidadoabr[[#This Row],[ATUAL]])</f>
        <v>0</v>
      </c>
      <c r="M141" s="119" t="n">
        <f aca="false">SUMIFS(tabela_registros[VALOR],tabela_registros[MÊS],$AE$1,tabela_registros[DIA],investirrendavariávelconsolidadoabr[[#Headers],[9]],tabela_registros[REGISTRO],DADOS!$N$5,tabela_registros[TIPO],DADOS!$AB$4,tabela_registros[CATEGORIA],investirrendavariávelconsolidadoabr[[#This Row],[ATUAL]])</f>
        <v>0</v>
      </c>
      <c r="N141" s="119" t="n">
        <f aca="false">SUMIFS(tabela_registros[VALOR],tabela_registros[MÊS],$AE$1,tabela_registros[DIA],investirrendavariávelconsolidadoabr[[#Headers],[10]],tabela_registros[REGISTRO],DADOS!$N$5,tabela_registros[TIPO],DADOS!$AB$4,tabela_registros[CATEGORIA],investirrendavariávelconsolidadoabr[[#This Row],[ATUAL]])</f>
        <v>0</v>
      </c>
      <c r="O141" s="119" t="n">
        <f aca="false">SUMIFS(tabela_registros[VALOR],tabela_registros[MÊS],$AE$1,tabela_registros[DIA],investirrendavariávelconsolidadoabr[[#Headers],[11]],tabela_registros[REGISTRO],DADOS!$N$5,tabela_registros[TIPO],DADOS!$AB$4,tabela_registros[CATEGORIA],investirrendavariávelconsolidadoabr[[#This Row],[ATUAL]])</f>
        <v>0</v>
      </c>
      <c r="P141" s="119" t="n">
        <f aca="false">SUMIFS(tabela_registros[VALOR],tabela_registros[MÊS],$AE$1,tabela_registros[DIA],investirrendavariávelconsolidadoabr[[#Headers],[12]],tabela_registros[REGISTRO],DADOS!$N$5,tabela_registros[TIPO],DADOS!$AB$4,tabela_registros[CATEGORIA],investirrendavariávelconsolidadoabr[[#This Row],[ATUAL]])</f>
        <v>0</v>
      </c>
      <c r="Q141" s="119" t="n">
        <f aca="false">SUMIFS(tabela_registros[VALOR],tabela_registros[MÊS],$AE$1,tabela_registros[DIA],investirrendavariávelconsolidadoabr[[#Headers],[13]],tabela_registros[REGISTRO],DADOS!$N$5,tabela_registros[TIPO],DADOS!$AB$4,tabela_registros[CATEGORIA],investirrendavariávelconsolidadoabr[[#This Row],[ATUAL]])</f>
        <v>0</v>
      </c>
      <c r="R141" s="119" t="n">
        <f aca="false">SUMIFS(tabela_registros[VALOR],tabela_registros[MÊS],$AE$1,tabela_registros[DIA],investirrendavariávelconsolidadoabr[[#Headers],[14]],tabela_registros[REGISTRO],DADOS!$N$5,tabela_registros[TIPO],DADOS!$AB$4,tabela_registros[CATEGORIA],investirrendavariávelconsolidadoabr[[#This Row],[ATUAL]])</f>
        <v>0</v>
      </c>
      <c r="S141" s="119" t="n">
        <f aca="false">SUMIFS(tabela_registros[VALOR],tabela_registros[MÊS],$AE$1,tabela_registros[DIA],investirrendavariávelconsolidadoabr[[#Headers],[15]],tabela_registros[REGISTRO],DADOS!$N$5,tabela_registros[TIPO],DADOS!$AB$4,tabela_registros[CATEGORIA],investirrendavariávelconsolidadoabr[[#This Row],[ATUAL]])</f>
        <v>0</v>
      </c>
      <c r="T141" s="119" t="n">
        <f aca="false">SUMIFS(tabela_registros[VALOR],tabela_registros[MÊS],$AE$1,tabela_registros[DIA],investirrendavariávelconsolidadoabr[[#Headers],[16]],tabela_registros[REGISTRO],DADOS!$N$5,tabela_registros[TIPO],DADOS!$AB$4,tabela_registros[CATEGORIA],investirrendavariávelconsolidadoabr[[#This Row],[ATUAL]])</f>
        <v>0</v>
      </c>
      <c r="U141" s="119" t="n">
        <f aca="false">SUMIFS(tabela_registros[VALOR],tabela_registros[MÊS],$AE$1,tabela_registros[DIA],investirrendavariávelconsolidadoabr[[#Headers],[17]],tabela_registros[REGISTRO],DADOS!$N$5,tabela_registros[TIPO],DADOS!$AB$4,tabela_registros[CATEGORIA],investirrendavariávelconsolidadoabr[[#This Row],[ATUAL]])</f>
        <v>0</v>
      </c>
      <c r="V141" s="119" t="n">
        <f aca="false">SUMIFS(tabela_registros[VALOR],tabela_registros[MÊS],$AE$1,tabela_registros[DIA],investirrendavariávelconsolidadoabr[[#Headers],[18]],tabela_registros[REGISTRO],DADOS!$N$5,tabela_registros[TIPO],DADOS!$AB$4,tabela_registros[CATEGORIA],investirrendavariávelconsolidadoabr[[#This Row],[ATUAL]])</f>
        <v>0</v>
      </c>
      <c r="W141" s="119" t="n">
        <f aca="false">SUMIFS(tabela_registros[VALOR],tabela_registros[MÊS],$AE$1,tabela_registros[DIA],investirrendavariávelconsolidadoabr[[#Headers],[19]],tabela_registros[REGISTRO],DADOS!$N$5,tabela_registros[TIPO],DADOS!$AB$4,tabela_registros[CATEGORIA],investirrendavariávelconsolidadoabr[[#This Row],[ATUAL]])</f>
        <v>0</v>
      </c>
      <c r="X141" s="119" t="n">
        <f aca="false">SUMIFS(tabela_registros[VALOR],tabela_registros[MÊS],$AE$1,tabela_registros[DIA],investirrendavariávelconsolidadoabr[[#Headers],[20]],tabela_registros[REGISTRO],DADOS!$N$5,tabela_registros[TIPO],DADOS!$AB$4,tabela_registros[CATEGORIA],investirrendavariávelconsolidadoabr[[#This Row],[ATUAL]])</f>
        <v>0</v>
      </c>
      <c r="Y141" s="119" t="n">
        <f aca="false">SUMIFS(tabela_registros[VALOR],tabela_registros[MÊS],$AE$1,tabela_registros[DIA],investirrendavariávelconsolidadoabr[[#Headers],[21]],tabela_registros[REGISTRO],DADOS!$N$5,tabela_registros[TIPO],DADOS!$AB$4,tabela_registros[CATEGORIA],investirrendavariávelconsolidadoabr[[#This Row],[ATUAL]])</f>
        <v>0</v>
      </c>
      <c r="Z141" s="119" t="n">
        <f aca="false">SUMIFS(tabela_registros[VALOR],tabela_registros[MÊS],$AE$1,tabela_registros[DIA],investirrendavariávelconsolidadoabr[[#Headers],[22]],tabela_registros[REGISTRO],DADOS!$N$5,tabela_registros[TIPO],DADOS!$AB$4,tabela_registros[CATEGORIA],investirrendavariávelconsolidadoabr[[#This Row],[ATUAL]])</f>
        <v>0</v>
      </c>
      <c r="AA141" s="119" t="n">
        <f aca="false">SUMIFS(tabela_registros[VALOR],tabela_registros[MÊS],$AE$1,tabela_registros[DIA],investirrendavariávelconsolidadoabr[[#Headers],[23]],tabela_registros[REGISTRO],DADOS!$N$5,tabela_registros[TIPO],DADOS!$AB$4,tabela_registros[CATEGORIA],investirrendavariávelconsolidadoabr[[#This Row],[ATUAL]])</f>
        <v>0</v>
      </c>
      <c r="AB141" s="119" t="n">
        <f aca="false">SUMIFS(tabela_registros[VALOR],tabela_registros[MÊS],$AE$1,tabela_registros[DIA],investirrendavariávelconsolidadoabr[[#Headers],[24]],tabela_registros[REGISTRO],DADOS!$N$5,tabela_registros[TIPO],DADOS!$AB$4,tabela_registros[CATEGORIA],investirrendavariávelconsolidadoabr[[#This Row],[ATUAL]])</f>
        <v>0</v>
      </c>
      <c r="AC141" s="119" t="n">
        <f aca="false">SUMIFS(tabela_registros[VALOR],tabela_registros[MÊS],$AE$1,tabela_registros[DIA],investirrendavariávelconsolidadoabr[[#Headers],[25]],tabela_registros[REGISTRO],DADOS!$N$5,tabela_registros[TIPO],DADOS!$AB$4,tabela_registros[CATEGORIA],investirrendavariávelconsolidadoabr[[#This Row],[ATUAL]])</f>
        <v>0</v>
      </c>
      <c r="AD141" s="119" t="n">
        <f aca="false">SUMIFS(tabela_registros[VALOR],tabela_registros[MÊS],$AE$1,tabela_registros[DIA],investirrendavariávelconsolidadoabr[[#Headers],[26]],tabela_registros[REGISTRO],DADOS!$N$5,tabela_registros[TIPO],DADOS!$AB$4,tabela_registros[CATEGORIA],investirrendavariávelconsolidadoabr[[#This Row],[ATUAL]])</f>
        <v>0</v>
      </c>
      <c r="AE141" s="119" t="n">
        <f aca="false">SUMIFS(tabela_registros[VALOR],tabela_registros[MÊS],$AE$1,tabela_registros[DIA],investirrendavariávelconsolidadoabr[[#Headers],[27]],tabela_registros[REGISTRO],DADOS!$N$5,tabela_registros[TIPO],DADOS!$AB$4,tabela_registros[CATEGORIA],investirrendavariávelconsolidadoabr[[#This Row],[ATUAL]])</f>
        <v>0</v>
      </c>
      <c r="AF141" s="119" t="n">
        <f aca="false">SUMIFS(tabela_registros[VALOR],tabela_registros[MÊS],$AE$1,tabela_registros[DIA],investirrendavariávelconsolidadoabr[[#Headers],[28]],tabela_registros[REGISTRO],DADOS!$N$5,tabela_registros[TIPO],DADOS!$AB$4,tabela_registros[CATEGORIA],investirrendavariávelconsolidadoabr[[#This Row],[ATUAL]])</f>
        <v>0</v>
      </c>
      <c r="AG141" s="119" t="n">
        <f aca="false">SUMIFS(tabela_registros[VALOR],tabela_registros[MÊS],$AE$1,tabela_registros[DIA],investirrendavariávelconsolidadoabr[[#Headers],[29]],tabela_registros[REGISTRO],DADOS!$N$5,tabela_registros[TIPO],DADOS!$AB$4,tabela_registros[CATEGORIA],investirrendavariávelconsolidadoabr[[#This Row],[ATUAL]])</f>
        <v>0</v>
      </c>
      <c r="AH141" s="119" t="n">
        <f aca="false">SUMIFS(tabela_registros[VALOR],tabela_registros[MÊS],$AE$1,tabela_registros[DIA],investirrendavariávelconsolidadoabr[[#Headers],[30]],tabela_registros[REGISTRO],DADOS!$N$5,tabela_registros[TIPO],DADOS!$AB$4,tabela_registros[CATEGORIA],investirrendavariávelconsolidadoabr[[#This Row],[ATUAL]])</f>
        <v>0</v>
      </c>
      <c r="AI141" s="218" t="n">
        <f aca="false">SUMIFS(tabela_registros[VALOR],tabela_registros[MÊS],$AE$1,tabela_registros[DIA],investirrendavariávelconsolidadoabr[[#Headers],[31]],tabela_registros[REGISTRO],DADOS!$N$5,tabela_registros[TIPO],DADOS!$AB$4,tabela_registros[CATEGORIA],investirrendavariávelconsolidadoabr[[#This Row],[ATUAL]])</f>
        <v>0</v>
      </c>
      <c r="AJ141" s="149" t="n">
        <f aca="false">SUM(investirrendavariávelconsolidadoabr[[#This Row],[1]:[31]])</f>
        <v>0</v>
      </c>
      <c r="AK141" s="165"/>
    </row>
    <row r="142" s="122" customFormat="true" ht="21" hidden="false" customHeight="true" outlineLevel="0" collapsed="false">
      <c r="B142" s="152"/>
      <c r="C142" s="153" t="s">
        <v>2</v>
      </c>
      <c r="D142" s="166"/>
      <c r="E142" s="155" t="n">
        <f aca="false">SUM(E132:E141)</f>
        <v>0</v>
      </c>
      <c r="F142" s="156" t="n">
        <f aca="false">SUM(F132:F141)+investirrendavariávelconsolidadoabr[[#This Row],[1]]</f>
        <v>0</v>
      </c>
      <c r="G142" s="156" t="n">
        <f aca="false">SUM(G132:G141)+investirrendavariávelconsolidadoabr[[#This Row],[2]]</f>
        <v>0</v>
      </c>
      <c r="H142" s="156" t="n">
        <f aca="false">SUM(H132:H141)+investirrendavariávelconsolidadoabr[[#This Row],[3]]</f>
        <v>0</v>
      </c>
      <c r="I142" s="156" t="n">
        <f aca="false">SUM(I132:I141)+investirrendavariávelconsolidadoabr[[#This Row],[4]]</f>
        <v>0</v>
      </c>
      <c r="J142" s="156" t="n">
        <f aca="false">SUM(J132:J141)+investirrendavariávelconsolidadoabr[[#This Row],[5]]</f>
        <v>0</v>
      </c>
      <c r="K142" s="156" t="n">
        <f aca="false">SUM(K132:K141)+investirrendavariávelconsolidadoabr[[#This Row],[6]]</f>
        <v>0</v>
      </c>
      <c r="L142" s="156" t="n">
        <f aca="false">SUM(L132:L141)+investirrendavariávelconsolidadoabr[[#This Row],[7]]</f>
        <v>0</v>
      </c>
      <c r="M142" s="156" t="n">
        <f aca="false">SUM(M132:M141)+investirrendavariávelconsolidadoabr[[#This Row],[8]]</f>
        <v>0</v>
      </c>
      <c r="N142" s="156" t="n">
        <f aca="false">SUM(N132:N141)+investirrendavariávelconsolidadoabr[[#This Row],[9]]</f>
        <v>0</v>
      </c>
      <c r="O142" s="156" t="n">
        <f aca="false">SUM(O132:O141)+investirrendavariávelconsolidadoabr[[#This Row],[10]]</f>
        <v>0</v>
      </c>
      <c r="P142" s="156" t="n">
        <f aca="false">SUM(P132:P141)+investirrendavariávelconsolidadoabr[[#This Row],[11]]</f>
        <v>0</v>
      </c>
      <c r="Q142" s="156" t="n">
        <f aca="false">SUM(Q132:Q141)+investirrendavariávelconsolidadoabr[[#This Row],[12]]</f>
        <v>0</v>
      </c>
      <c r="R142" s="156" t="n">
        <f aca="false">SUM(R132:R141)+investirrendavariávelconsolidadoabr[[#This Row],[13]]</f>
        <v>0</v>
      </c>
      <c r="S142" s="156" t="n">
        <f aca="false">SUM(S132:S141)+investirrendavariávelconsolidadoabr[[#This Row],[14]]</f>
        <v>0</v>
      </c>
      <c r="T142" s="156" t="n">
        <f aca="false">SUM(T132:T141)+investirrendavariávelconsolidadoabr[[#This Row],[15]]</f>
        <v>0</v>
      </c>
      <c r="U142" s="156" t="n">
        <f aca="false">SUM(U132:U141)+investirrendavariávelconsolidadoabr[[#This Row],[16]]</f>
        <v>0</v>
      </c>
      <c r="V142" s="156" t="n">
        <f aca="false">SUM(V132:V141)+investirrendavariávelconsolidadoabr[[#This Row],[17]]</f>
        <v>0</v>
      </c>
      <c r="W142" s="156" t="n">
        <f aca="false">SUM(W132:W141)+investirrendavariávelconsolidadoabr[[#This Row],[18]]</f>
        <v>0</v>
      </c>
      <c r="X142" s="156" t="n">
        <f aca="false">SUM(X132:X141)+investirrendavariávelconsolidadoabr[[#This Row],[19]]</f>
        <v>0</v>
      </c>
      <c r="Y142" s="156" t="n">
        <f aca="false">SUM(Y132:Y141)+investirrendavariávelconsolidadoabr[[#This Row],[20]]</f>
        <v>0</v>
      </c>
      <c r="Z142" s="156" t="n">
        <f aca="false">SUM(Z132:Z141)+investirrendavariávelconsolidadoabr[[#This Row],[21]]</f>
        <v>0</v>
      </c>
      <c r="AA142" s="156" t="n">
        <f aca="false">SUM(AA132:AA141)+investirrendavariávelconsolidadoabr[[#This Row],[22]]</f>
        <v>0</v>
      </c>
      <c r="AB142" s="156" t="n">
        <f aca="false">SUM(AB132:AB141)+investirrendavariávelconsolidadoabr[[#This Row],[23]]</f>
        <v>0</v>
      </c>
      <c r="AC142" s="156" t="n">
        <f aca="false">SUM(AC132:AC141)+investirrendavariávelconsolidadoabr[[#This Row],[24]]</f>
        <v>0</v>
      </c>
      <c r="AD142" s="156" t="n">
        <f aca="false">SUM(AD132:AD141)+investirrendavariávelconsolidadoabr[[#This Row],[25]]</f>
        <v>0</v>
      </c>
      <c r="AE142" s="156" t="n">
        <f aca="false">SUM(AE132:AE141)+investirrendavariávelconsolidadoabr[[#This Row],[26]]</f>
        <v>0</v>
      </c>
      <c r="AF142" s="156" t="n">
        <f aca="false">SUM(AF132:AF141)+investirrendavariávelconsolidadoabr[[#This Row],[27]]</f>
        <v>0</v>
      </c>
      <c r="AG142" s="156" t="n">
        <f aca="false">SUM(AG132:AG141)+investirrendavariávelconsolidadoabr[[#This Row],[28]]</f>
        <v>0</v>
      </c>
      <c r="AH142" s="156" t="n">
        <f aca="false">SUM(AH132:AH141)+investirrendavariávelconsolidadoabr[[#This Row],[29]]</f>
        <v>0</v>
      </c>
      <c r="AI142" s="223" t="n">
        <f aca="false">SUM(AI132:AI141)+investirrendavariávelconsolidadoabr[[#This Row],[30]]</f>
        <v>0</v>
      </c>
      <c r="AJ142" s="157" t="n">
        <f aca="false">investirrendavariávelconsolidadoabr[[#This Row],[31]]</f>
        <v>0</v>
      </c>
      <c r="AK142" s="158"/>
    </row>
    <row r="143" customFormat="false" ht="6.75" hidden="false" customHeight="true" outlineLevel="0" collapsed="false">
      <c r="B143" s="97"/>
      <c r="C143" s="162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233"/>
      <c r="AJ143" s="164"/>
      <c r="AK143" s="244"/>
    </row>
    <row r="144" s="78" customFormat="true" ht="12.75" hidden="false" customHeight="false" outlineLevel="0" collapsed="false">
      <c r="E144" s="100"/>
    </row>
    <row r="145" s="78" customFormat="true" ht="12" hidden="false" customHeight="false" outlineLevel="0" collapsed="false"/>
    <row r="146" s="78" customFormat="true" ht="12" hidden="false" customHeight="false" outlineLevel="0" collapsed="false"/>
    <row r="147" customFormat="false" ht="39.75" hidden="false" customHeight="true" outlineLevel="0" collapsed="false">
      <c r="C147" s="101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3" t="s">
        <v>2</v>
      </c>
    </row>
    <row r="148" s="78" customFormat="true" ht="12.75" hidden="false" customHeight="false" outlineLevel="0" collapsed="false">
      <c r="B148" s="161"/>
      <c r="AJ148" s="106" t="s">
        <v>64</v>
      </c>
    </row>
    <row r="149" customFormat="false" ht="6.75" hidden="false" customHeight="true" outlineLevel="0" collapsed="false">
      <c r="B149" s="86"/>
      <c r="C149" s="162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233"/>
      <c r="AK149" s="139"/>
    </row>
    <row r="150" customFormat="false" ht="13.5" hidden="true" customHeight="false" outlineLevel="0" collapsed="false">
      <c r="B150" s="86"/>
      <c r="C150" s="109" t="s">
        <v>68</v>
      </c>
      <c r="D150" s="110" t="s">
        <v>69</v>
      </c>
      <c r="E150" s="110" t="s">
        <v>30</v>
      </c>
      <c r="F150" s="110" t="s">
        <v>31</v>
      </c>
      <c r="G150" s="110" t="s">
        <v>32</v>
      </c>
      <c r="H150" s="110" t="s">
        <v>33</v>
      </c>
      <c r="I150" s="110" t="s">
        <v>34</v>
      </c>
      <c r="J150" s="110" t="s">
        <v>35</v>
      </c>
      <c r="K150" s="110" t="s">
        <v>36</v>
      </c>
      <c r="L150" s="110" t="s">
        <v>37</v>
      </c>
      <c r="M150" s="110" t="s">
        <v>38</v>
      </c>
      <c r="N150" s="110" t="s">
        <v>39</v>
      </c>
      <c r="O150" s="110" t="s">
        <v>40</v>
      </c>
      <c r="P150" s="110" t="s">
        <v>41</v>
      </c>
      <c r="Q150" s="110" t="s">
        <v>81</v>
      </c>
      <c r="R150" s="110" t="s">
        <v>82</v>
      </c>
      <c r="S150" s="110" t="s">
        <v>83</v>
      </c>
      <c r="T150" s="110" t="s">
        <v>84</v>
      </c>
      <c r="U150" s="110" t="s">
        <v>85</v>
      </c>
      <c r="V150" s="110" t="s">
        <v>86</v>
      </c>
      <c r="W150" s="110" t="s">
        <v>87</v>
      </c>
      <c r="X150" s="110" t="s">
        <v>88</v>
      </c>
      <c r="Y150" s="110" t="s">
        <v>89</v>
      </c>
      <c r="Z150" s="110" t="s">
        <v>90</v>
      </c>
      <c r="AA150" s="110" t="s">
        <v>91</v>
      </c>
      <c r="AB150" s="110" t="s">
        <v>92</v>
      </c>
      <c r="AC150" s="110" t="s">
        <v>93</v>
      </c>
      <c r="AD150" s="110" t="s">
        <v>94</v>
      </c>
      <c r="AE150" s="110" t="s">
        <v>95</v>
      </c>
      <c r="AF150" s="110" t="s">
        <v>96</v>
      </c>
      <c r="AG150" s="110" t="s">
        <v>97</v>
      </c>
      <c r="AH150" s="110" t="s">
        <v>98</v>
      </c>
      <c r="AI150" s="110" t="s">
        <v>99</v>
      </c>
      <c r="AJ150" s="111" t="s">
        <v>70</v>
      </c>
      <c r="AK150" s="86"/>
    </row>
    <row r="151" customFormat="false" ht="19.5" hidden="false" customHeight="true" outlineLevel="0" collapsed="false">
      <c r="B151" s="143"/>
      <c r="C151" s="144" t="str">
        <f aca="false">DADOS!$AH$3</f>
        <v>📝 COE</v>
      </c>
      <c r="D151" s="145" t="str">
        <f aca="false">IF(investiroutrosconsolidadoabr[[#This Row],[TOTAL (R$)]]=0,"",IF(OR(investiroutrosconsolidadoabr[[#This Row],[TOTAL (R$)]]=LARGE($AJ$151:$AJ$158,1),investiroutrosconsolidadoabr[[#This Row],[TOTAL (R$)]]=LARGE($AJ$151:$AJ$158,2)),DADOS!$I$10,""))</f>
        <v/>
      </c>
      <c r="E151" s="148" t="n">
        <f aca="false">SUMIFS(tabela_registros[VALOR],tabela_registros[MÊS],$AE$1,tabela_registros[DIA],investiroutrosconsolidadoabr[[#Headers],[1]],tabela_registros[REGISTRO],DADOS!$N$5,tabela_registros[TIPO],DADOS!$AB$5,tabela_registros[CATEGORIA],investiroutrosconsolidadoabr[[#This Row],[ATUAL]])</f>
        <v>0</v>
      </c>
      <c r="F151" s="119" t="n">
        <f aca="false">SUMIFS(tabela_registros[VALOR],tabela_registros[MÊS],$AE$1,tabela_registros[DIA],investiroutrosconsolidadoabr[[#Headers],[2]],tabela_registros[REGISTRO],DADOS!$N$5,tabela_registros[TIPO],DADOS!$AB$5,tabela_registros[CATEGORIA],investiroutrosconsolidadoabr[[#This Row],[ATUAL]])</f>
        <v>0</v>
      </c>
      <c r="G151" s="119" t="n">
        <f aca="false">SUMIFS(tabela_registros[VALOR],tabela_registros[MÊS],$AE$1,tabela_registros[DIA],investiroutrosconsolidadoabr[[#Headers],[3]],tabela_registros[REGISTRO],DADOS!$N$5,tabela_registros[TIPO],DADOS!$AB$5,tabela_registros[CATEGORIA],investiroutrosconsolidadoabr[[#This Row],[ATUAL]])</f>
        <v>0</v>
      </c>
      <c r="H151" s="119" t="n">
        <f aca="false">SUMIFS(tabela_registros[VALOR],tabela_registros[MÊS],$AE$1,tabela_registros[DIA],investiroutrosconsolidadoabr[[#Headers],[4]],tabela_registros[REGISTRO],DADOS!$N$5,tabela_registros[TIPO],DADOS!$AB$5,tabela_registros[CATEGORIA],investiroutrosconsolidadoabr[[#This Row],[ATUAL]])</f>
        <v>0</v>
      </c>
      <c r="I151" s="119" t="n">
        <f aca="false">SUMIFS(tabela_registros[VALOR],tabela_registros[MÊS],$AE$1,tabela_registros[DIA],investiroutrosconsolidadoabr[[#Headers],[5]],tabela_registros[REGISTRO],DADOS!$N$5,tabela_registros[TIPO],DADOS!$AB$5,tabela_registros[CATEGORIA],investiroutrosconsolidadoabr[[#This Row],[ATUAL]])</f>
        <v>0</v>
      </c>
      <c r="J151" s="119" t="n">
        <f aca="false">SUMIFS(tabela_registros[VALOR],tabela_registros[MÊS],$AE$1,tabela_registros[DIA],investiroutrosconsolidadoabr[[#Headers],[6]],tabela_registros[REGISTRO],DADOS!$N$5,tabela_registros[TIPO],DADOS!$AB$5,tabela_registros[CATEGORIA],investiroutrosconsolidadoabr[[#This Row],[ATUAL]])</f>
        <v>0</v>
      </c>
      <c r="K151" s="119" t="n">
        <f aca="false">SUMIFS(tabela_registros[VALOR],tabela_registros[MÊS],$AE$1,tabela_registros[DIA],investiroutrosconsolidadoabr[[#Headers],[7]],tabela_registros[REGISTRO],DADOS!$N$5,tabela_registros[TIPO],DADOS!$AB$5,tabela_registros[CATEGORIA],investiroutrosconsolidadoabr[[#This Row],[ATUAL]])</f>
        <v>0</v>
      </c>
      <c r="L151" s="119" t="n">
        <f aca="false">SUMIFS(tabela_registros[VALOR],tabela_registros[MÊS],$AE$1,tabela_registros[DIA],investiroutrosconsolidadoabr[[#Headers],[8]],tabela_registros[REGISTRO],DADOS!$N$5,tabela_registros[TIPO],DADOS!$AB$5,tabela_registros[CATEGORIA],investiroutrosconsolidadoabr[[#This Row],[ATUAL]])</f>
        <v>0</v>
      </c>
      <c r="M151" s="119" t="n">
        <f aca="false">SUMIFS(tabela_registros[VALOR],tabela_registros[MÊS],$AE$1,tabela_registros[DIA],investiroutrosconsolidadoabr[[#Headers],[9]],tabela_registros[REGISTRO],DADOS!$N$5,tabela_registros[TIPO],DADOS!$AB$5,tabela_registros[CATEGORIA],investiroutrosconsolidadoabr[[#This Row],[ATUAL]])</f>
        <v>0</v>
      </c>
      <c r="N151" s="119" t="n">
        <f aca="false">SUMIFS(tabela_registros[VALOR],tabela_registros[MÊS],$AE$1,tabela_registros[DIA],investiroutrosconsolidadoabr[[#Headers],[10]],tabela_registros[REGISTRO],DADOS!$N$5,tabela_registros[TIPO],DADOS!$AB$5,tabela_registros[CATEGORIA],investiroutrosconsolidadoabr[[#This Row],[ATUAL]])</f>
        <v>0</v>
      </c>
      <c r="O151" s="119" t="n">
        <f aca="false">SUMIFS(tabela_registros[VALOR],tabela_registros[MÊS],$AE$1,tabela_registros[DIA],investiroutrosconsolidadoabr[[#Headers],[11]],tabela_registros[REGISTRO],DADOS!$N$5,tabela_registros[TIPO],DADOS!$AB$5,tabela_registros[CATEGORIA],investiroutrosconsolidadoabr[[#This Row],[ATUAL]])</f>
        <v>0</v>
      </c>
      <c r="P151" s="119" t="n">
        <f aca="false">SUMIFS(tabela_registros[VALOR],tabela_registros[MÊS],$AE$1,tabela_registros[DIA],investiroutrosconsolidadoabr[[#Headers],[12]],tabela_registros[REGISTRO],DADOS!$N$5,tabela_registros[TIPO],DADOS!$AB$5,tabela_registros[CATEGORIA],investiroutrosconsolidadoabr[[#This Row],[ATUAL]])</f>
        <v>0</v>
      </c>
      <c r="Q151" s="119" t="n">
        <f aca="false">SUMIFS(tabela_registros[VALOR],tabela_registros[MÊS],$AE$1,tabela_registros[DIA],investiroutrosconsolidadoabr[[#Headers],[13]],tabela_registros[REGISTRO],DADOS!$N$5,tabela_registros[TIPO],DADOS!$AB$5,tabela_registros[CATEGORIA],investiroutrosconsolidadoabr[[#This Row],[ATUAL]])</f>
        <v>0</v>
      </c>
      <c r="R151" s="119" t="n">
        <f aca="false">SUMIFS(tabela_registros[VALOR],tabela_registros[MÊS],$AE$1,tabela_registros[DIA],investiroutrosconsolidadoabr[[#Headers],[14]],tabela_registros[REGISTRO],DADOS!$N$5,tabela_registros[TIPO],DADOS!$AB$5,tabela_registros[CATEGORIA],investiroutrosconsolidadoabr[[#This Row],[ATUAL]])</f>
        <v>0</v>
      </c>
      <c r="S151" s="119" t="n">
        <f aca="false">SUMIFS(tabela_registros[VALOR],tabela_registros[MÊS],$AE$1,tabela_registros[DIA],investiroutrosconsolidadoabr[[#Headers],[15]],tabela_registros[REGISTRO],DADOS!$N$5,tabela_registros[TIPO],DADOS!$AB$5,tabela_registros[CATEGORIA],investiroutrosconsolidadoabr[[#This Row],[ATUAL]])</f>
        <v>0</v>
      </c>
      <c r="T151" s="119" t="n">
        <f aca="false">SUMIFS(tabela_registros[VALOR],tabela_registros[MÊS],$AE$1,tabela_registros[DIA],investiroutrosconsolidadoabr[[#Headers],[16]],tabela_registros[REGISTRO],DADOS!$N$5,tabela_registros[TIPO],DADOS!$AB$5,tabela_registros[CATEGORIA],investiroutrosconsolidadoabr[[#This Row],[ATUAL]])</f>
        <v>0</v>
      </c>
      <c r="U151" s="119" t="n">
        <f aca="false">SUMIFS(tabela_registros[VALOR],tabela_registros[MÊS],$AE$1,tabela_registros[DIA],investiroutrosconsolidadoabr[[#Headers],[17]],tabela_registros[REGISTRO],DADOS!$N$5,tabela_registros[TIPO],DADOS!$AB$5,tabela_registros[CATEGORIA],investiroutrosconsolidadoabr[[#This Row],[ATUAL]])</f>
        <v>0</v>
      </c>
      <c r="V151" s="119" t="n">
        <f aca="false">SUMIFS(tabela_registros[VALOR],tabela_registros[MÊS],$AE$1,tabela_registros[DIA],investiroutrosconsolidadoabr[[#Headers],[18]],tabela_registros[REGISTRO],DADOS!$N$5,tabela_registros[TIPO],DADOS!$AB$5,tabela_registros[CATEGORIA],investiroutrosconsolidadoabr[[#This Row],[ATUAL]])</f>
        <v>0</v>
      </c>
      <c r="W151" s="119" t="n">
        <f aca="false">SUMIFS(tabela_registros[VALOR],tabela_registros[MÊS],$AE$1,tabela_registros[DIA],investiroutrosconsolidadoabr[[#Headers],[19]],tabela_registros[REGISTRO],DADOS!$N$5,tabela_registros[TIPO],DADOS!$AB$5,tabela_registros[CATEGORIA],investiroutrosconsolidadoabr[[#This Row],[ATUAL]])</f>
        <v>0</v>
      </c>
      <c r="X151" s="119" t="n">
        <f aca="false">SUMIFS(tabela_registros[VALOR],tabela_registros[MÊS],$AE$1,tabela_registros[DIA],investiroutrosconsolidadoabr[[#Headers],[20]],tabela_registros[REGISTRO],DADOS!$N$5,tabela_registros[TIPO],DADOS!$AB$5,tabela_registros[CATEGORIA],investiroutrosconsolidadoabr[[#This Row],[ATUAL]])</f>
        <v>0</v>
      </c>
      <c r="Y151" s="119" t="n">
        <f aca="false">SUMIFS(tabela_registros[VALOR],tabela_registros[MÊS],$AE$1,tabela_registros[DIA],investiroutrosconsolidadoabr[[#Headers],[21]],tabela_registros[REGISTRO],DADOS!$N$5,tabela_registros[TIPO],DADOS!$AB$5,tabela_registros[CATEGORIA],investiroutrosconsolidadoabr[[#This Row],[ATUAL]])</f>
        <v>0</v>
      </c>
      <c r="Z151" s="119" t="n">
        <f aca="false">SUMIFS(tabela_registros[VALOR],tabela_registros[MÊS],$AE$1,tabela_registros[DIA],investiroutrosconsolidadoabr[[#Headers],[22]],tabela_registros[REGISTRO],DADOS!$N$5,tabela_registros[TIPO],DADOS!$AB$5,tabela_registros[CATEGORIA],investiroutrosconsolidadoabr[[#This Row],[ATUAL]])</f>
        <v>0</v>
      </c>
      <c r="AA151" s="119" t="n">
        <f aca="false">SUMIFS(tabela_registros[VALOR],tabela_registros[MÊS],$AE$1,tabela_registros[DIA],investiroutrosconsolidadoabr[[#Headers],[23]],tabela_registros[REGISTRO],DADOS!$N$5,tabela_registros[TIPO],DADOS!$AB$5,tabela_registros[CATEGORIA],investiroutrosconsolidadoabr[[#This Row],[ATUAL]])</f>
        <v>0</v>
      </c>
      <c r="AB151" s="119" t="n">
        <f aca="false">SUMIFS(tabela_registros[VALOR],tabela_registros[MÊS],$AE$1,tabela_registros[DIA],investiroutrosconsolidadoabr[[#Headers],[24]],tabela_registros[REGISTRO],DADOS!$N$5,tabela_registros[TIPO],DADOS!$AB$5,tabela_registros[CATEGORIA],investiroutrosconsolidadoabr[[#This Row],[ATUAL]])</f>
        <v>0</v>
      </c>
      <c r="AC151" s="119" t="n">
        <f aca="false">SUMIFS(tabela_registros[VALOR],tabela_registros[MÊS],$AE$1,tabela_registros[DIA],investiroutrosconsolidadoabr[[#Headers],[25]],tabela_registros[REGISTRO],DADOS!$N$5,tabela_registros[TIPO],DADOS!$AB$5,tabela_registros[CATEGORIA],investiroutrosconsolidadoabr[[#This Row],[ATUAL]])</f>
        <v>0</v>
      </c>
      <c r="AD151" s="119" t="n">
        <f aca="false">SUMIFS(tabela_registros[VALOR],tabela_registros[MÊS],$AE$1,tabela_registros[DIA],investiroutrosconsolidadoabr[[#Headers],[26]],tabela_registros[REGISTRO],DADOS!$N$5,tabela_registros[TIPO],DADOS!$AB$5,tabela_registros[CATEGORIA],investiroutrosconsolidadoabr[[#This Row],[ATUAL]])</f>
        <v>0</v>
      </c>
      <c r="AE151" s="119" t="n">
        <f aca="false">SUMIFS(tabela_registros[VALOR],tabela_registros[MÊS],$AE$1,tabela_registros[DIA],investiroutrosconsolidadoabr[[#Headers],[27]],tabela_registros[REGISTRO],DADOS!$N$5,tabela_registros[TIPO],DADOS!$AB$5,tabela_registros[CATEGORIA],investiroutrosconsolidadoabr[[#This Row],[ATUAL]])</f>
        <v>0</v>
      </c>
      <c r="AF151" s="119" t="n">
        <f aca="false">SUMIFS(tabela_registros[VALOR],tabela_registros[MÊS],$AE$1,tabela_registros[DIA],investiroutrosconsolidadoabr[[#Headers],[28]],tabela_registros[REGISTRO],DADOS!$N$5,tabela_registros[TIPO],DADOS!$AB$5,tabela_registros[CATEGORIA],investiroutrosconsolidadoabr[[#This Row],[ATUAL]])</f>
        <v>0</v>
      </c>
      <c r="AG151" s="119" t="n">
        <f aca="false">SUMIFS(tabela_registros[VALOR],tabela_registros[MÊS],$AE$1,tabela_registros[DIA],investiroutrosconsolidadoabr[[#Headers],[29]],tabela_registros[REGISTRO],DADOS!$N$5,tabela_registros[TIPO],DADOS!$AB$5,tabela_registros[CATEGORIA],investiroutrosconsolidadoabr[[#This Row],[ATUAL]])</f>
        <v>0</v>
      </c>
      <c r="AH151" s="119" t="n">
        <f aca="false">SUMIFS(tabela_registros[VALOR],tabela_registros[MÊS],$AE$1,tabela_registros[DIA],investiroutrosconsolidadoabr[[#Headers],[30]],tabela_registros[REGISTRO],DADOS!$N$5,tabela_registros[TIPO],DADOS!$AB$5,tabela_registros[CATEGORIA],investiroutrosconsolidadoabr[[#This Row],[ATUAL]])</f>
        <v>0</v>
      </c>
      <c r="AI151" s="217" t="n">
        <f aca="false">SUMIFS(tabela_registros[VALOR],tabela_registros[MÊS],$AE$1,tabela_registros[DIA],investiroutrosconsolidadoabr[[#Headers],[31]],tabela_registros[REGISTRO],DADOS!$N$5,tabela_registros[TIPO],DADOS!$AB$5,tabela_registros[CATEGORIA],investiroutrosconsolidadoabr[[#This Row],[ATUAL]])</f>
        <v>0</v>
      </c>
      <c r="AJ151" s="149" t="n">
        <f aca="false">SUM(investiroutrosconsolidadoabr[[#This Row],[1]:[31]])</f>
        <v>0</v>
      </c>
      <c r="AK151" s="165"/>
    </row>
    <row r="152" customFormat="false" ht="19.5" hidden="false" customHeight="true" outlineLevel="0" collapsed="false">
      <c r="B152" s="143"/>
      <c r="C152" s="144" t="str">
        <f aca="false">DADOS!$AH$4</f>
        <v>📝 FOREX</v>
      </c>
      <c r="D152" s="145" t="str">
        <f aca="false">IF(investiroutrosconsolidadoabr[[#This Row],[TOTAL (R$)]]=0,"",IF(OR(investiroutrosconsolidadoabr[[#This Row],[TOTAL (R$)]]=LARGE($AJ$151:$AJ$158,1),investiroutrosconsolidadoabr[[#This Row],[TOTAL (R$)]]=LARGE($AJ$151:$AJ$158,2)),DADOS!$I$10,""))</f>
        <v/>
      </c>
      <c r="E152" s="148" t="n">
        <f aca="false">SUMIFS(tabela_registros[VALOR],tabela_registros[MÊS],$AE$1,tabela_registros[DIA],investiroutrosconsolidadoabr[[#Headers],[1]],tabela_registros[REGISTRO],DADOS!$N$5,tabela_registros[TIPO],DADOS!$AB$5,tabela_registros[CATEGORIA],investiroutrosconsolidadoabr[[#This Row],[ATUAL]])</f>
        <v>0</v>
      </c>
      <c r="F152" s="119" t="n">
        <f aca="false">SUMIFS(tabela_registros[VALOR],tabela_registros[MÊS],$AE$1,tabela_registros[DIA],investiroutrosconsolidadoabr[[#Headers],[2]],tabela_registros[REGISTRO],DADOS!$N$5,tabela_registros[TIPO],DADOS!$AB$5,tabela_registros[CATEGORIA],investiroutrosconsolidadoabr[[#This Row],[ATUAL]])</f>
        <v>0</v>
      </c>
      <c r="G152" s="119" t="n">
        <f aca="false">SUMIFS(tabela_registros[VALOR],tabela_registros[MÊS],$AE$1,tabela_registros[DIA],investiroutrosconsolidadoabr[[#Headers],[3]],tabela_registros[REGISTRO],DADOS!$N$5,tabela_registros[TIPO],DADOS!$AB$5,tabela_registros[CATEGORIA],investiroutrosconsolidadoabr[[#This Row],[ATUAL]])</f>
        <v>0</v>
      </c>
      <c r="H152" s="119" t="n">
        <f aca="false">SUMIFS(tabela_registros[VALOR],tabela_registros[MÊS],$AE$1,tabela_registros[DIA],investiroutrosconsolidadoabr[[#Headers],[4]],tabela_registros[REGISTRO],DADOS!$N$5,tabela_registros[TIPO],DADOS!$AB$5,tabela_registros[CATEGORIA],investiroutrosconsolidadoabr[[#This Row],[ATUAL]])</f>
        <v>0</v>
      </c>
      <c r="I152" s="119" t="n">
        <f aca="false">SUMIFS(tabela_registros[VALOR],tabela_registros[MÊS],$AE$1,tabela_registros[DIA],investiroutrosconsolidadoabr[[#Headers],[5]],tabela_registros[REGISTRO],DADOS!$N$5,tabela_registros[TIPO],DADOS!$AB$5,tabela_registros[CATEGORIA],investiroutrosconsolidadoabr[[#This Row],[ATUAL]])</f>
        <v>0</v>
      </c>
      <c r="J152" s="119" t="n">
        <f aca="false">SUMIFS(tabela_registros[VALOR],tabela_registros[MÊS],$AE$1,tabela_registros[DIA],investiroutrosconsolidadoabr[[#Headers],[6]],tabela_registros[REGISTRO],DADOS!$N$5,tabela_registros[TIPO],DADOS!$AB$5,tabela_registros[CATEGORIA],investiroutrosconsolidadoabr[[#This Row],[ATUAL]])</f>
        <v>0</v>
      </c>
      <c r="K152" s="119" t="n">
        <f aca="false">SUMIFS(tabela_registros[VALOR],tabela_registros[MÊS],$AE$1,tabela_registros[DIA],investiroutrosconsolidadoabr[[#Headers],[7]],tabela_registros[REGISTRO],DADOS!$N$5,tabela_registros[TIPO],DADOS!$AB$5,tabela_registros[CATEGORIA],investiroutrosconsolidadoabr[[#This Row],[ATUAL]])</f>
        <v>0</v>
      </c>
      <c r="L152" s="119" t="n">
        <f aca="false">SUMIFS(tabela_registros[VALOR],tabela_registros[MÊS],$AE$1,tabela_registros[DIA],investiroutrosconsolidadoabr[[#Headers],[8]],tabela_registros[REGISTRO],DADOS!$N$5,tabela_registros[TIPO],DADOS!$AB$5,tabela_registros[CATEGORIA],investiroutrosconsolidadoabr[[#This Row],[ATUAL]])</f>
        <v>0</v>
      </c>
      <c r="M152" s="119" t="n">
        <f aca="false">SUMIFS(tabela_registros[VALOR],tabela_registros[MÊS],$AE$1,tabela_registros[DIA],investiroutrosconsolidadoabr[[#Headers],[9]],tabela_registros[REGISTRO],DADOS!$N$5,tabela_registros[TIPO],DADOS!$AB$5,tabela_registros[CATEGORIA],investiroutrosconsolidadoabr[[#This Row],[ATUAL]])</f>
        <v>0</v>
      </c>
      <c r="N152" s="119" t="n">
        <f aca="false">SUMIFS(tabela_registros[VALOR],tabela_registros[MÊS],$AE$1,tabela_registros[DIA],investiroutrosconsolidadoabr[[#Headers],[10]],tabela_registros[REGISTRO],DADOS!$N$5,tabela_registros[TIPO],DADOS!$AB$5,tabela_registros[CATEGORIA],investiroutrosconsolidadoabr[[#This Row],[ATUAL]])</f>
        <v>0</v>
      </c>
      <c r="O152" s="119" t="n">
        <f aca="false">SUMIFS(tabela_registros[VALOR],tabela_registros[MÊS],$AE$1,tabela_registros[DIA],investiroutrosconsolidadoabr[[#Headers],[11]],tabela_registros[REGISTRO],DADOS!$N$5,tabela_registros[TIPO],DADOS!$AB$5,tabela_registros[CATEGORIA],investiroutrosconsolidadoabr[[#This Row],[ATUAL]])</f>
        <v>0</v>
      </c>
      <c r="P152" s="119" t="n">
        <f aca="false">SUMIFS(tabela_registros[VALOR],tabela_registros[MÊS],$AE$1,tabela_registros[DIA],investiroutrosconsolidadoabr[[#Headers],[12]],tabela_registros[REGISTRO],DADOS!$N$5,tabela_registros[TIPO],DADOS!$AB$5,tabela_registros[CATEGORIA],investiroutrosconsolidadoabr[[#This Row],[ATUAL]])</f>
        <v>0</v>
      </c>
      <c r="Q152" s="119" t="n">
        <f aca="false">SUMIFS(tabela_registros[VALOR],tabela_registros[MÊS],$AE$1,tabela_registros[DIA],investiroutrosconsolidadoabr[[#Headers],[13]],tabela_registros[REGISTRO],DADOS!$N$5,tabela_registros[TIPO],DADOS!$AB$5,tabela_registros[CATEGORIA],investiroutrosconsolidadoabr[[#This Row],[ATUAL]])</f>
        <v>0</v>
      </c>
      <c r="R152" s="119" t="n">
        <f aca="false">SUMIFS(tabela_registros[VALOR],tabela_registros[MÊS],$AE$1,tabela_registros[DIA],investiroutrosconsolidadoabr[[#Headers],[14]],tabela_registros[REGISTRO],DADOS!$N$5,tabela_registros[TIPO],DADOS!$AB$5,tabela_registros[CATEGORIA],investiroutrosconsolidadoabr[[#This Row],[ATUAL]])</f>
        <v>0</v>
      </c>
      <c r="S152" s="119" t="n">
        <f aca="false">SUMIFS(tabela_registros[VALOR],tabela_registros[MÊS],$AE$1,tabela_registros[DIA],investiroutrosconsolidadoabr[[#Headers],[15]],tabela_registros[REGISTRO],DADOS!$N$5,tabela_registros[TIPO],DADOS!$AB$5,tabela_registros[CATEGORIA],investiroutrosconsolidadoabr[[#This Row],[ATUAL]])</f>
        <v>0</v>
      </c>
      <c r="T152" s="119" t="n">
        <f aca="false">SUMIFS(tabela_registros[VALOR],tabela_registros[MÊS],$AE$1,tabela_registros[DIA],investiroutrosconsolidadoabr[[#Headers],[16]],tabela_registros[REGISTRO],DADOS!$N$5,tabela_registros[TIPO],DADOS!$AB$5,tabela_registros[CATEGORIA],investiroutrosconsolidadoabr[[#This Row],[ATUAL]])</f>
        <v>0</v>
      </c>
      <c r="U152" s="119" t="n">
        <f aca="false">SUMIFS(tabela_registros[VALOR],tabela_registros[MÊS],$AE$1,tabela_registros[DIA],investiroutrosconsolidadoabr[[#Headers],[17]],tabela_registros[REGISTRO],DADOS!$N$5,tabela_registros[TIPO],DADOS!$AB$5,tabela_registros[CATEGORIA],investiroutrosconsolidadoabr[[#This Row],[ATUAL]])</f>
        <v>0</v>
      </c>
      <c r="V152" s="119" t="n">
        <f aca="false">SUMIFS(tabela_registros[VALOR],tabela_registros[MÊS],$AE$1,tabela_registros[DIA],investiroutrosconsolidadoabr[[#Headers],[18]],tabela_registros[REGISTRO],DADOS!$N$5,tabela_registros[TIPO],DADOS!$AB$5,tabela_registros[CATEGORIA],investiroutrosconsolidadoabr[[#This Row],[ATUAL]])</f>
        <v>0</v>
      </c>
      <c r="W152" s="119" t="n">
        <f aca="false">SUMIFS(tabela_registros[VALOR],tabela_registros[MÊS],$AE$1,tabela_registros[DIA],investiroutrosconsolidadoabr[[#Headers],[19]],tabela_registros[REGISTRO],DADOS!$N$5,tabela_registros[TIPO],DADOS!$AB$5,tabela_registros[CATEGORIA],investiroutrosconsolidadoabr[[#This Row],[ATUAL]])</f>
        <v>0</v>
      </c>
      <c r="X152" s="119" t="n">
        <f aca="false">SUMIFS(tabela_registros[VALOR],tabela_registros[MÊS],$AE$1,tabela_registros[DIA],investiroutrosconsolidadoabr[[#Headers],[20]],tabela_registros[REGISTRO],DADOS!$N$5,tabela_registros[TIPO],DADOS!$AB$5,tabela_registros[CATEGORIA],investiroutrosconsolidadoabr[[#This Row],[ATUAL]])</f>
        <v>0</v>
      </c>
      <c r="Y152" s="119" t="n">
        <f aca="false">SUMIFS(tabela_registros[VALOR],tabela_registros[MÊS],$AE$1,tabela_registros[DIA],investiroutrosconsolidadoabr[[#Headers],[21]],tabela_registros[REGISTRO],DADOS!$N$5,tabela_registros[TIPO],DADOS!$AB$5,tabela_registros[CATEGORIA],investiroutrosconsolidadoabr[[#This Row],[ATUAL]])</f>
        <v>0</v>
      </c>
      <c r="Z152" s="119" t="n">
        <f aca="false">SUMIFS(tabela_registros[VALOR],tabela_registros[MÊS],$AE$1,tabela_registros[DIA],investiroutrosconsolidadoabr[[#Headers],[22]],tabela_registros[REGISTRO],DADOS!$N$5,tabela_registros[TIPO],DADOS!$AB$5,tabela_registros[CATEGORIA],investiroutrosconsolidadoabr[[#This Row],[ATUAL]])</f>
        <v>0</v>
      </c>
      <c r="AA152" s="119" t="n">
        <f aca="false">SUMIFS(tabela_registros[VALOR],tabela_registros[MÊS],$AE$1,tabela_registros[DIA],investiroutrosconsolidadoabr[[#Headers],[23]],tabela_registros[REGISTRO],DADOS!$N$5,tabela_registros[TIPO],DADOS!$AB$5,tabela_registros[CATEGORIA],investiroutrosconsolidadoabr[[#This Row],[ATUAL]])</f>
        <v>0</v>
      </c>
      <c r="AB152" s="119" t="n">
        <f aca="false">SUMIFS(tabela_registros[VALOR],tabela_registros[MÊS],$AE$1,tabela_registros[DIA],investiroutrosconsolidadoabr[[#Headers],[24]],tabela_registros[REGISTRO],DADOS!$N$5,tabela_registros[TIPO],DADOS!$AB$5,tabela_registros[CATEGORIA],investiroutrosconsolidadoabr[[#This Row],[ATUAL]])</f>
        <v>0</v>
      </c>
      <c r="AC152" s="119" t="n">
        <f aca="false">SUMIFS(tabela_registros[VALOR],tabela_registros[MÊS],$AE$1,tabela_registros[DIA],investiroutrosconsolidadoabr[[#Headers],[25]],tabela_registros[REGISTRO],DADOS!$N$5,tabela_registros[TIPO],DADOS!$AB$5,tabela_registros[CATEGORIA],investiroutrosconsolidadoabr[[#This Row],[ATUAL]])</f>
        <v>0</v>
      </c>
      <c r="AD152" s="119" t="n">
        <f aca="false">SUMIFS(tabela_registros[VALOR],tabela_registros[MÊS],$AE$1,tabela_registros[DIA],investiroutrosconsolidadoabr[[#Headers],[26]],tabela_registros[REGISTRO],DADOS!$N$5,tabela_registros[TIPO],DADOS!$AB$5,tabela_registros[CATEGORIA],investiroutrosconsolidadoabr[[#This Row],[ATUAL]])</f>
        <v>0</v>
      </c>
      <c r="AE152" s="119" t="n">
        <f aca="false">SUMIFS(tabela_registros[VALOR],tabela_registros[MÊS],$AE$1,tabela_registros[DIA],investiroutrosconsolidadoabr[[#Headers],[27]],tabela_registros[REGISTRO],DADOS!$N$5,tabela_registros[TIPO],DADOS!$AB$5,tabela_registros[CATEGORIA],investiroutrosconsolidadoabr[[#This Row],[ATUAL]])</f>
        <v>0</v>
      </c>
      <c r="AF152" s="119" t="n">
        <f aca="false">SUMIFS(tabela_registros[VALOR],tabela_registros[MÊS],$AE$1,tabela_registros[DIA],investiroutrosconsolidadoabr[[#Headers],[28]],tabela_registros[REGISTRO],DADOS!$N$5,tabela_registros[TIPO],DADOS!$AB$5,tabela_registros[CATEGORIA],investiroutrosconsolidadoabr[[#This Row],[ATUAL]])</f>
        <v>0</v>
      </c>
      <c r="AG152" s="119" t="n">
        <f aca="false">SUMIFS(tabela_registros[VALOR],tabela_registros[MÊS],$AE$1,tabela_registros[DIA],investiroutrosconsolidadoabr[[#Headers],[29]],tabela_registros[REGISTRO],DADOS!$N$5,tabela_registros[TIPO],DADOS!$AB$5,tabela_registros[CATEGORIA],investiroutrosconsolidadoabr[[#This Row],[ATUAL]])</f>
        <v>0</v>
      </c>
      <c r="AH152" s="119" t="n">
        <f aca="false">SUMIFS(tabela_registros[VALOR],tabela_registros[MÊS],$AE$1,tabela_registros[DIA],investiroutrosconsolidadoabr[[#Headers],[30]],tabela_registros[REGISTRO],DADOS!$N$5,tabela_registros[TIPO],DADOS!$AB$5,tabela_registros[CATEGORIA],investiroutrosconsolidadoabr[[#This Row],[ATUAL]])</f>
        <v>0</v>
      </c>
      <c r="AI152" s="217" t="n">
        <f aca="false">SUMIFS(tabela_registros[VALOR],tabela_registros[MÊS],$AE$1,tabela_registros[DIA],investiroutrosconsolidadoabr[[#Headers],[31]],tabela_registros[REGISTRO],DADOS!$N$5,tabela_registros[TIPO],DADOS!$AB$5,tabela_registros[CATEGORIA],investiroutrosconsolidadoabr[[#This Row],[ATUAL]])</f>
        <v>0</v>
      </c>
      <c r="AJ152" s="149" t="n">
        <f aca="false">SUM(investiroutrosconsolidadoabr[[#This Row],[1]:[31]])</f>
        <v>0</v>
      </c>
      <c r="AK152" s="165"/>
    </row>
    <row r="153" customFormat="false" ht="19.5" hidden="false" customHeight="true" outlineLevel="0" collapsed="false">
      <c r="B153" s="143"/>
      <c r="C153" s="144" t="str">
        <f aca="false">DADOS!$AH$5</f>
        <v>📝 FUNDO DE INVESTIMENTO</v>
      </c>
      <c r="D153" s="145" t="str">
        <f aca="false">IF(investiroutrosconsolidadoabr[[#This Row],[TOTAL (R$)]]=0,"",IF(OR(investiroutrosconsolidadoabr[[#This Row],[TOTAL (R$)]]=LARGE($AJ$151:$AJ$158,1),investiroutrosconsolidadoabr[[#This Row],[TOTAL (R$)]]=LARGE($AJ$151:$AJ$158,2)),DADOS!$I$10,""))</f>
        <v/>
      </c>
      <c r="E153" s="148" t="n">
        <f aca="false">SUMIFS(tabela_registros[VALOR],tabela_registros[MÊS],$AE$1,tabela_registros[DIA],investiroutrosconsolidadoabr[[#Headers],[1]],tabela_registros[REGISTRO],DADOS!$N$5,tabela_registros[TIPO],DADOS!$AB$5,tabela_registros[CATEGORIA],investiroutrosconsolidadoabr[[#This Row],[ATUAL]])</f>
        <v>0</v>
      </c>
      <c r="F153" s="119" t="n">
        <f aca="false">SUMIFS(tabela_registros[VALOR],tabela_registros[MÊS],$AE$1,tabela_registros[DIA],investiroutrosconsolidadoabr[[#Headers],[2]],tabela_registros[REGISTRO],DADOS!$N$5,tabela_registros[TIPO],DADOS!$AB$5,tabela_registros[CATEGORIA],investiroutrosconsolidadoabr[[#This Row],[ATUAL]])</f>
        <v>0</v>
      </c>
      <c r="G153" s="119" t="n">
        <f aca="false">SUMIFS(tabela_registros[VALOR],tabela_registros[MÊS],$AE$1,tabela_registros[DIA],investiroutrosconsolidadoabr[[#Headers],[3]],tabela_registros[REGISTRO],DADOS!$N$5,tabela_registros[TIPO],DADOS!$AB$5,tabela_registros[CATEGORIA],investiroutrosconsolidadoabr[[#This Row],[ATUAL]])</f>
        <v>0</v>
      </c>
      <c r="H153" s="119" t="n">
        <f aca="false">SUMIFS(tabela_registros[VALOR],tabela_registros[MÊS],$AE$1,tabela_registros[DIA],investiroutrosconsolidadoabr[[#Headers],[4]],tabela_registros[REGISTRO],DADOS!$N$5,tabela_registros[TIPO],DADOS!$AB$5,tabela_registros[CATEGORIA],investiroutrosconsolidadoabr[[#This Row],[ATUAL]])</f>
        <v>0</v>
      </c>
      <c r="I153" s="119" t="n">
        <f aca="false">SUMIFS(tabela_registros[VALOR],tabela_registros[MÊS],$AE$1,tabela_registros[DIA],investiroutrosconsolidadoabr[[#Headers],[5]],tabela_registros[REGISTRO],DADOS!$N$5,tabela_registros[TIPO],DADOS!$AB$5,tabela_registros[CATEGORIA],investiroutrosconsolidadoabr[[#This Row],[ATUAL]])</f>
        <v>0</v>
      </c>
      <c r="J153" s="119" t="n">
        <f aca="false">SUMIFS(tabela_registros[VALOR],tabela_registros[MÊS],$AE$1,tabela_registros[DIA],investiroutrosconsolidadoabr[[#Headers],[6]],tabela_registros[REGISTRO],DADOS!$N$5,tabela_registros[TIPO],DADOS!$AB$5,tabela_registros[CATEGORIA],investiroutrosconsolidadoabr[[#This Row],[ATUAL]])</f>
        <v>0</v>
      </c>
      <c r="K153" s="119" t="n">
        <f aca="false">SUMIFS(tabela_registros[VALOR],tabela_registros[MÊS],$AE$1,tabela_registros[DIA],investiroutrosconsolidadoabr[[#Headers],[7]],tabela_registros[REGISTRO],DADOS!$N$5,tabela_registros[TIPO],DADOS!$AB$5,tabela_registros[CATEGORIA],investiroutrosconsolidadoabr[[#This Row],[ATUAL]])</f>
        <v>0</v>
      </c>
      <c r="L153" s="119" t="n">
        <f aca="false">SUMIFS(tabela_registros[VALOR],tabela_registros[MÊS],$AE$1,tabela_registros[DIA],investiroutrosconsolidadoabr[[#Headers],[8]],tabela_registros[REGISTRO],DADOS!$N$5,tabela_registros[TIPO],DADOS!$AB$5,tabela_registros[CATEGORIA],investiroutrosconsolidadoabr[[#This Row],[ATUAL]])</f>
        <v>0</v>
      </c>
      <c r="M153" s="119" t="n">
        <f aca="false">SUMIFS(tabela_registros[VALOR],tabela_registros[MÊS],$AE$1,tabela_registros[DIA],investiroutrosconsolidadoabr[[#Headers],[9]],tabela_registros[REGISTRO],DADOS!$N$5,tabela_registros[TIPO],DADOS!$AB$5,tabela_registros[CATEGORIA],investiroutrosconsolidadoabr[[#This Row],[ATUAL]])</f>
        <v>0</v>
      </c>
      <c r="N153" s="119" t="n">
        <f aca="false">SUMIFS(tabela_registros[VALOR],tabela_registros[MÊS],$AE$1,tabela_registros[DIA],investiroutrosconsolidadoabr[[#Headers],[10]],tabela_registros[REGISTRO],DADOS!$N$5,tabela_registros[TIPO],DADOS!$AB$5,tabela_registros[CATEGORIA],investiroutrosconsolidadoabr[[#This Row],[ATUAL]])</f>
        <v>0</v>
      </c>
      <c r="O153" s="119" t="n">
        <f aca="false">SUMIFS(tabela_registros[VALOR],tabela_registros[MÊS],$AE$1,tabela_registros[DIA],investiroutrosconsolidadoabr[[#Headers],[11]],tabela_registros[REGISTRO],DADOS!$N$5,tabela_registros[TIPO],DADOS!$AB$5,tabela_registros[CATEGORIA],investiroutrosconsolidadoabr[[#This Row],[ATUAL]])</f>
        <v>0</v>
      </c>
      <c r="P153" s="119" t="n">
        <f aca="false">SUMIFS(tabela_registros[VALOR],tabela_registros[MÊS],$AE$1,tabela_registros[DIA],investiroutrosconsolidadoabr[[#Headers],[12]],tabela_registros[REGISTRO],DADOS!$N$5,tabela_registros[TIPO],DADOS!$AB$5,tabela_registros[CATEGORIA],investiroutrosconsolidadoabr[[#This Row],[ATUAL]])</f>
        <v>0</v>
      </c>
      <c r="Q153" s="119" t="n">
        <f aca="false">SUMIFS(tabela_registros[VALOR],tabela_registros[MÊS],$AE$1,tabela_registros[DIA],investiroutrosconsolidadoabr[[#Headers],[13]],tabela_registros[REGISTRO],DADOS!$N$5,tabela_registros[TIPO],DADOS!$AB$5,tabela_registros[CATEGORIA],investiroutrosconsolidadoabr[[#This Row],[ATUAL]])</f>
        <v>0</v>
      </c>
      <c r="R153" s="119" t="n">
        <f aca="false">SUMIFS(tabela_registros[VALOR],tabela_registros[MÊS],$AE$1,tabela_registros[DIA],investiroutrosconsolidadoabr[[#Headers],[14]],tabela_registros[REGISTRO],DADOS!$N$5,tabela_registros[TIPO],DADOS!$AB$5,tabela_registros[CATEGORIA],investiroutrosconsolidadoabr[[#This Row],[ATUAL]])</f>
        <v>0</v>
      </c>
      <c r="S153" s="119" t="n">
        <f aca="false">SUMIFS(tabela_registros[VALOR],tabela_registros[MÊS],$AE$1,tabela_registros[DIA],investiroutrosconsolidadoabr[[#Headers],[15]],tabela_registros[REGISTRO],DADOS!$N$5,tabela_registros[TIPO],DADOS!$AB$5,tabela_registros[CATEGORIA],investiroutrosconsolidadoabr[[#This Row],[ATUAL]])</f>
        <v>0</v>
      </c>
      <c r="T153" s="119" t="n">
        <f aca="false">SUMIFS(tabela_registros[VALOR],tabela_registros[MÊS],$AE$1,tabela_registros[DIA],investiroutrosconsolidadoabr[[#Headers],[16]],tabela_registros[REGISTRO],DADOS!$N$5,tabela_registros[TIPO],DADOS!$AB$5,tabela_registros[CATEGORIA],investiroutrosconsolidadoabr[[#This Row],[ATUAL]])</f>
        <v>0</v>
      </c>
      <c r="U153" s="119" t="n">
        <f aca="false">SUMIFS(tabela_registros[VALOR],tabela_registros[MÊS],$AE$1,tabela_registros[DIA],investiroutrosconsolidadoabr[[#Headers],[17]],tabela_registros[REGISTRO],DADOS!$N$5,tabela_registros[TIPO],DADOS!$AB$5,tabela_registros[CATEGORIA],investiroutrosconsolidadoabr[[#This Row],[ATUAL]])</f>
        <v>0</v>
      </c>
      <c r="V153" s="119" t="n">
        <f aca="false">SUMIFS(tabela_registros[VALOR],tabela_registros[MÊS],$AE$1,tabela_registros[DIA],investiroutrosconsolidadoabr[[#Headers],[18]],tabela_registros[REGISTRO],DADOS!$N$5,tabela_registros[TIPO],DADOS!$AB$5,tabela_registros[CATEGORIA],investiroutrosconsolidadoabr[[#This Row],[ATUAL]])</f>
        <v>0</v>
      </c>
      <c r="W153" s="119" t="n">
        <f aca="false">SUMIFS(tabela_registros[VALOR],tabela_registros[MÊS],$AE$1,tabela_registros[DIA],investiroutrosconsolidadoabr[[#Headers],[19]],tabela_registros[REGISTRO],DADOS!$N$5,tabela_registros[TIPO],DADOS!$AB$5,tabela_registros[CATEGORIA],investiroutrosconsolidadoabr[[#This Row],[ATUAL]])</f>
        <v>0</v>
      </c>
      <c r="X153" s="119" t="n">
        <f aca="false">SUMIFS(tabela_registros[VALOR],tabela_registros[MÊS],$AE$1,tabela_registros[DIA],investiroutrosconsolidadoabr[[#Headers],[20]],tabela_registros[REGISTRO],DADOS!$N$5,tabela_registros[TIPO],DADOS!$AB$5,tabela_registros[CATEGORIA],investiroutrosconsolidadoabr[[#This Row],[ATUAL]])</f>
        <v>0</v>
      </c>
      <c r="Y153" s="119" t="n">
        <f aca="false">SUMIFS(tabela_registros[VALOR],tabela_registros[MÊS],$AE$1,tabela_registros[DIA],investiroutrosconsolidadoabr[[#Headers],[21]],tabela_registros[REGISTRO],DADOS!$N$5,tabela_registros[TIPO],DADOS!$AB$5,tabela_registros[CATEGORIA],investiroutrosconsolidadoabr[[#This Row],[ATUAL]])</f>
        <v>0</v>
      </c>
      <c r="Z153" s="119" t="n">
        <f aca="false">SUMIFS(tabela_registros[VALOR],tabela_registros[MÊS],$AE$1,tabela_registros[DIA],investiroutrosconsolidadoabr[[#Headers],[22]],tabela_registros[REGISTRO],DADOS!$N$5,tabela_registros[TIPO],DADOS!$AB$5,tabela_registros[CATEGORIA],investiroutrosconsolidadoabr[[#This Row],[ATUAL]])</f>
        <v>0</v>
      </c>
      <c r="AA153" s="119" t="n">
        <f aca="false">SUMIFS(tabela_registros[VALOR],tabela_registros[MÊS],$AE$1,tabela_registros[DIA],investiroutrosconsolidadoabr[[#Headers],[23]],tabela_registros[REGISTRO],DADOS!$N$5,tabela_registros[TIPO],DADOS!$AB$5,tabela_registros[CATEGORIA],investiroutrosconsolidadoabr[[#This Row],[ATUAL]])</f>
        <v>0</v>
      </c>
      <c r="AB153" s="119" t="n">
        <f aca="false">SUMIFS(tabela_registros[VALOR],tabela_registros[MÊS],$AE$1,tabela_registros[DIA],investiroutrosconsolidadoabr[[#Headers],[24]],tabela_registros[REGISTRO],DADOS!$N$5,tabela_registros[TIPO],DADOS!$AB$5,tabela_registros[CATEGORIA],investiroutrosconsolidadoabr[[#This Row],[ATUAL]])</f>
        <v>0</v>
      </c>
      <c r="AC153" s="119" t="n">
        <f aca="false">SUMIFS(tabela_registros[VALOR],tabela_registros[MÊS],$AE$1,tabela_registros[DIA],investiroutrosconsolidadoabr[[#Headers],[25]],tabela_registros[REGISTRO],DADOS!$N$5,tabela_registros[TIPO],DADOS!$AB$5,tabela_registros[CATEGORIA],investiroutrosconsolidadoabr[[#This Row],[ATUAL]])</f>
        <v>0</v>
      </c>
      <c r="AD153" s="119" t="n">
        <f aca="false">SUMIFS(tabela_registros[VALOR],tabela_registros[MÊS],$AE$1,tabela_registros[DIA],investiroutrosconsolidadoabr[[#Headers],[26]],tabela_registros[REGISTRO],DADOS!$N$5,tabela_registros[TIPO],DADOS!$AB$5,tabela_registros[CATEGORIA],investiroutrosconsolidadoabr[[#This Row],[ATUAL]])</f>
        <v>0</v>
      </c>
      <c r="AE153" s="119" t="n">
        <f aca="false">SUMIFS(tabela_registros[VALOR],tabela_registros[MÊS],$AE$1,tabela_registros[DIA],investiroutrosconsolidadoabr[[#Headers],[27]],tabela_registros[REGISTRO],DADOS!$N$5,tabela_registros[TIPO],DADOS!$AB$5,tabela_registros[CATEGORIA],investiroutrosconsolidadoabr[[#This Row],[ATUAL]])</f>
        <v>0</v>
      </c>
      <c r="AF153" s="119" t="n">
        <f aca="false">SUMIFS(tabela_registros[VALOR],tabela_registros[MÊS],$AE$1,tabela_registros[DIA],investiroutrosconsolidadoabr[[#Headers],[28]],tabela_registros[REGISTRO],DADOS!$N$5,tabela_registros[TIPO],DADOS!$AB$5,tabela_registros[CATEGORIA],investiroutrosconsolidadoabr[[#This Row],[ATUAL]])</f>
        <v>0</v>
      </c>
      <c r="AG153" s="119" t="n">
        <f aca="false">SUMIFS(tabela_registros[VALOR],tabela_registros[MÊS],$AE$1,tabela_registros[DIA],investiroutrosconsolidadoabr[[#Headers],[29]],tabela_registros[REGISTRO],DADOS!$N$5,tabela_registros[TIPO],DADOS!$AB$5,tabela_registros[CATEGORIA],investiroutrosconsolidadoabr[[#This Row],[ATUAL]])</f>
        <v>0</v>
      </c>
      <c r="AH153" s="119" t="n">
        <f aca="false">SUMIFS(tabela_registros[VALOR],tabela_registros[MÊS],$AE$1,tabela_registros[DIA],investiroutrosconsolidadoabr[[#Headers],[30]],tabela_registros[REGISTRO],DADOS!$N$5,tabela_registros[TIPO],DADOS!$AB$5,tabela_registros[CATEGORIA],investiroutrosconsolidadoabr[[#This Row],[ATUAL]])</f>
        <v>0</v>
      </c>
      <c r="AI153" s="217" t="n">
        <f aca="false">SUMIFS(tabela_registros[VALOR],tabela_registros[MÊS],$AE$1,tabela_registros[DIA],investiroutrosconsolidadoabr[[#Headers],[31]],tabela_registros[REGISTRO],DADOS!$N$5,tabela_registros[TIPO],DADOS!$AB$5,tabela_registros[CATEGORIA],investiroutrosconsolidadoabr[[#This Row],[ATUAL]])</f>
        <v>0</v>
      </c>
      <c r="AJ153" s="149" t="n">
        <f aca="false">SUM(investiroutrosconsolidadoabr[[#This Row],[1]:[31]])</f>
        <v>0</v>
      </c>
      <c r="AK153" s="165"/>
    </row>
    <row r="154" customFormat="false" ht="19.5" hidden="false" customHeight="true" outlineLevel="0" collapsed="false">
      <c r="B154" s="143"/>
      <c r="C154" s="144" t="str">
        <f aca="false">DADOS!$AH$6</f>
        <v>📝 NOVA EMPRESA</v>
      </c>
      <c r="D154" s="145" t="str">
        <f aca="false">IF(investiroutrosconsolidadoabr[[#This Row],[TOTAL (R$)]]=0,"",IF(OR(investiroutrosconsolidadoabr[[#This Row],[TOTAL (R$)]]=LARGE($AJ$151:$AJ$158,1),investiroutrosconsolidadoabr[[#This Row],[TOTAL (R$)]]=LARGE($AJ$151:$AJ$158,2)),DADOS!$I$10,""))</f>
        <v/>
      </c>
      <c r="E154" s="148" t="n">
        <f aca="false">SUMIFS(tabela_registros[VALOR],tabela_registros[MÊS],$AE$1,tabela_registros[DIA],investiroutrosconsolidadoabr[[#Headers],[1]],tabela_registros[REGISTRO],DADOS!$N$5,tabela_registros[TIPO],DADOS!$AB$5,tabela_registros[CATEGORIA],investiroutrosconsolidadoabr[[#This Row],[ATUAL]])</f>
        <v>0</v>
      </c>
      <c r="F154" s="119" t="n">
        <f aca="false">SUMIFS(tabela_registros[VALOR],tabela_registros[MÊS],$AE$1,tabela_registros[DIA],investiroutrosconsolidadoabr[[#Headers],[2]],tabela_registros[REGISTRO],DADOS!$N$5,tabela_registros[TIPO],DADOS!$AB$5,tabela_registros[CATEGORIA],investiroutrosconsolidadoabr[[#This Row],[ATUAL]])</f>
        <v>0</v>
      </c>
      <c r="G154" s="119" t="n">
        <f aca="false">SUMIFS(tabela_registros[VALOR],tabela_registros[MÊS],$AE$1,tabela_registros[DIA],investiroutrosconsolidadoabr[[#Headers],[3]],tabela_registros[REGISTRO],DADOS!$N$5,tabela_registros[TIPO],DADOS!$AB$5,tabela_registros[CATEGORIA],investiroutrosconsolidadoabr[[#This Row],[ATUAL]])</f>
        <v>0</v>
      </c>
      <c r="H154" s="119" t="n">
        <f aca="false">SUMIFS(tabela_registros[VALOR],tabela_registros[MÊS],$AE$1,tabela_registros[DIA],investiroutrosconsolidadoabr[[#Headers],[4]],tabela_registros[REGISTRO],DADOS!$N$5,tabela_registros[TIPO],DADOS!$AB$5,tabela_registros[CATEGORIA],investiroutrosconsolidadoabr[[#This Row],[ATUAL]])</f>
        <v>0</v>
      </c>
      <c r="I154" s="119" t="n">
        <f aca="false">SUMIFS(tabela_registros[VALOR],tabela_registros[MÊS],$AE$1,tabela_registros[DIA],investiroutrosconsolidadoabr[[#Headers],[5]],tabela_registros[REGISTRO],DADOS!$N$5,tabela_registros[TIPO],DADOS!$AB$5,tabela_registros[CATEGORIA],investiroutrosconsolidadoabr[[#This Row],[ATUAL]])</f>
        <v>0</v>
      </c>
      <c r="J154" s="119" t="n">
        <f aca="false">SUMIFS(tabela_registros[VALOR],tabela_registros[MÊS],$AE$1,tabela_registros[DIA],investiroutrosconsolidadoabr[[#Headers],[6]],tabela_registros[REGISTRO],DADOS!$N$5,tabela_registros[TIPO],DADOS!$AB$5,tabela_registros[CATEGORIA],investiroutrosconsolidadoabr[[#This Row],[ATUAL]])</f>
        <v>0</v>
      </c>
      <c r="K154" s="119" t="n">
        <f aca="false">SUMIFS(tabela_registros[VALOR],tabela_registros[MÊS],$AE$1,tabela_registros[DIA],investiroutrosconsolidadoabr[[#Headers],[7]],tabela_registros[REGISTRO],DADOS!$N$5,tabela_registros[TIPO],DADOS!$AB$5,tabela_registros[CATEGORIA],investiroutrosconsolidadoabr[[#This Row],[ATUAL]])</f>
        <v>0</v>
      </c>
      <c r="L154" s="119" t="n">
        <f aca="false">SUMIFS(tabela_registros[VALOR],tabela_registros[MÊS],$AE$1,tabela_registros[DIA],investiroutrosconsolidadoabr[[#Headers],[8]],tabela_registros[REGISTRO],DADOS!$N$5,tabela_registros[TIPO],DADOS!$AB$5,tabela_registros[CATEGORIA],investiroutrosconsolidadoabr[[#This Row],[ATUAL]])</f>
        <v>0</v>
      </c>
      <c r="M154" s="119" t="n">
        <f aca="false">SUMIFS(tabela_registros[VALOR],tabela_registros[MÊS],$AE$1,tabela_registros[DIA],investiroutrosconsolidadoabr[[#Headers],[9]],tabela_registros[REGISTRO],DADOS!$N$5,tabela_registros[TIPO],DADOS!$AB$5,tabela_registros[CATEGORIA],investiroutrosconsolidadoabr[[#This Row],[ATUAL]])</f>
        <v>0</v>
      </c>
      <c r="N154" s="119" t="n">
        <f aca="false">SUMIFS(tabela_registros[VALOR],tabela_registros[MÊS],$AE$1,tabela_registros[DIA],investiroutrosconsolidadoabr[[#Headers],[10]],tabela_registros[REGISTRO],DADOS!$N$5,tabela_registros[TIPO],DADOS!$AB$5,tabela_registros[CATEGORIA],investiroutrosconsolidadoabr[[#This Row],[ATUAL]])</f>
        <v>0</v>
      </c>
      <c r="O154" s="119" t="n">
        <f aca="false">SUMIFS(tabela_registros[VALOR],tabela_registros[MÊS],$AE$1,tabela_registros[DIA],investiroutrosconsolidadoabr[[#Headers],[11]],tabela_registros[REGISTRO],DADOS!$N$5,tabela_registros[TIPO],DADOS!$AB$5,tabela_registros[CATEGORIA],investiroutrosconsolidadoabr[[#This Row],[ATUAL]])</f>
        <v>0</v>
      </c>
      <c r="P154" s="119" t="n">
        <f aca="false">SUMIFS(tabela_registros[VALOR],tabela_registros[MÊS],$AE$1,tabela_registros[DIA],investiroutrosconsolidadoabr[[#Headers],[12]],tabela_registros[REGISTRO],DADOS!$N$5,tabela_registros[TIPO],DADOS!$AB$5,tabela_registros[CATEGORIA],investiroutrosconsolidadoabr[[#This Row],[ATUAL]])</f>
        <v>0</v>
      </c>
      <c r="Q154" s="119" t="n">
        <f aca="false">SUMIFS(tabela_registros[VALOR],tabela_registros[MÊS],$AE$1,tabela_registros[DIA],investiroutrosconsolidadoabr[[#Headers],[13]],tabela_registros[REGISTRO],DADOS!$N$5,tabela_registros[TIPO],DADOS!$AB$5,tabela_registros[CATEGORIA],investiroutrosconsolidadoabr[[#This Row],[ATUAL]])</f>
        <v>0</v>
      </c>
      <c r="R154" s="119" t="n">
        <f aca="false">SUMIFS(tabela_registros[VALOR],tabela_registros[MÊS],$AE$1,tabela_registros[DIA],investiroutrosconsolidadoabr[[#Headers],[14]],tabela_registros[REGISTRO],DADOS!$N$5,tabela_registros[TIPO],DADOS!$AB$5,tabela_registros[CATEGORIA],investiroutrosconsolidadoabr[[#This Row],[ATUAL]])</f>
        <v>0</v>
      </c>
      <c r="S154" s="119" t="n">
        <f aca="false">SUMIFS(tabela_registros[VALOR],tabela_registros[MÊS],$AE$1,tabela_registros[DIA],investiroutrosconsolidadoabr[[#Headers],[15]],tabela_registros[REGISTRO],DADOS!$N$5,tabela_registros[TIPO],DADOS!$AB$5,tabela_registros[CATEGORIA],investiroutrosconsolidadoabr[[#This Row],[ATUAL]])</f>
        <v>0</v>
      </c>
      <c r="T154" s="119" t="n">
        <f aca="false">SUMIFS(tabela_registros[VALOR],tabela_registros[MÊS],$AE$1,tabela_registros[DIA],investiroutrosconsolidadoabr[[#Headers],[16]],tabela_registros[REGISTRO],DADOS!$N$5,tabela_registros[TIPO],DADOS!$AB$5,tabela_registros[CATEGORIA],investiroutrosconsolidadoabr[[#This Row],[ATUAL]])</f>
        <v>0</v>
      </c>
      <c r="U154" s="119" t="n">
        <f aca="false">SUMIFS(tabela_registros[VALOR],tabela_registros[MÊS],$AE$1,tabela_registros[DIA],investiroutrosconsolidadoabr[[#Headers],[17]],tabela_registros[REGISTRO],DADOS!$N$5,tabela_registros[TIPO],DADOS!$AB$5,tabela_registros[CATEGORIA],investiroutrosconsolidadoabr[[#This Row],[ATUAL]])</f>
        <v>0</v>
      </c>
      <c r="V154" s="119" t="n">
        <f aca="false">SUMIFS(tabela_registros[VALOR],tabela_registros[MÊS],$AE$1,tabela_registros[DIA],investiroutrosconsolidadoabr[[#Headers],[18]],tabela_registros[REGISTRO],DADOS!$N$5,tabela_registros[TIPO],DADOS!$AB$5,tabela_registros[CATEGORIA],investiroutrosconsolidadoabr[[#This Row],[ATUAL]])</f>
        <v>0</v>
      </c>
      <c r="W154" s="119" t="n">
        <f aca="false">SUMIFS(tabela_registros[VALOR],tabela_registros[MÊS],$AE$1,tabela_registros[DIA],investiroutrosconsolidadoabr[[#Headers],[19]],tabela_registros[REGISTRO],DADOS!$N$5,tabela_registros[TIPO],DADOS!$AB$5,tabela_registros[CATEGORIA],investiroutrosconsolidadoabr[[#This Row],[ATUAL]])</f>
        <v>0</v>
      </c>
      <c r="X154" s="119" t="n">
        <f aca="false">SUMIFS(tabela_registros[VALOR],tabela_registros[MÊS],$AE$1,tabela_registros[DIA],investiroutrosconsolidadoabr[[#Headers],[20]],tabela_registros[REGISTRO],DADOS!$N$5,tabela_registros[TIPO],DADOS!$AB$5,tabela_registros[CATEGORIA],investiroutrosconsolidadoabr[[#This Row],[ATUAL]])</f>
        <v>0</v>
      </c>
      <c r="Y154" s="119" t="n">
        <f aca="false">SUMIFS(tabela_registros[VALOR],tabela_registros[MÊS],$AE$1,tabela_registros[DIA],investiroutrosconsolidadoabr[[#Headers],[21]],tabela_registros[REGISTRO],DADOS!$N$5,tabela_registros[TIPO],DADOS!$AB$5,tabela_registros[CATEGORIA],investiroutrosconsolidadoabr[[#This Row],[ATUAL]])</f>
        <v>0</v>
      </c>
      <c r="Z154" s="119" t="n">
        <f aca="false">SUMIFS(tabela_registros[VALOR],tabela_registros[MÊS],$AE$1,tabela_registros[DIA],investiroutrosconsolidadoabr[[#Headers],[22]],tabela_registros[REGISTRO],DADOS!$N$5,tabela_registros[TIPO],DADOS!$AB$5,tabela_registros[CATEGORIA],investiroutrosconsolidadoabr[[#This Row],[ATUAL]])</f>
        <v>0</v>
      </c>
      <c r="AA154" s="119" t="n">
        <f aca="false">SUMIFS(tabela_registros[VALOR],tabela_registros[MÊS],$AE$1,tabela_registros[DIA],investiroutrosconsolidadoabr[[#Headers],[23]],tabela_registros[REGISTRO],DADOS!$N$5,tabela_registros[TIPO],DADOS!$AB$5,tabela_registros[CATEGORIA],investiroutrosconsolidadoabr[[#This Row],[ATUAL]])</f>
        <v>0</v>
      </c>
      <c r="AB154" s="119" t="n">
        <f aca="false">SUMIFS(tabela_registros[VALOR],tabela_registros[MÊS],$AE$1,tabela_registros[DIA],investiroutrosconsolidadoabr[[#Headers],[24]],tabela_registros[REGISTRO],DADOS!$N$5,tabela_registros[TIPO],DADOS!$AB$5,tabela_registros[CATEGORIA],investiroutrosconsolidadoabr[[#This Row],[ATUAL]])</f>
        <v>0</v>
      </c>
      <c r="AC154" s="119" t="n">
        <f aca="false">SUMIFS(tabela_registros[VALOR],tabela_registros[MÊS],$AE$1,tabela_registros[DIA],investiroutrosconsolidadoabr[[#Headers],[25]],tabela_registros[REGISTRO],DADOS!$N$5,tabela_registros[TIPO],DADOS!$AB$5,tabela_registros[CATEGORIA],investiroutrosconsolidadoabr[[#This Row],[ATUAL]])</f>
        <v>0</v>
      </c>
      <c r="AD154" s="119" t="n">
        <f aca="false">SUMIFS(tabela_registros[VALOR],tabela_registros[MÊS],$AE$1,tabela_registros[DIA],investiroutrosconsolidadoabr[[#Headers],[26]],tabela_registros[REGISTRO],DADOS!$N$5,tabela_registros[TIPO],DADOS!$AB$5,tabela_registros[CATEGORIA],investiroutrosconsolidadoabr[[#This Row],[ATUAL]])</f>
        <v>0</v>
      </c>
      <c r="AE154" s="119" t="n">
        <f aca="false">SUMIFS(tabela_registros[VALOR],tabela_registros[MÊS],$AE$1,tabela_registros[DIA],investiroutrosconsolidadoabr[[#Headers],[27]],tabela_registros[REGISTRO],DADOS!$N$5,tabela_registros[TIPO],DADOS!$AB$5,tabela_registros[CATEGORIA],investiroutrosconsolidadoabr[[#This Row],[ATUAL]])</f>
        <v>0</v>
      </c>
      <c r="AF154" s="119" t="n">
        <f aca="false">SUMIFS(tabela_registros[VALOR],tabela_registros[MÊS],$AE$1,tabela_registros[DIA],investiroutrosconsolidadoabr[[#Headers],[28]],tabela_registros[REGISTRO],DADOS!$N$5,tabela_registros[TIPO],DADOS!$AB$5,tabela_registros[CATEGORIA],investiroutrosconsolidadoabr[[#This Row],[ATUAL]])</f>
        <v>0</v>
      </c>
      <c r="AG154" s="119" t="n">
        <f aca="false">SUMIFS(tabela_registros[VALOR],tabela_registros[MÊS],$AE$1,tabela_registros[DIA],investiroutrosconsolidadoabr[[#Headers],[29]],tabela_registros[REGISTRO],DADOS!$N$5,tabela_registros[TIPO],DADOS!$AB$5,tabela_registros[CATEGORIA],investiroutrosconsolidadoabr[[#This Row],[ATUAL]])</f>
        <v>0</v>
      </c>
      <c r="AH154" s="119" t="n">
        <f aca="false">SUMIFS(tabela_registros[VALOR],tabela_registros[MÊS],$AE$1,tabela_registros[DIA],investiroutrosconsolidadoabr[[#Headers],[30]],tabela_registros[REGISTRO],DADOS!$N$5,tabela_registros[TIPO],DADOS!$AB$5,tabela_registros[CATEGORIA],investiroutrosconsolidadoabr[[#This Row],[ATUAL]])</f>
        <v>0</v>
      </c>
      <c r="AI154" s="217" t="n">
        <f aca="false">SUMIFS(tabela_registros[VALOR],tabela_registros[MÊS],$AE$1,tabela_registros[DIA],investiroutrosconsolidadoabr[[#Headers],[31]],tabela_registros[REGISTRO],DADOS!$N$5,tabela_registros[TIPO],DADOS!$AB$5,tabela_registros[CATEGORIA],investiroutrosconsolidadoabr[[#This Row],[ATUAL]])</f>
        <v>0</v>
      </c>
      <c r="AJ154" s="149" t="n">
        <f aca="false">SUM(investiroutrosconsolidadoabr[[#This Row],[1]:[31]])</f>
        <v>0</v>
      </c>
      <c r="AK154" s="165"/>
    </row>
    <row r="155" customFormat="false" ht="19.5" hidden="false" customHeight="true" outlineLevel="0" collapsed="false">
      <c r="B155" s="143"/>
      <c r="C155" s="144" t="str">
        <f aca="false">DADOS!$AH$7</f>
        <v>📝 PEER TO COMPANY</v>
      </c>
      <c r="D155" s="145" t="str">
        <f aca="false">IF(investiroutrosconsolidadoabr[[#This Row],[TOTAL (R$)]]=0,"",IF(OR(investiroutrosconsolidadoabr[[#This Row],[TOTAL (R$)]]=LARGE($AJ$151:$AJ$158,1),investiroutrosconsolidadoabr[[#This Row],[TOTAL (R$)]]=LARGE($AJ$151:$AJ$158,2)),DADOS!$I$10,""))</f>
        <v/>
      </c>
      <c r="E155" s="148" t="n">
        <f aca="false">SUMIFS(tabela_registros[VALOR],tabela_registros[MÊS],$AE$1,tabela_registros[DIA],investiroutrosconsolidadoabr[[#Headers],[1]],tabela_registros[REGISTRO],DADOS!$N$5,tabela_registros[TIPO],DADOS!$AB$5,tabela_registros[CATEGORIA],investiroutrosconsolidadoabr[[#This Row],[ATUAL]])</f>
        <v>0</v>
      </c>
      <c r="F155" s="119" t="n">
        <f aca="false">SUMIFS(tabela_registros[VALOR],tabela_registros[MÊS],$AE$1,tabela_registros[DIA],investiroutrosconsolidadoabr[[#Headers],[2]],tabela_registros[REGISTRO],DADOS!$N$5,tabela_registros[TIPO],DADOS!$AB$5,tabela_registros[CATEGORIA],investiroutrosconsolidadoabr[[#This Row],[ATUAL]])</f>
        <v>0</v>
      </c>
      <c r="G155" s="119" t="n">
        <f aca="false">SUMIFS(tabela_registros[VALOR],tabela_registros[MÊS],$AE$1,tabela_registros[DIA],investiroutrosconsolidadoabr[[#Headers],[3]],tabela_registros[REGISTRO],DADOS!$N$5,tabela_registros[TIPO],DADOS!$AB$5,tabela_registros[CATEGORIA],investiroutrosconsolidadoabr[[#This Row],[ATUAL]])</f>
        <v>0</v>
      </c>
      <c r="H155" s="119" t="n">
        <f aca="false">SUMIFS(tabela_registros[VALOR],tabela_registros[MÊS],$AE$1,tabela_registros[DIA],investiroutrosconsolidadoabr[[#Headers],[4]],tabela_registros[REGISTRO],DADOS!$N$5,tabela_registros[TIPO],DADOS!$AB$5,tabela_registros[CATEGORIA],investiroutrosconsolidadoabr[[#This Row],[ATUAL]])</f>
        <v>0</v>
      </c>
      <c r="I155" s="119" t="n">
        <f aca="false">SUMIFS(tabela_registros[VALOR],tabela_registros[MÊS],$AE$1,tabela_registros[DIA],investiroutrosconsolidadoabr[[#Headers],[5]],tabela_registros[REGISTRO],DADOS!$N$5,tabela_registros[TIPO],DADOS!$AB$5,tabela_registros[CATEGORIA],investiroutrosconsolidadoabr[[#This Row],[ATUAL]])</f>
        <v>0</v>
      </c>
      <c r="J155" s="119" t="n">
        <f aca="false">SUMIFS(tabela_registros[VALOR],tabela_registros[MÊS],$AE$1,tabela_registros[DIA],investiroutrosconsolidadoabr[[#Headers],[6]],tabela_registros[REGISTRO],DADOS!$N$5,tabela_registros[TIPO],DADOS!$AB$5,tabela_registros[CATEGORIA],investiroutrosconsolidadoabr[[#This Row],[ATUAL]])</f>
        <v>0</v>
      </c>
      <c r="K155" s="119" t="n">
        <f aca="false">SUMIFS(tabela_registros[VALOR],tabela_registros[MÊS],$AE$1,tabela_registros[DIA],investiroutrosconsolidadoabr[[#Headers],[7]],tabela_registros[REGISTRO],DADOS!$N$5,tabela_registros[TIPO],DADOS!$AB$5,tabela_registros[CATEGORIA],investiroutrosconsolidadoabr[[#This Row],[ATUAL]])</f>
        <v>0</v>
      </c>
      <c r="L155" s="119" t="n">
        <f aca="false">SUMIFS(tabela_registros[VALOR],tabela_registros[MÊS],$AE$1,tabela_registros[DIA],investiroutrosconsolidadoabr[[#Headers],[8]],tabela_registros[REGISTRO],DADOS!$N$5,tabela_registros[TIPO],DADOS!$AB$5,tabela_registros[CATEGORIA],investiroutrosconsolidadoabr[[#This Row],[ATUAL]])</f>
        <v>0</v>
      </c>
      <c r="M155" s="119" t="n">
        <f aca="false">SUMIFS(tabela_registros[VALOR],tabela_registros[MÊS],$AE$1,tabela_registros[DIA],investiroutrosconsolidadoabr[[#Headers],[9]],tabela_registros[REGISTRO],DADOS!$N$5,tabela_registros[TIPO],DADOS!$AB$5,tabela_registros[CATEGORIA],investiroutrosconsolidadoabr[[#This Row],[ATUAL]])</f>
        <v>0</v>
      </c>
      <c r="N155" s="119" t="n">
        <f aca="false">SUMIFS(tabela_registros[VALOR],tabela_registros[MÊS],$AE$1,tabela_registros[DIA],investiroutrosconsolidadoabr[[#Headers],[10]],tabela_registros[REGISTRO],DADOS!$N$5,tabela_registros[TIPO],DADOS!$AB$5,tabela_registros[CATEGORIA],investiroutrosconsolidadoabr[[#This Row],[ATUAL]])</f>
        <v>0</v>
      </c>
      <c r="O155" s="119" t="n">
        <f aca="false">SUMIFS(tabela_registros[VALOR],tabela_registros[MÊS],$AE$1,tabela_registros[DIA],investiroutrosconsolidadoabr[[#Headers],[11]],tabela_registros[REGISTRO],DADOS!$N$5,tabela_registros[TIPO],DADOS!$AB$5,tabela_registros[CATEGORIA],investiroutrosconsolidadoabr[[#This Row],[ATUAL]])</f>
        <v>0</v>
      </c>
      <c r="P155" s="119" t="n">
        <f aca="false">SUMIFS(tabela_registros[VALOR],tabela_registros[MÊS],$AE$1,tabela_registros[DIA],investiroutrosconsolidadoabr[[#Headers],[12]],tabela_registros[REGISTRO],DADOS!$N$5,tabela_registros[TIPO],DADOS!$AB$5,tabela_registros[CATEGORIA],investiroutrosconsolidadoabr[[#This Row],[ATUAL]])</f>
        <v>0</v>
      </c>
      <c r="Q155" s="119" t="n">
        <f aca="false">SUMIFS(tabela_registros[VALOR],tabela_registros[MÊS],$AE$1,tabela_registros[DIA],investiroutrosconsolidadoabr[[#Headers],[13]],tabela_registros[REGISTRO],DADOS!$N$5,tabela_registros[TIPO],DADOS!$AB$5,tabela_registros[CATEGORIA],investiroutrosconsolidadoabr[[#This Row],[ATUAL]])</f>
        <v>0</v>
      </c>
      <c r="R155" s="119" t="n">
        <f aca="false">SUMIFS(tabela_registros[VALOR],tabela_registros[MÊS],$AE$1,tabela_registros[DIA],investiroutrosconsolidadoabr[[#Headers],[14]],tabela_registros[REGISTRO],DADOS!$N$5,tabela_registros[TIPO],DADOS!$AB$5,tabela_registros[CATEGORIA],investiroutrosconsolidadoabr[[#This Row],[ATUAL]])</f>
        <v>0</v>
      </c>
      <c r="S155" s="119" t="n">
        <f aca="false">SUMIFS(tabela_registros[VALOR],tabela_registros[MÊS],$AE$1,tabela_registros[DIA],investiroutrosconsolidadoabr[[#Headers],[15]],tabela_registros[REGISTRO],DADOS!$N$5,tabela_registros[TIPO],DADOS!$AB$5,tabela_registros[CATEGORIA],investiroutrosconsolidadoabr[[#This Row],[ATUAL]])</f>
        <v>0</v>
      </c>
      <c r="T155" s="119" t="n">
        <f aca="false">SUMIFS(tabela_registros[VALOR],tabela_registros[MÊS],$AE$1,tabela_registros[DIA],investiroutrosconsolidadoabr[[#Headers],[16]],tabela_registros[REGISTRO],DADOS!$N$5,tabela_registros[TIPO],DADOS!$AB$5,tabela_registros[CATEGORIA],investiroutrosconsolidadoabr[[#This Row],[ATUAL]])</f>
        <v>0</v>
      </c>
      <c r="U155" s="119" t="n">
        <f aca="false">SUMIFS(tabela_registros[VALOR],tabela_registros[MÊS],$AE$1,tabela_registros[DIA],investiroutrosconsolidadoabr[[#Headers],[17]],tabela_registros[REGISTRO],DADOS!$N$5,tabela_registros[TIPO],DADOS!$AB$5,tabela_registros[CATEGORIA],investiroutrosconsolidadoabr[[#This Row],[ATUAL]])</f>
        <v>0</v>
      </c>
      <c r="V155" s="119" t="n">
        <f aca="false">SUMIFS(tabela_registros[VALOR],tabela_registros[MÊS],$AE$1,tabela_registros[DIA],investiroutrosconsolidadoabr[[#Headers],[18]],tabela_registros[REGISTRO],DADOS!$N$5,tabela_registros[TIPO],DADOS!$AB$5,tabela_registros[CATEGORIA],investiroutrosconsolidadoabr[[#This Row],[ATUAL]])</f>
        <v>0</v>
      </c>
      <c r="W155" s="119" t="n">
        <f aca="false">SUMIFS(tabela_registros[VALOR],tabela_registros[MÊS],$AE$1,tabela_registros[DIA],investiroutrosconsolidadoabr[[#Headers],[19]],tabela_registros[REGISTRO],DADOS!$N$5,tabela_registros[TIPO],DADOS!$AB$5,tabela_registros[CATEGORIA],investiroutrosconsolidadoabr[[#This Row],[ATUAL]])</f>
        <v>0</v>
      </c>
      <c r="X155" s="119" t="n">
        <f aca="false">SUMIFS(tabela_registros[VALOR],tabela_registros[MÊS],$AE$1,tabela_registros[DIA],investiroutrosconsolidadoabr[[#Headers],[20]],tabela_registros[REGISTRO],DADOS!$N$5,tabela_registros[TIPO],DADOS!$AB$5,tabela_registros[CATEGORIA],investiroutrosconsolidadoabr[[#This Row],[ATUAL]])</f>
        <v>0</v>
      </c>
      <c r="Y155" s="119" t="n">
        <f aca="false">SUMIFS(tabela_registros[VALOR],tabela_registros[MÊS],$AE$1,tabela_registros[DIA],investiroutrosconsolidadoabr[[#Headers],[21]],tabela_registros[REGISTRO],DADOS!$N$5,tabela_registros[TIPO],DADOS!$AB$5,tabela_registros[CATEGORIA],investiroutrosconsolidadoabr[[#This Row],[ATUAL]])</f>
        <v>0</v>
      </c>
      <c r="Z155" s="119" t="n">
        <f aca="false">SUMIFS(tabela_registros[VALOR],tabela_registros[MÊS],$AE$1,tabela_registros[DIA],investiroutrosconsolidadoabr[[#Headers],[22]],tabela_registros[REGISTRO],DADOS!$N$5,tabela_registros[TIPO],DADOS!$AB$5,tabela_registros[CATEGORIA],investiroutrosconsolidadoabr[[#This Row],[ATUAL]])</f>
        <v>0</v>
      </c>
      <c r="AA155" s="119" t="n">
        <f aca="false">SUMIFS(tabela_registros[VALOR],tabela_registros[MÊS],$AE$1,tabela_registros[DIA],investiroutrosconsolidadoabr[[#Headers],[23]],tabela_registros[REGISTRO],DADOS!$N$5,tabela_registros[TIPO],DADOS!$AB$5,tabela_registros[CATEGORIA],investiroutrosconsolidadoabr[[#This Row],[ATUAL]])</f>
        <v>0</v>
      </c>
      <c r="AB155" s="119" t="n">
        <f aca="false">SUMIFS(tabela_registros[VALOR],tabela_registros[MÊS],$AE$1,tabela_registros[DIA],investiroutrosconsolidadoabr[[#Headers],[24]],tabela_registros[REGISTRO],DADOS!$N$5,tabela_registros[TIPO],DADOS!$AB$5,tabela_registros[CATEGORIA],investiroutrosconsolidadoabr[[#This Row],[ATUAL]])</f>
        <v>0</v>
      </c>
      <c r="AC155" s="119" t="n">
        <f aca="false">SUMIFS(tabela_registros[VALOR],tabela_registros[MÊS],$AE$1,tabela_registros[DIA],investiroutrosconsolidadoabr[[#Headers],[25]],tabela_registros[REGISTRO],DADOS!$N$5,tabela_registros[TIPO],DADOS!$AB$5,tabela_registros[CATEGORIA],investiroutrosconsolidadoabr[[#This Row],[ATUAL]])</f>
        <v>0</v>
      </c>
      <c r="AD155" s="119" t="n">
        <f aca="false">SUMIFS(tabela_registros[VALOR],tabela_registros[MÊS],$AE$1,tabela_registros[DIA],investiroutrosconsolidadoabr[[#Headers],[26]],tabela_registros[REGISTRO],DADOS!$N$5,tabela_registros[TIPO],DADOS!$AB$5,tabela_registros[CATEGORIA],investiroutrosconsolidadoabr[[#This Row],[ATUAL]])</f>
        <v>0</v>
      </c>
      <c r="AE155" s="119" t="n">
        <f aca="false">SUMIFS(tabela_registros[VALOR],tabela_registros[MÊS],$AE$1,tabela_registros[DIA],investiroutrosconsolidadoabr[[#Headers],[27]],tabela_registros[REGISTRO],DADOS!$N$5,tabela_registros[TIPO],DADOS!$AB$5,tabela_registros[CATEGORIA],investiroutrosconsolidadoabr[[#This Row],[ATUAL]])</f>
        <v>0</v>
      </c>
      <c r="AF155" s="119" t="n">
        <f aca="false">SUMIFS(tabela_registros[VALOR],tabela_registros[MÊS],$AE$1,tabela_registros[DIA],investiroutrosconsolidadoabr[[#Headers],[28]],tabela_registros[REGISTRO],DADOS!$N$5,tabela_registros[TIPO],DADOS!$AB$5,tabela_registros[CATEGORIA],investiroutrosconsolidadoabr[[#This Row],[ATUAL]])</f>
        <v>0</v>
      </c>
      <c r="AG155" s="119" t="n">
        <f aca="false">SUMIFS(tabela_registros[VALOR],tabela_registros[MÊS],$AE$1,tabela_registros[DIA],investiroutrosconsolidadoabr[[#Headers],[29]],tabela_registros[REGISTRO],DADOS!$N$5,tabela_registros[TIPO],DADOS!$AB$5,tabela_registros[CATEGORIA],investiroutrosconsolidadoabr[[#This Row],[ATUAL]])</f>
        <v>0</v>
      </c>
      <c r="AH155" s="119" t="n">
        <f aca="false">SUMIFS(tabela_registros[VALOR],tabela_registros[MÊS],$AE$1,tabela_registros[DIA],investiroutrosconsolidadoabr[[#Headers],[30]],tabela_registros[REGISTRO],DADOS!$N$5,tabela_registros[TIPO],DADOS!$AB$5,tabela_registros[CATEGORIA],investiroutrosconsolidadoabr[[#This Row],[ATUAL]])</f>
        <v>0</v>
      </c>
      <c r="AI155" s="217" t="n">
        <f aca="false">SUMIFS(tabela_registros[VALOR],tabela_registros[MÊS],$AE$1,tabela_registros[DIA],investiroutrosconsolidadoabr[[#Headers],[31]],tabela_registros[REGISTRO],DADOS!$N$5,tabela_registros[TIPO],DADOS!$AB$5,tabela_registros[CATEGORIA],investiroutrosconsolidadoabr[[#This Row],[ATUAL]])</f>
        <v>0</v>
      </c>
      <c r="AJ155" s="149" t="n">
        <f aca="false">SUM(investiroutrosconsolidadoabr[[#This Row],[1]:[31]])</f>
        <v>0</v>
      </c>
      <c r="AK155" s="165"/>
    </row>
    <row r="156" customFormat="false" ht="19.5" hidden="false" customHeight="true" outlineLevel="0" collapsed="false">
      <c r="B156" s="143"/>
      <c r="C156" s="144" t="str">
        <f aca="false">DADOS!$AH$8</f>
        <v>📝 PEER TO PEER</v>
      </c>
      <c r="D156" s="145" t="str">
        <f aca="false">IF(investiroutrosconsolidadoabr[[#This Row],[TOTAL (R$)]]=0,"",IF(OR(investiroutrosconsolidadoabr[[#This Row],[TOTAL (R$)]]=LARGE($AJ$151:$AJ$158,1),investiroutrosconsolidadoabr[[#This Row],[TOTAL (R$)]]=LARGE($AJ$151:$AJ$158,2)),DADOS!$I$10,""))</f>
        <v/>
      </c>
      <c r="E156" s="148" t="n">
        <f aca="false">SUMIFS(tabela_registros[VALOR],tabela_registros[MÊS],$AE$1,tabela_registros[DIA],investiroutrosconsolidadoabr[[#Headers],[1]],tabela_registros[REGISTRO],DADOS!$N$5,tabela_registros[TIPO],DADOS!$AB$5,tabela_registros[CATEGORIA],investiroutrosconsolidadoabr[[#This Row],[ATUAL]])</f>
        <v>0</v>
      </c>
      <c r="F156" s="119" t="n">
        <f aca="false">SUMIFS(tabela_registros[VALOR],tabela_registros[MÊS],$AE$1,tabela_registros[DIA],investiroutrosconsolidadoabr[[#Headers],[2]],tabela_registros[REGISTRO],DADOS!$N$5,tabela_registros[TIPO],DADOS!$AB$5,tabela_registros[CATEGORIA],investiroutrosconsolidadoabr[[#This Row],[ATUAL]])</f>
        <v>0</v>
      </c>
      <c r="G156" s="119" t="n">
        <f aca="false">SUMIFS(tabela_registros[VALOR],tabela_registros[MÊS],$AE$1,tabela_registros[DIA],investiroutrosconsolidadoabr[[#Headers],[3]],tabela_registros[REGISTRO],DADOS!$N$5,tabela_registros[TIPO],DADOS!$AB$5,tabela_registros[CATEGORIA],investiroutrosconsolidadoabr[[#This Row],[ATUAL]])</f>
        <v>0</v>
      </c>
      <c r="H156" s="119" t="n">
        <f aca="false">SUMIFS(tabela_registros[VALOR],tabela_registros[MÊS],$AE$1,tabela_registros[DIA],investiroutrosconsolidadoabr[[#Headers],[4]],tabela_registros[REGISTRO],DADOS!$N$5,tabela_registros[TIPO],DADOS!$AB$5,tabela_registros[CATEGORIA],investiroutrosconsolidadoabr[[#This Row],[ATUAL]])</f>
        <v>0</v>
      </c>
      <c r="I156" s="119" t="n">
        <f aca="false">SUMIFS(tabela_registros[VALOR],tabela_registros[MÊS],$AE$1,tabela_registros[DIA],investiroutrosconsolidadoabr[[#Headers],[5]],tabela_registros[REGISTRO],DADOS!$N$5,tabela_registros[TIPO],DADOS!$AB$5,tabela_registros[CATEGORIA],investiroutrosconsolidadoabr[[#This Row],[ATUAL]])</f>
        <v>0</v>
      </c>
      <c r="J156" s="119" t="n">
        <f aca="false">SUMIFS(tabela_registros[VALOR],tabela_registros[MÊS],$AE$1,tabela_registros[DIA],investiroutrosconsolidadoabr[[#Headers],[6]],tabela_registros[REGISTRO],DADOS!$N$5,tabela_registros[TIPO],DADOS!$AB$5,tabela_registros[CATEGORIA],investiroutrosconsolidadoabr[[#This Row],[ATUAL]])</f>
        <v>0</v>
      </c>
      <c r="K156" s="119" t="n">
        <f aca="false">SUMIFS(tabela_registros[VALOR],tabela_registros[MÊS],$AE$1,tabela_registros[DIA],investiroutrosconsolidadoabr[[#Headers],[7]],tabela_registros[REGISTRO],DADOS!$N$5,tabela_registros[TIPO],DADOS!$AB$5,tabela_registros[CATEGORIA],investiroutrosconsolidadoabr[[#This Row],[ATUAL]])</f>
        <v>0</v>
      </c>
      <c r="L156" s="119" t="n">
        <f aca="false">SUMIFS(tabela_registros[VALOR],tabela_registros[MÊS],$AE$1,tabela_registros[DIA],investiroutrosconsolidadoabr[[#Headers],[8]],tabela_registros[REGISTRO],DADOS!$N$5,tabela_registros[TIPO],DADOS!$AB$5,tabela_registros[CATEGORIA],investiroutrosconsolidadoabr[[#This Row],[ATUAL]])</f>
        <v>0</v>
      </c>
      <c r="M156" s="119" t="n">
        <f aca="false">SUMIFS(tabela_registros[VALOR],tabela_registros[MÊS],$AE$1,tabela_registros[DIA],investiroutrosconsolidadoabr[[#Headers],[9]],tabela_registros[REGISTRO],DADOS!$N$5,tabela_registros[TIPO],DADOS!$AB$5,tabela_registros[CATEGORIA],investiroutrosconsolidadoabr[[#This Row],[ATUAL]])</f>
        <v>0</v>
      </c>
      <c r="N156" s="119" t="n">
        <f aca="false">SUMIFS(tabela_registros[VALOR],tabela_registros[MÊS],$AE$1,tabela_registros[DIA],investiroutrosconsolidadoabr[[#Headers],[10]],tabela_registros[REGISTRO],DADOS!$N$5,tabela_registros[TIPO],DADOS!$AB$5,tabela_registros[CATEGORIA],investiroutrosconsolidadoabr[[#This Row],[ATUAL]])</f>
        <v>0</v>
      </c>
      <c r="O156" s="119" t="n">
        <f aca="false">SUMIFS(tabela_registros[VALOR],tabela_registros[MÊS],$AE$1,tabela_registros[DIA],investiroutrosconsolidadoabr[[#Headers],[11]],tabela_registros[REGISTRO],DADOS!$N$5,tabela_registros[TIPO],DADOS!$AB$5,tabela_registros[CATEGORIA],investiroutrosconsolidadoabr[[#This Row],[ATUAL]])</f>
        <v>0</v>
      </c>
      <c r="P156" s="119" t="n">
        <f aca="false">SUMIFS(tabela_registros[VALOR],tabela_registros[MÊS],$AE$1,tabela_registros[DIA],investiroutrosconsolidadoabr[[#Headers],[12]],tabela_registros[REGISTRO],DADOS!$N$5,tabela_registros[TIPO],DADOS!$AB$5,tabela_registros[CATEGORIA],investiroutrosconsolidadoabr[[#This Row],[ATUAL]])</f>
        <v>0</v>
      </c>
      <c r="Q156" s="119" t="n">
        <f aca="false">SUMIFS(tabela_registros[VALOR],tabela_registros[MÊS],$AE$1,tabela_registros[DIA],investiroutrosconsolidadoabr[[#Headers],[13]],tabela_registros[REGISTRO],DADOS!$N$5,tabela_registros[TIPO],DADOS!$AB$5,tabela_registros[CATEGORIA],investiroutrosconsolidadoabr[[#This Row],[ATUAL]])</f>
        <v>0</v>
      </c>
      <c r="R156" s="119" t="n">
        <f aca="false">SUMIFS(tabela_registros[VALOR],tabela_registros[MÊS],$AE$1,tabela_registros[DIA],investiroutrosconsolidadoabr[[#Headers],[14]],tabela_registros[REGISTRO],DADOS!$N$5,tabela_registros[TIPO],DADOS!$AB$5,tabela_registros[CATEGORIA],investiroutrosconsolidadoabr[[#This Row],[ATUAL]])</f>
        <v>0</v>
      </c>
      <c r="S156" s="119" t="n">
        <f aca="false">SUMIFS(tabela_registros[VALOR],tabela_registros[MÊS],$AE$1,tabela_registros[DIA],investiroutrosconsolidadoabr[[#Headers],[15]],tabela_registros[REGISTRO],DADOS!$N$5,tabela_registros[TIPO],DADOS!$AB$5,tabela_registros[CATEGORIA],investiroutrosconsolidadoabr[[#This Row],[ATUAL]])</f>
        <v>0</v>
      </c>
      <c r="T156" s="119" t="n">
        <f aca="false">SUMIFS(tabela_registros[VALOR],tabela_registros[MÊS],$AE$1,tabela_registros[DIA],investiroutrosconsolidadoabr[[#Headers],[16]],tabela_registros[REGISTRO],DADOS!$N$5,tabela_registros[TIPO],DADOS!$AB$5,tabela_registros[CATEGORIA],investiroutrosconsolidadoabr[[#This Row],[ATUAL]])</f>
        <v>0</v>
      </c>
      <c r="U156" s="119" t="n">
        <f aca="false">SUMIFS(tabela_registros[VALOR],tabela_registros[MÊS],$AE$1,tabela_registros[DIA],investiroutrosconsolidadoabr[[#Headers],[17]],tabela_registros[REGISTRO],DADOS!$N$5,tabela_registros[TIPO],DADOS!$AB$5,tabela_registros[CATEGORIA],investiroutrosconsolidadoabr[[#This Row],[ATUAL]])</f>
        <v>0</v>
      </c>
      <c r="V156" s="119" t="n">
        <f aca="false">SUMIFS(tabela_registros[VALOR],tabela_registros[MÊS],$AE$1,tabela_registros[DIA],investiroutrosconsolidadoabr[[#Headers],[18]],tabela_registros[REGISTRO],DADOS!$N$5,tabela_registros[TIPO],DADOS!$AB$5,tabela_registros[CATEGORIA],investiroutrosconsolidadoabr[[#This Row],[ATUAL]])</f>
        <v>0</v>
      </c>
      <c r="W156" s="119" t="n">
        <f aca="false">SUMIFS(tabela_registros[VALOR],tabela_registros[MÊS],$AE$1,tabela_registros[DIA],investiroutrosconsolidadoabr[[#Headers],[19]],tabela_registros[REGISTRO],DADOS!$N$5,tabela_registros[TIPO],DADOS!$AB$5,tabela_registros[CATEGORIA],investiroutrosconsolidadoabr[[#This Row],[ATUAL]])</f>
        <v>0</v>
      </c>
      <c r="X156" s="119" t="n">
        <f aca="false">SUMIFS(tabela_registros[VALOR],tabela_registros[MÊS],$AE$1,tabela_registros[DIA],investiroutrosconsolidadoabr[[#Headers],[20]],tabela_registros[REGISTRO],DADOS!$N$5,tabela_registros[TIPO],DADOS!$AB$5,tabela_registros[CATEGORIA],investiroutrosconsolidadoabr[[#This Row],[ATUAL]])</f>
        <v>0</v>
      </c>
      <c r="Y156" s="119" t="n">
        <f aca="false">SUMIFS(tabela_registros[VALOR],tabela_registros[MÊS],$AE$1,tabela_registros[DIA],investiroutrosconsolidadoabr[[#Headers],[21]],tabela_registros[REGISTRO],DADOS!$N$5,tabela_registros[TIPO],DADOS!$AB$5,tabela_registros[CATEGORIA],investiroutrosconsolidadoabr[[#This Row],[ATUAL]])</f>
        <v>0</v>
      </c>
      <c r="Z156" s="119" t="n">
        <f aca="false">SUMIFS(tabela_registros[VALOR],tabela_registros[MÊS],$AE$1,tabela_registros[DIA],investiroutrosconsolidadoabr[[#Headers],[22]],tabela_registros[REGISTRO],DADOS!$N$5,tabela_registros[TIPO],DADOS!$AB$5,tabela_registros[CATEGORIA],investiroutrosconsolidadoabr[[#This Row],[ATUAL]])</f>
        <v>0</v>
      </c>
      <c r="AA156" s="119" t="n">
        <f aca="false">SUMIFS(tabela_registros[VALOR],tabela_registros[MÊS],$AE$1,tabela_registros[DIA],investiroutrosconsolidadoabr[[#Headers],[23]],tabela_registros[REGISTRO],DADOS!$N$5,tabela_registros[TIPO],DADOS!$AB$5,tabela_registros[CATEGORIA],investiroutrosconsolidadoabr[[#This Row],[ATUAL]])</f>
        <v>0</v>
      </c>
      <c r="AB156" s="119" t="n">
        <f aca="false">SUMIFS(tabela_registros[VALOR],tabela_registros[MÊS],$AE$1,tabela_registros[DIA],investiroutrosconsolidadoabr[[#Headers],[24]],tabela_registros[REGISTRO],DADOS!$N$5,tabela_registros[TIPO],DADOS!$AB$5,tabela_registros[CATEGORIA],investiroutrosconsolidadoabr[[#This Row],[ATUAL]])</f>
        <v>0</v>
      </c>
      <c r="AC156" s="119" t="n">
        <f aca="false">SUMIFS(tabela_registros[VALOR],tabela_registros[MÊS],$AE$1,tabela_registros[DIA],investiroutrosconsolidadoabr[[#Headers],[25]],tabela_registros[REGISTRO],DADOS!$N$5,tabela_registros[TIPO],DADOS!$AB$5,tabela_registros[CATEGORIA],investiroutrosconsolidadoabr[[#This Row],[ATUAL]])</f>
        <v>0</v>
      </c>
      <c r="AD156" s="119" t="n">
        <f aca="false">SUMIFS(tabela_registros[VALOR],tabela_registros[MÊS],$AE$1,tabela_registros[DIA],investiroutrosconsolidadoabr[[#Headers],[26]],tabela_registros[REGISTRO],DADOS!$N$5,tabela_registros[TIPO],DADOS!$AB$5,tabela_registros[CATEGORIA],investiroutrosconsolidadoabr[[#This Row],[ATUAL]])</f>
        <v>0</v>
      </c>
      <c r="AE156" s="119" t="n">
        <f aca="false">SUMIFS(tabela_registros[VALOR],tabela_registros[MÊS],$AE$1,tabela_registros[DIA],investiroutrosconsolidadoabr[[#Headers],[27]],tabela_registros[REGISTRO],DADOS!$N$5,tabela_registros[TIPO],DADOS!$AB$5,tabela_registros[CATEGORIA],investiroutrosconsolidadoabr[[#This Row],[ATUAL]])</f>
        <v>0</v>
      </c>
      <c r="AF156" s="119" t="n">
        <f aca="false">SUMIFS(tabela_registros[VALOR],tabela_registros[MÊS],$AE$1,tabela_registros[DIA],investiroutrosconsolidadoabr[[#Headers],[28]],tabela_registros[REGISTRO],DADOS!$N$5,tabela_registros[TIPO],DADOS!$AB$5,tabela_registros[CATEGORIA],investiroutrosconsolidadoabr[[#This Row],[ATUAL]])</f>
        <v>0</v>
      </c>
      <c r="AG156" s="119" t="n">
        <f aca="false">SUMIFS(tabela_registros[VALOR],tabela_registros[MÊS],$AE$1,tabela_registros[DIA],investiroutrosconsolidadoabr[[#Headers],[29]],tabela_registros[REGISTRO],DADOS!$N$5,tabela_registros[TIPO],DADOS!$AB$5,tabela_registros[CATEGORIA],investiroutrosconsolidadoabr[[#This Row],[ATUAL]])</f>
        <v>0</v>
      </c>
      <c r="AH156" s="119" t="n">
        <f aca="false">SUMIFS(tabela_registros[VALOR],tabela_registros[MÊS],$AE$1,tabela_registros[DIA],investiroutrosconsolidadoabr[[#Headers],[30]],tabela_registros[REGISTRO],DADOS!$N$5,tabela_registros[TIPO],DADOS!$AB$5,tabela_registros[CATEGORIA],investiroutrosconsolidadoabr[[#This Row],[ATUAL]])</f>
        <v>0</v>
      </c>
      <c r="AI156" s="217" t="n">
        <f aca="false">SUMIFS(tabela_registros[VALOR],tabela_registros[MÊS],$AE$1,tabela_registros[DIA],investiroutrosconsolidadoabr[[#Headers],[31]],tabela_registros[REGISTRO],DADOS!$N$5,tabela_registros[TIPO],DADOS!$AB$5,tabela_registros[CATEGORIA],investiroutrosconsolidadoabr[[#This Row],[ATUAL]])</f>
        <v>0</v>
      </c>
      <c r="AJ156" s="149" t="n">
        <f aca="false">SUM(investiroutrosconsolidadoabr[[#This Row],[1]:[31]])</f>
        <v>0</v>
      </c>
      <c r="AK156" s="165"/>
    </row>
    <row r="157" customFormat="false" ht="19.5" hidden="false" customHeight="true" outlineLevel="0" collapsed="false">
      <c r="B157" s="143"/>
      <c r="C157" s="144" t="str">
        <f aca="false">DADOS!$AH$9</f>
        <v>📝 PREVIDÊNCIA PRIVADA</v>
      </c>
      <c r="D157" s="145" t="str">
        <f aca="false">IF(investiroutrosconsolidadoabr[[#This Row],[TOTAL (R$)]]=0,"",IF(OR(investiroutrosconsolidadoabr[[#This Row],[TOTAL (R$)]]=LARGE($AJ$151:$AJ$158,1),investiroutrosconsolidadoabr[[#This Row],[TOTAL (R$)]]=LARGE($AJ$151:$AJ$158,2)),DADOS!$I$10,""))</f>
        <v/>
      </c>
      <c r="E157" s="148" t="n">
        <f aca="false">SUMIFS(tabela_registros[VALOR],tabela_registros[MÊS],$AE$1,tabela_registros[DIA],investiroutrosconsolidadoabr[[#Headers],[1]],tabela_registros[REGISTRO],DADOS!$N$5,tabela_registros[TIPO],DADOS!$AB$5,tabela_registros[CATEGORIA],investiroutrosconsolidadoabr[[#This Row],[ATUAL]])</f>
        <v>0</v>
      </c>
      <c r="F157" s="119" t="n">
        <f aca="false">SUMIFS(tabela_registros[VALOR],tabela_registros[MÊS],$AE$1,tabela_registros[DIA],investiroutrosconsolidadoabr[[#Headers],[2]],tabela_registros[REGISTRO],DADOS!$N$5,tabela_registros[TIPO],DADOS!$AB$5,tabela_registros[CATEGORIA],investiroutrosconsolidadoabr[[#This Row],[ATUAL]])</f>
        <v>0</v>
      </c>
      <c r="G157" s="119" t="n">
        <f aca="false">SUMIFS(tabela_registros[VALOR],tabela_registros[MÊS],$AE$1,tabela_registros[DIA],investiroutrosconsolidadoabr[[#Headers],[3]],tabela_registros[REGISTRO],DADOS!$N$5,tabela_registros[TIPO],DADOS!$AB$5,tabela_registros[CATEGORIA],investiroutrosconsolidadoabr[[#This Row],[ATUAL]])</f>
        <v>0</v>
      </c>
      <c r="H157" s="119" t="n">
        <f aca="false">SUMIFS(tabela_registros[VALOR],tabela_registros[MÊS],$AE$1,tabela_registros[DIA],investiroutrosconsolidadoabr[[#Headers],[4]],tabela_registros[REGISTRO],DADOS!$N$5,tabela_registros[TIPO],DADOS!$AB$5,tabela_registros[CATEGORIA],investiroutrosconsolidadoabr[[#This Row],[ATUAL]])</f>
        <v>0</v>
      </c>
      <c r="I157" s="119" t="n">
        <f aca="false">SUMIFS(tabela_registros[VALOR],tabela_registros[MÊS],$AE$1,tabela_registros[DIA],investiroutrosconsolidadoabr[[#Headers],[5]],tabela_registros[REGISTRO],DADOS!$N$5,tabela_registros[TIPO],DADOS!$AB$5,tabela_registros[CATEGORIA],investiroutrosconsolidadoabr[[#This Row],[ATUAL]])</f>
        <v>0</v>
      </c>
      <c r="J157" s="119" t="n">
        <f aca="false">SUMIFS(tabela_registros[VALOR],tabela_registros[MÊS],$AE$1,tabela_registros[DIA],investiroutrosconsolidadoabr[[#Headers],[6]],tabela_registros[REGISTRO],DADOS!$N$5,tabela_registros[TIPO],DADOS!$AB$5,tabela_registros[CATEGORIA],investiroutrosconsolidadoabr[[#This Row],[ATUAL]])</f>
        <v>0</v>
      </c>
      <c r="K157" s="119" t="n">
        <f aca="false">SUMIFS(tabela_registros[VALOR],tabela_registros[MÊS],$AE$1,tabela_registros[DIA],investiroutrosconsolidadoabr[[#Headers],[7]],tabela_registros[REGISTRO],DADOS!$N$5,tabela_registros[TIPO],DADOS!$AB$5,tabela_registros[CATEGORIA],investiroutrosconsolidadoabr[[#This Row],[ATUAL]])</f>
        <v>0</v>
      </c>
      <c r="L157" s="119" t="n">
        <f aca="false">SUMIFS(tabela_registros[VALOR],tabela_registros[MÊS],$AE$1,tabela_registros[DIA],investiroutrosconsolidadoabr[[#Headers],[8]],tabela_registros[REGISTRO],DADOS!$N$5,tabela_registros[TIPO],DADOS!$AB$5,tabela_registros[CATEGORIA],investiroutrosconsolidadoabr[[#This Row],[ATUAL]])</f>
        <v>0</v>
      </c>
      <c r="M157" s="119" t="n">
        <f aca="false">SUMIFS(tabela_registros[VALOR],tabela_registros[MÊS],$AE$1,tabela_registros[DIA],investiroutrosconsolidadoabr[[#Headers],[9]],tabela_registros[REGISTRO],DADOS!$N$5,tabela_registros[TIPO],DADOS!$AB$5,tabela_registros[CATEGORIA],investiroutrosconsolidadoabr[[#This Row],[ATUAL]])</f>
        <v>0</v>
      </c>
      <c r="N157" s="119" t="n">
        <f aca="false">SUMIFS(tabela_registros[VALOR],tabela_registros[MÊS],$AE$1,tabela_registros[DIA],investiroutrosconsolidadoabr[[#Headers],[10]],tabela_registros[REGISTRO],DADOS!$N$5,tabela_registros[TIPO],DADOS!$AB$5,tabela_registros[CATEGORIA],investiroutrosconsolidadoabr[[#This Row],[ATUAL]])</f>
        <v>0</v>
      </c>
      <c r="O157" s="119" t="n">
        <f aca="false">SUMIFS(tabela_registros[VALOR],tabela_registros[MÊS],$AE$1,tabela_registros[DIA],investiroutrosconsolidadoabr[[#Headers],[11]],tabela_registros[REGISTRO],DADOS!$N$5,tabela_registros[TIPO],DADOS!$AB$5,tabela_registros[CATEGORIA],investiroutrosconsolidadoabr[[#This Row],[ATUAL]])</f>
        <v>0</v>
      </c>
      <c r="P157" s="119" t="n">
        <f aca="false">SUMIFS(tabela_registros[VALOR],tabela_registros[MÊS],$AE$1,tabela_registros[DIA],investiroutrosconsolidadoabr[[#Headers],[12]],tabela_registros[REGISTRO],DADOS!$N$5,tabela_registros[TIPO],DADOS!$AB$5,tabela_registros[CATEGORIA],investiroutrosconsolidadoabr[[#This Row],[ATUAL]])</f>
        <v>0</v>
      </c>
      <c r="Q157" s="119" t="n">
        <f aca="false">SUMIFS(tabela_registros[VALOR],tabela_registros[MÊS],$AE$1,tabela_registros[DIA],investiroutrosconsolidadoabr[[#Headers],[13]],tabela_registros[REGISTRO],DADOS!$N$5,tabela_registros[TIPO],DADOS!$AB$5,tabela_registros[CATEGORIA],investiroutrosconsolidadoabr[[#This Row],[ATUAL]])</f>
        <v>0</v>
      </c>
      <c r="R157" s="119" t="n">
        <f aca="false">SUMIFS(tabela_registros[VALOR],tabela_registros[MÊS],$AE$1,tabela_registros[DIA],investiroutrosconsolidadoabr[[#Headers],[14]],tabela_registros[REGISTRO],DADOS!$N$5,tabela_registros[TIPO],DADOS!$AB$5,tabela_registros[CATEGORIA],investiroutrosconsolidadoabr[[#This Row],[ATUAL]])</f>
        <v>0</v>
      </c>
      <c r="S157" s="119" t="n">
        <f aca="false">SUMIFS(tabela_registros[VALOR],tabela_registros[MÊS],$AE$1,tabela_registros[DIA],investiroutrosconsolidadoabr[[#Headers],[15]],tabela_registros[REGISTRO],DADOS!$N$5,tabela_registros[TIPO],DADOS!$AB$5,tabela_registros[CATEGORIA],investiroutrosconsolidadoabr[[#This Row],[ATUAL]])</f>
        <v>0</v>
      </c>
      <c r="T157" s="119" t="n">
        <f aca="false">SUMIFS(tabela_registros[VALOR],tabela_registros[MÊS],$AE$1,tabela_registros[DIA],investiroutrosconsolidadoabr[[#Headers],[16]],tabela_registros[REGISTRO],DADOS!$N$5,tabela_registros[TIPO],DADOS!$AB$5,tabela_registros[CATEGORIA],investiroutrosconsolidadoabr[[#This Row],[ATUAL]])</f>
        <v>0</v>
      </c>
      <c r="U157" s="119" t="n">
        <f aca="false">SUMIFS(tabela_registros[VALOR],tabela_registros[MÊS],$AE$1,tabela_registros[DIA],investiroutrosconsolidadoabr[[#Headers],[17]],tabela_registros[REGISTRO],DADOS!$N$5,tabela_registros[TIPO],DADOS!$AB$5,tabela_registros[CATEGORIA],investiroutrosconsolidadoabr[[#This Row],[ATUAL]])</f>
        <v>0</v>
      </c>
      <c r="V157" s="119" t="n">
        <f aca="false">SUMIFS(tabela_registros[VALOR],tabela_registros[MÊS],$AE$1,tabela_registros[DIA],investiroutrosconsolidadoabr[[#Headers],[18]],tabela_registros[REGISTRO],DADOS!$N$5,tabela_registros[TIPO],DADOS!$AB$5,tabela_registros[CATEGORIA],investiroutrosconsolidadoabr[[#This Row],[ATUAL]])</f>
        <v>0</v>
      </c>
      <c r="W157" s="119" t="n">
        <f aca="false">SUMIFS(tabela_registros[VALOR],tabela_registros[MÊS],$AE$1,tabela_registros[DIA],investiroutrosconsolidadoabr[[#Headers],[19]],tabela_registros[REGISTRO],DADOS!$N$5,tabela_registros[TIPO],DADOS!$AB$5,tabela_registros[CATEGORIA],investiroutrosconsolidadoabr[[#This Row],[ATUAL]])</f>
        <v>0</v>
      </c>
      <c r="X157" s="119" t="n">
        <f aca="false">SUMIFS(tabela_registros[VALOR],tabela_registros[MÊS],$AE$1,tabela_registros[DIA],investiroutrosconsolidadoabr[[#Headers],[20]],tabela_registros[REGISTRO],DADOS!$N$5,tabela_registros[TIPO],DADOS!$AB$5,tabela_registros[CATEGORIA],investiroutrosconsolidadoabr[[#This Row],[ATUAL]])</f>
        <v>0</v>
      </c>
      <c r="Y157" s="119" t="n">
        <f aca="false">SUMIFS(tabela_registros[VALOR],tabela_registros[MÊS],$AE$1,tabela_registros[DIA],investiroutrosconsolidadoabr[[#Headers],[21]],tabela_registros[REGISTRO],DADOS!$N$5,tabela_registros[TIPO],DADOS!$AB$5,tabela_registros[CATEGORIA],investiroutrosconsolidadoabr[[#This Row],[ATUAL]])</f>
        <v>0</v>
      </c>
      <c r="Z157" s="119" t="n">
        <f aca="false">SUMIFS(tabela_registros[VALOR],tabela_registros[MÊS],$AE$1,tabela_registros[DIA],investiroutrosconsolidadoabr[[#Headers],[22]],tabela_registros[REGISTRO],DADOS!$N$5,tabela_registros[TIPO],DADOS!$AB$5,tabela_registros[CATEGORIA],investiroutrosconsolidadoabr[[#This Row],[ATUAL]])</f>
        <v>0</v>
      </c>
      <c r="AA157" s="119" t="n">
        <f aca="false">SUMIFS(tabela_registros[VALOR],tabela_registros[MÊS],$AE$1,tabela_registros[DIA],investiroutrosconsolidadoabr[[#Headers],[23]],tabela_registros[REGISTRO],DADOS!$N$5,tabela_registros[TIPO],DADOS!$AB$5,tabela_registros[CATEGORIA],investiroutrosconsolidadoabr[[#This Row],[ATUAL]])</f>
        <v>0</v>
      </c>
      <c r="AB157" s="119" t="n">
        <f aca="false">SUMIFS(tabela_registros[VALOR],tabela_registros[MÊS],$AE$1,tabela_registros[DIA],investiroutrosconsolidadoabr[[#Headers],[24]],tabela_registros[REGISTRO],DADOS!$N$5,tabela_registros[TIPO],DADOS!$AB$5,tabela_registros[CATEGORIA],investiroutrosconsolidadoabr[[#This Row],[ATUAL]])</f>
        <v>0</v>
      </c>
      <c r="AC157" s="119" t="n">
        <f aca="false">SUMIFS(tabela_registros[VALOR],tabela_registros[MÊS],$AE$1,tabela_registros[DIA],investiroutrosconsolidadoabr[[#Headers],[25]],tabela_registros[REGISTRO],DADOS!$N$5,tabela_registros[TIPO],DADOS!$AB$5,tabela_registros[CATEGORIA],investiroutrosconsolidadoabr[[#This Row],[ATUAL]])</f>
        <v>0</v>
      </c>
      <c r="AD157" s="119" t="n">
        <f aca="false">SUMIFS(tabela_registros[VALOR],tabela_registros[MÊS],$AE$1,tabela_registros[DIA],investiroutrosconsolidadoabr[[#Headers],[26]],tabela_registros[REGISTRO],DADOS!$N$5,tabela_registros[TIPO],DADOS!$AB$5,tabela_registros[CATEGORIA],investiroutrosconsolidadoabr[[#This Row],[ATUAL]])</f>
        <v>0</v>
      </c>
      <c r="AE157" s="119" t="n">
        <f aca="false">SUMIFS(tabela_registros[VALOR],tabela_registros[MÊS],$AE$1,tabela_registros[DIA],investiroutrosconsolidadoabr[[#Headers],[27]],tabela_registros[REGISTRO],DADOS!$N$5,tabela_registros[TIPO],DADOS!$AB$5,tabela_registros[CATEGORIA],investiroutrosconsolidadoabr[[#This Row],[ATUAL]])</f>
        <v>0</v>
      </c>
      <c r="AF157" s="119" t="n">
        <f aca="false">SUMIFS(tabela_registros[VALOR],tabela_registros[MÊS],$AE$1,tabela_registros[DIA],investiroutrosconsolidadoabr[[#Headers],[28]],tabela_registros[REGISTRO],DADOS!$N$5,tabela_registros[TIPO],DADOS!$AB$5,tabela_registros[CATEGORIA],investiroutrosconsolidadoabr[[#This Row],[ATUAL]])</f>
        <v>0</v>
      </c>
      <c r="AG157" s="119" t="n">
        <f aca="false">SUMIFS(tabela_registros[VALOR],tabela_registros[MÊS],$AE$1,tabela_registros[DIA],investiroutrosconsolidadoabr[[#Headers],[29]],tabela_registros[REGISTRO],DADOS!$N$5,tabela_registros[TIPO],DADOS!$AB$5,tabela_registros[CATEGORIA],investiroutrosconsolidadoabr[[#This Row],[ATUAL]])</f>
        <v>0</v>
      </c>
      <c r="AH157" s="119" t="n">
        <f aca="false">SUMIFS(tabela_registros[VALOR],tabela_registros[MÊS],$AE$1,tabela_registros[DIA],investiroutrosconsolidadoabr[[#Headers],[30]],tabela_registros[REGISTRO],DADOS!$N$5,tabela_registros[TIPO],DADOS!$AB$5,tabela_registros[CATEGORIA],investiroutrosconsolidadoabr[[#This Row],[ATUAL]])</f>
        <v>0</v>
      </c>
      <c r="AI157" s="217" t="n">
        <f aca="false">SUMIFS(tabela_registros[VALOR],tabela_registros[MÊS],$AE$1,tabela_registros[DIA],investiroutrosconsolidadoabr[[#Headers],[31]],tabela_registros[REGISTRO],DADOS!$N$5,tabela_registros[TIPO],DADOS!$AB$5,tabela_registros[CATEGORIA],investiroutrosconsolidadoabr[[#This Row],[ATUAL]])</f>
        <v>0</v>
      </c>
      <c r="AJ157" s="149" t="n">
        <f aca="false">SUM(investiroutrosconsolidadoabr[[#This Row],[1]:[31]])</f>
        <v>0</v>
      </c>
      <c r="AK157" s="165"/>
    </row>
    <row r="158" customFormat="false" ht="19.5" hidden="false" customHeight="true" outlineLevel="0" collapsed="false">
      <c r="B158" s="143"/>
      <c r="C158" s="144" t="str">
        <f aca="false">DADOS!$AH$10</f>
        <v>📎 OUTROS</v>
      </c>
      <c r="D158" s="145" t="str">
        <f aca="false">IF(investiroutrosconsolidadoabr[[#This Row],[TOTAL (R$)]]=0,"",IF(OR(investiroutrosconsolidadoabr[[#This Row],[TOTAL (R$)]]=LARGE($AJ$151:$AJ$158,1),investiroutrosconsolidadoabr[[#This Row],[TOTAL (R$)]]=LARGE($AJ$151:$AJ$158,2)),DADOS!$I$10,""))</f>
        <v/>
      </c>
      <c r="E158" s="148" t="n">
        <f aca="false">SUMIFS(tabela_registros[VALOR],tabela_registros[MÊS],$AE$1,tabela_registros[DIA],investiroutrosconsolidadoabr[[#Headers],[1]],tabela_registros[REGISTRO],DADOS!$N$5,tabela_registros[TIPO],DADOS!$AB$5,tabela_registros[CATEGORIA],investiroutrosconsolidadoabr[[#This Row],[ATUAL]])</f>
        <v>0</v>
      </c>
      <c r="F158" s="119" t="n">
        <f aca="false">SUMIFS(tabela_registros[VALOR],tabela_registros[MÊS],$AE$1,tabela_registros[DIA],investiroutrosconsolidadoabr[[#Headers],[2]],tabela_registros[REGISTRO],DADOS!$N$5,tabela_registros[TIPO],DADOS!$AB$5,tabela_registros[CATEGORIA],investiroutrosconsolidadoabr[[#This Row],[ATUAL]])</f>
        <v>0</v>
      </c>
      <c r="G158" s="119" t="n">
        <f aca="false">SUMIFS(tabela_registros[VALOR],tabela_registros[MÊS],$AE$1,tabela_registros[DIA],investiroutrosconsolidadoabr[[#Headers],[3]],tabela_registros[REGISTRO],DADOS!$N$5,tabela_registros[TIPO],DADOS!$AB$5,tabela_registros[CATEGORIA],investiroutrosconsolidadoabr[[#This Row],[ATUAL]])</f>
        <v>0</v>
      </c>
      <c r="H158" s="119" t="n">
        <f aca="false">SUMIFS(tabela_registros[VALOR],tabela_registros[MÊS],$AE$1,tabela_registros[DIA],investiroutrosconsolidadoabr[[#Headers],[4]],tabela_registros[REGISTRO],DADOS!$N$5,tabela_registros[TIPO],DADOS!$AB$5,tabela_registros[CATEGORIA],investiroutrosconsolidadoabr[[#This Row],[ATUAL]])</f>
        <v>0</v>
      </c>
      <c r="I158" s="119" t="n">
        <f aca="false">SUMIFS(tabela_registros[VALOR],tabela_registros[MÊS],$AE$1,tabela_registros[DIA],investiroutrosconsolidadoabr[[#Headers],[5]],tabela_registros[REGISTRO],DADOS!$N$5,tabela_registros[TIPO],DADOS!$AB$5,tabela_registros[CATEGORIA],investiroutrosconsolidadoabr[[#This Row],[ATUAL]])</f>
        <v>0</v>
      </c>
      <c r="J158" s="119" t="n">
        <f aca="false">SUMIFS(tabela_registros[VALOR],tabela_registros[MÊS],$AE$1,tabela_registros[DIA],investiroutrosconsolidadoabr[[#Headers],[6]],tabela_registros[REGISTRO],DADOS!$N$5,tabela_registros[TIPO],DADOS!$AB$5,tabela_registros[CATEGORIA],investiroutrosconsolidadoabr[[#This Row],[ATUAL]])</f>
        <v>0</v>
      </c>
      <c r="K158" s="119" t="n">
        <f aca="false">SUMIFS(tabela_registros[VALOR],tabela_registros[MÊS],$AE$1,tabela_registros[DIA],investiroutrosconsolidadoabr[[#Headers],[7]],tabela_registros[REGISTRO],DADOS!$N$5,tabela_registros[TIPO],DADOS!$AB$5,tabela_registros[CATEGORIA],investiroutrosconsolidadoabr[[#This Row],[ATUAL]])</f>
        <v>0</v>
      </c>
      <c r="L158" s="119" t="n">
        <f aca="false">SUMIFS(tabela_registros[VALOR],tabela_registros[MÊS],$AE$1,tabela_registros[DIA],investiroutrosconsolidadoabr[[#Headers],[8]],tabela_registros[REGISTRO],DADOS!$N$5,tabela_registros[TIPO],DADOS!$AB$5,tabela_registros[CATEGORIA],investiroutrosconsolidadoabr[[#This Row],[ATUAL]])</f>
        <v>0</v>
      </c>
      <c r="M158" s="119" t="n">
        <f aca="false">SUMIFS(tabela_registros[VALOR],tabela_registros[MÊS],$AE$1,tabela_registros[DIA],investiroutrosconsolidadoabr[[#Headers],[9]],tabela_registros[REGISTRO],DADOS!$N$5,tabela_registros[TIPO],DADOS!$AB$5,tabela_registros[CATEGORIA],investiroutrosconsolidadoabr[[#This Row],[ATUAL]])</f>
        <v>0</v>
      </c>
      <c r="N158" s="119" t="n">
        <f aca="false">SUMIFS(tabela_registros[VALOR],tabela_registros[MÊS],$AE$1,tabela_registros[DIA],investiroutrosconsolidadoabr[[#Headers],[10]],tabela_registros[REGISTRO],DADOS!$N$5,tabela_registros[TIPO],DADOS!$AB$5,tabela_registros[CATEGORIA],investiroutrosconsolidadoabr[[#This Row],[ATUAL]])</f>
        <v>0</v>
      </c>
      <c r="O158" s="119" t="n">
        <f aca="false">SUMIFS(tabela_registros[VALOR],tabela_registros[MÊS],$AE$1,tabela_registros[DIA],investiroutrosconsolidadoabr[[#Headers],[11]],tabela_registros[REGISTRO],DADOS!$N$5,tabela_registros[TIPO],DADOS!$AB$5,tabela_registros[CATEGORIA],investiroutrosconsolidadoabr[[#This Row],[ATUAL]])</f>
        <v>0</v>
      </c>
      <c r="P158" s="119" t="n">
        <f aca="false">SUMIFS(tabela_registros[VALOR],tabela_registros[MÊS],$AE$1,tabela_registros[DIA],investiroutrosconsolidadoabr[[#Headers],[12]],tabela_registros[REGISTRO],DADOS!$N$5,tabela_registros[TIPO],DADOS!$AB$5,tabela_registros[CATEGORIA],investiroutrosconsolidadoabr[[#This Row],[ATUAL]])</f>
        <v>0</v>
      </c>
      <c r="Q158" s="119" t="n">
        <f aca="false">SUMIFS(tabela_registros[VALOR],tabela_registros[MÊS],$AE$1,tabela_registros[DIA],investiroutrosconsolidadoabr[[#Headers],[13]],tabela_registros[REGISTRO],DADOS!$N$5,tabela_registros[TIPO],DADOS!$AB$5,tabela_registros[CATEGORIA],investiroutrosconsolidadoabr[[#This Row],[ATUAL]])</f>
        <v>0</v>
      </c>
      <c r="R158" s="119" t="n">
        <f aca="false">SUMIFS(tabela_registros[VALOR],tabela_registros[MÊS],$AE$1,tabela_registros[DIA],investiroutrosconsolidadoabr[[#Headers],[14]],tabela_registros[REGISTRO],DADOS!$N$5,tabela_registros[TIPO],DADOS!$AB$5,tabela_registros[CATEGORIA],investiroutrosconsolidadoabr[[#This Row],[ATUAL]])</f>
        <v>0</v>
      </c>
      <c r="S158" s="119" t="n">
        <f aca="false">SUMIFS(tabela_registros[VALOR],tabela_registros[MÊS],$AE$1,tabela_registros[DIA],investiroutrosconsolidadoabr[[#Headers],[15]],tabela_registros[REGISTRO],DADOS!$N$5,tabela_registros[TIPO],DADOS!$AB$5,tabela_registros[CATEGORIA],investiroutrosconsolidadoabr[[#This Row],[ATUAL]])</f>
        <v>0</v>
      </c>
      <c r="T158" s="119" t="n">
        <f aca="false">SUMIFS(tabela_registros[VALOR],tabela_registros[MÊS],$AE$1,tabela_registros[DIA],investiroutrosconsolidadoabr[[#Headers],[16]],tabela_registros[REGISTRO],DADOS!$N$5,tabela_registros[TIPO],DADOS!$AB$5,tabela_registros[CATEGORIA],investiroutrosconsolidadoabr[[#This Row],[ATUAL]])</f>
        <v>0</v>
      </c>
      <c r="U158" s="119" t="n">
        <f aca="false">SUMIFS(tabela_registros[VALOR],tabela_registros[MÊS],$AE$1,tabela_registros[DIA],investiroutrosconsolidadoabr[[#Headers],[17]],tabela_registros[REGISTRO],DADOS!$N$5,tabela_registros[TIPO],DADOS!$AB$5,tabela_registros[CATEGORIA],investiroutrosconsolidadoabr[[#This Row],[ATUAL]])</f>
        <v>0</v>
      </c>
      <c r="V158" s="119" t="n">
        <f aca="false">SUMIFS(tabela_registros[VALOR],tabela_registros[MÊS],$AE$1,tabela_registros[DIA],investiroutrosconsolidadoabr[[#Headers],[18]],tabela_registros[REGISTRO],DADOS!$N$5,tabela_registros[TIPO],DADOS!$AB$5,tabela_registros[CATEGORIA],investiroutrosconsolidadoabr[[#This Row],[ATUAL]])</f>
        <v>0</v>
      </c>
      <c r="W158" s="119" t="n">
        <f aca="false">SUMIFS(tabela_registros[VALOR],tabela_registros[MÊS],$AE$1,tabela_registros[DIA],investiroutrosconsolidadoabr[[#Headers],[19]],tabela_registros[REGISTRO],DADOS!$N$5,tabela_registros[TIPO],DADOS!$AB$5,tabela_registros[CATEGORIA],investiroutrosconsolidadoabr[[#This Row],[ATUAL]])</f>
        <v>0</v>
      </c>
      <c r="X158" s="119" t="n">
        <f aca="false">SUMIFS(tabela_registros[VALOR],tabela_registros[MÊS],$AE$1,tabela_registros[DIA],investiroutrosconsolidadoabr[[#Headers],[20]],tabela_registros[REGISTRO],DADOS!$N$5,tabela_registros[TIPO],DADOS!$AB$5,tabela_registros[CATEGORIA],investiroutrosconsolidadoabr[[#This Row],[ATUAL]])</f>
        <v>0</v>
      </c>
      <c r="Y158" s="119" t="n">
        <f aca="false">SUMIFS(tabela_registros[VALOR],tabela_registros[MÊS],$AE$1,tabela_registros[DIA],investiroutrosconsolidadoabr[[#Headers],[21]],tabela_registros[REGISTRO],DADOS!$N$5,tabela_registros[TIPO],DADOS!$AB$5,tabela_registros[CATEGORIA],investiroutrosconsolidadoabr[[#This Row],[ATUAL]])</f>
        <v>0</v>
      </c>
      <c r="Z158" s="119" t="n">
        <f aca="false">SUMIFS(tabela_registros[VALOR],tabela_registros[MÊS],$AE$1,tabela_registros[DIA],investiroutrosconsolidadoabr[[#Headers],[22]],tabela_registros[REGISTRO],DADOS!$N$5,tabela_registros[TIPO],DADOS!$AB$5,tabela_registros[CATEGORIA],investiroutrosconsolidadoabr[[#This Row],[ATUAL]])</f>
        <v>0</v>
      </c>
      <c r="AA158" s="119" t="n">
        <f aca="false">SUMIFS(tabela_registros[VALOR],tabela_registros[MÊS],$AE$1,tabela_registros[DIA],investiroutrosconsolidadoabr[[#Headers],[23]],tabela_registros[REGISTRO],DADOS!$N$5,tabela_registros[TIPO],DADOS!$AB$5,tabela_registros[CATEGORIA],investiroutrosconsolidadoabr[[#This Row],[ATUAL]])</f>
        <v>0</v>
      </c>
      <c r="AB158" s="119" t="n">
        <f aca="false">SUMIFS(tabela_registros[VALOR],tabela_registros[MÊS],$AE$1,tabela_registros[DIA],investiroutrosconsolidadoabr[[#Headers],[24]],tabela_registros[REGISTRO],DADOS!$N$5,tabela_registros[TIPO],DADOS!$AB$5,tabela_registros[CATEGORIA],investiroutrosconsolidadoabr[[#This Row],[ATUAL]])</f>
        <v>0</v>
      </c>
      <c r="AC158" s="119" t="n">
        <f aca="false">SUMIFS(tabela_registros[VALOR],tabela_registros[MÊS],$AE$1,tabela_registros[DIA],investiroutrosconsolidadoabr[[#Headers],[25]],tabela_registros[REGISTRO],DADOS!$N$5,tabela_registros[TIPO],DADOS!$AB$5,tabela_registros[CATEGORIA],investiroutrosconsolidadoabr[[#This Row],[ATUAL]])</f>
        <v>0</v>
      </c>
      <c r="AD158" s="119" t="n">
        <f aca="false">SUMIFS(tabela_registros[VALOR],tabela_registros[MÊS],$AE$1,tabela_registros[DIA],investiroutrosconsolidadoabr[[#Headers],[26]],tabela_registros[REGISTRO],DADOS!$N$5,tabela_registros[TIPO],DADOS!$AB$5,tabela_registros[CATEGORIA],investiroutrosconsolidadoabr[[#This Row],[ATUAL]])</f>
        <v>0</v>
      </c>
      <c r="AE158" s="119" t="n">
        <f aca="false">SUMIFS(tabela_registros[VALOR],tabela_registros[MÊS],$AE$1,tabela_registros[DIA],investiroutrosconsolidadoabr[[#Headers],[27]],tabela_registros[REGISTRO],DADOS!$N$5,tabela_registros[TIPO],DADOS!$AB$5,tabela_registros[CATEGORIA],investiroutrosconsolidadoabr[[#This Row],[ATUAL]])</f>
        <v>0</v>
      </c>
      <c r="AF158" s="119" t="n">
        <f aca="false">SUMIFS(tabela_registros[VALOR],tabela_registros[MÊS],$AE$1,tabela_registros[DIA],investiroutrosconsolidadoabr[[#Headers],[28]],tabela_registros[REGISTRO],DADOS!$N$5,tabela_registros[TIPO],DADOS!$AB$5,tabela_registros[CATEGORIA],investiroutrosconsolidadoabr[[#This Row],[ATUAL]])</f>
        <v>0</v>
      </c>
      <c r="AG158" s="119" t="n">
        <f aca="false">SUMIFS(tabela_registros[VALOR],tabela_registros[MÊS],$AE$1,tabela_registros[DIA],investiroutrosconsolidadoabr[[#Headers],[29]],tabela_registros[REGISTRO],DADOS!$N$5,tabela_registros[TIPO],DADOS!$AB$5,tabela_registros[CATEGORIA],investiroutrosconsolidadoabr[[#This Row],[ATUAL]])</f>
        <v>0</v>
      </c>
      <c r="AH158" s="119" t="n">
        <f aca="false">SUMIFS(tabela_registros[VALOR],tabela_registros[MÊS],$AE$1,tabela_registros[DIA],investiroutrosconsolidadoabr[[#Headers],[30]],tabela_registros[REGISTRO],DADOS!$N$5,tabela_registros[TIPO],DADOS!$AB$5,tabela_registros[CATEGORIA],investiroutrosconsolidadoabr[[#This Row],[ATUAL]])</f>
        <v>0</v>
      </c>
      <c r="AI158" s="218" t="n">
        <f aca="false">SUMIFS(tabela_registros[VALOR],tabela_registros[MÊS],$AE$1,tabela_registros[DIA],investiroutrosconsolidadoabr[[#Headers],[31]],tabela_registros[REGISTRO],DADOS!$N$5,tabela_registros[TIPO],DADOS!$AB$5,tabela_registros[CATEGORIA],investiroutrosconsolidadoabr[[#This Row],[ATUAL]])</f>
        <v>0</v>
      </c>
      <c r="AJ158" s="149" t="n">
        <f aca="false">SUM(investiroutrosconsolidadoabr[[#This Row],[1]:[31]])</f>
        <v>0</v>
      </c>
      <c r="AK158" s="165"/>
    </row>
    <row r="159" s="122" customFormat="true" ht="21" hidden="false" customHeight="true" outlineLevel="0" collapsed="false">
      <c r="B159" s="152"/>
      <c r="C159" s="153" t="s">
        <v>2</v>
      </c>
      <c r="D159" s="166"/>
      <c r="E159" s="155" t="n">
        <f aca="false">SUM(E151:E158)</f>
        <v>0</v>
      </c>
      <c r="F159" s="156" t="n">
        <f aca="false">SUM(F151:F158)+investiroutrosconsolidadoabr[[#This Row],[1]]</f>
        <v>0</v>
      </c>
      <c r="G159" s="156" t="n">
        <f aca="false">SUM(G151:G158)+investiroutrosconsolidadoabr[[#This Row],[2]]</f>
        <v>0</v>
      </c>
      <c r="H159" s="156" t="n">
        <f aca="false">SUM(H151:H158)+investiroutrosconsolidadoabr[[#This Row],[3]]</f>
        <v>0</v>
      </c>
      <c r="I159" s="156" t="n">
        <f aca="false">SUM(I151:I158)+investiroutrosconsolidadoabr[[#This Row],[4]]</f>
        <v>0</v>
      </c>
      <c r="J159" s="156" t="n">
        <f aca="false">SUM(J151:J158)+investiroutrosconsolidadoabr[[#This Row],[5]]</f>
        <v>0</v>
      </c>
      <c r="K159" s="156" t="n">
        <f aca="false">SUM(K151:K158)+investiroutrosconsolidadoabr[[#This Row],[6]]</f>
        <v>0</v>
      </c>
      <c r="L159" s="156" t="n">
        <f aca="false">SUM(L151:L158)+investiroutrosconsolidadoabr[[#This Row],[7]]</f>
        <v>0</v>
      </c>
      <c r="M159" s="156" t="n">
        <f aca="false">SUM(M151:M158)+investiroutrosconsolidadoabr[[#This Row],[8]]</f>
        <v>0</v>
      </c>
      <c r="N159" s="156" t="n">
        <f aca="false">SUM(N151:N158)+investiroutrosconsolidadoabr[[#This Row],[9]]</f>
        <v>0</v>
      </c>
      <c r="O159" s="156" t="n">
        <f aca="false">SUM(O151:O158)+investiroutrosconsolidadoabr[[#This Row],[10]]</f>
        <v>0</v>
      </c>
      <c r="P159" s="156" t="n">
        <f aca="false">SUM(P151:P158)+investiroutrosconsolidadoabr[[#This Row],[11]]</f>
        <v>0</v>
      </c>
      <c r="Q159" s="156" t="n">
        <f aca="false">SUM(Q151:Q158)+investiroutrosconsolidadoabr[[#This Row],[12]]</f>
        <v>0</v>
      </c>
      <c r="R159" s="156" t="n">
        <f aca="false">SUM(R151:R158)+investiroutrosconsolidadoabr[[#This Row],[13]]</f>
        <v>0</v>
      </c>
      <c r="S159" s="156" t="n">
        <f aca="false">SUM(S151:S158)+investiroutrosconsolidadoabr[[#This Row],[14]]</f>
        <v>0</v>
      </c>
      <c r="T159" s="156" t="n">
        <f aca="false">SUM(T151:T158)+investiroutrosconsolidadoabr[[#This Row],[15]]</f>
        <v>0</v>
      </c>
      <c r="U159" s="156" t="n">
        <f aca="false">SUM(U151:U158)+investiroutrosconsolidadoabr[[#This Row],[16]]</f>
        <v>0</v>
      </c>
      <c r="V159" s="156" t="n">
        <f aca="false">SUM(V151:V158)+investiroutrosconsolidadoabr[[#This Row],[17]]</f>
        <v>0</v>
      </c>
      <c r="W159" s="156" t="n">
        <f aca="false">SUM(W151:W158)+investiroutrosconsolidadoabr[[#This Row],[18]]</f>
        <v>0</v>
      </c>
      <c r="X159" s="156" t="n">
        <f aca="false">SUM(X151:X158)+investiroutrosconsolidadoabr[[#This Row],[19]]</f>
        <v>0</v>
      </c>
      <c r="Y159" s="156" t="n">
        <f aca="false">SUM(Y151:Y158)+investiroutrosconsolidadoabr[[#This Row],[20]]</f>
        <v>0</v>
      </c>
      <c r="Z159" s="156" t="n">
        <f aca="false">SUM(Z151:Z158)+investiroutrosconsolidadoabr[[#This Row],[21]]</f>
        <v>0</v>
      </c>
      <c r="AA159" s="156" t="n">
        <f aca="false">SUM(AA151:AA158)+investiroutrosconsolidadoabr[[#This Row],[22]]</f>
        <v>0</v>
      </c>
      <c r="AB159" s="156" t="n">
        <f aca="false">SUM(AB151:AB158)+investiroutrosconsolidadoabr[[#This Row],[23]]</f>
        <v>0</v>
      </c>
      <c r="AC159" s="156" t="n">
        <f aca="false">SUM(AC151:AC158)+investiroutrosconsolidadoabr[[#This Row],[24]]</f>
        <v>0</v>
      </c>
      <c r="AD159" s="156" t="n">
        <f aca="false">SUM(AD151:AD158)+investiroutrosconsolidadoabr[[#This Row],[25]]</f>
        <v>0</v>
      </c>
      <c r="AE159" s="156" t="n">
        <f aca="false">SUM(AE151:AE158)+investiroutrosconsolidadoabr[[#This Row],[26]]</f>
        <v>0</v>
      </c>
      <c r="AF159" s="156" t="n">
        <f aca="false">SUM(AF151:AF158)+investiroutrosconsolidadoabr[[#This Row],[27]]</f>
        <v>0</v>
      </c>
      <c r="AG159" s="156" t="n">
        <f aca="false">SUM(AG151:AG158)+investiroutrosconsolidadoabr[[#This Row],[28]]</f>
        <v>0</v>
      </c>
      <c r="AH159" s="156" t="n">
        <f aca="false">SUM(AH151:AH158)+investiroutrosconsolidadoabr[[#This Row],[29]]</f>
        <v>0</v>
      </c>
      <c r="AI159" s="223" t="n">
        <f aca="false">SUM(AI151:AI158)+investiroutrosconsolidadoabr[[#This Row],[30]]</f>
        <v>0</v>
      </c>
      <c r="AJ159" s="157" t="n">
        <f aca="false">investiroutrosconsolidadoabr[[#This Row],[31]]</f>
        <v>0</v>
      </c>
      <c r="AK159" s="158"/>
    </row>
    <row r="160" customFormat="false" ht="6.75" hidden="false" customHeight="true" outlineLevel="0" collapsed="false">
      <c r="B160" s="97"/>
      <c r="C160" s="162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233"/>
      <c r="AJ160" s="164"/>
      <c r="AK160" s="244"/>
    </row>
    <row r="161" s="78" customFormat="true" ht="12.75" hidden="false" customHeight="false" outlineLevel="0" collapsed="false">
      <c r="E161" s="100"/>
    </row>
    <row r="162" s="78" customFormat="true" ht="12" hidden="false" customHeight="false" outlineLevel="0" collapsed="false"/>
    <row r="163" s="78" customFormat="true" ht="12" hidden="false" customHeight="false" outlineLevel="0" collapsed="false"/>
    <row r="164" customFormat="false" ht="39.75" hidden="false" customHeight="true" outlineLevel="0" collapsed="false">
      <c r="C164" s="101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3" t="s">
        <v>2</v>
      </c>
    </row>
    <row r="165" s="78" customFormat="true" ht="12.75" hidden="false" customHeight="false" outlineLevel="0" collapsed="false">
      <c r="B165" s="161"/>
      <c r="AJ165" s="106" t="s">
        <v>64</v>
      </c>
    </row>
    <row r="166" customFormat="false" ht="6.75" hidden="false" customHeight="true" outlineLevel="0" collapsed="false">
      <c r="B166" s="86"/>
      <c r="C166" s="162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233"/>
      <c r="AK166" s="139"/>
    </row>
    <row r="167" customFormat="false" ht="13.5" hidden="true" customHeight="false" outlineLevel="0" collapsed="false">
      <c r="B167" s="86"/>
      <c r="C167" s="109" t="s">
        <v>68</v>
      </c>
      <c r="D167" s="110" t="s">
        <v>69</v>
      </c>
      <c r="E167" s="110" t="s">
        <v>30</v>
      </c>
      <c r="F167" s="110" t="s">
        <v>31</v>
      </c>
      <c r="G167" s="110" t="s">
        <v>32</v>
      </c>
      <c r="H167" s="110" t="s">
        <v>33</v>
      </c>
      <c r="I167" s="110" t="s">
        <v>34</v>
      </c>
      <c r="J167" s="110" t="s">
        <v>35</v>
      </c>
      <c r="K167" s="110" t="s">
        <v>36</v>
      </c>
      <c r="L167" s="110" t="s">
        <v>37</v>
      </c>
      <c r="M167" s="110" t="s">
        <v>38</v>
      </c>
      <c r="N167" s="110" t="s">
        <v>39</v>
      </c>
      <c r="O167" s="110" t="s">
        <v>40</v>
      </c>
      <c r="P167" s="110" t="s">
        <v>41</v>
      </c>
      <c r="Q167" s="110" t="s">
        <v>81</v>
      </c>
      <c r="R167" s="110" t="s">
        <v>82</v>
      </c>
      <c r="S167" s="110" t="s">
        <v>83</v>
      </c>
      <c r="T167" s="110" t="s">
        <v>84</v>
      </c>
      <c r="U167" s="110" t="s">
        <v>85</v>
      </c>
      <c r="V167" s="110" t="s">
        <v>86</v>
      </c>
      <c r="W167" s="110" t="s">
        <v>87</v>
      </c>
      <c r="X167" s="110" t="s">
        <v>88</v>
      </c>
      <c r="Y167" s="110" t="s">
        <v>89</v>
      </c>
      <c r="Z167" s="110" t="s">
        <v>90</v>
      </c>
      <c r="AA167" s="110" t="s">
        <v>91</v>
      </c>
      <c r="AB167" s="110" t="s">
        <v>92</v>
      </c>
      <c r="AC167" s="110" t="s">
        <v>93</v>
      </c>
      <c r="AD167" s="110" t="s">
        <v>94</v>
      </c>
      <c r="AE167" s="110" t="s">
        <v>95</v>
      </c>
      <c r="AF167" s="110" t="s">
        <v>96</v>
      </c>
      <c r="AG167" s="110" t="s">
        <v>97</v>
      </c>
      <c r="AH167" s="110" t="s">
        <v>98</v>
      </c>
      <c r="AI167" s="110" t="s">
        <v>99</v>
      </c>
      <c r="AJ167" s="111" t="s">
        <v>70</v>
      </c>
      <c r="AK167" s="86"/>
    </row>
    <row r="168" customFormat="false" ht="19.5" hidden="false" customHeight="true" outlineLevel="0" collapsed="false">
      <c r="B168" s="143"/>
      <c r="C168" s="144" t="str">
        <f aca="false">DADOS!$AL$3</f>
        <v>📝 CDB</v>
      </c>
      <c r="D168" s="145" t="str">
        <f aca="false">IF(reservafixaconsolidadoabr[[#This Row],[TOTAL (R$)]]=0,"",IF(OR(reservafixaconsolidadoabr[[#This Row],[TOTAL (R$)]]=LARGE($AJ$168:$AJ$177,1),reservafixaconsolidadoabr[[#This Row],[TOTAL (R$)]]=LARGE($AJ$168:$AJ$177,2)),DADOS!$I$11,""))</f>
        <v/>
      </c>
      <c r="E168" s="148" t="n">
        <f aca="false">SUMIFS(tabela_registros[VALOR],tabela_registros[MÊS],$AE$1,tabela_registros[DIA],reservafixaconsolidadoabr[[#Headers],[1]],tabela_registros[REGISTRO],DADOS!$N$6,tabela_registros[TIPO],DADOS!$AJ$3,tabela_registros[CATEGORIA],reservafixaconsolidadoabr[[#This Row],[ATUAL]])</f>
        <v>0</v>
      </c>
      <c r="F168" s="119" t="n">
        <f aca="false">SUMIFS(tabela_registros[VALOR],tabela_registros[MÊS],$AE$1,tabela_registros[DIA],reservafixaconsolidadoabr[[#Headers],[2]],tabela_registros[REGISTRO],DADOS!$N$6,tabela_registros[TIPO],DADOS!$AJ$3,tabela_registros[CATEGORIA],reservafixaconsolidadoabr[[#This Row],[ATUAL]])</f>
        <v>0</v>
      </c>
      <c r="G168" s="119" t="n">
        <f aca="false">SUMIFS(tabela_registros[VALOR],tabela_registros[MÊS],$AE$1,tabela_registros[DIA],reservafixaconsolidadoabr[[#Headers],[3]],tabela_registros[REGISTRO],DADOS!$N$6,tabela_registros[TIPO],DADOS!$AJ$3,tabela_registros[CATEGORIA],reservafixaconsolidadoabr[[#This Row],[ATUAL]])</f>
        <v>0</v>
      </c>
      <c r="H168" s="119" t="n">
        <f aca="false">SUMIFS(tabela_registros[VALOR],tabela_registros[MÊS],$AE$1,tabela_registros[DIA],reservafixaconsolidadoabr[[#Headers],[4]],tabela_registros[REGISTRO],DADOS!$N$6,tabela_registros[TIPO],DADOS!$AJ$3,tabela_registros[CATEGORIA],reservafixaconsolidadoabr[[#This Row],[ATUAL]])</f>
        <v>0</v>
      </c>
      <c r="I168" s="119" t="n">
        <f aca="false">SUMIFS(tabela_registros[VALOR],tabela_registros[MÊS],$AE$1,tabela_registros[DIA],reservafixaconsolidadoabr[[#Headers],[5]],tabela_registros[REGISTRO],DADOS!$N$6,tabela_registros[TIPO],DADOS!$AJ$3,tabela_registros[CATEGORIA],reservafixaconsolidadoabr[[#This Row],[ATUAL]])</f>
        <v>0</v>
      </c>
      <c r="J168" s="119" t="n">
        <f aca="false">SUMIFS(tabela_registros[VALOR],tabela_registros[MÊS],$AE$1,tabela_registros[DIA],reservafixaconsolidadoabr[[#Headers],[6]],tabela_registros[REGISTRO],DADOS!$N$6,tabela_registros[TIPO],DADOS!$AJ$3,tabela_registros[CATEGORIA],reservafixaconsolidadoabr[[#This Row],[ATUAL]])</f>
        <v>0</v>
      </c>
      <c r="K168" s="119" t="n">
        <f aca="false">SUMIFS(tabela_registros[VALOR],tabela_registros[MÊS],$AE$1,tabela_registros[DIA],reservafixaconsolidadoabr[[#Headers],[7]],tabela_registros[REGISTRO],DADOS!$N$6,tabela_registros[TIPO],DADOS!$AJ$3,tabela_registros[CATEGORIA],reservafixaconsolidadoabr[[#This Row],[ATUAL]])</f>
        <v>0</v>
      </c>
      <c r="L168" s="119" t="n">
        <f aca="false">SUMIFS(tabela_registros[VALOR],tabela_registros[MÊS],$AE$1,tabela_registros[DIA],reservafixaconsolidadoabr[[#Headers],[8]],tabela_registros[REGISTRO],DADOS!$N$6,tabela_registros[TIPO],DADOS!$AJ$3,tabela_registros[CATEGORIA],reservafixaconsolidadoabr[[#This Row],[ATUAL]])</f>
        <v>0</v>
      </c>
      <c r="M168" s="119" t="n">
        <f aca="false">SUMIFS(tabela_registros[VALOR],tabela_registros[MÊS],$AE$1,tabela_registros[DIA],reservafixaconsolidadoabr[[#Headers],[9]],tabela_registros[REGISTRO],DADOS!$N$6,tabela_registros[TIPO],DADOS!$AJ$3,tabela_registros[CATEGORIA],reservafixaconsolidadoabr[[#This Row],[ATUAL]])</f>
        <v>0</v>
      </c>
      <c r="N168" s="119" t="n">
        <f aca="false">SUMIFS(tabela_registros[VALOR],tabela_registros[MÊS],$AE$1,tabela_registros[DIA],reservafixaconsolidadoabr[[#Headers],[10]],tabela_registros[REGISTRO],DADOS!$N$6,tabela_registros[TIPO],DADOS!$AJ$3,tabela_registros[CATEGORIA],reservafixaconsolidadoabr[[#This Row],[ATUAL]])</f>
        <v>0</v>
      </c>
      <c r="O168" s="119" t="n">
        <f aca="false">SUMIFS(tabela_registros[VALOR],tabela_registros[MÊS],$AE$1,tabela_registros[DIA],reservafixaconsolidadoabr[[#Headers],[11]],tabela_registros[REGISTRO],DADOS!$N$6,tabela_registros[TIPO],DADOS!$AJ$3,tabela_registros[CATEGORIA],reservafixaconsolidadoabr[[#This Row],[ATUAL]])</f>
        <v>0</v>
      </c>
      <c r="P168" s="119" t="n">
        <f aca="false">SUMIFS(tabela_registros[VALOR],tabela_registros[MÊS],$AE$1,tabela_registros[DIA],reservafixaconsolidadoabr[[#Headers],[12]],tabela_registros[REGISTRO],DADOS!$N$6,tabela_registros[TIPO],DADOS!$AJ$3,tabela_registros[CATEGORIA],reservafixaconsolidadoabr[[#This Row],[ATUAL]])</f>
        <v>0</v>
      </c>
      <c r="Q168" s="119" t="n">
        <f aca="false">SUMIFS(tabela_registros[VALOR],tabela_registros[MÊS],$AE$1,tabela_registros[DIA],reservafixaconsolidadoabr[[#Headers],[13]],tabela_registros[REGISTRO],DADOS!$N$6,tabela_registros[TIPO],DADOS!$AJ$3,tabela_registros[CATEGORIA],reservafixaconsolidadoabr[[#This Row],[ATUAL]])</f>
        <v>0</v>
      </c>
      <c r="R168" s="119" t="n">
        <f aca="false">SUMIFS(tabela_registros[VALOR],tabela_registros[MÊS],$AE$1,tabela_registros[DIA],reservafixaconsolidadoabr[[#Headers],[14]],tabela_registros[REGISTRO],DADOS!$N$6,tabela_registros[TIPO],DADOS!$AJ$3,tabela_registros[CATEGORIA],reservafixaconsolidadoabr[[#This Row],[ATUAL]])</f>
        <v>0</v>
      </c>
      <c r="S168" s="119" t="n">
        <f aca="false">SUMIFS(tabela_registros[VALOR],tabela_registros[MÊS],$AE$1,tabela_registros[DIA],reservafixaconsolidadoabr[[#Headers],[15]],tabela_registros[REGISTRO],DADOS!$N$6,tabela_registros[TIPO],DADOS!$AJ$3,tabela_registros[CATEGORIA],reservafixaconsolidadoabr[[#This Row],[ATUAL]])</f>
        <v>0</v>
      </c>
      <c r="T168" s="119" t="n">
        <f aca="false">SUMIFS(tabela_registros[VALOR],tabela_registros[MÊS],$AE$1,tabela_registros[DIA],reservafixaconsolidadoabr[[#Headers],[16]],tabela_registros[REGISTRO],DADOS!$N$6,tabela_registros[TIPO],DADOS!$AJ$3,tabela_registros[CATEGORIA],reservafixaconsolidadoabr[[#This Row],[ATUAL]])</f>
        <v>0</v>
      </c>
      <c r="U168" s="119" t="n">
        <f aca="false">SUMIFS(tabela_registros[VALOR],tabela_registros[MÊS],$AE$1,tabela_registros[DIA],reservafixaconsolidadoabr[[#Headers],[17]],tabela_registros[REGISTRO],DADOS!$N$6,tabela_registros[TIPO],DADOS!$AJ$3,tabela_registros[CATEGORIA],reservafixaconsolidadoabr[[#This Row],[ATUAL]])</f>
        <v>0</v>
      </c>
      <c r="V168" s="119" t="n">
        <f aca="false">SUMIFS(tabela_registros[VALOR],tabela_registros[MÊS],$AE$1,tabela_registros[DIA],reservafixaconsolidadoabr[[#Headers],[18]],tabela_registros[REGISTRO],DADOS!$N$6,tabela_registros[TIPO],DADOS!$AJ$3,tabela_registros[CATEGORIA],reservafixaconsolidadoabr[[#This Row],[ATUAL]])</f>
        <v>0</v>
      </c>
      <c r="W168" s="119" t="n">
        <f aca="false">SUMIFS(tabela_registros[VALOR],tabela_registros[MÊS],$AE$1,tabela_registros[DIA],reservafixaconsolidadoabr[[#Headers],[19]],tabela_registros[REGISTRO],DADOS!$N$6,tabela_registros[TIPO],DADOS!$AJ$3,tabela_registros[CATEGORIA],reservafixaconsolidadoabr[[#This Row],[ATUAL]])</f>
        <v>0</v>
      </c>
      <c r="X168" s="119" t="n">
        <f aca="false">SUMIFS(tabela_registros[VALOR],tabela_registros[MÊS],$AE$1,tabela_registros[DIA],reservafixaconsolidadoabr[[#Headers],[20]],tabela_registros[REGISTRO],DADOS!$N$6,tabela_registros[TIPO],DADOS!$AJ$3,tabela_registros[CATEGORIA],reservafixaconsolidadoabr[[#This Row],[ATUAL]])</f>
        <v>0</v>
      </c>
      <c r="Y168" s="119" t="n">
        <f aca="false">SUMIFS(tabela_registros[VALOR],tabela_registros[MÊS],$AE$1,tabela_registros[DIA],reservafixaconsolidadoabr[[#Headers],[21]],tabela_registros[REGISTRO],DADOS!$N$6,tabela_registros[TIPO],DADOS!$AJ$3,tabela_registros[CATEGORIA],reservafixaconsolidadoabr[[#This Row],[ATUAL]])</f>
        <v>0</v>
      </c>
      <c r="Z168" s="119" t="n">
        <f aca="false">SUMIFS(tabela_registros[VALOR],tabela_registros[MÊS],$AE$1,tabela_registros[DIA],reservafixaconsolidadoabr[[#Headers],[22]],tabela_registros[REGISTRO],DADOS!$N$6,tabela_registros[TIPO],DADOS!$AJ$3,tabela_registros[CATEGORIA],reservafixaconsolidadoabr[[#This Row],[ATUAL]])</f>
        <v>0</v>
      </c>
      <c r="AA168" s="119" t="n">
        <f aca="false">SUMIFS(tabela_registros[VALOR],tabela_registros[MÊS],$AE$1,tabela_registros[DIA],reservafixaconsolidadoabr[[#Headers],[23]],tabela_registros[REGISTRO],DADOS!$N$6,tabela_registros[TIPO],DADOS!$AJ$3,tabela_registros[CATEGORIA],reservafixaconsolidadoabr[[#This Row],[ATUAL]])</f>
        <v>0</v>
      </c>
      <c r="AB168" s="119" t="n">
        <f aca="false">SUMIFS(tabela_registros[VALOR],tabela_registros[MÊS],$AE$1,tabela_registros[DIA],reservafixaconsolidadoabr[[#Headers],[24]],tabela_registros[REGISTRO],DADOS!$N$6,tabela_registros[TIPO],DADOS!$AJ$3,tabela_registros[CATEGORIA],reservafixaconsolidadoabr[[#This Row],[ATUAL]])</f>
        <v>0</v>
      </c>
      <c r="AC168" s="119" t="n">
        <f aca="false">SUMIFS(tabela_registros[VALOR],tabela_registros[MÊS],$AE$1,tabela_registros[DIA],reservafixaconsolidadoabr[[#Headers],[25]],tabela_registros[REGISTRO],DADOS!$N$6,tabela_registros[TIPO],DADOS!$AJ$3,tabela_registros[CATEGORIA],reservafixaconsolidadoabr[[#This Row],[ATUAL]])</f>
        <v>0</v>
      </c>
      <c r="AD168" s="119" t="n">
        <f aca="false">SUMIFS(tabela_registros[VALOR],tabela_registros[MÊS],$AE$1,tabela_registros[DIA],reservafixaconsolidadoabr[[#Headers],[26]],tabela_registros[REGISTRO],DADOS!$N$6,tabela_registros[TIPO],DADOS!$AJ$3,tabela_registros[CATEGORIA],reservafixaconsolidadoabr[[#This Row],[ATUAL]])</f>
        <v>0</v>
      </c>
      <c r="AE168" s="119" t="n">
        <f aca="false">SUMIFS(tabela_registros[VALOR],tabela_registros[MÊS],$AE$1,tabela_registros[DIA],reservafixaconsolidadoabr[[#Headers],[27]],tabela_registros[REGISTRO],DADOS!$N$6,tabela_registros[TIPO],DADOS!$AJ$3,tabela_registros[CATEGORIA],reservafixaconsolidadoabr[[#This Row],[ATUAL]])</f>
        <v>0</v>
      </c>
      <c r="AF168" s="119" t="n">
        <f aca="false">SUMIFS(tabela_registros[VALOR],tabela_registros[MÊS],$AE$1,tabela_registros[DIA],reservafixaconsolidadoabr[[#Headers],[28]],tabela_registros[REGISTRO],DADOS!$N$6,tabela_registros[TIPO],DADOS!$AJ$3,tabela_registros[CATEGORIA],reservafixaconsolidadoabr[[#This Row],[ATUAL]])</f>
        <v>0</v>
      </c>
      <c r="AG168" s="119" t="n">
        <f aca="false">SUMIFS(tabela_registros[VALOR],tabela_registros[MÊS],$AE$1,tabela_registros[DIA],reservafixaconsolidadoabr[[#Headers],[29]],tabela_registros[REGISTRO],DADOS!$N$6,tabela_registros[TIPO],DADOS!$AJ$3,tabela_registros[CATEGORIA],reservafixaconsolidadoabr[[#This Row],[ATUAL]])</f>
        <v>0</v>
      </c>
      <c r="AH168" s="119" t="n">
        <f aca="false">SUMIFS(tabela_registros[VALOR],tabela_registros[MÊS],$AE$1,tabela_registros[DIA],reservafixaconsolidadoabr[[#Headers],[30]],tabela_registros[REGISTRO],DADOS!$N$6,tabela_registros[TIPO],DADOS!$AJ$3,tabela_registros[CATEGORIA],reservafixaconsolidadoabr[[#This Row],[ATUAL]])</f>
        <v>0</v>
      </c>
      <c r="AI168" s="217" t="n">
        <f aca="false">SUMIFS(tabela_registros[VALOR],tabela_registros[MÊS],$AE$1,tabela_registros[DIA],reservafixaconsolidadoabr[[#Headers],[31]],tabela_registros[REGISTRO],DADOS!$N$6,tabela_registros[TIPO],DADOS!$AJ$3,tabela_registros[CATEGORIA],reservafixaconsolidadoabr[[#This Row],[ATUAL]])</f>
        <v>0</v>
      </c>
      <c r="AJ168" s="149" t="n">
        <f aca="false">SUM(reservafixaconsolidadoabr[[#This Row],[1]:[31]])</f>
        <v>0</v>
      </c>
      <c r="AK168" s="165"/>
    </row>
    <row r="169" customFormat="false" ht="19.5" hidden="false" customHeight="true" outlineLevel="0" collapsed="false">
      <c r="B169" s="143"/>
      <c r="C169" s="144" t="str">
        <f aca="false">DADOS!$AL$4</f>
        <v>📝 CRA</v>
      </c>
      <c r="D169" s="145" t="str">
        <f aca="false">IF(reservafixaconsolidadoabr[[#This Row],[TOTAL (R$)]]=0,"",IF(OR(reservafixaconsolidadoabr[[#This Row],[TOTAL (R$)]]=LARGE($AJ$168:$AJ$177,1),reservafixaconsolidadoabr[[#This Row],[TOTAL (R$)]]=LARGE($AJ$168:$AJ$177,2)),DADOS!$I$11,""))</f>
        <v/>
      </c>
      <c r="E169" s="148" t="n">
        <f aca="false">SUMIFS(tabela_registros[VALOR],tabela_registros[MÊS],$AE$1,tabela_registros[DIA],reservafixaconsolidadoabr[[#Headers],[1]],tabela_registros[REGISTRO],DADOS!$N$6,tabela_registros[TIPO],DADOS!$AJ$3,tabela_registros[CATEGORIA],reservafixaconsolidadoabr[[#This Row],[ATUAL]])</f>
        <v>0</v>
      </c>
      <c r="F169" s="119" t="n">
        <f aca="false">SUMIFS(tabela_registros[VALOR],tabela_registros[MÊS],$AE$1,tabela_registros[DIA],reservafixaconsolidadoabr[[#Headers],[2]],tabela_registros[REGISTRO],DADOS!$N$6,tabela_registros[TIPO],DADOS!$AJ$3,tabela_registros[CATEGORIA],reservafixaconsolidadoabr[[#This Row],[ATUAL]])</f>
        <v>0</v>
      </c>
      <c r="G169" s="119" t="n">
        <f aca="false">SUMIFS(tabela_registros[VALOR],tabela_registros[MÊS],$AE$1,tabela_registros[DIA],reservafixaconsolidadoabr[[#Headers],[3]],tabela_registros[REGISTRO],DADOS!$N$6,tabela_registros[TIPO],DADOS!$AJ$3,tabela_registros[CATEGORIA],reservafixaconsolidadoabr[[#This Row],[ATUAL]])</f>
        <v>0</v>
      </c>
      <c r="H169" s="119" t="n">
        <f aca="false">SUMIFS(tabela_registros[VALOR],tabela_registros[MÊS],$AE$1,tabela_registros[DIA],reservafixaconsolidadoabr[[#Headers],[4]],tabela_registros[REGISTRO],DADOS!$N$6,tabela_registros[TIPO],DADOS!$AJ$3,tabela_registros[CATEGORIA],reservafixaconsolidadoabr[[#This Row],[ATUAL]])</f>
        <v>0</v>
      </c>
      <c r="I169" s="119" t="n">
        <f aca="false">SUMIFS(tabela_registros[VALOR],tabela_registros[MÊS],$AE$1,tabela_registros[DIA],reservafixaconsolidadoabr[[#Headers],[5]],tabela_registros[REGISTRO],DADOS!$N$6,tabela_registros[TIPO],DADOS!$AJ$3,tabela_registros[CATEGORIA],reservafixaconsolidadoabr[[#This Row],[ATUAL]])</f>
        <v>0</v>
      </c>
      <c r="J169" s="119" t="n">
        <f aca="false">SUMIFS(tabela_registros[VALOR],tabela_registros[MÊS],$AE$1,tabela_registros[DIA],reservafixaconsolidadoabr[[#Headers],[6]],tabela_registros[REGISTRO],DADOS!$N$6,tabela_registros[TIPO],DADOS!$AJ$3,tabela_registros[CATEGORIA],reservafixaconsolidadoabr[[#This Row],[ATUAL]])</f>
        <v>0</v>
      </c>
      <c r="K169" s="119" t="n">
        <f aca="false">SUMIFS(tabela_registros[VALOR],tabela_registros[MÊS],$AE$1,tabela_registros[DIA],reservafixaconsolidadoabr[[#Headers],[7]],tabela_registros[REGISTRO],DADOS!$N$6,tabela_registros[TIPO],DADOS!$AJ$3,tabela_registros[CATEGORIA],reservafixaconsolidadoabr[[#This Row],[ATUAL]])</f>
        <v>0</v>
      </c>
      <c r="L169" s="119" t="n">
        <f aca="false">SUMIFS(tabela_registros[VALOR],tabela_registros[MÊS],$AE$1,tabela_registros[DIA],reservafixaconsolidadoabr[[#Headers],[8]],tabela_registros[REGISTRO],DADOS!$N$6,tabela_registros[TIPO],DADOS!$AJ$3,tabela_registros[CATEGORIA],reservafixaconsolidadoabr[[#This Row],[ATUAL]])</f>
        <v>0</v>
      </c>
      <c r="M169" s="119" t="n">
        <f aca="false">SUMIFS(tabela_registros[VALOR],tabela_registros[MÊS],$AE$1,tabela_registros[DIA],reservafixaconsolidadoabr[[#Headers],[9]],tabela_registros[REGISTRO],DADOS!$N$6,tabela_registros[TIPO],DADOS!$AJ$3,tabela_registros[CATEGORIA],reservafixaconsolidadoabr[[#This Row],[ATUAL]])</f>
        <v>0</v>
      </c>
      <c r="N169" s="119" t="n">
        <f aca="false">SUMIFS(tabela_registros[VALOR],tabela_registros[MÊS],$AE$1,tabela_registros[DIA],reservafixaconsolidadoabr[[#Headers],[10]],tabela_registros[REGISTRO],DADOS!$N$6,tabela_registros[TIPO],DADOS!$AJ$3,tabela_registros[CATEGORIA],reservafixaconsolidadoabr[[#This Row],[ATUAL]])</f>
        <v>0</v>
      </c>
      <c r="O169" s="119" t="n">
        <f aca="false">SUMIFS(tabela_registros[VALOR],tabela_registros[MÊS],$AE$1,tabela_registros[DIA],reservafixaconsolidadoabr[[#Headers],[11]],tabela_registros[REGISTRO],DADOS!$N$6,tabela_registros[TIPO],DADOS!$AJ$3,tabela_registros[CATEGORIA],reservafixaconsolidadoabr[[#This Row],[ATUAL]])</f>
        <v>0</v>
      </c>
      <c r="P169" s="119" t="n">
        <f aca="false">SUMIFS(tabela_registros[VALOR],tabela_registros[MÊS],$AE$1,tabela_registros[DIA],reservafixaconsolidadoabr[[#Headers],[12]],tabela_registros[REGISTRO],DADOS!$N$6,tabela_registros[TIPO],DADOS!$AJ$3,tabela_registros[CATEGORIA],reservafixaconsolidadoabr[[#This Row],[ATUAL]])</f>
        <v>0</v>
      </c>
      <c r="Q169" s="119" t="n">
        <f aca="false">SUMIFS(tabela_registros[VALOR],tabela_registros[MÊS],$AE$1,tabela_registros[DIA],reservafixaconsolidadoabr[[#Headers],[13]],tabela_registros[REGISTRO],DADOS!$N$6,tabela_registros[TIPO],DADOS!$AJ$3,tabela_registros[CATEGORIA],reservafixaconsolidadoabr[[#This Row],[ATUAL]])</f>
        <v>0</v>
      </c>
      <c r="R169" s="119" t="n">
        <f aca="false">SUMIFS(tabela_registros[VALOR],tabela_registros[MÊS],$AE$1,tabela_registros[DIA],reservafixaconsolidadoabr[[#Headers],[14]],tabela_registros[REGISTRO],DADOS!$N$6,tabela_registros[TIPO],DADOS!$AJ$3,tabela_registros[CATEGORIA],reservafixaconsolidadoabr[[#This Row],[ATUAL]])</f>
        <v>0</v>
      </c>
      <c r="S169" s="119" t="n">
        <f aca="false">SUMIFS(tabela_registros[VALOR],tabela_registros[MÊS],$AE$1,tabela_registros[DIA],reservafixaconsolidadoabr[[#Headers],[15]],tabela_registros[REGISTRO],DADOS!$N$6,tabela_registros[TIPO],DADOS!$AJ$3,tabela_registros[CATEGORIA],reservafixaconsolidadoabr[[#This Row],[ATUAL]])</f>
        <v>0</v>
      </c>
      <c r="T169" s="119" t="n">
        <f aca="false">SUMIFS(tabela_registros[VALOR],tabela_registros[MÊS],$AE$1,tabela_registros[DIA],reservafixaconsolidadoabr[[#Headers],[16]],tabela_registros[REGISTRO],DADOS!$N$6,tabela_registros[TIPO],DADOS!$AJ$3,tabela_registros[CATEGORIA],reservafixaconsolidadoabr[[#This Row],[ATUAL]])</f>
        <v>0</v>
      </c>
      <c r="U169" s="119" t="n">
        <f aca="false">SUMIFS(tabela_registros[VALOR],tabela_registros[MÊS],$AE$1,tabela_registros[DIA],reservafixaconsolidadoabr[[#Headers],[17]],tabela_registros[REGISTRO],DADOS!$N$6,tabela_registros[TIPO],DADOS!$AJ$3,tabela_registros[CATEGORIA],reservafixaconsolidadoabr[[#This Row],[ATUAL]])</f>
        <v>0</v>
      </c>
      <c r="V169" s="119" t="n">
        <f aca="false">SUMIFS(tabela_registros[VALOR],tabela_registros[MÊS],$AE$1,tabela_registros[DIA],reservafixaconsolidadoabr[[#Headers],[18]],tabela_registros[REGISTRO],DADOS!$N$6,tabela_registros[TIPO],DADOS!$AJ$3,tabela_registros[CATEGORIA],reservafixaconsolidadoabr[[#This Row],[ATUAL]])</f>
        <v>0</v>
      </c>
      <c r="W169" s="119" t="n">
        <f aca="false">SUMIFS(tabela_registros[VALOR],tabela_registros[MÊS],$AE$1,tabela_registros[DIA],reservafixaconsolidadoabr[[#Headers],[19]],tabela_registros[REGISTRO],DADOS!$N$6,tabela_registros[TIPO],DADOS!$AJ$3,tabela_registros[CATEGORIA],reservafixaconsolidadoabr[[#This Row],[ATUAL]])</f>
        <v>0</v>
      </c>
      <c r="X169" s="119" t="n">
        <f aca="false">SUMIFS(tabela_registros[VALOR],tabela_registros[MÊS],$AE$1,tabela_registros[DIA],reservafixaconsolidadoabr[[#Headers],[20]],tabela_registros[REGISTRO],DADOS!$N$6,tabela_registros[TIPO],DADOS!$AJ$3,tabela_registros[CATEGORIA],reservafixaconsolidadoabr[[#This Row],[ATUAL]])</f>
        <v>0</v>
      </c>
      <c r="Y169" s="119" t="n">
        <f aca="false">SUMIFS(tabela_registros[VALOR],tabela_registros[MÊS],$AE$1,tabela_registros[DIA],reservafixaconsolidadoabr[[#Headers],[21]],tabela_registros[REGISTRO],DADOS!$N$6,tabela_registros[TIPO],DADOS!$AJ$3,tabela_registros[CATEGORIA],reservafixaconsolidadoabr[[#This Row],[ATUAL]])</f>
        <v>0</v>
      </c>
      <c r="Z169" s="119" t="n">
        <f aca="false">SUMIFS(tabela_registros[VALOR],tabela_registros[MÊS],$AE$1,tabela_registros[DIA],reservafixaconsolidadoabr[[#Headers],[22]],tabela_registros[REGISTRO],DADOS!$N$6,tabela_registros[TIPO],DADOS!$AJ$3,tabela_registros[CATEGORIA],reservafixaconsolidadoabr[[#This Row],[ATUAL]])</f>
        <v>0</v>
      </c>
      <c r="AA169" s="119" t="n">
        <f aca="false">SUMIFS(tabela_registros[VALOR],tabela_registros[MÊS],$AE$1,tabela_registros[DIA],reservafixaconsolidadoabr[[#Headers],[23]],tabela_registros[REGISTRO],DADOS!$N$6,tabela_registros[TIPO],DADOS!$AJ$3,tabela_registros[CATEGORIA],reservafixaconsolidadoabr[[#This Row],[ATUAL]])</f>
        <v>0</v>
      </c>
      <c r="AB169" s="119" t="n">
        <f aca="false">SUMIFS(tabela_registros[VALOR],tabela_registros[MÊS],$AE$1,tabela_registros[DIA],reservafixaconsolidadoabr[[#Headers],[24]],tabela_registros[REGISTRO],DADOS!$N$6,tabela_registros[TIPO],DADOS!$AJ$3,tabela_registros[CATEGORIA],reservafixaconsolidadoabr[[#This Row],[ATUAL]])</f>
        <v>0</v>
      </c>
      <c r="AC169" s="119" t="n">
        <f aca="false">SUMIFS(tabela_registros[VALOR],tabela_registros[MÊS],$AE$1,tabela_registros[DIA],reservafixaconsolidadoabr[[#Headers],[25]],tabela_registros[REGISTRO],DADOS!$N$6,tabela_registros[TIPO],DADOS!$AJ$3,tabela_registros[CATEGORIA],reservafixaconsolidadoabr[[#This Row],[ATUAL]])</f>
        <v>0</v>
      </c>
      <c r="AD169" s="119" t="n">
        <f aca="false">SUMIFS(tabela_registros[VALOR],tabela_registros[MÊS],$AE$1,tabela_registros[DIA],reservafixaconsolidadoabr[[#Headers],[26]],tabela_registros[REGISTRO],DADOS!$N$6,tabela_registros[TIPO],DADOS!$AJ$3,tabela_registros[CATEGORIA],reservafixaconsolidadoabr[[#This Row],[ATUAL]])</f>
        <v>0</v>
      </c>
      <c r="AE169" s="119" t="n">
        <f aca="false">SUMIFS(tabela_registros[VALOR],tabela_registros[MÊS],$AE$1,tabela_registros[DIA],reservafixaconsolidadoabr[[#Headers],[27]],tabela_registros[REGISTRO],DADOS!$N$6,tabela_registros[TIPO],DADOS!$AJ$3,tabela_registros[CATEGORIA],reservafixaconsolidadoabr[[#This Row],[ATUAL]])</f>
        <v>0</v>
      </c>
      <c r="AF169" s="119" t="n">
        <f aca="false">SUMIFS(tabela_registros[VALOR],tabela_registros[MÊS],$AE$1,tabela_registros[DIA],reservafixaconsolidadoabr[[#Headers],[28]],tabela_registros[REGISTRO],DADOS!$N$6,tabela_registros[TIPO],DADOS!$AJ$3,tabela_registros[CATEGORIA],reservafixaconsolidadoabr[[#This Row],[ATUAL]])</f>
        <v>0</v>
      </c>
      <c r="AG169" s="119" t="n">
        <f aca="false">SUMIFS(tabela_registros[VALOR],tabela_registros[MÊS],$AE$1,tabela_registros[DIA],reservafixaconsolidadoabr[[#Headers],[29]],tabela_registros[REGISTRO],DADOS!$N$6,tabela_registros[TIPO],DADOS!$AJ$3,tabela_registros[CATEGORIA],reservafixaconsolidadoabr[[#This Row],[ATUAL]])</f>
        <v>0</v>
      </c>
      <c r="AH169" s="119" t="n">
        <f aca="false">SUMIFS(tabela_registros[VALOR],tabela_registros[MÊS],$AE$1,tabela_registros[DIA],reservafixaconsolidadoabr[[#Headers],[30]],tabela_registros[REGISTRO],DADOS!$N$6,tabela_registros[TIPO],DADOS!$AJ$3,tabela_registros[CATEGORIA],reservafixaconsolidadoabr[[#This Row],[ATUAL]])</f>
        <v>0</v>
      </c>
      <c r="AI169" s="217" t="n">
        <f aca="false">SUMIFS(tabela_registros[VALOR],tabela_registros[MÊS],$AE$1,tabela_registros[DIA],reservafixaconsolidadoabr[[#Headers],[31]],tabela_registros[REGISTRO],DADOS!$N$6,tabela_registros[TIPO],DADOS!$AJ$3,tabela_registros[CATEGORIA],reservafixaconsolidadoabr[[#This Row],[ATUAL]])</f>
        <v>0</v>
      </c>
      <c r="AJ169" s="149" t="n">
        <f aca="false">SUM(reservafixaconsolidadoabr[[#This Row],[1]:[31]])</f>
        <v>0</v>
      </c>
      <c r="AK169" s="165"/>
    </row>
    <row r="170" customFormat="false" ht="19.5" hidden="false" customHeight="true" outlineLevel="0" collapsed="false">
      <c r="B170" s="143"/>
      <c r="C170" s="144" t="str">
        <f aca="false">DADOS!$AL$5</f>
        <v>📝 CRI</v>
      </c>
      <c r="D170" s="145" t="str">
        <f aca="false">IF(reservafixaconsolidadoabr[[#This Row],[TOTAL (R$)]]=0,"",IF(OR(reservafixaconsolidadoabr[[#This Row],[TOTAL (R$)]]=LARGE($AJ$168:$AJ$177,1),reservafixaconsolidadoabr[[#This Row],[TOTAL (R$)]]=LARGE($AJ$168:$AJ$177,2)),DADOS!$I$11,""))</f>
        <v/>
      </c>
      <c r="E170" s="148" t="n">
        <f aca="false">SUMIFS(tabela_registros[VALOR],tabela_registros[MÊS],$AE$1,tabela_registros[DIA],reservafixaconsolidadoabr[[#Headers],[1]],tabela_registros[REGISTRO],DADOS!$N$6,tabela_registros[TIPO],DADOS!$AJ$3,tabela_registros[CATEGORIA],reservafixaconsolidadoabr[[#This Row],[ATUAL]])</f>
        <v>0</v>
      </c>
      <c r="F170" s="119" t="n">
        <f aca="false">SUMIFS(tabela_registros[VALOR],tabela_registros[MÊS],$AE$1,tabela_registros[DIA],reservafixaconsolidadoabr[[#Headers],[2]],tabela_registros[REGISTRO],DADOS!$N$6,tabela_registros[TIPO],DADOS!$AJ$3,tabela_registros[CATEGORIA],reservafixaconsolidadoabr[[#This Row],[ATUAL]])</f>
        <v>0</v>
      </c>
      <c r="G170" s="119" t="n">
        <f aca="false">SUMIFS(tabela_registros[VALOR],tabela_registros[MÊS],$AE$1,tabela_registros[DIA],reservafixaconsolidadoabr[[#Headers],[3]],tabela_registros[REGISTRO],DADOS!$N$6,tabela_registros[TIPO],DADOS!$AJ$3,tabela_registros[CATEGORIA],reservafixaconsolidadoabr[[#This Row],[ATUAL]])</f>
        <v>0</v>
      </c>
      <c r="H170" s="119" t="n">
        <f aca="false">SUMIFS(tabela_registros[VALOR],tabela_registros[MÊS],$AE$1,tabela_registros[DIA],reservafixaconsolidadoabr[[#Headers],[4]],tabela_registros[REGISTRO],DADOS!$N$6,tabela_registros[TIPO],DADOS!$AJ$3,tabela_registros[CATEGORIA],reservafixaconsolidadoabr[[#This Row],[ATUAL]])</f>
        <v>0</v>
      </c>
      <c r="I170" s="119" t="n">
        <f aca="false">SUMIFS(tabela_registros[VALOR],tabela_registros[MÊS],$AE$1,tabela_registros[DIA],reservafixaconsolidadoabr[[#Headers],[5]],tabela_registros[REGISTRO],DADOS!$N$6,tabela_registros[TIPO],DADOS!$AJ$3,tabela_registros[CATEGORIA],reservafixaconsolidadoabr[[#This Row],[ATUAL]])</f>
        <v>0</v>
      </c>
      <c r="J170" s="119" t="n">
        <f aca="false">SUMIFS(tabela_registros[VALOR],tabela_registros[MÊS],$AE$1,tabela_registros[DIA],reservafixaconsolidadoabr[[#Headers],[6]],tabela_registros[REGISTRO],DADOS!$N$6,tabela_registros[TIPO],DADOS!$AJ$3,tabela_registros[CATEGORIA],reservafixaconsolidadoabr[[#This Row],[ATUAL]])</f>
        <v>0</v>
      </c>
      <c r="K170" s="119" t="n">
        <f aca="false">SUMIFS(tabela_registros[VALOR],tabela_registros[MÊS],$AE$1,tabela_registros[DIA],reservafixaconsolidadoabr[[#Headers],[7]],tabela_registros[REGISTRO],DADOS!$N$6,tabela_registros[TIPO],DADOS!$AJ$3,tabela_registros[CATEGORIA],reservafixaconsolidadoabr[[#This Row],[ATUAL]])</f>
        <v>0</v>
      </c>
      <c r="L170" s="119" t="n">
        <f aca="false">SUMIFS(tabela_registros[VALOR],tabela_registros[MÊS],$AE$1,tabela_registros[DIA],reservafixaconsolidadoabr[[#Headers],[8]],tabela_registros[REGISTRO],DADOS!$N$6,tabela_registros[TIPO],DADOS!$AJ$3,tabela_registros[CATEGORIA],reservafixaconsolidadoabr[[#This Row],[ATUAL]])</f>
        <v>0</v>
      </c>
      <c r="M170" s="119" t="n">
        <f aca="false">SUMIFS(tabela_registros[VALOR],tabela_registros[MÊS],$AE$1,tabela_registros[DIA],reservafixaconsolidadoabr[[#Headers],[9]],tabela_registros[REGISTRO],DADOS!$N$6,tabela_registros[TIPO],DADOS!$AJ$3,tabela_registros[CATEGORIA],reservafixaconsolidadoabr[[#This Row],[ATUAL]])</f>
        <v>0</v>
      </c>
      <c r="N170" s="119" t="n">
        <f aca="false">SUMIFS(tabela_registros[VALOR],tabela_registros[MÊS],$AE$1,tabela_registros[DIA],reservafixaconsolidadoabr[[#Headers],[10]],tabela_registros[REGISTRO],DADOS!$N$6,tabela_registros[TIPO],DADOS!$AJ$3,tabela_registros[CATEGORIA],reservafixaconsolidadoabr[[#This Row],[ATUAL]])</f>
        <v>0</v>
      </c>
      <c r="O170" s="119" t="n">
        <f aca="false">SUMIFS(tabela_registros[VALOR],tabela_registros[MÊS],$AE$1,tabela_registros[DIA],reservafixaconsolidadoabr[[#Headers],[11]],tabela_registros[REGISTRO],DADOS!$N$6,tabela_registros[TIPO],DADOS!$AJ$3,tabela_registros[CATEGORIA],reservafixaconsolidadoabr[[#This Row],[ATUAL]])</f>
        <v>0</v>
      </c>
      <c r="P170" s="119" t="n">
        <f aca="false">SUMIFS(tabela_registros[VALOR],tabela_registros[MÊS],$AE$1,tabela_registros[DIA],reservafixaconsolidadoabr[[#Headers],[12]],tabela_registros[REGISTRO],DADOS!$N$6,tabela_registros[TIPO],DADOS!$AJ$3,tabela_registros[CATEGORIA],reservafixaconsolidadoabr[[#This Row],[ATUAL]])</f>
        <v>0</v>
      </c>
      <c r="Q170" s="119" t="n">
        <f aca="false">SUMIFS(tabela_registros[VALOR],tabela_registros[MÊS],$AE$1,tabela_registros[DIA],reservafixaconsolidadoabr[[#Headers],[13]],tabela_registros[REGISTRO],DADOS!$N$6,tabela_registros[TIPO],DADOS!$AJ$3,tabela_registros[CATEGORIA],reservafixaconsolidadoabr[[#This Row],[ATUAL]])</f>
        <v>0</v>
      </c>
      <c r="R170" s="119" t="n">
        <f aca="false">SUMIFS(tabela_registros[VALOR],tabela_registros[MÊS],$AE$1,tabela_registros[DIA],reservafixaconsolidadoabr[[#Headers],[14]],tabela_registros[REGISTRO],DADOS!$N$6,tabela_registros[TIPO],DADOS!$AJ$3,tabela_registros[CATEGORIA],reservafixaconsolidadoabr[[#This Row],[ATUAL]])</f>
        <v>0</v>
      </c>
      <c r="S170" s="119" t="n">
        <f aca="false">SUMIFS(tabela_registros[VALOR],tabela_registros[MÊS],$AE$1,tabela_registros[DIA],reservafixaconsolidadoabr[[#Headers],[15]],tabela_registros[REGISTRO],DADOS!$N$6,tabela_registros[TIPO],DADOS!$AJ$3,tabela_registros[CATEGORIA],reservafixaconsolidadoabr[[#This Row],[ATUAL]])</f>
        <v>0</v>
      </c>
      <c r="T170" s="119" t="n">
        <f aca="false">SUMIFS(tabela_registros[VALOR],tabela_registros[MÊS],$AE$1,tabela_registros[DIA],reservafixaconsolidadoabr[[#Headers],[16]],tabela_registros[REGISTRO],DADOS!$N$6,tabela_registros[TIPO],DADOS!$AJ$3,tabela_registros[CATEGORIA],reservafixaconsolidadoabr[[#This Row],[ATUAL]])</f>
        <v>0</v>
      </c>
      <c r="U170" s="119" t="n">
        <f aca="false">SUMIFS(tabela_registros[VALOR],tabela_registros[MÊS],$AE$1,tabela_registros[DIA],reservafixaconsolidadoabr[[#Headers],[17]],tabela_registros[REGISTRO],DADOS!$N$6,tabela_registros[TIPO],DADOS!$AJ$3,tabela_registros[CATEGORIA],reservafixaconsolidadoabr[[#This Row],[ATUAL]])</f>
        <v>0</v>
      </c>
      <c r="V170" s="119" t="n">
        <f aca="false">SUMIFS(tabela_registros[VALOR],tabela_registros[MÊS],$AE$1,tabela_registros[DIA],reservafixaconsolidadoabr[[#Headers],[18]],tabela_registros[REGISTRO],DADOS!$N$6,tabela_registros[TIPO],DADOS!$AJ$3,tabela_registros[CATEGORIA],reservafixaconsolidadoabr[[#This Row],[ATUAL]])</f>
        <v>0</v>
      </c>
      <c r="W170" s="119" t="n">
        <f aca="false">SUMIFS(tabela_registros[VALOR],tabela_registros[MÊS],$AE$1,tabela_registros[DIA],reservafixaconsolidadoabr[[#Headers],[19]],tabela_registros[REGISTRO],DADOS!$N$6,tabela_registros[TIPO],DADOS!$AJ$3,tabela_registros[CATEGORIA],reservafixaconsolidadoabr[[#This Row],[ATUAL]])</f>
        <v>0</v>
      </c>
      <c r="X170" s="119" t="n">
        <f aca="false">SUMIFS(tabela_registros[VALOR],tabela_registros[MÊS],$AE$1,tabela_registros[DIA],reservafixaconsolidadoabr[[#Headers],[20]],tabela_registros[REGISTRO],DADOS!$N$6,tabela_registros[TIPO],DADOS!$AJ$3,tabela_registros[CATEGORIA],reservafixaconsolidadoabr[[#This Row],[ATUAL]])</f>
        <v>0</v>
      </c>
      <c r="Y170" s="119" t="n">
        <f aca="false">SUMIFS(tabela_registros[VALOR],tabela_registros[MÊS],$AE$1,tabela_registros[DIA],reservafixaconsolidadoabr[[#Headers],[21]],tabela_registros[REGISTRO],DADOS!$N$6,tabela_registros[TIPO],DADOS!$AJ$3,tabela_registros[CATEGORIA],reservafixaconsolidadoabr[[#This Row],[ATUAL]])</f>
        <v>0</v>
      </c>
      <c r="Z170" s="119" t="n">
        <f aca="false">SUMIFS(tabela_registros[VALOR],tabela_registros[MÊS],$AE$1,tabela_registros[DIA],reservafixaconsolidadoabr[[#Headers],[22]],tabela_registros[REGISTRO],DADOS!$N$6,tabela_registros[TIPO],DADOS!$AJ$3,tabela_registros[CATEGORIA],reservafixaconsolidadoabr[[#This Row],[ATUAL]])</f>
        <v>0</v>
      </c>
      <c r="AA170" s="119" t="n">
        <f aca="false">SUMIFS(tabela_registros[VALOR],tabela_registros[MÊS],$AE$1,tabela_registros[DIA],reservafixaconsolidadoabr[[#Headers],[23]],tabela_registros[REGISTRO],DADOS!$N$6,tabela_registros[TIPO],DADOS!$AJ$3,tabela_registros[CATEGORIA],reservafixaconsolidadoabr[[#This Row],[ATUAL]])</f>
        <v>0</v>
      </c>
      <c r="AB170" s="119" t="n">
        <f aca="false">SUMIFS(tabela_registros[VALOR],tabela_registros[MÊS],$AE$1,tabela_registros[DIA],reservafixaconsolidadoabr[[#Headers],[24]],tabela_registros[REGISTRO],DADOS!$N$6,tabela_registros[TIPO],DADOS!$AJ$3,tabela_registros[CATEGORIA],reservafixaconsolidadoabr[[#This Row],[ATUAL]])</f>
        <v>0</v>
      </c>
      <c r="AC170" s="119" t="n">
        <f aca="false">SUMIFS(tabela_registros[VALOR],tabela_registros[MÊS],$AE$1,tabela_registros[DIA],reservafixaconsolidadoabr[[#Headers],[25]],tabela_registros[REGISTRO],DADOS!$N$6,tabela_registros[TIPO],DADOS!$AJ$3,tabela_registros[CATEGORIA],reservafixaconsolidadoabr[[#This Row],[ATUAL]])</f>
        <v>0</v>
      </c>
      <c r="AD170" s="119" t="n">
        <f aca="false">SUMIFS(tabela_registros[VALOR],tabela_registros[MÊS],$AE$1,tabela_registros[DIA],reservafixaconsolidadoabr[[#Headers],[26]],tabela_registros[REGISTRO],DADOS!$N$6,tabela_registros[TIPO],DADOS!$AJ$3,tabela_registros[CATEGORIA],reservafixaconsolidadoabr[[#This Row],[ATUAL]])</f>
        <v>0</v>
      </c>
      <c r="AE170" s="119" t="n">
        <f aca="false">SUMIFS(tabela_registros[VALOR],tabela_registros[MÊS],$AE$1,tabela_registros[DIA],reservafixaconsolidadoabr[[#Headers],[27]],tabela_registros[REGISTRO],DADOS!$N$6,tabela_registros[TIPO],DADOS!$AJ$3,tabela_registros[CATEGORIA],reservafixaconsolidadoabr[[#This Row],[ATUAL]])</f>
        <v>0</v>
      </c>
      <c r="AF170" s="119" t="n">
        <f aca="false">SUMIFS(tabela_registros[VALOR],tabela_registros[MÊS],$AE$1,tabela_registros[DIA],reservafixaconsolidadoabr[[#Headers],[28]],tabela_registros[REGISTRO],DADOS!$N$6,tabela_registros[TIPO],DADOS!$AJ$3,tabela_registros[CATEGORIA],reservafixaconsolidadoabr[[#This Row],[ATUAL]])</f>
        <v>0</v>
      </c>
      <c r="AG170" s="119" t="n">
        <f aca="false">SUMIFS(tabela_registros[VALOR],tabela_registros[MÊS],$AE$1,tabela_registros[DIA],reservafixaconsolidadoabr[[#Headers],[29]],tabela_registros[REGISTRO],DADOS!$N$6,tabela_registros[TIPO],DADOS!$AJ$3,tabela_registros[CATEGORIA],reservafixaconsolidadoabr[[#This Row],[ATUAL]])</f>
        <v>0</v>
      </c>
      <c r="AH170" s="119" t="n">
        <f aca="false">SUMIFS(tabela_registros[VALOR],tabela_registros[MÊS],$AE$1,tabela_registros[DIA],reservafixaconsolidadoabr[[#Headers],[30]],tabela_registros[REGISTRO],DADOS!$N$6,tabela_registros[TIPO],DADOS!$AJ$3,tabela_registros[CATEGORIA],reservafixaconsolidadoabr[[#This Row],[ATUAL]])</f>
        <v>0</v>
      </c>
      <c r="AI170" s="217" t="n">
        <f aca="false">SUMIFS(tabela_registros[VALOR],tabela_registros[MÊS],$AE$1,tabela_registros[DIA],reservafixaconsolidadoabr[[#Headers],[31]],tabela_registros[REGISTRO],DADOS!$N$6,tabela_registros[TIPO],DADOS!$AJ$3,tabela_registros[CATEGORIA],reservafixaconsolidadoabr[[#This Row],[ATUAL]])</f>
        <v>0</v>
      </c>
      <c r="AJ170" s="149" t="n">
        <f aca="false">SUM(reservafixaconsolidadoabr[[#This Row],[1]:[31]])</f>
        <v>0</v>
      </c>
      <c r="AK170" s="165"/>
    </row>
    <row r="171" customFormat="false" ht="19.5" hidden="false" customHeight="true" outlineLevel="0" collapsed="false">
      <c r="B171" s="143"/>
      <c r="C171" s="144" t="str">
        <f aca="false">DADOS!$AL$6</f>
        <v>📝 DEBÊNTURE</v>
      </c>
      <c r="D171" s="145" t="str">
        <f aca="false">IF(reservafixaconsolidadoabr[[#This Row],[TOTAL (R$)]]=0,"",IF(OR(reservafixaconsolidadoabr[[#This Row],[TOTAL (R$)]]=LARGE($AJ$168:$AJ$177,1),reservafixaconsolidadoabr[[#This Row],[TOTAL (R$)]]=LARGE($AJ$168:$AJ$177,2)),DADOS!$I$11,""))</f>
        <v/>
      </c>
      <c r="E171" s="148" t="n">
        <f aca="false">SUMIFS(tabela_registros[VALOR],tabela_registros[MÊS],$AE$1,tabela_registros[DIA],reservafixaconsolidadoabr[[#Headers],[1]],tabela_registros[REGISTRO],DADOS!$N$6,tabela_registros[TIPO],DADOS!$AJ$3,tabela_registros[CATEGORIA],reservafixaconsolidadoabr[[#This Row],[ATUAL]])</f>
        <v>0</v>
      </c>
      <c r="F171" s="119" t="n">
        <f aca="false">SUMIFS(tabela_registros[VALOR],tabela_registros[MÊS],$AE$1,tabela_registros[DIA],reservafixaconsolidadoabr[[#Headers],[2]],tabela_registros[REGISTRO],DADOS!$N$6,tabela_registros[TIPO],DADOS!$AJ$3,tabela_registros[CATEGORIA],reservafixaconsolidadoabr[[#This Row],[ATUAL]])</f>
        <v>0</v>
      </c>
      <c r="G171" s="119" t="n">
        <f aca="false">SUMIFS(tabela_registros[VALOR],tabela_registros[MÊS],$AE$1,tabela_registros[DIA],reservafixaconsolidadoabr[[#Headers],[3]],tabela_registros[REGISTRO],DADOS!$N$6,tabela_registros[TIPO],DADOS!$AJ$3,tabela_registros[CATEGORIA],reservafixaconsolidadoabr[[#This Row],[ATUAL]])</f>
        <v>0</v>
      </c>
      <c r="H171" s="119" t="n">
        <f aca="false">SUMIFS(tabela_registros[VALOR],tabela_registros[MÊS],$AE$1,tabela_registros[DIA],reservafixaconsolidadoabr[[#Headers],[4]],tabela_registros[REGISTRO],DADOS!$N$6,tabela_registros[TIPO],DADOS!$AJ$3,tabela_registros[CATEGORIA],reservafixaconsolidadoabr[[#This Row],[ATUAL]])</f>
        <v>0</v>
      </c>
      <c r="I171" s="119" t="n">
        <f aca="false">SUMIFS(tabela_registros[VALOR],tabela_registros[MÊS],$AE$1,tabela_registros[DIA],reservafixaconsolidadoabr[[#Headers],[5]],tabela_registros[REGISTRO],DADOS!$N$6,tabela_registros[TIPO],DADOS!$AJ$3,tabela_registros[CATEGORIA],reservafixaconsolidadoabr[[#This Row],[ATUAL]])</f>
        <v>0</v>
      </c>
      <c r="J171" s="119" t="n">
        <f aca="false">SUMIFS(tabela_registros[VALOR],tabela_registros[MÊS],$AE$1,tabela_registros[DIA],reservafixaconsolidadoabr[[#Headers],[6]],tabela_registros[REGISTRO],DADOS!$N$6,tabela_registros[TIPO],DADOS!$AJ$3,tabela_registros[CATEGORIA],reservafixaconsolidadoabr[[#This Row],[ATUAL]])</f>
        <v>0</v>
      </c>
      <c r="K171" s="119" t="n">
        <f aca="false">SUMIFS(tabela_registros[VALOR],tabela_registros[MÊS],$AE$1,tabela_registros[DIA],reservafixaconsolidadoabr[[#Headers],[7]],tabela_registros[REGISTRO],DADOS!$N$6,tabela_registros[TIPO],DADOS!$AJ$3,tabela_registros[CATEGORIA],reservafixaconsolidadoabr[[#This Row],[ATUAL]])</f>
        <v>0</v>
      </c>
      <c r="L171" s="119" t="n">
        <f aca="false">SUMIFS(tabela_registros[VALOR],tabela_registros[MÊS],$AE$1,tabela_registros[DIA],reservafixaconsolidadoabr[[#Headers],[8]],tabela_registros[REGISTRO],DADOS!$N$6,tabela_registros[TIPO],DADOS!$AJ$3,tabela_registros[CATEGORIA],reservafixaconsolidadoabr[[#This Row],[ATUAL]])</f>
        <v>0</v>
      </c>
      <c r="M171" s="119" t="n">
        <f aca="false">SUMIFS(tabela_registros[VALOR],tabela_registros[MÊS],$AE$1,tabela_registros[DIA],reservafixaconsolidadoabr[[#Headers],[9]],tabela_registros[REGISTRO],DADOS!$N$6,tabela_registros[TIPO],DADOS!$AJ$3,tabela_registros[CATEGORIA],reservafixaconsolidadoabr[[#This Row],[ATUAL]])</f>
        <v>0</v>
      </c>
      <c r="N171" s="119" t="n">
        <f aca="false">SUMIFS(tabela_registros[VALOR],tabela_registros[MÊS],$AE$1,tabela_registros[DIA],reservafixaconsolidadoabr[[#Headers],[10]],tabela_registros[REGISTRO],DADOS!$N$6,tabela_registros[TIPO],DADOS!$AJ$3,tabela_registros[CATEGORIA],reservafixaconsolidadoabr[[#This Row],[ATUAL]])</f>
        <v>0</v>
      </c>
      <c r="O171" s="119" t="n">
        <f aca="false">SUMIFS(tabela_registros[VALOR],tabela_registros[MÊS],$AE$1,tabela_registros[DIA],reservafixaconsolidadoabr[[#Headers],[11]],tabela_registros[REGISTRO],DADOS!$N$6,tabela_registros[TIPO],DADOS!$AJ$3,tabela_registros[CATEGORIA],reservafixaconsolidadoabr[[#This Row],[ATUAL]])</f>
        <v>0</v>
      </c>
      <c r="P171" s="119" t="n">
        <f aca="false">SUMIFS(tabela_registros[VALOR],tabela_registros[MÊS],$AE$1,tabela_registros[DIA],reservafixaconsolidadoabr[[#Headers],[12]],tabela_registros[REGISTRO],DADOS!$N$6,tabela_registros[TIPO],DADOS!$AJ$3,tabela_registros[CATEGORIA],reservafixaconsolidadoabr[[#This Row],[ATUAL]])</f>
        <v>0</v>
      </c>
      <c r="Q171" s="119" t="n">
        <f aca="false">SUMIFS(tabela_registros[VALOR],tabela_registros[MÊS],$AE$1,tabela_registros[DIA],reservafixaconsolidadoabr[[#Headers],[13]],tabela_registros[REGISTRO],DADOS!$N$6,tabela_registros[TIPO],DADOS!$AJ$3,tabela_registros[CATEGORIA],reservafixaconsolidadoabr[[#This Row],[ATUAL]])</f>
        <v>0</v>
      </c>
      <c r="R171" s="119" t="n">
        <f aca="false">SUMIFS(tabela_registros[VALOR],tabela_registros[MÊS],$AE$1,tabela_registros[DIA],reservafixaconsolidadoabr[[#Headers],[14]],tabela_registros[REGISTRO],DADOS!$N$6,tabela_registros[TIPO],DADOS!$AJ$3,tabela_registros[CATEGORIA],reservafixaconsolidadoabr[[#This Row],[ATUAL]])</f>
        <v>0</v>
      </c>
      <c r="S171" s="119" t="n">
        <f aca="false">SUMIFS(tabela_registros[VALOR],tabela_registros[MÊS],$AE$1,tabela_registros[DIA],reservafixaconsolidadoabr[[#Headers],[15]],tabela_registros[REGISTRO],DADOS!$N$6,tabela_registros[TIPO],DADOS!$AJ$3,tabela_registros[CATEGORIA],reservafixaconsolidadoabr[[#This Row],[ATUAL]])</f>
        <v>0</v>
      </c>
      <c r="T171" s="119" t="n">
        <f aca="false">SUMIFS(tabela_registros[VALOR],tabela_registros[MÊS],$AE$1,tabela_registros[DIA],reservafixaconsolidadoabr[[#Headers],[16]],tabela_registros[REGISTRO],DADOS!$N$6,tabela_registros[TIPO],DADOS!$AJ$3,tabela_registros[CATEGORIA],reservafixaconsolidadoabr[[#This Row],[ATUAL]])</f>
        <v>0</v>
      </c>
      <c r="U171" s="119" t="n">
        <f aca="false">SUMIFS(tabela_registros[VALOR],tabela_registros[MÊS],$AE$1,tabela_registros[DIA],reservafixaconsolidadoabr[[#Headers],[17]],tabela_registros[REGISTRO],DADOS!$N$6,tabela_registros[TIPO],DADOS!$AJ$3,tabela_registros[CATEGORIA],reservafixaconsolidadoabr[[#This Row],[ATUAL]])</f>
        <v>0</v>
      </c>
      <c r="V171" s="119" t="n">
        <f aca="false">SUMIFS(tabela_registros[VALOR],tabela_registros[MÊS],$AE$1,tabela_registros[DIA],reservafixaconsolidadoabr[[#Headers],[18]],tabela_registros[REGISTRO],DADOS!$N$6,tabela_registros[TIPO],DADOS!$AJ$3,tabela_registros[CATEGORIA],reservafixaconsolidadoabr[[#This Row],[ATUAL]])</f>
        <v>0</v>
      </c>
      <c r="W171" s="119" t="n">
        <f aca="false">SUMIFS(tabela_registros[VALOR],tabela_registros[MÊS],$AE$1,tabela_registros[DIA],reservafixaconsolidadoabr[[#Headers],[19]],tabela_registros[REGISTRO],DADOS!$N$6,tabela_registros[TIPO],DADOS!$AJ$3,tabela_registros[CATEGORIA],reservafixaconsolidadoabr[[#This Row],[ATUAL]])</f>
        <v>0</v>
      </c>
      <c r="X171" s="119" t="n">
        <f aca="false">SUMIFS(tabela_registros[VALOR],tabela_registros[MÊS],$AE$1,tabela_registros[DIA],reservafixaconsolidadoabr[[#Headers],[20]],tabela_registros[REGISTRO],DADOS!$N$6,tabela_registros[TIPO],DADOS!$AJ$3,tabela_registros[CATEGORIA],reservafixaconsolidadoabr[[#This Row],[ATUAL]])</f>
        <v>0</v>
      </c>
      <c r="Y171" s="119" t="n">
        <f aca="false">SUMIFS(tabela_registros[VALOR],tabela_registros[MÊS],$AE$1,tabela_registros[DIA],reservafixaconsolidadoabr[[#Headers],[21]],tabela_registros[REGISTRO],DADOS!$N$6,tabela_registros[TIPO],DADOS!$AJ$3,tabela_registros[CATEGORIA],reservafixaconsolidadoabr[[#This Row],[ATUAL]])</f>
        <v>0</v>
      </c>
      <c r="Z171" s="119" t="n">
        <f aca="false">SUMIFS(tabela_registros[VALOR],tabela_registros[MÊS],$AE$1,tabela_registros[DIA],reservafixaconsolidadoabr[[#Headers],[22]],tabela_registros[REGISTRO],DADOS!$N$6,tabela_registros[TIPO],DADOS!$AJ$3,tabela_registros[CATEGORIA],reservafixaconsolidadoabr[[#This Row],[ATUAL]])</f>
        <v>0</v>
      </c>
      <c r="AA171" s="119" t="n">
        <f aca="false">SUMIFS(tabela_registros[VALOR],tabela_registros[MÊS],$AE$1,tabela_registros[DIA],reservafixaconsolidadoabr[[#Headers],[23]],tabela_registros[REGISTRO],DADOS!$N$6,tabela_registros[TIPO],DADOS!$AJ$3,tabela_registros[CATEGORIA],reservafixaconsolidadoabr[[#This Row],[ATUAL]])</f>
        <v>0</v>
      </c>
      <c r="AB171" s="119" t="n">
        <f aca="false">SUMIFS(tabela_registros[VALOR],tabela_registros[MÊS],$AE$1,tabela_registros[DIA],reservafixaconsolidadoabr[[#Headers],[24]],tabela_registros[REGISTRO],DADOS!$N$6,tabela_registros[TIPO],DADOS!$AJ$3,tabela_registros[CATEGORIA],reservafixaconsolidadoabr[[#This Row],[ATUAL]])</f>
        <v>0</v>
      </c>
      <c r="AC171" s="119" t="n">
        <f aca="false">SUMIFS(tabela_registros[VALOR],tabela_registros[MÊS],$AE$1,tabela_registros[DIA],reservafixaconsolidadoabr[[#Headers],[25]],tabela_registros[REGISTRO],DADOS!$N$6,tabela_registros[TIPO],DADOS!$AJ$3,tabela_registros[CATEGORIA],reservafixaconsolidadoabr[[#This Row],[ATUAL]])</f>
        <v>0</v>
      </c>
      <c r="AD171" s="119" t="n">
        <f aca="false">SUMIFS(tabela_registros[VALOR],tabela_registros[MÊS],$AE$1,tabela_registros[DIA],reservafixaconsolidadoabr[[#Headers],[26]],tabela_registros[REGISTRO],DADOS!$N$6,tabela_registros[TIPO],DADOS!$AJ$3,tabela_registros[CATEGORIA],reservafixaconsolidadoabr[[#This Row],[ATUAL]])</f>
        <v>0</v>
      </c>
      <c r="AE171" s="119" t="n">
        <f aca="false">SUMIFS(tabela_registros[VALOR],tabela_registros[MÊS],$AE$1,tabela_registros[DIA],reservafixaconsolidadoabr[[#Headers],[27]],tabela_registros[REGISTRO],DADOS!$N$6,tabela_registros[TIPO],DADOS!$AJ$3,tabela_registros[CATEGORIA],reservafixaconsolidadoabr[[#This Row],[ATUAL]])</f>
        <v>0</v>
      </c>
      <c r="AF171" s="119" t="n">
        <f aca="false">SUMIFS(tabela_registros[VALOR],tabela_registros[MÊS],$AE$1,tabela_registros[DIA],reservafixaconsolidadoabr[[#Headers],[28]],tabela_registros[REGISTRO],DADOS!$N$6,tabela_registros[TIPO],DADOS!$AJ$3,tabela_registros[CATEGORIA],reservafixaconsolidadoabr[[#This Row],[ATUAL]])</f>
        <v>0</v>
      </c>
      <c r="AG171" s="119" t="n">
        <f aca="false">SUMIFS(tabela_registros[VALOR],tabela_registros[MÊS],$AE$1,tabela_registros[DIA],reservafixaconsolidadoabr[[#Headers],[29]],tabela_registros[REGISTRO],DADOS!$N$6,tabela_registros[TIPO],DADOS!$AJ$3,tabela_registros[CATEGORIA],reservafixaconsolidadoabr[[#This Row],[ATUAL]])</f>
        <v>0</v>
      </c>
      <c r="AH171" s="119" t="n">
        <f aca="false">SUMIFS(tabela_registros[VALOR],tabela_registros[MÊS],$AE$1,tabela_registros[DIA],reservafixaconsolidadoabr[[#Headers],[30]],tabela_registros[REGISTRO],DADOS!$N$6,tabela_registros[TIPO],DADOS!$AJ$3,tabela_registros[CATEGORIA],reservafixaconsolidadoabr[[#This Row],[ATUAL]])</f>
        <v>0</v>
      </c>
      <c r="AI171" s="217" t="n">
        <f aca="false">SUMIFS(tabela_registros[VALOR],tabela_registros[MÊS],$AE$1,tabela_registros[DIA],reservafixaconsolidadoabr[[#Headers],[31]],tabela_registros[REGISTRO],DADOS!$N$6,tabela_registros[TIPO],DADOS!$AJ$3,tabela_registros[CATEGORIA],reservafixaconsolidadoabr[[#This Row],[ATUAL]])</f>
        <v>0</v>
      </c>
      <c r="AJ171" s="149" t="n">
        <f aca="false">SUM(reservafixaconsolidadoabr[[#This Row],[1]:[31]])</f>
        <v>0</v>
      </c>
      <c r="AK171" s="165"/>
    </row>
    <row r="172" customFormat="false" ht="19.5" hidden="false" customHeight="true" outlineLevel="0" collapsed="false">
      <c r="B172" s="143"/>
      <c r="C172" s="144" t="str">
        <f aca="false">DADOS!$AL$7</f>
        <v>📝 EXTERIOR</v>
      </c>
      <c r="D172" s="145" t="str">
        <f aca="false">IF(reservafixaconsolidadoabr[[#This Row],[TOTAL (R$)]]=0,"",IF(OR(reservafixaconsolidadoabr[[#This Row],[TOTAL (R$)]]=LARGE($AJ$168:$AJ$177,1),reservafixaconsolidadoabr[[#This Row],[TOTAL (R$)]]=LARGE($AJ$168:$AJ$177,2)),DADOS!$I$11,""))</f>
        <v/>
      </c>
      <c r="E172" s="148" t="n">
        <f aca="false">SUMIFS(tabela_registros[VALOR],tabela_registros[MÊS],$AE$1,tabela_registros[DIA],reservafixaconsolidadoabr[[#Headers],[1]],tabela_registros[REGISTRO],DADOS!$N$6,tabela_registros[TIPO],DADOS!$AJ$3,tabela_registros[CATEGORIA],reservafixaconsolidadoabr[[#This Row],[ATUAL]])</f>
        <v>0</v>
      </c>
      <c r="F172" s="119" t="n">
        <f aca="false">SUMIFS(tabela_registros[VALOR],tabela_registros[MÊS],$AE$1,tabela_registros[DIA],reservafixaconsolidadoabr[[#Headers],[2]],tabela_registros[REGISTRO],DADOS!$N$6,tabela_registros[TIPO],DADOS!$AJ$3,tabela_registros[CATEGORIA],reservafixaconsolidadoabr[[#This Row],[ATUAL]])</f>
        <v>0</v>
      </c>
      <c r="G172" s="119" t="n">
        <f aca="false">SUMIFS(tabela_registros[VALOR],tabela_registros[MÊS],$AE$1,tabela_registros[DIA],reservafixaconsolidadoabr[[#Headers],[3]],tabela_registros[REGISTRO],DADOS!$N$6,tabela_registros[TIPO],DADOS!$AJ$3,tabela_registros[CATEGORIA],reservafixaconsolidadoabr[[#This Row],[ATUAL]])</f>
        <v>0</v>
      </c>
      <c r="H172" s="119" t="n">
        <f aca="false">SUMIFS(tabela_registros[VALOR],tabela_registros[MÊS],$AE$1,tabela_registros[DIA],reservafixaconsolidadoabr[[#Headers],[4]],tabela_registros[REGISTRO],DADOS!$N$6,tabela_registros[TIPO],DADOS!$AJ$3,tabela_registros[CATEGORIA],reservafixaconsolidadoabr[[#This Row],[ATUAL]])</f>
        <v>0</v>
      </c>
      <c r="I172" s="119" t="n">
        <f aca="false">SUMIFS(tabela_registros[VALOR],tabela_registros[MÊS],$AE$1,tabela_registros[DIA],reservafixaconsolidadoabr[[#Headers],[5]],tabela_registros[REGISTRO],DADOS!$N$6,tabela_registros[TIPO],DADOS!$AJ$3,tabela_registros[CATEGORIA],reservafixaconsolidadoabr[[#This Row],[ATUAL]])</f>
        <v>0</v>
      </c>
      <c r="J172" s="119" t="n">
        <f aca="false">SUMIFS(tabela_registros[VALOR],tabela_registros[MÊS],$AE$1,tabela_registros[DIA],reservafixaconsolidadoabr[[#Headers],[6]],tabela_registros[REGISTRO],DADOS!$N$6,tabela_registros[TIPO],DADOS!$AJ$3,tabela_registros[CATEGORIA],reservafixaconsolidadoabr[[#This Row],[ATUAL]])</f>
        <v>0</v>
      </c>
      <c r="K172" s="119" t="n">
        <f aca="false">SUMIFS(tabela_registros[VALOR],tabela_registros[MÊS],$AE$1,tabela_registros[DIA],reservafixaconsolidadoabr[[#Headers],[7]],tabela_registros[REGISTRO],DADOS!$N$6,tabela_registros[TIPO],DADOS!$AJ$3,tabela_registros[CATEGORIA],reservafixaconsolidadoabr[[#This Row],[ATUAL]])</f>
        <v>0</v>
      </c>
      <c r="L172" s="119" t="n">
        <f aca="false">SUMIFS(tabela_registros[VALOR],tabela_registros[MÊS],$AE$1,tabela_registros[DIA],reservafixaconsolidadoabr[[#Headers],[8]],tabela_registros[REGISTRO],DADOS!$N$6,tabela_registros[TIPO],DADOS!$AJ$3,tabela_registros[CATEGORIA],reservafixaconsolidadoabr[[#This Row],[ATUAL]])</f>
        <v>0</v>
      </c>
      <c r="M172" s="119" t="n">
        <f aca="false">SUMIFS(tabela_registros[VALOR],tabela_registros[MÊS],$AE$1,tabela_registros[DIA],reservafixaconsolidadoabr[[#Headers],[9]],tabela_registros[REGISTRO],DADOS!$N$6,tabela_registros[TIPO],DADOS!$AJ$3,tabela_registros[CATEGORIA],reservafixaconsolidadoabr[[#This Row],[ATUAL]])</f>
        <v>0</v>
      </c>
      <c r="N172" s="119" t="n">
        <f aca="false">SUMIFS(tabela_registros[VALOR],tabela_registros[MÊS],$AE$1,tabela_registros[DIA],reservafixaconsolidadoabr[[#Headers],[10]],tabela_registros[REGISTRO],DADOS!$N$6,tabela_registros[TIPO],DADOS!$AJ$3,tabela_registros[CATEGORIA],reservafixaconsolidadoabr[[#This Row],[ATUAL]])</f>
        <v>0</v>
      </c>
      <c r="O172" s="119" t="n">
        <f aca="false">SUMIFS(tabela_registros[VALOR],tabela_registros[MÊS],$AE$1,tabela_registros[DIA],reservafixaconsolidadoabr[[#Headers],[11]],tabela_registros[REGISTRO],DADOS!$N$6,tabela_registros[TIPO],DADOS!$AJ$3,tabela_registros[CATEGORIA],reservafixaconsolidadoabr[[#This Row],[ATUAL]])</f>
        <v>0</v>
      </c>
      <c r="P172" s="119" t="n">
        <f aca="false">SUMIFS(tabela_registros[VALOR],tabela_registros[MÊS],$AE$1,tabela_registros[DIA],reservafixaconsolidadoabr[[#Headers],[12]],tabela_registros[REGISTRO],DADOS!$N$6,tabela_registros[TIPO],DADOS!$AJ$3,tabela_registros[CATEGORIA],reservafixaconsolidadoabr[[#This Row],[ATUAL]])</f>
        <v>0</v>
      </c>
      <c r="Q172" s="119" t="n">
        <f aca="false">SUMIFS(tabela_registros[VALOR],tabela_registros[MÊS],$AE$1,tabela_registros[DIA],reservafixaconsolidadoabr[[#Headers],[13]],tabela_registros[REGISTRO],DADOS!$N$6,tabela_registros[TIPO],DADOS!$AJ$3,tabela_registros[CATEGORIA],reservafixaconsolidadoabr[[#This Row],[ATUAL]])</f>
        <v>0</v>
      </c>
      <c r="R172" s="119" t="n">
        <f aca="false">SUMIFS(tabela_registros[VALOR],tabela_registros[MÊS],$AE$1,tabela_registros[DIA],reservafixaconsolidadoabr[[#Headers],[14]],tabela_registros[REGISTRO],DADOS!$N$6,tabela_registros[TIPO],DADOS!$AJ$3,tabela_registros[CATEGORIA],reservafixaconsolidadoabr[[#This Row],[ATUAL]])</f>
        <v>0</v>
      </c>
      <c r="S172" s="119" t="n">
        <f aca="false">SUMIFS(tabela_registros[VALOR],tabela_registros[MÊS],$AE$1,tabela_registros[DIA],reservafixaconsolidadoabr[[#Headers],[15]],tabela_registros[REGISTRO],DADOS!$N$6,tabela_registros[TIPO],DADOS!$AJ$3,tabela_registros[CATEGORIA],reservafixaconsolidadoabr[[#This Row],[ATUAL]])</f>
        <v>0</v>
      </c>
      <c r="T172" s="119" t="n">
        <f aca="false">SUMIFS(tabela_registros[VALOR],tabela_registros[MÊS],$AE$1,tabela_registros[DIA],reservafixaconsolidadoabr[[#Headers],[16]],tabela_registros[REGISTRO],DADOS!$N$6,tabela_registros[TIPO],DADOS!$AJ$3,tabela_registros[CATEGORIA],reservafixaconsolidadoabr[[#This Row],[ATUAL]])</f>
        <v>0</v>
      </c>
      <c r="U172" s="119" t="n">
        <f aca="false">SUMIFS(tabela_registros[VALOR],tabela_registros[MÊS],$AE$1,tabela_registros[DIA],reservafixaconsolidadoabr[[#Headers],[17]],tabela_registros[REGISTRO],DADOS!$N$6,tabela_registros[TIPO],DADOS!$AJ$3,tabela_registros[CATEGORIA],reservafixaconsolidadoabr[[#This Row],[ATUAL]])</f>
        <v>0</v>
      </c>
      <c r="V172" s="119" t="n">
        <f aca="false">SUMIFS(tabela_registros[VALOR],tabela_registros[MÊS],$AE$1,tabela_registros[DIA],reservafixaconsolidadoabr[[#Headers],[18]],tabela_registros[REGISTRO],DADOS!$N$6,tabela_registros[TIPO],DADOS!$AJ$3,tabela_registros[CATEGORIA],reservafixaconsolidadoabr[[#This Row],[ATUAL]])</f>
        <v>0</v>
      </c>
      <c r="W172" s="119" t="n">
        <f aca="false">SUMIFS(tabela_registros[VALOR],tabela_registros[MÊS],$AE$1,tabela_registros[DIA],reservafixaconsolidadoabr[[#Headers],[19]],tabela_registros[REGISTRO],DADOS!$N$6,tabela_registros[TIPO],DADOS!$AJ$3,tabela_registros[CATEGORIA],reservafixaconsolidadoabr[[#This Row],[ATUAL]])</f>
        <v>0</v>
      </c>
      <c r="X172" s="119" t="n">
        <f aca="false">SUMIFS(tabela_registros[VALOR],tabela_registros[MÊS],$AE$1,tabela_registros[DIA],reservafixaconsolidadoabr[[#Headers],[20]],tabela_registros[REGISTRO],DADOS!$N$6,tabela_registros[TIPO],DADOS!$AJ$3,tabela_registros[CATEGORIA],reservafixaconsolidadoabr[[#This Row],[ATUAL]])</f>
        <v>0</v>
      </c>
      <c r="Y172" s="119" t="n">
        <f aca="false">SUMIFS(tabela_registros[VALOR],tabela_registros[MÊS],$AE$1,tabela_registros[DIA],reservafixaconsolidadoabr[[#Headers],[21]],tabela_registros[REGISTRO],DADOS!$N$6,tabela_registros[TIPO],DADOS!$AJ$3,tabela_registros[CATEGORIA],reservafixaconsolidadoabr[[#This Row],[ATUAL]])</f>
        <v>0</v>
      </c>
      <c r="Z172" s="119" t="n">
        <f aca="false">SUMIFS(tabela_registros[VALOR],tabela_registros[MÊS],$AE$1,tabela_registros[DIA],reservafixaconsolidadoabr[[#Headers],[22]],tabela_registros[REGISTRO],DADOS!$N$6,tabela_registros[TIPO],DADOS!$AJ$3,tabela_registros[CATEGORIA],reservafixaconsolidadoabr[[#This Row],[ATUAL]])</f>
        <v>0</v>
      </c>
      <c r="AA172" s="119" t="n">
        <f aca="false">SUMIFS(tabela_registros[VALOR],tabela_registros[MÊS],$AE$1,tabela_registros[DIA],reservafixaconsolidadoabr[[#Headers],[23]],tabela_registros[REGISTRO],DADOS!$N$6,tabela_registros[TIPO],DADOS!$AJ$3,tabela_registros[CATEGORIA],reservafixaconsolidadoabr[[#This Row],[ATUAL]])</f>
        <v>0</v>
      </c>
      <c r="AB172" s="119" t="n">
        <f aca="false">SUMIFS(tabela_registros[VALOR],tabela_registros[MÊS],$AE$1,tabela_registros[DIA],reservafixaconsolidadoabr[[#Headers],[24]],tabela_registros[REGISTRO],DADOS!$N$6,tabela_registros[TIPO],DADOS!$AJ$3,tabela_registros[CATEGORIA],reservafixaconsolidadoabr[[#This Row],[ATUAL]])</f>
        <v>0</v>
      </c>
      <c r="AC172" s="119" t="n">
        <f aca="false">SUMIFS(tabela_registros[VALOR],tabela_registros[MÊS],$AE$1,tabela_registros[DIA],reservafixaconsolidadoabr[[#Headers],[25]],tabela_registros[REGISTRO],DADOS!$N$6,tabela_registros[TIPO],DADOS!$AJ$3,tabela_registros[CATEGORIA],reservafixaconsolidadoabr[[#This Row],[ATUAL]])</f>
        <v>0</v>
      </c>
      <c r="AD172" s="119" t="n">
        <f aca="false">SUMIFS(tabela_registros[VALOR],tabela_registros[MÊS],$AE$1,tabela_registros[DIA],reservafixaconsolidadoabr[[#Headers],[26]],tabela_registros[REGISTRO],DADOS!$N$6,tabela_registros[TIPO],DADOS!$AJ$3,tabela_registros[CATEGORIA],reservafixaconsolidadoabr[[#This Row],[ATUAL]])</f>
        <v>0</v>
      </c>
      <c r="AE172" s="119" t="n">
        <f aca="false">SUMIFS(tabela_registros[VALOR],tabela_registros[MÊS],$AE$1,tabela_registros[DIA],reservafixaconsolidadoabr[[#Headers],[27]],tabela_registros[REGISTRO],DADOS!$N$6,tabela_registros[TIPO],DADOS!$AJ$3,tabela_registros[CATEGORIA],reservafixaconsolidadoabr[[#This Row],[ATUAL]])</f>
        <v>0</v>
      </c>
      <c r="AF172" s="119" t="n">
        <f aca="false">SUMIFS(tabela_registros[VALOR],tabela_registros[MÊS],$AE$1,tabela_registros[DIA],reservafixaconsolidadoabr[[#Headers],[28]],tabela_registros[REGISTRO],DADOS!$N$6,tabela_registros[TIPO],DADOS!$AJ$3,tabela_registros[CATEGORIA],reservafixaconsolidadoabr[[#This Row],[ATUAL]])</f>
        <v>0</v>
      </c>
      <c r="AG172" s="119" t="n">
        <f aca="false">SUMIFS(tabela_registros[VALOR],tabela_registros[MÊS],$AE$1,tabela_registros[DIA],reservafixaconsolidadoabr[[#Headers],[29]],tabela_registros[REGISTRO],DADOS!$N$6,tabela_registros[TIPO],DADOS!$AJ$3,tabela_registros[CATEGORIA],reservafixaconsolidadoabr[[#This Row],[ATUAL]])</f>
        <v>0</v>
      </c>
      <c r="AH172" s="119" t="n">
        <f aca="false">SUMIFS(tabela_registros[VALOR],tabela_registros[MÊS],$AE$1,tabela_registros[DIA],reservafixaconsolidadoabr[[#Headers],[30]],tabela_registros[REGISTRO],DADOS!$N$6,tabela_registros[TIPO],DADOS!$AJ$3,tabela_registros[CATEGORIA],reservafixaconsolidadoabr[[#This Row],[ATUAL]])</f>
        <v>0</v>
      </c>
      <c r="AI172" s="217" t="n">
        <f aca="false">SUMIFS(tabela_registros[VALOR],tabela_registros[MÊS],$AE$1,tabela_registros[DIA],reservafixaconsolidadoabr[[#Headers],[31]],tabela_registros[REGISTRO],DADOS!$N$6,tabela_registros[TIPO],DADOS!$AJ$3,tabela_registros[CATEGORIA],reservafixaconsolidadoabr[[#This Row],[ATUAL]])</f>
        <v>0</v>
      </c>
      <c r="AJ172" s="149" t="n">
        <f aca="false">SUM(reservafixaconsolidadoabr[[#This Row],[1]:[31]])</f>
        <v>0</v>
      </c>
      <c r="AK172" s="165"/>
    </row>
    <row r="173" customFormat="false" ht="19.5" hidden="false" customHeight="true" outlineLevel="0" collapsed="false">
      <c r="B173" s="143"/>
      <c r="C173" s="144" t="str">
        <f aca="false">DADOS!$AL$8</f>
        <v>📝 LC</v>
      </c>
      <c r="D173" s="145" t="str">
        <f aca="false">IF(reservafixaconsolidadoabr[[#This Row],[TOTAL (R$)]]=0,"",IF(OR(reservafixaconsolidadoabr[[#This Row],[TOTAL (R$)]]=LARGE($AJ$168:$AJ$177,1),reservafixaconsolidadoabr[[#This Row],[TOTAL (R$)]]=LARGE($AJ$168:$AJ$177,2)),DADOS!$I$11,""))</f>
        <v/>
      </c>
      <c r="E173" s="148" t="n">
        <f aca="false">SUMIFS(tabela_registros[VALOR],tabela_registros[MÊS],$AE$1,tabela_registros[DIA],reservafixaconsolidadoabr[[#Headers],[1]],tabela_registros[REGISTRO],DADOS!$N$6,tabela_registros[TIPO],DADOS!$AJ$3,tabela_registros[CATEGORIA],reservafixaconsolidadoabr[[#This Row],[ATUAL]])</f>
        <v>0</v>
      </c>
      <c r="F173" s="119" t="n">
        <f aca="false">SUMIFS(tabela_registros[VALOR],tabela_registros[MÊS],$AE$1,tabela_registros[DIA],reservafixaconsolidadoabr[[#Headers],[2]],tabela_registros[REGISTRO],DADOS!$N$6,tabela_registros[TIPO],DADOS!$AJ$3,tabela_registros[CATEGORIA],reservafixaconsolidadoabr[[#This Row],[ATUAL]])</f>
        <v>0</v>
      </c>
      <c r="G173" s="119" t="n">
        <f aca="false">SUMIFS(tabela_registros[VALOR],tabela_registros[MÊS],$AE$1,tabela_registros[DIA],reservafixaconsolidadoabr[[#Headers],[3]],tabela_registros[REGISTRO],DADOS!$N$6,tabela_registros[TIPO],DADOS!$AJ$3,tabela_registros[CATEGORIA],reservafixaconsolidadoabr[[#This Row],[ATUAL]])</f>
        <v>0</v>
      </c>
      <c r="H173" s="119" t="n">
        <f aca="false">SUMIFS(tabela_registros[VALOR],tabela_registros[MÊS],$AE$1,tabela_registros[DIA],reservafixaconsolidadoabr[[#Headers],[4]],tabela_registros[REGISTRO],DADOS!$N$6,tabela_registros[TIPO],DADOS!$AJ$3,tabela_registros[CATEGORIA],reservafixaconsolidadoabr[[#This Row],[ATUAL]])</f>
        <v>0</v>
      </c>
      <c r="I173" s="119" t="n">
        <f aca="false">SUMIFS(tabela_registros[VALOR],tabela_registros[MÊS],$AE$1,tabela_registros[DIA],reservafixaconsolidadoabr[[#Headers],[5]],tabela_registros[REGISTRO],DADOS!$N$6,tabela_registros[TIPO],DADOS!$AJ$3,tabela_registros[CATEGORIA],reservafixaconsolidadoabr[[#This Row],[ATUAL]])</f>
        <v>0</v>
      </c>
      <c r="J173" s="119" t="n">
        <f aca="false">SUMIFS(tabela_registros[VALOR],tabela_registros[MÊS],$AE$1,tabela_registros[DIA],reservafixaconsolidadoabr[[#Headers],[6]],tabela_registros[REGISTRO],DADOS!$N$6,tabela_registros[TIPO],DADOS!$AJ$3,tabela_registros[CATEGORIA],reservafixaconsolidadoabr[[#This Row],[ATUAL]])</f>
        <v>0</v>
      </c>
      <c r="K173" s="119" t="n">
        <f aca="false">SUMIFS(tabela_registros[VALOR],tabela_registros[MÊS],$AE$1,tabela_registros[DIA],reservafixaconsolidadoabr[[#Headers],[7]],tabela_registros[REGISTRO],DADOS!$N$6,tabela_registros[TIPO],DADOS!$AJ$3,tabela_registros[CATEGORIA],reservafixaconsolidadoabr[[#This Row],[ATUAL]])</f>
        <v>0</v>
      </c>
      <c r="L173" s="119" t="n">
        <f aca="false">SUMIFS(tabela_registros[VALOR],tabela_registros[MÊS],$AE$1,tabela_registros[DIA],reservafixaconsolidadoabr[[#Headers],[8]],tabela_registros[REGISTRO],DADOS!$N$6,tabela_registros[TIPO],DADOS!$AJ$3,tabela_registros[CATEGORIA],reservafixaconsolidadoabr[[#This Row],[ATUAL]])</f>
        <v>0</v>
      </c>
      <c r="M173" s="119" t="n">
        <f aca="false">SUMIFS(tabela_registros[VALOR],tabela_registros[MÊS],$AE$1,tabela_registros[DIA],reservafixaconsolidadoabr[[#Headers],[9]],tabela_registros[REGISTRO],DADOS!$N$6,tabela_registros[TIPO],DADOS!$AJ$3,tabela_registros[CATEGORIA],reservafixaconsolidadoabr[[#This Row],[ATUAL]])</f>
        <v>0</v>
      </c>
      <c r="N173" s="119" t="n">
        <f aca="false">SUMIFS(tabela_registros[VALOR],tabela_registros[MÊS],$AE$1,tabela_registros[DIA],reservafixaconsolidadoabr[[#Headers],[10]],tabela_registros[REGISTRO],DADOS!$N$6,tabela_registros[TIPO],DADOS!$AJ$3,tabela_registros[CATEGORIA],reservafixaconsolidadoabr[[#This Row],[ATUAL]])</f>
        <v>0</v>
      </c>
      <c r="O173" s="119" t="n">
        <f aca="false">SUMIFS(tabela_registros[VALOR],tabela_registros[MÊS],$AE$1,tabela_registros[DIA],reservafixaconsolidadoabr[[#Headers],[11]],tabela_registros[REGISTRO],DADOS!$N$6,tabela_registros[TIPO],DADOS!$AJ$3,tabela_registros[CATEGORIA],reservafixaconsolidadoabr[[#This Row],[ATUAL]])</f>
        <v>0</v>
      </c>
      <c r="P173" s="119" t="n">
        <f aca="false">SUMIFS(tabela_registros[VALOR],tabela_registros[MÊS],$AE$1,tabela_registros[DIA],reservafixaconsolidadoabr[[#Headers],[12]],tabela_registros[REGISTRO],DADOS!$N$6,tabela_registros[TIPO],DADOS!$AJ$3,tabela_registros[CATEGORIA],reservafixaconsolidadoabr[[#This Row],[ATUAL]])</f>
        <v>0</v>
      </c>
      <c r="Q173" s="119" t="n">
        <f aca="false">SUMIFS(tabela_registros[VALOR],tabela_registros[MÊS],$AE$1,tabela_registros[DIA],reservafixaconsolidadoabr[[#Headers],[13]],tabela_registros[REGISTRO],DADOS!$N$6,tabela_registros[TIPO],DADOS!$AJ$3,tabela_registros[CATEGORIA],reservafixaconsolidadoabr[[#This Row],[ATUAL]])</f>
        <v>0</v>
      </c>
      <c r="R173" s="119" t="n">
        <f aca="false">SUMIFS(tabela_registros[VALOR],tabela_registros[MÊS],$AE$1,tabela_registros[DIA],reservafixaconsolidadoabr[[#Headers],[14]],tabela_registros[REGISTRO],DADOS!$N$6,tabela_registros[TIPO],DADOS!$AJ$3,tabela_registros[CATEGORIA],reservafixaconsolidadoabr[[#This Row],[ATUAL]])</f>
        <v>0</v>
      </c>
      <c r="S173" s="119" t="n">
        <f aca="false">SUMIFS(tabela_registros[VALOR],tabela_registros[MÊS],$AE$1,tabela_registros[DIA],reservafixaconsolidadoabr[[#Headers],[15]],tabela_registros[REGISTRO],DADOS!$N$6,tabela_registros[TIPO],DADOS!$AJ$3,tabela_registros[CATEGORIA],reservafixaconsolidadoabr[[#This Row],[ATUAL]])</f>
        <v>0</v>
      </c>
      <c r="T173" s="119" t="n">
        <f aca="false">SUMIFS(tabela_registros[VALOR],tabela_registros[MÊS],$AE$1,tabela_registros[DIA],reservafixaconsolidadoabr[[#Headers],[16]],tabela_registros[REGISTRO],DADOS!$N$6,tabela_registros[TIPO],DADOS!$AJ$3,tabela_registros[CATEGORIA],reservafixaconsolidadoabr[[#This Row],[ATUAL]])</f>
        <v>0</v>
      </c>
      <c r="U173" s="119" t="n">
        <f aca="false">SUMIFS(tabela_registros[VALOR],tabela_registros[MÊS],$AE$1,tabela_registros[DIA],reservafixaconsolidadoabr[[#Headers],[17]],tabela_registros[REGISTRO],DADOS!$N$6,tabela_registros[TIPO],DADOS!$AJ$3,tabela_registros[CATEGORIA],reservafixaconsolidadoabr[[#This Row],[ATUAL]])</f>
        <v>0</v>
      </c>
      <c r="V173" s="119" t="n">
        <f aca="false">SUMIFS(tabela_registros[VALOR],tabela_registros[MÊS],$AE$1,tabela_registros[DIA],reservafixaconsolidadoabr[[#Headers],[18]],tabela_registros[REGISTRO],DADOS!$N$6,tabela_registros[TIPO],DADOS!$AJ$3,tabela_registros[CATEGORIA],reservafixaconsolidadoabr[[#This Row],[ATUAL]])</f>
        <v>0</v>
      </c>
      <c r="W173" s="119" t="n">
        <f aca="false">SUMIFS(tabela_registros[VALOR],tabela_registros[MÊS],$AE$1,tabela_registros[DIA],reservafixaconsolidadoabr[[#Headers],[19]],tabela_registros[REGISTRO],DADOS!$N$6,tabela_registros[TIPO],DADOS!$AJ$3,tabela_registros[CATEGORIA],reservafixaconsolidadoabr[[#This Row],[ATUAL]])</f>
        <v>0</v>
      </c>
      <c r="X173" s="119" t="n">
        <f aca="false">SUMIFS(tabela_registros[VALOR],tabela_registros[MÊS],$AE$1,tabela_registros[DIA],reservafixaconsolidadoabr[[#Headers],[20]],tabela_registros[REGISTRO],DADOS!$N$6,tabela_registros[TIPO],DADOS!$AJ$3,tabela_registros[CATEGORIA],reservafixaconsolidadoabr[[#This Row],[ATUAL]])</f>
        <v>0</v>
      </c>
      <c r="Y173" s="119" t="n">
        <f aca="false">SUMIFS(tabela_registros[VALOR],tabela_registros[MÊS],$AE$1,tabela_registros[DIA],reservafixaconsolidadoabr[[#Headers],[21]],tabela_registros[REGISTRO],DADOS!$N$6,tabela_registros[TIPO],DADOS!$AJ$3,tabela_registros[CATEGORIA],reservafixaconsolidadoabr[[#This Row],[ATUAL]])</f>
        <v>0</v>
      </c>
      <c r="Z173" s="119" t="n">
        <f aca="false">SUMIFS(tabela_registros[VALOR],tabela_registros[MÊS],$AE$1,tabela_registros[DIA],reservafixaconsolidadoabr[[#Headers],[22]],tabela_registros[REGISTRO],DADOS!$N$6,tabela_registros[TIPO],DADOS!$AJ$3,tabela_registros[CATEGORIA],reservafixaconsolidadoabr[[#This Row],[ATUAL]])</f>
        <v>0</v>
      </c>
      <c r="AA173" s="119" t="n">
        <f aca="false">SUMIFS(tabela_registros[VALOR],tabela_registros[MÊS],$AE$1,tabela_registros[DIA],reservafixaconsolidadoabr[[#Headers],[23]],tabela_registros[REGISTRO],DADOS!$N$6,tabela_registros[TIPO],DADOS!$AJ$3,tabela_registros[CATEGORIA],reservafixaconsolidadoabr[[#This Row],[ATUAL]])</f>
        <v>0</v>
      </c>
      <c r="AB173" s="119" t="n">
        <f aca="false">SUMIFS(tabela_registros[VALOR],tabela_registros[MÊS],$AE$1,tabela_registros[DIA],reservafixaconsolidadoabr[[#Headers],[24]],tabela_registros[REGISTRO],DADOS!$N$6,tabela_registros[TIPO],DADOS!$AJ$3,tabela_registros[CATEGORIA],reservafixaconsolidadoabr[[#This Row],[ATUAL]])</f>
        <v>0</v>
      </c>
      <c r="AC173" s="119" t="n">
        <f aca="false">SUMIFS(tabela_registros[VALOR],tabela_registros[MÊS],$AE$1,tabela_registros[DIA],reservafixaconsolidadoabr[[#Headers],[25]],tabela_registros[REGISTRO],DADOS!$N$6,tabela_registros[TIPO],DADOS!$AJ$3,tabela_registros[CATEGORIA],reservafixaconsolidadoabr[[#This Row],[ATUAL]])</f>
        <v>0</v>
      </c>
      <c r="AD173" s="119" t="n">
        <f aca="false">SUMIFS(tabela_registros[VALOR],tabela_registros[MÊS],$AE$1,tabela_registros[DIA],reservafixaconsolidadoabr[[#Headers],[26]],tabela_registros[REGISTRO],DADOS!$N$6,tabela_registros[TIPO],DADOS!$AJ$3,tabela_registros[CATEGORIA],reservafixaconsolidadoabr[[#This Row],[ATUAL]])</f>
        <v>0</v>
      </c>
      <c r="AE173" s="119" t="n">
        <f aca="false">SUMIFS(tabela_registros[VALOR],tabela_registros[MÊS],$AE$1,tabela_registros[DIA],reservafixaconsolidadoabr[[#Headers],[27]],tabela_registros[REGISTRO],DADOS!$N$6,tabela_registros[TIPO],DADOS!$AJ$3,tabela_registros[CATEGORIA],reservafixaconsolidadoabr[[#This Row],[ATUAL]])</f>
        <v>0</v>
      </c>
      <c r="AF173" s="119" t="n">
        <f aca="false">SUMIFS(tabela_registros[VALOR],tabela_registros[MÊS],$AE$1,tabela_registros[DIA],reservafixaconsolidadoabr[[#Headers],[28]],tabela_registros[REGISTRO],DADOS!$N$6,tabela_registros[TIPO],DADOS!$AJ$3,tabela_registros[CATEGORIA],reservafixaconsolidadoabr[[#This Row],[ATUAL]])</f>
        <v>0</v>
      </c>
      <c r="AG173" s="119" t="n">
        <f aca="false">SUMIFS(tabela_registros[VALOR],tabela_registros[MÊS],$AE$1,tabela_registros[DIA],reservafixaconsolidadoabr[[#Headers],[29]],tabela_registros[REGISTRO],DADOS!$N$6,tabela_registros[TIPO],DADOS!$AJ$3,tabela_registros[CATEGORIA],reservafixaconsolidadoabr[[#This Row],[ATUAL]])</f>
        <v>0</v>
      </c>
      <c r="AH173" s="119" t="n">
        <f aca="false">SUMIFS(tabela_registros[VALOR],tabela_registros[MÊS],$AE$1,tabela_registros[DIA],reservafixaconsolidadoabr[[#Headers],[30]],tabela_registros[REGISTRO],DADOS!$N$6,tabela_registros[TIPO],DADOS!$AJ$3,tabela_registros[CATEGORIA],reservafixaconsolidadoabr[[#This Row],[ATUAL]])</f>
        <v>0</v>
      </c>
      <c r="AI173" s="217" t="n">
        <f aca="false">SUMIFS(tabela_registros[VALOR],tabela_registros[MÊS],$AE$1,tabela_registros[DIA],reservafixaconsolidadoabr[[#Headers],[31]],tabela_registros[REGISTRO],DADOS!$N$6,tabela_registros[TIPO],DADOS!$AJ$3,tabela_registros[CATEGORIA],reservafixaconsolidadoabr[[#This Row],[ATUAL]])</f>
        <v>0</v>
      </c>
      <c r="AJ173" s="149" t="n">
        <f aca="false">SUM(reservafixaconsolidadoabr[[#This Row],[1]:[31]])</f>
        <v>0</v>
      </c>
      <c r="AK173" s="165"/>
    </row>
    <row r="174" customFormat="false" ht="19.5" hidden="false" customHeight="true" outlineLevel="0" collapsed="false">
      <c r="B174" s="143"/>
      <c r="C174" s="144" t="str">
        <f aca="false">DADOS!$AL$9</f>
        <v>📝 LCA</v>
      </c>
      <c r="D174" s="145" t="str">
        <f aca="false">IF(reservafixaconsolidadoabr[[#This Row],[TOTAL (R$)]]=0,"",IF(OR(reservafixaconsolidadoabr[[#This Row],[TOTAL (R$)]]=LARGE($AJ$168:$AJ$177,1),reservafixaconsolidadoabr[[#This Row],[TOTAL (R$)]]=LARGE($AJ$168:$AJ$177,2)),DADOS!$I$11,""))</f>
        <v/>
      </c>
      <c r="E174" s="148" t="n">
        <f aca="false">SUMIFS(tabela_registros[VALOR],tabela_registros[MÊS],$AE$1,tabela_registros[DIA],reservafixaconsolidadoabr[[#Headers],[1]],tabela_registros[REGISTRO],DADOS!$N$6,tabela_registros[TIPO],DADOS!$AJ$3,tabela_registros[CATEGORIA],reservafixaconsolidadoabr[[#This Row],[ATUAL]])</f>
        <v>0</v>
      </c>
      <c r="F174" s="119" t="n">
        <f aca="false">SUMIFS(tabela_registros[VALOR],tabela_registros[MÊS],$AE$1,tabela_registros[DIA],reservafixaconsolidadoabr[[#Headers],[2]],tabela_registros[REGISTRO],DADOS!$N$6,tabela_registros[TIPO],DADOS!$AJ$3,tabela_registros[CATEGORIA],reservafixaconsolidadoabr[[#This Row],[ATUAL]])</f>
        <v>0</v>
      </c>
      <c r="G174" s="119" t="n">
        <f aca="false">SUMIFS(tabela_registros[VALOR],tabela_registros[MÊS],$AE$1,tabela_registros[DIA],reservafixaconsolidadoabr[[#Headers],[3]],tabela_registros[REGISTRO],DADOS!$N$6,tabela_registros[TIPO],DADOS!$AJ$3,tabela_registros[CATEGORIA],reservafixaconsolidadoabr[[#This Row],[ATUAL]])</f>
        <v>0</v>
      </c>
      <c r="H174" s="119" t="n">
        <f aca="false">SUMIFS(tabela_registros[VALOR],tabela_registros[MÊS],$AE$1,tabela_registros[DIA],reservafixaconsolidadoabr[[#Headers],[4]],tabela_registros[REGISTRO],DADOS!$N$6,tabela_registros[TIPO],DADOS!$AJ$3,tabela_registros[CATEGORIA],reservafixaconsolidadoabr[[#This Row],[ATUAL]])</f>
        <v>0</v>
      </c>
      <c r="I174" s="119" t="n">
        <f aca="false">SUMIFS(tabela_registros[VALOR],tabela_registros[MÊS],$AE$1,tabela_registros[DIA],reservafixaconsolidadoabr[[#Headers],[5]],tabela_registros[REGISTRO],DADOS!$N$6,tabela_registros[TIPO],DADOS!$AJ$3,tabela_registros[CATEGORIA],reservafixaconsolidadoabr[[#This Row],[ATUAL]])</f>
        <v>0</v>
      </c>
      <c r="J174" s="119" t="n">
        <f aca="false">SUMIFS(tabela_registros[VALOR],tabela_registros[MÊS],$AE$1,tabela_registros[DIA],reservafixaconsolidadoabr[[#Headers],[6]],tabela_registros[REGISTRO],DADOS!$N$6,tabela_registros[TIPO],DADOS!$AJ$3,tabela_registros[CATEGORIA],reservafixaconsolidadoabr[[#This Row],[ATUAL]])</f>
        <v>0</v>
      </c>
      <c r="K174" s="119" t="n">
        <f aca="false">SUMIFS(tabela_registros[VALOR],tabela_registros[MÊS],$AE$1,tabela_registros[DIA],reservafixaconsolidadoabr[[#Headers],[7]],tabela_registros[REGISTRO],DADOS!$N$6,tabela_registros[TIPO],DADOS!$AJ$3,tabela_registros[CATEGORIA],reservafixaconsolidadoabr[[#This Row],[ATUAL]])</f>
        <v>0</v>
      </c>
      <c r="L174" s="119" t="n">
        <f aca="false">SUMIFS(tabela_registros[VALOR],tabela_registros[MÊS],$AE$1,tabela_registros[DIA],reservafixaconsolidadoabr[[#Headers],[8]],tabela_registros[REGISTRO],DADOS!$N$6,tabela_registros[TIPO],DADOS!$AJ$3,tabela_registros[CATEGORIA],reservafixaconsolidadoabr[[#This Row],[ATUAL]])</f>
        <v>0</v>
      </c>
      <c r="M174" s="119" t="n">
        <f aca="false">SUMIFS(tabela_registros[VALOR],tabela_registros[MÊS],$AE$1,tabela_registros[DIA],reservafixaconsolidadoabr[[#Headers],[9]],tabela_registros[REGISTRO],DADOS!$N$6,tabela_registros[TIPO],DADOS!$AJ$3,tabela_registros[CATEGORIA],reservafixaconsolidadoabr[[#This Row],[ATUAL]])</f>
        <v>0</v>
      </c>
      <c r="N174" s="119" t="n">
        <f aca="false">SUMIFS(tabela_registros[VALOR],tabela_registros[MÊS],$AE$1,tabela_registros[DIA],reservafixaconsolidadoabr[[#Headers],[10]],tabela_registros[REGISTRO],DADOS!$N$6,tabela_registros[TIPO],DADOS!$AJ$3,tabela_registros[CATEGORIA],reservafixaconsolidadoabr[[#This Row],[ATUAL]])</f>
        <v>0</v>
      </c>
      <c r="O174" s="119" t="n">
        <f aca="false">SUMIFS(tabela_registros[VALOR],tabela_registros[MÊS],$AE$1,tabela_registros[DIA],reservafixaconsolidadoabr[[#Headers],[11]],tabela_registros[REGISTRO],DADOS!$N$6,tabela_registros[TIPO],DADOS!$AJ$3,tabela_registros[CATEGORIA],reservafixaconsolidadoabr[[#This Row],[ATUAL]])</f>
        <v>0</v>
      </c>
      <c r="P174" s="119" t="n">
        <f aca="false">SUMIFS(tabela_registros[VALOR],tabela_registros[MÊS],$AE$1,tabela_registros[DIA],reservafixaconsolidadoabr[[#Headers],[12]],tabela_registros[REGISTRO],DADOS!$N$6,tabela_registros[TIPO],DADOS!$AJ$3,tabela_registros[CATEGORIA],reservafixaconsolidadoabr[[#This Row],[ATUAL]])</f>
        <v>0</v>
      </c>
      <c r="Q174" s="119" t="n">
        <f aca="false">SUMIFS(tabela_registros[VALOR],tabela_registros[MÊS],$AE$1,tabela_registros[DIA],reservafixaconsolidadoabr[[#Headers],[13]],tabela_registros[REGISTRO],DADOS!$N$6,tabela_registros[TIPO],DADOS!$AJ$3,tabela_registros[CATEGORIA],reservafixaconsolidadoabr[[#This Row],[ATUAL]])</f>
        <v>0</v>
      </c>
      <c r="R174" s="119" t="n">
        <f aca="false">SUMIFS(tabela_registros[VALOR],tabela_registros[MÊS],$AE$1,tabela_registros[DIA],reservafixaconsolidadoabr[[#Headers],[14]],tabela_registros[REGISTRO],DADOS!$N$6,tabela_registros[TIPO],DADOS!$AJ$3,tabela_registros[CATEGORIA],reservafixaconsolidadoabr[[#This Row],[ATUAL]])</f>
        <v>0</v>
      </c>
      <c r="S174" s="119" t="n">
        <f aca="false">SUMIFS(tabela_registros[VALOR],tabela_registros[MÊS],$AE$1,tabela_registros[DIA],reservafixaconsolidadoabr[[#Headers],[15]],tabela_registros[REGISTRO],DADOS!$N$6,tabela_registros[TIPO],DADOS!$AJ$3,tabela_registros[CATEGORIA],reservafixaconsolidadoabr[[#This Row],[ATUAL]])</f>
        <v>0</v>
      </c>
      <c r="T174" s="119" t="n">
        <f aca="false">SUMIFS(tabela_registros[VALOR],tabela_registros[MÊS],$AE$1,tabela_registros[DIA],reservafixaconsolidadoabr[[#Headers],[16]],tabela_registros[REGISTRO],DADOS!$N$6,tabela_registros[TIPO],DADOS!$AJ$3,tabela_registros[CATEGORIA],reservafixaconsolidadoabr[[#This Row],[ATUAL]])</f>
        <v>0</v>
      </c>
      <c r="U174" s="119" t="n">
        <f aca="false">SUMIFS(tabela_registros[VALOR],tabela_registros[MÊS],$AE$1,tabela_registros[DIA],reservafixaconsolidadoabr[[#Headers],[17]],tabela_registros[REGISTRO],DADOS!$N$6,tabela_registros[TIPO],DADOS!$AJ$3,tabela_registros[CATEGORIA],reservafixaconsolidadoabr[[#This Row],[ATUAL]])</f>
        <v>0</v>
      </c>
      <c r="V174" s="119" t="n">
        <f aca="false">SUMIFS(tabela_registros[VALOR],tabela_registros[MÊS],$AE$1,tabela_registros[DIA],reservafixaconsolidadoabr[[#Headers],[18]],tabela_registros[REGISTRO],DADOS!$N$6,tabela_registros[TIPO],DADOS!$AJ$3,tabela_registros[CATEGORIA],reservafixaconsolidadoabr[[#This Row],[ATUAL]])</f>
        <v>0</v>
      </c>
      <c r="W174" s="119" t="n">
        <f aca="false">SUMIFS(tabela_registros[VALOR],tabela_registros[MÊS],$AE$1,tabela_registros[DIA],reservafixaconsolidadoabr[[#Headers],[19]],tabela_registros[REGISTRO],DADOS!$N$6,tabela_registros[TIPO],DADOS!$AJ$3,tabela_registros[CATEGORIA],reservafixaconsolidadoabr[[#This Row],[ATUAL]])</f>
        <v>0</v>
      </c>
      <c r="X174" s="119" t="n">
        <f aca="false">SUMIFS(tabela_registros[VALOR],tabela_registros[MÊS],$AE$1,tabela_registros[DIA],reservafixaconsolidadoabr[[#Headers],[20]],tabela_registros[REGISTRO],DADOS!$N$6,tabela_registros[TIPO],DADOS!$AJ$3,tabela_registros[CATEGORIA],reservafixaconsolidadoabr[[#This Row],[ATUAL]])</f>
        <v>0</v>
      </c>
      <c r="Y174" s="119" t="n">
        <f aca="false">SUMIFS(tabela_registros[VALOR],tabela_registros[MÊS],$AE$1,tabela_registros[DIA],reservafixaconsolidadoabr[[#Headers],[21]],tabela_registros[REGISTRO],DADOS!$N$6,tabela_registros[TIPO],DADOS!$AJ$3,tabela_registros[CATEGORIA],reservafixaconsolidadoabr[[#This Row],[ATUAL]])</f>
        <v>0</v>
      </c>
      <c r="Z174" s="119" t="n">
        <f aca="false">SUMIFS(tabela_registros[VALOR],tabela_registros[MÊS],$AE$1,tabela_registros[DIA],reservafixaconsolidadoabr[[#Headers],[22]],tabela_registros[REGISTRO],DADOS!$N$6,tabela_registros[TIPO],DADOS!$AJ$3,tabela_registros[CATEGORIA],reservafixaconsolidadoabr[[#This Row],[ATUAL]])</f>
        <v>0</v>
      </c>
      <c r="AA174" s="119" t="n">
        <f aca="false">SUMIFS(tabela_registros[VALOR],tabela_registros[MÊS],$AE$1,tabela_registros[DIA],reservafixaconsolidadoabr[[#Headers],[23]],tabela_registros[REGISTRO],DADOS!$N$6,tabela_registros[TIPO],DADOS!$AJ$3,tabela_registros[CATEGORIA],reservafixaconsolidadoabr[[#This Row],[ATUAL]])</f>
        <v>0</v>
      </c>
      <c r="AB174" s="119" t="n">
        <f aca="false">SUMIFS(tabela_registros[VALOR],tabela_registros[MÊS],$AE$1,tabela_registros[DIA],reservafixaconsolidadoabr[[#Headers],[24]],tabela_registros[REGISTRO],DADOS!$N$6,tabela_registros[TIPO],DADOS!$AJ$3,tabela_registros[CATEGORIA],reservafixaconsolidadoabr[[#This Row],[ATUAL]])</f>
        <v>0</v>
      </c>
      <c r="AC174" s="119" t="n">
        <f aca="false">SUMIFS(tabela_registros[VALOR],tabela_registros[MÊS],$AE$1,tabela_registros[DIA],reservafixaconsolidadoabr[[#Headers],[25]],tabela_registros[REGISTRO],DADOS!$N$6,tabela_registros[TIPO],DADOS!$AJ$3,tabela_registros[CATEGORIA],reservafixaconsolidadoabr[[#This Row],[ATUAL]])</f>
        <v>0</v>
      </c>
      <c r="AD174" s="119" t="n">
        <f aca="false">SUMIFS(tabela_registros[VALOR],tabela_registros[MÊS],$AE$1,tabela_registros[DIA],reservafixaconsolidadoabr[[#Headers],[26]],tabela_registros[REGISTRO],DADOS!$N$6,tabela_registros[TIPO],DADOS!$AJ$3,tabela_registros[CATEGORIA],reservafixaconsolidadoabr[[#This Row],[ATUAL]])</f>
        <v>0</v>
      </c>
      <c r="AE174" s="119" t="n">
        <f aca="false">SUMIFS(tabela_registros[VALOR],tabela_registros[MÊS],$AE$1,tabela_registros[DIA],reservafixaconsolidadoabr[[#Headers],[27]],tabela_registros[REGISTRO],DADOS!$N$6,tabela_registros[TIPO],DADOS!$AJ$3,tabela_registros[CATEGORIA],reservafixaconsolidadoabr[[#This Row],[ATUAL]])</f>
        <v>0</v>
      </c>
      <c r="AF174" s="119" t="n">
        <f aca="false">SUMIFS(tabela_registros[VALOR],tabela_registros[MÊS],$AE$1,tabela_registros[DIA],reservafixaconsolidadoabr[[#Headers],[28]],tabela_registros[REGISTRO],DADOS!$N$6,tabela_registros[TIPO],DADOS!$AJ$3,tabela_registros[CATEGORIA],reservafixaconsolidadoabr[[#This Row],[ATUAL]])</f>
        <v>0</v>
      </c>
      <c r="AG174" s="119" t="n">
        <f aca="false">SUMIFS(tabela_registros[VALOR],tabela_registros[MÊS],$AE$1,tabela_registros[DIA],reservafixaconsolidadoabr[[#Headers],[29]],tabela_registros[REGISTRO],DADOS!$N$6,tabela_registros[TIPO],DADOS!$AJ$3,tabela_registros[CATEGORIA],reservafixaconsolidadoabr[[#This Row],[ATUAL]])</f>
        <v>0</v>
      </c>
      <c r="AH174" s="119" t="n">
        <f aca="false">SUMIFS(tabela_registros[VALOR],tabela_registros[MÊS],$AE$1,tabela_registros[DIA],reservafixaconsolidadoabr[[#Headers],[30]],tabela_registros[REGISTRO],DADOS!$N$6,tabela_registros[TIPO],DADOS!$AJ$3,tabela_registros[CATEGORIA],reservafixaconsolidadoabr[[#This Row],[ATUAL]])</f>
        <v>0</v>
      </c>
      <c r="AI174" s="217" t="n">
        <f aca="false">SUMIFS(tabela_registros[VALOR],tabela_registros[MÊS],$AE$1,tabela_registros[DIA],reservafixaconsolidadoabr[[#Headers],[31]],tabela_registros[REGISTRO],DADOS!$N$6,tabela_registros[TIPO],DADOS!$AJ$3,tabela_registros[CATEGORIA],reservafixaconsolidadoabr[[#This Row],[ATUAL]])</f>
        <v>0</v>
      </c>
      <c r="AJ174" s="149" t="n">
        <f aca="false">SUM(reservafixaconsolidadoabr[[#This Row],[1]:[31]])</f>
        <v>0</v>
      </c>
      <c r="AK174" s="165"/>
    </row>
    <row r="175" customFormat="false" ht="19.5" hidden="false" customHeight="true" outlineLevel="0" collapsed="false">
      <c r="B175" s="143"/>
      <c r="C175" s="144" t="str">
        <f aca="false">DADOS!$AL$10</f>
        <v>📝 LCI</v>
      </c>
      <c r="D175" s="145" t="str">
        <f aca="false">IF(reservafixaconsolidadoabr[[#This Row],[TOTAL (R$)]]=0,"",IF(OR(reservafixaconsolidadoabr[[#This Row],[TOTAL (R$)]]=LARGE($AJ$168:$AJ$177,1),reservafixaconsolidadoabr[[#This Row],[TOTAL (R$)]]=LARGE($AJ$168:$AJ$177,2)),DADOS!$I$11,""))</f>
        <v/>
      </c>
      <c r="E175" s="148" t="n">
        <f aca="false">SUMIFS(tabela_registros[VALOR],tabela_registros[MÊS],$AE$1,tabela_registros[DIA],reservafixaconsolidadoabr[[#Headers],[1]],tabela_registros[REGISTRO],DADOS!$N$6,tabela_registros[TIPO],DADOS!$AJ$3,tabela_registros[CATEGORIA],reservafixaconsolidadoabr[[#This Row],[ATUAL]])</f>
        <v>0</v>
      </c>
      <c r="F175" s="119" t="n">
        <f aca="false">SUMIFS(tabela_registros[VALOR],tabela_registros[MÊS],$AE$1,tabela_registros[DIA],reservafixaconsolidadoabr[[#Headers],[2]],tabela_registros[REGISTRO],DADOS!$N$6,tabela_registros[TIPO],DADOS!$AJ$3,tabela_registros[CATEGORIA],reservafixaconsolidadoabr[[#This Row],[ATUAL]])</f>
        <v>0</v>
      </c>
      <c r="G175" s="119" t="n">
        <f aca="false">SUMIFS(tabela_registros[VALOR],tabela_registros[MÊS],$AE$1,tabela_registros[DIA],reservafixaconsolidadoabr[[#Headers],[3]],tabela_registros[REGISTRO],DADOS!$N$6,tabela_registros[TIPO],DADOS!$AJ$3,tabela_registros[CATEGORIA],reservafixaconsolidadoabr[[#This Row],[ATUAL]])</f>
        <v>0</v>
      </c>
      <c r="H175" s="119" t="n">
        <f aca="false">SUMIFS(tabela_registros[VALOR],tabela_registros[MÊS],$AE$1,tabela_registros[DIA],reservafixaconsolidadoabr[[#Headers],[4]],tabela_registros[REGISTRO],DADOS!$N$6,tabela_registros[TIPO],DADOS!$AJ$3,tabela_registros[CATEGORIA],reservafixaconsolidadoabr[[#This Row],[ATUAL]])</f>
        <v>0</v>
      </c>
      <c r="I175" s="119" t="n">
        <f aca="false">SUMIFS(tabela_registros[VALOR],tabela_registros[MÊS],$AE$1,tabela_registros[DIA],reservafixaconsolidadoabr[[#Headers],[5]],tabela_registros[REGISTRO],DADOS!$N$6,tabela_registros[TIPO],DADOS!$AJ$3,tabela_registros[CATEGORIA],reservafixaconsolidadoabr[[#This Row],[ATUAL]])</f>
        <v>0</v>
      </c>
      <c r="J175" s="119" t="n">
        <f aca="false">SUMIFS(tabela_registros[VALOR],tabela_registros[MÊS],$AE$1,tabela_registros[DIA],reservafixaconsolidadoabr[[#Headers],[6]],tabela_registros[REGISTRO],DADOS!$N$6,tabela_registros[TIPO],DADOS!$AJ$3,tabela_registros[CATEGORIA],reservafixaconsolidadoabr[[#This Row],[ATUAL]])</f>
        <v>0</v>
      </c>
      <c r="K175" s="119" t="n">
        <f aca="false">SUMIFS(tabela_registros[VALOR],tabela_registros[MÊS],$AE$1,tabela_registros[DIA],reservafixaconsolidadoabr[[#Headers],[7]],tabela_registros[REGISTRO],DADOS!$N$6,tabela_registros[TIPO],DADOS!$AJ$3,tabela_registros[CATEGORIA],reservafixaconsolidadoabr[[#This Row],[ATUAL]])</f>
        <v>0</v>
      </c>
      <c r="L175" s="119" t="n">
        <f aca="false">SUMIFS(tabela_registros[VALOR],tabela_registros[MÊS],$AE$1,tabela_registros[DIA],reservafixaconsolidadoabr[[#Headers],[8]],tabela_registros[REGISTRO],DADOS!$N$6,tabela_registros[TIPO],DADOS!$AJ$3,tabela_registros[CATEGORIA],reservafixaconsolidadoabr[[#This Row],[ATUAL]])</f>
        <v>0</v>
      </c>
      <c r="M175" s="119" t="n">
        <f aca="false">SUMIFS(tabela_registros[VALOR],tabela_registros[MÊS],$AE$1,tabela_registros[DIA],reservafixaconsolidadoabr[[#Headers],[9]],tabela_registros[REGISTRO],DADOS!$N$6,tabela_registros[TIPO],DADOS!$AJ$3,tabela_registros[CATEGORIA],reservafixaconsolidadoabr[[#This Row],[ATUAL]])</f>
        <v>0</v>
      </c>
      <c r="N175" s="119" t="n">
        <f aca="false">SUMIFS(tabela_registros[VALOR],tabela_registros[MÊS],$AE$1,tabela_registros[DIA],reservafixaconsolidadoabr[[#Headers],[10]],tabela_registros[REGISTRO],DADOS!$N$6,tabela_registros[TIPO],DADOS!$AJ$3,tabela_registros[CATEGORIA],reservafixaconsolidadoabr[[#This Row],[ATUAL]])</f>
        <v>0</v>
      </c>
      <c r="O175" s="119" t="n">
        <f aca="false">SUMIFS(tabela_registros[VALOR],tabela_registros[MÊS],$AE$1,tabela_registros[DIA],reservafixaconsolidadoabr[[#Headers],[11]],tabela_registros[REGISTRO],DADOS!$N$6,tabela_registros[TIPO],DADOS!$AJ$3,tabela_registros[CATEGORIA],reservafixaconsolidadoabr[[#This Row],[ATUAL]])</f>
        <v>0</v>
      </c>
      <c r="P175" s="119" t="n">
        <f aca="false">SUMIFS(tabela_registros[VALOR],tabela_registros[MÊS],$AE$1,tabela_registros[DIA],reservafixaconsolidadoabr[[#Headers],[12]],tabela_registros[REGISTRO],DADOS!$N$6,tabela_registros[TIPO],DADOS!$AJ$3,tabela_registros[CATEGORIA],reservafixaconsolidadoabr[[#This Row],[ATUAL]])</f>
        <v>0</v>
      </c>
      <c r="Q175" s="119" t="n">
        <f aca="false">SUMIFS(tabela_registros[VALOR],tabela_registros[MÊS],$AE$1,tabela_registros[DIA],reservafixaconsolidadoabr[[#Headers],[13]],tabela_registros[REGISTRO],DADOS!$N$6,tabela_registros[TIPO],DADOS!$AJ$3,tabela_registros[CATEGORIA],reservafixaconsolidadoabr[[#This Row],[ATUAL]])</f>
        <v>0</v>
      </c>
      <c r="R175" s="119" t="n">
        <f aca="false">SUMIFS(tabela_registros[VALOR],tabela_registros[MÊS],$AE$1,tabela_registros[DIA],reservafixaconsolidadoabr[[#Headers],[14]],tabela_registros[REGISTRO],DADOS!$N$6,tabela_registros[TIPO],DADOS!$AJ$3,tabela_registros[CATEGORIA],reservafixaconsolidadoabr[[#This Row],[ATUAL]])</f>
        <v>0</v>
      </c>
      <c r="S175" s="119" t="n">
        <f aca="false">SUMIFS(tabela_registros[VALOR],tabela_registros[MÊS],$AE$1,tabela_registros[DIA],reservafixaconsolidadoabr[[#Headers],[15]],tabela_registros[REGISTRO],DADOS!$N$6,tabela_registros[TIPO],DADOS!$AJ$3,tabela_registros[CATEGORIA],reservafixaconsolidadoabr[[#This Row],[ATUAL]])</f>
        <v>0</v>
      </c>
      <c r="T175" s="119" t="n">
        <f aca="false">SUMIFS(tabela_registros[VALOR],tabela_registros[MÊS],$AE$1,tabela_registros[DIA],reservafixaconsolidadoabr[[#Headers],[16]],tabela_registros[REGISTRO],DADOS!$N$6,tabela_registros[TIPO],DADOS!$AJ$3,tabela_registros[CATEGORIA],reservafixaconsolidadoabr[[#This Row],[ATUAL]])</f>
        <v>0</v>
      </c>
      <c r="U175" s="119" t="n">
        <f aca="false">SUMIFS(tabela_registros[VALOR],tabela_registros[MÊS],$AE$1,tabela_registros[DIA],reservafixaconsolidadoabr[[#Headers],[17]],tabela_registros[REGISTRO],DADOS!$N$6,tabela_registros[TIPO],DADOS!$AJ$3,tabela_registros[CATEGORIA],reservafixaconsolidadoabr[[#This Row],[ATUAL]])</f>
        <v>0</v>
      </c>
      <c r="V175" s="119" t="n">
        <f aca="false">SUMIFS(tabela_registros[VALOR],tabela_registros[MÊS],$AE$1,tabela_registros[DIA],reservafixaconsolidadoabr[[#Headers],[18]],tabela_registros[REGISTRO],DADOS!$N$6,tabela_registros[TIPO],DADOS!$AJ$3,tabela_registros[CATEGORIA],reservafixaconsolidadoabr[[#This Row],[ATUAL]])</f>
        <v>0</v>
      </c>
      <c r="W175" s="119" t="n">
        <f aca="false">SUMIFS(tabela_registros[VALOR],tabela_registros[MÊS],$AE$1,tabela_registros[DIA],reservafixaconsolidadoabr[[#Headers],[19]],tabela_registros[REGISTRO],DADOS!$N$6,tabela_registros[TIPO],DADOS!$AJ$3,tabela_registros[CATEGORIA],reservafixaconsolidadoabr[[#This Row],[ATUAL]])</f>
        <v>0</v>
      </c>
      <c r="X175" s="119" t="n">
        <f aca="false">SUMIFS(tabela_registros[VALOR],tabela_registros[MÊS],$AE$1,tabela_registros[DIA],reservafixaconsolidadoabr[[#Headers],[20]],tabela_registros[REGISTRO],DADOS!$N$6,tabela_registros[TIPO],DADOS!$AJ$3,tabela_registros[CATEGORIA],reservafixaconsolidadoabr[[#This Row],[ATUAL]])</f>
        <v>0</v>
      </c>
      <c r="Y175" s="119" t="n">
        <f aca="false">SUMIFS(tabela_registros[VALOR],tabela_registros[MÊS],$AE$1,tabela_registros[DIA],reservafixaconsolidadoabr[[#Headers],[21]],tabela_registros[REGISTRO],DADOS!$N$6,tabela_registros[TIPO],DADOS!$AJ$3,tabela_registros[CATEGORIA],reservafixaconsolidadoabr[[#This Row],[ATUAL]])</f>
        <v>0</v>
      </c>
      <c r="Z175" s="119" t="n">
        <f aca="false">SUMIFS(tabela_registros[VALOR],tabela_registros[MÊS],$AE$1,tabela_registros[DIA],reservafixaconsolidadoabr[[#Headers],[22]],tabela_registros[REGISTRO],DADOS!$N$6,tabela_registros[TIPO],DADOS!$AJ$3,tabela_registros[CATEGORIA],reservafixaconsolidadoabr[[#This Row],[ATUAL]])</f>
        <v>0</v>
      </c>
      <c r="AA175" s="119" t="n">
        <f aca="false">SUMIFS(tabela_registros[VALOR],tabela_registros[MÊS],$AE$1,tabela_registros[DIA],reservafixaconsolidadoabr[[#Headers],[23]],tabela_registros[REGISTRO],DADOS!$N$6,tabela_registros[TIPO],DADOS!$AJ$3,tabela_registros[CATEGORIA],reservafixaconsolidadoabr[[#This Row],[ATUAL]])</f>
        <v>0</v>
      </c>
      <c r="AB175" s="119" t="n">
        <f aca="false">SUMIFS(tabela_registros[VALOR],tabela_registros[MÊS],$AE$1,tabela_registros[DIA],reservafixaconsolidadoabr[[#Headers],[24]],tabela_registros[REGISTRO],DADOS!$N$6,tabela_registros[TIPO],DADOS!$AJ$3,tabela_registros[CATEGORIA],reservafixaconsolidadoabr[[#This Row],[ATUAL]])</f>
        <v>0</v>
      </c>
      <c r="AC175" s="119" t="n">
        <f aca="false">SUMIFS(tabela_registros[VALOR],tabela_registros[MÊS],$AE$1,tabela_registros[DIA],reservafixaconsolidadoabr[[#Headers],[25]],tabela_registros[REGISTRO],DADOS!$N$6,tabela_registros[TIPO],DADOS!$AJ$3,tabela_registros[CATEGORIA],reservafixaconsolidadoabr[[#This Row],[ATUAL]])</f>
        <v>0</v>
      </c>
      <c r="AD175" s="119" t="n">
        <f aca="false">SUMIFS(tabela_registros[VALOR],tabela_registros[MÊS],$AE$1,tabela_registros[DIA],reservafixaconsolidadoabr[[#Headers],[26]],tabela_registros[REGISTRO],DADOS!$N$6,tabela_registros[TIPO],DADOS!$AJ$3,tabela_registros[CATEGORIA],reservafixaconsolidadoabr[[#This Row],[ATUAL]])</f>
        <v>0</v>
      </c>
      <c r="AE175" s="119" t="n">
        <f aca="false">SUMIFS(tabela_registros[VALOR],tabela_registros[MÊS],$AE$1,tabela_registros[DIA],reservafixaconsolidadoabr[[#Headers],[27]],tabela_registros[REGISTRO],DADOS!$N$6,tabela_registros[TIPO],DADOS!$AJ$3,tabela_registros[CATEGORIA],reservafixaconsolidadoabr[[#This Row],[ATUAL]])</f>
        <v>0</v>
      </c>
      <c r="AF175" s="119" t="n">
        <f aca="false">SUMIFS(tabela_registros[VALOR],tabela_registros[MÊS],$AE$1,tabela_registros[DIA],reservafixaconsolidadoabr[[#Headers],[28]],tabela_registros[REGISTRO],DADOS!$N$6,tabela_registros[TIPO],DADOS!$AJ$3,tabela_registros[CATEGORIA],reservafixaconsolidadoabr[[#This Row],[ATUAL]])</f>
        <v>0</v>
      </c>
      <c r="AG175" s="119" t="n">
        <f aca="false">SUMIFS(tabela_registros[VALOR],tabela_registros[MÊS],$AE$1,tabela_registros[DIA],reservafixaconsolidadoabr[[#Headers],[29]],tabela_registros[REGISTRO],DADOS!$N$6,tabela_registros[TIPO],DADOS!$AJ$3,tabela_registros[CATEGORIA],reservafixaconsolidadoabr[[#This Row],[ATUAL]])</f>
        <v>0</v>
      </c>
      <c r="AH175" s="119" t="n">
        <f aca="false">SUMIFS(tabela_registros[VALOR],tabela_registros[MÊS],$AE$1,tabela_registros[DIA],reservafixaconsolidadoabr[[#Headers],[30]],tabela_registros[REGISTRO],DADOS!$N$6,tabela_registros[TIPO],DADOS!$AJ$3,tabela_registros[CATEGORIA],reservafixaconsolidadoabr[[#This Row],[ATUAL]])</f>
        <v>0</v>
      </c>
      <c r="AI175" s="217" t="n">
        <f aca="false">SUMIFS(tabela_registros[VALOR],tabela_registros[MÊS],$AE$1,tabela_registros[DIA],reservafixaconsolidadoabr[[#Headers],[31]],tabela_registros[REGISTRO],DADOS!$N$6,tabela_registros[TIPO],DADOS!$AJ$3,tabela_registros[CATEGORIA],reservafixaconsolidadoabr[[#This Row],[ATUAL]])</f>
        <v>0</v>
      </c>
      <c r="AJ175" s="149" t="n">
        <f aca="false">SUM(reservafixaconsolidadoabr[[#This Row],[1]:[31]])</f>
        <v>0</v>
      </c>
      <c r="AK175" s="165"/>
    </row>
    <row r="176" customFormat="false" ht="19.5" hidden="false" customHeight="true" outlineLevel="0" collapsed="false">
      <c r="B176" s="143"/>
      <c r="C176" s="144" t="str">
        <f aca="false">DADOS!$AL$11</f>
        <v>📝 TESOURO DIRETO</v>
      </c>
      <c r="D176" s="145" t="str">
        <f aca="false">IF(reservafixaconsolidadoabr[[#This Row],[TOTAL (R$)]]=0,"",IF(OR(reservafixaconsolidadoabr[[#This Row],[TOTAL (R$)]]=LARGE($AJ$168:$AJ$177,1),reservafixaconsolidadoabr[[#This Row],[TOTAL (R$)]]=LARGE($AJ$168:$AJ$177,2)),DADOS!$I$11,""))</f>
        <v/>
      </c>
      <c r="E176" s="148" t="n">
        <f aca="false">SUMIFS(tabela_registros[VALOR],tabela_registros[MÊS],$AE$1,tabela_registros[DIA],reservafixaconsolidadoabr[[#Headers],[1]],tabela_registros[REGISTRO],DADOS!$N$6,tabela_registros[TIPO],DADOS!$AJ$3,tabela_registros[CATEGORIA],reservafixaconsolidadoabr[[#This Row],[ATUAL]])</f>
        <v>0</v>
      </c>
      <c r="F176" s="119" t="n">
        <f aca="false">SUMIFS(tabela_registros[VALOR],tabela_registros[MÊS],$AE$1,tabela_registros[DIA],reservafixaconsolidadoabr[[#Headers],[2]],tabela_registros[REGISTRO],DADOS!$N$6,tabela_registros[TIPO],DADOS!$AJ$3,tabela_registros[CATEGORIA],reservafixaconsolidadoabr[[#This Row],[ATUAL]])</f>
        <v>0</v>
      </c>
      <c r="G176" s="119" t="n">
        <f aca="false">SUMIFS(tabela_registros[VALOR],tabela_registros[MÊS],$AE$1,tabela_registros[DIA],reservafixaconsolidadoabr[[#Headers],[3]],tabela_registros[REGISTRO],DADOS!$N$6,tabela_registros[TIPO],DADOS!$AJ$3,tabela_registros[CATEGORIA],reservafixaconsolidadoabr[[#This Row],[ATUAL]])</f>
        <v>0</v>
      </c>
      <c r="H176" s="119" t="n">
        <f aca="false">SUMIFS(tabela_registros[VALOR],tabela_registros[MÊS],$AE$1,tabela_registros[DIA],reservafixaconsolidadoabr[[#Headers],[4]],tabela_registros[REGISTRO],DADOS!$N$6,tabela_registros[TIPO],DADOS!$AJ$3,tabela_registros[CATEGORIA],reservafixaconsolidadoabr[[#This Row],[ATUAL]])</f>
        <v>0</v>
      </c>
      <c r="I176" s="119" t="n">
        <f aca="false">SUMIFS(tabela_registros[VALOR],tabela_registros[MÊS],$AE$1,tabela_registros[DIA],reservafixaconsolidadoabr[[#Headers],[5]],tabela_registros[REGISTRO],DADOS!$N$6,tabela_registros[TIPO],DADOS!$AJ$3,tabela_registros[CATEGORIA],reservafixaconsolidadoabr[[#This Row],[ATUAL]])</f>
        <v>0</v>
      </c>
      <c r="J176" s="119" t="n">
        <f aca="false">SUMIFS(tabela_registros[VALOR],tabela_registros[MÊS],$AE$1,tabela_registros[DIA],reservafixaconsolidadoabr[[#Headers],[6]],tabela_registros[REGISTRO],DADOS!$N$6,tabela_registros[TIPO],DADOS!$AJ$3,tabela_registros[CATEGORIA],reservafixaconsolidadoabr[[#This Row],[ATUAL]])</f>
        <v>0</v>
      </c>
      <c r="K176" s="119" t="n">
        <f aca="false">SUMIFS(tabela_registros[VALOR],tabela_registros[MÊS],$AE$1,tabela_registros[DIA],reservafixaconsolidadoabr[[#Headers],[7]],tabela_registros[REGISTRO],DADOS!$N$6,tabela_registros[TIPO],DADOS!$AJ$3,tabela_registros[CATEGORIA],reservafixaconsolidadoabr[[#This Row],[ATUAL]])</f>
        <v>0</v>
      </c>
      <c r="L176" s="119" t="n">
        <f aca="false">SUMIFS(tabela_registros[VALOR],tabela_registros[MÊS],$AE$1,tabela_registros[DIA],reservafixaconsolidadoabr[[#Headers],[8]],tabela_registros[REGISTRO],DADOS!$N$6,tabela_registros[TIPO],DADOS!$AJ$3,tabela_registros[CATEGORIA],reservafixaconsolidadoabr[[#This Row],[ATUAL]])</f>
        <v>0</v>
      </c>
      <c r="M176" s="119" t="n">
        <f aca="false">SUMIFS(tabela_registros[VALOR],tabela_registros[MÊS],$AE$1,tabela_registros[DIA],reservafixaconsolidadoabr[[#Headers],[9]],tabela_registros[REGISTRO],DADOS!$N$6,tabela_registros[TIPO],DADOS!$AJ$3,tabela_registros[CATEGORIA],reservafixaconsolidadoabr[[#This Row],[ATUAL]])</f>
        <v>0</v>
      </c>
      <c r="N176" s="119" t="n">
        <f aca="false">SUMIFS(tabela_registros[VALOR],tabela_registros[MÊS],$AE$1,tabela_registros[DIA],reservafixaconsolidadoabr[[#Headers],[10]],tabela_registros[REGISTRO],DADOS!$N$6,tabela_registros[TIPO],DADOS!$AJ$3,tabela_registros[CATEGORIA],reservafixaconsolidadoabr[[#This Row],[ATUAL]])</f>
        <v>0</v>
      </c>
      <c r="O176" s="119" t="n">
        <f aca="false">SUMIFS(tabela_registros[VALOR],tabela_registros[MÊS],$AE$1,tabela_registros[DIA],reservafixaconsolidadoabr[[#Headers],[11]],tabela_registros[REGISTRO],DADOS!$N$6,tabela_registros[TIPO],DADOS!$AJ$3,tabela_registros[CATEGORIA],reservafixaconsolidadoabr[[#This Row],[ATUAL]])</f>
        <v>0</v>
      </c>
      <c r="P176" s="119" t="n">
        <f aca="false">SUMIFS(tabela_registros[VALOR],tabela_registros[MÊS],$AE$1,tabela_registros[DIA],reservafixaconsolidadoabr[[#Headers],[12]],tabela_registros[REGISTRO],DADOS!$N$6,tabela_registros[TIPO],DADOS!$AJ$3,tabela_registros[CATEGORIA],reservafixaconsolidadoabr[[#This Row],[ATUAL]])</f>
        <v>0</v>
      </c>
      <c r="Q176" s="119" t="n">
        <f aca="false">SUMIFS(tabela_registros[VALOR],tabela_registros[MÊS],$AE$1,tabela_registros[DIA],reservafixaconsolidadoabr[[#Headers],[13]],tabela_registros[REGISTRO],DADOS!$N$6,tabela_registros[TIPO],DADOS!$AJ$3,tabela_registros[CATEGORIA],reservafixaconsolidadoabr[[#This Row],[ATUAL]])</f>
        <v>0</v>
      </c>
      <c r="R176" s="119" t="n">
        <f aca="false">SUMIFS(tabela_registros[VALOR],tabela_registros[MÊS],$AE$1,tabela_registros[DIA],reservafixaconsolidadoabr[[#Headers],[14]],tabela_registros[REGISTRO],DADOS!$N$6,tabela_registros[TIPO],DADOS!$AJ$3,tabela_registros[CATEGORIA],reservafixaconsolidadoabr[[#This Row],[ATUAL]])</f>
        <v>0</v>
      </c>
      <c r="S176" s="119" t="n">
        <f aca="false">SUMIFS(tabela_registros[VALOR],tabela_registros[MÊS],$AE$1,tabela_registros[DIA],reservafixaconsolidadoabr[[#Headers],[15]],tabela_registros[REGISTRO],DADOS!$N$6,tabela_registros[TIPO],DADOS!$AJ$3,tabela_registros[CATEGORIA],reservafixaconsolidadoabr[[#This Row],[ATUAL]])</f>
        <v>0</v>
      </c>
      <c r="T176" s="119" t="n">
        <f aca="false">SUMIFS(tabela_registros[VALOR],tabela_registros[MÊS],$AE$1,tabela_registros[DIA],reservafixaconsolidadoabr[[#Headers],[16]],tabela_registros[REGISTRO],DADOS!$N$6,tabela_registros[TIPO],DADOS!$AJ$3,tabela_registros[CATEGORIA],reservafixaconsolidadoabr[[#This Row],[ATUAL]])</f>
        <v>0</v>
      </c>
      <c r="U176" s="119" t="n">
        <f aca="false">SUMIFS(tabela_registros[VALOR],tabela_registros[MÊS],$AE$1,tabela_registros[DIA],reservafixaconsolidadoabr[[#Headers],[17]],tabela_registros[REGISTRO],DADOS!$N$6,tabela_registros[TIPO],DADOS!$AJ$3,tabela_registros[CATEGORIA],reservafixaconsolidadoabr[[#This Row],[ATUAL]])</f>
        <v>0</v>
      </c>
      <c r="V176" s="119" t="n">
        <f aca="false">SUMIFS(tabela_registros[VALOR],tabela_registros[MÊS],$AE$1,tabela_registros[DIA],reservafixaconsolidadoabr[[#Headers],[18]],tabela_registros[REGISTRO],DADOS!$N$6,tabela_registros[TIPO],DADOS!$AJ$3,tabela_registros[CATEGORIA],reservafixaconsolidadoabr[[#This Row],[ATUAL]])</f>
        <v>0</v>
      </c>
      <c r="W176" s="119" t="n">
        <f aca="false">SUMIFS(tabela_registros[VALOR],tabela_registros[MÊS],$AE$1,tabela_registros[DIA],reservafixaconsolidadoabr[[#Headers],[19]],tabela_registros[REGISTRO],DADOS!$N$6,tabela_registros[TIPO],DADOS!$AJ$3,tabela_registros[CATEGORIA],reservafixaconsolidadoabr[[#This Row],[ATUAL]])</f>
        <v>0</v>
      </c>
      <c r="X176" s="119" t="n">
        <f aca="false">SUMIFS(tabela_registros[VALOR],tabela_registros[MÊS],$AE$1,tabela_registros[DIA],reservafixaconsolidadoabr[[#Headers],[20]],tabela_registros[REGISTRO],DADOS!$N$6,tabela_registros[TIPO],DADOS!$AJ$3,tabela_registros[CATEGORIA],reservafixaconsolidadoabr[[#This Row],[ATUAL]])</f>
        <v>0</v>
      </c>
      <c r="Y176" s="119" t="n">
        <f aca="false">SUMIFS(tabela_registros[VALOR],tabela_registros[MÊS],$AE$1,tabela_registros[DIA],reservafixaconsolidadoabr[[#Headers],[21]],tabela_registros[REGISTRO],DADOS!$N$6,tabela_registros[TIPO],DADOS!$AJ$3,tabela_registros[CATEGORIA],reservafixaconsolidadoabr[[#This Row],[ATUAL]])</f>
        <v>0</v>
      </c>
      <c r="Z176" s="119" t="n">
        <f aca="false">SUMIFS(tabela_registros[VALOR],tabela_registros[MÊS],$AE$1,tabela_registros[DIA],reservafixaconsolidadoabr[[#Headers],[22]],tabela_registros[REGISTRO],DADOS!$N$6,tabela_registros[TIPO],DADOS!$AJ$3,tabela_registros[CATEGORIA],reservafixaconsolidadoabr[[#This Row],[ATUAL]])</f>
        <v>0</v>
      </c>
      <c r="AA176" s="119" t="n">
        <f aca="false">SUMIFS(tabela_registros[VALOR],tabela_registros[MÊS],$AE$1,tabela_registros[DIA],reservafixaconsolidadoabr[[#Headers],[23]],tabela_registros[REGISTRO],DADOS!$N$6,tabela_registros[TIPO],DADOS!$AJ$3,tabela_registros[CATEGORIA],reservafixaconsolidadoabr[[#This Row],[ATUAL]])</f>
        <v>0</v>
      </c>
      <c r="AB176" s="119" t="n">
        <f aca="false">SUMIFS(tabela_registros[VALOR],tabela_registros[MÊS],$AE$1,tabela_registros[DIA],reservafixaconsolidadoabr[[#Headers],[24]],tabela_registros[REGISTRO],DADOS!$N$6,tabela_registros[TIPO],DADOS!$AJ$3,tabela_registros[CATEGORIA],reservafixaconsolidadoabr[[#This Row],[ATUAL]])</f>
        <v>0</v>
      </c>
      <c r="AC176" s="119" t="n">
        <f aca="false">SUMIFS(tabela_registros[VALOR],tabela_registros[MÊS],$AE$1,tabela_registros[DIA],reservafixaconsolidadoabr[[#Headers],[25]],tabela_registros[REGISTRO],DADOS!$N$6,tabela_registros[TIPO],DADOS!$AJ$3,tabela_registros[CATEGORIA],reservafixaconsolidadoabr[[#This Row],[ATUAL]])</f>
        <v>0</v>
      </c>
      <c r="AD176" s="119" t="n">
        <f aca="false">SUMIFS(tabela_registros[VALOR],tabela_registros[MÊS],$AE$1,tabela_registros[DIA],reservafixaconsolidadoabr[[#Headers],[26]],tabela_registros[REGISTRO],DADOS!$N$6,tabela_registros[TIPO],DADOS!$AJ$3,tabela_registros[CATEGORIA],reservafixaconsolidadoabr[[#This Row],[ATUAL]])</f>
        <v>0</v>
      </c>
      <c r="AE176" s="119" t="n">
        <f aca="false">SUMIFS(tabela_registros[VALOR],tabela_registros[MÊS],$AE$1,tabela_registros[DIA],reservafixaconsolidadoabr[[#Headers],[27]],tabela_registros[REGISTRO],DADOS!$N$6,tabela_registros[TIPO],DADOS!$AJ$3,tabela_registros[CATEGORIA],reservafixaconsolidadoabr[[#This Row],[ATUAL]])</f>
        <v>0</v>
      </c>
      <c r="AF176" s="119" t="n">
        <f aca="false">SUMIFS(tabela_registros[VALOR],tabela_registros[MÊS],$AE$1,tabela_registros[DIA],reservafixaconsolidadoabr[[#Headers],[28]],tabela_registros[REGISTRO],DADOS!$N$6,tabela_registros[TIPO],DADOS!$AJ$3,tabela_registros[CATEGORIA],reservafixaconsolidadoabr[[#This Row],[ATUAL]])</f>
        <v>0</v>
      </c>
      <c r="AG176" s="119" t="n">
        <f aca="false">SUMIFS(tabela_registros[VALOR],tabela_registros[MÊS],$AE$1,tabela_registros[DIA],reservafixaconsolidadoabr[[#Headers],[29]],tabela_registros[REGISTRO],DADOS!$N$6,tabela_registros[TIPO],DADOS!$AJ$3,tabela_registros[CATEGORIA],reservafixaconsolidadoabr[[#This Row],[ATUAL]])</f>
        <v>0</v>
      </c>
      <c r="AH176" s="119" t="n">
        <f aca="false">SUMIFS(tabela_registros[VALOR],tabela_registros[MÊS],$AE$1,tabela_registros[DIA],reservafixaconsolidadoabr[[#Headers],[30]],tabela_registros[REGISTRO],DADOS!$N$6,tabela_registros[TIPO],DADOS!$AJ$3,tabela_registros[CATEGORIA],reservafixaconsolidadoabr[[#This Row],[ATUAL]])</f>
        <v>0</v>
      </c>
      <c r="AI176" s="217" t="n">
        <f aca="false">SUMIFS(tabela_registros[VALOR],tabela_registros[MÊS],$AE$1,tabela_registros[DIA],reservafixaconsolidadoabr[[#Headers],[31]],tabela_registros[REGISTRO],DADOS!$N$6,tabela_registros[TIPO],DADOS!$AJ$3,tabela_registros[CATEGORIA],reservafixaconsolidadoabr[[#This Row],[ATUAL]])</f>
        <v>0</v>
      </c>
      <c r="AJ176" s="149" t="n">
        <f aca="false">SUM(reservafixaconsolidadoabr[[#This Row],[1]:[31]])</f>
        <v>0</v>
      </c>
      <c r="AK176" s="165"/>
    </row>
    <row r="177" customFormat="false" ht="19.5" hidden="false" customHeight="true" outlineLevel="0" collapsed="false">
      <c r="B177" s="143"/>
      <c r="C177" s="144" t="str">
        <f aca="false">DADOS!$AL$12</f>
        <v>📎 OUTROS</v>
      </c>
      <c r="D177" s="145" t="str">
        <f aca="false">IF(reservafixaconsolidadoabr[[#This Row],[TOTAL (R$)]]=0,"",IF(OR(reservafixaconsolidadoabr[[#This Row],[TOTAL (R$)]]=LARGE($AJ$168:$AJ$177,1),reservafixaconsolidadoabr[[#This Row],[TOTAL (R$)]]=LARGE($AJ$168:$AJ$177,2)),DADOS!$I$11,""))</f>
        <v/>
      </c>
      <c r="E177" s="148" t="n">
        <f aca="false">SUMIFS(tabela_registros[VALOR],tabela_registros[MÊS],$AE$1,tabela_registros[DIA],reservafixaconsolidadoabr[[#Headers],[1]],tabela_registros[REGISTRO],DADOS!$N$6,tabela_registros[TIPO],DADOS!$AJ$3,tabela_registros[CATEGORIA],reservafixaconsolidadoabr[[#This Row],[ATUAL]])</f>
        <v>0</v>
      </c>
      <c r="F177" s="119" t="n">
        <f aca="false">SUMIFS(tabela_registros[VALOR],tabela_registros[MÊS],$AE$1,tabela_registros[DIA],reservafixaconsolidadoabr[[#Headers],[2]],tabela_registros[REGISTRO],DADOS!$N$6,tabela_registros[TIPO],DADOS!$AJ$3,tabela_registros[CATEGORIA],reservafixaconsolidadoabr[[#This Row],[ATUAL]])</f>
        <v>0</v>
      </c>
      <c r="G177" s="119" t="n">
        <f aca="false">SUMIFS(tabela_registros[VALOR],tabela_registros[MÊS],$AE$1,tabela_registros[DIA],reservafixaconsolidadoabr[[#Headers],[3]],tabela_registros[REGISTRO],DADOS!$N$6,tabela_registros[TIPO],DADOS!$AJ$3,tabela_registros[CATEGORIA],reservafixaconsolidadoabr[[#This Row],[ATUAL]])</f>
        <v>0</v>
      </c>
      <c r="H177" s="119" t="n">
        <f aca="false">SUMIFS(tabela_registros[VALOR],tabela_registros[MÊS],$AE$1,tabela_registros[DIA],reservafixaconsolidadoabr[[#Headers],[4]],tabela_registros[REGISTRO],DADOS!$N$6,tabela_registros[TIPO],DADOS!$AJ$3,tabela_registros[CATEGORIA],reservafixaconsolidadoabr[[#This Row],[ATUAL]])</f>
        <v>0</v>
      </c>
      <c r="I177" s="119" t="n">
        <f aca="false">SUMIFS(tabela_registros[VALOR],tabela_registros[MÊS],$AE$1,tabela_registros[DIA],reservafixaconsolidadoabr[[#Headers],[5]],tabela_registros[REGISTRO],DADOS!$N$6,tabela_registros[TIPO],DADOS!$AJ$3,tabela_registros[CATEGORIA],reservafixaconsolidadoabr[[#This Row],[ATUAL]])</f>
        <v>0</v>
      </c>
      <c r="J177" s="119" t="n">
        <f aca="false">SUMIFS(tabela_registros[VALOR],tabela_registros[MÊS],$AE$1,tabela_registros[DIA],reservafixaconsolidadoabr[[#Headers],[6]],tabela_registros[REGISTRO],DADOS!$N$6,tabela_registros[TIPO],DADOS!$AJ$3,tabela_registros[CATEGORIA],reservafixaconsolidadoabr[[#This Row],[ATUAL]])</f>
        <v>0</v>
      </c>
      <c r="K177" s="119" t="n">
        <f aca="false">SUMIFS(tabela_registros[VALOR],tabela_registros[MÊS],$AE$1,tabela_registros[DIA],reservafixaconsolidadoabr[[#Headers],[7]],tabela_registros[REGISTRO],DADOS!$N$6,tabela_registros[TIPO],DADOS!$AJ$3,tabela_registros[CATEGORIA],reservafixaconsolidadoabr[[#This Row],[ATUAL]])</f>
        <v>0</v>
      </c>
      <c r="L177" s="119" t="n">
        <f aca="false">SUMIFS(tabela_registros[VALOR],tabela_registros[MÊS],$AE$1,tabela_registros[DIA],reservafixaconsolidadoabr[[#Headers],[8]],tabela_registros[REGISTRO],DADOS!$N$6,tabela_registros[TIPO],DADOS!$AJ$3,tabela_registros[CATEGORIA],reservafixaconsolidadoabr[[#This Row],[ATUAL]])</f>
        <v>0</v>
      </c>
      <c r="M177" s="119" t="n">
        <f aca="false">SUMIFS(tabela_registros[VALOR],tabela_registros[MÊS],$AE$1,tabela_registros[DIA],reservafixaconsolidadoabr[[#Headers],[9]],tabela_registros[REGISTRO],DADOS!$N$6,tabela_registros[TIPO],DADOS!$AJ$3,tabela_registros[CATEGORIA],reservafixaconsolidadoabr[[#This Row],[ATUAL]])</f>
        <v>0</v>
      </c>
      <c r="N177" s="119" t="n">
        <f aca="false">SUMIFS(tabela_registros[VALOR],tabela_registros[MÊS],$AE$1,tabela_registros[DIA],reservafixaconsolidadoabr[[#Headers],[10]],tabela_registros[REGISTRO],DADOS!$N$6,tabela_registros[TIPO],DADOS!$AJ$3,tabela_registros[CATEGORIA],reservafixaconsolidadoabr[[#This Row],[ATUAL]])</f>
        <v>0</v>
      </c>
      <c r="O177" s="119" t="n">
        <f aca="false">SUMIFS(tabela_registros[VALOR],tabela_registros[MÊS],$AE$1,tabela_registros[DIA],reservafixaconsolidadoabr[[#Headers],[11]],tabela_registros[REGISTRO],DADOS!$N$6,tabela_registros[TIPO],DADOS!$AJ$3,tabela_registros[CATEGORIA],reservafixaconsolidadoabr[[#This Row],[ATUAL]])</f>
        <v>0</v>
      </c>
      <c r="P177" s="119" t="n">
        <f aca="false">SUMIFS(tabela_registros[VALOR],tabela_registros[MÊS],$AE$1,tabela_registros[DIA],reservafixaconsolidadoabr[[#Headers],[12]],tabela_registros[REGISTRO],DADOS!$N$6,tabela_registros[TIPO],DADOS!$AJ$3,tabela_registros[CATEGORIA],reservafixaconsolidadoabr[[#This Row],[ATUAL]])</f>
        <v>0</v>
      </c>
      <c r="Q177" s="119" t="n">
        <f aca="false">SUMIFS(tabela_registros[VALOR],tabela_registros[MÊS],$AE$1,tabela_registros[DIA],reservafixaconsolidadoabr[[#Headers],[13]],tabela_registros[REGISTRO],DADOS!$N$6,tabela_registros[TIPO],DADOS!$AJ$3,tabela_registros[CATEGORIA],reservafixaconsolidadoabr[[#This Row],[ATUAL]])</f>
        <v>0</v>
      </c>
      <c r="R177" s="119" t="n">
        <f aca="false">SUMIFS(tabela_registros[VALOR],tabela_registros[MÊS],$AE$1,tabela_registros[DIA],reservafixaconsolidadoabr[[#Headers],[14]],tabela_registros[REGISTRO],DADOS!$N$6,tabela_registros[TIPO],DADOS!$AJ$3,tabela_registros[CATEGORIA],reservafixaconsolidadoabr[[#This Row],[ATUAL]])</f>
        <v>0</v>
      </c>
      <c r="S177" s="119" t="n">
        <f aca="false">SUMIFS(tabela_registros[VALOR],tabela_registros[MÊS],$AE$1,tabela_registros[DIA],reservafixaconsolidadoabr[[#Headers],[15]],tabela_registros[REGISTRO],DADOS!$N$6,tabela_registros[TIPO],DADOS!$AJ$3,tabela_registros[CATEGORIA],reservafixaconsolidadoabr[[#This Row],[ATUAL]])</f>
        <v>0</v>
      </c>
      <c r="T177" s="119" t="n">
        <f aca="false">SUMIFS(tabela_registros[VALOR],tabela_registros[MÊS],$AE$1,tabela_registros[DIA],reservafixaconsolidadoabr[[#Headers],[16]],tabela_registros[REGISTRO],DADOS!$N$6,tabela_registros[TIPO],DADOS!$AJ$3,tabela_registros[CATEGORIA],reservafixaconsolidadoabr[[#This Row],[ATUAL]])</f>
        <v>0</v>
      </c>
      <c r="U177" s="119" t="n">
        <f aca="false">SUMIFS(tabela_registros[VALOR],tabela_registros[MÊS],$AE$1,tabela_registros[DIA],reservafixaconsolidadoabr[[#Headers],[17]],tabela_registros[REGISTRO],DADOS!$N$6,tabela_registros[TIPO],DADOS!$AJ$3,tabela_registros[CATEGORIA],reservafixaconsolidadoabr[[#This Row],[ATUAL]])</f>
        <v>0</v>
      </c>
      <c r="V177" s="119" t="n">
        <f aca="false">SUMIFS(tabela_registros[VALOR],tabela_registros[MÊS],$AE$1,tabela_registros[DIA],reservafixaconsolidadoabr[[#Headers],[18]],tabela_registros[REGISTRO],DADOS!$N$6,tabela_registros[TIPO],DADOS!$AJ$3,tabela_registros[CATEGORIA],reservafixaconsolidadoabr[[#This Row],[ATUAL]])</f>
        <v>0</v>
      </c>
      <c r="W177" s="119" t="n">
        <f aca="false">SUMIFS(tabela_registros[VALOR],tabela_registros[MÊS],$AE$1,tabela_registros[DIA],reservafixaconsolidadoabr[[#Headers],[19]],tabela_registros[REGISTRO],DADOS!$N$6,tabela_registros[TIPO],DADOS!$AJ$3,tabela_registros[CATEGORIA],reservafixaconsolidadoabr[[#This Row],[ATUAL]])</f>
        <v>0</v>
      </c>
      <c r="X177" s="119" t="n">
        <f aca="false">SUMIFS(tabela_registros[VALOR],tabela_registros[MÊS],$AE$1,tabela_registros[DIA],reservafixaconsolidadoabr[[#Headers],[20]],tabela_registros[REGISTRO],DADOS!$N$6,tabela_registros[TIPO],DADOS!$AJ$3,tabela_registros[CATEGORIA],reservafixaconsolidadoabr[[#This Row],[ATUAL]])</f>
        <v>0</v>
      </c>
      <c r="Y177" s="119" t="n">
        <f aca="false">SUMIFS(tabela_registros[VALOR],tabela_registros[MÊS],$AE$1,tabela_registros[DIA],reservafixaconsolidadoabr[[#Headers],[21]],tabela_registros[REGISTRO],DADOS!$N$6,tabela_registros[TIPO],DADOS!$AJ$3,tabela_registros[CATEGORIA],reservafixaconsolidadoabr[[#This Row],[ATUAL]])</f>
        <v>0</v>
      </c>
      <c r="Z177" s="119" t="n">
        <f aca="false">SUMIFS(tabela_registros[VALOR],tabela_registros[MÊS],$AE$1,tabela_registros[DIA],reservafixaconsolidadoabr[[#Headers],[22]],tabela_registros[REGISTRO],DADOS!$N$6,tabela_registros[TIPO],DADOS!$AJ$3,tabela_registros[CATEGORIA],reservafixaconsolidadoabr[[#This Row],[ATUAL]])</f>
        <v>0</v>
      </c>
      <c r="AA177" s="119" t="n">
        <f aca="false">SUMIFS(tabela_registros[VALOR],tabela_registros[MÊS],$AE$1,tabela_registros[DIA],reservafixaconsolidadoabr[[#Headers],[23]],tabela_registros[REGISTRO],DADOS!$N$6,tabela_registros[TIPO],DADOS!$AJ$3,tabela_registros[CATEGORIA],reservafixaconsolidadoabr[[#This Row],[ATUAL]])</f>
        <v>0</v>
      </c>
      <c r="AB177" s="119" t="n">
        <f aca="false">SUMIFS(tabela_registros[VALOR],tabela_registros[MÊS],$AE$1,tabela_registros[DIA],reservafixaconsolidadoabr[[#Headers],[24]],tabela_registros[REGISTRO],DADOS!$N$6,tabela_registros[TIPO],DADOS!$AJ$3,tabela_registros[CATEGORIA],reservafixaconsolidadoabr[[#This Row],[ATUAL]])</f>
        <v>0</v>
      </c>
      <c r="AC177" s="119" t="n">
        <f aca="false">SUMIFS(tabela_registros[VALOR],tabela_registros[MÊS],$AE$1,tabela_registros[DIA],reservafixaconsolidadoabr[[#Headers],[25]],tabela_registros[REGISTRO],DADOS!$N$6,tabela_registros[TIPO],DADOS!$AJ$3,tabela_registros[CATEGORIA],reservafixaconsolidadoabr[[#This Row],[ATUAL]])</f>
        <v>0</v>
      </c>
      <c r="AD177" s="119" t="n">
        <f aca="false">SUMIFS(tabela_registros[VALOR],tabela_registros[MÊS],$AE$1,tabela_registros[DIA],reservafixaconsolidadoabr[[#Headers],[26]],tabela_registros[REGISTRO],DADOS!$N$6,tabela_registros[TIPO],DADOS!$AJ$3,tabela_registros[CATEGORIA],reservafixaconsolidadoabr[[#This Row],[ATUAL]])</f>
        <v>0</v>
      </c>
      <c r="AE177" s="119" t="n">
        <f aca="false">SUMIFS(tabela_registros[VALOR],tabela_registros[MÊS],$AE$1,tabela_registros[DIA],reservafixaconsolidadoabr[[#Headers],[27]],tabela_registros[REGISTRO],DADOS!$N$6,tabela_registros[TIPO],DADOS!$AJ$3,tabela_registros[CATEGORIA],reservafixaconsolidadoabr[[#This Row],[ATUAL]])</f>
        <v>0</v>
      </c>
      <c r="AF177" s="119" t="n">
        <f aca="false">SUMIFS(tabela_registros[VALOR],tabela_registros[MÊS],$AE$1,tabela_registros[DIA],reservafixaconsolidadoabr[[#Headers],[28]],tabela_registros[REGISTRO],DADOS!$N$6,tabela_registros[TIPO],DADOS!$AJ$3,tabela_registros[CATEGORIA],reservafixaconsolidadoabr[[#This Row],[ATUAL]])</f>
        <v>0</v>
      </c>
      <c r="AG177" s="119" t="n">
        <f aca="false">SUMIFS(tabela_registros[VALOR],tabela_registros[MÊS],$AE$1,tabela_registros[DIA],reservafixaconsolidadoabr[[#Headers],[29]],tabela_registros[REGISTRO],DADOS!$N$6,tabela_registros[TIPO],DADOS!$AJ$3,tabela_registros[CATEGORIA],reservafixaconsolidadoabr[[#This Row],[ATUAL]])</f>
        <v>0</v>
      </c>
      <c r="AH177" s="119" t="n">
        <f aca="false">SUMIFS(tabela_registros[VALOR],tabela_registros[MÊS],$AE$1,tabela_registros[DIA],reservafixaconsolidadoabr[[#Headers],[30]],tabela_registros[REGISTRO],DADOS!$N$6,tabela_registros[TIPO],DADOS!$AJ$3,tabela_registros[CATEGORIA],reservafixaconsolidadoabr[[#This Row],[ATUAL]])</f>
        <v>0</v>
      </c>
      <c r="AI177" s="218" t="n">
        <f aca="false">SUMIFS(tabela_registros[VALOR],tabela_registros[MÊS],$AE$1,tabela_registros[DIA],reservafixaconsolidadoabr[[#Headers],[31]],tabela_registros[REGISTRO],DADOS!$N$6,tabela_registros[TIPO],DADOS!$AJ$3,tabela_registros[CATEGORIA],reservafixaconsolidadoabr[[#This Row],[ATUAL]])</f>
        <v>0</v>
      </c>
      <c r="AJ177" s="149" t="n">
        <f aca="false">SUM(reservafixaconsolidadoabr[[#This Row],[1]:[31]])</f>
        <v>0</v>
      </c>
      <c r="AK177" s="165"/>
    </row>
    <row r="178" s="122" customFormat="true" ht="21" hidden="false" customHeight="true" outlineLevel="0" collapsed="false">
      <c r="B178" s="152"/>
      <c r="C178" s="153" t="s">
        <v>2</v>
      </c>
      <c r="D178" s="166"/>
      <c r="E178" s="155" t="n">
        <f aca="false">SUM(E168:E177)</f>
        <v>0</v>
      </c>
      <c r="F178" s="156" t="n">
        <f aca="false">SUM(F168:F177)+reservafixaconsolidadoabr[[#This Row],[1]]</f>
        <v>0</v>
      </c>
      <c r="G178" s="156" t="n">
        <f aca="false">SUM(G168:G177)+reservafixaconsolidadoabr[[#This Row],[2]]</f>
        <v>0</v>
      </c>
      <c r="H178" s="156" t="n">
        <f aca="false">SUM(H168:H177)+reservafixaconsolidadoabr[[#This Row],[3]]</f>
        <v>0</v>
      </c>
      <c r="I178" s="156" t="n">
        <f aca="false">SUM(I168:I177)+reservafixaconsolidadoabr[[#This Row],[4]]</f>
        <v>0</v>
      </c>
      <c r="J178" s="156" t="n">
        <f aca="false">SUM(J168:J177)+reservafixaconsolidadoabr[[#This Row],[5]]</f>
        <v>0</v>
      </c>
      <c r="K178" s="156" t="n">
        <f aca="false">SUM(K168:K177)+reservafixaconsolidadoabr[[#This Row],[6]]</f>
        <v>0</v>
      </c>
      <c r="L178" s="156" t="n">
        <f aca="false">SUM(L168:L177)+reservafixaconsolidadoabr[[#This Row],[7]]</f>
        <v>0</v>
      </c>
      <c r="M178" s="156" t="n">
        <f aca="false">SUM(M168:M177)+reservafixaconsolidadoabr[[#This Row],[8]]</f>
        <v>0</v>
      </c>
      <c r="N178" s="156" t="n">
        <f aca="false">SUM(N168:N177)+reservafixaconsolidadoabr[[#This Row],[9]]</f>
        <v>0</v>
      </c>
      <c r="O178" s="156" t="n">
        <f aca="false">SUM(O168:O177)+reservafixaconsolidadoabr[[#This Row],[10]]</f>
        <v>0</v>
      </c>
      <c r="P178" s="156" t="n">
        <f aca="false">SUM(P168:P177)+reservafixaconsolidadoabr[[#This Row],[11]]</f>
        <v>0</v>
      </c>
      <c r="Q178" s="156" t="n">
        <f aca="false">SUM(Q168:Q177)+reservafixaconsolidadoabr[[#This Row],[12]]</f>
        <v>0</v>
      </c>
      <c r="R178" s="156" t="n">
        <f aca="false">SUM(R168:R177)+reservafixaconsolidadoabr[[#This Row],[13]]</f>
        <v>0</v>
      </c>
      <c r="S178" s="156" t="n">
        <f aca="false">SUM(S168:S177)+reservafixaconsolidadoabr[[#This Row],[14]]</f>
        <v>0</v>
      </c>
      <c r="T178" s="156" t="n">
        <f aca="false">SUM(T168:T177)+reservafixaconsolidadoabr[[#This Row],[15]]</f>
        <v>0</v>
      </c>
      <c r="U178" s="156" t="n">
        <f aca="false">SUM(U168:U177)+reservafixaconsolidadoabr[[#This Row],[16]]</f>
        <v>0</v>
      </c>
      <c r="V178" s="156" t="n">
        <f aca="false">SUM(V168:V177)+reservafixaconsolidadoabr[[#This Row],[17]]</f>
        <v>0</v>
      </c>
      <c r="W178" s="156" t="n">
        <f aca="false">SUM(W168:W177)+reservafixaconsolidadoabr[[#This Row],[18]]</f>
        <v>0</v>
      </c>
      <c r="X178" s="156" t="n">
        <f aca="false">SUM(X168:X177)+reservafixaconsolidadoabr[[#This Row],[19]]</f>
        <v>0</v>
      </c>
      <c r="Y178" s="156" t="n">
        <f aca="false">SUM(Y168:Y177)+reservafixaconsolidadoabr[[#This Row],[20]]</f>
        <v>0</v>
      </c>
      <c r="Z178" s="156" t="n">
        <f aca="false">SUM(Z168:Z177)+reservafixaconsolidadoabr[[#This Row],[21]]</f>
        <v>0</v>
      </c>
      <c r="AA178" s="156" t="n">
        <f aca="false">SUM(AA168:AA177)+reservafixaconsolidadoabr[[#This Row],[22]]</f>
        <v>0</v>
      </c>
      <c r="AB178" s="156" t="n">
        <f aca="false">SUM(AB168:AB177)+reservafixaconsolidadoabr[[#This Row],[23]]</f>
        <v>0</v>
      </c>
      <c r="AC178" s="156" t="n">
        <f aca="false">SUM(AC168:AC177)+reservafixaconsolidadoabr[[#This Row],[24]]</f>
        <v>0</v>
      </c>
      <c r="AD178" s="156" t="n">
        <f aca="false">SUM(AD168:AD177)+reservafixaconsolidadoabr[[#This Row],[25]]</f>
        <v>0</v>
      </c>
      <c r="AE178" s="156" t="n">
        <f aca="false">SUM(AE168:AE177)+reservafixaconsolidadoabr[[#This Row],[26]]</f>
        <v>0</v>
      </c>
      <c r="AF178" s="156" t="n">
        <f aca="false">SUM(AF168:AF177)+reservafixaconsolidadoabr[[#This Row],[27]]</f>
        <v>0</v>
      </c>
      <c r="AG178" s="156" t="n">
        <f aca="false">SUM(AG168:AG177)+reservafixaconsolidadoabr[[#This Row],[28]]</f>
        <v>0</v>
      </c>
      <c r="AH178" s="156" t="n">
        <f aca="false">SUM(AH168:AH177)+reservafixaconsolidadoabr[[#This Row],[29]]</f>
        <v>0</v>
      </c>
      <c r="AI178" s="223" t="n">
        <f aca="false">SUM(AI168:AI177)+reservafixaconsolidadoabr[[#This Row],[30]]</f>
        <v>0</v>
      </c>
      <c r="AJ178" s="157" t="n">
        <f aca="false">reservafixaconsolidadoabr[[#This Row],[31]]</f>
        <v>0</v>
      </c>
      <c r="AK178" s="158"/>
    </row>
    <row r="179" customFormat="false" ht="6.75" hidden="false" customHeight="true" outlineLevel="0" collapsed="false">
      <c r="B179" s="97"/>
      <c r="C179" s="162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233"/>
      <c r="AJ179" s="164"/>
      <c r="AK179" s="244"/>
    </row>
    <row r="180" s="78" customFormat="true" ht="12.75" hidden="false" customHeight="false" outlineLevel="0" collapsed="false">
      <c r="E180" s="100"/>
    </row>
    <row r="181" s="78" customFormat="true" ht="12" hidden="false" customHeight="false" outlineLevel="0" collapsed="false"/>
    <row r="182" s="78" customFormat="true" ht="12" hidden="false" customHeight="false" outlineLevel="0" collapsed="false"/>
    <row r="183" customFormat="false" ht="39.75" hidden="false" customHeight="true" outlineLevel="0" collapsed="false">
      <c r="C183" s="101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3" t="s">
        <v>2</v>
      </c>
    </row>
    <row r="184" s="78" customFormat="true" ht="12.75" hidden="false" customHeight="false" outlineLevel="0" collapsed="false">
      <c r="B184" s="161"/>
      <c r="AJ184" s="106" t="s">
        <v>64</v>
      </c>
    </row>
    <row r="185" customFormat="false" ht="6.75" hidden="false" customHeight="true" outlineLevel="0" collapsed="false">
      <c r="B185" s="86"/>
      <c r="C185" s="162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233"/>
      <c r="AK185" s="139"/>
    </row>
    <row r="186" customFormat="false" ht="13.5" hidden="true" customHeight="false" outlineLevel="0" collapsed="false">
      <c r="B186" s="86"/>
      <c r="C186" s="109" t="s">
        <v>68</v>
      </c>
      <c r="D186" s="110" t="s">
        <v>69</v>
      </c>
      <c r="E186" s="110" t="s">
        <v>30</v>
      </c>
      <c r="F186" s="110" t="s">
        <v>31</v>
      </c>
      <c r="G186" s="110" t="s">
        <v>32</v>
      </c>
      <c r="H186" s="110" t="s">
        <v>33</v>
      </c>
      <c r="I186" s="110" t="s">
        <v>34</v>
      </c>
      <c r="J186" s="110" t="s">
        <v>35</v>
      </c>
      <c r="K186" s="110" t="s">
        <v>36</v>
      </c>
      <c r="L186" s="110" t="s">
        <v>37</v>
      </c>
      <c r="M186" s="110" t="s">
        <v>38</v>
      </c>
      <c r="N186" s="110" t="s">
        <v>39</v>
      </c>
      <c r="O186" s="110" t="s">
        <v>40</v>
      </c>
      <c r="P186" s="110" t="s">
        <v>41</v>
      </c>
      <c r="Q186" s="110" t="s">
        <v>81</v>
      </c>
      <c r="R186" s="110" t="s">
        <v>82</v>
      </c>
      <c r="S186" s="110" t="s">
        <v>83</v>
      </c>
      <c r="T186" s="110" t="s">
        <v>84</v>
      </c>
      <c r="U186" s="110" t="s">
        <v>85</v>
      </c>
      <c r="V186" s="110" t="s">
        <v>86</v>
      </c>
      <c r="W186" s="110" t="s">
        <v>87</v>
      </c>
      <c r="X186" s="110" t="s">
        <v>88</v>
      </c>
      <c r="Y186" s="110" t="s">
        <v>89</v>
      </c>
      <c r="Z186" s="110" t="s">
        <v>90</v>
      </c>
      <c r="AA186" s="110" t="s">
        <v>91</v>
      </c>
      <c r="AB186" s="110" t="s">
        <v>92</v>
      </c>
      <c r="AC186" s="110" t="s">
        <v>93</v>
      </c>
      <c r="AD186" s="110" t="s">
        <v>94</v>
      </c>
      <c r="AE186" s="110" t="s">
        <v>95</v>
      </c>
      <c r="AF186" s="110" t="s">
        <v>96</v>
      </c>
      <c r="AG186" s="110" t="s">
        <v>97</v>
      </c>
      <c r="AH186" s="110" t="s">
        <v>98</v>
      </c>
      <c r="AI186" s="110" t="s">
        <v>99</v>
      </c>
      <c r="AJ186" s="111" t="s">
        <v>70</v>
      </c>
      <c r="AK186" s="86"/>
    </row>
    <row r="187" customFormat="false" ht="19.5" hidden="false" customHeight="true" outlineLevel="0" collapsed="false">
      <c r="B187" s="143"/>
      <c r="C187" s="144" t="str">
        <f aca="false">DADOS!$AN$3</f>
        <v>📝 AÇÃO</v>
      </c>
      <c r="D187" s="145" t="str">
        <f aca="false">IF(reservavariáveisconsolidadoabr[[#This Row],[TOTAL (R$)]]=0,"",IF(OR(reservavariáveisconsolidadoabr[[#This Row],[TOTAL (R$)]]=LARGE($AJ$187:$AJ$196,1),reservavariáveisconsolidadoabr[[#This Row],[TOTAL (R$)]]=LARGE($AJ$187:$AJ$196,2)),DADOS!$I$11,""))</f>
        <v/>
      </c>
      <c r="E187" s="148" t="n">
        <f aca="false">SUMIFS(tabela_registros[VALOR],tabela_registros[MÊS],$AE$1,tabela_registros[DIA],reservavariáveisconsolidadoabr[[#Headers],[1]],tabela_registros[REGISTRO],DADOS!$N$6,tabela_registros[TIPO],DADOS!$AJ$4,tabela_registros[CATEGORIA],reservavariáveisconsolidadoabr[[#This Row],[ATUAL]])</f>
        <v>0</v>
      </c>
      <c r="F187" s="119" t="n">
        <f aca="false">SUMIFS(tabela_registros[VALOR],tabela_registros[MÊS],$AE$1,tabela_registros[DIA],reservavariáveisconsolidadoabr[[#Headers],[2]],tabela_registros[REGISTRO],DADOS!$N$6,tabela_registros[TIPO],DADOS!$AJ$4,tabela_registros[CATEGORIA],reservavariáveisconsolidadoabr[[#This Row],[ATUAL]])</f>
        <v>0</v>
      </c>
      <c r="G187" s="119" t="n">
        <f aca="false">SUMIFS(tabela_registros[VALOR],tabela_registros[MÊS],$AE$1,tabela_registros[DIA],reservavariáveisconsolidadoabr[[#Headers],[3]],tabela_registros[REGISTRO],DADOS!$N$6,tabela_registros[TIPO],DADOS!$AJ$4,tabela_registros[CATEGORIA],reservavariáveisconsolidadoabr[[#This Row],[ATUAL]])</f>
        <v>0</v>
      </c>
      <c r="H187" s="119" t="n">
        <f aca="false">SUMIFS(tabela_registros[VALOR],tabela_registros[MÊS],$AE$1,tabela_registros[DIA],reservavariáveisconsolidadoabr[[#Headers],[4]],tabela_registros[REGISTRO],DADOS!$N$6,tabela_registros[TIPO],DADOS!$AJ$4,tabela_registros[CATEGORIA],reservavariáveisconsolidadoabr[[#This Row],[ATUAL]])</f>
        <v>0</v>
      </c>
      <c r="I187" s="119" t="n">
        <f aca="false">SUMIFS(tabela_registros[VALOR],tabela_registros[MÊS],$AE$1,tabela_registros[DIA],reservavariáveisconsolidadoabr[[#Headers],[5]],tabela_registros[REGISTRO],DADOS!$N$6,tabela_registros[TIPO],DADOS!$AJ$4,tabela_registros[CATEGORIA],reservavariáveisconsolidadoabr[[#This Row],[ATUAL]])</f>
        <v>0</v>
      </c>
      <c r="J187" s="119" t="n">
        <f aca="false">SUMIFS(tabela_registros[VALOR],tabela_registros[MÊS],$AE$1,tabela_registros[DIA],reservavariáveisconsolidadoabr[[#Headers],[6]],tabela_registros[REGISTRO],DADOS!$N$6,tabela_registros[TIPO],DADOS!$AJ$4,tabela_registros[CATEGORIA],reservavariáveisconsolidadoabr[[#This Row],[ATUAL]])</f>
        <v>0</v>
      </c>
      <c r="K187" s="119" t="n">
        <f aca="false">SUMIFS(tabela_registros[VALOR],tabela_registros[MÊS],$AE$1,tabela_registros[DIA],reservavariáveisconsolidadoabr[[#Headers],[7]],tabela_registros[REGISTRO],DADOS!$N$6,tabela_registros[TIPO],DADOS!$AJ$4,tabela_registros[CATEGORIA],reservavariáveisconsolidadoabr[[#This Row],[ATUAL]])</f>
        <v>0</v>
      </c>
      <c r="L187" s="119" t="n">
        <f aca="false">SUMIFS(tabela_registros[VALOR],tabela_registros[MÊS],$AE$1,tabela_registros[DIA],reservavariáveisconsolidadoabr[[#Headers],[8]],tabela_registros[REGISTRO],DADOS!$N$6,tabela_registros[TIPO],DADOS!$AJ$4,tabela_registros[CATEGORIA],reservavariáveisconsolidadoabr[[#This Row],[ATUAL]])</f>
        <v>0</v>
      </c>
      <c r="M187" s="119" t="n">
        <f aca="false">SUMIFS(tabela_registros[VALOR],tabela_registros[MÊS],$AE$1,tabela_registros[DIA],reservavariáveisconsolidadoabr[[#Headers],[9]],tabela_registros[REGISTRO],DADOS!$N$6,tabela_registros[TIPO],DADOS!$AJ$4,tabela_registros[CATEGORIA],reservavariáveisconsolidadoabr[[#This Row],[ATUAL]])</f>
        <v>0</v>
      </c>
      <c r="N187" s="119" t="n">
        <f aca="false">SUMIFS(tabela_registros[VALOR],tabela_registros[MÊS],$AE$1,tabela_registros[DIA],reservavariáveisconsolidadoabr[[#Headers],[10]],tabela_registros[REGISTRO],DADOS!$N$6,tabela_registros[TIPO],DADOS!$AJ$4,tabela_registros[CATEGORIA],reservavariáveisconsolidadoabr[[#This Row],[ATUAL]])</f>
        <v>0</v>
      </c>
      <c r="O187" s="119" t="n">
        <f aca="false">SUMIFS(tabela_registros[VALOR],tabela_registros[MÊS],$AE$1,tabela_registros[DIA],reservavariáveisconsolidadoabr[[#Headers],[11]],tabela_registros[REGISTRO],DADOS!$N$6,tabela_registros[TIPO],DADOS!$AJ$4,tabela_registros[CATEGORIA],reservavariáveisconsolidadoabr[[#This Row],[ATUAL]])</f>
        <v>0</v>
      </c>
      <c r="P187" s="119" t="n">
        <f aca="false">SUMIFS(tabela_registros[VALOR],tabela_registros[MÊS],$AE$1,tabela_registros[DIA],reservavariáveisconsolidadoabr[[#Headers],[12]],tabela_registros[REGISTRO],DADOS!$N$6,tabela_registros[TIPO],DADOS!$AJ$4,tabela_registros[CATEGORIA],reservavariáveisconsolidadoabr[[#This Row],[ATUAL]])</f>
        <v>0</v>
      </c>
      <c r="Q187" s="119" t="n">
        <f aca="false">SUMIFS(tabela_registros[VALOR],tabela_registros[MÊS],$AE$1,tabela_registros[DIA],reservavariáveisconsolidadoabr[[#Headers],[13]],tabela_registros[REGISTRO],DADOS!$N$6,tabela_registros[TIPO],DADOS!$AJ$4,tabela_registros[CATEGORIA],reservavariáveisconsolidadoabr[[#This Row],[ATUAL]])</f>
        <v>0</v>
      </c>
      <c r="R187" s="119" t="n">
        <f aca="false">SUMIFS(tabela_registros[VALOR],tabela_registros[MÊS],$AE$1,tabela_registros[DIA],reservavariáveisconsolidadoabr[[#Headers],[14]],tabela_registros[REGISTRO],DADOS!$N$6,tabela_registros[TIPO],DADOS!$AJ$4,tabela_registros[CATEGORIA],reservavariáveisconsolidadoabr[[#This Row],[ATUAL]])</f>
        <v>0</v>
      </c>
      <c r="S187" s="119" t="n">
        <f aca="false">SUMIFS(tabela_registros[VALOR],tabela_registros[MÊS],$AE$1,tabela_registros[DIA],reservavariáveisconsolidadoabr[[#Headers],[15]],tabela_registros[REGISTRO],DADOS!$N$6,tabela_registros[TIPO],DADOS!$AJ$4,tabela_registros[CATEGORIA],reservavariáveisconsolidadoabr[[#This Row],[ATUAL]])</f>
        <v>0</v>
      </c>
      <c r="T187" s="119" t="n">
        <f aca="false">SUMIFS(tabela_registros[VALOR],tabela_registros[MÊS],$AE$1,tabela_registros[DIA],reservavariáveisconsolidadoabr[[#Headers],[16]],tabela_registros[REGISTRO],DADOS!$N$6,tabela_registros[TIPO],DADOS!$AJ$4,tabela_registros[CATEGORIA],reservavariáveisconsolidadoabr[[#This Row],[ATUAL]])</f>
        <v>0</v>
      </c>
      <c r="U187" s="119" t="n">
        <f aca="false">SUMIFS(tabela_registros[VALOR],tabela_registros[MÊS],$AE$1,tabela_registros[DIA],reservavariáveisconsolidadoabr[[#Headers],[17]],tabela_registros[REGISTRO],DADOS!$N$6,tabela_registros[TIPO],DADOS!$AJ$4,tabela_registros[CATEGORIA],reservavariáveisconsolidadoabr[[#This Row],[ATUAL]])</f>
        <v>0</v>
      </c>
      <c r="V187" s="119" t="n">
        <f aca="false">SUMIFS(tabela_registros[VALOR],tabela_registros[MÊS],$AE$1,tabela_registros[DIA],reservavariáveisconsolidadoabr[[#Headers],[18]],tabela_registros[REGISTRO],DADOS!$N$6,tabela_registros[TIPO],DADOS!$AJ$4,tabela_registros[CATEGORIA],reservavariáveisconsolidadoabr[[#This Row],[ATUAL]])</f>
        <v>0</v>
      </c>
      <c r="W187" s="119" t="n">
        <f aca="false">SUMIFS(tabela_registros[VALOR],tabela_registros[MÊS],$AE$1,tabela_registros[DIA],reservavariáveisconsolidadoabr[[#Headers],[19]],tabela_registros[REGISTRO],DADOS!$N$6,tabela_registros[TIPO],DADOS!$AJ$4,tabela_registros[CATEGORIA],reservavariáveisconsolidadoabr[[#This Row],[ATUAL]])</f>
        <v>0</v>
      </c>
      <c r="X187" s="119" t="n">
        <f aca="false">SUMIFS(tabela_registros[VALOR],tabela_registros[MÊS],$AE$1,tabela_registros[DIA],reservavariáveisconsolidadoabr[[#Headers],[20]],tabela_registros[REGISTRO],DADOS!$N$6,tabela_registros[TIPO],DADOS!$AJ$4,tabela_registros[CATEGORIA],reservavariáveisconsolidadoabr[[#This Row],[ATUAL]])</f>
        <v>0</v>
      </c>
      <c r="Y187" s="119" t="n">
        <f aca="false">SUMIFS(tabela_registros[VALOR],tabela_registros[MÊS],$AE$1,tabela_registros[DIA],reservavariáveisconsolidadoabr[[#Headers],[21]],tabela_registros[REGISTRO],DADOS!$N$6,tabela_registros[TIPO],DADOS!$AJ$4,tabela_registros[CATEGORIA],reservavariáveisconsolidadoabr[[#This Row],[ATUAL]])</f>
        <v>0</v>
      </c>
      <c r="Z187" s="119" t="n">
        <f aca="false">SUMIFS(tabela_registros[VALOR],tabela_registros[MÊS],$AE$1,tabela_registros[DIA],reservavariáveisconsolidadoabr[[#Headers],[22]],tabela_registros[REGISTRO],DADOS!$N$6,tabela_registros[TIPO],DADOS!$AJ$4,tabela_registros[CATEGORIA],reservavariáveisconsolidadoabr[[#This Row],[ATUAL]])</f>
        <v>0</v>
      </c>
      <c r="AA187" s="119" t="n">
        <f aca="false">SUMIFS(tabela_registros[VALOR],tabela_registros[MÊS],$AE$1,tabela_registros[DIA],reservavariáveisconsolidadoabr[[#Headers],[23]],tabela_registros[REGISTRO],DADOS!$N$6,tabela_registros[TIPO],DADOS!$AJ$4,tabela_registros[CATEGORIA],reservavariáveisconsolidadoabr[[#This Row],[ATUAL]])</f>
        <v>0</v>
      </c>
      <c r="AB187" s="119" t="n">
        <f aca="false">SUMIFS(tabela_registros[VALOR],tabela_registros[MÊS],$AE$1,tabela_registros[DIA],reservavariáveisconsolidadoabr[[#Headers],[24]],tabela_registros[REGISTRO],DADOS!$N$6,tabela_registros[TIPO],DADOS!$AJ$4,tabela_registros[CATEGORIA],reservavariáveisconsolidadoabr[[#This Row],[ATUAL]])</f>
        <v>0</v>
      </c>
      <c r="AC187" s="119" t="n">
        <f aca="false">SUMIFS(tabela_registros[VALOR],tabela_registros[MÊS],$AE$1,tabela_registros[DIA],reservavariáveisconsolidadoabr[[#Headers],[25]],tabela_registros[REGISTRO],DADOS!$N$6,tabela_registros[TIPO],DADOS!$AJ$4,tabela_registros[CATEGORIA],reservavariáveisconsolidadoabr[[#This Row],[ATUAL]])</f>
        <v>0</v>
      </c>
      <c r="AD187" s="119" t="n">
        <f aca="false">SUMIFS(tabela_registros[VALOR],tabela_registros[MÊS],$AE$1,tabela_registros[DIA],reservavariáveisconsolidadoabr[[#Headers],[26]],tabela_registros[REGISTRO],DADOS!$N$6,tabela_registros[TIPO],DADOS!$AJ$4,tabela_registros[CATEGORIA],reservavariáveisconsolidadoabr[[#This Row],[ATUAL]])</f>
        <v>0</v>
      </c>
      <c r="AE187" s="119" t="n">
        <f aca="false">SUMIFS(tabela_registros[VALOR],tabela_registros[MÊS],$AE$1,tabela_registros[DIA],reservavariáveisconsolidadoabr[[#Headers],[27]],tabela_registros[REGISTRO],DADOS!$N$6,tabela_registros[TIPO],DADOS!$AJ$4,tabela_registros[CATEGORIA],reservavariáveisconsolidadoabr[[#This Row],[ATUAL]])</f>
        <v>0</v>
      </c>
      <c r="AF187" s="119" t="n">
        <f aca="false">SUMIFS(tabela_registros[VALOR],tabela_registros[MÊS],$AE$1,tabela_registros[DIA],reservavariáveisconsolidadoabr[[#Headers],[28]],tabela_registros[REGISTRO],DADOS!$N$6,tabela_registros[TIPO],DADOS!$AJ$4,tabela_registros[CATEGORIA],reservavariáveisconsolidadoabr[[#This Row],[ATUAL]])</f>
        <v>0</v>
      </c>
      <c r="AG187" s="119" t="n">
        <f aca="false">SUMIFS(tabela_registros[VALOR],tabela_registros[MÊS],$AE$1,tabela_registros[DIA],reservavariáveisconsolidadoabr[[#Headers],[29]],tabela_registros[REGISTRO],DADOS!$N$6,tabela_registros[TIPO],DADOS!$AJ$4,tabela_registros[CATEGORIA],reservavariáveisconsolidadoabr[[#This Row],[ATUAL]])</f>
        <v>0</v>
      </c>
      <c r="AH187" s="119" t="n">
        <f aca="false">SUMIFS(tabela_registros[VALOR],tabela_registros[MÊS],$AE$1,tabela_registros[DIA],reservavariáveisconsolidadoabr[[#Headers],[30]],tabela_registros[REGISTRO],DADOS!$N$6,tabela_registros[TIPO],DADOS!$AJ$4,tabela_registros[CATEGORIA],reservavariáveisconsolidadoabr[[#This Row],[ATUAL]])</f>
        <v>0</v>
      </c>
      <c r="AI187" s="217" t="n">
        <f aca="false">SUMIFS(tabela_registros[VALOR],tabela_registros[MÊS],$AE$1,tabela_registros[DIA],reservavariáveisconsolidadoabr[[#Headers],[31]],tabela_registros[REGISTRO],DADOS!$N$6,tabela_registros[TIPO],DADOS!$AJ$4,tabela_registros[CATEGORIA],reservavariáveisconsolidadoabr[[#This Row],[ATUAL]])</f>
        <v>0</v>
      </c>
      <c r="AJ187" s="149" t="n">
        <f aca="false">SUM(reservavariáveisconsolidadoabr[[#This Row],[1]:[31]])</f>
        <v>0</v>
      </c>
      <c r="AK187" s="165"/>
    </row>
    <row r="188" customFormat="false" ht="19.5" hidden="false" customHeight="true" outlineLevel="0" collapsed="false">
      <c r="B188" s="143"/>
      <c r="C188" s="144" t="str">
        <f aca="false">DADOS!$AN$4</f>
        <v>📝 COMÓDITE</v>
      </c>
      <c r="D188" s="145" t="str">
        <f aca="false">IF(reservavariáveisconsolidadoabr[[#This Row],[TOTAL (R$)]]=0,"",IF(OR(reservavariáveisconsolidadoabr[[#This Row],[TOTAL (R$)]]=LARGE($AJ$187:$AJ$196,1),reservavariáveisconsolidadoabr[[#This Row],[TOTAL (R$)]]=LARGE($AJ$187:$AJ$196,2)),DADOS!$I$11,""))</f>
        <v/>
      </c>
      <c r="E188" s="148" t="n">
        <f aca="false">SUMIFS(tabela_registros[VALOR],tabela_registros[MÊS],$AE$1,tabela_registros[DIA],reservavariáveisconsolidadoabr[[#Headers],[1]],tabela_registros[REGISTRO],DADOS!$N$6,tabela_registros[TIPO],DADOS!$AJ$4,tabela_registros[CATEGORIA],reservavariáveisconsolidadoabr[[#This Row],[ATUAL]])</f>
        <v>0</v>
      </c>
      <c r="F188" s="119" t="n">
        <f aca="false">SUMIFS(tabela_registros[VALOR],tabela_registros[MÊS],$AE$1,tabela_registros[DIA],reservavariáveisconsolidadoabr[[#Headers],[2]],tabela_registros[REGISTRO],DADOS!$N$6,tabela_registros[TIPO],DADOS!$AJ$4,tabela_registros[CATEGORIA],reservavariáveisconsolidadoabr[[#This Row],[ATUAL]])</f>
        <v>0</v>
      </c>
      <c r="G188" s="119" t="n">
        <f aca="false">SUMIFS(tabela_registros[VALOR],tabela_registros[MÊS],$AE$1,tabela_registros[DIA],reservavariáveisconsolidadoabr[[#Headers],[3]],tabela_registros[REGISTRO],DADOS!$N$6,tabela_registros[TIPO],DADOS!$AJ$4,tabela_registros[CATEGORIA],reservavariáveisconsolidadoabr[[#This Row],[ATUAL]])</f>
        <v>0</v>
      </c>
      <c r="H188" s="119" t="n">
        <f aca="false">SUMIFS(tabela_registros[VALOR],tabela_registros[MÊS],$AE$1,tabela_registros[DIA],reservavariáveisconsolidadoabr[[#Headers],[4]],tabela_registros[REGISTRO],DADOS!$N$6,tabela_registros[TIPO],DADOS!$AJ$4,tabela_registros[CATEGORIA],reservavariáveisconsolidadoabr[[#This Row],[ATUAL]])</f>
        <v>0</v>
      </c>
      <c r="I188" s="119" t="n">
        <f aca="false">SUMIFS(tabela_registros[VALOR],tabela_registros[MÊS],$AE$1,tabela_registros[DIA],reservavariáveisconsolidadoabr[[#Headers],[5]],tabela_registros[REGISTRO],DADOS!$N$6,tabela_registros[TIPO],DADOS!$AJ$4,tabela_registros[CATEGORIA],reservavariáveisconsolidadoabr[[#This Row],[ATUAL]])</f>
        <v>0</v>
      </c>
      <c r="J188" s="119" t="n">
        <f aca="false">SUMIFS(tabela_registros[VALOR],tabela_registros[MÊS],$AE$1,tabela_registros[DIA],reservavariáveisconsolidadoabr[[#Headers],[6]],tabela_registros[REGISTRO],DADOS!$N$6,tabela_registros[TIPO],DADOS!$AJ$4,tabela_registros[CATEGORIA],reservavariáveisconsolidadoabr[[#This Row],[ATUAL]])</f>
        <v>0</v>
      </c>
      <c r="K188" s="119" t="n">
        <f aca="false">SUMIFS(tabela_registros[VALOR],tabela_registros[MÊS],$AE$1,tabela_registros[DIA],reservavariáveisconsolidadoabr[[#Headers],[7]],tabela_registros[REGISTRO],DADOS!$N$6,tabela_registros[TIPO],DADOS!$AJ$4,tabela_registros[CATEGORIA],reservavariáveisconsolidadoabr[[#This Row],[ATUAL]])</f>
        <v>0</v>
      </c>
      <c r="L188" s="119" t="n">
        <f aca="false">SUMIFS(tabela_registros[VALOR],tabela_registros[MÊS],$AE$1,tabela_registros[DIA],reservavariáveisconsolidadoabr[[#Headers],[8]],tabela_registros[REGISTRO],DADOS!$N$6,tabela_registros[TIPO],DADOS!$AJ$4,tabela_registros[CATEGORIA],reservavariáveisconsolidadoabr[[#This Row],[ATUAL]])</f>
        <v>0</v>
      </c>
      <c r="M188" s="119" t="n">
        <f aca="false">SUMIFS(tabela_registros[VALOR],tabela_registros[MÊS],$AE$1,tabela_registros[DIA],reservavariáveisconsolidadoabr[[#Headers],[9]],tabela_registros[REGISTRO],DADOS!$N$6,tabela_registros[TIPO],DADOS!$AJ$4,tabela_registros[CATEGORIA],reservavariáveisconsolidadoabr[[#This Row],[ATUAL]])</f>
        <v>0</v>
      </c>
      <c r="N188" s="119" t="n">
        <f aca="false">SUMIFS(tabela_registros[VALOR],tabela_registros[MÊS],$AE$1,tabela_registros[DIA],reservavariáveisconsolidadoabr[[#Headers],[10]],tabela_registros[REGISTRO],DADOS!$N$6,tabela_registros[TIPO],DADOS!$AJ$4,tabela_registros[CATEGORIA],reservavariáveisconsolidadoabr[[#This Row],[ATUAL]])</f>
        <v>0</v>
      </c>
      <c r="O188" s="119" t="n">
        <f aca="false">SUMIFS(tabela_registros[VALOR],tabela_registros[MÊS],$AE$1,tabela_registros[DIA],reservavariáveisconsolidadoabr[[#Headers],[11]],tabela_registros[REGISTRO],DADOS!$N$6,tabela_registros[TIPO],DADOS!$AJ$4,tabela_registros[CATEGORIA],reservavariáveisconsolidadoabr[[#This Row],[ATUAL]])</f>
        <v>0</v>
      </c>
      <c r="P188" s="119" t="n">
        <f aca="false">SUMIFS(tabela_registros[VALOR],tabela_registros[MÊS],$AE$1,tabela_registros[DIA],reservavariáveisconsolidadoabr[[#Headers],[12]],tabela_registros[REGISTRO],DADOS!$N$6,tabela_registros[TIPO],DADOS!$AJ$4,tabela_registros[CATEGORIA],reservavariáveisconsolidadoabr[[#This Row],[ATUAL]])</f>
        <v>0</v>
      </c>
      <c r="Q188" s="119" t="n">
        <f aca="false">SUMIFS(tabela_registros[VALOR],tabela_registros[MÊS],$AE$1,tabela_registros[DIA],reservavariáveisconsolidadoabr[[#Headers],[13]],tabela_registros[REGISTRO],DADOS!$N$6,tabela_registros[TIPO],DADOS!$AJ$4,tabela_registros[CATEGORIA],reservavariáveisconsolidadoabr[[#This Row],[ATUAL]])</f>
        <v>0</v>
      </c>
      <c r="R188" s="119" t="n">
        <f aca="false">SUMIFS(tabela_registros[VALOR],tabela_registros[MÊS],$AE$1,tabela_registros[DIA],reservavariáveisconsolidadoabr[[#Headers],[14]],tabela_registros[REGISTRO],DADOS!$N$6,tabela_registros[TIPO],DADOS!$AJ$4,tabela_registros[CATEGORIA],reservavariáveisconsolidadoabr[[#This Row],[ATUAL]])</f>
        <v>0</v>
      </c>
      <c r="S188" s="119" t="n">
        <f aca="false">SUMIFS(tabela_registros[VALOR],tabela_registros[MÊS],$AE$1,tabela_registros[DIA],reservavariáveisconsolidadoabr[[#Headers],[15]],tabela_registros[REGISTRO],DADOS!$N$6,tabela_registros[TIPO],DADOS!$AJ$4,tabela_registros[CATEGORIA],reservavariáveisconsolidadoabr[[#This Row],[ATUAL]])</f>
        <v>0</v>
      </c>
      <c r="T188" s="119" t="n">
        <f aca="false">SUMIFS(tabela_registros[VALOR],tabela_registros[MÊS],$AE$1,tabela_registros[DIA],reservavariáveisconsolidadoabr[[#Headers],[16]],tabela_registros[REGISTRO],DADOS!$N$6,tabela_registros[TIPO],DADOS!$AJ$4,tabela_registros[CATEGORIA],reservavariáveisconsolidadoabr[[#This Row],[ATUAL]])</f>
        <v>0</v>
      </c>
      <c r="U188" s="119" t="n">
        <f aca="false">SUMIFS(tabela_registros[VALOR],tabela_registros[MÊS],$AE$1,tabela_registros[DIA],reservavariáveisconsolidadoabr[[#Headers],[17]],tabela_registros[REGISTRO],DADOS!$N$6,tabela_registros[TIPO],DADOS!$AJ$4,tabela_registros[CATEGORIA],reservavariáveisconsolidadoabr[[#This Row],[ATUAL]])</f>
        <v>0</v>
      </c>
      <c r="V188" s="119" t="n">
        <f aca="false">SUMIFS(tabela_registros[VALOR],tabela_registros[MÊS],$AE$1,tabela_registros[DIA],reservavariáveisconsolidadoabr[[#Headers],[18]],tabela_registros[REGISTRO],DADOS!$N$6,tabela_registros[TIPO],DADOS!$AJ$4,tabela_registros[CATEGORIA],reservavariáveisconsolidadoabr[[#This Row],[ATUAL]])</f>
        <v>0</v>
      </c>
      <c r="W188" s="119" t="n">
        <f aca="false">SUMIFS(tabela_registros[VALOR],tabela_registros[MÊS],$AE$1,tabela_registros[DIA],reservavariáveisconsolidadoabr[[#Headers],[19]],tabela_registros[REGISTRO],DADOS!$N$6,tabela_registros[TIPO],DADOS!$AJ$4,tabela_registros[CATEGORIA],reservavariáveisconsolidadoabr[[#This Row],[ATUAL]])</f>
        <v>0</v>
      </c>
      <c r="X188" s="119" t="n">
        <f aca="false">SUMIFS(tabela_registros[VALOR],tabela_registros[MÊS],$AE$1,tabela_registros[DIA],reservavariáveisconsolidadoabr[[#Headers],[20]],tabela_registros[REGISTRO],DADOS!$N$6,tabela_registros[TIPO],DADOS!$AJ$4,tabela_registros[CATEGORIA],reservavariáveisconsolidadoabr[[#This Row],[ATUAL]])</f>
        <v>0</v>
      </c>
      <c r="Y188" s="119" t="n">
        <f aca="false">SUMIFS(tabela_registros[VALOR],tabela_registros[MÊS],$AE$1,tabela_registros[DIA],reservavariáveisconsolidadoabr[[#Headers],[21]],tabela_registros[REGISTRO],DADOS!$N$6,tabela_registros[TIPO],DADOS!$AJ$4,tabela_registros[CATEGORIA],reservavariáveisconsolidadoabr[[#This Row],[ATUAL]])</f>
        <v>0</v>
      </c>
      <c r="Z188" s="119" t="n">
        <f aca="false">SUMIFS(tabela_registros[VALOR],tabela_registros[MÊS],$AE$1,tabela_registros[DIA],reservavariáveisconsolidadoabr[[#Headers],[22]],tabela_registros[REGISTRO],DADOS!$N$6,tabela_registros[TIPO],DADOS!$AJ$4,tabela_registros[CATEGORIA],reservavariáveisconsolidadoabr[[#This Row],[ATUAL]])</f>
        <v>0</v>
      </c>
      <c r="AA188" s="119" t="n">
        <f aca="false">SUMIFS(tabela_registros[VALOR],tabela_registros[MÊS],$AE$1,tabela_registros[DIA],reservavariáveisconsolidadoabr[[#Headers],[23]],tabela_registros[REGISTRO],DADOS!$N$6,tabela_registros[TIPO],DADOS!$AJ$4,tabela_registros[CATEGORIA],reservavariáveisconsolidadoabr[[#This Row],[ATUAL]])</f>
        <v>0</v>
      </c>
      <c r="AB188" s="119" t="n">
        <f aca="false">SUMIFS(tabela_registros[VALOR],tabela_registros[MÊS],$AE$1,tabela_registros[DIA],reservavariáveisconsolidadoabr[[#Headers],[24]],tabela_registros[REGISTRO],DADOS!$N$6,tabela_registros[TIPO],DADOS!$AJ$4,tabela_registros[CATEGORIA],reservavariáveisconsolidadoabr[[#This Row],[ATUAL]])</f>
        <v>0</v>
      </c>
      <c r="AC188" s="119" t="n">
        <f aca="false">SUMIFS(tabela_registros[VALOR],tabela_registros[MÊS],$AE$1,tabela_registros[DIA],reservavariáveisconsolidadoabr[[#Headers],[25]],tabela_registros[REGISTRO],DADOS!$N$6,tabela_registros[TIPO],DADOS!$AJ$4,tabela_registros[CATEGORIA],reservavariáveisconsolidadoabr[[#This Row],[ATUAL]])</f>
        <v>0</v>
      </c>
      <c r="AD188" s="119" t="n">
        <f aca="false">SUMIFS(tabela_registros[VALOR],tabela_registros[MÊS],$AE$1,tabela_registros[DIA],reservavariáveisconsolidadoabr[[#Headers],[26]],tabela_registros[REGISTRO],DADOS!$N$6,tabela_registros[TIPO],DADOS!$AJ$4,tabela_registros[CATEGORIA],reservavariáveisconsolidadoabr[[#This Row],[ATUAL]])</f>
        <v>0</v>
      </c>
      <c r="AE188" s="119" t="n">
        <f aca="false">SUMIFS(tabela_registros[VALOR],tabela_registros[MÊS],$AE$1,tabela_registros[DIA],reservavariáveisconsolidadoabr[[#Headers],[27]],tabela_registros[REGISTRO],DADOS!$N$6,tabela_registros[TIPO],DADOS!$AJ$4,tabela_registros[CATEGORIA],reservavariáveisconsolidadoabr[[#This Row],[ATUAL]])</f>
        <v>0</v>
      </c>
      <c r="AF188" s="119" t="n">
        <f aca="false">SUMIFS(tabela_registros[VALOR],tabela_registros[MÊS],$AE$1,tabela_registros[DIA],reservavariáveisconsolidadoabr[[#Headers],[28]],tabela_registros[REGISTRO],DADOS!$N$6,tabela_registros[TIPO],DADOS!$AJ$4,tabela_registros[CATEGORIA],reservavariáveisconsolidadoabr[[#This Row],[ATUAL]])</f>
        <v>0</v>
      </c>
      <c r="AG188" s="119" t="n">
        <f aca="false">SUMIFS(tabela_registros[VALOR],tabela_registros[MÊS],$AE$1,tabela_registros[DIA],reservavariáveisconsolidadoabr[[#Headers],[29]],tabela_registros[REGISTRO],DADOS!$N$6,tabela_registros[TIPO],DADOS!$AJ$4,tabela_registros[CATEGORIA],reservavariáveisconsolidadoabr[[#This Row],[ATUAL]])</f>
        <v>0</v>
      </c>
      <c r="AH188" s="119" t="n">
        <f aca="false">SUMIFS(tabela_registros[VALOR],tabela_registros[MÊS],$AE$1,tabela_registros[DIA],reservavariáveisconsolidadoabr[[#Headers],[30]],tabela_registros[REGISTRO],DADOS!$N$6,tabela_registros[TIPO],DADOS!$AJ$4,tabela_registros[CATEGORIA],reservavariáveisconsolidadoabr[[#This Row],[ATUAL]])</f>
        <v>0</v>
      </c>
      <c r="AI188" s="217" t="n">
        <f aca="false">SUMIFS(tabela_registros[VALOR],tabela_registros[MÊS],$AE$1,tabela_registros[DIA],reservavariáveisconsolidadoabr[[#Headers],[31]],tabela_registros[REGISTRO],DADOS!$N$6,tabela_registros[TIPO],DADOS!$AJ$4,tabela_registros[CATEGORIA],reservavariáveisconsolidadoabr[[#This Row],[ATUAL]])</f>
        <v>0</v>
      </c>
      <c r="AJ188" s="149" t="n">
        <f aca="false">SUM(reservavariáveisconsolidadoabr[[#This Row],[1]:[31]])</f>
        <v>0</v>
      </c>
      <c r="AK188" s="165"/>
    </row>
    <row r="189" customFormat="false" ht="19.5" hidden="false" customHeight="true" outlineLevel="0" collapsed="false">
      <c r="B189" s="143"/>
      <c r="C189" s="144" t="str">
        <f aca="false">DADOS!$AN$5</f>
        <v>📝 CONTRATO DE FUTUROS</v>
      </c>
      <c r="D189" s="145" t="str">
        <f aca="false">IF(reservavariáveisconsolidadoabr[[#This Row],[TOTAL (R$)]]=0,"",IF(OR(reservavariáveisconsolidadoabr[[#This Row],[TOTAL (R$)]]=LARGE($AJ$187:$AJ$196,1),reservavariáveisconsolidadoabr[[#This Row],[TOTAL (R$)]]=LARGE($AJ$187:$AJ$196,2)),DADOS!$I$11,""))</f>
        <v/>
      </c>
      <c r="E189" s="148" t="n">
        <f aca="false">SUMIFS(tabela_registros[VALOR],tabela_registros[MÊS],$AE$1,tabela_registros[DIA],reservavariáveisconsolidadoabr[[#Headers],[1]],tabela_registros[REGISTRO],DADOS!$N$6,tabela_registros[TIPO],DADOS!$AJ$4,tabela_registros[CATEGORIA],reservavariáveisconsolidadoabr[[#This Row],[ATUAL]])</f>
        <v>0</v>
      </c>
      <c r="F189" s="119" t="n">
        <f aca="false">SUMIFS(tabela_registros[VALOR],tabela_registros[MÊS],$AE$1,tabela_registros[DIA],reservavariáveisconsolidadoabr[[#Headers],[2]],tabela_registros[REGISTRO],DADOS!$N$6,tabela_registros[TIPO],DADOS!$AJ$4,tabela_registros[CATEGORIA],reservavariáveisconsolidadoabr[[#This Row],[ATUAL]])</f>
        <v>0</v>
      </c>
      <c r="G189" s="119" t="n">
        <f aca="false">SUMIFS(tabela_registros[VALOR],tabela_registros[MÊS],$AE$1,tabela_registros[DIA],reservavariáveisconsolidadoabr[[#Headers],[3]],tabela_registros[REGISTRO],DADOS!$N$6,tabela_registros[TIPO],DADOS!$AJ$4,tabela_registros[CATEGORIA],reservavariáveisconsolidadoabr[[#This Row],[ATUAL]])</f>
        <v>0</v>
      </c>
      <c r="H189" s="119" t="n">
        <f aca="false">SUMIFS(tabela_registros[VALOR],tabela_registros[MÊS],$AE$1,tabela_registros[DIA],reservavariáveisconsolidadoabr[[#Headers],[4]],tabela_registros[REGISTRO],DADOS!$N$6,tabela_registros[TIPO],DADOS!$AJ$4,tabela_registros[CATEGORIA],reservavariáveisconsolidadoabr[[#This Row],[ATUAL]])</f>
        <v>0</v>
      </c>
      <c r="I189" s="119" t="n">
        <f aca="false">SUMIFS(tabela_registros[VALOR],tabela_registros[MÊS],$AE$1,tabela_registros[DIA],reservavariáveisconsolidadoabr[[#Headers],[5]],tabela_registros[REGISTRO],DADOS!$N$6,tabela_registros[TIPO],DADOS!$AJ$4,tabela_registros[CATEGORIA],reservavariáveisconsolidadoabr[[#This Row],[ATUAL]])</f>
        <v>0</v>
      </c>
      <c r="J189" s="119" t="n">
        <f aca="false">SUMIFS(tabela_registros[VALOR],tabela_registros[MÊS],$AE$1,tabela_registros[DIA],reservavariáveisconsolidadoabr[[#Headers],[6]],tabela_registros[REGISTRO],DADOS!$N$6,tabela_registros[TIPO],DADOS!$AJ$4,tabela_registros[CATEGORIA],reservavariáveisconsolidadoabr[[#This Row],[ATUAL]])</f>
        <v>0</v>
      </c>
      <c r="K189" s="119" t="n">
        <f aca="false">SUMIFS(tabela_registros[VALOR],tabela_registros[MÊS],$AE$1,tabela_registros[DIA],reservavariáveisconsolidadoabr[[#Headers],[7]],tabela_registros[REGISTRO],DADOS!$N$6,tabela_registros[TIPO],DADOS!$AJ$4,tabela_registros[CATEGORIA],reservavariáveisconsolidadoabr[[#This Row],[ATUAL]])</f>
        <v>0</v>
      </c>
      <c r="L189" s="119" t="n">
        <f aca="false">SUMIFS(tabela_registros[VALOR],tabela_registros[MÊS],$AE$1,tabela_registros[DIA],reservavariáveisconsolidadoabr[[#Headers],[8]],tabela_registros[REGISTRO],DADOS!$N$6,tabela_registros[TIPO],DADOS!$AJ$4,tabela_registros[CATEGORIA],reservavariáveisconsolidadoabr[[#This Row],[ATUAL]])</f>
        <v>0</v>
      </c>
      <c r="M189" s="119" t="n">
        <f aca="false">SUMIFS(tabela_registros[VALOR],tabela_registros[MÊS],$AE$1,tabela_registros[DIA],reservavariáveisconsolidadoabr[[#Headers],[9]],tabela_registros[REGISTRO],DADOS!$N$6,tabela_registros[TIPO],DADOS!$AJ$4,tabela_registros[CATEGORIA],reservavariáveisconsolidadoabr[[#This Row],[ATUAL]])</f>
        <v>0</v>
      </c>
      <c r="N189" s="119" t="n">
        <f aca="false">SUMIFS(tabela_registros[VALOR],tabela_registros[MÊS],$AE$1,tabela_registros[DIA],reservavariáveisconsolidadoabr[[#Headers],[10]],tabela_registros[REGISTRO],DADOS!$N$6,tabela_registros[TIPO],DADOS!$AJ$4,tabela_registros[CATEGORIA],reservavariáveisconsolidadoabr[[#This Row],[ATUAL]])</f>
        <v>0</v>
      </c>
      <c r="O189" s="119" t="n">
        <f aca="false">SUMIFS(tabela_registros[VALOR],tabela_registros[MÊS],$AE$1,tabela_registros[DIA],reservavariáveisconsolidadoabr[[#Headers],[11]],tabela_registros[REGISTRO],DADOS!$N$6,tabela_registros[TIPO],DADOS!$AJ$4,tabela_registros[CATEGORIA],reservavariáveisconsolidadoabr[[#This Row],[ATUAL]])</f>
        <v>0</v>
      </c>
      <c r="P189" s="119" t="n">
        <f aca="false">SUMIFS(tabela_registros[VALOR],tabela_registros[MÊS],$AE$1,tabela_registros[DIA],reservavariáveisconsolidadoabr[[#Headers],[12]],tabela_registros[REGISTRO],DADOS!$N$6,tabela_registros[TIPO],DADOS!$AJ$4,tabela_registros[CATEGORIA],reservavariáveisconsolidadoabr[[#This Row],[ATUAL]])</f>
        <v>0</v>
      </c>
      <c r="Q189" s="119" t="n">
        <f aca="false">SUMIFS(tabela_registros[VALOR],tabela_registros[MÊS],$AE$1,tabela_registros[DIA],reservavariáveisconsolidadoabr[[#Headers],[13]],tabela_registros[REGISTRO],DADOS!$N$6,tabela_registros[TIPO],DADOS!$AJ$4,tabela_registros[CATEGORIA],reservavariáveisconsolidadoabr[[#This Row],[ATUAL]])</f>
        <v>0</v>
      </c>
      <c r="R189" s="119" t="n">
        <f aca="false">SUMIFS(tabela_registros[VALOR],tabela_registros[MÊS],$AE$1,tabela_registros[DIA],reservavariáveisconsolidadoabr[[#Headers],[14]],tabela_registros[REGISTRO],DADOS!$N$6,tabela_registros[TIPO],DADOS!$AJ$4,tabela_registros[CATEGORIA],reservavariáveisconsolidadoabr[[#This Row],[ATUAL]])</f>
        <v>0</v>
      </c>
      <c r="S189" s="119" t="n">
        <f aca="false">SUMIFS(tabela_registros[VALOR],tabela_registros[MÊS],$AE$1,tabela_registros[DIA],reservavariáveisconsolidadoabr[[#Headers],[15]],tabela_registros[REGISTRO],DADOS!$N$6,tabela_registros[TIPO],DADOS!$AJ$4,tabela_registros[CATEGORIA],reservavariáveisconsolidadoabr[[#This Row],[ATUAL]])</f>
        <v>0</v>
      </c>
      <c r="T189" s="119" t="n">
        <f aca="false">SUMIFS(tabela_registros[VALOR],tabela_registros[MÊS],$AE$1,tabela_registros[DIA],reservavariáveisconsolidadoabr[[#Headers],[16]],tabela_registros[REGISTRO],DADOS!$N$6,tabela_registros[TIPO],DADOS!$AJ$4,tabela_registros[CATEGORIA],reservavariáveisconsolidadoabr[[#This Row],[ATUAL]])</f>
        <v>0</v>
      </c>
      <c r="U189" s="119" t="n">
        <f aca="false">SUMIFS(tabela_registros[VALOR],tabela_registros[MÊS],$AE$1,tabela_registros[DIA],reservavariáveisconsolidadoabr[[#Headers],[17]],tabela_registros[REGISTRO],DADOS!$N$6,tabela_registros[TIPO],DADOS!$AJ$4,tabela_registros[CATEGORIA],reservavariáveisconsolidadoabr[[#This Row],[ATUAL]])</f>
        <v>0</v>
      </c>
      <c r="V189" s="119" t="n">
        <f aca="false">SUMIFS(tabela_registros[VALOR],tabela_registros[MÊS],$AE$1,tabela_registros[DIA],reservavariáveisconsolidadoabr[[#Headers],[18]],tabela_registros[REGISTRO],DADOS!$N$6,tabela_registros[TIPO],DADOS!$AJ$4,tabela_registros[CATEGORIA],reservavariáveisconsolidadoabr[[#This Row],[ATUAL]])</f>
        <v>0</v>
      </c>
      <c r="W189" s="119" t="n">
        <f aca="false">SUMIFS(tabela_registros[VALOR],tabela_registros[MÊS],$AE$1,tabela_registros[DIA],reservavariáveisconsolidadoabr[[#Headers],[19]],tabela_registros[REGISTRO],DADOS!$N$6,tabela_registros[TIPO],DADOS!$AJ$4,tabela_registros[CATEGORIA],reservavariáveisconsolidadoabr[[#This Row],[ATUAL]])</f>
        <v>0</v>
      </c>
      <c r="X189" s="119" t="n">
        <f aca="false">SUMIFS(tabela_registros[VALOR],tabela_registros[MÊS],$AE$1,tabela_registros[DIA],reservavariáveisconsolidadoabr[[#Headers],[20]],tabela_registros[REGISTRO],DADOS!$N$6,tabela_registros[TIPO],DADOS!$AJ$4,tabela_registros[CATEGORIA],reservavariáveisconsolidadoabr[[#This Row],[ATUAL]])</f>
        <v>0</v>
      </c>
      <c r="Y189" s="119" t="n">
        <f aca="false">SUMIFS(tabela_registros[VALOR],tabela_registros[MÊS],$AE$1,tabela_registros[DIA],reservavariáveisconsolidadoabr[[#Headers],[21]],tabela_registros[REGISTRO],DADOS!$N$6,tabela_registros[TIPO],DADOS!$AJ$4,tabela_registros[CATEGORIA],reservavariáveisconsolidadoabr[[#This Row],[ATUAL]])</f>
        <v>0</v>
      </c>
      <c r="Z189" s="119" t="n">
        <f aca="false">SUMIFS(tabela_registros[VALOR],tabela_registros[MÊS],$AE$1,tabela_registros[DIA],reservavariáveisconsolidadoabr[[#Headers],[22]],tabela_registros[REGISTRO],DADOS!$N$6,tabela_registros[TIPO],DADOS!$AJ$4,tabela_registros[CATEGORIA],reservavariáveisconsolidadoabr[[#This Row],[ATUAL]])</f>
        <v>0</v>
      </c>
      <c r="AA189" s="119" t="n">
        <f aca="false">SUMIFS(tabela_registros[VALOR],tabela_registros[MÊS],$AE$1,tabela_registros[DIA],reservavariáveisconsolidadoabr[[#Headers],[23]],tabela_registros[REGISTRO],DADOS!$N$6,tabela_registros[TIPO],DADOS!$AJ$4,tabela_registros[CATEGORIA],reservavariáveisconsolidadoabr[[#This Row],[ATUAL]])</f>
        <v>0</v>
      </c>
      <c r="AB189" s="119" t="n">
        <f aca="false">SUMIFS(tabela_registros[VALOR],tabela_registros[MÊS],$AE$1,tabela_registros[DIA],reservavariáveisconsolidadoabr[[#Headers],[24]],tabela_registros[REGISTRO],DADOS!$N$6,tabela_registros[TIPO],DADOS!$AJ$4,tabela_registros[CATEGORIA],reservavariáveisconsolidadoabr[[#This Row],[ATUAL]])</f>
        <v>0</v>
      </c>
      <c r="AC189" s="119" t="n">
        <f aca="false">SUMIFS(tabela_registros[VALOR],tabela_registros[MÊS],$AE$1,tabela_registros[DIA],reservavariáveisconsolidadoabr[[#Headers],[25]],tabela_registros[REGISTRO],DADOS!$N$6,tabela_registros[TIPO],DADOS!$AJ$4,tabela_registros[CATEGORIA],reservavariáveisconsolidadoabr[[#This Row],[ATUAL]])</f>
        <v>0</v>
      </c>
      <c r="AD189" s="119" t="n">
        <f aca="false">SUMIFS(tabela_registros[VALOR],tabela_registros[MÊS],$AE$1,tabela_registros[DIA],reservavariáveisconsolidadoabr[[#Headers],[26]],tabela_registros[REGISTRO],DADOS!$N$6,tabela_registros[TIPO],DADOS!$AJ$4,tabela_registros[CATEGORIA],reservavariáveisconsolidadoabr[[#This Row],[ATUAL]])</f>
        <v>0</v>
      </c>
      <c r="AE189" s="119" t="n">
        <f aca="false">SUMIFS(tabela_registros[VALOR],tabela_registros[MÊS],$AE$1,tabela_registros[DIA],reservavariáveisconsolidadoabr[[#Headers],[27]],tabela_registros[REGISTRO],DADOS!$N$6,tabela_registros[TIPO],DADOS!$AJ$4,tabela_registros[CATEGORIA],reservavariáveisconsolidadoabr[[#This Row],[ATUAL]])</f>
        <v>0</v>
      </c>
      <c r="AF189" s="119" t="n">
        <f aca="false">SUMIFS(tabela_registros[VALOR],tabela_registros[MÊS],$AE$1,tabela_registros[DIA],reservavariáveisconsolidadoabr[[#Headers],[28]],tabela_registros[REGISTRO],DADOS!$N$6,tabela_registros[TIPO],DADOS!$AJ$4,tabela_registros[CATEGORIA],reservavariáveisconsolidadoabr[[#This Row],[ATUAL]])</f>
        <v>0</v>
      </c>
      <c r="AG189" s="119" t="n">
        <f aca="false">SUMIFS(tabela_registros[VALOR],tabela_registros[MÊS],$AE$1,tabela_registros[DIA],reservavariáveisconsolidadoabr[[#Headers],[29]],tabela_registros[REGISTRO],DADOS!$N$6,tabela_registros[TIPO],DADOS!$AJ$4,tabela_registros[CATEGORIA],reservavariáveisconsolidadoabr[[#This Row],[ATUAL]])</f>
        <v>0</v>
      </c>
      <c r="AH189" s="119" t="n">
        <f aca="false">SUMIFS(tabela_registros[VALOR],tabela_registros[MÊS],$AE$1,tabela_registros[DIA],reservavariáveisconsolidadoabr[[#Headers],[30]],tabela_registros[REGISTRO],DADOS!$N$6,tabela_registros[TIPO],DADOS!$AJ$4,tabela_registros[CATEGORIA],reservavariáveisconsolidadoabr[[#This Row],[ATUAL]])</f>
        <v>0</v>
      </c>
      <c r="AI189" s="217" t="n">
        <f aca="false">SUMIFS(tabela_registros[VALOR],tabela_registros[MÊS],$AE$1,tabela_registros[DIA],reservavariáveisconsolidadoabr[[#Headers],[31]],tabela_registros[REGISTRO],DADOS!$N$6,tabela_registros[TIPO],DADOS!$AJ$4,tabela_registros[CATEGORIA],reservavariáveisconsolidadoabr[[#This Row],[ATUAL]])</f>
        <v>0</v>
      </c>
      <c r="AJ189" s="149" t="n">
        <f aca="false">SUM(reservavariáveisconsolidadoabr[[#This Row],[1]:[31]])</f>
        <v>0</v>
      </c>
      <c r="AK189" s="165"/>
    </row>
    <row r="190" customFormat="false" ht="19.5" hidden="false" customHeight="true" outlineLevel="0" collapsed="false">
      <c r="B190" s="143"/>
      <c r="C190" s="144" t="str">
        <f aca="false">DADOS!$AN$6</f>
        <v>📝 CONTRATO DE OPÇÕES</v>
      </c>
      <c r="D190" s="145" t="str">
        <f aca="false">IF(reservavariáveisconsolidadoabr[[#This Row],[TOTAL (R$)]]=0,"",IF(OR(reservavariáveisconsolidadoabr[[#This Row],[TOTAL (R$)]]=LARGE($AJ$187:$AJ$196,1),reservavariáveisconsolidadoabr[[#This Row],[TOTAL (R$)]]=LARGE($AJ$187:$AJ$196,2)),DADOS!$I$11,""))</f>
        <v/>
      </c>
      <c r="E190" s="148" t="n">
        <f aca="false">SUMIFS(tabela_registros[VALOR],tabela_registros[MÊS],$AE$1,tabela_registros[DIA],reservavariáveisconsolidadoabr[[#Headers],[1]],tabela_registros[REGISTRO],DADOS!$N$6,tabela_registros[TIPO],DADOS!$AJ$4,tabela_registros[CATEGORIA],reservavariáveisconsolidadoabr[[#This Row],[ATUAL]])</f>
        <v>0</v>
      </c>
      <c r="F190" s="119" t="n">
        <f aca="false">SUMIFS(tabela_registros[VALOR],tabela_registros[MÊS],$AE$1,tabela_registros[DIA],reservavariáveisconsolidadoabr[[#Headers],[2]],tabela_registros[REGISTRO],DADOS!$N$6,tabela_registros[TIPO],DADOS!$AJ$4,tabela_registros[CATEGORIA],reservavariáveisconsolidadoabr[[#This Row],[ATUAL]])</f>
        <v>0</v>
      </c>
      <c r="G190" s="119" t="n">
        <f aca="false">SUMIFS(tabela_registros[VALOR],tabela_registros[MÊS],$AE$1,tabela_registros[DIA],reservavariáveisconsolidadoabr[[#Headers],[3]],tabela_registros[REGISTRO],DADOS!$N$6,tabela_registros[TIPO],DADOS!$AJ$4,tabela_registros[CATEGORIA],reservavariáveisconsolidadoabr[[#This Row],[ATUAL]])</f>
        <v>0</v>
      </c>
      <c r="H190" s="119" t="n">
        <f aca="false">SUMIFS(tabela_registros[VALOR],tabela_registros[MÊS],$AE$1,tabela_registros[DIA],reservavariáveisconsolidadoabr[[#Headers],[4]],tabela_registros[REGISTRO],DADOS!$N$6,tabela_registros[TIPO],DADOS!$AJ$4,tabela_registros[CATEGORIA],reservavariáveisconsolidadoabr[[#This Row],[ATUAL]])</f>
        <v>0</v>
      </c>
      <c r="I190" s="119" t="n">
        <f aca="false">SUMIFS(tabela_registros[VALOR],tabela_registros[MÊS],$AE$1,tabela_registros[DIA],reservavariáveisconsolidadoabr[[#Headers],[5]],tabela_registros[REGISTRO],DADOS!$N$6,tabela_registros[TIPO],DADOS!$AJ$4,tabela_registros[CATEGORIA],reservavariáveisconsolidadoabr[[#This Row],[ATUAL]])</f>
        <v>0</v>
      </c>
      <c r="J190" s="119" t="n">
        <f aca="false">SUMIFS(tabela_registros[VALOR],tabela_registros[MÊS],$AE$1,tabela_registros[DIA],reservavariáveisconsolidadoabr[[#Headers],[6]],tabela_registros[REGISTRO],DADOS!$N$6,tabela_registros[TIPO],DADOS!$AJ$4,tabela_registros[CATEGORIA],reservavariáveisconsolidadoabr[[#This Row],[ATUAL]])</f>
        <v>0</v>
      </c>
      <c r="K190" s="119" t="n">
        <f aca="false">SUMIFS(tabela_registros[VALOR],tabela_registros[MÊS],$AE$1,tabela_registros[DIA],reservavariáveisconsolidadoabr[[#Headers],[7]],tabela_registros[REGISTRO],DADOS!$N$6,tabela_registros[TIPO],DADOS!$AJ$4,tabela_registros[CATEGORIA],reservavariáveisconsolidadoabr[[#This Row],[ATUAL]])</f>
        <v>0</v>
      </c>
      <c r="L190" s="119" t="n">
        <f aca="false">SUMIFS(tabela_registros[VALOR],tabela_registros[MÊS],$AE$1,tabela_registros[DIA],reservavariáveisconsolidadoabr[[#Headers],[8]],tabela_registros[REGISTRO],DADOS!$N$6,tabela_registros[TIPO],DADOS!$AJ$4,tabela_registros[CATEGORIA],reservavariáveisconsolidadoabr[[#This Row],[ATUAL]])</f>
        <v>0</v>
      </c>
      <c r="M190" s="119" t="n">
        <f aca="false">SUMIFS(tabela_registros[VALOR],tabela_registros[MÊS],$AE$1,tabela_registros[DIA],reservavariáveisconsolidadoabr[[#Headers],[9]],tabela_registros[REGISTRO],DADOS!$N$6,tabela_registros[TIPO],DADOS!$AJ$4,tabela_registros[CATEGORIA],reservavariáveisconsolidadoabr[[#This Row],[ATUAL]])</f>
        <v>0</v>
      </c>
      <c r="N190" s="119" t="n">
        <f aca="false">SUMIFS(tabela_registros[VALOR],tabela_registros[MÊS],$AE$1,tabela_registros[DIA],reservavariáveisconsolidadoabr[[#Headers],[10]],tabela_registros[REGISTRO],DADOS!$N$6,tabela_registros[TIPO],DADOS!$AJ$4,tabela_registros[CATEGORIA],reservavariáveisconsolidadoabr[[#This Row],[ATUAL]])</f>
        <v>0</v>
      </c>
      <c r="O190" s="119" t="n">
        <f aca="false">SUMIFS(tabela_registros[VALOR],tabela_registros[MÊS],$AE$1,tabela_registros[DIA],reservavariáveisconsolidadoabr[[#Headers],[11]],tabela_registros[REGISTRO],DADOS!$N$6,tabela_registros[TIPO],DADOS!$AJ$4,tabela_registros[CATEGORIA],reservavariáveisconsolidadoabr[[#This Row],[ATUAL]])</f>
        <v>0</v>
      </c>
      <c r="P190" s="119" t="n">
        <f aca="false">SUMIFS(tabela_registros[VALOR],tabela_registros[MÊS],$AE$1,tabela_registros[DIA],reservavariáveisconsolidadoabr[[#Headers],[12]],tabela_registros[REGISTRO],DADOS!$N$6,tabela_registros[TIPO],DADOS!$AJ$4,tabela_registros[CATEGORIA],reservavariáveisconsolidadoabr[[#This Row],[ATUAL]])</f>
        <v>0</v>
      </c>
      <c r="Q190" s="119" t="n">
        <f aca="false">SUMIFS(tabela_registros[VALOR],tabela_registros[MÊS],$AE$1,tabela_registros[DIA],reservavariáveisconsolidadoabr[[#Headers],[13]],tabela_registros[REGISTRO],DADOS!$N$6,tabela_registros[TIPO],DADOS!$AJ$4,tabela_registros[CATEGORIA],reservavariáveisconsolidadoabr[[#This Row],[ATUAL]])</f>
        <v>0</v>
      </c>
      <c r="R190" s="119" t="n">
        <f aca="false">SUMIFS(tabela_registros[VALOR],tabela_registros[MÊS],$AE$1,tabela_registros[DIA],reservavariáveisconsolidadoabr[[#Headers],[14]],tabela_registros[REGISTRO],DADOS!$N$6,tabela_registros[TIPO],DADOS!$AJ$4,tabela_registros[CATEGORIA],reservavariáveisconsolidadoabr[[#This Row],[ATUAL]])</f>
        <v>0</v>
      </c>
      <c r="S190" s="119" t="n">
        <f aca="false">SUMIFS(tabela_registros[VALOR],tabela_registros[MÊS],$AE$1,tabela_registros[DIA],reservavariáveisconsolidadoabr[[#Headers],[15]],tabela_registros[REGISTRO],DADOS!$N$6,tabela_registros[TIPO],DADOS!$AJ$4,tabela_registros[CATEGORIA],reservavariáveisconsolidadoabr[[#This Row],[ATUAL]])</f>
        <v>0</v>
      </c>
      <c r="T190" s="119" t="n">
        <f aca="false">SUMIFS(tabela_registros[VALOR],tabela_registros[MÊS],$AE$1,tabela_registros[DIA],reservavariáveisconsolidadoabr[[#Headers],[16]],tabela_registros[REGISTRO],DADOS!$N$6,tabela_registros[TIPO],DADOS!$AJ$4,tabela_registros[CATEGORIA],reservavariáveisconsolidadoabr[[#This Row],[ATUAL]])</f>
        <v>0</v>
      </c>
      <c r="U190" s="119" t="n">
        <f aca="false">SUMIFS(tabela_registros[VALOR],tabela_registros[MÊS],$AE$1,tabela_registros[DIA],reservavariáveisconsolidadoabr[[#Headers],[17]],tabela_registros[REGISTRO],DADOS!$N$6,tabela_registros[TIPO],DADOS!$AJ$4,tabela_registros[CATEGORIA],reservavariáveisconsolidadoabr[[#This Row],[ATUAL]])</f>
        <v>0</v>
      </c>
      <c r="V190" s="119" t="n">
        <f aca="false">SUMIFS(tabela_registros[VALOR],tabela_registros[MÊS],$AE$1,tabela_registros[DIA],reservavariáveisconsolidadoabr[[#Headers],[18]],tabela_registros[REGISTRO],DADOS!$N$6,tabela_registros[TIPO],DADOS!$AJ$4,tabela_registros[CATEGORIA],reservavariáveisconsolidadoabr[[#This Row],[ATUAL]])</f>
        <v>0</v>
      </c>
      <c r="W190" s="119" t="n">
        <f aca="false">SUMIFS(tabela_registros[VALOR],tabela_registros[MÊS],$AE$1,tabela_registros[DIA],reservavariáveisconsolidadoabr[[#Headers],[19]],tabela_registros[REGISTRO],DADOS!$N$6,tabela_registros[TIPO],DADOS!$AJ$4,tabela_registros[CATEGORIA],reservavariáveisconsolidadoabr[[#This Row],[ATUAL]])</f>
        <v>0</v>
      </c>
      <c r="X190" s="119" t="n">
        <f aca="false">SUMIFS(tabela_registros[VALOR],tabela_registros[MÊS],$AE$1,tabela_registros[DIA],reservavariáveisconsolidadoabr[[#Headers],[20]],tabela_registros[REGISTRO],DADOS!$N$6,tabela_registros[TIPO],DADOS!$AJ$4,tabela_registros[CATEGORIA],reservavariáveisconsolidadoabr[[#This Row],[ATUAL]])</f>
        <v>0</v>
      </c>
      <c r="Y190" s="119" t="n">
        <f aca="false">SUMIFS(tabela_registros[VALOR],tabela_registros[MÊS],$AE$1,tabela_registros[DIA],reservavariáveisconsolidadoabr[[#Headers],[21]],tabela_registros[REGISTRO],DADOS!$N$6,tabela_registros[TIPO],DADOS!$AJ$4,tabela_registros[CATEGORIA],reservavariáveisconsolidadoabr[[#This Row],[ATUAL]])</f>
        <v>0</v>
      </c>
      <c r="Z190" s="119" t="n">
        <f aca="false">SUMIFS(tabela_registros[VALOR],tabela_registros[MÊS],$AE$1,tabela_registros[DIA],reservavariáveisconsolidadoabr[[#Headers],[22]],tabela_registros[REGISTRO],DADOS!$N$6,tabela_registros[TIPO],DADOS!$AJ$4,tabela_registros[CATEGORIA],reservavariáveisconsolidadoabr[[#This Row],[ATUAL]])</f>
        <v>0</v>
      </c>
      <c r="AA190" s="119" t="n">
        <f aca="false">SUMIFS(tabela_registros[VALOR],tabela_registros[MÊS],$AE$1,tabela_registros[DIA],reservavariáveisconsolidadoabr[[#Headers],[23]],tabela_registros[REGISTRO],DADOS!$N$6,tabela_registros[TIPO],DADOS!$AJ$4,tabela_registros[CATEGORIA],reservavariáveisconsolidadoabr[[#This Row],[ATUAL]])</f>
        <v>0</v>
      </c>
      <c r="AB190" s="119" t="n">
        <f aca="false">SUMIFS(tabela_registros[VALOR],tabela_registros[MÊS],$AE$1,tabela_registros[DIA],reservavariáveisconsolidadoabr[[#Headers],[24]],tabela_registros[REGISTRO],DADOS!$N$6,tabela_registros[TIPO],DADOS!$AJ$4,tabela_registros[CATEGORIA],reservavariáveisconsolidadoabr[[#This Row],[ATUAL]])</f>
        <v>0</v>
      </c>
      <c r="AC190" s="119" t="n">
        <f aca="false">SUMIFS(tabela_registros[VALOR],tabela_registros[MÊS],$AE$1,tabela_registros[DIA],reservavariáveisconsolidadoabr[[#Headers],[25]],tabela_registros[REGISTRO],DADOS!$N$6,tabela_registros[TIPO],DADOS!$AJ$4,tabela_registros[CATEGORIA],reservavariáveisconsolidadoabr[[#This Row],[ATUAL]])</f>
        <v>0</v>
      </c>
      <c r="AD190" s="119" t="n">
        <f aca="false">SUMIFS(tabela_registros[VALOR],tabela_registros[MÊS],$AE$1,tabela_registros[DIA],reservavariáveisconsolidadoabr[[#Headers],[26]],tabela_registros[REGISTRO],DADOS!$N$6,tabela_registros[TIPO],DADOS!$AJ$4,tabela_registros[CATEGORIA],reservavariáveisconsolidadoabr[[#This Row],[ATUAL]])</f>
        <v>0</v>
      </c>
      <c r="AE190" s="119" t="n">
        <f aca="false">SUMIFS(tabela_registros[VALOR],tabela_registros[MÊS],$AE$1,tabela_registros[DIA],reservavariáveisconsolidadoabr[[#Headers],[27]],tabela_registros[REGISTRO],DADOS!$N$6,tabela_registros[TIPO],DADOS!$AJ$4,tabela_registros[CATEGORIA],reservavariáveisconsolidadoabr[[#This Row],[ATUAL]])</f>
        <v>0</v>
      </c>
      <c r="AF190" s="119" t="n">
        <f aca="false">SUMIFS(tabela_registros[VALOR],tabela_registros[MÊS],$AE$1,tabela_registros[DIA],reservavariáveisconsolidadoabr[[#Headers],[28]],tabela_registros[REGISTRO],DADOS!$N$6,tabela_registros[TIPO],DADOS!$AJ$4,tabela_registros[CATEGORIA],reservavariáveisconsolidadoabr[[#This Row],[ATUAL]])</f>
        <v>0</v>
      </c>
      <c r="AG190" s="119" t="n">
        <f aca="false">SUMIFS(tabela_registros[VALOR],tabela_registros[MÊS],$AE$1,tabela_registros[DIA],reservavariáveisconsolidadoabr[[#Headers],[29]],tabela_registros[REGISTRO],DADOS!$N$6,tabela_registros[TIPO],DADOS!$AJ$4,tabela_registros[CATEGORIA],reservavariáveisconsolidadoabr[[#This Row],[ATUAL]])</f>
        <v>0</v>
      </c>
      <c r="AH190" s="119" t="n">
        <f aca="false">SUMIFS(tabela_registros[VALOR],tabela_registros[MÊS],$AE$1,tabela_registros[DIA],reservavariáveisconsolidadoabr[[#Headers],[30]],tabela_registros[REGISTRO],DADOS!$N$6,tabela_registros[TIPO],DADOS!$AJ$4,tabela_registros[CATEGORIA],reservavariáveisconsolidadoabr[[#This Row],[ATUAL]])</f>
        <v>0</v>
      </c>
      <c r="AI190" s="217" t="n">
        <f aca="false">SUMIFS(tabela_registros[VALOR],tabela_registros[MÊS],$AE$1,tabela_registros[DIA],reservavariáveisconsolidadoabr[[#Headers],[31]],tabela_registros[REGISTRO],DADOS!$N$6,tabela_registros[TIPO],DADOS!$AJ$4,tabela_registros[CATEGORIA],reservavariáveisconsolidadoabr[[#This Row],[ATUAL]])</f>
        <v>0</v>
      </c>
      <c r="AJ190" s="149" t="n">
        <f aca="false">SUM(reservavariáveisconsolidadoabr[[#This Row],[1]:[31]])</f>
        <v>0</v>
      </c>
      <c r="AK190" s="165"/>
    </row>
    <row r="191" customFormat="false" ht="19.5" hidden="false" customHeight="true" outlineLevel="0" collapsed="false">
      <c r="B191" s="143"/>
      <c r="C191" s="144" t="str">
        <f aca="false">DADOS!$AN$7</f>
        <v>📝 CRIPTOMOEDA</v>
      </c>
      <c r="D191" s="145" t="str">
        <f aca="false">IF(reservavariáveisconsolidadoabr[[#This Row],[TOTAL (R$)]]=0,"",IF(OR(reservavariáveisconsolidadoabr[[#This Row],[TOTAL (R$)]]=LARGE($AJ$187:$AJ$196,1),reservavariáveisconsolidadoabr[[#This Row],[TOTAL (R$)]]=LARGE($AJ$187:$AJ$196,2)),DADOS!$I$11,""))</f>
        <v/>
      </c>
      <c r="E191" s="148" t="n">
        <f aca="false">SUMIFS(tabela_registros[VALOR],tabela_registros[MÊS],$AE$1,tabela_registros[DIA],reservavariáveisconsolidadoabr[[#Headers],[1]],tabela_registros[REGISTRO],DADOS!$N$6,tabela_registros[TIPO],DADOS!$AJ$4,tabela_registros[CATEGORIA],reservavariáveisconsolidadoabr[[#This Row],[ATUAL]])</f>
        <v>0</v>
      </c>
      <c r="F191" s="119" t="n">
        <f aca="false">SUMIFS(tabela_registros[VALOR],tabela_registros[MÊS],$AE$1,tabela_registros[DIA],reservavariáveisconsolidadoabr[[#Headers],[2]],tabela_registros[REGISTRO],DADOS!$N$6,tabela_registros[TIPO],DADOS!$AJ$4,tabela_registros[CATEGORIA],reservavariáveisconsolidadoabr[[#This Row],[ATUAL]])</f>
        <v>0</v>
      </c>
      <c r="G191" s="119" t="n">
        <f aca="false">SUMIFS(tabela_registros[VALOR],tabela_registros[MÊS],$AE$1,tabela_registros[DIA],reservavariáveisconsolidadoabr[[#Headers],[3]],tabela_registros[REGISTRO],DADOS!$N$6,tabela_registros[TIPO],DADOS!$AJ$4,tabela_registros[CATEGORIA],reservavariáveisconsolidadoabr[[#This Row],[ATUAL]])</f>
        <v>0</v>
      </c>
      <c r="H191" s="119" t="n">
        <f aca="false">SUMIFS(tabela_registros[VALOR],tabela_registros[MÊS],$AE$1,tabela_registros[DIA],reservavariáveisconsolidadoabr[[#Headers],[4]],tabela_registros[REGISTRO],DADOS!$N$6,tabela_registros[TIPO],DADOS!$AJ$4,tabela_registros[CATEGORIA],reservavariáveisconsolidadoabr[[#This Row],[ATUAL]])</f>
        <v>0</v>
      </c>
      <c r="I191" s="119" t="n">
        <f aca="false">SUMIFS(tabela_registros[VALOR],tabela_registros[MÊS],$AE$1,tabela_registros[DIA],reservavariáveisconsolidadoabr[[#Headers],[5]],tabela_registros[REGISTRO],DADOS!$N$6,tabela_registros[TIPO],DADOS!$AJ$4,tabela_registros[CATEGORIA],reservavariáveisconsolidadoabr[[#This Row],[ATUAL]])</f>
        <v>0</v>
      </c>
      <c r="J191" s="119" t="n">
        <f aca="false">SUMIFS(tabela_registros[VALOR],tabela_registros[MÊS],$AE$1,tabela_registros[DIA],reservavariáveisconsolidadoabr[[#Headers],[6]],tabela_registros[REGISTRO],DADOS!$N$6,tabela_registros[TIPO],DADOS!$AJ$4,tabela_registros[CATEGORIA],reservavariáveisconsolidadoabr[[#This Row],[ATUAL]])</f>
        <v>0</v>
      </c>
      <c r="K191" s="119" t="n">
        <f aca="false">SUMIFS(tabela_registros[VALOR],tabela_registros[MÊS],$AE$1,tabela_registros[DIA],reservavariáveisconsolidadoabr[[#Headers],[7]],tabela_registros[REGISTRO],DADOS!$N$6,tabela_registros[TIPO],DADOS!$AJ$4,tabela_registros[CATEGORIA],reservavariáveisconsolidadoabr[[#This Row],[ATUAL]])</f>
        <v>0</v>
      </c>
      <c r="L191" s="119" t="n">
        <f aca="false">SUMIFS(tabela_registros[VALOR],tabela_registros[MÊS],$AE$1,tabela_registros[DIA],reservavariáveisconsolidadoabr[[#Headers],[8]],tabela_registros[REGISTRO],DADOS!$N$6,tabela_registros[TIPO],DADOS!$AJ$4,tabela_registros[CATEGORIA],reservavariáveisconsolidadoabr[[#This Row],[ATUAL]])</f>
        <v>0</v>
      </c>
      <c r="M191" s="119" t="n">
        <f aca="false">SUMIFS(tabela_registros[VALOR],tabela_registros[MÊS],$AE$1,tabela_registros[DIA],reservavariáveisconsolidadoabr[[#Headers],[9]],tabela_registros[REGISTRO],DADOS!$N$6,tabela_registros[TIPO],DADOS!$AJ$4,tabela_registros[CATEGORIA],reservavariáveisconsolidadoabr[[#This Row],[ATUAL]])</f>
        <v>0</v>
      </c>
      <c r="N191" s="119" t="n">
        <f aca="false">SUMIFS(tabela_registros[VALOR],tabela_registros[MÊS],$AE$1,tabela_registros[DIA],reservavariáveisconsolidadoabr[[#Headers],[10]],tabela_registros[REGISTRO],DADOS!$N$6,tabela_registros[TIPO],DADOS!$AJ$4,tabela_registros[CATEGORIA],reservavariáveisconsolidadoabr[[#This Row],[ATUAL]])</f>
        <v>0</v>
      </c>
      <c r="O191" s="119" t="n">
        <f aca="false">SUMIFS(tabela_registros[VALOR],tabela_registros[MÊS],$AE$1,tabela_registros[DIA],reservavariáveisconsolidadoabr[[#Headers],[11]],tabela_registros[REGISTRO],DADOS!$N$6,tabela_registros[TIPO],DADOS!$AJ$4,tabela_registros[CATEGORIA],reservavariáveisconsolidadoabr[[#This Row],[ATUAL]])</f>
        <v>0</v>
      </c>
      <c r="P191" s="119" t="n">
        <f aca="false">SUMIFS(tabela_registros[VALOR],tabela_registros[MÊS],$AE$1,tabela_registros[DIA],reservavariáveisconsolidadoabr[[#Headers],[12]],tabela_registros[REGISTRO],DADOS!$N$6,tabela_registros[TIPO],DADOS!$AJ$4,tabela_registros[CATEGORIA],reservavariáveisconsolidadoabr[[#This Row],[ATUAL]])</f>
        <v>0</v>
      </c>
      <c r="Q191" s="119" t="n">
        <f aca="false">SUMIFS(tabela_registros[VALOR],tabela_registros[MÊS],$AE$1,tabela_registros[DIA],reservavariáveisconsolidadoabr[[#Headers],[13]],tabela_registros[REGISTRO],DADOS!$N$6,tabela_registros[TIPO],DADOS!$AJ$4,tabela_registros[CATEGORIA],reservavariáveisconsolidadoabr[[#This Row],[ATUAL]])</f>
        <v>0</v>
      </c>
      <c r="R191" s="119" t="n">
        <f aca="false">SUMIFS(tabela_registros[VALOR],tabela_registros[MÊS],$AE$1,tabela_registros[DIA],reservavariáveisconsolidadoabr[[#Headers],[14]],tabela_registros[REGISTRO],DADOS!$N$6,tabela_registros[TIPO],DADOS!$AJ$4,tabela_registros[CATEGORIA],reservavariáveisconsolidadoabr[[#This Row],[ATUAL]])</f>
        <v>0</v>
      </c>
      <c r="S191" s="119" t="n">
        <f aca="false">SUMIFS(tabela_registros[VALOR],tabela_registros[MÊS],$AE$1,tabela_registros[DIA],reservavariáveisconsolidadoabr[[#Headers],[15]],tabela_registros[REGISTRO],DADOS!$N$6,tabela_registros[TIPO],DADOS!$AJ$4,tabela_registros[CATEGORIA],reservavariáveisconsolidadoabr[[#This Row],[ATUAL]])</f>
        <v>0</v>
      </c>
      <c r="T191" s="119" t="n">
        <f aca="false">SUMIFS(tabela_registros[VALOR],tabela_registros[MÊS],$AE$1,tabela_registros[DIA],reservavariáveisconsolidadoabr[[#Headers],[16]],tabela_registros[REGISTRO],DADOS!$N$6,tabela_registros[TIPO],DADOS!$AJ$4,tabela_registros[CATEGORIA],reservavariáveisconsolidadoabr[[#This Row],[ATUAL]])</f>
        <v>0</v>
      </c>
      <c r="U191" s="119" t="n">
        <f aca="false">SUMIFS(tabela_registros[VALOR],tabela_registros[MÊS],$AE$1,tabela_registros[DIA],reservavariáveisconsolidadoabr[[#Headers],[17]],tabela_registros[REGISTRO],DADOS!$N$6,tabela_registros[TIPO],DADOS!$AJ$4,tabela_registros[CATEGORIA],reservavariáveisconsolidadoabr[[#This Row],[ATUAL]])</f>
        <v>0</v>
      </c>
      <c r="V191" s="119" t="n">
        <f aca="false">SUMIFS(tabela_registros[VALOR],tabela_registros[MÊS],$AE$1,tabela_registros[DIA],reservavariáveisconsolidadoabr[[#Headers],[18]],tabela_registros[REGISTRO],DADOS!$N$6,tabela_registros[TIPO],DADOS!$AJ$4,tabela_registros[CATEGORIA],reservavariáveisconsolidadoabr[[#This Row],[ATUAL]])</f>
        <v>0</v>
      </c>
      <c r="W191" s="119" t="n">
        <f aca="false">SUMIFS(tabela_registros[VALOR],tabela_registros[MÊS],$AE$1,tabela_registros[DIA],reservavariáveisconsolidadoabr[[#Headers],[19]],tabela_registros[REGISTRO],DADOS!$N$6,tabela_registros[TIPO],DADOS!$AJ$4,tabela_registros[CATEGORIA],reservavariáveisconsolidadoabr[[#This Row],[ATUAL]])</f>
        <v>0</v>
      </c>
      <c r="X191" s="119" t="n">
        <f aca="false">SUMIFS(tabela_registros[VALOR],tabela_registros[MÊS],$AE$1,tabela_registros[DIA],reservavariáveisconsolidadoabr[[#Headers],[20]],tabela_registros[REGISTRO],DADOS!$N$6,tabela_registros[TIPO],DADOS!$AJ$4,tabela_registros[CATEGORIA],reservavariáveisconsolidadoabr[[#This Row],[ATUAL]])</f>
        <v>0</v>
      </c>
      <c r="Y191" s="119" t="n">
        <f aca="false">SUMIFS(tabela_registros[VALOR],tabela_registros[MÊS],$AE$1,tabela_registros[DIA],reservavariáveisconsolidadoabr[[#Headers],[21]],tabela_registros[REGISTRO],DADOS!$N$6,tabela_registros[TIPO],DADOS!$AJ$4,tabela_registros[CATEGORIA],reservavariáveisconsolidadoabr[[#This Row],[ATUAL]])</f>
        <v>0</v>
      </c>
      <c r="Z191" s="119" t="n">
        <f aca="false">SUMIFS(tabela_registros[VALOR],tabela_registros[MÊS],$AE$1,tabela_registros[DIA],reservavariáveisconsolidadoabr[[#Headers],[22]],tabela_registros[REGISTRO],DADOS!$N$6,tabela_registros[TIPO],DADOS!$AJ$4,tabela_registros[CATEGORIA],reservavariáveisconsolidadoabr[[#This Row],[ATUAL]])</f>
        <v>0</v>
      </c>
      <c r="AA191" s="119" t="n">
        <f aca="false">SUMIFS(tabela_registros[VALOR],tabela_registros[MÊS],$AE$1,tabela_registros[DIA],reservavariáveisconsolidadoabr[[#Headers],[23]],tabela_registros[REGISTRO],DADOS!$N$6,tabela_registros[TIPO],DADOS!$AJ$4,tabela_registros[CATEGORIA],reservavariáveisconsolidadoabr[[#This Row],[ATUAL]])</f>
        <v>0</v>
      </c>
      <c r="AB191" s="119" t="n">
        <f aca="false">SUMIFS(tabela_registros[VALOR],tabela_registros[MÊS],$AE$1,tabela_registros[DIA],reservavariáveisconsolidadoabr[[#Headers],[24]],tabela_registros[REGISTRO],DADOS!$N$6,tabela_registros[TIPO],DADOS!$AJ$4,tabela_registros[CATEGORIA],reservavariáveisconsolidadoabr[[#This Row],[ATUAL]])</f>
        <v>0</v>
      </c>
      <c r="AC191" s="119" t="n">
        <f aca="false">SUMIFS(tabela_registros[VALOR],tabela_registros[MÊS],$AE$1,tabela_registros[DIA],reservavariáveisconsolidadoabr[[#Headers],[25]],tabela_registros[REGISTRO],DADOS!$N$6,tabela_registros[TIPO],DADOS!$AJ$4,tabela_registros[CATEGORIA],reservavariáveisconsolidadoabr[[#This Row],[ATUAL]])</f>
        <v>0</v>
      </c>
      <c r="AD191" s="119" t="n">
        <f aca="false">SUMIFS(tabela_registros[VALOR],tabela_registros[MÊS],$AE$1,tabela_registros[DIA],reservavariáveisconsolidadoabr[[#Headers],[26]],tabela_registros[REGISTRO],DADOS!$N$6,tabela_registros[TIPO],DADOS!$AJ$4,tabela_registros[CATEGORIA],reservavariáveisconsolidadoabr[[#This Row],[ATUAL]])</f>
        <v>0</v>
      </c>
      <c r="AE191" s="119" t="n">
        <f aca="false">SUMIFS(tabela_registros[VALOR],tabela_registros[MÊS],$AE$1,tabela_registros[DIA],reservavariáveisconsolidadoabr[[#Headers],[27]],tabela_registros[REGISTRO],DADOS!$N$6,tabela_registros[TIPO],DADOS!$AJ$4,tabela_registros[CATEGORIA],reservavariáveisconsolidadoabr[[#This Row],[ATUAL]])</f>
        <v>0</v>
      </c>
      <c r="AF191" s="119" t="n">
        <f aca="false">SUMIFS(tabela_registros[VALOR],tabela_registros[MÊS],$AE$1,tabela_registros[DIA],reservavariáveisconsolidadoabr[[#Headers],[28]],tabela_registros[REGISTRO],DADOS!$N$6,tabela_registros[TIPO],DADOS!$AJ$4,tabela_registros[CATEGORIA],reservavariáveisconsolidadoabr[[#This Row],[ATUAL]])</f>
        <v>0</v>
      </c>
      <c r="AG191" s="119" t="n">
        <f aca="false">SUMIFS(tabela_registros[VALOR],tabela_registros[MÊS],$AE$1,tabela_registros[DIA],reservavariáveisconsolidadoabr[[#Headers],[29]],tabela_registros[REGISTRO],DADOS!$N$6,tabela_registros[TIPO],DADOS!$AJ$4,tabela_registros[CATEGORIA],reservavariáveisconsolidadoabr[[#This Row],[ATUAL]])</f>
        <v>0</v>
      </c>
      <c r="AH191" s="119" t="n">
        <f aca="false">SUMIFS(tabela_registros[VALOR],tabela_registros[MÊS],$AE$1,tabela_registros[DIA],reservavariáveisconsolidadoabr[[#Headers],[30]],tabela_registros[REGISTRO],DADOS!$N$6,tabela_registros[TIPO],DADOS!$AJ$4,tabela_registros[CATEGORIA],reservavariáveisconsolidadoabr[[#This Row],[ATUAL]])</f>
        <v>0</v>
      </c>
      <c r="AI191" s="217" t="n">
        <f aca="false">SUMIFS(tabela_registros[VALOR],tabela_registros[MÊS],$AE$1,tabela_registros[DIA],reservavariáveisconsolidadoabr[[#Headers],[31]],tabela_registros[REGISTRO],DADOS!$N$6,tabela_registros[TIPO],DADOS!$AJ$4,tabela_registros[CATEGORIA],reservavariáveisconsolidadoabr[[#This Row],[ATUAL]])</f>
        <v>0</v>
      </c>
      <c r="AJ191" s="149" t="n">
        <f aca="false">SUM(reservavariáveisconsolidadoabr[[#This Row],[1]:[31]])</f>
        <v>0</v>
      </c>
      <c r="AK191" s="165"/>
    </row>
    <row r="192" customFormat="false" ht="19.5" hidden="false" customHeight="true" outlineLevel="0" collapsed="false">
      <c r="B192" s="143"/>
      <c r="C192" s="144" t="str">
        <f aca="false">DADOS!$AN$8</f>
        <v>📝 ETF</v>
      </c>
      <c r="D192" s="145" t="str">
        <f aca="false">IF(reservavariáveisconsolidadoabr[[#This Row],[TOTAL (R$)]]=0,"",IF(OR(reservavariáveisconsolidadoabr[[#This Row],[TOTAL (R$)]]=LARGE($AJ$187:$AJ$196,1),reservavariáveisconsolidadoabr[[#This Row],[TOTAL (R$)]]=LARGE($AJ$187:$AJ$196,2)),DADOS!$I$11,""))</f>
        <v/>
      </c>
      <c r="E192" s="148" t="n">
        <f aca="false">SUMIFS(tabela_registros[VALOR],tabela_registros[MÊS],$AE$1,tabela_registros[DIA],reservavariáveisconsolidadoabr[[#Headers],[1]],tabela_registros[REGISTRO],DADOS!$N$6,tabela_registros[TIPO],DADOS!$AJ$4,tabela_registros[CATEGORIA],reservavariáveisconsolidadoabr[[#This Row],[ATUAL]])</f>
        <v>0</v>
      </c>
      <c r="F192" s="119" t="n">
        <f aca="false">SUMIFS(tabela_registros[VALOR],tabela_registros[MÊS],$AE$1,tabela_registros[DIA],reservavariáveisconsolidadoabr[[#Headers],[2]],tabela_registros[REGISTRO],DADOS!$N$6,tabela_registros[TIPO],DADOS!$AJ$4,tabela_registros[CATEGORIA],reservavariáveisconsolidadoabr[[#This Row],[ATUAL]])</f>
        <v>0</v>
      </c>
      <c r="G192" s="119" t="n">
        <f aca="false">SUMIFS(tabela_registros[VALOR],tabela_registros[MÊS],$AE$1,tabela_registros[DIA],reservavariáveisconsolidadoabr[[#Headers],[3]],tabela_registros[REGISTRO],DADOS!$N$6,tabela_registros[TIPO],DADOS!$AJ$4,tabela_registros[CATEGORIA],reservavariáveisconsolidadoabr[[#This Row],[ATUAL]])</f>
        <v>0</v>
      </c>
      <c r="H192" s="119" t="n">
        <f aca="false">SUMIFS(tabela_registros[VALOR],tabela_registros[MÊS],$AE$1,tabela_registros[DIA],reservavariáveisconsolidadoabr[[#Headers],[4]],tabela_registros[REGISTRO],DADOS!$N$6,tabela_registros[TIPO],DADOS!$AJ$4,tabela_registros[CATEGORIA],reservavariáveisconsolidadoabr[[#This Row],[ATUAL]])</f>
        <v>0</v>
      </c>
      <c r="I192" s="119" t="n">
        <f aca="false">SUMIFS(tabela_registros[VALOR],tabela_registros[MÊS],$AE$1,tabela_registros[DIA],reservavariáveisconsolidadoabr[[#Headers],[5]],tabela_registros[REGISTRO],DADOS!$N$6,tabela_registros[TIPO],DADOS!$AJ$4,tabela_registros[CATEGORIA],reservavariáveisconsolidadoabr[[#This Row],[ATUAL]])</f>
        <v>0</v>
      </c>
      <c r="J192" s="119" t="n">
        <f aca="false">SUMIFS(tabela_registros[VALOR],tabela_registros[MÊS],$AE$1,tabela_registros[DIA],reservavariáveisconsolidadoabr[[#Headers],[6]],tabela_registros[REGISTRO],DADOS!$N$6,tabela_registros[TIPO],DADOS!$AJ$4,tabela_registros[CATEGORIA],reservavariáveisconsolidadoabr[[#This Row],[ATUAL]])</f>
        <v>0</v>
      </c>
      <c r="K192" s="119" t="n">
        <f aca="false">SUMIFS(tabela_registros[VALOR],tabela_registros[MÊS],$AE$1,tabela_registros[DIA],reservavariáveisconsolidadoabr[[#Headers],[7]],tabela_registros[REGISTRO],DADOS!$N$6,tabela_registros[TIPO],DADOS!$AJ$4,tabela_registros[CATEGORIA],reservavariáveisconsolidadoabr[[#This Row],[ATUAL]])</f>
        <v>0</v>
      </c>
      <c r="L192" s="119" t="n">
        <f aca="false">SUMIFS(tabela_registros[VALOR],tabela_registros[MÊS],$AE$1,tabela_registros[DIA],reservavariáveisconsolidadoabr[[#Headers],[8]],tabela_registros[REGISTRO],DADOS!$N$6,tabela_registros[TIPO],DADOS!$AJ$4,tabela_registros[CATEGORIA],reservavariáveisconsolidadoabr[[#This Row],[ATUAL]])</f>
        <v>0</v>
      </c>
      <c r="M192" s="119" t="n">
        <f aca="false">SUMIFS(tabela_registros[VALOR],tabela_registros[MÊS],$AE$1,tabela_registros[DIA],reservavariáveisconsolidadoabr[[#Headers],[9]],tabela_registros[REGISTRO],DADOS!$N$6,tabela_registros[TIPO],DADOS!$AJ$4,tabela_registros[CATEGORIA],reservavariáveisconsolidadoabr[[#This Row],[ATUAL]])</f>
        <v>0</v>
      </c>
      <c r="N192" s="119" t="n">
        <f aca="false">SUMIFS(tabela_registros[VALOR],tabela_registros[MÊS],$AE$1,tabela_registros[DIA],reservavariáveisconsolidadoabr[[#Headers],[10]],tabela_registros[REGISTRO],DADOS!$N$6,tabela_registros[TIPO],DADOS!$AJ$4,tabela_registros[CATEGORIA],reservavariáveisconsolidadoabr[[#This Row],[ATUAL]])</f>
        <v>0</v>
      </c>
      <c r="O192" s="119" t="n">
        <f aca="false">SUMIFS(tabela_registros[VALOR],tabela_registros[MÊS],$AE$1,tabela_registros[DIA],reservavariáveisconsolidadoabr[[#Headers],[11]],tabela_registros[REGISTRO],DADOS!$N$6,tabela_registros[TIPO],DADOS!$AJ$4,tabela_registros[CATEGORIA],reservavariáveisconsolidadoabr[[#This Row],[ATUAL]])</f>
        <v>0</v>
      </c>
      <c r="P192" s="119" t="n">
        <f aca="false">SUMIFS(tabela_registros[VALOR],tabela_registros[MÊS],$AE$1,tabela_registros[DIA],reservavariáveisconsolidadoabr[[#Headers],[12]],tabela_registros[REGISTRO],DADOS!$N$6,tabela_registros[TIPO],DADOS!$AJ$4,tabela_registros[CATEGORIA],reservavariáveisconsolidadoabr[[#This Row],[ATUAL]])</f>
        <v>0</v>
      </c>
      <c r="Q192" s="119" t="n">
        <f aca="false">SUMIFS(tabela_registros[VALOR],tabela_registros[MÊS],$AE$1,tabela_registros[DIA],reservavariáveisconsolidadoabr[[#Headers],[13]],tabela_registros[REGISTRO],DADOS!$N$6,tabela_registros[TIPO],DADOS!$AJ$4,tabela_registros[CATEGORIA],reservavariáveisconsolidadoabr[[#This Row],[ATUAL]])</f>
        <v>0</v>
      </c>
      <c r="R192" s="119" t="n">
        <f aca="false">SUMIFS(tabela_registros[VALOR],tabela_registros[MÊS],$AE$1,tabela_registros[DIA],reservavariáveisconsolidadoabr[[#Headers],[14]],tabela_registros[REGISTRO],DADOS!$N$6,tabela_registros[TIPO],DADOS!$AJ$4,tabela_registros[CATEGORIA],reservavariáveisconsolidadoabr[[#This Row],[ATUAL]])</f>
        <v>0</v>
      </c>
      <c r="S192" s="119" t="n">
        <f aca="false">SUMIFS(tabela_registros[VALOR],tabela_registros[MÊS],$AE$1,tabela_registros[DIA],reservavariáveisconsolidadoabr[[#Headers],[15]],tabela_registros[REGISTRO],DADOS!$N$6,tabela_registros[TIPO],DADOS!$AJ$4,tabela_registros[CATEGORIA],reservavariáveisconsolidadoabr[[#This Row],[ATUAL]])</f>
        <v>0</v>
      </c>
      <c r="T192" s="119" t="n">
        <f aca="false">SUMIFS(tabela_registros[VALOR],tabela_registros[MÊS],$AE$1,tabela_registros[DIA],reservavariáveisconsolidadoabr[[#Headers],[16]],tabela_registros[REGISTRO],DADOS!$N$6,tabela_registros[TIPO],DADOS!$AJ$4,tabela_registros[CATEGORIA],reservavariáveisconsolidadoabr[[#This Row],[ATUAL]])</f>
        <v>0</v>
      </c>
      <c r="U192" s="119" t="n">
        <f aca="false">SUMIFS(tabela_registros[VALOR],tabela_registros[MÊS],$AE$1,tabela_registros[DIA],reservavariáveisconsolidadoabr[[#Headers],[17]],tabela_registros[REGISTRO],DADOS!$N$6,tabela_registros[TIPO],DADOS!$AJ$4,tabela_registros[CATEGORIA],reservavariáveisconsolidadoabr[[#This Row],[ATUAL]])</f>
        <v>0</v>
      </c>
      <c r="V192" s="119" t="n">
        <f aca="false">SUMIFS(tabela_registros[VALOR],tabela_registros[MÊS],$AE$1,tabela_registros[DIA],reservavariáveisconsolidadoabr[[#Headers],[18]],tabela_registros[REGISTRO],DADOS!$N$6,tabela_registros[TIPO],DADOS!$AJ$4,tabela_registros[CATEGORIA],reservavariáveisconsolidadoabr[[#This Row],[ATUAL]])</f>
        <v>0</v>
      </c>
      <c r="W192" s="119" t="n">
        <f aca="false">SUMIFS(tabela_registros[VALOR],tabela_registros[MÊS],$AE$1,tabela_registros[DIA],reservavariáveisconsolidadoabr[[#Headers],[19]],tabela_registros[REGISTRO],DADOS!$N$6,tabela_registros[TIPO],DADOS!$AJ$4,tabela_registros[CATEGORIA],reservavariáveisconsolidadoabr[[#This Row],[ATUAL]])</f>
        <v>0</v>
      </c>
      <c r="X192" s="119" t="n">
        <f aca="false">SUMIFS(tabela_registros[VALOR],tabela_registros[MÊS],$AE$1,tabela_registros[DIA],reservavariáveisconsolidadoabr[[#Headers],[20]],tabela_registros[REGISTRO],DADOS!$N$6,tabela_registros[TIPO],DADOS!$AJ$4,tabela_registros[CATEGORIA],reservavariáveisconsolidadoabr[[#This Row],[ATUAL]])</f>
        <v>0</v>
      </c>
      <c r="Y192" s="119" t="n">
        <f aca="false">SUMIFS(tabela_registros[VALOR],tabela_registros[MÊS],$AE$1,tabela_registros[DIA],reservavariáveisconsolidadoabr[[#Headers],[21]],tabela_registros[REGISTRO],DADOS!$N$6,tabela_registros[TIPO],DADOS!$AJ$4,tabela_registros[CATEGORIA],reservavariáveisconsolidadoabr[[#This Row],[ATUAL]])</f>
        <v>0</v>
      </c>
      <c r="Z192" s="119" t="n">
        <f aca="false">SUMIFS(tabela_registros[VALOR],tabela_registros[MÊS],$AE$1,tabela_registros[DIA],reservavariáveisconsolidadoabr[[#Headers],[22]],tabela_registros[REGISTRO],DADOS!$N$6,tabela_registros[TIPO],DADOS!$AJ$4,tabela_registros[CATEGORIA],reservavariáveisconsolidadoabr[[#This Row],[ATUAL]])</f>
        <v>0</v>
      </c>
      <c r="AA192" s="119" t="n">
        <f aca="false">SUMIFS(tabela_registros[VALOR],tabela_registros[MÊS],$AE$1,tabela_registros[DIA],reservavariáveisconsolidadoabr[[#Headers],[23]],tabela_registros[REGISTRO],DADOS!$N$6,tabela_registros[TIPO],DADOS!$AJ$4,tabela_registros[CATEGORIA],reservavariáveisconsolidadoabr[[#This Row],[ATUAL]])</f>
        <v>0</v>
      </c>
      <c r="AB192" s="119" t="n">
        <f aca="false">SUMIFS(tabela_registros[VALOR],tabela_registros[MÊS],$AE$1,tabela_registros[DIA],reservavariáveisconsolidadoabr[[#Headers],[24]],tabela_registros[REGISTRO],DADOS!$N$6,tabela_registros[TIPO],DADOS!$AJ$4,tabela_registros[CATEGORIA],reservavariáveisconsolidadoabr[[#This Row],[ATUAL]])</f>
        <v>0</v>
      </c>
      <c r="AC192" s="119" t="n">
        <f aca="false">SUMIFS(tabela_registros[VALOR],tabela_registros[MÊS],$AE$1,tabela_registros[DIA],reservavariáveisconsolidadoabr[[#Headers],[25]],tabela_registros[REGISTRO],DADOS!$N$6,tabela_registros[TIPO],DADOS!$AJ$4,tabela_registros[CATEGORIA],reservavariáveisconsolidadoabr[[#This Row],[ATUAL]])</f>
        <v>0</v>
      </c>
      <c r="AD192" s="119" t="n">
        <f aca="false">SUMIFS(tabela_registros[VALOR],tabela_registros[MÊS],$AE$1,tabela_registros[DIA],reservavariáveisconsolidadoabr[[#Headers],[26]],tabela_registros[REGISTRO],DADOS!$N$6,tabela_registros[TIPO],DADOS!$AJ$4,tabela_registros[CATEGORIA],reservavariáveisconsolidadoabr[[#This Row],[ATUAL]])</f>
        <v>0</v>
      </c>
      <c r="AE192" s="119" t="n">
        <f aca="false">SUMIFS(tabela_registros[VALOR],tabela_registros[MÊS],$AE$1,tabela_registros[DIA],reservavariáveisconsolidadoabr[[#Headers],[27]],tabela_registros[REGISTRO],DADOS!$N$6,tabela_registros[TIPO],DADOS!$AJ$4,tabela_registros[CATEGORIA],reservavariáveisconsolidadoabr[[#This Row],[ATUAL]])</f>
        <v>0</v>
      </c>
      <c r="AF192" s="119" t="n">
        <f aca="false">SUMIFS(tabela_registros[VALOR],tabela_registros[MÊS],$AE$1,tabela_registros[DIA],reservavariáveisconsolidadoabr[[#Headers],[28]],tabela_registros[REGISTRO],DADOS!$N$6,tabela_registros[TIPO],DADOS!$AJ$4,tabela_registros[CATEGORIA],reservavariáveisconsolidadoabr[[#This Row],[ATUAL]])</f>
        <v>0</v>
      </c>
      <c r="AG192" s="119" t="n">
        <f aca="false">SUMIFS(tabela_registros[VALOR],tabela_registros[MÊS],$AE$1,tabela_registros[DIA],reservavariáveisconsolidadoabr[[#Headers],[29]],tabela_registros[REGISTRO],DADOS!$N$6,tabela_registros[TIPO],DADOS!$AJ$4,tabela_registros[CATEGORIA],reservavariáveisconsolidadoabr[[#This Row],[ATUAL]])</f>
        <v>0</v>
      </c>
      <c r="AH192" s="119" t="n">
        <f aca="false">SUMIFS(tabela_registros[VALOR],tabela_registros[MÊS],$AE$1,tabela_registros[DIA],reservavariáveisconsolidadoabr[[#Headers],[30]],tabela_registros[REGISTRO],DADOS!$N$6,tabela_registros[TIPO],DADOS!$AJ$4,tabela_registros[CATEGORIA],reservavariáveisconsolidadoabr[[#This Row],[ATUAL]])</f>
        <v>0</v>
      </c>
      <c r="AI192" s="217" t="n">
        <f aca="false">SUMIFS(tabela_registros[VALOR],tabela_registros[MÊS],$AE$1,tabela_registros[DIA],reservavariáveisconsolidadoabr[[#Headers],[31]],tabela_registros[REGISTRO],DADOS!$N$6,tabela_registros[TIPO],DADOS!$AJ$4,tabela_registros[CATEGORIA],reservavariáveisconsolidadoabr[[#This Row],[ATUAL]])</f>
        <v>0</v>
      </c>
      <c r="AJ192" s="149" t="n">
        <f aca="false">SUM(reservavariáveisconsolidadoabr[[#This Row],[1]:[31]])</f>
        <v>0</v>
      </c>
      <c r="AK192" s="165"/>
    </row>
    <row r="193" customFormat="false" ht="19.5" hidden="false" customHeight="true" outlineLevel="0" collapsed="false">
      <c r="B193" s="143"/>
      <c r="C193" s="144" t="str">
        <f aca="false">DADOS!$AN$9</f>
        <v>📝 EXTERIOR</v>
      </c>
      <c r="D193" s="145" t="str">
        <f aca="false">IF(reservavariáveisconsolidadoabr[[#This Row],[TOTAL (R$)]]=0,"",IF(OR(reservavariáveisconsolidadoabr[[#This Row],[TOTAL (R$)]]=LARGE($AJ$187:$AJ$196,1),reservavariáveisconsolidadoabr[[#This Row],[TOTAL (R$)]]=LARGE($AJ$187:$AJ$196,2)),DADOS!$I$11,""))</f>
        <v/>
      </c>
      <c r="E193" s="148" t="n">
        <f aca="false">SUMIFS(tabela_registros[VALOR],tabela_registros[MÊS],$AE$1,tabela_registros[DIA],reservavariáveisconsolidadoabr[[#Headers],[1]],tabela_registros[REGISTRO],DADOS!$N$6,tabela_registros[TIPO],DADOS!$AJ$4,tabela_registros[CATEGORIA],reservavariáveisconsolidadoabr[[#This Row],[ATUAL]])</f>
        <v>0</v>
      </c>
      <c r="F193" s="119" t="n">
        <f aca="false">SUMIFS(tabela_registros[VALOR],tabela_registros[MÊS],$AE$1,tabela_registros[DIA],reservavariáveisconsolidadoabr[[#Headers],[2]],tabela_registros[REGISTRO],DADOS!$N$6,tabela_registros[TIPO],DADOS!$AJ$4,tabela_registros[CATEGORIA],reservavariáveisconsolidadoabr[[#This Row],[ATUAL]])</f>
        <v>0</v>
      </c>
      <c r="G193" s="119" t="n">
        <f aca="false">SUMIFS(tabela_registros[VALOR],tabela_registros[MÊS],$AE$1,tabela_registros[DIA],reservavariáveisconsolidadoabr[[#Headers],[3]],tabela_registros[REGISTRO],DADOS!$N$6,tabela_registros[TIPO],DADOS!$AJ$4,tabela_registros[CATEGORIA],reservavariáveisconsolidadoabr[[#This Row],[ATUAL]])</f>
        <v>0</v>
      </c>
      <c r="H193" s="119" t="n">
        <f aca="false">SUMIFS(tabela_registros[VALOR],tabela_registros[MÊS],$AE$1,tabela_registros[DIA],reservavariáveisconsolidadoabr[[#Headers],[4]],tabela_registros[REGISTRO],DADOS!$N$6,tabela_registros[TIPO],DADOS!$AJ$4,tabela_registros[CATEGORIA],reservavariáveisconsolidadoabr[[#This Row],[ATUAL]])</f>
        <v>0</v>
      </c>
      <c r="I193" s="119" t="n">
        <f aca="false">SUMIFS(tabela_registros[VALOR],tabela_registros[MÊS],$AE$1,tabela_registros[DIA],reservavariáveisconsolidadoabr[[#Headers],[5]],tabela_registros[REGISTRO],DADOS!$N$6,tabela_registros[TIPO],DADOS!$AJ$4,tabela_registros[CATEGORIA],reservavariáveisconsolidadoabr[[#This Row],[ATUAL]])</f>
        <v>0</v>
      </c>
      <c r="J193" s="119" t="n">
        <f aca="false">SUMIFS(tabela_registros[VALOR],tabela_registros[MÊS],$AE$1,tabela_registros[DIA],reservavariáveisconsolidadoabr[[#Headers],[6]],tabela_registros[REGISTRO],DADOS!$N$6,tabela_registros[TIPO],DADOS!$AJ$4,tabela_registros[CATEGORIA],reservavariáveisconsolidadoabr[[#This Row],[ATUAL]])</f>
        <v>0</v>
      </c>
      <c r="K193" s="119" t="n">
        <f aca="false">SUMIFS(tabela_registros[VALOR],tabela_registros[MÊS],$AE$1,tabela_registros[DIA],reservavariáveisconsolidadoabr[[#Headers],[7]],tabela_registros[REGISTRO],DADOS!$N$6,tabela_registros[TIPO],DADOS!$AJ$4,tabela_registros[CATEGORIA],reservavariáveisconsolidadoabr[[#This Row],[ATUAL]])</f>
        <v>0</v>
      </c>
      <c r="L193" s="119" t="n">
        <f aca="false">SUMIFS(tabela_registros[VALOR],tabela_registros[MÊS],$AE$1,tabela_registros[DIA],reservavariáveisconsolidadoabr[[#Headers],[8]],tabela_registros[REGISTRO],DADOS!$N$6,tabela_registros[TIPO],DADOS!$AJ$4,tabela_registros[CATEGORIA],reservavariáveisconsolidadoabr[[#This Row],[ATUAL]])</f>
        <v>0</v>
      </c>
      <c r="M193" s="119" t="n">
        <f aca="false">SUMIFS(tabela_registros[VALOR],tabela_registros[MÊS],$AE$1,tabela_registros[DIA],reservavariáveisconsolidadoabr[[#Headers],[9]],tabela_registros[REGISTRO],DADOS!$N$6,tabela_registros[TIPO],DADOS!$AJ$4,tabela_registros[CATEGORIA],reservavariáveisconsolidadoabr[[#This Row],[ATUAL]])</f>
        <v>0</v>
      </c>
      <c r="N193" s="119" t="n">
        <f aca="false">SUMIFS(tabela_registros[VALOR],tabela_registros[MÊS],$AE$1,tabela_registros[DIA],reservavariáveisconsolidadoabr[[#Headers],[10]],tabela_registros[REGISTRO],DADOS!$N$6,tabela_registros[TIPO],DADOS!$AJ$4,tabela_registros[CATEGORIA],reservavariáveisconsolidadoabr[[#This Row],[ATUAL]])</f>
        <v>0</v>
      </c>
      <c r="O193" s="119" t="n">
        <f aca="false">SUMIFS(tabela_registros[VALOR],tabela_registros[MÊS],$AE$1,tabela_registros[DIA],reservavariáveisconsolidadoabr[[#Headers],[11]],tabela_registros[REGISTRO],DADOS!$N$6,tabela_registros[TIPO],DADOS!$AJ$4,tabela_registros[CATEGORIA],reservavariáveisconsolidadoabr[[#This Row],[ATUAL]])</f>
        <v>0</v>
      </c>
      <c r="P193" s="119" t="n">
        <f aca="false">SUMIFS(tabela_registros[VALOR],tabela_registros[MÊS],$AE$1,tabela_registros[DIA],reservavariáveisconsolidadoabr[[#Headers],[12]],tabela_registros[REGISTRO],DADOS!$N$6,tabela_registros[TIPO],DADOS!$AJ$4,tabela_registros[CATEGORIA],reservavariáveisconsolidadoabr[[#This Row],[ATUAL]])</f>
        <v>0</v>
      </c>
      <c r="Q193" s="119" t="n">
        <f aca="false">SUMIFS(tabela_registros[VALOR],tabela_registros[MÊS],$AE$1,tabela_registros[DIA],reservavariáveisconsolidadoabr[[#Headers],[13]],tabela_registros[REGISTRO],DADOS!$N$6,tabela_registros[TIPO],DADOS!$AJ$4,tabela_registros[CATEGORIA],reservavariáveisconsolidadoabr[[#This Row],[ATUAL]])</f>
        <v>0</v>
      </c>
      <c r="R193" s="119" t="n">
        <f aca="false">SUMIFS(tabela_registros[VALOR],tabela_registros[MÊS],$AE$1,tabela_registros[DIA],reservavariáveisconsolidadoabr[[#Headers],[14]],tabela_registros[REGISTRO],DADOS!$N$6,tabela_registros[TIPO],DADOS!$AJ$4,tabela_registros[CATEGORIA],reservavariáveisconsolidadoabr[[#This Row],[ATUAL]])</f>
        <v>0</v>
      </c>
      <c r="S193" s="119" t="n">
        <f aca="false">SUMIFS(tabela_registros[VALOR],tabela_registros[MÊS],$AE$1,tabela_registros[DIA],reservavariáveisconsolidadoabr[[#Headers],[15]],tabela_registros[REGISTRO],DADOS!$N$6,tabela_registros[TIPO],DADOS!$AJ$4,tabela_registros[CATEGORIA],reservavariáveisconsolidadoabr[[#This Row],[ATUAL]])</f>
        <v>0</v>
      </c>
      <c r="T193" s="119" t="n">
        <f aca="false">SUMIFS(tabela_registros[VALOR],tabela_registros[MÊS],$AE$1,tabela_registros[DIA],reservavariáveisconsolidadoabr[[#Headers],[16]],tabela_registros[REGISTRO],DADOS!$N$6,tabela_registros[TIPO],DADOS!$AJ$4,tabela_registros[CATEGORIA],reservavariáveisconsolidadoabr[[#This Row],[ATUAL]])</f>
        <v>0</v>
      </c>
      <c r="U193" s="119" t="n">
        <f aca="false">SUMIFS(tabela_registros[VALOR],tabela_registros[MÊS],$AE$1,tabela_registros[DIA],reservavariáveisconsolidadoabr[[#Headers],[17]],tabela_registros[REGISTRO],DADOS!$N$6,tabela_registros[TIPO],DADOS!$AJ$4,tabela_registros[CATEGORIA],reservavariáveisconsolidadoabr[[#This Row],[ATUAL]])</f>
        <v>0</v>
      </c>
      <c r="V193" s="119" t="n">
        <f aca="false">SUMIFS(tabela_registros[VALOR],tabela_registros[MÊS],$AE$1,tabela_registros[DIA],reservavariáveisconsolidadoabr[[#Headers],[18]],tabela_registros[REGISTRO],DADOS!$N$6,tabela_registros[TIPO],DADOS!$AJ$4,tabela_registros[CATEGORIA],reservavariáveisconsolidadoabr[[#This Row],[ATUAL]])</f>
        <v>0</v>
      </c>
      <c r="W193" s="119" t="n">
        <f aca="false">SUMIFS(tabela_registros[VALOR],tabela_registros[MÊS],$AE$1,tabela_registros[DIA],reservavariáveisconsolidadoabr[[#Headers],[19]],tabela_registros[REGISTRO],DADOS!$N$6,tabela_registros[TIPO],DADOS!$AJ$4,tabela_registros[CATEGORIA],reservavariáveisconsolidadoabr[[#This Row],[ATUAL]])</f>
        <v>0</v>
      </c>
      <c r="X193" s="119" t="n">
        <f aca="false">SUMIFS(tabela_registros[VALOR],tabela_registros[MÊS],$AE$1,tabela_registros[DIA],reservavariáveisconsolidadoabr[[#Headers],[20]],tabela_registros[REGISTRO],DADOS!$N$6,tabela_registros[TIPO],DADOS!$AJ$4,tabela_registros[CATEGORIA],reservavariáveisconsolidadoabr[[#This Row],[ATUAL]])</f>
        <v>0</v>
      </c>
      <c r="Y193" s="119" t="n">
        <f aca="false">SUMIFS(tabela_registros[VALOR],tabela_registros[MÊS],$AE$1,tabela_registros[DIA],reservavariáveisconsolidadoabr[[#Headers],[21]],tabela_registros[REGISTRO],DADOS!$N$6,tabela_registros[TIPO],DADOS!$AJ$4,tabela_registros[CATEGORIA],reservavariáveisconsolidadoabr[[#This Row],[ATUAL]])</f>
        <v>0</v>
      </c>
      <c r="Z193" s="119" t="n">
        <f aca="false">SUMIFS(tabela_registros[VALOR],tabela_registros[MÊS],$AE$1,tabela_registros[DIA],reservavariáveisconsolidadoabr[[#Headers],[22]],tabela_registros[REGISTRO],DADOS!$N$6,tabela_registros[TIPO],DADOS!$AJ$4,tabela_registros[CATEGORIA],reservavariáveisconsolidadoabr[[#This Row],[ATUAL]])</f>
        <v>0</v>
      </c>
      <c r="AA193" s="119" t="n">
        <f aca="false">SUMIFS(tabela_registros[VALOR],tabela_registros[MÊS],$AE$1,tabela_registros[DIA],reservavariáveisconsolidadoabr[[#Headers],[23]],tabela_registros[REGISTRO],DADOS!$N$6,tabela_registros[TIPO],DADOS!$AJ$4,tabela_registros[CATEGORIA],reservavariáveisconsolidadoabr[[#This Row],[ATUAL]])</f>
        <v>0</v>
      </c>
      <c r="AB193" s="119" t="n">
        <f aca="false">SUMIFS(tabela_registros[VALOR],tabela_registros[MÊS],$AE$1,tabela_registros[DIA],reservavariáveisconsolidadoabr[[#Headers],[24]],tabela_registros[REGISTRO],DADOS!$N$6,tabela_registros[TIPO],DADOS!$AJ$4,tabela_registros[CATEGORIA],reservavariáveisconsolidadoabr[[#This Row],[ATUAL]])</f>
        <v>0</v>
      </c>
      <c r="AC193" s="119" t="n">
        <f aca="false">SUMIFS(tabela_registros[VALOR],tabela_registros[MÊS],$AE$1,tabela_registros[DIA],reservavariáveisconsolidadoabr[[#Headers],[25]],tabela_registros[REGISTRO],DADOS!$N$6,tabela_registros[TIPO],DADOS!$AJ$4,tabela_registros[CATEGORIA],reservavariáveisconsolidadoabr[[#This Row],[ATUAL]])</f>
        <v>0</v>
      </c>
      <c r="AD193" s="119" t="n">
        <f aca="false">SUMIFS(tabela_registros[VALOR],tabela_registros[MÊS],$AE$1,tabela_registros[DIA],reservavariáveisconsolidadoabr[[#Headers],[26]],tabela_registros[REGISTRO],DADOS!$N$6,tabela_registros[TIPO],DADOS!$AJ$4,tabela_registros[CATEGORIA],reservavariáveisconsolidadoabr[[#This Row],[ATUAL]])</f>
        <v>0</v>
      </c>
      <c r="AE193" s="119" t="n">
        <f aca="false">SUMIFS(tabela_registros[VALOR],tabela_registros[MÊS],$AE$1,tabela_registros[DIA],reservavariáveisconsolidadoabr[[#Headers],[27]],tabela_registros[REGISTRO],DADOS!$N$6,tabela_registros[TIPO],DADOS!$AJ$4,tabela_registros[CATEGORIA],reservavariáveisconsolidadoabr[[#This Row],[ATUAL]])</f>
        <v>0</v>
      </c>
      <c r="AF193" s="119" t="n">
        <f aca="false">SUMIFS(tabela_registros[VALOR],tabela_registros[MÊS],$AE$1,tabela_registros[DIA],reservavariáveisconsolidadoabr[[#Headers],[28]],tabela_registros[REGISTRO],DADOS!$N$6,tabela_registros[TIPO],DADOS!$AJ$4,tabela_registros[CATEGORIA],reservavariáveisconsolidadoabr[[#This Row],[ATUAL]])</f>
        <v>0</v>
      </c>
      <c r="AG193" s="119" t="n">
        <f aca="false">SUMIFS(tabela_registros[VALOR],tabela_registros[MÊS],$AE$1,tabela_registros[DIA],reservavariáveisconsolidadoabr[[#Headers],[29]],tabela_registros[REGISTRO],DADOS!$N$6,tabela_registros[TIPO],DADOS!$AJ$4,tabela_registros[CATEGORIA],reservavariáveisconsolidadoabr[[#This Row],[ATUAL]])</f>
        <v>0</v>
      </c>
      <c r="AH193" s="119" t="n">
        <f aca="false">SUMIFS(tabela_registros[VALOR],tabela_registros[MÊS],$AE$1,tabela_registros[DIA],reservavariáveisconsolidadoabr[[#Headers],[30]],tabela_registros[REGISTRO],DADOS!$N$6,tabela_registros[TIPO],DADOS!$AJ$4,tabela_registros[CATEGORIA],reservavariáveisconsolidadoabr[[#This Row],[ATUAL]])</f>
        <v>0</v>
      </c>
      <c r="AI193" s="217" t="n">
        <f aca="false">SUMIFS(tabela_registros[VALOR],tabela_registros[MÊS],$AE$1,tabela_registros[DIA],reservavariáveisconsolidadoabr[[#Headers],[31]],tabela_registros[REGISTRO],DADOS!$N$6,tabela_registros[TIPO],DADOS!$AJ$4,tabela_registros[CATEGORIA],reservavariáveisconsolidadoabr[[#This Row],[ATUAL]])</f>
        <v>0</v>
      </c>
      <c r="AJ193" s="149" t="n">
        <f aca="false">SUM(reservavariáveisconsolidadoabr[[#This Row],[1]:[31]])</f>
        <v>0</v>
      </c>
      <c r="AK193" s="165"/>
    </row>
    <row r="194" customFormat="false" ht="19.5" hidden="false" customHeight="true" outlineLevel="0" collapsed="false">
      <c r="B194" s="143"/>
      <c r="C194" s="144" t="str">
        <f aca="false">DADOS!$AN$10</f>
        <v>📝 FII</v>
      </c>
      <c r="D194" s="145" t="str">
        <f aca="false">IF(reservavariáveisconsolidadoabr[[#This Row],[TOTAL (R$)]]=0,"",IF(OR(reservavariáveisconsolidadoabr[[#This Row],[TOTAL (R$)]]=LARGE($AJ$187:$AJ$196,1),reservavariáveisconsolidadoabr[[#This Row],[TOTAL (R$)]]=LARGE($AJ$187:$AJ$196,2)),DADOS!$I$11,""))</f>
        <v/>
      </c>
      <c r="E194" s="148" t="n">
        <f aca="false">SUMIFS(tabela_registros[VALOR],tabela_registros[MÊS],$AE$1,tabela_registros[DIA],reservavariáveisconsolidadoabr[[#Headers],[1]],tabela_registros[REGISTRO],DADOS!$N$6,tabela_registros[TIPO],DADOS!$AJ$4,tabela_registros[CATEGORIA],reservavariáveisconsolidadoabr[[#This Row],[ATUAL]])</f>
        <v>0</v>
      </c>
      <c r="F194" s="119" t="n">
        <f aca="false">SUMIFS(tabela_registros[VALOR],tabela_registros[MÊS],$AE$1,tabela_registros[DIA],reservavariáveisconsolidadoabr[[#Headers],[2]],tabela_registros[REGISTRO],DADOS!$N$6,tabela_registros[TIPO],DADOS!$AJ$4,tabela_registros[CATEGORIA],reservavariáveisconsolidadoabr[[#This Row],[ATUAL]])</f>
        <v>0</v>
      </c>
      <c r="G194" s="119" t="n">
        <f aca="false">SUMIFS(tabela_registros[VALOR],tabela_registros[MÊS],$AE$1,tabela_registros[DIA],reservavariáveisconsolidadoabr[[#Headers],[3]],tabela_registros[REGISTRO],DADOS!$N$6,tabela_registros[TIPO],DADOS!$AJ$4,tabela_registros[CATEGORIA],reservavariáveisconsolidadoabr[[#This Row],[ATUAL]])</f>
        <v>0</v>
      </c>
      <c r="H194" s="119" t="n">
        <f aca="false">SUMIFS(tabela_registros[VALOR],tabela_registros[MÊS],$AE$1,tabela_registros[DIA],reservavariáveisconsolidadoabr[[#Headers],[4]],tabela_registros[REGISTRO],DADOS!$N$6,tabela_registros[TIPO],DADOS!$AJ$4,tabela_registros[CATEGORIA],reservavariáveisconsolidadoabr[[#This Row],[ATUAL]])</f>
        <v>0</v>
      </c>
      <c r="I194" s="119" t="n">
        <f aca="false">SUMIFS(tabela_registros[VALOR],tabela_registros[MÊS],$AE$1,tabela_registros[DIA],reservavariáveisconsolidadoabr[[#Headers],[5]],tabela_registros[REGISTRO],DADOS!$N$6,tabela_registros[TIPO],DADOS!$AJ$4,tabela_registros[CATEGORIA],reservavariáveisconsolidadoabr[[#This Row],[ATUAL]])</f>
        <v>0</v>
      </c>
      <c r="J194" s="119" t="n">
        <f aca="false">SUMIFS(tabela_registros[VALOR],tabela_registros[MÊS],$AE$1,tabela_registros[DIA],reservavariáveisconsolidadoabr[[#Headers],[6]],tabela_registros[REGISTRO],DADOS!$N$6,tabela_registros[TIPO],DADOS!$AJ$4,tabela_registros[CATEGORIA],reservavariáveisconsolidadoabr[[#This Row],[ATUAL]])</f>
        <v>0</v>
      </c>
      <c r="K194" s="119" t="n">
        <f aca="false">SUMIFS(tabela_registros[VALOR],tabela_registros[MÊS],$AE$1,tabela_registros[DIA],reservavariáveisconsolidadoabr[[#Headers],[7]],tabela_registros[REGISTRO],DADOS!$N$6,tabela_registros[TIPO],DADOS!$AJ$4,tabela_registros[CATEGORIA],reservavariáveisconsolidadoabr[[#This Row],[ATUAL]])</f>
        <v>0</v>
      </c>
      <c r="L194" s="119" t="n">
        <f aca="false">SUMIFS(tabela_registros[VALOR],tabela_registros[MÊS],$AE$1,tabela_registros[DIA],reservavariáveisconsolidadoabr[[#Headers],[8]],tabela_registros[REGISTRO],DADOS!$N$6,tabela_registros[TIPO],DADOS!$AJ$4,tabela_registros[CATEGORIA],reservavariáveisconsolidadoabr[[#This Row],[ATUAL]])</f>
        <v>0</v>
      </c>
      <c r="M194" s="119" t="n">
        <f aca="false">SUMIFS(tabela_registros[VALOR],tabela_registros[MÊS],$AE$1,tabela_registros[DIA],reservavariáveisconsolidadoabr[[#Headers],[9]],tabela_registros[REGISTRO],DADOS!$N$6,tabela_registros[TIPO],DADOS!$AJ$4,tabela_registros[CATEGORIA],reservavariáveisconsolidadoabr[[#This Row],[ATUAL]])</f>
        <v>0</v>
      </c>
      <c r="N194" s="119" t="n">
        <f aca="false">SUMIFS(tabela_registros[VALOR],tabela_registros[MÊS],$AE$1,tabela_registros[DIA],reservavariáveisconsolidadoabr[[#Headers],[10]],tabela_registros[REGISTRO],DADOS!$N$6,tabela_registros[TIPO],DADOS!$AJ$4,tabela_registros[CATEGORIA],reservavariáveisconsolidadoabr[[#This Row],[ATUAL]])</f>
        <v>0</v>
      </c>
      <c r="O194" s="119" t="n">
        <f aca="false">SUMIFS(tabela_registros[VALOR],tabela_registros[MÊS],$AE$1,tabela_registros[DIA],reservavariáveisconsolidadoabr[[#Headers],[11]],tabela_registros[REGISTRO],DADOS!$N$6,tabela_registros[TIPO],DADOS!$AJ$4,tabela_registros[CATEGORIA],reservavariáveisconsolidadoabr[[#This Row],[ATUAL]])</f>
        <v>0</v>
      </c>
      <c r="P194" s="119" t="n">
        <f aca="false">SUMIFS(tabela_registros[VALOR],tabela_registros[MÊS],$AE$1,tabela_registros[DIA],reservavariáveisconsolidadoabr[[#Headers],[12]],tabela_registros[REGISTRO],DADOS!$N$6,tabela_registros[TIPO],DADOS!$AJ$4,tabela_registros[CATEGORIA],reservavariáveisconsolidadoabr[[#This Row],[ATUAL]])</f>
        <v>0</v>
      </c>
      <c r="Q194" s="119" t="n">
        <f aca="false">SUMIFS(tabela_registros[VALOR],tabela_registros[MÊS],$AE$1,tabela_registros[DIA],reservavariáveisconsolidadoabr[[#Headers],[13]],tabela_registros[REGISTRO],DADOS!$N$6,tabela_registros[TIPO],DADOS!$AJ$4,tabela_registros[CATEGORIA],reservavariáveisconsolidadoabr[[#This Row],[ATUAL]])</f>
        <v>0</v>
      </c>
      <c r="R194" s="119" t="n">
        <f aca="false">SUMIFS(tabela_registros[VALOR],tabela_registros[MÊS],$AE$1,tabela_registros[DIA],reservavariáveisconsolidadoabr[[#Headers],[14]],tabela_registros[REGISTRO],DADOS!$N$6,tabela_registros[TIPO],DADOS!$AJ$4,tabela_registros[CATEGORIA],reservavariáveisconsolidadoabr[[#This Row],[ATUAL]])</f>
        <v>0</v>
      </c>
      <c r="S194" s="119" t="n">
        <f aca="false">SUMIFS(tabela_registros[VALOR],tabela_registros[MÊS],$AE$1,tabela_registros[DIA],reservavariáveisconsolidadoabr[[#Headers],[15]],tabela_registros[REGISTRO],DADOS!$N$6,tabela_registros[TIPO],DADOS!$AJ$4,tabela_registros[CATEGORIA],reservavariáveisconsolidadoabr[[#This Row],[ATUAL]])</f>
        <v>0</v>
      </c>
      <c r="T194" s="119" t="n">
        <f aca="false">SUMIFS(tabela_registros[VALOR],tabela_registros[MÊS],$AE$1,tabela_registros[DIA],reservavariáveisconsolidadoabr[[#Headers],[16]],tabela_registros[REGISTRO],DADOS!$N$6,tabela_registros[TIPO],DADOS!$AJ$4,tabela_registros[CATEGORIA],reservavariáveisconsolidadoabr[[#This Row],[ATUAL]])</f>
        <v>0</v>
      </c>
      <c r="U194" s="119" t="n">
        <f aca="false">SUMIFS(tabela_registros[VALOR],tabela_registros[MÊS],$AE$1,tabela_registros[DIA],reservavariáveisconsolidadoabr[[#Headers],[17]],tabela_registros[REGISTRO],DADOS!$N$6,tabela_registros[TIPO],DADOS!$AJ$4,tabela_registros[CATEGORIA],reservavariáveisconsolidadoabr[[#This Row],[ATUAL]])</f>
        <v>0</v>
      </c>
      <c r="V194" s="119" t="n">
        <f aca="false">SUMIFS(tabela_registros[VALOR],tabela_registros[MÊS],$AE$1,tabela_registros[DIA],reservavariáveisconsolidadoabr[[#Headers],[18]],tabela_registros[REGISTRO],DADOS!$N$6,tabela_registros[TIPO],DADOS!$AJ$4,tabela_registros[CATEGORIA],reservavariáveisconsolidadoabr[[#This Row],[ATUAL]])</f>
        <v>0</v>
      </c>
      <c r="W194" s="119" t="n">
        <f aca="false">SUMIFS(tabela_registros[VALOR],tabela_registros[MÊS],$AE$1,tabela_registros[DIA],reservavariáveisconsolidadoabr[[#Headers],[19]],tabela_registros[REGISTRO],DADOS!$N$6,tabela_registros[TIPO],DADOS!$AJ$4,tabela_registros[CATEGORIA],reservavariáveisconsolidadoabr[[#This Row],[ATUAL]])</f>
        <v>0</v>
      </c>
      <c r="X194" s="119" t="n">
        <f aca="false">SUMIFS(tabela_registros[VALOR],tabela_registros[MÊS],$AE$1,tabela_registros[DIA],reservavariáveisconsolidadoabr[[#Headers],[20]],tabela_registros[REGISTRO],DADOS!$N$6,tabela_registros[TIPO],DADOS!$AJ$4,tabela_registros[CATEGORIA],reservavariáveisconsolidadoabr[[#This Row],[ATUAL]])</f>
        <v>0</v>
      </c>
      <c r="Y194" s="119" t="n">
        <f aca="false">SUMIFS(tabela_registros[VALOR],tabela_registros[MÊS],$AE$1,tabela_registros[DIA],reservavariáveisconsolidadoabr[[#Headers],[21]],tabela_registros[REGISTRO],DADOS!$N$6,tabela_registros[TIPO],DADOS!$AJ$4,tabela_registros[CATEGORIA],reservavariáveisconsolidadoabr[[#This Row],[ATUAL]])</f>
        <v>0</v>
      </c>
      <c r="Z194" s="119" t="n">
        <f aca="false">SUMIFS(tabela_registros[VALOR],tabela_registros[MÊS],$AE$1,tabela_registros[DIA],reservavariáveisconsolidadoabr[[#Headers],[22]],tabela_registros[REGISTRO],DADOS!$N$6,tabela_registros[TIPO],DADOS!$AJ$4,tabela_registros[CATEGORIA],reservavariáveisconsolidadoabr[[#This Row],[ATUAL]])</f>
        <v>0</v>
      </c>
      <c r="AA194" s="119" t="n">
        <f aca="false">SUMIFS(tabela_registros[VALOR],tabela_registros[MÊS],$AE$1,tabela_registros[DIA],reservavariáveisconsolidadoabr[[#Headers],[23]],tabela_registros[REGISTRO],DADOS!$N$6,tabela_registros[TIPO],DADOS!$AJ$4,tabela_registros[CATEGORIA],reservavariáveisconsolidadoabr[[#This Row],[ATUAL]])</f>
        <v>0</v>
      </c>
      <c r="AB194" s="119" t="n">
        <f aca="false">SUMIFS(tabela_registros[VALOR],tabela_registros[MÊS],$AE$1,tabela_registros[DIA],reservavariáveisconsolidadoabr[[#Headers],[24]],tabela_registros[REGISTRO],DADOS!$N$6,tabela_registros[TIPO],DADOS!$AJ$4,tabela_registros[CATEGORIA],reservavariáveisconsolidadoabr[[#This Row],[ATUAL]])</f>
        <v>0</v>
      </c>
      <c r="AC194" s="119" t="n">
        <f aca="false">SUMIFS(tabela_registros[VALOR],tabela_registros[MÊS],$AE$1,tabela_registros[DIA],reservavariáveisconsolidadoabr[[#Headers],[25]],tabela_registros[REGISTRO],DADOS!$N$6,tabela_registros[TIPO],DADOS!$AJ$4,tabela_registros[CATEGORIA],reservavariáveisconsolidadoabr[[#This Row],[ATUAL]])</f>
        <v>0</v>
      </c>
      <c r="AD194" s="119" t="n">
        <f aca="false">SUMIFS(tabela_registros[VALOR],tabela_registros[MÊS],$AE$1,tabela_registros[DIA],reservavariáveisconsolidadoabr[[#Headers],[26]],tabela_registros[REGISTRO],DADOS!$N$6,tabela_registros[TIPO],DADOS!$AJ$4,tabela_registros[CATEGORIA],reservavariáveisconsolidadoabr[[#This Row],[ATUAL]])</f>
        <v>0</v>
      </c>
      <c r="AE194" s="119" t="n">
        <f aca="false">SUMIFS(tabela_registros[VALOR],tabela_registros[MÊS],$AE$1,tabela_registros[DIA],reservavariáveisconsolidadoabr[[#Headers],[27]],tabela_registros[REGISTRO],DADOS!$N$6,tabela_registros[TIPO],DADOS!$AJ$4,tabela_registros[CATEGORIA],reservavariáveisconsolidadoabr[[#This Row],[ATUAL]])</f>
        <v>0</v>
      </c>
      <c r="AF194" s="119" t="n">
        <f aca="false">SUMIFS(tabela_registros[VALOR],tabela_registros[MÊS],$AE$1,tabela_registros[DIA],reservavariáveisconsolidadoabr[[#Headers],[28]],tabela_registros[REGISTRO],DADOS!$N$6,tabela_registros[TIPO],DADOS!$AJ$4,tabela_registros[CATEGORIA],reservavariáveisconsolidadoabr[[#This Row],[ATUAL]])</f>
        <v>0</v>
      </c>
      <c r="AG194" s="119" t="n">
        <f aca="false">SUMIFS(tabela_registros[VALOR],tabela_registros[MÊS],$AE$1,tabela_registros[DIA],reservavariáveisconsolidadoabr[[#Headers],[29]],tabela_registros[REGISTRO],DADOS!$N$6,tabela_registros[TIPO],DADOS!$AJ$4,tabela_registros[CATEGORIA],reservavariáveisconsolidadoabr[[#This Row],[ATUAL]])</f>
        <v>0</v>
      </c>
      <c r="AH194" s="119" t="n">
        <f aca="false">SUMIFS(tabela_registros[VALOR],tabela_registros[MÊS],$AE$1,tabela_registros[DIA],reservavariáveisconsolidadoabr[[#Headers],[30]],tabela_registros[REGISTRO],DADOS!$N$6,tabela_registros[TIPO],DADOS!$AJ$4,tabela_registros[CATEGORIA],reservavariáveisconsolidadoabr[[#This Row],[ATUAL]])</f>
        <v>0</v>
      </c>
      <c r="AI194" s="217" t="n">
        <f aca="false">SUMIFS(tabela_registros[VALOR],tabela_registros[MÊS],$AE$1,tabela_registros[DIA],reservavariáveisconsolidadoabr[[#Headers],[31]],tabela_registros[REGISTRO],DADOS!$N$6,tabela_registros[TIPO],DADOS!$AJ$4,tabela_registros[CATEGORIA],reservavariáveisconsolidadoabr[[#This Row],[ATUAL]])</f>
        <v>0</v>
      </c>
      <c r="AJ194" s="149" t="n">
        <f aca="false">SUM(reservavariáveisconsolidadoabr[[#This Row],[1]:[31]])</f>
        <v>0</v>
      </c>
      <c r="AK194" s="165"/>
    </row>
    <row r="195" customFormat="false" ht="19.5" hidden="false" customHeight="true" outlineLevel="0" collapsed="false">
      <c r="B195" s="143"/>
      <c r="C195" s="144" t="str">
        <f aca="false">DADOS!$AN$11</f>
        <v>📝 MOEDA</v>
      </c>
      <c r="D195" s="145" t="str">
        <f aca="false">IF(reservavariáveisconsolidadoabr[[#This Row],[TOTAL (R$)]]=0,"",IF(OR(reservavariáveisconsolidadoabr[[#This Row],[TOTAL (R$)]]=LARGE($AJ$187:$AJ$196,1),reservavariáveisconsolidadoabr[[#This Row],[TOTAL (R$)]]=LARGE($AJ$187:$AJ$196,2)),DADOS!$I$11,""))</f>
        <v/>
      </c>
      <c r="E195" s="148" t="n">
        <f aca="false">SUMIFS(tabela_registros[VALOR],tabela_registros[MÊS],$AE$1,tabela_registros[DIA],reservavariáveisconsolidadoabr[[#Headers],[1]],tabela_registros[REGISTRO],DADOS!$N$6,tabela_registros[TIPO],DADOS!$AJ$4,tabela_registros[CATEGORIA],reservavariáveisconsolidadoabr[[#This Row],[ATUAL]])</f>
        <v>0</v>
      </c>
      <c r="F195" s="119" t="n">
        <f aca="false">SUMIFS(tabela_registros[VALOR],tabela_registros[MÊS],$AE$1,tabela_registros[DIA],reservavariáveisconsolidadoabr[[#Headers],[2]],tabela_registros[REGISTRO],DADOS!$N$6,tabela_registros[TIPO],DADOS!$AJ$4,tabela_registros[CATEGORIA],reservavariáveisconsolidadoabr[[#This Row],[ATUAL]])</f>
        <v>0</v>
      </c>
      <c r="G195" s="119" t="n">
        <f aca="false">SUMIFS(tabela_registros[VALOR],tabela_registros[MÊS],$AE$1,tabela_registros[DIA],reservavariáveisconsolidadoabr[[#Headers],[3]],tabela_registros[REGISTRO],DADOS!$N$6,tabela_registros[TIPO],DADOS!$AJ$4,tabela_registros[CATEGORIA],reservavariáveisconsolidadoabr[[#This Row],[ATUAL]])</f>
        <v>0</v>
      </c>
      <c r="H195" s="119" t="n">
        <f aca="false">SUMIFS(tabela_registros[VALOR],tabela_registros[MÊS],$AE$1,tabela_registros[DIA],reservavariáveisconsolidadoabr[[#Headers],[4]],tabela_registros[REGISTRO],DADOS!$N$6,tabela_registros[TIPO],DADOS!$AJ$4,tabela_registros[CATEGORIA],reservavariáveisconsolidadoabr[[#This Row],[ATUAL]])</f>
        <v>0</v>
      </c>
      <c r="I195" s="119" t="n">
        <f aca="false">SUMIFS(tabela_registros[VALOR],tabela_registros[MÊS],$AE$1,tabela_registros[DIA],reservavariáveisconsolidadoabr[[#Headers],[5]],tabela_registros[REGISTRO],DADOS!$N$6,tabela_registros[TIPO],DADOS!$AJ$4,tabela_registros[CATEGORIA],reservavariáveisconsolidadoabr[[#This Row],[ATUAL]])</f>
        <v>0</v>
      </c>
      <c r="J195" s="119" t="n">
        <f aca="false">SUMIFS(tabela_registros[VALOR],tabela_registros[MÊS],$AE$1,tabela_registros[DIA],reservavariáveisconsolidadoabr[[#Headers],[6]],tabela_registros[REGISTRO],DADOS!$N$6,tabela_registros[TIPO],DADOS!$AJ$4,tabela_registros[CATEGORIA],reservavariáveisconsolidadoabr[[#This Row],[ATUAL]])</f>
        <v>0</v>
      </c>
      <c r="K195" s="119" t="n">
        <f aca="false">SUMIFS(tabela_registros[VALOR],tabela_registros[MÊS],$AE$1,tabela_registros[DIA],reservavariáveisconsolidadoabr[[#Headers],[7]],tabela_registros[REGISTRO],DADOS!$N$6,tabela_registros[TIPO],DADOS!$AJ$4,tabela_registros[CATEGORIA],reservavariáveisconsolidadoabr[[#This Row],[ATUAL]])</f>
        <v>0</v>
      </c>
      <c r="L195" s="119" t="n">
        <f aca="false">SUMIFS(tabela_registros[VALOR],tabela_registros[MÊS],$AE$1,tabela_registros[DIA],reservavariáveisconsolidadoabr[[#Headers],[8]],tabela_registros[REGISTRO],DADOS!$N$6,tabela_registros[TIPO],DADOS!$AJ$4,tabela_registros[CATEGORIA],reservavariáveisconsolidadoabr[[#This Row],[ATUAL]])</f>
        <v>0</v>
      </c>
      <c r="M195" s="119" t="n">
        <f aca="false">SUMIFS(tabela_registros[VALOR],tabela_registros[MÊS],$AE$1,tabela_registros[DIA],reservavariáveisconsolidadoabr[[#Headers],[9]],tabela_registros[REGISTRO],DADOS!$N$6,tabela_registros[TIPO],DADOS!$AJ$4,tabela_registros[CATEGORIA],reservavariáveisconsolidadoabr[[#This Row],[ATUAL]])</f>
        <v>0</v>
      </c>
      <c r="N195" s="119" t="n">
        <f aca="false">SUMIFS(tabela_registros[VALOR],tabela_registros[MÊS],$AE$1,tabela_registros[DIA],reservavariáveisconsolidadoabr[[#Headers],[10]],tabela_registros[REGISTRO],DADOS!$N$6,tabela_registros[TIPO],DADOS!$AJ$4,tabela_registros[CATEGORIA],reservavariáveisconsolidadoabr[[#This Row],[ATUAL]])</f>
        <v>0</v>
      </c>
      <c r="O195" s="119" t="n">
        <f aca="false">SUMIFS(tabela_registros[VALOR],tabela_registros[MÊS],$AE$1,tabela_registros[DIA],reservavariáveisconsolidadoabr[[#Headers],[11]],tabela_registros[REGISTRO],DADOS!$N$6,tabela_registros[TIPO],DADOS!$AJ$4,tabela_registros[CATEGORIA],reservavariáveisconsolidadoabr[[#This Row],[ATUAL]])</f>
        <v>0</v>
      </c>
      <c r="P195" s="119" t="n">
        <f aca="false">SUMIFS(tabela_registros[VALOR],tabela_registros[MÊS],$AE$1,tabela_registros[DIA],reservavariáveisconsolidadoabr[[#Headers],[12]],tabela_registros[REGISTRO],DADOS!$N$6,tabela_registros[TIPO],DADOS!$AJ$4,tabela_registros[CATEGORIA],reservavariáveisconsolidadoabr[[#This Row],[ATUAL]])</f>
        <v>0</v>
      </c>
      <c r="Q195" s="119" t="n">
        <f aca="false">SUMIFS(tabela_registros[VALOR],tabela_registros[MÊS],$AE$1,tabela_registros[DIA],reservavariáveisconsolidadoabr[[#Headers],[13]],tabela_registros[REGISTRO],DADOS!$N$6,tabela_registros[TIPO],DADOS!$AJ$4,tabela_registros[CATEGORIA],reservavariáveisconsolidadoabr[[#This Row],[ATUAL]])</f>
        <v>0</v>
      </c>
      <c r="R195" s="119" t="n">
        <f aca="false">SUMIFS(tabela_registros[VALOR],tabela_registros[MÊS],$AE$1,tabela_registros[DIA],reservavariáveisconsolidadoabr[[#Headers],[14]],tabela_registros[REGISTRO],DADOS!$N$6,tabela_registros[TIPO],DADOS!$AJ$4,tabela_registros[CATEGORIA],reservavariáveisconsolidadoabr[[#This Row],[ATUAL]])</f>
        <v>0</v>
      </c>
      <c r="S195" s="119" t="n">
        <f aca="false">SUMIFS(tabela_registros[VALOR],tabela_registros[MÊS],$AE$1,tabela_registros[DIA],reservavariáveisconsolidadoabr[[#Headers],[15]],tabela_registros[REGISTRO],DADOS!$N$6,tabela_registros[TIPO],DADOS!$AJ$4,tabela_registros[CATEGORIA],reservavariáveisconsolidadoabr[[#This Row],[ATUAL]])</f>
        <v>0</v>
      </c>
      <c r="T195" s="119" t="n">
        <f aca="false">SUMIFS(tabela_registros[VALOR],tabela_registros[MÊS],$AE$1,tabela_registros[DIA],reservavariáveisconsolidadoabr[[#Headers],[16]],tabela_registros[REGISTRO],DADOS!$N$6,tabela_registros[TIPO],DADOS!$AJ$4,tabela_registros[CATEGORIA],reservavariáveisconsolidadoabr[[#This Row],[ATUAL]])</f>
        <v>0</v>
      </c>
      <c r="U195" s="119" t="n">
        <f aca="false">SUMIFS(tabela_registros[VALOR],tabela_registros[MÊS],$AE$1,tabela_registros[DIA],reservavariáveisconsolidadoabr[[#Headers],[17]],tabela_registros[REGISTRO],DADOS!$N$6,tabela_registros[TIPO],DADOS!$AJ$4,tabela_registros[CATEGORIA],reservavariáveisconsolidadoabr[[#This Row],[ATUAL]])</f>
        <v>0</v>
      </c>
      <c r="V195" s="119" t="n">
        <f aca="false">SUMIFS(tabela_registros[VALOR],tabela_registros[MÊS],$AE$1,tabela_registros[DIA],reservavariáveisconsolidadoabr[[#Headers],[18]],tabela_registros[REGISTRO],DADOS!$N$6,tabela_registros[TIPO],DADOS!$AJ$4,tabela_registros[CATEGORIA],reservavariáveisconsolidadoabr[[#This Row],[ATUAL]])</f>
        <v>0</v>
      </c>
      <c r="W195" s="119" t="n">
        <f aca="false">SUMIFS(tabela_registros[VALOR],tabela_registros[MÊS],$AE$1,tabela_registros[DIA],reservavariáveisconsolidadoabr[[#Headers],[19]],tabela_registros[REGISTRO],DADOS!$N$6,tabela_registros[TIPO],DADOS!$AJ$4,tabela_registros[CATEGORIA],reservavariáveisconsolidadoabr[[#This Row],[ATUAL]])</f>
        <v>0</v>
      </c>
      <c r="X195" s="119" t="n">
        <f aca="false">SUMIFS(tabela_registros[VALOR],tabela_registros[MÊS],$AE$1,tabela_registros[DIA],reservavariáveisconsolidadoabr[[#Headers],[20]],tabela_registros[REGISTRO],DADOS!$N$6,tabela_registros[TIPO],DADOS!$AJ$4,tabela_registros[CATEGORIA],reservavariáveisconsolidadoabr[[#This Row],[ATUAL]])</f>
        <v>0</v>
      </c>
      <c r="Y195" s="119" t="n">
        <f aca="false">SUMIFS(tabela_registros[VALOR],tabela_registros[MÊS],$AE$1,tabela_registros[DIA],reservavariáveisconsolidadoabr[[#Headers],[21]],tabela_registros[REGISTRO],DADOS!$N$6,tabela_registros[TIPO],DADOS!$AJ$4,tabela_registros[CATEGORIA],reservavariáveisconsolidadoabr[[#This Row],[ATUAL]])</f>
        <v>0</v>
      </c>
      <c r="Z195" s="119" t="n">
        <f aca="false">SUMIFS(tabela_registros[VALOR],tabela_registros[MÊS],$AE$1,tabela_registros[DIA],reservavariáveisconsolidadoabr[[#Headers],[22]],tabela_registros[REGISTRO],DADOS!$N$6,tabela_registros[TIPO],DADOS!$AJ$4,tabela_registros[CATEGORIA],reservavariáveisconsolidadoabr[[#This Row],[ATUAL]])</f>
        <v>0</v>
      </c>
      <c r="AA195" s="119" t="n">
        <f aca="false">SUMIFS(tabela_registros[VALOR],tabela_registros[MÊS],$AE$1,tabela_registros[DIA],reservavariáveisconsolidadoabr[[#Headers],[23]],tabela_registros[REGISTRO],DADOS!$N$6,tabela_registros[TIPO],DADOS!$AJ$4,tabela_registros[CATEGORIA],reservavariáveisconsolidadoabr[[#This Row],[ATUAL]])</f>
        <v>0</v>
      </c>
      <c r="AB195" s="119" t="n">
        <f aca="false">SUMIFS(tabela_registros[VALOR],tabela_registros[MÊS],$AE$1,tabela_registros[DIA],reservavariáveisconsolidadoabr[[#Headers],[24]],tabela_registros[REGISTRO],DADOS!$N$6,tabela_registros[TIPO],DADOS!$AJ$4,tabela_registros[CATEGORIA],reservavariáveisconsolidadoabr[[#This Row],[ATUAL]])</f>
        <v>0</v>
      </c>
      <c r="AC195" s="119" t="n">
        <f aca="false">SUMIFS(tabela_registros[VALOR],tabela_registros[MÊS],$AE$1,tabela_registros[DIA],reservavariáveisconsolidadoabr[[#Headers],[25]],tabela_registros[REGISTRO],DADOS!$N$6,tabela_registros[TIPO],DADOS!$AJ$4,tabela_registros[CATEGORIA],reservavariáveisconsolidadoabr[[#This Row],[ATUAL]])</f>
        <v>0</v>
      </c>
      <c r="AD195" s="119" t="n">
        <f aca="false">SUMIFS(tabela_registros[VALOR],tabela_registros[MÊS],$AE$1,tabela_registros[DIA],reservavariáveisconsolidadoabr[[#Headers],[26]],tabela_registros[REGISTRO],DADOS!$N$6,tabela_registros[TIPO],DADOS!$AJ$4,tabela_registros[CATEGORIA],reservavariáveisconsolidadoabr[[#This Row],[ATUAL]])</f>
        <v>0</v>
      </c>
      <c r="AE195" s="119" t="n">
        <f aca="false">SUMIFS(tabela_registros[VALOR],tabela_registros[MÊS],$AE$1,tabela_registros[DIA],reservavariáveisconsolidadoabr[[#Headers],[27]],tabela_registros[REGISTRO],DADOS!$N$6,tabela_registros[TIPO],DADOS!$AJ$4,tabela_registros[CATEGORIA],reservavariáveisconsolidadoabr[[#This Row],[ATUAL]])</f>
        <v>0</v>
      </c>
      <c r="AF195" s="119" t="n">
        <f aca="false">SUMIFS(tabela_registros[VALOR],tabela_registros[MÊS],$AE$1,tabela_registros[DIA],reservavariáveisconsolidadoabr[[#Headers],[28]],tabela_registros[REGISTRO],DADOS!$N$6,tabela_registros[TIPO],DADOS!$AJ$4,tabela_registros[CATEGORIA],reservavariáveisconsolidadoabr[[#This Row],[ATUAL]])</f>
        <v>0</v>
      </c>
      <c r="AG195" s="119" t="n">
        <f aca="false">SUMIFS(tabela_registros[VALOR],tabela_registros[MÊS],$AE$1,tabela_registros[DIA],reservavariáveisconsolidadoabr[[#Headers],[29]],tabela_registros[REGISTRO],DADOS!$N$6,tabela_registros[TIPO],DADOS!$AJ$4,tabela_registros[CATEGORIA],reservavariáveisconsolidadoabr[[#This Row],[ATUAL]])</f>
        <v>0</v>
      </c>
      <c r="AH195" s="119" t="n">
        <f aca="false">SUMIFS(tabela_registros[VALOR],tabela_registros[MÊS],$AE$1,tabela_registros[DIA],reservavariáveisconsolidadoabr[[#Headers],[30]],tabela_registros[REGISTRO],DADOS!$N$6,tabela_registros[TIPO],DADOS!$AJ$4,tabela_registros[CATEGORIA],reservavariáveisconsolidadoabr[[#This Row],[ATUAL]])</f>
        <v>0</v>
      </c>
      <c r="AI195" s="217" t="n">
        <f aca="false">SUMIFS(tabela_registros[VALOR],tabela_registros[MÊS],$AE$1,tabela_registros[DIA],reservavariáveisconsolidadoabr[[#Headers],[31]],tabela_registros[REGISTRO],DADOS!$N$6,tabela_registros[TIPO],DADOS!$AJ$4,tabela_registros[CATEGORIA],reservavariáveisconsolidadoabr[[#This Row],[ATUAL]])</f>
        <v>0</v>
      </c>
      <c r="AJ195" s="149" t="n">
        <f aca="false">SUM(reservavariáveisconsolidadoabr[[#This Row],[1]:[31]])</f>
        <v>0</v>
      </c>
      <c r="AK195" s="165"/>
    </row>
    <row r="196" customFormat="false" ht="19.5" hidden="false" customHeight="true" outlineLevel="0" collapsed="false">
      <c r="B196" s="143"/>
      <c r="C196" s="144" t="str">
        <f aca="false">DADOS!$AN$12</f>
        <v>📎 OUTROS</v>
      </c>
      <c r="D196" s="145" t="str">
        <f aca="false">IF(reservavariáveisconsolidadoabr[[#This Row],[TOTAL (R$)]]=0,"",IF(OR(reservavariáveisconsolidadoabr[[#This Row],[TOTAL (R$)]]=LARGE($AJ$187:$AJ$196,1),reservavariáveisconsolidadoabr[[#This Row],[TOTAL (R$)]]=LARGE($AJ$187:$AJ$196,2)),DADOS!$I$11,""))</f>
        <v/>
      </c>
      <c r="E196" s="148" t="n">
        <f aca="false">SUMIFS(tabela_registros[VALOR],tabela_registros[MÊS],$AE$1,tabela_registros[DIA],reservavariáveisconsolidadoabr[[#Headers],[1]],tabela_registros[REGISTRO],DADOS!$N$6,tabela_registros[TIPO],DADOS!$AJ$4,tabela_registros[CATEGORIA],reservavariáveisconsolidadoabr[[#This Row],[ATUAL]])</f>
        <v>0</v>
      </c>
      <c r="F196" s="119" t="n">
        <f aca="false">SUMIFS(tabela_registros[VALOR],tabela_registros[MÊS],$AE$1,tabela_registros[DIA],reservavariáveisconsolidadoabr[[#Headers],[2]],tabela_registros[REGISTRO],DADOS!$N$6,tabela_registros[TIPO],DADOS!$AJ$4,tabela_registros[CATEGORIA],reservavariáveisconsolidadoabr[[#This Row],[ATUAL]])</f>
        <v>0</v>
      </c>
      <c r="G196" s="119" t="n">
        <f aca="false">SUMIFS(tabela_registros[VALOR],tabela_registros[MÊS],$AE$1,tabela_registros[DIA],reservavariáveisconsolidadoabr[[#Headers],[3]],tabela_registros[REGISTRO],DADOS!$N$6,tabela_registros[TIPO],DADOS!$AJ$4,tabela_registros[CATEGORIA],reservavariáveisconsolidadoabr[[#This Row],[ATUAL]])</f>
        <v>0</v>
      </c>
      <c r="H196" s="119" t="n">
        <f aca="false">SUMIFS(tabela_registros[VALOR],tabela_registros[MÊS],$AE$1,tabela_registros[DIA],reservavariáveisconsolidadoabr[[#Headers],[4]],tabela_registros[REGISTRO],DADOS!$N$6,tabela_registros[TIPO],DADOS!$AJ$4,tabela_registros[CATEGORIA],reservavariáveisconsolidadoabr[[#This Row],[ATUAL]])</f>
        <v>0</v>
      </c>
      <c r="I196" s="119" t="n">
        <f aca="false">SUMIFS(tabela_registros[VALOR],tabela_registros[MÊS],$AE$1,tabela_registros[DIA],reservavariáveisconsolidadoabr[[#Headers],[5]],tabela_registros[REGISTRO],DADOS!$N$6,tabela_registros[TIPO],DADOS!$AJ$4,tabela_registros[CATEGORIA],reservavariáveisconsolidadoabr[[#This Row],[ATUAL]])</f>
        <v>0</v>
      </c>
      <c r="J196" s="119" t="n">
        <f aca="false">SUMIFS(tabela_registros[VALOR],tabela_registros[MÊS],$AE$1,tabela_registros[DIA],reservavariáveisconsolidadoabr[[#Headers],[6]],tabela_registros[REGISTRO],DADOS!$N$6,tabela_registros[TIPO],DADOS!$AJ$4,tabela_registros[CATEGORIA],reservavariáveisconsolidadoabr[[#This Row],[ATUAL]])</f>
        <v>0</v>
      </c>
      <c r="K196" s="119" t="n">
        <f aca="false">SUMIFS(tabela_registros[VALOR],tabela_registros[MÊS],$AE$1,tabela_registros[DIA],reservavariáveisconsolidadoabr[[#Headers],[7]],tabela_registros[REGISTRO],DADOS!$N$6,tabela_registros[TIPO],DADOS!$AJ$4,tabela_registros[CATEGORIA],reservavariáveisconsolidadoabr[[#This Row],[ATUAL]])</f>
        <v>0</v>
      </c>
      <c r="L196" s="119" t="n">
        <f aca="false">SUMIFS(tabela_registros[VALOR],tabela_registros[MÊS],$AE$1,tabela_registros[DIA],reservavariáveisconsolidadoabr[[#Headers],[8]],tabela_registros[REGISTRO],DADOS!$N$6,tabela_registros[TIPO],DADOS!$AJ$4,tabela_registros[CATEGORIA],reservavariáveisconsolidadoabr[[#This Row],[ATUAL]])</f>
        <v>0</v>
      </c>
      <c r="M196" s="119" t="n">
        <f aca="false">SUMIFS(tabela_registros[VALOR],tabela_registros[MÊS],$AE$1,tabela_registros[DIA],reservavariáveisconsolidadoabr[[#Headers],[9]],tabela_registros[REGISTRO],DADOS!$N$6,tabela_registros[TIPO],DADOS!$AJ$4,tabela_registros[CATEGORIA],reservavariáveisconsolidadoabr[[#This Row],[ATUAL]])</f>
        <v>0</v>
      </c>
      <c r="N196" s="119" t="n">
        <f aca="false">SUMIFS(tabela_registros[VALOR],tabela_registros[MÊS],$AE$1,tabela_registros[DIA],reservavariáveisconsolidadoabr[[#Headers],[10]],tabela_registros[REGISTRO],DADOS!$N$6,tabela_registros[TIPO],DADOS!$AJ$4,tabela_registros[CATEGORIA],reservavariáveisconsolidadoabr[[#This Row],[ATUAL]])</f>
        <v>0</v>
      </c>
      <c r="O196" s="119" t="n">
        <f aca="false">SUMIFS(tabela_registros[VALOR],tabela_registros[MÊS],$AE$1,tabela_registros[DIA],reservavariáveisconsolidadoabr[[#Headers],[11]],tabela_registros[REGISTRO],DADOS!$N$6,tabela_registros[TIPO],DADOS!$AJ$4,tabela_registros[CATEGORIA],reservavariáveisconsolidadoabr[[#This Row],[ATUAL]])</f>
        <v>0</v>
      </c>
      <c r="P196" s="119" t="n">
        <f aca="false">SUMIFS(tabela_registros[VALOR],tabela_registros[MÊS],$AE$1,tabela_registros[DIA],reservavariáveisconsolidadoabr[[#Headers],[12]],tabela_registros[REGISTRO],DADOS!$N$6,tabela_registros[TIPO],DADOS!$AJ$4,tabela_registros[CATEGORIA],reservavariáveisconsolidadoabr[[#This Row],[ATUAL]])</f>
        <v>0</v>
      </c>
      <c r="Q196" s="119" t="n">
        <f aca="false">SUMIFS(tabela_registros[VALOR],tabela_registros[MÊS],$AE$1,tabela_registros[DIA],reservavariáveisconsolidadoabr[[#Headers],[13]],tabela_registros[REGISTRO],DADOS!$N$6,tabela_registros[TIPO],DADOS!$AJ$4,tabela_registros[CATEGORIA],reservavariáveisconsolidadoabr[[#This Row],[ATUAL]])</f>
        <v>0</v>
      </c>
      <c r="R196" s="119" t="n">
        <f aca="false">SUMIFS(tabela_registros[VALOR],tabela_registros[MÊS],$AE$1,tabela_registros[DIA],reservavariáveisconsolidadoabr[[#Headers],[14]],tabela_registros[REGISTRO],DADOS!$N$6,tabela_registros[TIPO],DADOS!$AJ$4,tabela_registros[CATEGORIA],reservavariáveisconsolidadoabr[[#This Row],[ATUAL]])</f>
        <v>0</v>
      </c>
      <c r="S196" s="119" t="n">
        <f aca="false">SUMIFS(tabela_registros[VALOR],tabela_registros[MÊS],$AE$1,tabela_registros[DIA],reservavariáveisconsolidadoabr[[#Headers],[15]],tabela_registros[REGISTRO],DADOS!$N$6,tabela_registros[TIPO],DADOS!$AJ$4,tabela_registros[CATEGORIA],reservavariáveisconsolidadoabr[[#This Row],[ATUAL]])</f>
        <v>0</v>
      </c>
      <c r="T196" s="119" t="n">
        <f aca="false">SUMIFS(tabela_registros[VALOR],tabela_registros[MÊS],$AE$1,tabela_registros[DIA],reservavariáveisconsolidadoabr[[#Headers],[16]],tabela_registros[REGISTRO],DADOS!$N$6,tabela_registros[TIPO],DADOS!$AJ$4,tabela_registros[CATEGORIA],reservavariáveisconsolidadoabr[[#This Row],[ATUAL]])</f>
        <v>0</v>
      </c>
      <c r="U196" s="119" t="n">
        <f aca="false">SUMIFS(tabela_registros[VALOR],tabela_registros[MÊS],$AE$1,tabela_registros[DIA],reservavariáveisconsolidadoabr[[#Headers],[17]],tabela_registros[REGISTRO],DADOS!$N$6,tabela_registros[TIPO],DADOS!$AJ$4,tabela_registros[CATEGORIA],reservavariáveisconsolidadoabr[[#This Row],[ATUAL]])</f>
        <v>0</v>
      </c>
      <c r="V196" s="119" t="n">
        <f aca="false">SUMIFS(tabela_registros[VALOR],tabela_registros[MÊS],$AE$1,tabela_registros[DIA],reservavariáveisconsolidadoabr[[#Headers],[18]],tabela_registros[REGISTRO],DADOS!$N$6,tabela_registros[TIPO],DADOS!$AJ$4,tabela_registros[CATEGORIA],reservavariáveisconsolidadoabr[[#This Row],[ATUAL]])</f>
        <v>0</v>
      </c>
      <c r="W196" s="119" t="n">
        <f aca="false">SUMIFS(tabela_registros[VALOR],tabela_registros[MÊS],$AE$1,tabela_registros[DIA],reservavariáveisconsolidadoabr[[#Headers],[19]],tabela_registros[REGISTRO],DADOS!$N$6,tabela_registros[TIPO],DADOS!$AJ$4,tabela_registros[CATEGORIA],reservavariáveisconsolidadoabr[[#This Row],[ATUAL]])</f>
        <v>0</v>
      </c>
      <c r="X196" s="119" t="n">
        <f aca="false">SUMIFS(tabela_registros[VALOR],tabela_registros[MÊS],$AE$1,tabela_registros[DIA],reservavariáveisconsolidadoabr[[#Headers],[20]],tabela_registros[REGISTRO],DADOS!$N$6,tabela_registros[TIPO],DADOS!$AJ$4,tabela_registros[CATEGORIA],reservavariáveisconsolidadoabr[[#This Row],[ATUAL]])</f>
        <v>0</v>
      </c>
      <c r="Y196" s="119" t="n">
        <f aca="false">SUMIFS(tabela_registros[VALOR],tabela_registros[MÊS],$AE$1,tabela_registros[DIA],reservavariáveisconsolidadoabr[[#Headers],[21]],tabela_registros[REGISTRO],DADOS!$N$6,tabela_registros[TIPO],DADOS!$AJ$4,tabela_registros[CATEGORIA],reservavariáveisconsolidadoabr[[#This Row],[ATUAL]])</f>
        <v>0</v>
      </c>
      <c r="Z196" s="119" t="n">
        <f aca="false">SUMIFS(tabela_registros[VALOR],tabela_registros[MÊS],$AE$1,tabela_registros[DIA],reservavariáveisconsolidadoabr[[#Headers],[22]],tabela_registros[REGISTRO],DADOS!$N$6,tabela_registros[TIPO],DADOS!$AJ$4,tabela_registros[CATEGORIA],reservavariáveisconsolidadoabr[[#This Row],[ATUAL]])</f>
        <v>0</v>
      </c>
      <c r="AA196" s="119" t="n">
        <f aca="false">SUMIFS(tabela_registros[VALOR],tabela_registros[MÊS],$AE$1,tabela_registros[DIA],reservavariáveisconsolidadoabr[[#Headers],[23]],tabela_registros[REGISTRO],DADOS!$N$6,tabela_registros[TIPO],DADOS!$AJ$4,tabela_registros[CATEGORIA],reservavariáveisconsolidadoabr[[#This Row],[ATUAL]])</f>
        <v>0</v>
      </c>
      <c r="AB196" s="119" t="n">
        <f aca="false">SUMIFS(tabela_registros[VALOR],tabela_registros[MÊS],$AE$1,tabela_registros[DIA],reservavariáveisconsolidadoabr[[#Headers],[24]],tabela_registros[REGISTRO],DADOS!$N$6,tabela_registros[TIPO],DADOS!$AJ$4,tabela_registros[CATEGORIA],reservavariáveisconsolidadoabr[[#This Row],[ATUAL]])</f>
        <v>0</v>
      </c>
      <c r="AC196" s="119" t="n">
        <f aca="false">SUMIFS(tabela_registros[VALOR],tabela_registros[MÊS],$AE$1,tabela_registros[DIA],reservavariáveisconsolidadoabr[[#Headers],[25]],tabela_registros[REGISTRO],DADOS!$N$6,tabela_registros[TIPO],DADOS!$AJ$4,tabela_registros[CATEGORIA],reservavariáveisconsolidadoabr[[#This Row],[ATUAL]])</f>
        <v>0</v>
      </c>
      <c r="AD196" s="119" t="n">
        <f aca="false">SUMIFS(tabela_registros[VALOR],tabela_registros[MÊS],$AE$1,tabela_registros[DIA],reservavariáveisconsolidadoabr[[#Headers],[26]],tabela_registros[REGISTRO],DADOS!$N$6,tabela_registros[TIPO],DADOS!$AJ$4,tabela_registros[CATEGORIA],reservavariáveisconsolidadoabr[[#This Row],[ATUAL]])</f>
        <v>0</v>
      </c>
      <c r="AE196" s="119" t="n">
        <f aca="false">SUMIFS(tabela_registros[VALOR],tabela_registros[MÊS],$AE$1,tabela_registros[DIA],reservavariáveisconsolidadoabr[[#Headers],[27]],tabela_registros[REGISTRO],DADOS!$N$6,tabela_registros[TIPO],DADOS!$AJ$4,tabela_registros[CATEGORIA],reservavariáveisconsolidadoabr[[#This Row],[ATUAL]])</f>
        <v>0</v>
      </c>
      <c r="AF196" s="119" t="n">
        <f aca="false">SUMIFS(tabela_registros[VALOR],tabela_registros[MÊS],$AE$1,tabela_registros[DIA],reservavariáveisconsolidadoabr[[#Headers],[28]],tabela_registros[REGISTRO],DADOS!$N$6,tabela_registros[TIPO],DADOS!$AJ$4,tabela_registros[CATEGORIA],reservavariáveisconsolidadoabr[[#This Row],[ATUAL]])</f>
        <v>0</v>
      </c>
      <c r="AG196" s="119" t="n">
        <f aca="false">SUMIFS(tabela_registros[VALOR],tabela_registros[MÊS],$AE$1,tabela_registros[DIA],reservavariáveisconsolidadoabr[[#Headers],[29]],tabela_registros[REGISTRO],DADOS!$N$6,tabela_registros[TIPO],DADOS!$AJ$4,tabela_registros[CATEGORIA],reservavariáveisconsolidadoabr[[#This Row],[ATUAL]])</f>
        <v>0</v>
      </c>
      <c r="AH196" s="119" t="n">
        <f aca="false">SUMIFS(tabela_registros[VALOR],tabela_registros[MÊS],$AE$1,tabela_registros[DIA],reservavariáveisconsolidadoabr[[#Headers],[30]],tabela_registros[REGISTRO],DADOS!$N$6,tabela_registros[TIPO],DADOS!$AJ$4,tabela_registros[CATEGORIA],reservavariáveisconsolidadoabr[[#This Row],[ATUAL]])</f>
        <v>0</v>
      </c>
      <c r="AI196" s="218" t="n">
        <f aca="false">SUMIFS(tabela_registros[VALOR],tabela_registros[MÊS],$AE$1,tabela_registros[DIA],reservavariáveisconsolidadoabr[[#Headers],[31]],tabela_registros[REGISTRO],DADOS!$N$6,tabela_registros[TIPO],DADOS!$AJ$4,tabela_registros[CATEGORIA],reservavariáveisconsolidadoabr[[#This Row],[ATUAL]])</f>
        <v>0</v>
      </c>
      <c r="AJ196" s="149" t="n">
        <f aca="false">SUM(reservavariáveisconsolidadoabr[[#This Row],[1]:[31]])</f>
        <v>0</v>
      </c>
      <c r="AK196" s="165"/>
    </row>
    <row r="197" s="122" customFormat="true" ht="21" hidden="false" customHeight="true" outlineLevel="0" collapsed="false">
      <c r="B197" s="152"/>
      <c r="C197" s="153" t="s">
        <v>2</v>
      </c>
      <c r="D197" s="166"/>
      <c r="E197" s="155" t="n">
        <f aca="false">SUM(E187:E196)</f>
        <v>0</v>
      </c>
      <c r="F197" s="156" t="n">
        <f aca="false">SUM(F187:F196)+reservavariáveisconsolidadoabr[[#This Row],[1]]</f>
        <v>0</v>
      </c>
      <c r="G197" s="156" t="n">
        <f aca="false">SUM(G187:G196)+reservavariáveisconsolidadoabr[[#This Row],[2]]</f>
        <v>0</v>
      </c>
      <c r="H197" s="156" t="n">
        <f aca="false">SUM(H187:H196)+reservavariáveisconsolidadoabr[[#This Row],[3]]</f>
        <v>0</v>
      </c>
      <c r="I197" s="156" t="n">
        <f aca="false">SUM(I187:I196)+reservavariáveisconsolidadoabr[[#This Row],[4]]</f>
        <v>0</v>
      </c>
      <c r="J197" s="156" t="n">
        <f aca="false">SUM(J187:J196)+reservavariáveisconsolidadoabr[[#This Row],[5]]</f>
        <v>0</v>
      </c>
      <c r="K197" s="156" t="n">
        <f aca="false">SUM(K187:K196)+reservavariáveisconsolidadoabr[[#This Row],[6]]</f>
        <v>0</v>
      </c>
      <c r="L197" s="156" t="n">
        <f aca="false">SUM(L187:L196)+reservavariáveisconsolidadoabr[[#This Row],[7]]</f>
        <v>0</v>
      </c>
      <c r="M197" s="156" t="n">
        <f aca="false">SUM(M187:M196)+reservavariáveisconsolidadoabr[[#This Row],[8]]</f>
        <v>0</v>
      </c>
      <c r="N197" s="156" t="n">
        <f aca="false">SUM(N187:N196)+reservavariáveisconsolidadoabr[[#This Row],[9]]</f>
        <v>0</v>
      </c>
      <c r="O197" s="156" t="n">
        <f aca="false">SUM(O187:O196)+reservavariáveisconsolidadoabr[[#This Row],[10]]</f>
        <v>0</v>
      </c>
      <c r="P197" s="156" t="n">
        <f aca="false">SUM(P187:P196)+reservavariáveisconsolidadoabr[[#This Row],[11]]</f>
        <v>0</v>
      </c>
      <c r="Q197" s="156" t="n">
        <f aca="false">SUM(Q187:Q196)+reservavariáveisconsolidadoabr[[#This Row],[12]]</f>
        <v>0</v>
      </c>
      <c r="R197" s="156" t="n">
        <f aca="false">SUM(R187:R196)+reservavariáveisconsolidadoabr[[#This Row],[13]]</f>
        <v>0</v>
      </c>
      <c r="S197" s="156" t="n">
        <f aca="false">SUM(S187:S196)+reservavariáveisconsolidadoabr[[#This Row],[14]]</f>
        <v>0</v>
      </c>
      <c r="T197" s="156" t="n">
        <f aca="false">SUM(T187:T196)+reservavariáveisconsolidadoabr[[#This Row],[15]]</f>
        <v>0</v>
      </c>
      <c r="U197" s="156" t="n">
        <f aca="false">SUM(U187:U196)+reservavariáveisconsolidadoabr[[#This Row],[16]]</f>
        <v>0</v>
      </c>
      <c r="V197" s="156" t="n">
        <f aca="false">SUM(V187:V196)+reservavariáveisconsolidadoabr[[#This Row],[17]]</f>
        <v>0</v>
      </c>
      <c r="W197" s="156" t="n">
        <f aca="false">SUM(W187:W196)+reservavariáveisconsolidadoabr[[#This Row],[18]]</f>
        <v>0</v>
      </c>
      <c r="X197" s="156" t="n">
        <f aca="false">SUM(X187:X196)+reservavariáveisconsolidadoabr[[#This Row],[19]]</f>
        <v>0</v>
      </c>
      <c r="Y197" s="156" t="n">
        <f aca="false">SUM(Y187:Y196)+reservavariáveisconsolidadoabr[[#This Row],[20]]</f>
        <v>0</v>
      </c>
      <c r="Z197" s="156" t="n">
        <f aca="false">SUM(Z187:Z196)+reservavariáveisconsolidadoabr[[#This Row],[21]]</f>
        <v>0</v>
      </c>
      <c r="AA197" s="156" t="n">
        <f aca="false">SUM(AA187:AA196)+reservavariáveisconsolidadoabr[[#This Row],[22]]</f>
        <v>0</v>
      </c>
      <c r="AB197" s="156" t="n">
        <f aca="false">SUM(AB187:AB196)+reservavariáveisconsolidadoabr[[#This Row],[23]]</f>
        <v>0</v>
      </c>
      <c r="AC197" s="156" t="n">
        <f aca="false">SUM(AC187:AC196)+reservavariáveisconsolidadoabr[[#This Row],[24]]</f>
        <v>0</v>
      </c>
      <c r="AD197" s="156" t="n">
        <f aca="false">SUM(AD187:AD196)+reservavariáveisconsolidadoabr[[#This Row],[25]]</f>
        <v>0</v>
      </c>
      <c r="AE197" s="156" t="n">
        <f aca="false">SUM(AE187:AE196)+reservavariáveisconsolidadoabr[[#This Row],[26]]</f>
        <v>0</v>
      </c>
      <c r="AF197" s="156" t="n">
        <f aca="false">SUM(AF187:AF196)+reservavariáveisconsolidadoabr[[#This Row],[27]]</f>
        <v>0</v>
      </c>
      <c r="AG197" s="156" t="n">
        <f aca="false">SUM(AG187:AG196)+reservavariáveisconsolidadoabr[[#This Row],[28]]</f>
        <v>0</v>
      </c>
      <c r="AH197" s="156" t="n">
        <f aca="false">SUM(AH187:AH196)+reservavariáveisconsolidadoabr[[#This Row],[29]]</f>
        <v>0</v>
      </c>
      <c r="AI197" s="223" t="n">
        <f aca="false">SUM(AI187:AI196)+reservavariáveisconsolidadoabr[[#This Row],[30]]</f>
        <v>0</v>
      </c>
      <c r="AJ197" s="157" t="n">
        <f aca="false">reservavariáveisconsolidadoabr[[#This Row],[31]]</f>
        <v>0</v>
      </c>
      <c r="AK197" s="158"/>
    </row>
    <row r="198" customFormat="false" ht="6.75" hidden="false" customHeight="true" outlineLevel="0" collapsed="false">
      <c r="B198" s="97"/>
      <c r="C198" s="162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233"/>
      <c r="AJ198" s="164"/>
      <c r="AK198" s="244"/>
    </row>
    <row r="199" s="78" customFormat="true" ht="12.75" hidden="false" customHeight="false" outlineLevel="0" collapsed="false">
      <c r="E199" s="100"/>
    </row>
    <row r="200" s="78" customFormat="true" ht="12" hidden="false" customHeight="false" outlineLevel="0" collapsed="false"/>
    <row r="201" s="78" customFormat="true" ht="12" hidden="false" customHeight="false" outlineLevel="0" collapsed="false"/>
    <row r="202" customFormat="false" ht="39.75" hidden="false" customHeight="true" outlineLevel="0" collapsed="false">
      <c r="C202" s="101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3" t="s">
        <v>2</v>
      </c>
    </row>
    <row r="203" s="78" customFormat="true" ht="12.75" hidden="false" customHeight="false" outlineLevel="0" collapsed="false">
      <c r="B203" s="161"/>
      <c r="AJ203" s="106" t="s">
        <v>64</v>
      </c>
    </row>
    <row r="204" customFormat="false" ht="6.75" hidden="false" customHeight="true" outlineLevel="0" collapsed="false">
      <c r="B204" s="86"/>
      <c r="C204" s="162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233"/>
      <c r="AK204" s="139"/>
    </row>
    <row r="205" customFormat="false" ht="13.5" hidden="true" customHeight="false" outlineLevel="0" collapsed="false">
      <c r="B205" s="86"/>
      <c r="C205" s="109" t="s">
        <v>68</v>
      </c>
      <c r="D205" s="110" t="s">
        <v>69</v>
      </c>
      <c r="E205" s="110" t="s">
        <v>30</v>
      </c>
      <c r="F205" s="110" t="s">
        <v>31</v>
      </c>
      <c r="G205" s="110" t="s">
        <v>32</v>
      </c>
      <c r="H205" s="110" t="s">
        <v>33</v>
      </c>
      <c r="I205" s="110" t="s">
        <v>34</v>
      </c>
      <c r="J205" s="110" t="s">
        <v>35</v>
      </c>
      <c r="K205" s="110" t="s">
        <v>36</v>
      </c>
      <c r="L205" s="110" t="s">
        <v>37</v>
      </c>
      <c r="M205" s="110" t="s">
        <v>38</v>
      </c>
      <c r="N205" s="110" t="s">
        <v>39</v>
      </c>
      <c r="O205" s="110" t="s">
        <v>40</v>
      </c>
      <c r="P205" s="110" t="s">
        <v>41</v>
      </c>
      <c r="Q205" s="110" t="s">
        <v>81</v>
      </c>
      <c r="R205" s="110" t="s">
        <v>82</v>
      </c>
      <c r="S205" s="110" t="s">
        <v>83</v>
      </c>
      <c r="T205" s="110" t="s">
        <v>84</v>
      </c>
      <c r="U205" s="110" t="s">
        <v>85</v>
      </c>
      <c r="V205" s="110" t="s">
        <v>86</v>
      </c>
      <c r="W205" s="110" t="s">
        <v>87</v>
      </c>
      <c r="X205" s="110" t="s">
        <v>88</v>
      </c>
      <c r="Y205" s="110" t="s">
        <v>89</v>
      </c>
      <c r="Z205" s="110" t="s">
        <v>90</v>
      </c>
      <c r="AA205" s="110" t="s">
        <v>91</v>
      </c>
      <c r="AB205" s="110" t="s">
        <v>92</v>
      </c>
      <c r="AC205" s="110" t="s">
        <v>93</v>
      </c>
      <c r="AD205" s="110" t="s">
        <v>94</v>
      </c>
      <c r="AE205" s="110" t="s">
        <v>95</v>
      </c>
      <c r="AF205" s="110" t="s">
        <v>96</v>
      </c>
      <c r="AG205" s="110" t="s">
        <v>97</v>
      </c>
      <c r="AH205" s="110" t="s">
        <v>98</v>
      </c>
      <c r="AI205" s="110" t="s">
        <v>99</v>
      </c>
      <c r="AJ205" s="111" t="s">
        <v>70</v>
      </c>
      <c r="AK205" s="86"/>
    </row>
    <row r="206" customFormat="false" ht="19.5" hidden="false" customHeight="true" outlineLevel="0" collapsed="false">
      <c r="B206" s="143"/>
      <c r="C206" s="144" t="str">
        <f aca="false">DADOS!$AP$3</f>
        <v>📝 COE</v>
      </c>
      <c r="D206" s="145" t="str">
        <f aca="false">IF(reservaoutrosconsolidadoabr[[#This Row],[TOTAL (R$)]]=0,"",IF(OR(reservaoutrosconsolidadoabr[[#This Row],[TOTAL (R$)]]=LARGE($AJ$206:$AJ$213,1),reservaoutrosconsolidadoabr[[#This Row],[TOTAL (R$)]]=LARGE($AJ$206:$AJ$213,2)),DADOS!$I$11,""))</f>
        <v/>
      </c>
      <c r="E206" s="148" t="n">
        <f aca="false">SUMIFS(tabela_registros[VALOR],tabela_registros[MÊS],$AE$1,tabela_registros[DIA],reservaoutrosconsolidadoabr[[#Headers],[1]],tabela_registros[REGISTRO],DADOS!$N$6,tabela_registros[TIPO],DADOS!$AJ$5,tabela_registros[CATEGORIA],reservaoutrosconsolidadoabr[[#This Row],[ATUAL]])</f>
        <v>0</v>
      </c>
      <c r="F206" s="119" t="n">
        <f aca="false">SUMIFS(tabela_registros[VALOR],tabela_registros[MÊS],$AE$1,tabela_registros[DIA],reservaoutrosconsolidadoabr[[#Headers],[2]],tabela_registros[REGISTRO],DADOS!$N$6,tabela_registros[TIPO],DADOS!$AJ$5,tabela_registros[CATEGORIA],reservaoutrosconsolidadoabr[[#This Row],[ATUAL]])</f>
        <v>0</v>
      </c>
      <c r="G206" s="119" t="n">
        <f aca="false">SUMIFS(tabela_registros[VALOR],tabela_registros[MÊS],$AE$1,tabela_registros[DIA],reservaoutrosconsolidadoabr[[#Headers],[3]],tabela_registros[REGISTRO],DADOS!$N$6,tabela_registros[TIPO],DADOS!$AJ$5,tabela_registros[CATEGORIA],reservaoutrosconsolidadoabr[[#This Row],[ATUAL]])</f>
        <v>0</v>
      </c>
      <c r="H206" s="119" t="n">
        <f aca="false">SUMIFS(tabela_registros[VALOR],tabela_registros[MÊS],$AE$1,tabela_registros[DIA],reservaoutrosconsolidadoabr[[#Headers],[4]],tabela_registros[REGISTRO],DADOS!$N$6,tabela_registros[TIPO],DADOS!$AJ$5,tabela_registros[CATEGORIA],reservaoutrosconsolidadoabr[[#This Row],[ATUAL]])</f>
        <v>0</v>
      </c>
      <c r="I206" s="119" t="n">
        <f aca="false">SUMIFS(tabela_registros[VALOR],tabela_registros[MÊS],$AE$1,tabela_registros[DIA],reservaoutrosconsolidadoabr[[#Headers],[5]],tabela_registros[REGISTRO],DADOS!$N$6,tabela_registros[TIPO],DADOS!$AJ$5,tabela_registros[CATEGORIA],reservaoutrosconsolidadoabr[[#This Row],[ATUAL]])</f>
        <v>0</v>
      </c>
      <c r="J206" s="119" t="n">
        <f aca="false">SUMIFS(tabela_registros[VALOR],tabela_registros[MÊS],$AE$1,tabela_registros[DIA],reservaoutrosconsolidadoabr[[#Headers],[6]],tabela_registros[REGISTRO],DADOS!$N$6,tabela_registros[TIPO],DADOS!$AJ$5,tabela_registros[CATEGORIA],reservaoutrosconsolidadoabr[[#This Row],[ATUAL]])</f>
        <v>0</v>
      </c>
      <c r="K206" s="119" t="n">
        <f aca="false">SUMIFS(tabela_registros[VALOR],tabela_registros[MÊS],$AE$1,tabela_registros[DIA],reservaoutrosconsolidadoabr[[#Headers],[7]],tabela_registros[REGISTRO],DADOS!$N$6,tabela_registros[TIPO],DADOS!$AJ$5,tabela_registros[CATEGORIA],reservaoutrosconsolidadoabr[[#This Row],[ATUAL]])</f>
        <v>0</v>
      </c>
      <c r="L206" s="119" t="n">
        <f aca="false">SUMIFS(tabela_registros[VALOR],tabela_registros[MÊS],$AE$1,tabela_registros[DIA],reservaoutrosconsolidadoabr[[#Headers],[8]],tabela_registros[REGISTRO],DADOS!$N$6,tabela_registros[TIPO],DADOS!$AJ$5,tabela_registros[CATEGORIA],reservaoutrosconsolidadoabr[[#This Row],[ATUAL]])</f>
        <v>0</v>
      </c>
      <c r="M206" s="119" t="n">
        <f aca="false">SUMIFS(tabela_registros[VALOR],tabela_registros[MÊS],$AE$1,tabela_registros[DIA],reservaoutrosconsolidadoabr[[#Headers],[9]],tabela_registros[REGISTRO],DADOS!$N$6,tabela_registros[TIPO],DADOS!$AJ$5,tabela_registros[CATEGORIA],reservaoutrosconsolidadoabr[[#This Row],[ATUAL]])</f>
        <v>0</v>
      </c>
      <c r="N206" s="119" t="n">
        <f aca="false">SUMIFS(tabela_registros[VALOR],tabela_registros[MÊS],$AE$1,tabela_registros[DIA],reservaoutrosconsolidadoabr[[#Headers],[10]],tabela_registros[REGISTRO],DADOS!$N$6,tabela_registros[TIPO],DADOS!$AJ$5,tabela_registros[CATEGORIA],reservaoutrosconsolidadoabr[[#This Row],[ATUAL]])</f>
        <v>0</v>
      </c>
      <c r="O206" s="119" t="n">
        <f aca="false">SUMIFS(tabela_registros[VALOR],tabela_registros[MÊS],$AE$1,tabela_registros[DIA],reservaoutrosconsolidadoabr[[#Headers],[11]],tabela_registros[REGISTRO],DADOS!$N$6,tabela_registros[TIPO],DADOS!$AJ$5,tabela_registros[CATEGORIA],reservaoutrosconsolidadoabr[[#This Row],[ATUAL]])</f>
        <v>0</v>
      </c>
      <c r="P206" s="119" t="n">
        <f aca="false">SUMIFS(tabela_registros[VALOR],tabela_registros[MÊS],$AE$1,tabela_registros[DIA],reservaoutrosconsolidadoabr[[#Headers],[12]],tabela_registros[REGISTRO],DADOS!$N$6,tabela_registros[TIPO],DADOS!$AJ$5,tabela_registros[CATEGORIA],reservaoutrosconsolidadoabr[[#This Row],[ATUAL]])</f>
        <v>0</v>
      </c>
      <c r="Q206" s="119" t="n">
        <f aca="false">SUMIFS(tabela_registros[VALOR],tabela_registros[MÊS],$AE$1,tabela_registros[DIA],reservaoutrosconsolidadoabr[[#Headers],[13]],tabela_registros[REGISTRO],DADOS!$N$6,tabela_registros[TIPO],DADOS!$AJ$5,tabela_registros[CATEGORIA],reservaoutrosconsolidadoabr[[#This Row],[ATUAL]])</f>
        <v>0</v>
      </c>
      <c r="R206" s="119" t="n">
        <f aca="false">SUMIFS(tabela_registros[VALOR],tabela_registros[MÊS],$AE$1,tabela_registros[DIA],reservaoutrosconsolidadoabr[[#Headers],[14]],tabela_registros[REGISTRO],DADOS!$N$6,tabela_registros[TIPO],DADOS!$AJ$5,tabela_registros[CATEGORIA],reservaoutrosconsolidadoabr[[#This Row],[ATUAL]])</f>
        <v>0</v>
      </c>
      <c r="S206" s="119" t="n">
        <f aca="false">SUMIFS(tabela_registros[VALOR],tabela_registros[MÊS],$AE$1,tabela_registros[DIA],reservaoutrosconsolidadoabr[[#Headers],[15]],tabela_registros[REGISTRO],DADOS!$N$6,tabela_registros[TIPO],DADOS!$AJ$5,tabela_registros[CATEGORIA],reservaoutrosconsolidadoabr[[#This Row],[ATUAL]])</f>
        <v>0</v>
      </c>
      <c r="T206" s="119" t="n">
        <f aca="false">SUMIFS(tabela_registros[VALOR],tabela_registros[MÊS],$AE$1,tabela_registros[DIA],reservaoutrosconsolidadoabr[[#Headers],[16]],tabela_registros[REGISTRO],DADOS!$N$6,tabela_registros[TIPO],DADOS!$AJ$5,tabela_registros[CATEGORIA],reservaoutrosconsolidadoabr[[#This Row],[ATUAL]])</f>
        <v>0</v>
      </c>
      <c r="U206" s="119" t="n">
        <f aca="false">SUMIFS(tabela_registros[VALOR],tabela_registros[MÊS],$AE$1,tabela_registros[DIA],reservaoutrosconsolidadoabr[[#Headers],[17]],tabela_registros[REGISTRO],DADOS!$N$6,tabela_registros[TIPO],DADOS!$AJ$5,tabela_registros[CATEGORIA],reservaoutrosconsolidadoabr[[#This Row],[ATUAL]])</f>
        <v>0</v>
      </c>
      <c r="V206" s="119" t="n">
        <f aca="false">SUMIFS(tabela_registros[VALOR],tabela_registros[MÊS],$AE$1,tabela_registros[DIA],reservaoutrosconsolidadoabr[[#Headers],[18]],tabela_registros[REGISTRO],DADOS!$N$6,tabela_registros[TIPO],DADOS!$AJ$5,tabela_registros[CATEGORIA],reservaoutrosconsolidadoabr[[#This Row],[ATUAL]])</f>
        <v>0</v>
      </c>
      <c r="W206" s="119" t="n">
        <f aca="false">SUMIFS(tabela_registros[VALOR],tabela_registros[MÊS],$AE$1,tabela_registros[DIA],reservaoutrosconsolidadoabr[[#Headers],[19]],tabela_registros[REGISTRO],DADOS!$N$6,tabela_registros[TIPO],DADOS!$AJ$5,tabela_registros[CATEGORIA],reservaoutrosconsolidadoabr[[#This Row],[ATUAL]])</f>
        <v>0</v>
      </c>
      <c r="X206" s="119" t="n">
        <f aca="false">SUMIFS(tabela_registros[VALOR],tabela_registros[MÊS],$AE$1,tabela_registros[DIA],reservaoutrosconsolidadoabr[[#Headers],[20]],tabela_registros[REGISTRO],DADOS!$N$6,tabela_registros[TIPO],DADOS!$AJ$5,tabela_registros[CATEGORIA],reservaoutrosconsolidadoabr[[#This Row],[ATUAL]])</f>
        <v>0</v>
      </c>
      <c r="Y206" s="119" t="n">
        <f aca="false">SUMIFS(tabela_registros[VALOR],tabela_registros[MÊS],$AE$1,tabela_registros[DIA],reservaoutrosconsolidadoabr[[#Headers],[21]],tabela_registros[REGISTRO],DADOS!$N$6,tabela_registros[TIPO],DADOS!$AJ$5,tabela_registros[CATEGORIA],reservaoutrosconsolidadoabr[[#This Row],[ATUAL]])</f>
        <v>0</v>
      </c>
      <c r="Z206" s="119" t="n">
        <f aca="false">SUMIFS(tabela_registros[VALOR],tabela_registros[MÊS],$AE$1,tabela_registros[DIA],reservaoutrosconsolidadoabr[[#Headers],[22]],tabela_registros[REGISTRO],DADOS!$N$6,tabela_registros[TIPO],DADOS!$AJ$5,tabela_registros[CATEGORIA],reservaoutrosconsolidadoabr[[#This Row],[ATUAL]])</f>
        <v>0</v>
      </c>
      <c r="AA206" s="119" t="n">
        <f aca="false">SUMIFS(tabela_registros[VALOR],tabela_registros[MÊS],$AE$1,tabela_registros[DIA],reservaoutrosconsolidadoabr[[#Headers],[23]],tabela_registros[REGISTRO],DADOS!$N$6,tabela_registros[TIPO],DADOS!$AJ$5,tabela_registros[CATEGORIA],reservaoutrosconsolidadoabr[[#This Row],[ATUAL]])</f>
        <v>0</v>
      </c>
      <c r="AB206" s="119" t="n">
        <f aca="false">SUMIFS(tabela_registros[VALOR],tabela_registros[MÊS],$AE$1,tabela_registros[DIA],reservaoutrosconsolidadoabr[[#Headers],[24]],tabela_registros[REGISTRO],DADOS!$N$6,tabela_registros[TIPO],DADOS!$AJ$5,tabela_registros[CATEGORIA],reservaoutrosconsolidadoabr[[#This Row],[ATUAL]])</f>
        <v>0</v>
      </c>
      <c r="AC206" s="119" t="n">
        <f aca="false">SUMIFS(tabela_registros[VALOR],tabela_registros[MÊS],$AE$1,tabela_registros[DIA],reservaoutrosconsolidadoabr[[#Headers],[25]],tabela_registros[REGISTRO],DADOS!$N$6,tabela_registros[TIPO],DADOS!$AJ$5,tabela_registros[CATEGORIA],reservaoutrosconsolidadoabr[[#This Row],[ATUAL]])</f>
        <v>0</v>
      </c>
      <c r="AD206" s="119" t="n">
        <f aca="false">SUMIFS(tabela_registros[VALOR],tabela_registros[MÊS],$AE$1,tabela_registros[DIA],reservaoutrosconsolidadoabr[[#Headers],[26]],tabela_registros[REGISTRO],DADOS!$N$6,tabela_registros[TIPO],DADOS!$AJ$5,tabela_registros[CATEGORIA],reservaoutrosconsolidadoabr[[#This Row],[ATUAL]])</f>
        <v>0</v>
      </c>
      <c r="AE206" s="119" t="n">
        <f aca="false">SUMIFS(tabela_registros[VALOR],tabela_registros[MÊS],$AE$1,tabela_registros[DIA],reservaoutrosconsolidadoabr[[#Headers],[27]],tabela_registros[REGISTRO],DADOS!$N$6,tabela_registros[TIPO],DADOS!$AJ$5,tabela_registros[CATEGORIA],reservaoutrosconsolidadoabr[[#This Row],[ATUAL]])</f>
        <v>0</v>
      </c>
      <c r="AF206" s="119" t="n">
        <f aca="false">SUMIFS(tabela_registros[VALOR],tabela_registros[MÊS],$AE$1,tabela_registros[DIA],reservaoutrosconsolidadoabr[[#Headers],[28]],tabela_registros[REGISTRO],DADOS!$N$6,tabela_registros[TIPO],DADOS!$AJ$5,tabela_registros[CATEGORIA],reservaoutrosconsolidadoabr[[#This Row],[ATUAL]])</f>
        <v>0</v>
      </c>
      <c r="AG206" s="119" t="n">
        <f aca="false">SUMIFS(tabela_registros[VALOR],tabela_registros[MÊS],$AE$1,tabela_registros[DIA],reservaoutrosconsolidadoabr[[#Headers],[29]],tabela_registros[REGISTRO],DADOS!$N$6,tabela_registros[TIPO],DADOS!$AJ$5,tabela_registros[CATEGORIA],reservaoutrosconsolidadoabr[[#This Row],[ATUAL]])</f>
        <v>0</v>
      </c>
      <c r="AH206" s="119" t="n">
        <f aca="false">SUMIFS(tabela_registros[VALOR],tabela_registros[MÊS],$AE$1,tabela_registros[DIA],reservaoutrosconsolidadoabr[[#Headers],[30]],tabela_registros[REGISTRO],DADOS!$N$6,tabela_registros[TIPO],DADOS!$AJ$5,tabela_registros[CATEGORIA],reservaoutrosconsolidadoabr[[#This Row],[ATUAL]])</f>
        <v>0</v>
      </c>
      <c r="AI206" s="217" t="n">
        <f aca="false">SUMIFS(tabela_registros[VALOR],tabela_registros[MÊS],$AE$1,tabela_registros[DIA],reservaoutrosconsolidadoabr[[#Headers],[31]],tabela_registros[REGISTRO],DADOS!$N$6,tabela_registros[TIPO],DADOS!$AJ$5,tabela_registros[CATEGORIA],reservaoutrosconsolidadoabr[[#This Row],[ATUAL]])</f>
        <v>0</v>
      </c>
      <c r="AJ206" s="149" t="n">
        <f aca="false">SUM(reservaoutrosconsolidadoabr[[#This Row],[1]:[31]])</f>
        <v>0</v>
      </c>
      <c r="AK206" s="165"/>
    </row>
    <row r="207" customFormat="false" ht="19.5" hidden="false" customHeight="true" outlineLevel="0" collapsed="false">
      <c r="B207" s="143"/>
      <c r="C207" s="144" t="str">
        <f aca="false">DADOS!$AP$4</f>
        <v>📝 FOREX</v>
      </c>
      <c r="D207" s="145" t="str">
        <f aca="false">IF(reservaoutrosconsolidadoabr[[#This Row],[TOTAL (R$)]]=0,"",IF(OR(reservaoutrosconsolidadoabr[[#This Row],[TOTAL (R$)]]=LARGE($AJ$206:$AJ$213,1),reservaoutrosconsolidadoabr[[#This Row],[TOTAL (R$)]]=LARGE($AJ$206:$AJ$213,2)),DADOS!$I$11,""))</f>
        <v/>
      </c>
      <c r="E207" s="148" t="n">
        <f aca="false">SUMIFS(tabela_registros[VALOR],tabela_registros[MÊS],$AE$1,tabela_registros[DIA],reservaoutrosconsolidadoabr[[#Headers],[1]],tabela_registros[REGISTRO],DADOS!$N$6,tabela_registros[TIPO],DADOS!$AJ$5,tabela_registros[CATEGORIA],reservaoutrosconsolidadoabr[[#This Row],[ATUAL]])</f>
        <v>0</v>
      </c>
      <c r="F207" s="119" t="n">
        <f aca="false">SUMIFS(tabela_registros[VALOR],tabela_registros[MÊS],$AE$1,tabela_registros[DIA],reservaoutrosconsolidadoabr[[#Headers],[2]],tabela_registros[REGISTRO],DADOS!$N$6,tabela_registros[TIPO],DADOS!$AJ$5,tabela_registros[CATEGORIA],reservaoutrosconsolidadoabr[[#This Row],[ATUAL]])</f>
        <v>0</v>
      </c>
      <c r="G207" s="119" t="n">
        <f aca="false">SUMIFS(tabela_registros[VALOR],tabela_registros[MÊS],$AE$1,tabela_registros[DIA],reservaoutrosconsolidadoabr[[#Headers],[3]],tabela_registros[REGISTRO],DADOS!$N$6,tabela_registros[TIPO],DADOS!$AJ$5,tabela_registros[CATEGORIA],reservaoutrosconsolidadoabr[[#This Row],[ATUAL]])</f>
        <v>0</v>
      </c>
      <c r="H207" s="119" t="n">
        <f aca="false">SUMIFS(tabela_registros[VALOR],tabela_registros[MÊS],$AE$1,tabela_registros[DIA],reservaoutrosconsolidadoabr[[#Headers],[4]],tabela_registros[REGISTRO],DADOS!$N$6,tabela_registros[TIPO],DADOS!$AJ$5,tabela_registros[CATEGORIA],reservaoutrosconsolidadoabr[[#This Row],[ATUAL]])</f>
        <v>0</v>
      </c>
      <c r="I207" s="119" t="n">
        <f aca="false">SUMIFS(tabela_registros[VALOR],tabela_registros[MÊS],$AE$1,tabela_registros[DIA],reservaoutrosconsolidadoabr[[#Headers],[5]],tabela_registros[REGISTRO],DADOS!$N$6,tabela_registros[TIPO],DADOS!$AJ$5,tabela_registros[CATEGORIA],reservaoutrosconsolidadoabr[[#This Row],[ATUAL]])</f>
        <v>0</v>
      </c>
      <c r="J207" s="119" t="n">
        <f aca="false">SUMIFS(tabela_registros[VALOR],tabela_registros[MÊS],$AE$1,tabela_registros[DIA],reservaoutrosconsolidadoabr[[#Headers],[6]],tabela_registros[REGISTRO],DADOS!$N$6,tabela_registros[TIPO],DADOS!$AJ$5,tabela_registros[CATEGORIA],reservaoutrosconsolidadoabr[[#This Row],[ATUAL]])</f>
        <v>0</v>
      </c>
      <c r="K207" s="119" t="n">
        <f aca="false">SUMIFS(tabela_registros[VALOR],tabela_registros[MÊS],$AE$1,tabela_registros[DIA],reservaoutrosconsolidadoabr[[#Headers],[7]],tabela_registros[REGISTRO],DADOS!$N$6,tabela_registros[TIPO],DADOS!$AJ$5,tabela_registros[CATEGORIA],reservaoutrosconsolidadoabr[[#This Row],[ATUAL]])</f>
        <v>0</v>
      </c>
      <c r="L207" s="119" t="n">
        <f aca="false">SUMIFS(tabela_registros[VALOR],tabela_registros[MÊS],$AE$1,tabela_registros[DIA],reservaoutrosconsolidadoabr[[#Headers],[8]],tabela_registros[REGISTRO],DADOS!$N$6,tabela_registros[TIPO],DADOS!$AJ$5,tabela_registros[CATEGORIA],reservaoutrosconsolidadoabr[[#This Row],[ATUAL]])</f>
        <v>0</v>
      </c>
      <c r="M207" s="119" t="n">
        <f aca="false">SUMIFS(tabela_registros[VALOR],tabela_registros[MÊS],$AE$1,tabela_registros[DIA],reservaoutrosconsolidadoabr[[#Headers],[9]],tabela_registros[REGISTRO],DADOS!$N$6,tabela_registros[TIPO],DADOS!$AJ$5,tabela_registros[CATEGORIA],reservaoutrosconsolidadoabr[[#This Row],[ATUAL]])</f>
        <v>0</v>
      </c>
      <c r="N207" s="119" t="n">
        <f aca="false">SUMIFS(tabela_registros[VALOR],tabela_registros[MÊS],$AE$1,tabela_registros[DIA],reservaoutrosconsolidadoabr[[#Headers],[10]],tabela_registros[REGISTRO],DADOS!$N$6,tabela_registros[TIPO],DADOS!$AJ$5,tabela_registros[CATEGORIA],reservaoutrosconsolidadoabr[[#This Row],[ATUAL]])</f>
        <v>0</v>
      </c>
      <c r="O207" s="119" t="n">
        <f aca="false">SUMIFS(tabela_registros[VALOR],tabela_registros[MÊS],$AE$1,tabela_registros[DIA],reservaoutrosconsolidadoabr[[#Headers],[11]],tabela_registros[REGISTRO],DADOS!$N$6,tabela_registros[TIPO],DADOS!$AJ$5,tabela_registros[CATEGORIA],reservaoutrosconsolidadoabr[[#This Row],[ATUAL]])</f>
        <v>0</v>
      </c>
      <c r="P207" s="119" t="n">
        <f aca="false">SUMIFS(tabela_registros[VALOR],tabela_registros[MÊS],$AE$1,tabela_registros[DIA],reservaoutrosconsolidadoabr[[#Headers],[12]],tabela_registros[REGISTRO],DADOS!$N$6,tabela_registros[TIPO],DADOS!$AJ$5,tabela_registros[CATEGORIA],reservaoutrosconsolidadoabr[[#This Row],[ATUAL]])</f>
        <v>0</v>
      </c>
      <c r="Q207" s="119" t="n">
        <f aca="false">SUMIFS(tabela_registros[VALOR],tabela_registros[MÊS],$AE$1,tabela_registros[DIA],reservaoutrosconsolidadoabr[[#Headers],[13]],tabela_registros[REGISTRO],DADOS!$N$6,tabela_registros[TIPO],DADOS!$AJ$5,tabela_registros[CATEGORIA],reservaoutrosconsolidadoabr[[#This Row],[ATUAL]])</f>
        <v>0</v>
      </c>
      <c r="R207" s="119" t="n">
        <f aca="false">SUMIFS(tabela_registros[VALOR],tabela_registros[MÊS],$AE$1,tabela_registros[DIA],reservaoutrosconsolidadoabr[[#Headers],[14]],tabela_registros[REGISTRO],DADOS!$N$6,tabela_registros[TIPO],DADOS!$AJ$5,tabela_registros[CATEGORIA],reservaoutrosconsolidadoabr[[#This Row],[ATUAL]])</f>
        <v>0</v>
      </c>
      <c r="S207" s="119" t="n">
        <f aca="false">SUMIFS(tabela_registros[VALOR],tabela_registros[MÊS],$AE$1,tabela_registros[DIA],reservaoutrosconsolidadoabr[[#Headers],[15]],tabela_registros[REGISTRO],DADOS!$N$6,tabela_registros[TIPO],DADOS!$AJ$5,tabela_registros[CATEGORIA],reservaoutrosconsolidadoabr[[#This Row],[ATUAL]])</f>
        <v>0</v>
      </c>
      <c r="T207" s="119" t="n">
        <f aca="false">SUMIFS(tabela_registros[VALOR],tabela_registros[MÊS],$AE$1,tabela_registros[DIA],reservaoutrosconsolidadoabr[[#Headers],[16]],tabela_registros[REGISTRO],DADOS!$N$6,tabela_registros[TIPO],DADOS!$AJ$5,tabela_registros[CATEGORIA],reservaoutrosconsolidadoabr[[#This Row],[ATUAL]])</f>
        <v>0</v>
      </c>
      <c r="U207" s="119" t="n">
        <f aca="false">SUMIFS(tabela_registros[VALOR],tabela_registros[MÊS],$AE$1,tabela_registros[DIA],reservaoutrosconsolidadoabr[[#Headers],[17]],tabela_registros[REGISTRO],DADOS!$N$6,tabela_registros[TIPO],DADOS!$AJ$5,tabela_registros[CATEGORIA],reservaoutrosconsolidadoabr[[#This Row],[ATUAL]])</f>
        <v>0</v>
      </c>
      <c r="V207" s="119" t="n">
        <f aca="false">SUMIFS(tabela_registros[VALOR],tabela_registros[MÊS],$AE$1,tabela_registros[DIA],reservaoutrosconsolidadoabr[[#Headers],[18]],tabela_registros[REGISTRO],DADOS!$N$6,tabela_registros[TIPO],DADOS!$AJ$5,tabela_registros[CATEGORIA],reservaoutrosconsolidadoabr[[#This Row],[ATUAL]])</f>
        <v>0</v>
      </c>
      <c r="W207" s="119" t="n">
        <f aca="false">SUMIFS(tabela_registros[VALOR],tabela_registros[MÊS],$AE$1,tabela_registros[DIA],reservaoutrosconsolidadoabr[[#Headers],[19]],tabela_registros[REGISTRO],DADOS!$N$6,tabela_registros[TIPO],DADOS!$AJ$5,tabela_registros[CATEGORIA],reservaoutrosconsolidadoabr[[#This Row],[ATUAL]])</f>
        <v>0</v>
      </c>
      <c r="X207" s="119" t="n">
        <f aca="false">SUMIFS(tabela_registros[VALOR],tabela_registros[MÊS],$AE$1,tabela_registros[DIA],reservaoutrosconsolidadoabr[[#Headers],[20]],tabela_registros[REGISTRO],DADOS!$N$6,tabela_registros[TIPO],DADOS!$AJ$5,tabela_registros[CATEGORIA],reservaoutrosconsolidadoabr[[#This Row],[ATUAL]])</f>
        <v>0</v>
      </c>
      <c r="Y207" s="119" t="n">
        <f aca="false">SUMIFS(tabela_registros[VALOR],tabela_registros[MÊS],$AE$1,tabela_registros[DIA],reservaoutrosconsolidadoabr[[#Headers],[21]],tabela_registros[REGISTRO],DADOS!$N$6,tabela_registros[TIPO],DADOS!$AJ$5,tabela_registros[CATEGORIA],reservaoutrosconsolidadoabr[[#This Row],[ATUAL]])</f>
        <v>0</v>
      </c>
      <c r="Z207" s="119" t="n">
        <f aca="false">SUMIFS(tabela_registros[VALOR],tabela_registros[MÊS],$AE$1,tabela_registros[DIA],reservaoutrosconsolidadoabr[[#Headers],[22]],tabela_registros[REGISTRO],DADOS!$N$6,tabela_registros[TIPO],DADOS!$AJ$5,tabela_registros[CATEGORIA],reservaoutrosconsolidadoabr[[#This Row],[ATUAL]])</f>
        <v>0</v>
      </c>
      <c r="AA207" s="119" t="n">
        <f aca="false">SUMIFS(tabela_registros[VALOR],tabela_registros[MÊS],$AE$1,tabela_registros[DIA],reservaoutrosconsolidadoabr[[#Headers],[23]],tabela_registros[REGISTRO],DADOS!$N$6,tabela_registros[TIPO],DADOS!$AJ$5,tabela_registros[CATEGORIA],reservaoutrosconsolidadoabr[[#This Row],[ATUAL]])</f>
        <v>0</v>
      </c>
      <c r="AB207" s="119" t="n">
        <f aca="false">SUMIFS(tabela_registros[VALOR],tabela_registros[MÊS],$AE$1,tabela_registros[DIA],reservaoutrosconsolidadoabr[[#Headers],[24]],tabela_registros[REGISTRO],DADOS!$N$6,tabela_registros[TIPO],DADOS!$AJ$5,tabela_registros[CATEGORIA],reservaoutrosconsolidadoabr[[#This Row],[ATUAL]])</f>
        <v>0</v>
      </c>
      <c r="AC207" s="119" t="n">
        <f aca="false">SUMIFS(tabela_registros[VALOR],tabela_registros[MÊS],$AE$1,tabela_registros[DIA],reservaoutrosconsolidadoabr[[#Headers],[25]],tabela_registros[REGISTRO],DADOS!$N$6,tabela_registros[TIPO],DADOS!$AJ$5,tabela_registros[CATEGORIA],reservaoutrosconsolidadoabr[[#This Row],[ATUAL]])</f>
        <v>0</v>
      </c>
      <c r="AD207" s="119" t="n">
        <f aca="false">SUMIFS(tabela_registros[VALOR],tabela_registros[MÊS],$AE$1,tabela_registros[DIA],reservaoutrosconsolidadoabr[[#Headers],[26]],tabela_registros[REGISTRO],DADOS!$N$6,tabela_registros[TIPO],DADOS!$AJ$5,tabela_registros[CATEGORIA],reservaoutrosconsolidadoabr[[#This Row],[ATUAL]])</f>
        <v>0</v>
      </c>
      <c r="AE207" s="119" t="n">
        <f aca="false">SUMIFS(tabela_registros[VALOR],tabela_registros[MÊS],$AE$1,tabela_registros[DIA],reservaoutrosconsolidadoabr[[#Headers],[27]],tabela_registros[REGISTRO],DADOS!$N$6,tabela_registros[TIPO],DADOS!$AJ$5,tabela_registros[CATEGORIA],reservaoutrosconsolidadoabr[[#This Row],[ATUAL]])</f>
        <v>0</v>
      </c>
      <c r="AF207" s="119" t="n">
        <f aca="false">SUMIFS(tabela_registros[VALOR],tabela_registros[MÊS],$AE$1,tabela_registros[DIA],reservaoutrosconsolidadoabr[[#Headers],[28]],tabela_registros[REGISTRO],DADOS!$N$6,tabela_registros[TIPO],DADOS!$AJ$5,tabela_registros[CATEGORIA],reservaoutrosconsolidadoabr[[#This Row],[ATUAL]])</f>
        <v>0</v>
      </c>
      <c r="AG207" s="119" t="n">
        <f aca="false">SUMIFS(tabela_registros[VALOR],tabela_registros[MÊS],$AE$1,tabela_registros[DIA],reservaoutrosconsolidadoabr[[#Headers],[29]],tabela_registros[REGISTRO],DADOS!$N$6,tabela_registros[TIPO],DADOS!$AJ$5,tabela_registros[CATEGORIA],reservaoutrosconsolidadoabr[[#This Row],[ATUAL]])</f>
        <v>0</v>
      </c>
      <c r="AH207" s="119" t="n">
        <f aca="false">SUMIFS(tabela_registros[VALOR],tabela_registros[MÊS],$AE$1,tabela_registros[DIA],reservaoutrosconsolidadoabr[[#Headers],[30]],tabela_registros[REGISTRO],DADOS!$N$6,tabela_registros[TIPO],DADOS!$AJ$5,tabela_registros[CATEGORIA],reservaoutrosconsolidadoabr[[#This Row],[ATUAL]])</f>
        <v>0</v>
      </c>
      <c r="AI207" s="217" t="n">
        <f aca="false">SUMIFS(tabela_registros[VALOR],tabela_registros[MÊS],$AE$1,tabela_registros[DIA],reservaoutrosconsolidadoabr[[#Headers],[31]],tabela_registros[REGISTRO],DADOS!$N$6,tabela_registros[TIPO],DADOS!$AJ$5,tabela_registros[CATEGORIA],reservaoutrosconsolidadoabr[[#This Row],[ATUAL]])</f>
        <v>0</v>
      </c>
      <c r="AJ207" s="149" t="n">
        <f aca="false">SUM(reservaoutrosconsolidadoabr[[#This Row],[1]:[31]])</f>
        <v>0</v>
      </c>
      <c r="AK207" s="165"/>
    </row>
    <row r="208" customFormat="false" ht="19.5" hidden="false" customHeight="true" outlineLevel="0" collapsed="false">
      <c r="B208" s="143"/>
      <c r="C208" s="144" t="str">
        <f aca="false">DADOS!$AP$5</f>
        <v>📝 FUNDO DE INVESTIMENTO</v>
      </c>
      <c r="D208" s="145" t="str">
        <f aca="false">IF(reservaoutrosconsolidadoabr[[#This Row],[TOTAL (R$)]]=0,"",IF(OR(reservaoutrosconsolidadoabr[[#This Row],[TOTAL (R$)]]=LARGE($AJ$206:$AJ$213,1),reservaoutrosconsolidadoabr[[#This Row],[TOTAL (R$)]]=LARGE($AJ$206:$AJ$213,2)),DADOS!$I$11,""))</f>
        <v/>
      </c>
      <c r="E208" s="148" t="n">
        <f aca="false">SUMIFS(tabela_registros[VALOR],tabela_registros[MÊS],$AE$1,tabela_registros[DIA],reservaoutrosconsolidadoabr[[#Headers],[1]],tabela_registros[REGISTRO],DADOS!$N$6,tabela_registros[TIPO],DADOS!$AJ$5,tabela_registros[CATEGORIA],reservaoutrosconsolidadoabr[[#This Row],[ATUAL]])</f>
        <v>0</v>
      </c>
      <c r="F208" s="119" t="n">
        <f aca="false">SUMIFS(tabela_registros[VALOR],tabela_registros[MÊS],$AE$1,tabela_registros[DIA],reservaoutrosconsolidadoabr[[#Headers],[2]],tabela_registros[REGISTRO],DADOS!$N$6,tabela_registros[TIPO],DADOS!$AJ$5,tabela_registros[CATEGORIA],reservaoutrosconsolidadoabr[[#This Row],[ATUAL]])</f>
        <v>0</v>
      </c>
      <c r="G208" s="119" t="n">
        <f aca="false">SUMIFS(tabela_registros[VALOR],tabela_registros[MÊS],$AE$1,tabela_registros[DIA],reservaoutrosconsolidadoabr[[#Headers],[3]],tabela_registros[REGISTRO],DADOS!$N$6,tabela_registros[TIPO],DADOS!$AJ$5,tabela_registros[CATEGORIA],reservaoutrosconsolidadoabr[[#This Row],[ATUAL]])</f>
        <v>0</v>
      </c>
      <c r="H208" s="119" t="n">
        <f aca="false">SUMIFS(tabela_registros[VALOR],tabela_registros[MÊS],$AE$1,tabela_registros[DIA],reservaoutrosconsolidadoabr[[#Headers],[4]],tabela_registros[REGISTRO],DADOS!$N$6,tabela_registros[TIPO],DADOS!$AJ$5,tabela_registros[CATEGORIA],reservaoutrosconsolidadoabr[[#This Row],[ATUAL]])</f>
        <v>0</v>
      </c>
      <c r="I208" s="119" t="n">
        <f aca="false">SUMIFS(tabela_registros[VALOR],tabela_registros[MÊS],$AE$1,tabela_registros[DIA],reservaoutrosconsolidadoabr[[#Headers],[5]],tabela_registros[REGISTRO],DADOS!$N$6,tabela_registros[TIPO],DADOS!$AJ$5,tabela_registros[CATEGORIA],reservaoutrosconsolidadoabr[[#This Row],[ATUAL]])</f>
        <v>0</v>
      </c>
      <c r="J208" s="119" t="n">
        <f aca="false">SUMIFS(tabela_registros[VALOR],tabela_registros[MÊS],$AE$1,tabela_registros[DIA],reservaoutrosconsolidadoabr[[#Headers],[6]],tabela_registros[REGISTRO],DADOS!$N$6,tabela_registros[TIPO],DADOS!$AJ$5,tabela_registros[CATEGORIA],reservaoutrosconsolidadoabr[[#This Row],[ATUAL]])</f>
        <v>0</v>
      </c>
      <c r="K208" s="119" t="n">
        <f aca="false">SUMIFS(tabela_registros[VALOR],tabela_registros[MÊS],$AE$1,tabela_registros[DIA],reservaoutrosconsolidadoabr[[#Headers],[7]],tabela_registros[REGISTRO],DADOS!$N$6,tabela_registros[TIPO],DADOS!$AJ$5,tabela_registros[CATEGORIA],reservaoutrosconsolidadoabr[[#This Row],[ATUAL]])</f>
        <v>0</v>
      </c>
      <c r="L208" s="119" t="n">
        <f aca="false">SUMIFS(tabela_registros[VALOR],tabela_registros[MÊS],$AE$1,tabela_registros[DIA],reservaoutrosconsolidadoabr[[#Headers],[8]],tabela_registros[REGISTRO],DADOS!$N$6,tabela_registros[TIPO],DADOS!$AJ$5,tabela_registros[CATEGORIA],reservaoutrosconsolidadoabr[[#This Row],[ATUAL]])</f>
        <v>0</v>
      </c>
      <c r="M208" s="119" t="n">
        <f aca="false">SUMIFS(tabela_registros[VALOR],tabela_registros[MÊS],$AE$1,tabela_registros[DIA],reservaoutrosconsolidadoabr[[#Headers],[9]],tabela_registros[REGISTRO],DADOS!$N$6,tabela_registros[TIPO],DADOS!$AJ$5,tabela_registros[CATEGORIA],reservaoutrosconsolidadoabr[[#This Row],[ATUAL]])</f>
        <v>0</v>
      </c>
      <c r="N208" s="119" t="n">
        <f aca="false">SUMIFS(tabela_registros[VALOR],tabela_registros[MÊS],$AE$1,tabela_registros[DIA],reservaoutrosconsolidadoabr[[#Headers],[10]],tabela_registros[REGISTRO],DADOS!$N$6,tabela_registros[TIPO],DADOS!$AJ$5,tabela_registros[CATEGORIA],reservaoutrosconsolidadoabr[[#This Row],[ATUAL]])</f>
        <v>0</v>
      </c>
      <c r="O208" s="119" t="n">
        <f aca="false">SUMIFS(tabela_registros[VALOR],tabela_registros[MÊS],$AE$1,tabela_registros[DIA],reservaoutrosconsolidadoabr[[#Headers],[11]],tabela_registros[REGISTRO],DADOS!$N$6,tabela_registros[TIPO],DADOS!$AJ$5,tabela_registros[CATEGORIA],reservaoutrosconsolidadoabr[[#This Row],[ATUAL]])</f>
        <v>0</v>
      </c>
      <c r="P208" s="119" t="n">
        <f aca="false">SUMIFS(tabela_registros[VALOR],tabela_registros[MÊS],$AE$1,tabela_registros[DIA],reservaoutrosconsolidadoabr[[#Headers],[12]],tabela_registros[REGISTRO],DADOS!$N$6,tabela_registros[TIPO],DADOS!$AJ$5,tabela_registros[CATEGORIA],reservaoutrosconsolidadoabr[[#This Row],[ATUAL]])</f>
        <v>0</v>
      </c>
      <c r="Q208" s="119" t="n">
        <f aca="false">SUMIFS(tabela_registros[VALOR],tabela_registros[MÊS],$AE$1,tabela_registros[DIA],reservaoutrosconsolidadoabr[[#Headers],[13]],tabela_registros[REGISTRO],DADOS!$N$6,tabela_registros[TIPO],DADOS!$AJ$5,tabela_registros[CATEGORIA],reservaoutrosconsolidadoabr[[#This Row],[ATUAL]])</f>
        <v>0</v>
      </c>
      <c r="R208" s="119" t="n">
        <f aca="false">SUMIFS(tabela_registros[VALOR],tabela_registros[MÊS],$AE$1,tabela_registros[DIA],reservaoutrosconsolidadoabr[[#Headers],[14]],tabela_registros[REGISTRO],DADOS!$N$6,tabela_registros[TIPO],DADOS!$AJ$5,tabela_registros[CATEGORIA],reservaoutrosconsolidadoabr[[#This Row],[ATUAL]])</f>
        <v>0</v>
      </c>
      <c r="S208" s="119" t="n">
        <f aca="false">SUMIFS(tabela_registros[VALOR],tabela_registros[MÊS],$AE$1,tabela_registros[DIA],reservaoutrosconsolidadoabr[[#Headers],[15]],tabela_registros[REGISTRO],DADOS!$N$6,tabela_registros[TIPO],DADOS!$AJ$5,tabela_registros[CATEGORIA],reservaoutrosconsolidadoabr[[#This Row],[ATUAL]])</f>
        <v>0</v>
      </c>
      <c r="T208" s="119" t="n">
        <f aca="false">SUMIFS(tabela_registros[VALOR],tabela_registros[MÊS],$AE$1,tabela_registros[DIA],reservaoutrosconsolidadoabr[[#Headers],[16]],tabela_registros[REGISTRO],DADOS!$N$6,tabela_registros[TIPO],DADOS!$AJ$5,tabela_registros[CATEGORIA],reservaoutrosconsolidadoabr[[#This Row],[ATUAL]])</f>
        <v>0</v>
      </c>
      <c r="U208" s="119" t="n">
        <f aca="false">SUMIFS(tabela_registros[VALOR],tabela_registros[MÊS],$AE$1,tabela_registros[DIA],reservaoutrosconsolidadoabr[[#Headers],[17]],tabela_registros[REGISTRO],DADOS!$N$6,tabela_registros[TIPO],DADOS!$AJ$5,tabela_registros[CATEGORIA],reservaoutrosconsolidadoabr[[#This Row],[ATUAL]])</f>
        <v>0</v>
      </c>
      <c r="V208" s="119" t="n">
        <f aca="false">SUMIFS(tabela_registros[VALOR],tabela_registros[MÊS],$AE$1,tabela_registros[DIA],reservaoutrosconsolidadoabr[[#Headers],[18]],tabela_registros[REGISTRO],DADOS!$N$6,tabela_registros[TIPO],DADOS!$AJ$5,tabela_registros[CATEGORIA],reservaoutrosconsolidadoabr[[#This Row],[ATUAL]])</f>
        <v>0</v>
      </c>
      <c r="W208" s="119" t="n">
        <f aca="false">SUMIFS(tabela_registros[VALOR],tabela_registros[MÊS],$AE$1,tabela_registros[DIA],reservaoutrosconsolidadoabr[[#Headers],[19]],tabela_registros[REGISTRO],DADOS!$N$6,tabela_registros[TIPO],DADOS!$AJ$5,tabela_registros[CATEGORIA],reservaoutrosconsolidadoabr[[#This Row],[ATUAL]])</f>
        <v>0</v>
      </c>
      <c r="X208" s="119" t="n">
        <f aca="false">SUMIFS(tabela_registros[VALOR],tabela_registros[MÊS],$AE$1,tabela_registros[DIA],reservaoutrosconsolidadoabr[[#Headers],[20]],tabela_registros[REGISTRO],DADOS!$N$6,tabela_registros[TIPO],DADOS!$AJ$5,tabela_registros[CATEGORIA],reservaoutrosconsolidadoabr[[#This Row],[ATUAL]])</f>
        <v>0</v>
      </c>
      <c r="Y208" s="119" t="n">
        <f aca="false">SUMIFS(tabela_registros[VALOR],tabela_registros[MÊS],$AE$1,tabela_registros[DIA],reservaoutrosconsolidadoabr[[#Headers],[21]],tabela_registros[REGISTRO],DADOS!$N$6,tabela_registros[TIPO],DADOS!$AJ$5,tabela_registros[CATEGORIA],reservaoutrosconsolidadoabr[[#This Row],[ATUAL]])</f>
        <v>0</v>
      </c>
      <c r="Z208" s="119" t="n">
        <f aca="false">SUMIFS(tabela_registros[VALOR],tabela_registros[MÊS],$AE$1,tabela_registros[DIA],reservaoutrosconsolidadoabr[[#Headers],[22]],tabela_registros[REGISTRO],DADOS!$N$6,tabela_registros[TIPO],DADOS!$AJ$5,tabela_registros[CATEGORIA],reservaoutrosconsolidadoabr[[#This Row],[ATUAL]])</f>
        <v>0</v>
      </c>
      <c r="AA208" s="119" t="n">
        <f aca="false">SUMIFS(tabela_registros[VALOR],tabela_registros[MÊS],$AE$1,tabela_registros[DIA],reservaoutrosconsolidadoabr[[#Headers],[23]],tabela_registros[REGISTRO],DADOS!$N$6,tabela_registros[TIPO],DADOS!$AJ$5,tabela_registros[CATEGORIA],reservaoutrosconsolidadoabr[[#This Row],[ATUAL]])</f>
        <v>0</v>
      </c>
      <c r="AB208" s="119" t="n">
        <f aca="false">SUMIFS(tabela_registros[VALOR],tabela_registros[MÊS],$AE$1,tabela_registros[DIA],reservaoutrosconsolidadoabr[[#Headers],[24]],tabela_registros[REGISTRO],DADOS!$N$6,tabela_registros[TIPO],DADOS!$AJ$5,tabela_registros[CATEGORIA],reservaoutrosconsolidadoabr[[#This Row],[ATUAL]])</f>
        <v>0</v>
      </c>
      <c r="AC208" s="119" t="n">
        <f aca="false">SUMIFS(tabela_registros[VALOR],tabela_registros[MÊS],$AE$1,tabela_registros[DIA],reservaoutrosconsolidadoabr[[#Headers],[25]],tabela_registros[REGISTRO],DADOS!$N$6,tabela_registros[TIPO],DADOS!$AJ$5,tabela_registros[CATEGORIA],reservaoutrosconsolidadoabr[[#This Row],[ATUAL]])</f>
        <v>0</v>
      </c>
      <c r="AD208" s="119" t="n">
        <f aca="false">SUMIFS(tabela_registros[VALOR],tabela_registros[MÊS],$AE$1,tabela_registros[DIA],reservaoutrosconsolidadoabr[[#Headers],[26]],tabela_registros[REGISTRO],DADOS!$N$6,tabela_registros[TIPO],DADOS!$AJ$5,tabela_registros[CATEGORIA],reservaoutrosconsolidadoabr[[#This Row],[ATUAL]])</f>
        <v>0</v>
      </c>
      <c r="AE208" s="119" t="n">
        <f aca="false">SUMIFS(tabela_registros[VALOR],tabela_registros[MÊS],$AE$1,tabela_registros[DIA],reservaoutrosconsolidadoabr[[#Headers],[27]],tabela_registros[REGISTRO],DADOS!$N$6,tabela_registros[TIPO],DADOS!$AJ$5,tabela_registros[CATEGORIA],reservaoutrosconsolidadoabr[[#This Row],[ATUAL]])</f>
        <v>0</v>
      </c>
      <c r="AF208" s="119" t="n">
        <f aca="false">SUMIFS(tabela_registros[VALOR],tabela_registros[MÊS],$AE$1,tabela_registros[DIA],reservaoutrosconsolidadoabr[[#Headers],[28]],tabela_registros[REGISTRO],DADOS!$N$6,tabela_registros[TIPO],DADOS!$AJ$5,tabela_registros[CATEGORIA],reservaoutrosconsolidadoabr[[#This Row],[ATUAL]])</f>
        <v>0</v>
      </c>
      <c r="AG208" s="119" t="n">
        <f aca="false">SUMIFS(tabela_registros[VALOR],tabela_registros[MÊS],$AE$1,tabela_registros[DIA],reservaoutrosconsolidadoabr[[#Headers],[29]],tabela_registros[REGISTRO],DADOS!$N$6,tabela_registros[TIPO],DADOS!$AJ$5,tabela_registros[CATEGORIA],reservaoutrosconsolidadoabr[[#This Row],[ATUAL]])</f>
        <v>0</v>
      </c>
      <c r="AH208" s="119" t="n">
        <f aca="false">SUMIFS(tabela_registros[VALOR],tabela_registros[MÊS],$AE$1,tabela_registros[DIA],reservaoutrosconsolidadoabr[[#Headers],[30]],tabela_registros[REGISTRO],DADOS!$N$6,tabela_registros[TIPO],DADOS!$AJ$5,tabela_registros[CATEGORIA],reservaoutrosconsolidadoabr[[#This Row],[ATUAL]])</f>
        <v>0</v>
      </c>
      <c r="AI208" s="217" t="n">
        <f aca="false">SUMIFS(tabela_registros[VALOR],tabela_registros[MÊS],$AE$1,tabela_registros[DIA],reservaoutrosconsolidadoabr[[#Headers],[31]],tabela_registros[REGISTRO],DADOS!$N$6,tabela_registros[TIPO],DADOS!$AJ$5,tabela_registros[CATEGORIA],reservaoutrosconsolidadoabr[[#This Row],[ATUAL]])</f>
        <v>0</v>
      </c>
      <c r="AJ208" s="149" t="n">
        <f aca="false">SUM(reservaoutrosconsolidadoabr[[#This Row],[1]:[31]])</f>
        <v>0</v>
      </c>
      <c r="AK208" s="165"/>
    </row>
    <row r="209" customFormat="false" ht="19.5" hidden="false" customHeight="true" outlineLevel="0" collapsed="false">
      <c r="B209" s="143"/>
      <c r="C209" s="144" t="str">
        <f aca="false">DADOS!$AP$6</f>
        <v>📝 NOVA EMPRESA</v>
      </c>
      <c r="D209" s="145" t="str">
        <f aca="false">IF(reservaoutrosconsolidadoabr[[#This Row],[TOTAL (R$)]]=0,"",IF(OR(reservaoutrosconsolidadoabr[[#This Row],[TOTAL (R$)]]=LARGE($AJ$206:$AJ$213,1),reservaoutrosconsolidadoabr[[#This Row],[TOTAL (R$)]]=LARGE($AJ$206:$AJ$213,2)),DADOS!$I$11,""))</f>
        <v/>
      </c>
      <c r="E209" s="148" t="n">
        <f aca="false">SUMIFS(tabela_registros[VALOR],tabela_registros[MÊS],$AE$1,tabela_registros[DIA],reservaoutrosconsolidadoabr[[#Headers],[1]],tabela_registros[REGISTRO],DADOS!$N$6,tabela_registros[TIPO],DADOS!$AJ$5,tabela_registros[CATEGORIA],reservaoutrosconsolidadoabr[[#This Row],[ATUAL]])</f>
        <v>0</v>
      </c>
      <c r="F209" s="119" t="n">
        <f aca="false">SUMIFS(tabela_registros[VALOR],tabela_registros[MÊS],$AE$1,tabela_registros[DIA],reservaoutrosconsolidadoabr[[#Headers],[2]],tabela_registros[REGISTRO],DADOS!$N$6,tabela_registros[TIPO],DADOS!$AJ$5,tabela_registros[CATEGORIA],reservaoutrosconsolidadoabr[[#This Row],[ATUAL]])</f>
        <v>0</v>
      </c>
      <c r="G209" s="119" t="n">
        <f aca="false">SUMIFS(tabela_registros[VALOR],tabela_registros[MÊS],$AE$1,tabela_registros[DIA],reservaoutrosconsolidadoabr[[#Headers],[3]],tabela_registros[REGISTRO],DADOS!$N$6,tabela_registros[TIPO],DADOS!$AJ$5,tabela_registros[CATEGORIA],reservaoutrosconsolidadoabr[[#This Row],[ATUAL]])</f>
        <v>0</v>
      </c>
      <c r="H209" s="119" t="n">
        <f aca="false">SUMIFS(tabela_registros[VALOR],tabela_registros[MÊS],$AE$1,tabela_registros[DIA],reservaoutrosconsolidadoabr[[#Headers],[4]],tabela_registros[REGISTRO],DADOS!$N$6,tabela_registros[TIPO],DADOS!$AJ$5,tabela_registros[CATEGORIA],reservaoutrosconsolidadoabr[[#This Row],[ATUAL]])</f>
        <v>0</v>
      </c>
      <c r="I209" s="119" t="n">
        <f aca="false">SUMIFS(tabela_registros[VALOR],tabela_registros[MÊS],$AE$1,tabela_registros[DIA],reservaoutrosconsolidadoabr[[#Headers],[5]],tabela_registros[REGISTRO],DADOS!$N$6,tabela_registros[TIPO],DADOS!$AJ$5,tabela_registros[CATEGORIA],reservaoutrosconsolidadoabr[[#This Row],[ATUAL]])</f>
        <v>0</v>
      </c>
      <c r="J209" s="119" t="n">
        <f aca="false">SUMIFS(tabela_registros[VALOR],tabela_registros[MÊS],$AE$1,tabela_registros[DIA],reservaoutrosconsolidadoabr[[#Headers],[6]],tabela_registros[REGISTRO],DADOS!$N$6,tabela_registros[TIPO],DADOS!$AJ$5,tabela_registros[CATEGORIA],reservaoutrosconsolidadoabr[[#This Row],[ATUAL]])</f>
        <v>0</v>
      </c>
      <c r="K209" s="119" t="n">
        <f aca="false">SUMIFS(tabela_registros[VALOR],tabela_registros[MÊS],$AE$1,tabela_registros[DIA],reservaoutrosconsolidadoabr[[#Headers],[7]],tabela_registros[REGISTRO],DADOS!$N$6,tabela_registros[TIPO],DADOS!$AJ$5,tabela_registros[CATEGORIA],reservaoutrosconsolidadoabr[[#This Row],[ATUAL]])</f>
        <v>0</v>
      </c>
      <c r="L209" s="119" t="n">
        <f aca="false">SUMIFS(tabela_registros[VALOR],tabela_registros[MÊS],$AE$1,tabela_registros[DIA],reservaoutrosconsolidadoabr[[#Headers],[8]],tabela_registros[REGISTRO],DADOS!$N$6,tabela_registros[TIPO],DADOS!$AJ$5,tabela_registros[CATEGORIA],reservaoutrosconsolidadoabr[[#This Row],[ATUAL]])</f>
        <v>0</v>
      </c>
      <c r="M209" s="119" t="n">
        <f aca="false">SUMIFS(tabela_registros[VALOR],tabela_registros[MÊS],$AE$1,tabela_registros[DIA],reservaoutrosconsolidadoabr[[#Headers],[9]],tabela_registros[REGISTRO],DADOS!$N$6,tabela_registros[TIPO],DADOS!$AJ$5,tabela_registros[CATEGORIA],reservaoutrosconsolidadoabr[[#This Row],[ATUAL]])</f>
        <v>0</v>
      </c>
      <c r="N209" s="119" t="n">
        <f aca="false">SUMIFS(tabela_registros[VALOR],tabela_registros[MÊS],$AE$1,tabela_registros[DIA],reservaoutrosconsolidadoabr[[#Headers],[10]],tabela_registros[REGISTRO],DADOS!$N$6,tabela_registros[TIPO],DADOS!$AJ$5,tabela_registros[CATEGORIA],reservaoutrosconsolidadoabr[[#This Row],[ATUAL]])</f>
        <v>0</v>
      </c>
      <c r="O209" s="119" t="n">
        <f aca="false">SUMIFS(tabela_registros[VALOR],tabela_registros[MÊS],$AE$1,tabela_registros[DIA],reservaoutrosconsolidadoabr[[#Headers],[11]],tabela_registros[REGISTRO],DADOS!$N$6,tabela_registros[TIPO],DADOS!$AJ$5,tabela_registros[CATEGORIA],reservaoutrosconsolidadoabr[[#This Row],[ATUAL]])</f>
        <v>0</v>
      </c>
      <c r="P209" s="119" t="n">
        <f aca="false">SUMIFS(tabela_registros[VALOR],tabela_registros[MÊS],$AE$1,tabela_registros[DIA],reservaoutrosconsolidadoabr[[#Headers],[12]],tabela_registros[REGISTRO],DADOS!$N$6,tabela_registros[TIPO],DADOS!$AJ$5,tabela_registros[CATEGORIA],reservaoutrosconsolidadoabr[[#This Row],[ATUAL]])</f>
        <v>0</v>
      </c>
      <c r="Q209" s="119" t="n">
        <f aca="false">SUMIFS(tabela_registros[VALOR],tabela_registros[MÊS],$AE$1,tabela_registros[DIA],reservaoutrosconsolidadoabr[[#Headers],[13]],tabela_registros[REGISTRO],DADOS!$N$6,tabela_registros[TIPO],DADOS!$AJ$5,tabela_registros[CATEGORIA],reservaoutrosconsolidadoabr[[#This Row],[ATUAL]])</f>
        <v>0</v>
      </c>
      <c r="R209" s="119" t="n">
        <f aca="false">SUMIFS(tabela_registros[VALOR],tabela_registros[MÊS],$AE$1,tabela_registros[DIA],reservaoutrosconsolidadoabr[[#Headers],[14]],tabela_registros[REGISTRO],DADOS!$N$6,tabela_registros[TIPO],DADOS!$AJ$5,tabela_registros[CATEGORIA],reservaoutrosconsolidadoabr[[#This Row],[ATUAL]])</f>
        <v>0</v>
      </c>
      <c r="S209" s="119" t="n">
        <f aca="false">SUMIFS(tabela_registros[VALOR],tabela_registros[MÊS],$AE$1,tabela_registros[DIA],reservaoutrosconsolidadoabr[[#Headers],[15]],tabela_registros[REGISTRO],DADOS!$N$6,tabela_registros[TIPO],DADOS!$AJ$5,tabela_registros[CATEGORIA],reservaoutrosconsolidadoabr[[#This Row],[ATUAL]])</f>
        <v>0</v>
      </c>
      <c r="T209" s="119" t="n">
        <f aca="false">SUMIFS(tabela_registros[VALOR],tabela_registros[MÊS],$AE$1,tabela_registros[DIA],reservaoutrosconsolidadoabr[[#Headers],[16]],tabela_registros[REGISTRO],DADOS!$N$6,tabela_registros[TIPO],DADOS!$AJ$5,tabela_registros[CATEGORIA],reservaoutrosconsolidadoabr[[#This Row],[ATUAL]])</f>
        <v>0</v>
      </c>
      <c r="U209" s="119" t="n">
        <f aca="false">SUMIFS(tabela_registros[VALOR],tabela_registros[MÊS],$AE$1,tabela_registros[DIA],reservaoutrosconsolidadoabr[[#Headers],[17]],tabela_registros[REGISTRO],DADOS!$N$6,tabela_registros[TIPO],DADOS!$AJ$5,tabela_registros[CATEGORIA],reservaoutrosconsolidadoabr[[#This Row],[ATUAL]])</f>
        <v>0</v>
      </c>
      <c r="V209" s="119" t="n">
        <f aca="false">SUMIFS(tabela_registros[VALOR],tabela_registros[MÊS],$AE$1,tabela_registros[DIA],reservaoutrosconsolidadoabr[[#Headers],[18]],tabela_registros[REGISTRO],DADOS!$N$6,tabela_registros[TIPO],DADOS!$AJ$5,tabela_registros[CATEGORIA],reservaoutrosconsolidadoabr[[#This Row],[ATUAL]])</f>
        <v>0</v>
      </c>
      <c r="W209" s="119" t="n">
        <f aca="false">SUMIFS(tabela_registros[VALOR],tabela_registros[MÊS],$AE$1,tabela_registros[DIA],reservaoutrosconsolidadoabr[[#Headers],[19]],tabela_registros[REGISTRO],DADOS!$N$6,tabela_registros[TIPO],DADOS!$AJ$5,tabela_registros[CATEGORIA],reservaoutrosconsolidadoabr[[#This Row],[ATUAL]])</f>
        <v>0</v>
      </c>
      <c r="X209" s="119" t="n">
        <f aca="false">SUMIFS(tabela_registros[VALOR],tabela_registros[MÊS],$AE$1,tabela_registros[DIA],reservaoutrosconsolidadoabr[[#Headers],[20]],tabela_registros[REGISTRO],DADOS!$N$6,tabela_registros[TIPO],DADOS!$AJ$5,tabela_registros[CATEGORIA],reservaoutrosconsolidadoabr[[#This Row],[ATUAL]])</f>
        <v>0</v>
      </c>
      <c r="Y209" s="119" t="n">
        <f aca="false">SUMIFS(tabela_registros[VALOR],tabela_registros[MÊS],$AE$1,tabela_registros[DIA],reservaoutrosconsolidadoabr[[#Headers],[21]],tabela_registros[REGISTRO],DADOS!$N$6,tabela_registros[TIPO],DADOS!$AJ$5,tabela_registros[CATEGORIA],reservaoutrosconsolidadoabr[[#This Row],[ATUAL]])</f>
        <v>0</v>
      </c>
      <c r="Z209" s="119" t="n">
        <f aca="false">SUMIFS(tabela_registros[VALOR],tabela_registros[MÊS],$AE$1,tabela_registros[DIA],reservaoutrosconsolidadoabr[[#Headers],[22]],tabela_registros[REGISTRO],DADOS!$N$6,tabela_registros[TIPO],DADOS!$AJ$5,tabela_registros[CATEGORIA],reservaoutrosconsolidadoabr[[#This Row],[ATUAL]])</f>
        <v>0</v>
      </c>
      <c r="AA209" s="119" t="n">
        <f aca="false">SUMIFS(tabela_registros[VALOR],tabela_registros[MÊS],$AE$1,tabela_registros[DIA],reservaoutrosconsolidadoabr[[#Headers],[23]],tabela_registros[REGISTRO],DADOS!$N$6,tabela_registros[TIPO],DADOS!$AJ$5,tabela_registros[CATEGORIA],reservaoutrosconsolidadoabr[[#This Row],[ATUAL]])</f>
        <v>0</v>
      </c>
      <c r="AB209" s="119" t="n">
        <f aca="false">SUMIFS(tabela_registros[VALOR],tabela_registros[MÊS],$AE$1,tabela_registros[DIA],reservaoutrosconsolidadoabr[[#Headers],[24]],tabela_registros[REGISTRO],DADOS!$N$6,tabela_registros[TIPO],DADOS!$AJ$5,tabela_registros[CATEGORIA],reservaoutrosconsolidadoabr[[#This Row],[ATUAL]])</f>
        <v>0</v>
      </c>
      <c r="AC209" s="119" t="n">
        <f aca="false">SUMIFS(tabela_registros[VALOR],tabela_registros[MÊS],$AE$1,tabela_registros[DIA],reservaoutrosconsolidadoabr[[#Headers],[25]],tabela_registros[REGISTRO],DADOS!$N$6,tabela_registros[TIPO],DADOS!$AJ$5,tabela_registros[CATEGORIA],reservaoutrosconsolidadoabr[[#This Row],[ATUAL]])</f>
        <v>0</v>
      </c>
      <c r="AD209" s="119" t="n">
        <f aca="false">SUMIFS(tabela_registros[VALOR],tabela_registros[MÊS],$AE$1,tabela_registros[DIA],reservaoutrosconsolidadoabr[[#Headers],[26]],tabela_registros[REGISTRO],DADOS!$N$6,tabela_registros[TIPO],DADOS!$AJ$5,tabela_registros[CATEGORIA],reservaoutrosconsolidadoabr[[#This Row],[ATUAL]])</f>
        <v>0</v>
      </c>
      <c r="AE209" s="119" t="n">
        <f aca="false">SUMIFS(tabela_registros[VALOR],tabela_registros[MÊS],$AE$1,tabela_registros[DIA],reservaoutrosconsolidadoabr[[#Headers],[27]],tabela_registros[REGISTRO],DADOS!$N$6,tabela_registros[TIPO],DADOS!$AJ$5,tabela_registros[CATEGORIA],reservaoutrosconsolidadoabr[[#This Row],[ATUAL]])</f>
        <v>0</v>
      </c>
      <c r="AF209" s="119" t="n">
        <f aca="false">SUMIFS(tabela_registros[VALOR],tabela_registros[MÊS],$AE$1,tabela_registros[DIA],reservaoutrosconsolidadoabr[[#Headers],[28]],tabela_registros[REGISTRO],DADOS!$N$6,tabela_registros[TIPO],DADOS!$AJ$5,tabela_registros[CATEGORIA],reservaoutrosconsolidadoabr[[#This Row],[ATUAL]])</f>
        <v>0</v>
      </c>
      <c r="AG209" s="119" t="n">
        <f aca="false">SUMIFS(tabela_registros[VALOR],tabela_registros[MÊS],$AE$1,tabela_registros[DIA],reservaoutrosconsolidadoabr[[#Headers],[29]],tabela_registros[REGISTRO],DADOS!$N$6,tabela_registros[TIPO],DADOS!$AJ$5,tabela_registros[CATEGORIA],reservaoutrosconsolidadoabr[[#This Row],[ATUAL]])</f>
        <v>0</v>
      </c>
      <c r="AH209" s="119" t="n">
        <f aca="false">SUMIFS(tabela_registros[VALOR],tabela_registros[MÊS],$AE$1,tabela_registros[DIA],reservaoutrosconsolidadoabr[[#Headers],[30]],tabela_registros[REGISTRO],DADOS!$N$6,tabela_registros[TIPO],DADOS!$AJ$5,tabela_registros[CATEGORIA],reservaoutrosconsolidadoabr[[#This Row],[ATUAL]])</f>
        <v>0</v>
      </c>
      <c r="AI209" s="217" t="n">
        <f aca="false">SUMIFS(tabela_registros[VALOR],tabela_registros[MÊS],$AE$1,tabela_registros[DIA],reservaoutrosconsolidadoabr[[#Headers],[31]],tabela_registros[REGISTRO],DADOS!$N$6,tabela_registros[TIPO],DADOS!$AJ$5,tabela_registros[CATEGORIA],reservaoutrosconsolidadoabr[[#This Row],[ATUAL]])</f>
        <v>0</v>
      </c>
      <c r="AJ209" s="149" t="n">
        <f aca="false">SUM(reservaoutrosconsolidadoabr[[#This Row],[1]:[31]])</f>
        <v>0</v>
      </c>
      <c r="AK209" s="165"/>
    </row>
    <row r="210" customFormat="false" ht="19.5" hidden="false" customHeight="true" outlineLevel="0" collapsed="false">
      <c r="B210" s="143"/>
      <c r="C210" s="144" t="str">
        <f aca="false">DADOS!$AP$7</f>
        <v>📝 PEER TO COMPANY</v>
      </c>
      <c r="D210" s="145" t="str">
        <f aca="false">IF(reservaoutrosconsolidadoabr[[#This Row],[TOTAL (R$)]]=0,"",IF(OR(reservaoutrosconsolidadoabr[[#This Row],[TOTAL (R$)]]=LARGE($AJ$206:$AJ$213,1),reservaoutrosconsolidadoabr[[#This Row],[TOTAL (R$)]]=LARGE($AJ$206:$AJ$213,2)),DADOS!$I$11,""))</f>
        <v/>
      </c>
      <c r="E210" s="148" t="n">
        <f aca="false">SUMIFS(tabela_registros[VALOR],tabela_registros[MÊS],$AE$1,tabela_registros[DIA],reservaoutrosconsolidadoabr[[#Headers],[1]],tabela_registros[REGISTRO],DADOS!$N$6,tabela_registros[TIPO],DADOS!$AJ$5,tabela_registros[CATEGORIA],reservaoutrosconsolidadoabr[[#This Row],[ATUAL]])</f>
        <v>0</v>
      </c>
      <c r="F210" s="119" t="n">
        <f aca="false">SUMIFS(tabela_registros[VALOR],tabela_registros[MÊS],$AE$1,tabela_registros[DIA],reservaoutrosconsolidadoabr[[#Headers],[2]],tabela_registros[REGISTRO],DADOS!$N$6,tabela_registros[TIPO],DADOS!$AJ$5,tabela_registros[CATEGORIA],reservaoutrosconsolidadoabr[[#This Row],[ATUAL]])</f>
        <v>0</v>
      </c>
      <c r="G210" s="119" t="n">
        <f aca="false">SUMIFS(tabela_registros[VALOR],tabela_registros[MÊS],$AE$1,tabela_registros[DIA],reservaoutrosconsolidadoabr[[#Headers],[3]],tabela_registros[REGISTRO],DADOS!$N$6,tabela_registros[TIPO],DADOS!$AJ$5,tabela_registros[CATEGORIA],reservaoutrosconsolidadoabr[[#This Row],[ATUAL]])</f>
        <v>0</v>
      </c>
      <c r="H210" s="119" t="n">
        <f aca="false">SUMIFS(tabela_registros[VALOR],tabela_registros[MÊS],$AE$1,tabela_registros[DIA],reservaoutrosconsolidadoabr[[#Headers],[4]],tabela_registros[REGISTRO],DADOS!$N$6,tabela_registros[TIPO],DADOS!$AJ$5,tabela_registros[CATEGORIA],reservaoutrosconsolidadoabr[[#This Row],[ATUAL]])</f>
        <v>0</v>
      </c>
      <c r="I210" s="119" t="n">
        <f aca="false">SUMIFS(tabela_registros[VALOR],tabela_registros[MÊS],$AE$1,tabela_registros[DIA],reservaoutrosconsolidadoabr[[#Headers],[5]],tabela_registros[REGISTRO],DADOS!$N$6,tabela_registros[TIPO],DADOS!$AJ$5,tabela_registros[CATEGORIA],reservaoutrosconsolidadoabr[[#This Row],[ATUAL]])</f>
        <v>0</v>
      </c>
      <c r="J210" s="119" t="n">
        <f aca="false">SUMIFS(tabela_registros[VALOR],tabela_registros[MÊS],$AE$1,tabela_registros[DIA],reservaoutrosconsolidadoabr[[#Headers],[6]],tabela_registros[REGISTRO],DADOS!$N$6,tabela_registros[TIPO],DADOS!$AJ$5,tabela_registros[CATEGORIA],reservaoutrosconsolidadoabr[[#This Row],[ATUAL]])</f>
        <v>0</v>
      </c>
      <c r="K210" s="119" t="n">
        <f aca="false">SUMIFS(tabela_registros[VALOR],tabela_registros[MÊS],$AE$1,tabela_registros[DIA],reservaoutrosconsolidadoabr[[#Headers],[7]],tabela_registros[REGISTRO],DADOS!$N$6,tabela_registros[TIPO],DADOS!$AJ$5,tabela_registros[CATEGORIA],reservaoutrosconsolidadoabr[[#This Row],[ATUAL]])</f>
        <v>0</v>
      </c>
      <c r="L210" s="119" t="n">
        <f aca="false">SUMIFS(tabela_registros[VALOR],tabela_registros[MÊS],$AE$1,tabela_registros[DIA],reservaoutrosconsolidadoabr[[#Headers],[8]],tabela_registros[REGISTRO],DADOS!$N$6,tabela_registros[TIPO],DADOS!$AJ$5,tabela_registros[CATEGORIA],reservaoutrosconsolidadoabr[[#This Row],[ATUAL]])</f>
        <v>0</v>
      </c>
      <c r="M210" s="119" t="n">
        <f aca="false">SUMIFS(tabela_registros[VALOR],tabela_registros[MÊS],$AE$1,tabela_registros[DIA],reservaoutrosconsolidadoabr[[#Headers],[9]],tabela_registros[REGISTRO],DADOS!$N$6,tabela_registros[TIPO],DADOS!$AJ$5,tabela_registros[CATEGORIA],reservaoutrosconsolidadoabr[[#This Row],[ATUAL]])</f>
        <v>0</v>
      </c>
      <c r="N210" s="119" t="n">
        <f aca="false">SUMIFS(tabela_registros[VALOR],tabela_registros[MÊS],$AE$1,tabela_registros[DIA],reservaoutrosconsolidadoabr[[#Headers],[10]],tabela_registros[REGISTRO],DADOS!$N$6,tabela_registros[TIPO],DADOS!$AJ$5,tabela_registros[CATEGORIA],reservaoutrosconsolidadoabr[[#This Row],[ATUAL]])</f>
        <v>0</v>
      </c>
      <c r="O210" s="119" t="n">
        <f aca="false">SUMIFS(tabela_registros[VALOR],tabela_registros[MÊS],$AE$1,tabela_registros[DIA],reservaoutrosconsolidadoabr[[#Headers],[11]],tabela_registros[REGISTRO],DADOS!$N$6,tabela_registros[TIPO],DADOS!$AJ$5,tabela_registros[CATEGORIA],reservaoutrosconsolidadoabr[[#This Row],[ATUAL]])</f>
        <v>0</v>
      </c>
      <c r="P210" s="119" t="n">
        <f aca="false">SUMIFS(tabela_registros[VALOR],tabela_registros[MÊS],$AE$1,tabela_registros[DIA],reservaoutrosconsolidadoabr[[#Headers],[12]],tabela_registros[REGISTRO],DADOS!$N$6,tabela_registros[TIPO],DADOS!$AJ$5,tabela_registros[CATEGORIA],reservaoutrosconsolidadoabr[[#This Row],[ATUAL]])</f>
        <v>0</v>
      </c>
      <c r="Q210" s="119" t="n">
        <f aca="false">SUMIFS(tabela_registros[VALOR],tabela_registros[MÊS],$AE$1,tabela_registros[DIA],reservaoutrosconsolidadoabr[[#Headers],[13]],tabela_registros[REGISTRO],DADOS!$N$6,tabela_registros[TIPO],DADOS!$AJ$5,tabela_registros[CATEGORIA],reservaoutrosconsolidadoabr[[#This Row],[ATUAL]])</f>
        <v>0</v>
      </c>
      <c r="R210" s="119" t="n">
        <f aca="false">SUMIFS(tabela_registros[VALOR],tabela_registros[MÊS],$AE$1,tabela_registros[DIA],reservaoutrosconsolidadoabr[[#Headers],[14]],tabela_registros[REGISTRO],DADOS!$N$6,tabela_registros[TIPO],DADOS!$AJ$5,tabela_registros[CATEGORIA],reservaoutrosconsolidadoabr[[#This Row],[ATUAL]])</f>
        <v>0</v>
      </c>
      <c r="S210" s="119" t="n">
        <f aca="false">SUMIFS(tabela_registros[VALOR],tabela_registros[MÊS],$AE$1,tabela_registros[DIA],reservaoutrosconsolidadoabr[[#Headers],[15]],tabela_registros[REGISTRO],DADOS!$N$6,tabela_registros[TIPO],DADOS!$AJ$5,tabela_registros[CATEGORIA],reservaoutrosconsolidadoabr[[#This Row],[ATUAL]])</f>
        <v>0</v>
      </c>
      <c r="T210" s="119" t="n">
        <f aca="false">SUMIFS(tabela_registros[VALOR],tabela_registros[MÊS],$AE$1,tabela_registros[DIA],reservaoutrosconsolidadoabr[[#Headers],[16]],tabela_registros[REGISTRO],DADOS!$N$6,tabela_registros[TIPO],DADOS!$AJ$5,tabela_registros[CATEGORIA],reservaoutrosconsolidadoabr[[#This Row],[ATUAL]])</f>
        <v>0</v>
      </c>
      <c r="U210" s="119" t="n">
        <f aca="false">SUMIFS(tabela_registros[VALOR],tabela_registros[MÊS],$AE$1,tabela_registros[DIA],reservaoutrosconsolidadoabr[[#Headers],[17]],tabela_registros[REGISTRO],DADOS!$N$6,tabela_registros[TIPO],DADOS!$AJ$5,tabela_registros[CATEGORIA],reservaoutrosconsolidadoabr[[#This Row],[ATUAL]])</f>
        <v>0</v>
      </c>
      <c r="V210" s="119" t="n">
        <f aca="false">SUMIFS(tabela_registros[VALOR],tabela_registros[MÊS],$AE$1,tabela_registros[DIA],reservaoutrosconsolidadoabr[[#Headers],[18]],tabela_registros[REGISTRO],DADOS!$N$6,tabela_registros[TIPO],DADOS!$AJ$5,tabela_registros[CATEGORIA],reservaoutrosconsolidadoabr[[#This Row],[ATUAL]])</f>
        <v>0</v>
      </c>
      <c r="W210" s="119" t="n">
        <f aca="false">SUMIFS(tabela_registros[VALOR],tabela_registros[MÊS],$AE$1,tabela_registros[DIA],reservaoutrosconsolidadoabr[[#Headers],[19]],tabela_registros[REGISTRO],DADOS!$N$6,tabela_registros[TIPO],DADOS!$AJ$5,tabela_registros[CATEGORIA],reservaoutrosconsolidadoabr[[#This Row],[ATUAL]])</f>
        <v>0</v>
      </c>
      <c r="X210" s="119" t="n">
        <f aca="false">SUMIFS(tabela_registros[VALOR],tabela_registros[MÊS],$AE$1,tabela_registros[DIA],reservaoutrosconsolidadoabr[[#Headers],[20]],tabela_registros[REGISTRO],DADOS!$N$6,tabela_registros[TIPO],DADOS!$AJ$5,tabela_registros[CATEGORIA],reservaoutrosconsolidadoabr[[#This Row],[ATUAL]])</f>
        <v>0</v>
      </c>
      <c r="Y210" s="119" t="n">
        <f aca="false">SUMIFS(tabela_registros[VALOR],tabela_registros[MÊS],$AE$1,tabela_registros[DIA],reservaoutrosconsolidadoabr[[#Headers],[21]],tabela_registros[REGISTRO],DADOS!$N$6,tabela_registros[TIPO],DADOS!$AJ$5,tabela_registros[CATEGORIA],reservaoutrosconsolidadoabr[[#This Row],[ATUAL]])</f>
        <v>0</v>
      </c>
      <c r="Z210" s="119" t="n">
        <f aca="false">SUMIFS(tabela_registros[VALOR],tabela_registros[MÊS],$AE$1,tabela_registros[DIA],reservaoutrosconsolidadoabr[[#Headers],[22]],tabela_registros[REGISTRO],DADOS!$N$6,tabela_registros[TIPO],DADOS!$AJ$5,tabela_registros[CATEGORIA],reservaoutrosconsolidadoabr[[#This Row],[ATUAL]])</f>
        <v>0</v>
      </c>
      <c r="AA210" s="119" t="n">
        <f aca="false">SUMIFS(tabela_registros[VALOR],tabela_registros[MÊS],$AE$1,tabela_registros[DIA],reservaoutrosconsolidadoabr[[#Headers],[23]],tabela_registros[REGISTRO],DADOS!$N$6,tabela_registros[TIPO],DADOS!$AJ$5,tabela_registros[CATEGORIA],reservaoutrosconsolidadoabr[[#This Row],[ATUAL]])</f>
        <v>0</v>
      </c>
      <c r="AB210" s="119" t="n">
        <f aca="false">SUMIFS(tabela_registros[VALOR],tabela_registros[MÊS],$AE$1,tabela_registros[DIA],reservaoutrosconsolidadoabr[[#Headers],[24]],tabela_registros[REGISTRO],DADOS!$N$6,tabela_registros[TIPO],DADOS!$AJ$5,tabela_registros[CATEGORIA],reservaoutrosconsolidadoabr[[#This Row],[ATUAL]])</f>
        <v>0</v>
      </c>
      <c r="AC210" s="119" t="n">
        <f aca="false">SUMIFS(tabela_registros[VALOR],tabela_registros[MÊS],$AE$1,tabela_registros[DIA],reservaoutrosconsolidadoabr[[#Headers],[25]],tabela_registros[REGISTRO],DADOS!$N$6,tabela_registros[TIPO],DADOS!$AJ$5,tabela_registros[CATEGORIA],reservaoutrosconsolidadoabr[[#This Row],[ATUAL]])</f>
        <v>0</v>
      </c>
      <c r="AD210" s="119" t="n">
        <f aca="false">SUMIFS(tabela_registros[VALOR],tabela_registros[MÊS],$AE$1,tabela_registros[DIA],reservaoutrosconsolidadoabr[[#Headers],[26]],tabela_registros[REGISTRO],DADOS!$N$6,tabela_registros[TIPO],DADOS!$AJ$5,tabela_registros[CATEGORIA],reservaoutrosconsolidadoabr[[#This Row],[ATUAL]])</f>
        <v>0</v>
      </c>
      <c r="AE210" s="119" t="n">
        <f aca="false">SUMIFS(tabela_registros[VALOR],tabela_registros[MÊS],$AE$1,tabela_registros[DIA],reservaoutrosconsolidadoabr[[#Headers],[27]],tabela_registros[REGISTRO],DADOS!$N$6,tabela_registros[TIPO],DADOS!$AJ$5,tabela_registros[CATEGORIA],reservaoutrosconsolidadoabr[[#This Row],[ATUAL]])</f>
        <v>0</v>
      </c>
      <c r="AF210" s="119" t="n">
        <f aca="false">SUMIFS(tabela_registros[VALOR],tabela_registros[MÊS],$AE$1,tabela_registros[DIA],reservaoutrosconsolidadoabr[[#Headers],[28]],tabela_registros[REGISTRO],DADOS!$N$6,tabela_registros[TIPO],DADOS!$AJ$5,tabela_registros[CATEGORIA],reservaoutrosconsolidadoabr[[#This Row],[ATUAL]])</f>
        <v>0</v>
      </c>
      <c r="AG210" s="119" t="n">
        <f aca="false">SUMIFS(tabela_registros[VALOR],tabela_registros[MÊS],$AE$1,tabela_registros[DIA],reservaoutrosconsolidadoabr[[#Headers],[29]],tabela_registros[REGISTRO],DADOS!$N$6,tabela_registros[TIPO],DADOS!$AJ$5,tabela_registros[CATEGORIA],reservaoutrosconsolidadoabr[[#This Row],[ATUAL]])</f>
        <v>0</v>
      </c>
      <c r="AH210" s="119" t="n">
        <f aca="false">SUMIFS(tabela_registros[VALOR],tabela_registros[MÊS],$AE$1,tabela_registros[DIA],reservaoutrosconsolidadoabr[[#Headers],[30]],tabela_registros[REGISTRO],DADOS!$N$6,tabela_registros[TIPO],DADOS!$AJ$5,tabela_registros[CATEGORIA],reservaoutrosconsolidadoabr[[#This Row],[ATUAL]])</f>
        <v>0</v>
      </c>
      <c r="AI210" s="217" t="n">
        <f aca="false">SUMIFS(tabela_registros[VALOR],tabela_registros[MÊS],$AE$1,tabela_registros[DIA],reservaoutrosconsolidadoabr[[#Headers],[31]],tabela_registros[REGISTRO],DADOS!$N$6,tabela_registros[TIPO],DADOS!$AJ$5,tabela_registros[CATEGORIA],reservaoutrosconsolidadoabr[[#This Row],[ATUAL]])</f>
        <v>0</v>
      </c>
      <c r="AJ210" s="149" t="n">
        <f aca="false">SUM(reservaoutrosconsolidadoabr[[#This Row],[1]:[31]])</f>
        <v>0</v>
      </c>
      <c r="AK210" s="165"/>
    </row>
    <row r="211" customFormat="false" ht="19.5" hidden="false" customHeight="true" outlineLevel="0" collapsed="false">
      <c r="B211" s="143"/>
      <c r="C211" s="144" t="str">
        <f aca="false">DADOS!$AP$8</f>
        <v>📝 PEER TO PEER</v>
      </c>
      <c r="D211" s="145" t="str">
        <f aca="false">IF(reservaoutrosconsolidadoabr[[#This Row],[TOTAL (R$)]]=0,"",IF(OR(reservaoutrosconsolidadoabr[[#This Row],[TOTAL (R$)]]=LARGE($AJ$206:$AJ$213,1),reservaoutrosconsolidadoabr[[#This Row],[TOTAL (R$)]]=LARGE($AJ$206:$AJ$213,2)),DADOS!$I$11,""))</f>
        <v/>
      </c>
      <c r="E211" s="148" t="n">
        <f aca="false">SUMIFS(tabela_registros[VALOR],tabela_registros[MÊS],$AE$1,tabela_registros[DIA],reservaoutrosconsolidadoabr[[#Headers],[1]],tabela_registros[REGISTRO],DADOS!$N$6,tabela_registros[TIPO],DADOS!$AJ$5,tabela_registros[CATEGORIA],reservaoutrosconsolidadoabr[[#This Row],[ATUAL]])</f>
        <v>0</v>
      </c>
      <c r="F211" s="119" t="n">
        <f aca="false">SUMIFS(tabela_registros[VALOR],tabela_registros[MÊS],$AE$1,tabela_registros[DIA],reservaoutrosconsolidadoabr[[#Headers],[2]],tabela_registros[REGISTRO],DADOS!$N$6,tabela_registros[TIPO],DADOS!$AJ$5,tabela_registros[CATEGORIA],reservaoutrosconsolidadoabr[[#This Row],[ATUAL]])</f>
        <v>0</v>
      </c>
      <c r="G211" s="119" t="n">
        <f aca="false">SUMIFS(tabela_registros[VALOR],tabela_registros[MÊS],$AE$1,tabela_registros[DIA],reservaoutrosconsolidadoabr[[#Headers],[3]],tabela_registros[REGISTRO],DADOS!$N$6,tabela_registros[TIPO],DADOS!$AJ$5,tabela_registros[CATEGORIA],reservaoutrosconsolidadoabr[[#This Row],[ATUAL]])</f>
        <v>0</v>
      </c>
      <c r="H211" s="119" t="n">
        <f aca="false">SUMIFS(tabela_registros[VALOR],tabela_registros[MÊS],$AE$1,tabela_registros[DIA],reservaoutrosconsolidadoabr[[#Headers],[4]],tabela_registros[REGISTRO],DADOS!$N$6,tabela_registros[TIPO],DADOS!$AJ$5,tabela_registros[CATEGORIA],reservaoutrosconsolidadoabr[[#This Row],[ATUAL]])</f>
        <v>0</v>
      </c>
      <c r="I211" s="119" t="n">
        <f aca="false">SUMIFS(tabela_registros[VALOR],tabela_registros[MÊS],$AE$1,tabela_registros[DIA],reservaoutrosconsolidadoabr[[#Headers],[5]],tabela_registros[REGISTRO],DADOS!$N$6,tabela_registros[TIPO],DADOS!$AJ$5,tabela_registros[CATEGORIA],reservaoutrosconsolidadoabr[[#This Row],[ATUAL]])</f>
        <v>0</v>
      </c>
      <c r="J211" s="119" t="n">
        <f aca="false">SUMIFS(tabela_registros[VALOR],tabela_registros[MÊS],$AE$1,tabela_registros[DIA],reservaoutrosconsolidadoabr[[#Headers],[6]],tabela_registros[REGISTRO],DADOS!$N$6,tabela_registros[TIPO],DADOS!$AJ$5,tabela_registros[CATEGORIA],reservaoutrosconsolidadoabr[[#This Row],[ATUAL]])</f>
        <v>0</v>
      </c>
      <c r="K211" s="119" t="n">
        <f aca="false">SUMIFS(tabela_registros[VALOR],tabela_registros[MÊS],$AE$1,tabela_registros[DIA],reservaoutrosconsolidadoabr[[#Headers],[7]],tabela_registros[REGISTRO],DADOS!$N$6,tabela_registros[TIPO],DADOS!$AJ$5,tabela_registros[CATEGORIA],reservaoutrosconsolidadoabr[[#This Row],[ATUAL]])</f>
        <v>0</v>
      </c>
      <c r="L211" s="119" t="n">
        <f aca="false">SUMIFS(tabela_registros[VALOR],tabela_registros[MÊS],$AE$1,tabela_registros[DIA],reservaoutrosconsolidadoabr[[#Headers],[8]],tabela_registros[REGISTRO],DADOS!$N$6,tabela_registros[TIPO],DADOS!$AJ$5,tabela_registros[CATEGORIA],reservaoutrosconsolidadoabr[[#This Row],[ATUAL]])</f>
        <v>0</v>
      </c>
      <c r="M211" s="119" t="n">
        <f aca="false">SUMIFS(tabela_registros[VALOR],tabela_registros[MÊS],$AE$1,tabela_registros[DIA],reservaoutrosconsolidadoabr[[#Headers],[9]],tabela_registros[REGISTRO],DADOS!$N$6,tabela_registros[TIPO],DADOS!$AJ$5,tabela_registros[CATEGORIA],reservaoutrosconsolidadoabr[[#This Row],[ATUAL]])</f>
        <v>0</v>
      </c>
      <c r="N211" s="119" t="n">
        <f aca="false">SUMIFS(tabela_registros[VALOR],tabela_registros[MÊS],$AE$1,tabela_registros[DIA],reservaoutrosconsolidadoabr[[#Headers],[10]],tabela_registros[REGISTRO],DADOS!$N$6,tabela_registros[TIPO],DADOS!$AJ$5,tabela_registros[CATEGORIA],reservaoutrosconsolidadoabr[[#This Row],[ATUAL]])</f>
        <v>0</v>
      </c>
      <c r="O211" s="119" t="n">
        <f aca="false">SUMIFS(tabela_registros[VALOR],tabela_registros[MÊS],$AE$1,tabela_registros[DIA],reservaoutrosconsolidadoabr[[#Headers],[11]],tabela_registros[REGISTRO],DADOS!$N$6,tabela_registros[TIPO],DADOS!$AJ$5,tabela_registros[CATEGORIA],reservaoutrosconsolidadoabr[[#This Row],[ATUAL]])</f>
        <v>0</v>
      </c>
      <c r="P211" s="119" t="n">
        <f aca="false">SUMIFS(tabela_registros[VALOR],tabela_registros[MÊS],$AE$1,tabela_registros[DIA],reservaoutrosconsolidadoabr[[#Headers],[12]],tabela_registros[REGISTRO],DADOS!$N$6,tabela_registros[TIPO],DADOS!$AJ$5,tabela_registros[CATEGORIA],reservaoutrosconsolidadoabr[[#This Row],[ATUAL]])</f>
        <v>0</v>
      </c>
      <c r="Q211" s="119" t="n">
        <f aca="false">SUMIFS(tabela_registros[VALOR],tabela_registros[MÊS],$AE$1,tabela_registros[DIA],reservaoutrosconsolidadoabr[[#Headers],[13]],tabela_registros[REGISTRO],DADOS!$N$6,tabela_registros[TIPO],DADOS!$AJ$5,tabela_registros[CATEGORIA],reservaoutrosconsolidadoabr[[#This Row],[ATUAL]])</f>
        <v>0</v>
      </c>
      <c r="R211" s="119" t="n">
        <f aca="false">SUMIFS(tabela_registros[VALOR],tabela_registros[MÊS],$AE$1,tabela_registros[DIA],reservaoutrosconsolidadoabr[[#Headers],[14]],tabela_registros[REGISTRO],DADOS!$N$6,tabela_registros[TIPO],DADOS!$AJ$5,tabela_registros[CATEGORIA],reservaoutrosconsolidadoabr[[#This Row],[ATUAL]])</f>
        <v>0</v>
      </c>
      <c r="S211" s="119" t="n">
        <f aca="false">SUMIFS(tabela_registros[VALOR],tabela_registros[MÊS],$AE$1,tabela_registros[DIA],reservaoutrosconsolidadoabr[[#Headers],[15]],tabela_registros[REGISTRO],DADOS!$N$6,tabela_registros[TIPO],DADOS!$AJ$5,tabela_registros[CATEGORIA],reservaoutrosconsolidadoabr[[#This Row],[ATUAL]])</f>
        <v>0</v>
      </c>
      <c r="T211" s="119" t="n">
        <f aca="false">SUMIFS(tabela_registros[VALOR],tabela_registros[MÊS],$AE$1,tabela_registros[DIA],reservaoutrosconsolidadoabr[[#Headers],[16]],tabela_registros[REGISTRO],DADOS!$N$6,tabela_registros[TIPO],DADOS!$AJ$5,tabela_registros[CATEGORIA],reservaoutrosconsolidadoabr[[#This Row],[ATUAL]])</f>
        <v>0</v>
      </c>
      <c r="U211" s="119" t="n">
        <f aca="false">SUMIFS(tabela_registros[VALOR],tabela_registros[MÊS],$AE$1,tabela_registros[DIA],reservaoutrosconsolidadoabr[[#Headers],[17]],tabela_registros[REGISTRO],DADOS!$N$6,tabela_registros[TIPO],DADOS!$AJ$5,tabela_registros[CATEGORIA],reservaoutrosconsolidadoabr[[#This Row],[ATUAL]])</f>
        <v>0</v>
      </c>
      <c r="V211" s="119" t="n">
        <f aca="false">SUMIFS(tabela_registros[VALOR],tabela_registros[MÊS],$AE$1,tabela_registros[DIA],reservaoutrosconsolidadoabr[[#Headers],[18]],tabela_registros[REGISTRO],DADOS!$N$6,tabela_registros[TIPO],DADOS!$AJ$5,tabela_registros[CATEGORIA],reservaoutrosconsolidadoabr[[#This Row],[ATUAL]])</f>
        <v>0</v>
      </c>
      <c r="W211" s="119" t="n">
        <f aca="false">SUMIFS(tabela_registros[VALOR],tabela_registros[MÊS],$AE$1,tabela_registros[DIA],reservaoutrosconsolidadoabr[[#Headers],[19]],tabela_registros[REGISTRO],DADOS!$N$6,tabela_registros[TIPO],DADOS!$AJ$5,tabela_registros[CATEGORIA],reservaoutrosconsolidadoabr[[#This Row],[ATUAL]])</f>
        <v>0</v>
      </c>
      <c r="X211" s="119" t="n">
        <f aca="false">SUMIFS(tabela_registros[VALOR],tabela_registros[MÊS],$AE$1,tabela_registros[DIA],reservaoutrosconsolidadoabr[[#Headers],[20]],tabela_registros[REGISTRO],DADOS!$N$6,tabela_registros[TIPO],DADOS!$AJ$5,tabela_registros[CATEGORIA],reservaoutrosconsolidadoabr[[#This Row],[ATUAL]])</f>
        <v>0</v>
      </c>
      <c r="Y211" s="119" t="n">
        <f aca="false">SUMIFS(tabela_registros[VALOR],tabela_registros[MÊS],$AE$1,tabela_registros[DIA],reservaoutrosconsolidadoabr[[#Headers],[21]],tabela_registros[REGISTRO],DADOS!$N$6,tabela_registros[TIPO],DADOS!$AJ$5,tabela_registros[CATEGORIA],reservaoutrosconsolidadoabr[[#This Row],[ATUAL]])</f>
        <v>0</v>
      </c>
      <c r="Z211" s="119" t="n">
        <f aca="false">SUMIFS(tabela_registros[VALOR],tabela_registros[MÊS],$AE$1,tabela_registros[DIA],reservaoutrosconsolidadoabr[[#Headers],[22]],tabela_registros[REGISTRO],DADOS!$N$6,tabela_registros[TIPO],DADOS!$AJ$5,tabela_registros[CATEGORIA],reservaoutrosconsolidadoabr[[#This Row],[ATUAL]])</f>
        <v>0</v>
      </c>
      <c r="AA211" s="119" t="n">
        <f aca="false">SUMIFS(tabela_registros[VALOR],tabela_registros[MÊS],$AE$1,tabela_registros[DIA],reservaoutrosconsolidadoabr[[#Headers],[23]],tabela_registros[REGISTRO],DADOS!$N$6,tabela_registros[TIPO],DADOS!$AJ$5,tabela_registros[CATEGORIA],reservaoutrosconsolidadoabr[[#This Row],[ATUAL]])</f>
        <v>0</v>
      </c>
      <c r="AB211" s="119" t="n">
        <f aca="false">SUMIFS(tabela_registros[VALOR],tabela_registros[MÊS],$AE$1,tabela_registros[DIA],reservaoutrosconsolidadoabr[[#Headers],[24]],tabela_registros[REGISTRO],DADOS!$N$6,tabela_registros[TIPO],DADOS!$AJ$5,tabela_registros[CATEGORIA],reservaoutrosconsolidadoabr[[#This Row],[ATUAL]])</f>
        <v>0</v>
      </c>
      <c r="AC211" s="119" t="n">
        <f aca="false">SUMIFS(tabela_registros[VALOR],tabela_registros[MÊS],$AE$1,tabela_registros[DIA],reservaoutrosconsolidadoabr[[#Headers],[25]],tabela_registros[REGISTRO],DADOS!$N$6,tabela_registros[TIPO],DADOS!$AJ$5,tabela_registros[CATEGORIA],reservaoutrosconsolidadoabr[[#This Row],[ATUAL]])</f>
        <v>0</v>
      </c>
      <c r="AD211" s="119" t="n">
        <f aca="false">SUMIFS(tabela_registros[VALOR],tabela_registros[MÊS],$AE$1,tabela_registros[DIA],reservaoutrosconsolidadoabr[[#Headers],[26]],tabela_registros[REGISTRO],DADOS!$N$6,tabela_registros[TIPO],DADOS!$AJ$5,tabela_registros[CATEGORIA],reservaoutrosconsolidadoabr[[#This Row],[ATUAL]])</f>
        <v>0</v>
      </c>
      <c r="AE211" s="119" t="n">
        <f aca="false">SUMIFS(tabela_registros[VALOR],tabela_registros[MÊS],$AE$1,tabela_registros[DIA],reservaoutrosconsolidadoabr[[#Headers],[27]],tabela_registros[REGISTRO],DADOS!$N$6,tabela_registros[TIPO],DADOS!$AJ$5,tabela_registros[CATEGORIA],reservaoutrosconsolidadoabr[[#This Row],[ATUAL]])</f>
        <v>0</v>
      </c>
      <c r="AF211" s="119" t="n">
        <f aca="false">SUMIFS(tabela_registros[VALOR],tabela_registros[MÊS],$AE$1,tabela_registros[DIA],reservaoutrosconsolidadoabr[[#Headers],[28]],tabela_registros[REGISTRO],DADOS!$N$6,tabela_registros[TIPO],DADOS!$AJ$5,tabela_registros[CATEGORIA],reservaoutrosconsolidadoabr[[#This Row],[ATUAL]])</f>
        <v>0</v>
      </c>
      <c r="AG211" s="119" t="n">
        <f aca="false">SUMIFS(tabela_registros[VALOR],tabela_registros[MÊS],$AE$1,tabela_registros[DIA],reservaoutrosconsolidadoabr[[#Headers],[29]],tabela_registros[REGISTRO],DADOS!$N$6,tabela_registros[TIPO],DADOS!$AJ$5,tabela_registros[CATEGORIA],reservaoutrosconsolidadoabr[[#This Row],[ATUAL]])</f>
        <v>0</v>
      </c>
      <c r="AH211" s="119" t="n">
        <f aca="false">SUMIFS(tabela_registros[VALOR],tabela_registros[MÊS],$AE$1,tabela_registros[DIA],reservaoutrosconsolidadoabr[[#Headers],[30]],tabela_registros[REGISTRO],DADOS!$N$6,tabela_registros[TIPO],DADOS!$AJ$5,tabela_registros[CATEGORIA],reservaoutrosconsolidadoabr[[#This Row],[ATUAL]])</f>
        <v>0</v>
      </c>
      <c r="AI211" s="217" t="n">
        <f aca="false">SUMIFS(tabela_registros[VALOR],tabela_registros[MÊS],$AE$1,tabela_registros[DIA],reservaoutrosconsolidadoabr[[#Headers],[31]],tabela_registros[REGISTRO],DADOS!$N$6,tabela_registros[TIPO],DADOS!$AJ$5,tabela_registros[CATEGORIA],reservaoutrosconsolidadoabr[[#This Row],[ATUAL]])</f>
        <v>0</v>
      </c>
      <c r="AJ211" s="149" t="n">
        <f aca="false">SUM(reservaoutrosconsolidadoabr[[#This Row],[1]:[31]])</f>
        <v>0</v>
      </c>
      <c r="AK211" s="165"/>
    </row>
    <row r="212" customFormat="false" ht="19.5" hidden="false" customHeight="true" outlineLevel="0" collapsed="false">
      <c r="B212" s="143"/>
      <c r="C212" s="144" t="str">
        <f aca="false">DADOS!$AP$9</f>
        <v>📝 PREVIDÊNCIA PRIVADA</v>
      </c>
      <c r="D212" s="145" t="str">
        <f aca="false">IF(reservaoutrosconsolidadoabr[[#This Row],[TOTAL (R$)]]=0,"",IF(OR(reservaoutrosconsolidadoabr[[#This Row],[TOTAL (R$)]]=LARGE($AJ$206:$AJ$213,1),reservaoutrosconsolidadoabr[[#This Row],[TOTAL (R$)]]=LARGE($AJ$206:$AJ$213,2)),DADOS!$I$11,""))</f>
        <v/>
      </c>
      <c r="E212" s="148" t="n">
        <f aca="false">SUMIFS(tabela_registros[VALOR],tabela_registros[MÊS],$AE$1,tabela_registros[DIA],reservaoutrosconsolidadoabr[[#Headers],[1]],tabela_registros[REGISTRO],DADOS!$N$6,tabela_registros[TIPO],DADOS!$AJ$5,tabela_registros[CATEGORIA],reservaoutrosconsolidadoabr[[#This Row],[ATUAL]])</f>
        <v>0</v>
      </c>
      <c r="F212" s="119" t="n">
        <f aca="false">SUMIFS(tabela_registros[VALOR],tabela_registros[MÊS],$AE$1,tabela_registros[DIA],reservaoutrosconsolidadoabr[[#Headers],[2]],tabela_registros[REGISTRO],DADOS!$N$6,tabela_registros[TIPO],DADOS!$AJ$5,tabela_registros[CATEGORIA],reservaoutrosconsolidadoabr[[#This Row],[ATUAL]])</f>
        <v>0</v>
      </c>
      <c r="G212" s="119" t="n">
        <f aca="false">SUMIFS(tabela_registros[VALOR],tabela_registros[MÊS],$AE$1,tabela_registros[DIA],reservaoutrosconsolidadoabr[[#Headers],[3]],tabela_registros[REGISTRO],DADOS!$N$6,tabela_registros[TIPO],DADOS!$AJ$5,tabela_registros[CATEGORIA],reservaoutrosconsolidadoabr[[#This Row],[ATUAL]])</f>
        <v>0</v>
      </c>
      <c r="H212" s="119" t="n">
        <f aca="false">SUMIFS(tabela_registros[VALOR],tabela_registros[MÊS],$AE$1,tabela_registros[DIA],reservaoutrosconsolidadoabr[[#Headers],[4]],tabela_registros[REGISTRO],DADOS!$N$6,tabela_registros[TIPO],DADOS!$AJ$5,tabela_registros[CATEGORIA],reservaoutrosconsolidadoabr[[#This Row],[ATUAL]])</f>
        <v>0</v>
      </c>
      <c r="I212" s="119" t="n">
        <f aca="false">SUMIFS(tabela_registros[VALOR],tabela_registros[MÊS],$AE$1,tabela_registros[DIA],reservaoutrosconsolidadoabr[[#Headers],[5]],tabela_registros[REGISTRO],DADOS!$N$6,tabela_registros[TIPO],DADOS!$AJ$5,tabela_registros[CATEGORIA],reservaoutrosconsolidadoabr[[#This Row],[ATUAL]])</f>
        <v>0</v>
      </c>
      <c r="J212" s="119" t="n">
        <f aca="false">SUMIFS(tabela_registros[VALOR],tabela_registros[MÊS],$AE$1,tabela_registros[DIA],reservaoutrosconsolidadoabr[[#Headers],[6]],tabela_registros[REGISTRO],DADOS!$N$6,tabela_registros[TIPO],DADOS!$AJ$5,tabela_registros[CATEGORIA],reservaoutrosconsolidadoabr[[#This Row],[ATUAL]])</f>
        <v>0</v>
      </c>
      <c r="K212" s="119" t="n">
        <f aca="false">SUMIFS(tabela_registros[VALOR],tabela_registros[MÊS],$AE$1,tabela_registros[DIA],reservaoutrosconsolidadoabr[[#Headers],[7]],tabela_registros[REGISTRO],DADOS!$N$6,tabela_registros[TIPO],DADOS!$AJ$5,tabela_registros[CATEGORIA],reservaoutrosconsolidadoabr[[#This Row],[ATUAL]])</f>
        <v>0</v>
      </c>
      <c r="L212" s="119" t="n">
        <f aca="false">SUMIFS(tabela_registros[VALOR],tabela_registros[MÊS],$AE$1,tabela_registros[DIA],reservaoutrosconsolidadoabr[[#Headers],[8]],tabela_registros[REGISTRO],DADOS!$N$6,tabela_registros[TIPO],DADOS!$AJ$5,tabela_registros[CATEGORIA],reservaoutrosconsolidadoabr[[#This Row],[ATUAL]])</f>
        <v>0</v>
      </c>
      <c r="M212" s="119" t="n">
        <f aca="false">SUMIFS(tabela_registros[VALOR],tabela_registros[MÊS],$AE$1,tabela_registros[DIA],reservaoutrosconsolidadoabr[[#Headers],[9]],tabela_registros[REGISTRO],DADOS!$N$6,tabela_registros[TIPO],DADOS!$AJ$5,tabela_registros[CATEGORIA],reservaoutrosconsolidadoabr[[#This Row],[ATUAL]])</f>
        <v>0</v>
      </c>
      <c r="N212" s="119" t="n">
        <f aca="false">SUMIFS(tabela_registros[VALOR],tabela_registros[MÊS],$AE$1,tabela_registros[DIA],reservaoutrosconsolidadoabr[[#Headers],[10]],tabela_registros[REGISTRO],DADOS!$N$6,tabela_registros[TIPO],DADOS!$AJ$5,tabela_registros[CATEGORIA],reservaoutrosconsolidadoabr[[#This Row],[ATUAL]])</f>
        <v>0</v>
      </c>
      <c r="O212" s="119" t="n">
        <f aca="false">SUMIFS(tabela_registros[VALOR],tabela_registros[MÊS],$AE$1,tabela_registros[DIA],reservaoutrosconsolidadoabr[[#Headers],[11]],tabela_registros[REGISTRO],DADOS!$N$6,tabela_registros[TIPO],DADOS!$AJ$5,tabela_registros[CATEGORIA],reservaoutrosconsolidadoabr[[#This Row],[ATUAL]])</f>
        <v>0</v>
      </c>
      <c r="P212" s="119" t="n">
        <f aca="false">SUMIFS(tabela_registros[VALOR],tabela_registros[MÊS],$AE$1,tabela_registros[DIA],reservaoutrosconsolidadoabr[[#Headers],[12]],tabela_registros[REGISTRO],DADOS!$N$6,tabela_registros[TIPO],DADOS!$AJ$5,tabela_registros[CATEGORIA],reservaoutrosconsolidadoabr[[#This Row],[ATUAL]])</f>
        <v>0</v>
      </c>
      <c r="Q212" s="119" t="n">
        <f aca="false">SUMIFS(tabela_registros[VALOR],tabela_registros[MÊS],$AE$1,tabela_registros[DIA],reservaoutrosconsolidadoabr[[#Headers],[13]],tabela_registros[REGISTRO],DADOS!$N$6,tabela_registros[TIPO],DADOS!$AJ$5,tabela_registros[CATEGORIA],reservaoutrosconsolidadoabr[[#This Row],[ATUAL]])</f>
        <v>0</v>
      </c>
      <c r="R212" s="119" t="n">
        <f aca="false">SUMIFS(tabela_registros[VALOR],tabela_registros[MÊS],$AE$1,tabela_registros[DIA],reservaoutrosconsolidadoabr[[#Headers],[14]],tabela_registros[REGISTRO],DADOS!$N$6,tabela_registros[TIPO],DADOS!$AJ$5,tabela_registros[CATEGORIA],reservaoutrosconsolidadoabr[[#This Row],[ATUAL]])</f>
        <v>0</v>
      </c>
      <c r="S212" s="119" t="n">
        <f aca="false">SUMIFS(tabela_registros[VALOR],tabela_registros[MÊS],$AE$1,tabela_registros[DIA],reservaoutrosconsolidadoabr[[#Headers],[15]],tabela_registros[REGISTRO],DADOS!$N$6,tabela_registros[TIPO],DADOS!$AJ$5,tabela_registros[CATEGORIA],reservaoutrosconsolidadoabr[[#This Row],[ATUAL]])</f>
        <v>0</v>
      </c>
      <c r="T212" s="119" t="n">
        <f aca="false">SUMIFS(tabela_registros[VALOR],tabela_registros[MÊS],$AE$1,tabela_registros[DIA],reservaoutrosconsolidadoabr[[#Headers],[16]],tabela_registros[REGISTRO],DADOS!$N$6,tabela_registros[TIPO],DADOS!$AJ$5,tabela_registros[CATEGORIA],reservaoutrosconsolidadoabr[[#This Row],[ATUAL]])</f>
        <v>0</v>
      </c>
      <c r="U212" s="119" t="n">
        <f aca="false">SUMIFS(tabela_registros[VALOR],tabela_registros[MÊS],$AE$1,tabela_registros[DIA],reservaoutrosconsolidadoabr[[#Headers],[17]],tabela_registros[REGISTRO],DADOS!$N$6,tabela_registros[TIPO],DADOS!$AJ$5,tabela_registros[CATEGORIA],reservaoutrosconsolidadoabr[[#This Row],[ATUAL]])</f>
        <v>0</v>
      </c>
      <c r="V212" s="119" t="n">
        <f aca="false">SUMIFS(tabela_registros[VALOR],tabela_registros[MÊS],$AE$1,tabela_registros[DIA],reservaoutrosconsolidadoabr[[#Headers],[18]],tabela_registros[REGISTRO],DADOS!$N$6,tabela_registros[TIPO],DADOS!$AJ$5,tabela_registros[CATEGORIA],reservaoutrosconsolidadoabr[[#This Row],[ATUAL]])</f>
        <v>0</v>
      </c>
      <c r="W212" s="119" t="n">
        <f aca="false">SUMIFS(tabela_registros[VALOR],tabela_registros[MÊS],$AE$1,tabela_registros[DIA],reservaoutrosconsolidadoabr[[#Headers],[19]],tabela_registros[REGISTRO],DADOS!$N$6,tabela_registros[TIPO],DADOS!$AJ$5,tabela_registros[CATEGORIA],reservaoutrosconsolidadoabr[[#This Row],[ATUAL]])</f>
        <v>0</v>
      </c>
      <c r="X212" s="119" t="n">
        <f aca="false">SUMIFS(tabela_registros[VALOR],tabela_registros[MÊS],$AE$1,tabela_registros[DIA],reservaoutrosconsolidadoabr[[#Headers],[20]],tabela_registros[REGISTRO],DADOS!$N$6,tabela_registros[TIPO],DADOS!$AJ$5,tabela_registros[CATEGORIA],reservaoutrosconsolidadoabr[[#This Row],[ATUAL]])</f>
        <v>0</v>
      </c>
      <c r="Y212" s="119" t="n">
        <f aca="false">SUMIFS(tabela_registros[VALOR],tabela_registros[MÊS],$AE$1,tabela_registros[DIA],reservaoutrosconsolidadoabr[[#Headers],[21]],tabela_registros[REGISTRO],DADOS!$N$6,tabela_registros[TIPO],DADOS!$AJ$5,tabela_registros[CATEGORIA],reservaoutrosconsolidadoabr[[#This Row],[ATUAL]])</f>
        <v>0</v>
      </c>
      <c r="Z212" s="119" t="n">
        <f aca="false">SUMIFS(tabela_registros[VALOR],tabela_registros[MÊS],$AE$1,tabela_registros[DIA],reservaoutrosconsolidadoabr[[#Headers],[22]],tabela_registros[REGISTRO],DADOS!$N$6,tabela_registros[TIPO],DADOS!$AJ$5,tabela_registros[CATEGORIA],reservaoutrosconsolidadoabr[[#This Row],[ATUAL]])</f>
        <v>0</v>
      </c>
      <c r="AA212" s="119" t="n">
        <f aca="false">SUMIFS(tabela_registros[VALOR],tabela_registros[MÊS],$AE$1,tabela_registros[DIA],reservaoutrosconsolidadoabr[[#Headers],[23]],tabela_registros[REGISTRO],DADOS!$N$6,tabela_registros[TIPO],DADOS!$AJ$5,tabela_registros[CATEGORIA],reservaoutrosconsolidadoabr[[#This Row],[ATUAL]])</f>
        <v>0</v>
      </c>
      <c r="AB212" s="119" t="n">
        <f aca="false">SUMIFS(tabela_registros[VALOR],tabela_registros[MÊS],$AE$1,tabela_registros[DIA],reservaoutrosconsolidadoabr[[#Headers],[24]],tabela_registros[REGISTRO],DADOS!$N$6,tabela_registros[TIPO],DADOS!$AJ$5,tabela_registros[CATEGORIA],reservaoutrosconsolidadoabr[[#This Row],[ATUAL]])</f>
        <v>0</v>
      </c>
      <c r="AC212" s="119" t="n">
        <f aca="false">SUMIFS(tabela_registros[VALOR],tabela_registros[MÊS],$AE$1,tabela_registros[DIA],reservaoutrosconsolidadoabr[[#Headers],[25]],tabela_registros[REGISTRO],DADOS!$N$6,tabela_registros[TIPO],DADOS!$AJ$5,tabela_registros[CATEGORIA],reservaoutrosconsolidadoabr[[#This Row],[ATUAL]])</f>
        <v>0</v>
      </c>
      <c r="AD212" s="119" t="n">
        <f aca="false">SUMIFS(tabela_registros[VALOR],tabela_registros[MÊS],$AE$1,tabela_registros[DIA],reservaoutrosconsolidadoabr[[#Headers],[26]],tabela_registros[REGISTRO],DADOS!$N$6,tabela_registros[TIPO],DADOS!$AJ$5,tabela_registros[CATEGORIA],reservaoutrosconsolidadoabr[[#This Row],[ATUAL]])</f>
        <v>0</v>
      </c>
      <c r="AE212" s="119" t="n">
        <f aca="false">SUMIFS(tabela_registros[VALOR],tabela_registros[MÊS],$AE$1,tabela_registros[DIA],reservaoutrosconsolidadoabr[[#Headers],[27]],tabela_registros[REGISTRO],DADOS!$N$6,tabela_registros[TIPO],DADOS!$AJ$5,tabela_registros[CATEGORIA],reservaoutrosconsolidadoabr[[#This Row],[ATUAL]])</f>
        <v>0</v>
      </c>
      <c r="AF212" s="119" t="n">
        <f aca="false">SUMIFS(tabela_registros[VALOR],tabela_registros[MÊS],$AE$1,tabela_registros[DIA],reservaoutrosconsolidadoabr[[#Headers],[28]],tabela_registros[REGISTRO],DADOS!$N$6,tabela_registros[TIPO],DADOS!$AJ$5,tabela_registros[CATEGORIA],reservaoutrosconsolidadoabr[[#This Row],[ATUAL]])</f>
        <v>0</v>
      </c>
      <c r="AG212" s="119" t="n">
        <f aca="false">SUMIFS(tabela_registros[VALOR],tabela_registros[MÊS],$AE$1,tabela_registros[DIA],reservaoutrosconsolidadoabr[[#Headers],[29]],tabela_registros[REGISTRO],DADOS!$N$6,tabela_registros[TIPO],DADOS!$AJ$5,tabela_registros[CATEGORIA],reservaoutrosconsolidadoabr[[#This Row],[ATUAL]])</f>
        <v>0</v>
      </c>
      <c r="AH212" s="119" t="n">
        <f aca="false">SUMIFS(tabela_registros[VALOR],tabela_registros[MÊS],$AE$1,tabela_registros[DIA],reservaoutrosconsolidadoabr[[#Headers],[30]],tabela_registros[REGISTRO],DADOS!$N$6,tabela_registros[TIPO],DADOS!$AJ$5,tabela_registros[CATEGORIA],reservaoutrosconsolidadoabr[[#This Row],[ATUAL]])</f>
        <v>0</v>
      </c>
      <c r="AI212" s="217" t="n">
        <f aca="false">SUMIFS(tabela_registros[VALOR],tabela_registros[MÊS],$AE$1,tabela_registros[DIA],reservaoutrosconsolidadoabr[[#Headers],[31]],tabela_registros[REGISTRO],DADOS!$N$6,tabela_registros[TIPO],DADOS!$AJ$5,tabela_registros[CATEGORIA],reservaoutrosconsolidadoabr[[#This Row],[ATUAL]])</f>
        <v>0</v>
      </c>
      <c r="AJ212" s="149" t="n">
        <f aca="false">SUM(reservaoutrosconsolidadoabr[[#This Row],[1]:[31]])</f>
        <v>0</v>
      </c>
      <c r="AK212" s="165"/>
    </row>
    <row r="213" customFormat="false" ht="19.5" hidden="false" customHeight="true" outlineLevel="0" collapsed="false">
      <c r="B213" s="143"/>
      <c r="C213" s="144" t="str">
        <f aca="false">DADOS!$AP$10</f>
        <v>📎 OUTROS</v>
      </c>
      <c r="D213" s="145" t="str">
        <f aca="false">IF(reservaoutrosconsolidadoabr[[#This Row],[TOTAL (R$)]]=0,"",IF(OR(reservaoutrosconsolidadoabr[[#This Row],[TOTAL (R$)]]=LARGE($AJ$206:$AJ$213,1),reservaoutrosconsolidadoabr[[#This Row],[TOTAL (R$)]]=LARGE($AJ$206:$AJ$213,2)),DADOS!$I$11,""))</f>
        <v/>
      </c>
      <c r="E213" s="148" t="n">
        <f aca="false">SUMIFS(tabela_registros[VALOR],tabela_registros[MÊS],$AE$1,tabela_registros[DIA],reservaoutrosconsolidadoabr[[#Headers],[1]],tabela_registros[REGISTRO],DADOS!$N$6,tabela_registros[TIPO],DADOS!$AJ$5,tabela_registros[CATEGORIA],reservaoutrosconsolidadoabr[[#This Row],[ATUAL]])</f>
        <v>0</v>
      </c>
      <c r="F213" s="119" t="n">
        <f aca="false">SUMIFS(tabela_registros[VALOR],tabela_registros[MÊS],$AE$1,tabela_registros[DIA],reservaoutrosconsolidadoabr[[#Headers],[2]],tabela_registros[REGISTRO],DADOS!$N$6,tabela_registros[TIPO],DADOS!$AJ$5,tabela_registros[CATEGORIA],reservaoutrosconsolidadoabr[[#This Row],[ATUAL]])</f>
        <v>0</v>
      </c>
      <c r="G213" s="119" t="n">
        <f aca="false">SUMIFS(tabela_registros[VALOR],tabela_registros[MÊS],$AE$1,tabela_registros[DIA],reservaoutrosconsolidadoabr[[#Headers],[3]],tabela_registros[REGISTRO],DADOS!$N$6,tabela_registros[TIPO],DADOS!$AJ$5,tabela_registros[CATEGORIA],reservaoutrosconsolidadoabr[[#This Row],[ATUAL]])</f>
        <v>0</v>
      </c>
      <c r="H213" s="119" t="n">
        <f aca="false">SUMIFS(tabela_registros[VALOR],tabela_registros[MÊS],$AE$1,tabela_registros[DIA],reservaoutrosconsolidadoabr[[#Headers],[4]],tabela_registros[REGISTRO],DADOS!$N$6,tabela_registros[TIPO],DADOS!$AJ$5,tabela_registros[CATEGORIA],reservaoutrosconsolidadoabr[[#This Row],[ATUAL]])</f>
        <v>0</v>
      </c>
      <c r="I213" s="119" t="n">
        <f aca="false">SUMIFS(tabela_registros[VALOR],tabela_registros[MÊS],$AE$1,tabela_registros[DIA],reservaoutrosconsolidadoabr[[#Headers],[5]],tabela_registros[REGISTRO],DADOS!$N$6,tabela_registros[TIPO],DADOS!$AJ$5,tabela_registros[CATEGORIA],reservaoutrosconsolidadoabr[[#This Row],[ATUAL]])</f>
        <v>0</v>
      </c>
      <c r="J213" s="119" t="n">
        <f aca="false">SUMIFS(tabela_registros[VALOR],tabela_registros[MÊS],$AE$1,tabela_registros[DIA],reservaoutrosconsolidadoabr[[#Headers],[6]],tabela_registros[REGISTRO],DADOS!$N$6,tabela_registros[TIPO],DADOS!$AJ$5,tabela_registros[CATEGORIA],reservaoutrosconsolidadoabr[[#This Row],[ATUAL]])</f>
        <v>0</v>
      </c>
      <c r="K213" s="119" t="n">
        <f aca="false">SUMIFS(tabela_registros[VALOR],tabela_registros[MÊS],$AE$1,tabela_registros[DIA],reservaoutrosconsolidadoabr[[#Headers],[7]],tabela_registros[REGISTRO],DADOS!$N$6,tabela_registros[TIPO],DADOS!$AJ$5,tabela_registros[CATEGORIA],reservaoutrosconsolidadoabr[[#This Row],[ATUAL]])</f>
        <v>0</v>
      </c>
      <c r="L213" s="119" t="n">
        <f aca="false">SUMIFS(tabela_registros[VALOR],tabela_registros[MÊS],$AE$1,tabela_registros[DIA],reservaoutrosconsolidadoabr[[#Headers],[8]],tabela_registros[REGISTRO],DADOS!$N$6,tabela_registros[TIPO],DADOS!$AJ$5,tabela_registros[CATEGORIA],reservaoutrosconsolidadoabr[[#This Row],[ATUAL]])</f>
        <v>0</v>
      </c>
      <c r="M213" s="119" t="n">
        <f aca="false">SUMIFS(tabela_registros[VALOR],tabela_registros[MÊS],$AE$1,tabela_registros[DIA],reservaoutrosconsolidadoabr[[#Headers],[9]],tabela_registros[REGISTRO],DADOS!$N$6,tabela_registros[TIPO],DADOS!$AJ$5,tabela_registros[CATEGORIA],reservaoutrosconsolidadoabr[[#This Row],[ATUAL]])</f>
        <v>0</v>
      </c>
      <c r="N213" s="119" t="n">
        <f aca="false">SUMIFS(tabela_registros[VALOR],tabela_registros[MÊS],$AE$1,tabela_registros[DIA],reservaoutrosconsolidadoabr[[#Headers],[10]],tabela_registros[REGISTRO],DADOS!$N$6,tabela_registros[TIPO],DADOS!$AJ$5,tabela_registros[CATEGORIA],reservaoutrosconsolidadoabr[[#This Row],[ATUAL]])</f>
        <v>0</v>
      </c>
      <c r="O213" s="119" t="n">
        <f aca="false">SUMIFS(tabela_registros[VALOR],tabela_registros[MÊS],$AE$1,tabela_registros[DIA],reservaoutrosconsolidadoabr[[#Headers],[11]],tabela_registros[REGISTRO],DADOS!$N$6,tabela_registros[TIPO],DADOS!$AJ$5,tabela_registros[CATEGORIA],reservaoutrosconsolidadoabr[[#This Row],[ATUAL]])</f>
        <v>0</v>
      </c>
      <c r="P213" s="119" t="n">
        <f aca="false">SUMIFS(tabela_registros[VALOR],tabela_registros[MÊS],$AE$1,tabela_registros[DIA],reservaoutrosconsolidadoabr[[#Headers],[12]],tabela_registros[REGISTRO],DADOS!$N$6,tabela_registros[TIPO],DADOS!$AJ$5,tabela_registros[CATEGORIA],reservaoutrosconsolidadoabr[[#This Row],[ATUAL]])</f>
        <v>0</v>
      </c>
      <c r="Q213" s="119" t="n">
        <f aca="false">SUMIFS(tabela_registros[VALOR],tabela_registros[MÊS],$AE$1,tabela_registros[DIA],reservaoutrosconsolidadoabr[[#Headers],[13]],tabela_registros[REGISTRO],DADOS!$N$6,tabela_registros[TIPO],DADOS!$AJ$5,tabela_registros[CATEGORIA],reservaoutrosconsolidadoabr[[#This Row],[ATUAL]])</f>
        <v>0</v>
      </c>
      <c r="R213" s="119" t="n">
        <f aca="false">SUMIFS(tabela_registros[VALOR],tabela_registros[MÊS],$AE$1,tabela_registros[DIA],reservaoutrosconsolidadoabr[[#Headers],[14]],tabela_registros[REGISTRO],DADOS!$N$6,tabela_registros[TIPO],DADOS!$AJ$5,tabela_registros[CATEGORIA],reservaoutrosconsolidadoabr[[#This Row],[ATUAL]])</f>
        <v>0</v>
      </c>
      <c r="S213" s="119" t="n">
        <f aca="false">SUMIFS(tabela_registros[VALOR],tabela_registros[MÊS],$AE$1,tabela_registros[DIA],reservaoutrosconsolidadoabr[[#Headers],[15]],tabela_registros[REGISTRO],DADOS!$N$6,tabela_registros[TIPO],DADOS!$AJ$5,tabela_registros[CATEGORIA],reservaoutrosconsolidadoabr[[#This Row],[ATUAL]])</f>
        <v>0</v>
      </c>
      <c r="T213" s="119" t="n">
        <f aca="false">SUMIFS(tabela_registros[VALOR],tabela_registros[MÊS],$AE$1,tabela_registros[DIA],reservaoutrosconsolidadoabr[[#Headers],[16]],tabela_registros[REGISTRO],DADOS!$N$6,tabela_registros[TIPO],DADOS!$AJ$5,tabela_registros[CATEGORIA],reservaoutrosconsolidadoabr[[#This Row],[ATUAL]])</f>
        <v>0</v>
      </c>
      <c r="U213" s="119" t="n">
        <f aca="false">SUMIFS(tabela_registros[VALOR],tabela_registros[MÊS],$AE$1,tabela_registros[DIA],reservaoutrosconsolidadoabr[[#Headers],[17]],tabela_registros[REGISTRO],DADOS!$N$6,tabela_registros[TIPO],DADOS!$AJ$5,tabela_registros[CATEGORIA],reservaoutrosconsolidadoabr[[#This Row],[ATUAL]])</f>
        <v>0</v>
      </c>
      <c r="V213" s="119" t="n">
        <f aca="false">SUMIFS(tabela_registros[VALOR],tabela_registros[MÊS],$AE$1,tabela_registros[DIA],reservaoutrosconsolidadoabr[[#Headers],[18]],tabela_registros[REGISTRO],DADOS!$N$6,tabela_registros[TIPO],DADOS!$AJ$5,tabela_registros[CATEGORIA],reservaoutrosconsolidadoabr[[#This Row],[ATUAL]])</f>
        <v>0</v>
      </c>
      <c r="W213" s="119" t="n">
        <f aca="false">SUMIFS(tabela_registros[VALOR],tabela_registros[MÊS],$AE$1,tabela_registros[DIA],reservaoutrosconsolidadoabr[[#Headers],[19]],tabela_registros[REGISTRO],DADOS!$N$6,tabela_registros[TIPO],DADOS!$AJ$5,tabela_registros[CATEGORIA],reservaoutrosconsolidadoabr[[#This Row],[ATUAL]])</f>
        <v>0</v>
      </c>
      <c r="X213" s="119" t="n">
        <f aca="false">SUMIFS(tabela_registros[VALOR],tabela_registros[MÊS],$AE$1,tabela_registros[DIA],reservaoutrosconsolidadoabr[[#Headers],[20]],tabela_registros[REGISTRO],DADOS!$N$6,tabela_registros[TIPO],DADOS!$AJ$5,tabela_registros[CATEGORIA],reservaoutrosconsolidadoabr[[#This Row],[ATUAL]])</f>
        <v>0</v>
      </c>
      <c r="Y213" s="119" t="n">
        <f aca="false">SUMIFS(tabela_registros[VALOR],tabela_registros[MÊS],$AE$1,tabela_registros[DIA],reservaoutrosconsolidadoabr[[#Headers],[21]],tabela_registros[REGISTRO],DADOS!$N$6,tabela_registros[TIPO],DADOS!$AJ$5,tabela_registros[CATEGORIA],reservaoutrosconsolidadoabr[[#This Row],[ATUAL]])</f>
        <v>0</v>
      </c>
      <c r="Z213" s="119" t="n">
        <f aca="false">SUMIFS(tabela_registros[VALOR],tabela_registros[MÊS],$AE$1,tabela_registros[DIA],reservaoutrosconsolidadoabr[[#Headers],[22]],tabela_registros[REGISTRO],DADOS!$N$6,tabela_registros[TIPO],DADOS!$AJ$5,tabela_registros[CATEGORIA],reservaoutrosconsolidadoabr[[#This Row],[ATUAL]])</f>
        <v>0</v>
      </c>
      <c r="AA213" s="119" t="n">
        <f aca="false">SUMIFS(tabela_registros[VALOR],tabela_registros[MÊS],$AE$1,tabela_registros[DIA],reservaoutrosconsolidadoabr[[#Headers],[23]],tabela_registros[REGISTRO],DADOS!$N$6,tabela_registros[TIPO],DADOS!$AJ$5,tabela_registros[CATEGORIA],reservaoutrosconsolidadoabr[[#This Row],[ATUAL]])</f>
        <v>0</v>
      </c>
      <c r="AB213" s="119" t="n">
        <f aca="false">SUMIFS(tabela_registros[VALOR],tabela_registros[MÊS],$AE$1,tabela_registros[DIA],reservaoutrosconsolidadoabr[[#Headers],[24]],tabela_registros[REGISTRO],DADOS!$N$6,tabela_registros[TIPO],DADOS!$AJ$5,tabela_registros[CATEGORIA],reservaoutrosconsolidadoabr[[#This Row],[ATUAL]])</f>
        <v>0</v>
      </c>
      <c r="AC213" s="119" t="n">
        <f aca="false">SUMIFS(tabela_registros[VALOR],tabela_registros[MÊS],$AE$1,tabela_registros[DIA],reservaoutrosconsolidadoabr[[#Headers],[25]],tabela_registros[REGISTRO],DADOS!$N$6,tabela_registros[TIPO],DADOS!$AJ$5,tabela_registros[CATEGORIA],reservaoutrosconsolidadoabr[[#This Row],[ATUAL]])</f>
        <v>0</v>
      </c>
      <c r="AD213" s="119" t="n">
        <f aca="false">SUMIFS(tabela_registros[VALOR],tabela_registros[MÊS],$AE$1,tabela_registros[DIA],reservaoutrosconsolidadoabr[[#Headers],[26]],tabela_registros[REGISTRO],DADOS!$N$6,tabela_registros[TIPO],DADOS!$AJ$5,tabela_registros[CATEGORIA],reservaoutrosconsolidadoabr[[#This Row],[ATUAL]])</f>
        <v>0</v>
      </c>
      <c r="AE213" s="119" t="n">
        <f aca="false">SUMIFS(tabela_registros[VALOR],tabela_registros[MÊS],$AE$1,tabela_registros[DIA],reservaoutrosconsolidadoabr[[#Headers],[27]],tabela_registros[REGISTRO],DADOS!$N$6,tabela_registros[TIPO],DADOS!$AJ$5,tabela_registros[CATEGORIA],reservaoutrosconsolidadoabr[[#This Row],[ATUAL]])</f>
        <v>0</v>
      </c>
      <c r="AF213" s="119" t="n">
        <f aca="false">SUMIFS(tabela_registros[VALOR],tabela_registros[MÊS],$AE$1,tabela_registros[DIA],reservaoutrosconsolidadoabr[[#Headers],[28]],tabela_registros[REGISTRO],DADOS!$N$6,tabela_registros[TIPO],DADOS!$AJ$5,tabela_registros[CATEGORIA],reservaoutrosconsolidadoabr[[#This Row],[ATUAL]])</f>
        <v>0</v>
      </c>
      <c r="AG213" s="119" t="n">
        <f aca="false">SUMIFS(tabela_registros[VALOR],tabela_registros[MÊS],$AE$1,tabela_registros[DIA],reservaoutrosconsolidadoabr[[#Headers],[29]],tabela_registros[REGISTRO],DADOS!$N$6,tabela_registros[TIPO],DADOS!$AJ$5,tabela_registros[CATEGORIA],reservaoutrosconsolidadoabr[[#This Row],[ATUAL]])</f>
        <v>0</v>
      </c>
      <c r="AH213" s="119" t="n">
        <f aca="false">SUMIFS(tabela_registros[VALOR],tabela_registros[MÊS],$AE$1,tabela_registros[DIA],reservaoutrosconsolidadoabr[[#Headers],[30]],tabela_registros[REGISTRO],DADOS!$N$6,tabela_registros[TIPO],DADOS!$AJ$5,tabela_registros[CATEGORIA],reservaoutrosconsolidadoabr[[#This Row],[ATUAL]])</f>
        <v>0</v>
      </c>
      <c r="AI213" s="218" t="n">
        <f aca="false">SUMIFS(tabela_registros[VALOR],tabela_registros[MÊS],$AE$1,tabela_registros[DIA],reservaoutrosconsolidadoabr[[#Headers],[31]],tabela_registros[REGISTRO],DADOS!$N$6,tabela_registros[TIPO],DADOS!$AJ$5,tabela_registros[CATEGORIA],reservaoutrosconsolidadoabr[[#This Row],[ATUAL]])</f>
        <v>0</v>
      </c>
      <c r="AJ213" s="149" t="n">
        <f aca="false">SUM(reservaoutrosconsolidadoabr[[#This Row],[1]:[31]])</f>
        <v>0</v>
      </c>
      <c r="AK213" s="165"/>
    </row>
    <row r="214" s="122" customFormat="true" ht="21" hidden="false" customHeight="true" outlineLevel="0" collapsed="false">
      <c r="B214" s="152"/>
      <c r="C214" s="153" t="s">
        <v>2</v>
      </c>
      <c r="D214" s="166"/>
      <c r="E214" s="155" t="n">
        <f aca="false">SUM(E206:E213)</f>
        <v>0</v>
      </c>
      <c r="F214" s="156" t="n">
        <f aca="false">SUM(F206:F213)+reservaoutrosconsolidadoabr[[#This Row],[1]]</f>
        <v>0</v>
      </c>
      <c r="G214" s="156" t="n">
        <f aca="false">SUM(G206:G213)+reservaoutrosconsolidadoabr[[#This Row],[2]]</f>
        <v>0</v>
      </c>
      <c r="H214" s="156" t="n">
        <f aca="false">SUM(H206:H213)+reservaoutrosconsolidadoabr[[#This Row],[3]]</f>
        <v>0</v>
      </c>
      <c r="I214" s="156" t="n">
        <f aca="false">SUM(I206:I213)+reservaoutrosconsolidadoabr[[#This Row],[4]]</f>
        <v>0</v>
      </c>
      <c r="J214" s="156" t="n">
        <f aca="false">SUM(J206:J213)+reservaoutrosconsolidadoabr[[#This Row],[5]]</f>
        <v>0</v>
      </c>
      <c r="K214" s="156" t="n">
        <f aca="false">SUM(K206:K213)+reservaoutrosconsolidadoabr[[#This Row],[6]]</f>
        <v>0</v>
      </c>
      <c r="L214" s="156" t="n">
        <f aca="false">SUM(L206:L213)+reservaoutrosconsolidadoabr[[#This Row],[7]]</f>
        <v>0</v>
      </c>
      <c r="M214" s="156" t="n">
        <f aca="false">SUM(M206:M213)+reservaoutrosconsolidadoabr[[#This Row],[8]]</f>
        <v>0</v>
      </c>
      <c r="N214" s="156" t="n">
        <f aca="false">SUM(N206:N213)+reservaoutrosconsolidadoabr[[#This Row],[9]]</f>
        <v>0</v>
      </c>
      <c r="O214" s="156" t="n">
        <f aca="false">SUM(O206:O213)+reservaoutrosconsolidadoabr[[#This Row],[10]]</f>
        <v>0</v>
      </c>
      <c r="P214" s="156" t="n">
        <f aca="false">SUM(P206:P213)+reservaoutrosconsolidadoabr[[#This Row],[11]]</f>
        <v>0</v>
      </c>
      <c r="Q214" s="156" t="n">
        <f aca="false">SUM(Q206:Q213)+reservaoutrosconsolidadoabr[[#This Row],[12]]</f>
        <v>0</v>
      </c>
      <c r="R214" s="156" t="n">
        <f aca="false">SUM(R206:R213)+reservaoutrosconsolidadoabr[[#This Row],[13]]</f>
        <v>0</v>
      </c>
      <c r="S214" s="156" t="n">
        <f aca="false">SUM(S206:S213)+reservaoutrosconsolidadoabr[[#This Row],[14]]</f>
        <v>0</v>
      </c>
      <c r="T214" s="156" t="n">
        <f aca="false">SUM(T206:T213)+reservaoutrosconsolidadoabr[[#This Row],[15]]</f>
        <v>0</v>
      </c>
      <c r="U214" s="156" t="n">
        <f aca="false">SUM(U206:U213)+reservaoutrosconsolidadoabr[[#This Row],[16]]</f>
        <v>0</v>
      </c>
      <c r="V214" s="156" t="n">
        <f aca="false">SUM(V206:V213)+reservaoutrosconsolidadoabr[[#This Row],[17]]</f>
        <v>0</v>
      </c>
      <c r="W214" s="156" t="n">
        <f aca="false">SUM(W206:W213)+reservaoutrosconsolidadoabr[[#This Row],[18]]</f>
        <v>0</v>
      </c>
      <c r="X214" s="156" t="n">
        <f aca="false">SUM(X206:X213)+reservaoutrosconsolidadoabr[[#This Row],[19]]</f>
        <v>0</v>
      </c>
      <c r="Y214" s="156" t="n">
        <f aca="false">SUM(Y206:Y213)+reservaoutrosconsolidadoabr[[#This Row],[20]]</f>
        <v>0</v>
      </c>
      <c r="Z214" s="156" t="n">
        <f aca="false">SUM(Z206:Z213)+reservaoutrosconsolidadoabr[[#This Row],[21]]</f>
        <v>0</v>
      </c>
      <c r="AA214" s="156" t="n">
        <f aca="false">SUM(AA206:AA213)+reservaoutrosconsolidadoabr[[#This Row],[22]]</f>
        <v>0</v>
      </c>
      <c r="AB214" s="156" t="n">
        <f aca="false">SUM(AB206:AB213)+reservaoutrosconsolidadoabr[[#This Row],[23]]</f>
        <v>0</v>
      </c>
      <c r="AC214" s="156" t="n">
        <f aca="false">SUM(AC206:AC213)+reservaoutrosconsolidadoabr[[#This Row],[24]]</f>
        <v>0</v>
      </c>
      <c r="AD214" s="156" t="n">
        <f aca="false">SUM(AD206:AD213)+reservaoutrosconsolidadoabr[[#This Row],[25]]</f>
        <v>0</v>
      </c>
      <c r="AE214" s="156" t="n">
        <f aca="false">SUM(AE206:AE213)+reservaoutrosconsolidadoabr[[#This Row],[26]]</f>
        <v>0</v>
      </c>
      <c r="AF214" s="156" t="n">
        <f aca="false">SUM(AF206:AF213)+reservaoutrosconsolidadoabr[[#This Row],[27]]</f>
        <v>0</v>
      </c>
      <c r="AG214" s="156" t="n">
        <f aca="false">SUM(AG206:AG213)+reservaoutrosconsolidadoabr[[#This Row],[28]]</f>
        <v>0</v>
      </c>
      <c r="AH214" s="156" t="n">
        <f aca="false">SUM(AH206:AH213)+reservaoutrosconsolidadoabr[[#This Row],[29]]</f>
        <v>0</v>
      </c>
      <c r="AI214" s="223" t="n">
        <f aca="false">SUM(AI206:AI213)+reservaoutrosconsolidadoabr[[#This Row],[30]]</f>
        <v>0</v>
      </c>
      <c r="AJ214" s="157" t="n">
        <f aca="false">reservaoutrosconsolidadoabr[[#This Row],[31]]</f>
        <v>0</v>
      </c>
      <c r="AK214" s="158"/>
    </row>
    <row r="215" customFormat="false" ht="6.75" hidden="false" customHeight="true" outlineLevel="0" collapsed="false">
      <c r="B215" s="97"/>
      <c r="C215" s="162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233"/>
      <c r="AJ215" s="164"/>
      <c r="AK215" s="244"/>
    </row>
    <row r="216" customFormat="false" ht="12.75" hidden="false" customHeight="false" outlineLevel="0" collapsed="false"/>
    <row r="217" customFormat="false" ht="12" hidden="false" customHeight="false" outlineLevel="0" collapsed="false"/>
  </sheetData>
  <sheetProtection algorithmName="SHA-512" hashValue="Zlz98W45ZmXxo/rp+MT7WkkJaEpqnXsGX0FU8lrBPrHbxmDzW/VMSA02IPvqmbTY1De31EuZ3GcHUCJhACcnhQ==" saltValue="vdJ0LBYOYqIIiLCB47CRNw==" spinCount="100000" sheet="true" objects="true" scenarios="true" selectLockedCells="true" selectUnlockedCells="true"/>
  <mergeCells count="26">
    <mergeCell ref="C2:C6"/>
    <mergeCell ref="E3:G3"/>
    <mergeCell ref="I3:K3"/>
    <mergeCell ref="M3:O3"/>
    <mergeCell ref="Q3:S3"/>
    <mergeCell ref="U3:W3"/>
    <mergeCell ref="Z3:AA4"/>
    <mergeCell ref="AC3:AD4"/>
    <mergeCell ref="AF3:AG4"/>
    <mergeCell ref="E4:G4"/>
    <mergeCell ref="I4:K4"/>
    <mergeCell ref="M4:O4"/>
    <mergeCell ref="Q4:S4"/>
    <mergeCell ref="U4:W4"/>
    <mergeCell ref="E10:AI10"/>
    <mergeCell ref="E21:AI21"/>
    <mergeCell ref="E33:AI33"/>
    <mergeCell ref="E56:AI56"/>
    <mergeCell ref="E78:AI78"/>
    <mergeCell ref="E92:AI92"/>
    <mergeCell ref="E109:AI109"/>
    <mergeCell ref="E128:AI128"/>
    <mergeCell ref="E147:AI147"/>
    <mergeCell ref="E164:AI164"/>
    <mergeCell ref="E183:AI183"/>
    <mergeCell ref="E202:AI202"/>
  </mergeCells>
  <hyperlinks>
    <hyperlink ref="Z3" location="'🔒'!A1" display="REGISTROS"/>
    <hyperlink ref="AC3" location="'📈'!A1" display="RADAR"/>
    <hyperlink ref="AF3" location="ANUAL!A1" display="ANUA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17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24" activeCellId="0" sqref="D24"/>
    </sheetView>
  </sheetViews>
  <sheetFormatPr defaultColWidth="2.1484375" defaultRowHeight="12" zeroHeight="true" outlineLevelRow="0" outlineLevelCol="0"/>
  <cols>
    <col collapsed="false" customWidth="false" hidden="false" outlineLevel="0" max="1" min="1" style="78" width="2.14"/>
    <col collapsed="false" customWidth="true" hidden="false" outlineLevel="0" max="2" min="2" style="78" width="1.58"/>
    <col collapsed="false" customWidth="true" hidden="false" outlineLevel="0" max="3" min="3" style="78" width="29.29"/>
    <col collapsed="false" customWidth="true" hidden="false" outlineLevel="0" max="4" min="4" style="78" width="4.71"/>
    <col collapsed="false" customWidth="true" hidden="false" outlineLevel="0" max="34" min="5" style="78" width="5.57"/>
    <col collapsed="false" customWidth="true" hidden="false" outlineLevel="0" max="35" min="35" style="167" width="5.57"/>
    <col collapsed="false" customWidth="true" hidden="false" outlineLevel="0" max="36" min="36" style="78" width="9.58"/>
    <col collapsed="false" customWidth="true" hidden="false" outlineLevel="0" max="37" min="37" style="78" width="1.58"/>
    <col collapsed="false" customWidth="true" hidden="false" outlineLevel="0" max="38" min="38" style="78" width="2"/>
    <col collapsed="false" customWidth="false" hidden="true" outlineLevel="0" max="1024" min="39" style="78" width="2.14"/>
  </cols>
  <sheetData>
    <row r="1" customFormat="false" ht="29.25" hidden="true" customHeight="true" outlineLevel="0" collapsed="false">
      <c r="A1" s="81"/>
      <c r="B1" s="81"/>
      <c r="C1" s="81"/>
      <c r="D1" s="82"/>
      <c r="AD1" s="78" t="s">
        <v>19</v>
      </c>
      <c r="AE1" s="168" t="n">
        <v>5</v>
      </c>
      <c r="AH1" s="78" t="s">
        <v>42</v>
      </c>
      <c r="AI1" s="169" t="n">
        <f aca="false">IF('⚙️'!$Q$3=$AE$1,'⚙️'!$F$13,0)</f>
        <v>0</v>
      </c>
      <c r="AK1" s="169"/>
    </row>
    <row r="2" customFormat="false" ht="15.75" hidden="false" customHeight="true" outlineLevel="0" collapsed="false">
      <c r="A2" s="84"/>
      <c r="B2" s="84"/>
      <c r="C2" s="85" t="s">
        <v>103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7"/>
      <c r="U2" s="87"/>
      <c r="V2" s="87"/>
      <c r="W2" s="87"/>
      <c r="X2" s="87"/>
      <c r="Y2" s="87"/>
      <c r="Z2" s="87"/>
      <c r="AA2" s="87"/>
      <c r="AB2" s="87"/>
      <c r="AC2" s="238"/>
      <c r="AD2" s="239"/>
      <c r="AE2" s="239"/>
      <c r="AF2" s="239"/>
      <c r="AG2" s="239"/>
      <c r="AH2" s="239"/>
      <c r="AI2" s="239"/>
      <c r="AJ2" s="239"/>
      <c r="AK2" s="239"/>
      <c r="AL2" s="239"/>
    </row>
    <row r="3" s="180" customFormat="true" ht="18" hidden="false" customHeight="true" outlineLevel="0" collapsed="false">
      <c r="A3" s="89"/>
      <c r="B3" s="89"/>
      <c r="C3" s="85"/>
      <c r="D3" s="86"/>
      <c r="E3" s="90" t="s">
        <v>45</v>
      </c>
      <c r="F3" s="90"/>
      <c r="G3" s="90"/>
      <c r="H3" s="87"/>
      <c r="I3" s="90" t="s">
        <v>46</v>
      </c>
      <c r="J3" s="90"/>
      <c r="K3" s="90"/>
      <c r="L3" s="87"/>
      <c r="M3" s="90" t="s">
        <v>47</v>
      </c>
      <c r="N3" s="90"/>
      <c r="O3" s="90"/>
      <c r="P3" s="87"/>
      <c r="Q3" s="90" t="s">
        <v>48</v>
      </c>
      <c r="R3" s="90"/>
      <c r="S3" s="90"/>
      <c r="T3" s="87"/>
      <c r="U3" s="90" t="s">
        <v>49</v>
      </c>
      <c r="V3" s="90"/>
      <c r="W3" s="90"/>
      <c r="X3" s="87"/>
      <c r="Y3" s="87"/>
      <c r="Z3" s="178" t="s">
        <v>50</v>
      </c>
      <c r="AA3" s="178"/>
      <c r="AB3" s="239"/>
      <c r="AC3" s="178" t="s">
        <v>51</v>
      </c>
      <c r="AD3" s="178"/>
      <c r="AE3" s="239"/>
      <c r="AF3" s="178" t="s">
        <v>17</v>
      </c>
      <c r="AG3" s="178"/>
      <c r="AH3" s="240"/>
      <c r="AI3" s="240"/>
      <c r="AJ3" s="240"/>
      <c r="AK3" s="239"/>
      <c r="AL3" s="239"/>
    </row>
    <row r="4" s="180" customFormat="true" ht="18" hidden="false" customHeight="true" outlineLevel="0" collapsed="false">
      <c r="A4" s="89"/>
      <c r="B4" s="89"/>
      <c r="C4" s="85"/>
      <c r="D4" s="86"/>
      <c r="E4" s="94" t="n">
        <f aca="false">$AJ$16</f>
        <v>0</v>
      </c>
      <c r="F4" s="94"/>
      <c r="G4" s="94"/>
      <c r="H4" s="87"/>
      <c r="I4" s="94" t="n">
        <f aca="false">$AJ$14</f>
        <v>0</v>
      </c>
      <c r="J4" s="94"/>
      <c r="K4" s="94"/>
      <c r="L4" s="87"/>
      <c r="M4" s="94" t="n">
        <f aca="false">$AJ$15</f>
        <v>0</v>
      </c>
      <c r="N4" s="94"/>
      <c r="O4" s="94"/>
      <c r="P4" s="87"/>
      <c r="Q4" s="94" t="n">
        <f aca="false">$AJ$25</f>
        <v>0</v>
      </c>
      <c r="R4" s="94"/>
      <c r="S4" s="94"/>
      <c r="T4" s="87"/>
      <c r="U4" s="94" t="n">
        <f aca="false">$AJ$26</f>
        <v>0</v>
      </c>
      <c r="V4" s="94"/>
      <c r="W4" s="94"/>
      <c r="X4" s="87"/>
      <c r="Y4" s="87"/>
      <c r="Z4" s="178"/>
      <c r="AA4" s="178"/>
      <c r="AB4" s="239"/>
      <c r="AC4" s="178"/>
      <c r="AD4" s="178"/>
      <c r="AE4" s="239"/>
      <c r="AF4" s="178"/>
      <c r="AG4" s="178"/>
      <c r="AH4" s="240"/>
      <c r="AI4" s="240"/>
      <c r="AJ4" s="240"/>
      <c r="AK4" s="239"/>
      <c r="AL4" s="239"/>
    </row>
    <row r="5" customFormat="false" ht="11.25" hidden="false" customHeight="true" outlineLevel="0" collapsed="false">
      <c r="A5" s="89"/>
      <c r="B5" s="89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7"/>
      <c r="Y5" s="86"/>
      <c r="Z5" s="86"/>
      <c r="AA5" s="87"/>
      <c r="AB5" s="87"/>
      <c r="AC5" s="241"/>
      <c r="AD5" s="242"/>
      <c r="AE5" s="242"/>
      <c r="AF5" s="242"/>
      <c r="AG5" s="242"/>
      <c r="AH5" s="242"/>
      <c r="AI5" s="242"/>
      <c r="AJ5" s="239"/>
      <c r="AK5" s="239"/>
      <c r="AL5" s="239"/>
    </row>
    <row r="6" customFormat="false" ht="13.5" hidden="false" customHeight="true" outlineLevel="0" collapsed="false">
      <c r="A6" s="96"/>
      <c r="B6" s="96"/>
      <c r="C6" s="85"/>
      <c r="D6" s="97"/>
      <c r="E6" s="98" t="s">
        <v>30</v>
      </c>
      <c r="F6" s="98" t="s">
        <v>31</v>
      </c>
      <c r="G6" s="99" t="s">
        <v>32</v>
      </c>
      <c r="H6" s="99" t="s">
        <v>33</v>
      </c>
      <c r="I6" s="99" t="s">
        <v>34</v>
      </c>
      <c r="J6" s="99" t="s">
        <v>35</v>
      </c>
      <c r="K6" s="99" t="s">
        <v>36</v>
      </c>
      <c r="L6" s="99" t="s">
        <v>37</v>
      </c>
      <c r="M6" s="99" t="s">
        <v>38</v>
      </c>
      <c r="N6" s="99" t="s">
        <v>39</v>
      </c>
      <c r="O6" s="99" t="s">
        <v>40</v>
      </c>
      <c r="P6" s="99" t="s">
        <v>41</v>
      </c>
      <c r="Q6" s="99" t="s">
        <v>81</v>
      </c>
      <c r="R6" s="99" t="s">
        <v>82</v>
      </c>
      <c r="S6" s="99" t="s">
        <v>83</v>
      </c>
      <c r="T6" s="99" t="s">
        <v>84</v>
      </c>
      <c r="U6" s="99" t="s">
        <v>85</v>
      </c>
      <c r="V6" s="99" t="s">
        <v>86</v>
      </c>
      <c r="W6" s="99" t="s">
        <v>87</v>
      </c>
      <c r="X6" s="99" t="s">
        <v>88</v>
      </c>
      <c r="Y6" s="99" t="s">
        <v>89</v>
      </c>
      <c r="Z6" s="99" t="s">
        <v>90</v>
      </c>
      <c r="AA6" s="99" t="s">
        <v>91</v>
      </c>
      <c r="AB6" s="99" t="s">
        <v>92</v>
      </c>
      <c r="AC6" s="99" t="s">
        <v>93</v>
      </c>
      <c r="AD6" s="99" t="s">
        <v>94</v>
      </c>
      <c r="AE6" s="99" t="s">
        <v>95</v>
      </c>
      <c r="AF6" s="99" t="s">
        <v>96</v>
      </c>
      <c r="AG6" s="99" t="s">
        <v>97</v>
      </c>
      <c r="AH6" s="99" t="s">
        <v>98</v>
      </c>
      <c r="AI6" s="243" t="s">
        <v>99</v>
      </c>
      <c r="AJ6" s="239"/>
      <c r="AK6" s="239"/>
      <c r="AL6" s="239"/>
    </row>
    <row r="7" s="78" customFormat="true" ht="12.75" hidden="false" customHeight="false" outlineLevel="0" collapsed="false">
      <c r="E7" s="100"/>
    </row>
    <row r="8" s="78" customFormat="true" ht="12" hidden="false" customHeight="false" outlineLevel="0" collapsed="false"/>
    <row r="9" s="78" customFormat="true" ht="12" hidden="false" customHeight="false" outlineLevel="0" collapsed="false"/>
    <row r="10" customFormat="false" ht="39.75" hidden="false" customHeight="true" outlineLevel="0" collapsed="false">
      <c r="C10" s="101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3" t="s">
        <v>2</v>
      </c>
    </row>
    <row r="11" s="78" customFormat="true" ht="12.75" hidden="false" customHeight="false" outlineLevel="0" collapsed="false">
      <c r="AJ11" s="106" t="s">
        <v>64</v>
      </c>
    </row>
    <row r="12" customFormat="false" ht="6.75" hidden="false" customHeight="tru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94"/>
      <c r="AK12" s="107"/>
    </row>
    <row r="13" customFormat="false" ht="13.5" hidden="true" customHeight="false" outlineLevel="0" collapsed="false">
      <c r="B13" s="86"/>
      <c r="C13" s="109" t="s">
        <v>68</v>
      </c>
      <c r="D13" s="110" t="s">
        <v>69</v>
      </c>
      <c r="E13" s="110" t="s">
        <v>30</v>
      </c>
      <c r="F13" s="110" t="s">
        <v>31</v>
      </c>
      <c r="G13" s="110" t="s">
        <v>32</v>
      </c>
      <c r="H13" s="110" t="s">
        <v>33</v>
      </c>
      <c r="I13" s="110" t="s">
        <v>34</v>
      </c>
      <c r="J13" s="110" t="s">
        <v>35</v>
      </c>
      <c r="K13" s="110" t="s">
        <v>36</v>
      </c>
      <c r="L13" s="110" t="s">
        <v>37</v>
      </c>
      <c r="M13" s="110" t="s">
        <v>38</v>
      </c>
      <c r="N13" s="110" t="s">
        <v>39</v>
      </c>
      <c r="O13" s="110" t="s">
        <v>40</v>
      </c>
      <c r="P13" s="110" t="s">
        <v>41</v>
      </c>
      <c r="Q13" s="110" t="s">
        <v>81</v>
      </c>
      <c r="R13" s="110" t="s">
        <v>82</v>
      </c>
      <c r="S13" s="110" t="s">
        <v>83</v>
      </c>
      <c r="T13" s="110" t="s">
        <v>84</v>
      </c>
      <c r="U13" s="110" t="s">
        <v>85</v>
      </c>
      <c r="V13" s="110" t="s">
        <v>86</v>
      </c>
      <c r="W13" s="110" t="s">
        <v>87</v>
      </c>
      <c r="X13" s="110" t="s">
        <v>88</v>
      </c>
      <c r="Y13" s="110" t="s">
        <v>89</v>
      </c>
      <c r="Z13" s="110" t="s">
        <v>90</v>
      </c>
      <c r="AA13" s="110" t="s">
        <v>91</v>
      </c>
      <c r="AB13" s="110" t="s">
        <v>92</v>
      </c>
      <c r="AC13" s="110" t="s">
        <v>93</v>
      </c>
      <c r="AD13" s="110" t="s">
        <v>94</v>
      </c>
      <c r="AE13" s="110" t="s">
        <v>95</v>
      </c>
      <c r="AF13" s="110" t="s">
        <v>96</v>
      </c>
      <c r="AG13" s="110" t="s">
        <v>97</v>
      </c>
      <c r="AH13" s="110" t="s">
        <v>98</v>
      </c>
      <c r="AI13" s="110" t="s">
        <v>99</v>
      </c>
      <c r="AJ13" s="111" t="s">
        <v>70</v>
      </c>
      <c r="AK13" s="107"/>
    </row>
    <row r="14" customFormat="false" ht="19.5" hidden="false" customHeight="true" outlineLevel="0" collapsed="false">
      <c r="B14" s="107"/>
      <c r="C14" s="112" t="s">
        <v>71</v>
      </c>
      <c r="D14" s="113"/>
      <c r="E14" s="114" t="n">
        <f aca="false">SUMIFS(tabela_registros[VALOR],tabela_registros[MÊS],$AE$1,tabela_registros[DIA],maitotal30597183[[#Headers],[1]],tabela_registros[REGISTRO],DADOS!$N$3)</f>
        <v>0</v>
      </c>
      <c r="F14" s="114" t="n">
        <f aca="false">SUMIFS(tabela_registros[VALOR],tabela_registros[MÊS],$AE$1,tabela_registros[DIA],maitotal30597183[[#Headers],[2]],tabela_registros[REGISTRO],DADOS!$N$3)</f>
        <v>0</v>
      </c>
      <c r="G14" s="114" t="n">
        <f aca="false">SUMIFS(tabela_registros[VALOR],tabela_registros[MÊS],$AE$1,tabela_registros[DIA],maitotal30597183[[#Headers],[3]],tabela_registros[REGISTRO],DADOS!$N$3)</f>
        <v>0</v>
      </c>
      <c r="H14" s="114" t="n">
        <f aca="false">SUMIFS(tabela_registros[VALOR],tabela_registros[MÊS],$AE$1,tabela_registros[DIA],maitotal30597183[[#Headers],[4]],tabela_registros[REGISTRO],DADOS!$N$3)</f>
        <v>0</v>
      </c>
      <c r="I14" s="114" t="n">
        <f aca="false">SUMIFS(tabela_registros[VALOR],tabela_registros[MÊS],$AE$1,tabela_registros[DIA],maitotal30597183[[#Headers],[5]],tabela_registros[REGISTRO],DADOS!$N$3)</f>
        <v>0</v>
      </c>
      <c r="J14" s="114" t="n">
        <f aca="false">SUMIFS(tabela_registros[VALOR],tabela_registros[MÊS],$AE$1,tabela_registros[DIA],maitotal30597183[[#Headers],[6]],tabela_registros[REGISTRO],DADOS!$N$3)</f>
        <v>0</v>
      </c>
      <c r="K14" s="114" t="n">
        <f aca="false">SUMIFS(tabela_registros[VALOR],tabela_registros[MÊS],$AE$1,tabela_registros[DIA],maitotal30597183[[#Headers],[7]],tabela_registros[REGISTRO],DADOS!$N$3)</f>
        <v>0</v>
      </c>
      <c r="L14" s="114" t="n">
        <f aca="false">SUMIFS(tabela_registros[VALOR],tabela_registros[MÊS],$AE$1,tabela_registros[DIA],maitotal30597183[[#Headers],[8]],tabela_registros[REGISTRO],DADOS!$N$3)</f>
        <v>0</v>
      </c>
      <c r="M14" s="114" t="n">
        <f aca="false">SUMIFS(tabela_registros[VALOR],tabela_registros[MÊS],$AE$1,tabela_registros[DIA],maitotal30597183[[#Headers],[9]],tabela_registros[REGISTRO],DADOS!$N$3)</f>
        <v>0</v>
      </c>
      <c r="N14" s="114" t="n">
        <f aca="false">SUMIFS(tabela_registros[VALOR],tabela_registros[MÊS],$AE$1,tabela_registros[DIA],maitotal30597183[[#Headers],[10]],tabela_registros[REGISTRO],DADOS!$N$3)</f>
        <v>0</v>
      </c>
      <c r="O14" s="114" t="n">
        <f aca="false">SUMIFS(tabela_registros[VALOR],tabela_registros[MÊS],$AE$1,tabela_registros[DIA],maitotal30597183[[#Headers],[11]],tabela_registros[REGISTRO],DADOS!$N$3)</f>
        <v>0</v>
      </c>
      <c r="P14" s="114" t="n">
        <f aca="false">SUMIFS(tabela_registros[VALOR],tabela_registros[MÊS],$AE$1,tabela_registros[DIA],maitotal30597183[[#Headers],[12]],tabela_registros[REGISTRO],DADOS!$N$3)</f>
        <v>0</v>
      </c>
      <c r="Q14" s="114" t="n">
        <f aca="false">SUMIFS(tabela_registros[VALOR],tabela_registros[MÊS],$AE$1,tabela_registros[DIA],maitotal30597183[[#Headers],[13]],tabela_registros[REGISTRO],DADOS!$N$3)</f>
        <v>0</v>
      </c>
      <c r="R14" s="114" t="n">
        <f aca="false">SUMIFS(tabela_registros[VALOR],tabela_registros[MÊS],$AE$1,tabela_registros[DIA],maitotal30597183[[#Headers],[14]],tabela_registros[REGISTRO],DADOS!$N$3)</f>
        <v>0</v>
      </c>
      <c r="S14" s="114" t="n">
        <f aca="false">SUMIFS(tabela_registros[VALOR],tabela_registros[MÊS],$AE$1,tabela_registros[DIA],maitotal30597183[[#Headers],[15]],tabela_registros[REGISTRO],DADOS!$N$3)</f>
        <v>0</v>
      </c>
      <c r="T14" s="114" t="n">
        <f aca="false">SUMIFS(tabela_registros[VALOR],tabela_registros[MÊS],$AE$1,tabela_registros[DIA],maitotal30597183[[#Headers],[16]],tabela_registros[REGISTRO],DADOS!$N$3)</f>
        <v>0</v>
      </c>
      <c r="U14" s="114" t="n">
        <f aca="false">SUMIFS(tabela_registros[VALOR],tabela_registros[MÊS],$AE$1,tabela_registros[DIA],maitotal30597183[[#Headers],[17]],tabela_registros[REGISTRO],DADOS!$N$3)</f>
        <v>0</v>
      </c>
      <c r="V14" s="114" t="n">
        <f aca="false">SUMIFS(tabela_registros[VALOR],tabela_registros[MÊS],$AE$1,tabela_registros[DIA],maitotal30597183[[#Headers],[18]],tabela_registros[REGISTRO],DADOS!$N$3)</f>
        <v>0</v>
      </c>
      <c r="W14" s="114" t="n">
        <f aca="false">SUMIFS(tabela_registros[VALOR],tabela_registros[MÊS],$AE$1,tabela_registros[DIA],maitotal30597183[[#Headers],[19]],tabela_registros[REGISTRO],DADOS!$N$3)</f>
        <v>0</v>
      </c>
      <c r="X14" s="114" t="n">
        <f aca="false">SUMIFS(tabela_registros[VALOR],tabela_registros[MÊS],$AE$1,tabela_registros[DIA],maitotal30597183[[#Headers],[20]],tabela_registros[REGISTRO],DADOS!$N$3)</f>
        <v>0</v>
      </c>
      <c r="Y14" s="114" t="n">
        <f aca="false">SUMIFS(tabela_registros[VALOR],tabela_registros[MÊS],$AE$1,tabela_registros[DIA],maitotal30597183[[#Headers],[21]],tabela_registros[REGISTRO],DADOS!$N$3)</f>
        <v>0</v>
      </c>
      <c r="Z14" s="114" t="n">
        <f aca="false">SUMIFS(tabela_registros[VALOR],tabela_registros[MÊS],$AE$1,tabela_registros[DIA],maitotal30597183[[#Headers],[22]],tabela_registros[REGISTRO],DADOS!$N$3)</f>
        <v>0</v>
      </c>
      <c r="AA14" s="114" t="n">
        <f aca="false">SUMIFS(tabela_registros[VALOR],tabela_registros[MÊS],$AE$1,tabela_registros[DIA],maitotal30597183[[#Headers],[23]],tabela_registros[REGISTRO],DADOS!$N$3)</f>
        <v>0</v>
      </c>
      <c r="AB14" s="114" t="n">
        <f aca="false">SUMIFS(tabela_registros[VALOR],tabela_registros[MÊS],$AE$1,tabela_registros[DIA],maitotal30597183[[#Headers],[24]],tabela_registros[REGISTRO],DADOS!$N$3)</f>
        <v>0</v>
      </c>
      <c r="AC14" s="114" t="n">
        <f aca="false">SUMIFS(tabela_registros[VALOR],tabela_registros[MÊS],$AE$1,tabela_registros[DIA],maitotal30597183[[#Headers],[25]],tabela_registros[REGISTRO],DADOS!$N$3)</f>
        <v>0</v>
      </c>
      <c r="AD14" s="114" t="n">
        <f aca="false">SUMIFS(tabela_registros[VALOR],tabela_registros[MÊS],$AE$1,tabela_registros[DIA],maitotal30597183[[#Headers],[26]],tabela_registros[REGISTRO],DADOS!$N$3)</f>
        <v>0</v>
      </c>
      <c r="AE14" s="114" t="n">
        <f aca="false">SUMIFS(tabela_registros[VALOR],tabela_registros[MÊS],$AE$1,tabela_registros[DIA],maitotal30597183[[#Headers],[27]],tabela_registros[REGISTRO],DADOS!$N$3)</f>
        <v>0</v>
      </c>
      <c r="AF14" s="114" t="n">
        <f aca="false">SUMIFS(tabela_registros[VALOR],tabela_registros[MÊS],$AE$1,tabela_registros[DIA],maitotal30597183[[#Headers],[28]],tabela_registros[REGISTRO],DADOS!$N$3)</f>
        <v>0</v>
      </c>
      <c r="AG14" s="114" t="n">
        <f aca="false">SUMIFS(tabela_registros[VALOR],tabela_registros[MÊS],$AE$1,tabela_registros[DIA],maitotal30597183[[#Headers],[29]],tabela_registros[REGISTRO],DADOS!$N$3)</f>
        <v>0</v>
      </c>
      <c r="AH14" s="114" t="n">
        <f aca="false">SUMIFS(tabela_registros[VALOR],tabela_registros[MÊS],$AE$1,tabela_registros[DIA],maitotal30597183[[#Headers],[30]],tabela_registros[REGISTRO],DADOS!$N$3)</f>
        <v>0</v>
      </c>
      <c r="AI14" s="115" t="n">
        <f aca="false">SUMIFS(tabela_registros[VALOR],tabela_registros[MÊS],$AE$1,tabela_registros[DIA],maitotal30597183[[#Headers],[31]],tabela_registros[REGISTRO],DADOS!$N$3)</f>
        <v>0</v>
      </c>
      <c r="AJ14" s="116" t="n">
        <f aca="false">SUM(maitotal30597183[[#This Row],[1]:[31]])</f>
        <v>0</v>
      </c>
      <c r="AK14" s="107"/>
    </row>
    <row r="15" customFormat="false" ht="18" hidden="false" customHeight="true" outlineLevel="0" collapsed="false">
      <c r="B15" s="107"/>
      <c r="C15" s="112" t="s">
        <v>72</v>
      </c>
      <c r="D15" s="113"/>
      <c r="E15" s="119" t="n">
        <f aca="false">SUMIFS(tabela_registros[VALOR],tabela_registros[MÊS],$AE$1,tabela_registros[DIA],maitotal30597183[[#Headers],[1]],tabela_registros[REGISTRO],DADOS!$N$4)</f>
        <v>0</v>
      </c>
      <c r="F15" s="119" t="n">
        <f aca="false">SUMIFS(tabela_registros[VALOR],tabela_registros[MÊS],$AE$1,tabela_registros[DIA],maitotal30597183[[#Headers],[2]],tabela_registros[REGISTRO],DADOS!$N$4)</f>
        <v>0</v>
      </c>
      <c r="G15" s="119" t="n">
        <f aca="false">SUMIFS(tabela_registros[VALOR],tabela_registros[MÊS],$AE$1,tabela_registros[DIA],maitotal30597183[[#Headers],[3]],tabela_registros[REGISTRO],DADOS!$N$4)</f>
        <v>0</v>
      </c>
      <c r="H15" s="119" t="n">
        <f aca="false">SUMIFS(tabela_registros[VALOR],tabela_registros[MÊS],$AE$1,tabela_registros[DIA],maitotal30597183[[#Headers],[4]],tabela_registros[REGISTRO],DADOS!$N$4)</f>
        <v>0</v>
      </c>
      <c r="I15" s="119" t="n">
        <f aca="false">SUMIFS(tabela_registros[VALOR],tabela_registros[MÊS],$AE$1,tabela_registros[DIA],maitotal30597183[[#Headers],[5]],tabela_registros[REGISTRO],DADOS!$N$4)</f>
        <v>0</v>
      </c>
      <c r="J15" s="119" t="n">
        <f aca="false">SUMIFS(tabela_registros[VALOR],tabela_registros[MÊS],$AE$1,tabela_registros[DIA],maitotal30597183[[#Headers],[6]],tabela_registros[REGISTRO],DADOS!$N$4)</f>
        <v>0</v>
      </c>
      <c r="K15" s="119" t="n">
        <f aca="false">SUMIFS(tabela_registros[VALOR],tabela_registros[MÊS],$AE$1,tabela_registros[DIA],maitotal30597183[[#Headers],[7]],tabela_registros[REGISTRO],DADOS!$N$4)</f>
        <v>0</v>
      </c>
      <c r="L15" s="119" t="n">
        <f aca="false">SUMIFS(tabela_registros[VALOR],tabela_registros[MÊS],$AE$1,tabela_registros[DIA],maitotal30597183[[#Headers],[8]],tabela_registros[REGISTRO],DADOS!$N$4)</f>
        <v>0</v>
      </c>
      <c r="M15" s="119" t="n">
        <f aca="false">SUMIFS(tabela_registros[VALOR],tabela_registros[MÊS],$AE$1,tabela_registros[DIA],maitotal30597183[[#Headers],[9]],tabela_registros[REGISTRO],DADOS!$N$4)</f>
        <v>0</v>
      </c>
      <c r="N15" s="119" t="n">
        <f aca="false">SUMIFS(tabela_registros[VALOR],tabela_registros[MÊS],$AE$1,tabela_registros[DIA],maitotal30597183[[#Headers],[10]],tabela_registros[REGISTRO],DADOS!$N$4)</f>
        <v>0</v>
      </c>
      <c r="O15" s="119" t="n">
        <f aca="false">SUMIFS(tabela_registros[VALOR],tabela_registros[MÊS],$AE$1,tabela_registros[DIA],maitotal30597183[[#Headers],[11]],tabela_registros[REGISTRO],DADOS!$N$4)</f>
        <v>0</v>
      </c>
      <c r="P15" s="119" t="n">
        <f aca="false">SUMIFS(tabela_registros[VALOR],tabela_registros[MÊS],$AE$1,tabela_registros[DIA],maitotal30597183[[#Headers],[12]],tabela_registros[REGISTRO],DADOS!$N$4)</f>
        <v>0</v>
      </c>
      <c r="Q15" s="119" t="n">
        <f aca="false">SUMIFS(tabela_registros[VALOR],tabela_registros[MÊS],$AE$1,tabela_registros[DIA],maitotal30597183[[#Headers],[13]],tabela_registros[REGISTRO],DADOS!$N$4)</f>
        <v>0</v>
      </c>
      <c r="R15" s="119" t="n">
        <f aca="false">SUMIFS(tabela_registros[VALOR],tabela_registros[MÊS],$AE$1,tabela_registros[DIA],maitotal30597183[[#Headers],[14]],tabela_registros[REGISTRO],DADOS!$N$4)</f>
        <v>0</v>
      </c>
      <c r="S15" s="119" t="n">
        <f aca="false">SUMIFS(tabela_registros[VALOR],tabela_registros[MÊS],$AE$1,tabela_registros[DIA],maitotal30597183[[#Headers],[15]],tabela_registros[REGISTRO],DADOS!$N$4)</f>
        <v>0</v>
      </c>
      <c r="T15" s="119" t="n">
        <f aca="false">SUMIFS(tabela_registros[VALOR],tabela_registros[MÊS],$AE$1,tabela_registros[DIA],maitotal30597183[[#Headers],[16]],tabela_registros[REGISTRO],DADOS!$N$4)</f>
        <v>0</v>
      </c>
      <c r="U15" s="119" t="n">
        <f aca="false">SUMIFS(tabela_registros[VALOR],tabela_registros[MÊS],$AE$1,tabela_registros[DIA],maitotal30597183[[#Headers],[17]],tabela_registros[REGISTRO],DADOS!$N$4)</f>
        <v>0</v>
      </c>
      <c r="V15" s="119" t="n">
        <f aca="false">SUMIFS(tabela_registros[VALOR],tabela_registros[MÊS],$AE$1,tabela_registros[DIA],maitotal30597183[[#Headers],[18]],tabela_registros[REGISTRO],DADOS!$N$4)</f>
        <v>0</v>
      </c>
      <c r="W15" s="119" t="n">
        <f aca="false">SUMIFS(tabela_registros[VALOR],tabela_registros[MÊS],$AE$1,tabela_registros[DIA],maitotal30597183[[#Headers],[19]],tabela_registros[REGISTRO],DADOS!$N$4)</f>
        <v>0</v>
      </c>
      <c r="X15" s="119" t="n">
        <f aca="false">SUMIFS(tabela_registros[VALOR],tabela_registros[MÊS],$AE$1,tabela_registros[DIA],maitotal30597183[[#Headers],[20]],tabela_registros[REGISTRO],DADOS!$N$4)</f>
        <v>0</v>
      </c>
      <c r="Y15" s="119" t="n">
        <f aca="false">SUMIFS(tabela_registros[VALOR],tabela_registros[MÊS],$AE$1,tabela_registros[DIA],maitotal30597183[[#Headers],[21]],tabela_registros[REGISTRO],DADOS!$N$4)</f>
        <v>0</v>
      </c>
      <c r="Z15" s="119" t="n">
        <f aca="false">SUMIFS(tabela_registros[VALOR],tabela_registros[MÊS],$AE$1,tabela_registros[DIA],maitotal30597183[[#Headers],[22]],tabela_registros[REGISTRO],DADOS!$N$4)</f>
        <v>0</v>
      </c>
      <c r="AA15" s="119" t="n">
        <f aca="false">SUMIFS(tabela_registros[VALOR],tabela_registros[MÊS],$AE$1,tabela_registros[DIA],maitotal30597183[[#Headers],[23]],tabela_registros[REGISTRO],DADOS!$N$4)</f>
        <v>0</v>
      </c>
      <c r="AB15" s="119" t="n">
        <f aca="false">SUMIFS(tabela_registros[VALOR],tabela_registros[MÊS],$AE$1,tabela_registros[DIA],maitotal30597183[[#Headers],[24]],tabela_registros[REGISTRO],DADOS!$N$4)</f>
        <v>0</v>
      </c>
      <c r="AC15" s="119" t="n">
        <f aca="false">SUMIFS(tabela_registros[VALOR],tabela_registros[MÊS],$AE$1,tabela_registros[DIA],maitotal30597183[[#Headers],[25]],tabela_registros[REGISTRO],DADOS!$N$4)</f>
        <v>0</v>
      </c>
      <c r="AD15" s="119" t="n">
        <f aca="false">SUMIFS(tabela_registros[VALOR],tabela_registros[MÊS],$AE$1,tabela_registros[DIA],maitotal30597183[[#Headers],[26]],tabela_registros[REGISTRO],DADOS!$N$4)</f>
        <v>0</v>
      </c>
      <c r="AE15" s="119" t="n">
        <f aca="false">SUMIFS(tabela_registros[VALOR],tabela_registros[MÊS],$AE$1,tabela_registros[DIA],maitotal30597183[[#Headers],[27]],tabela_registros[REGISTRO],DADOS!$N$4)</f>
        <v>0</v>
      </c>
      <c r="AF15" s="119" t="n">
        <f aca="false">SUMIFS(tabela_registros[VALOR],tabela_registros[MÊS],$AE$1,tabela_registros[DIA],maitotal30597183[[#Headers],[28]],tabela_registros[REGISTRO],DADOS!$N$4)</f>
        <v>0</v>
      </c>
      <c r="AG15" s="119" t="n">
        <f aca="false">SUMIFS(tabela_registros[VALOR],tabela_registros[MÊS],$AE$1,tabela_registros[DIA],maitotal30597183[[#Headers],[29]],tabela_registros[REGISTRO],DADOS!$N$4)</f>
        <v>0</v>
      </c>
      <c r="AH15" s="119" t="n">
        <f aca="false">SUMIFS(tabela_registros[VALOR],tabela_registros[MÊS],$AE$1,tabela_registros[DIA],maitotal30597183[[#Headers],[30]],tabela_registros[REGISTRO],DADOS!$N$4)</f>
        <v>0</v>
      </c>
      <c r="AI15" s="120" t="n">
        <f aca="false">SUMIFS(tabela_registros[VALOR],tabela_registros[MÊS],$AE$1,tabela_registros[DIA],maitotal30597183[[#Headers],[31]],tabela_registros[REGISTRO],DADOS!$N$4)</f>
        <v>0</v>
      </c>
      <c r="AJ15" s="121" t="n">
        <f aca="false">SUM(maitotal30597183[[#This Row],[1]:[31]])</f>
        <v>0</v>
      </c>
      <c r="AK15" s="107"/>
    </row>
    <row r="16" s="122" customFormat="true" ht="21" hidden="false" customHeight="true" outlineLevel="0" collapsed="false">
      <c r="B16" s="123"/>
      <c r="C16" s="124" t="s">
        <v>73</v>
      </c>
      <c r="D16" s="125"/>
      <c r="E16" s="126" t="n">
        <f aca="false">(E14-E15)+AI1</f>
        <v>0</v>
      </c>
      <c r="F16" s="127" t="n">
        <f aca="false">maitotal30597183[[#This Row],[1]]+(F14-F15)</f>
        <v>0</v>
      </c>
      <c r="G16" s="127" t="n">
        <f aca="false">maitotal30597183[[#This Row],[2]]+(G14-G15)</f>
        <v>0</v>
      </c>
      <c r="H16" s="127" t="n">
        <f aca="false">maitotal30597183[[#This Row],[3]]+(H14-H15)</f>
        <v>0</v>
      </c>
      <c r="I16" s="127" t="n">
        <f aca="false">maitotal30597183[[#This Row],[4]]+(I14-I15)</f>
        <v>0</v>
      </c>
      <c r="J16" s="127" t="n">
        <f aca="false">maitotal30597183[[#This Row],[5]]+(J14-J15)</f>
        <v>0</v>
      </c>
      <c r="K16" s="127" t="n">
        <f aca="false">maitotal30597183[[#This Row],[6]]+(K14-K15)</f>
        <v>0</v>
      </c>
      <c r="L16" s="127" t="n">
        <f aca="false">maitotal30597183[[#This Row],[7]]+(L14-L15)</f>
        <v>0</v>
      </c>
      <c r="M16" s="127" t="n">
        <f aca="false">maitotal30597183[[#This Row],[8]]+(M14-M15)</f>
        <v>0</v>
      </c>
      <c r="N16" s="127" t="n">
        <f aca="false">maitotal30597183[[#This Row],[9]]+(N14-N15)</f>
        <v>0</v>
      </c>
      <c r="O16" s="127" t="n">
        <f aca="false">maitotal30597183[[#This Row],[10]]+(O14-O15)</f>
        <v>0</v>
      </c>
      <c r="P16" s="127" t="n">
        <f aca="false">maitotal30597183[[#This Row],[11]]+(P14-P15)</f>
        <v>0</v>
      </c>
      <c r="Q16" s="127" t="n">
        <f aca="false">maitotal30597183[[#This Row],[12]]+(Q14-Q15)</f>
        <v>0</v>
      </c>
      <c r="R16" s="127" t="n">
        <f aca="false">maitotal30597183[[#This Row],[13]]+(R14-R15)</f>
        <v>0</v>
      </c>
      <c r="S16" s="127" t="n">
        <f aca="false">maitotal30597183[[#This Row],[14]]+(S14-S15)</f>
        <v>0</v>
      </c>
      <c r="T16" s="127" t="n">
        <f aca="false">maitotal30597183[[#This Row],[15]]+(T14-T15)</f>
        <v>0</v>
      </c>
      <c r="U16" s="127" t="n">
        <f aca="false">maitotal30597183[[#This Row],[16]]+(U14-U15)</f>
        <v>0</v>
      </c>
      <c r="V16" s="127" t="n">
        <f aca="false">maitotal30597183[[#This Row],[17]]+(V14-V15)</f>
        <v>0</v>
      </c>
      <c r="W16" s="127" t="n">
        <f aca="false">maitotal30597183[[#This Row],[18]]+(W14-W15)</f>
        <v>0</v>
      </c>
      <c r="X16" s="127" t="n">
        <f aca="false">maitotal30597183[[#This Row],[19]]+(X14-X15)</f>
        <v>0</v>
      </c>
      <c r="Y16" s="127" t="n">
        <f aca="false">maitotal30597183[[#This Row],[20]]+(Y14-Y15)</f>
        <v>0</v>
      </c>
      <c r="Z16" s="127" t="n">
        <f aca="false">maitotal30597183[[#This Row],[21]]+(Z14-Z15)</f>
        <v>0</v>
      </c>
      <c r="AA16" s="127" t="n">
        <f aca="false">maitotal30597183[[#This Row],[22]]+(AA14-AA15)</f>
        <v>0</v>
      </c>
      <c r="AB16" s="127" t="n">
        <f aca="false">maitotal30597183[[#This Row],[23]]+(AB14-AB15)</f>
        <v>0</v>
      </c>
      <c r="AC16" s="127" t="n">
        <f aca="false">maitotal30597183[[#This Row],[24]]+(AC14-AC15)</f>
        <v>0</v>
      </c>
      <c r="AD16" s="127" t="n">
        <f aca="false">maitotal30597183[[#This Row],[25]]+(AD14-AD15)</f>
        <v>0</v>
      </c>
      <c r="AE16" s="127" t="n">
        <f aca="false">maitotal30597183[[#This Row],[26]]+(AE14-AE15)</f>
        <v>0</v>
      </c>
      <c r="AF16" s="127" t="n">
        <f aca="false">maitotal30597183[[#This Row],[27]]+(AF14-AF15)</f>
        <v>0</v>
      </c>
      <c r="AG16" s="127" t="n">
        <f aca="false">maitotal30597183[[#This Row],[28]]+(AG14-AG15)</f>
        <v>0</v>
      </c>
      <c r="AH16" s="127" t="n">
        <f aca="false">maitotal30597183[[#This Row],[29]]+(AH14-AH15)</f>
        <v>0</v>
      </c>
      <c r="AI16" s="128" t="n">
        <f aca="false">maitotal30597183[[#This Row],[30]]+(AI14-AI15)</f>
        <v>0</v>
      </c>
      <c r="AJ16" s="129" t="n">
        <f aca="false">maitotal30597183[[#This Row],[31]]</f>
        <v>0</v>
      </c>
      <c r="AK16" s="123"/>
    </row>
    <row r="17" customFormat="false" ht="6.75" hidden="false" customHeight="true" outlineLevel="0" collapsed="false"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94"/>
      <c r="AJ17" s="107"/>
      <c r="AK17" s="107"/>
    </row>
    <row r="18" customFormat="false" ht="12.75" hidden="false" customHeight="false" outlineLevel="0" collapsed="false">
      <c r="C18" s="133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</row>
    <row r="19" customFormat="false" ht="12" hidden="false" customHeight="false" outlineLevel="0" collapsed="false">
      <c r="C19" s="133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</row>
    <row r="20" customFormat="false" ht="12" hidden="false" customHeight="false" outlineLevel="0" collapsed="false">
      <c r="A20" s="133"/>
      <c r="B20" s="133"/>
      <c r="C20" s="133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</row>
    <row r="21" customFormat="false" ht="39.75" hidden="false" customHeight="true" outlineLevel="0" collapsed="false">
      <c r="A21" s="133"/>
      <c r="B21" s="133"/>
      <c r="C21" s="133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3" t="s">
        <v>2</v>
      </c>
    </row>
    <row r="22" s="78" customFormat="true" ht="11.25" hidden="false" customHeight="true" outlineLevel="0" collapsed="false">
      <c r="C22" s="101"/>
      <c r="AJ22" s="106" t="s">
        <v>64</v>
      </c>
    </row>
    <row r="23" customFormat="false" ht="6.75" hidden="false" customHeight="true" outlineLevel="0" collapsed="false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94"/>
      <c r="AK23" s="107"/>
    </row>
    <row r="24" customFormat="false" ht="13.5" hidden="true" customHeight="false" outlineLevel="0" collapsed="false">
      <c r="B24" s="86"/>
      <c r="C24" s="110" t="s">
        <v>68</v>
      </c>
      <c r="D24" s="107" t="s">
        <v>69</v>
      </c>
      <c r="E24" s="110" t="s">
        <v>30</v>
      </c>
      <c r="F24" s="110" t="s">
        <v>31</v>
      </c>
      <c r="G24" s="110" t="s">
        <v>32</v>
      </c>
      <c r="H24" s="110" t="s">
        <v>33</v>
      </c>
      <c r="I24" s="110" t="s">
        <v>34</v>
      </c>
      <c r="J24" s="110" t="s">
        <v>35</v>
      </c>
      <c r="K24" s="110" t="s">
        <v>36</v>
      </c>
      <c r="L24" s="110" t="s">
        <v>37</v>
      </c>
      <c r="M24" s="110" t="s">
        <v>38</v>
      </c>
      <c r="N24" s="110" t="s">
        <v>39</v>
      </c>
      <c r="O24" s="110" t="s">
        <v>40</v>
      </c>
      <c r="P24" s="110" t="s">
        <v>41</v>
      </c>
      <c r="Q24" s="110" t="s">
        <v>81</v>
      </c>
      <c r="R24" s="110" t="s">
        <v>82</v>
      </c>
      <c r="S24" s="110" t="s">
        <v>83</v>
      </c>
      <c r="T24" s="110" t="s">
        <v>84</v>
      </c>
      <c r="U24" s="110" t="s">
        <v>85</v>
      </c>
      <c r="V24" s="110" t="s">
        <v>86</v>
      </c>
      <c r="W24" s="110" t="s">
        <v>87</v>
      </c>
      <c r="X24" s="110" t="s">
        <v>88</v>
      </c>
      <c r="Y24" s="110" t="s">
        <v>89</v>
      </c>
      <c r="Z24" s="110" t="s">
        <v>90</v>
      </c>
      <c r="AA24" s="110" t="s">
        <v>91</v>
      </c>
      <c r="AB24" s="110" t="s">
        <v>92</v>
      </c>
      <c r="AC24" s="110" t="s">
        <v>93</v>
      </c>
      <c r="AD24" s="110" t="s">
        <v>94</v>
      </c>
      <c r="AE24" s="110" t="s">
        <v>95</v>
      </c>
      <c r="AF24" s="110" t="s">
        <v>96</v>
      </c>
      <c r="AG24" s="110" t="s">
        <v>97</v>
      </c>
      <c r="AH24" s="110" t="s">
        <v>98</v>
      </c>
      <c r="AI24" s="110" t="s">
        <v>99</v>
      </c>
      <c r="AJ24" s="111" t="s">
        <v>70</v>
      </c>
      <c r="AK24" s="107"/>
    </row>
    <row r="25" customFormat="false" ht="19.5" hidden="false" customHeight="true" outlineLevel="0" collapsed="false">
      <c r="B25" s="107"/>
      <c r="C25" s="112" t="s">
        <v>15</v>
      </c>
      <c r="D25" s="113"/>
      <c r="E25" s="114" t="n">
        <f aca="false">SUMIFS(tabela_registros[VALOR],tabela_registros[MÊS],$AE$1,tabela_registros[DIA],maitotal30597183[[#Headers],[1]],tabela_registros[REGISTRO],DADOS!$N$5)</f>
        <v>0</v>
      </c>
      <c r="F25" s="114" t="n">
        <f aca="false">SUMIFS(tabela_registros[VALOR],tabela_registros[MÊS],$AE$1,tabela_registros[DIA],maitotal30597183[[#Headers],[2]],tabela_registros[REGISTRO],DADOS!$N$5)</f>
        <v>0</v>
      </c>
      <c r="G25" s="114" t="n">
        <f aca="false">SUMIFS(tabela_registros[VALOR],tabela_registros[MÊS],$AE$1,tabela_registros[DIA],maitotal30597183[[#Headers],[3]],tabela_registros[REGISTRO],DADOS!$N$5)</f>
        <v>0</v>
      </c>
      <c r="H25" s="114" t="n">
        <f aca="false">SUMIFS(tabela_registros[VALOR],tabela_registros[MÊS],$AE$1,tabela_registros[DIA],maitotal30597183[[#Headers],[4]],tabela_registros[REGISTRO],DADOS!$N$5)</f>
        <v>0</v>
      </c>
      <c r="I25" s="114" t="n">
        <f aca="false">SUMIFS(tabela_registros[VALOR],tabela_registros[MÊS],$AE$1,tabela_registros[DIA],maitotal30597183[[#Headers],[5]],tabela_registros[REGISTRO],DADOS!$N$5)</f>
        <v>0</v>
      </c>
      <c r="J25" s="114" t="n">
        <f aca="false">SUMIFS(tabela_registros[VALOR],tabela_registros[MÊS],$AE$1,tabela_registros[DIA],maitotal30597183[[#Headers],[6]],tabela_registros[REGISTRO],DADOS!$N$5)</f>
        <v>0</v>
      </c>
      <c r="K25" s="114" t="n">
        <f aca="false">SUMIFS(tabela_registros[VALOR],tabela_registros[MÊS],$AE$1,tabela_registros[DIA],maitotal30597183[[#Headers],[7]],tabela_registros[REGISTRO],DADOS!$N$5)</f>
        <v>0</v>
      </c>
      <c r="L25" s="114" t="n">
        <f aca="false">SUMIFS(tabela_registros[VALOR],tabela_registros[MÊS],$AE$1,tabela_registros[DIA],maitotal30597183[[#Headers],[8]],tabela_registros[REGISTRO],DADOS!$N$5)</f>
        <v>0</v>
      </c>
      <c r="M25" s="114" t="n">
        <f aca="false">SUMIFS(tabela_registros[VALOR],tabela_registros[MÊS],$AE$1,tabela_registros[DIA],maitotal30597183[[#Headers],[9]],tabela_registros[REGISTRO],DADOS!$N$5)</f>
        <v>0</v>
      </c>
      <c r="N25" s="114" t="n">
        <f aca="false">SUMIFS(tabela_registros[VALOR],tabela_registros[MÊS],$AE$1,tabela_registros[DIA],maitotal30597183[[#Headers],[10]],tabela_registros[REGISTRO],DADOS!$N$5)</f>
        <v>0</v>
      </c>
      <c r="O25" s="114" t="n">
        <f aca="false">SUMIFS(tabela_registros[VALOR],tabela_registros[MÊS],$AE$1,tabela_registros[DIA],maitotal30597183[[#Headers],[11]],tabela_registros[REGISTRO],DADOS!$N$5)</f>
        <v>0</v>
      </c>
      <c r="P25" s="114" t="n">
        <f aca="false">SUMIFS(tabela_registros[VALOR],tabela_registros[MÊS],$AE$1,tabela_registros[DIA],maitotal30597183[[#Headers],[12]],tabela_registros[REGISTRO],DADOS!$N$5)</f>
        <v>0</v>
      </c>
      <c r="Q25" s="114" t="n">
        <f aca="false">SUMIFS(tabela_registros[VALOR],tabela_registros[MÊS],$AE$1,tabela_registros[DIA],maitotal30597183[[#Headers],[13]],tabela_registros[REGISTRO],DADOS!$N$5)</f>
        <v>0</v>
      </c>
      <c r="R25" s="114" t="n">
        <f aca="false">SUMIFS(tabela_registros[VALOR],tabela_registros[MÊS],$AE$1,tabela_registros[DIA],maitotal30597183[[#Headers],[14]],tabela_registros[REGISTRO],DADOS!$N$5)</f>
        <v>0</v>
      </c>
      <c r="S25" s="114" t="n">
        <f aca="false">SUMIFS(tabela_registros[VALOR],tabela_registros[MÊS],$AE$1,tabela_registros[DIA],maitotal30597183[[#Headers],[15]],tabela_registros[REGISTRO],DADOS!$N$5)</f>
        <v>0</v>
      </c>
      <c r="T25" s="114" t="n">
        <f aca="false">SUMIFS(tabela_registros[VALOR],tabela_registros[MÊS],$AE$1,tabela_registros[DIA],maitotal30597183[[#Headers],[16]],tabela_registros[REGISTRO],DADOS!$N$5)</f>
        <v>0</v>
      </c>
      <c r="U25" s="114" t="n">
        <f aca="false">SUMIFS(tabela_registros[VALOR],tabela_registros[MÊS],$AE$1,tabela_registros[DIA],maitotal30597183[[#Headers],[17]],tabela_registros[REGISTRO],DADOS!$N$5)</f>
        <v>0</v>
      </c>
      <c r="V25" s="114" t="n">
        <f aca="false">SUMIFS(tabela_registros[VALOR],tabela_registros[MÊS],$AE$1,tabela_registros[DIA],maitotal30597183[[#Headers],[18]],tabela_registros[REGISTRO],DADOS!$N$5)</f>
        <v>0</v>
      </c>
      <c r="W25" s="114" t="n">
        <f aca="false">SUMIFS(tabela_registros[VALOR],tabela_registros[MÊS],$AE$1,tabela_registros[DIA],maitotal30597183[[#Headers],[19]],tabela_registros[REGISTRO],DADOS!$N$5)</f>
        <v>0</v>
      </c>
      <c r="X25" s="114" t="n">
        <f aca="false">SUMIFS(tabela_registros[VALOR],tabela_registros[MÊS],$AE$1,tabela_registros[DIA],maitotal30597183[[#Headers],[20]],tabela_registros[REGISTRO],DADOS!$N$5)</f>
        <v>0</v>
      </c>
      <c r="Y25" s="114" t="n">
        <f aca="false">SUMIFS(tabela_registros[VALOR],tabela_registros[MÊS],$AE$1,tabela_registros[DIA],maitotal30597183[[#Headers],[21]],tabela_registros[REGISTRO],DADOS!$N$5)</f>
        <v>0</v>
      </c>
      <c r="Z25" s="114" t="n">
        <f aca="false">SUMIFS(tabela_registros[VALOR],tabela_registros[MÊS],$AE$1,tabela_registros[DIA],maitotal30597183[[#Headers],[22]],tabela_registros[REGISTRO],DADOS!$N$5)</f>
        <v>0</v>
      </c>
      <c r="AA25" s="114" t="n">
        <f aca="false">SUMIFS(tabela_registros[VALOR],tabela_registros[MÊS],$AE$1,tabela_registros[DIA],maitotal30597183[[#Headers],[23]],tabela_registros[REGISTRO],DADOS!$N$5)</f>
        <v>0</v>
      </c>
      <c r="AB25" s="114" t="n">
        <f aca="false">SUMIFS(tabela_registros[VALOR],tabela_registros[MÊS],$AE$1,tabela_registros[DIA],maitotal30597183[[#Headers],[24]],tabela_registros[REGISTRO],DADOS!$N$5)</f>
        <v>0</v>
      </c>
      <c r="AC25" s="114" t="n">
        <f aca="false">SUMIFS(tabela_registros[VALOR],tabela_registros[MÊS],$AE$1,tabela_registros[DIA],maitotal30597183[[#Headers],[25]],tabela_registros[REGISTRO],DADOS!$N$5)</f>
        <v>0</v>
      </c>
      <c r="AD25" s="114" t="n">
        <f aca="false">SUMIFS(tabela_registros[VALOR],tabela_registros[MÊS],$AE$1,tabela_registros[DIA],maitotal30597183[[#Headers],[26]],tabela_registros[REGISTRO],DADOS!$N$5)</f>
        <v>0</v>
      </c>
      <c r="AE25" s="114" t="n">
        <f aca="false">SUMIFS(tabela_registros[VALOR],tabela_registros[MÊS],$AE$1,tabela_registros[DIA],maitotal30597183[[#Headers],[27]],tabela_registros[REGISTRO],DADOS!$N$5)</f>
        <v>0</v>
      </c>
      <c r="AF25" s="114" t="n">
        <f aca="false">SUMIFS(tabela_registros[VALOR],tabela_registros[MÊS],$AE$1,tabela_registros[DIA],maitotal30597183[[#Headers],[28]],tabela_registros[REGISTRO],DADOS!$N$5)</f>
        <v>0</v>
      </c>
      <c r="AG25" s="114" t="n">
        <f aca="false">SUMIFS(tabela_registros[VALOR],tabela_registros[MÊS],$AE$1,tabela_registros[DIA],maitotal30597183[[#Headers],[29]],tabela_registros[REGISTRO],DADOS!$N$5)</f>
        <v>0</v>
      </c>
      <c r="AH25" s="114" t="n">
        <f aca="false">SUMIFS(tabela_registros[VALOR],tabela_registros[MÊS],$AE$1,tabela_registros[DIA],maitotal30597183[[#Headers],[30]],tabela_registros[REGISTRO],DADOS!$N$5)</f>
        <v>0</v>
      </c>
      <c r="AI25" s="115" t="n">
        <f aca="false">SUMIFS(tabela_registros[VALOR],tabela_registros[MÊS],$AE$1,tabela_registros[DIA],maitotal30597183[[#Headers],[31]],tabela_registros[REGISTRO],DADOS!$N$5)</f>
        <v>0</v>
      </c>
      <c r="AJ25" s="116" t="n">
        <f aca="false">SUM(E25:AI25)</f>
        <v>0</v>
      </c>
      <c r="AK25" s="107"/>
    </row>
    <row r="26" customFormat="false" ht="18" hidden="false" customHeight="true" outlineLevel="0" collapsed="false">
      <c r="B26" s="107"/>
      <c r="C26" s="135" t="s">
        <v>14</v>
      </c>
      <c r="D26" s="136"/>
      <c r="E26" s="119" t="n">
        <f aca="false">SUMIFS(tabela_registros[VALOR],tabela_registros[MÊS],$AE$1,tabela_registros[DIA],maitotal30597183[[#Headers],[1]],tabela_registros[REGISTRO],DADOS!$N$6)</f>
        <v>0</v>
      </c>
      <c r="F26" s="119" t="n">
        <f aca="false">SUMIFS(tabela_registros[VALOR],tabela_registros[MÊS],$AE$1,tabela_registros[DIA],maitotal30597183[[#Headers],[2]],tabela_registros[REGISTRO],DADOS!$N$6)</f>
        <v>0</v>
      </c>
      <c r="G26" s="119" t="n">
        <f aca="false">SUMIFS(tabela_registros[VALOR],tabela_registros[MÊS],$AE$1,tabela_registros[DIA],maitotal30597183[[#Headers],[3]],tabela_registros[REGISTRO],DADOS!$N$6)</f>
        <v>0</v>
      </c>
      <c r="H26" s="119" t="n">
        <f aca="false">SUMIFS(tabela_registros[VALOR],tabela_registros[MÊS],$AE$1,tabela_registros[DIA],maitotal30597183[[#Headers],[4]],tabela_registros[REGISTRO],DADOS!$N$6)</f>
        <v>0</v>
      </c>
      <c r="I26" s="119" t="n">
        <f aca="false">SUMIFS(tabela_registros[VALOR],tabela_registros[MÊS],$AE$1,tabela_registros[DIA],maitotal30597183[[#Headers],[5]],tabela_registros[REGISTRO],DADOS!$N$6)</f>
        <v>0</v>
      </c>
      <c r="J26" s="119" t="n">
        <f aca="false">SUMIFS(tabela_registros[VALOR],tabela_registros[MÊS],$AE$1,tabela_registros[DIA],maitotal30597183[[#Headers],[6]],tabela_registros[REGISTRO],DADOS!$N$6)</f>
        <v>0</v>
      </c>
      <c r="K26" s="119" t="n">
        <f aca="false">SUMIFS(tabela_registros[VALOR],tabela_registros[MÊS],$AE$1,tabela_registros[DIA],maitotal30597183[[#Headers],[7]],tabela_registros[REGISTRO],DADOS!$N$6)</f>
        <v>0</v>
      </c>
      <c r="L26" s="119" t="n">
        <f aca="false">SUMIFS(tabela_registros[VALOR],tabela_registros[MÊS],$AE$1,tabela_registros[DIA],maitotal30597183[[#Headers],[8]],tabela_registros[REGISTRO],DADOS!$N$6)</f>
        <v>0</v>
      </c>
      <c r="M26" s="119" t="n">
        <f aca="false">SUMIFS(tabela_registros[VALOR],tabela_registros[MÊS],$AE$1,tabela_registros[DIA],maitotal30597183[[#Headers],[9]],tabela_registros[REGISTRO],DADOS!$N$6)</f>
        <v>0</v>
      </c>
      <c r="N26" s="119" t="n">
        <f aca="false">SUMIFS(tabela_registros[VALOR],tabela_registros[MÊS],$AE$1,tabela_registros[DIA],maitotal30597183[[#Headers],[10]],tabela_registros[REGISTRO],DADOS!$N$6)</f>
        <v>0</v>
      </c>
      <c r="O26" s="119" t="n">
        <f aca="false">SUMIFS(tabela_registros[VALOR],tabela_registros[MÊS],$AE$1,tabela_registros[DIA],maitotal30597183[[#Headers],[11]],tabela_registros[REGISTRO],DADOS!$N$6)</f>
        <v>0</v>
      </c>
      <c r="P26" s="119" t="n">
        <f aca="false">SUMIFS(tabela_registros[VALOR],tabela_registros[MÊS],$AE$1,tabela_registros[DIA],maitotal30597183[[#Headers],[12]],tabela_registros[REGISTRO],DADOS!$N$6)</f>
        <v>0</v>
      </c>
      <c r="Q26" s="119" t="n">
        <f aca="false">SUMIFS(tabela_registros[VALOR],tabela_registros[MÊS],$AE$1,tabela_registros[DIA],maitotal30597183[[#Headers],[13]],tabela_registros[REGISTRO],DADOS!$N$6)</f>
        <v>0</v>
      </c>
      <c r="R26" s="119" t="n">
        <f aca="false">SUMIFS(tabela_registros[VALOR],tabela_registros[MÊS],$AE$1,tabela_registros[DIA],maitotal30597183[[#Headers],[14]],tabela_registros[REGISTRO],DADOS!$N$6)</f>
        <v>0</v>
      </c>
      <c r="S26" s="119" t="n">
        <f aca="false">SUMIFS(tabela_registros[VALOR],tabela_registros[MÊS],$AE$1,tabela_registros[DIA],maitotal30597183[[#Headers],[15]],tabela_registros[REGISTRO],DADOS!$N$6)</f>
        <v>0</v>
      </c>
      <c r="T26" s="119" t="n">
        <f aca="false">SUMIFS(tabela_registros[VALOR],tabela_registros[MÊS],$AE$1,tabela_registros[DIA],maitotal30597183[[#Headers],[16]],tabela_registros[REGISTRO],DADOS!$N$6)</f>
        <v>0</v>
      </c>
      <c r="U26" s="119" t="n">
        <f aca="false">SUMIFS(tabela_registros[VALOR],tabela_registros[MÊS],$AE$1,tabela_registros[DIA],maitotal30597183[[#Headers],[17]],tabela_registros[REGISTRO],DADOS!$N$6)</f>
        <v>0</v>
      </c>
      <c r="V26" s="119" t="n">
        <f aca="false">SUMIFS(tabela_registros[VALOR],tabela_registros[MÊS],$AE$1,tabela_registros[DIA],maitotal30597183[[#Headers],[18]],tabela_registros[REGISTRO],DADOS!$N$6)</f>
        <v>0</v>
      </c>
      <c r="W26" s="119" t="n">
        <f aca="false">SUMIFS(tabela_registros[VALOR],tabela_registros[MÊS],$AE$1,tabela_registros[DIA],maitotal30597183[[#Headers],[19]],tabela_registros[REGISTRO],DADOS!$N$6)</f>
        <v>0</v>
      </c>
      <c r="X26" s="119" t="n">
        <f aca="false">SUMIFS(tabela_registros[VALOR],tabela_registros[MÊS],$AE$1,tabela_registros[DIA],maitotal30597183[[#Headers],[20]],tabela_registros[REGISTRO],DADOS!$N$6)</f>
        <v>0</v>
      </c>
      <c r="Y26" s="119" t="n">
        <f aca="false">SUMIFS(tabela_registros[VALOR],tabela_registros[MÊS],$AE$1,tabela_registros[DIA],maitotal30597183[[#Headers],[21]],tabela_registros[REGISTRO],DADOS!$N$6)</f>
        <v>0</v>
      </c>
      <c r="Z26" s="119" t="n">
        <f aca="false">SUMIFS(tabela_registros[VALOR],tabela_registros[MÊS],$AE$1,tabela_registros[DIA],maitotal30597183[[#Headers],[22]],tabela_registros[REGISTRO],DADOS!$N$6)</f>
        <v>0</v>
      </c>
      <c r="AA26" s="119" t="n">
        <f aca="false">SUMIFS(tabela_registros[VALOR],tabela_registros[MÊS],$AE$1,tabela_registros[DIA],maitotal30597183[[#Headers],[23]],tabela_registros[REGISTRO],DADOS!$N$6)</f>
        <v>0</v>
      </c>
      <c r="AB26" s="119" t="n">
        <f aca="false">SUMIFS(tabela_registros[VALOR],tabela_registros[MÊS],$AE$1,tabela_registros[DIA],maitotal30597183[[#Headers],[24]],tabela_registros[REGISTRO],DADOS!$N$6)</f>
        <v>0</v>
      </c>
      <c r="AC26" s="119" t="n">
        <f aca="false">SUMIFS(tabela_registros[VALOR],tabela_registros[MÊS],$AE$1,tabela_registros[DIA],maitotal30597183[[#Headers],[25]],tabela_registros[REGISTRO],DADOS!$N$6)</f>
        <v>0</v>
      </c>
      <c r="AD26" s="119" t="n">
        <f aca="false">SUMIFS(tabela_registros[VALOR],tabela_registros[MÊS],$AE$1,tabela_registros[DIA],maitotal30597183[[#Headers],[26]],tabela_registros[REGISTRO],DADOS!$N$6)</f>
        <v>0</v>
      </c>
      <c r="AE26" s="119" t="n">
        <f aca="false">SUMIFS(tabela_registros[VALOR],tabela_registros[MÊS],$AE$1,tabela_registros[DIA],maitotal30597183[[#Headers],[27]],tabela_registros[REGISTRO],DADOS!$N$6)</f>
        <v>0</v>
      </c>
      <c r="AF26" s="119" t="n">
        <f aca="false">SUMIFS(tabela_registros[VALOR],tabela_registros[MÊS],$AE$1,tabela_registros[DIA],maitotal30597183[[#Headers],[28]],tabela_registros[REGISTRO],DADOS!$N$6)</f>
        <v>0</v>
      </c>
      <c r="AG26" s="119" t="n">
        <f aca="false">SUMIFS(tabela_registros[VALOR],tabela_registros[MÊS],$AE$1,tabela_registros[DIA],maitotal30597183[[#Headers],[29]],tabela_registros[REGISTRO],DADOS!$N$6)</f>
        <v>0</v>
      </c>
      <c r="AH26" s="119" t="n">
        <f aca="false">SUMIFS(tabela_registros[VALOR],tabela_registros[MÊS],$AE$1,tabela_registros[DIA],maitotal30597183[[#Headers],[30]],tabela_registros[REGISTRO],DADOS!$N$6)</f>
        <v>0</v>
      </c>
      <c r="AI26" s="120" t="n">
        <f aca="false">SUMIFS(tabela_registros[VALOR],tabela_registros[MÊS],$AE$1,tabela_registros[DIA],maitotal30597183[[#Headers],[31]],tabela_registros[REGISTRO],DADOS!$N$6)</f>
        <v>0</v>
      </c>
      <c r="AJ26" s="121" t="n">
        <f aca="false">SUM(E26:AI26)</f>
        <v>0</v>
      </c>
      <c r="AK26" s="107"/>
    </row>
    <row r="27" s="122" customFormat="true" ht="21" hidden="false" customHeight="true" outlineLevel="0" collapsed="false">
      <c r="B27" s="123"/>
      <c r="C27" s="124" t="s">
        <v>2</v>
      </c>
      <c r="D27" s="137"/>
      <c r="E27" s="126" t="n">
        <f aca="false">SUM(E25:E26)</f>
        <v>0</v>
      </c>
      <c r="F27" s="127" t="n">
        <f aca="false">SUM(F25:F26)+maiinvestir21587082[[#This Row],[1]]</f>
        <v>0</v>
      </c>
      <c r="G27" s="127" t="n">
        <f aca="false">SUM(G25:G26)+maiinvestir21587082[[#This Row],[2]]</f>
        <v>0</v>
      </c>
      <c r="H27" s="127" t="n">
        <f aca="false">SUM(H25:H26)+maiinvestir21587082[[#This Row],[3]]</f>
        <v>0</v>
      </c>
      <c r="I27" s="127" t="n">
        <f aca="false">SUM(I25:I26)+maiinvestir21587082[[#This Row],[4]]</f>
        <v>0</v>
      </c>
      <c r="J27" s="127" t="n">
        <f aca="false">SUM(J25:J26)+maiinvestir21587082[[#This Row],[5]]</f>
        <v>0</v>
      </c>
      <c r="K27" s="127" t="n">
        <f aca="false">SUM(K25:K26)+maiinvestir21587082[[#This Row],[6]]</f>
        <v>0</v>
      </c>
      <c r="L27" s="127" t="n">
        <f aca="false">SUM(L25:L26)+maiinvestir21587082[[#This Row],[7]]</f>
        <v>0</v>
      </c>
      <c r="M27" s="127" t="n">
        <f aca="false">SUM(M25:M26)+maiinvestir21587082[[#This Row],[8]]</f>
        <v>0</v>
      </c>
      <c r="N27" s="127" t="n">
        <f aca="false">SUM(N25:N26)+maiinvestir21587082[[#This Row],[9]]</f>
        <v>0</v>
      </c>
      <c r="O27" s="127" t="n">
        <f aca="false">SUM(O25:O26)+maiinvestir21587082[[#This Row],[10]]</f>
        <v>0</v>
      </c>
      <c r="P27" s="127" t="n">
        <f aca="false">SUM(P25:P26)+maiinvestir21587082[[#This Row],[11]]</f>
        <v>0</v>
      </c>
      <c r="Q27" s="127" t="n">
        <f aca="false">SUM(Q25:Q26)+maiinvestir21587082[[#This Row],[12]]</f>
        <v>0</v>
      </c>
      <c r="R27" s="127" t="n">
        <f aca="false">SUM(R25:R26)+maiinvestir21587082[[#This Row],[13]]</f>
        <v>0</v>
      </c>
      <c r="S27" s="127" t="n">
        <f aca="false">SUM(S25:S26)+maiinvestir21587082[[#This Row],[14]]</f>
        <v>0</v>
      </c>
      <c r="T27" s="127" t="n">
        <f aca="false">SUM(T25:T26)+maiinvestir21587082[[#This Row],[15]]</f>
        <v>0</v>
      </c>
      <c r="U27" s="127" t="n">
        <f aca="false">SUM(U25:U26)+maiinvestir21587082[[#This Row],[16]]</f>
        <v>0</v>
      </c>
      <c r="V27" s="127" t="n">
        <f aca="false">SUM(V25:V26)+maiinvestir21587082[[#This Row],[17]]</f>
        <v>0</v>
      </c>
      <c r="W27" s="127" t="n">
        <f aca="false">SUM(W25:W26)+maiinvestir21587082[[#This Row],[18]]</f>
        <v>0</v>
      </c>
      <c r="X27" s="127" t="n">
        <f aca="false">SUM(X25:X26)+maiinvestir21587082[[#This Row],[19]]</f>
        <v>0</v>
      </c>
      <c r="Y27" s="127" t="n">
        <f aca="false">SUM(Y25:Y26)+maiinvestir21587082[[#This Row],[20]]</f>
        <v>0</v>
      </c>
      <c r="Z27" s="127" t="n">
        <f aca="false">SUM(Z25:Z26)+maiinvestir21587082[[#This Row],[21]]</f>
        <v>0</v>
      </c>
      <c r="AA27" s="127" t="n">
        <f aca="false">SUM(AA25:AA26)+maiinvestir21587082[[#This Row],[22]]</f>
        <v>0</v>
      </c>
      <c r="AB27" s="127" t="n">
        <f aca="false">SUM(AB25:AB26)+maiinvestir21587082[[#This Row],[23]]</f>
        <v>0</v>
      </c>
      <c r="AC27" s="127" t="n">
        <f aca="false">SUM(AC25:AC26)+maiinvestir21587082[[#This Row],[24]]</f>
        <v>0</v>
      </c>
      <c r="AD27" s="127" t="n">
        <f aca="false">SUM(AD25:AD26)+maiinvestir21587082[[#This Row],[25]]</f>
        <v>0</v>
      </c>
      <c r="AE27" s="127" t="n">
        <f aca="false">SUM(AE25:AE26)+maiinvestir21587082[[#This Row],[26]]</f>
        <v>0</v>
      </c>
      <c r="AF27" s="127" t="n">
        <f aca="false">SUM(AF25:AF26)+maiinvestir21587082[[#This Row],[27]]</f>
        <v>0</v>
      </c>
      <c r="AG27" s="127" t="n">
        <f aca="false">SUM(AG25:AG26)+maiinvestir21587082[[#This Row],[28]]</f>
        <v>0</v>
      </c>
      <c r="AH27" s="127" t="n">
        <f aca="false">SUM(AH25:AH26)+maiinvestir21587082[[#This Row],[29]]</f>
        <v>0</v>
      </c>
      <c r="AI27" s="128" t="n">
        <f aca="false">SUM(AI25:AI26)+maiinvestir21587082[[#This Row],[30]]</f>
        <v>0</v>
      </c>
      <c r="AJ27" s="129" t="n">
        <f aca="false">maiinvestir21587082[[#This Row],[31]]</f>
        <v>0</v>
      </c>
      <c r="AK27" s="123"/>
    </row>
    <row r="28" customFormat="false" ht="6.75" hidden="true" customHeight="true" outlineLevel="0" collapsed="false">
      <c r="B28" s="107"/>
      <c r="C28" s="78" t="s">
        <v>73</v>
      </c>
      <c r="E28" s="138" t="n">
        <f aca="false">SUBTOTAL(109,maiinvestir21587082[1])</f>
        <v>0</v>
      </c>
      <c r="F28" s="138" t="n">
        <f aca="false">SUBTOTAL(109,maiinvestir21587082[2])</f>
        <v>0</v>
      </c>
      <c r="G28" s="138" t="n">
        <f aca="false">SUBTOTAL(109,maiinvestir21587082[3])</f>
        <v>0</v>
      </c>
      <c r="H28" s="138" t="n">
        <f aca="false">SUBTOTAL(109,maiinvestir21587082[4])</f>
        <v>0</v>
      </c>
      <c r="I28" s="138" t="n">
        <f aca="false">SUBTOTAL(109,maiinvestir21587082[5])</f>
        <v>0</v>
      </c>
      <c r="J28" s="138" t="n">
        <f aca="false">SUBTOTAL(109,maiinvestir21587082[6])</f>
        <v>0</v>
      </c>
      <c r="K28" s="138" t="n">
        <f aca="false">SUBTOTAL(109,maiinvestir21587082[7])</f>
        <v>0</v>
      </c>
      <c r="L28" s="138" t="n">
        <f aca="false">SUBTOTAL(109,maiinvestir21587082[8])</f>
        <v>0</v>
      </c>
      <c r="M28" s="138" t="n">
        <f aca="false">SUBTOTAL(109,maiinvestir21587082[9])</f>
        <v>0</v>
      </c>
      <c r="N28" s="138" t="n">
        <f aca="false">SUBTOTAL(109,maiinvestir21587082[10])</f>
        <v>0</v>
      </c>
      <c r="O28" s="138" t="n">
        <f aca="false">SUBTOTAL(109,maiinvestir21587082[11])</f>
        <v>0</v>
      </c>
      <c r="P28" s="138" t="n">
        <f aca="false">SUBTOTAL(109,maiinvestir21587082[12])</f>
        <v>0</v>
      </c>
      <c r="Q28" s="138" t="n">
        <f aca="false">SUBTOTAL(109,maiinvestir21587082[13])</f>
        <v>0</v>
      </c>
      <c r="R28" s="138" t="n">
        <f aca="false">SUBTOTAL(109,maiinvestir21587082[14])</f>
        <v>0</v>
      </c>
      <c r="S28" s="138" t="n">
        <f aca="false">SUBTOTAL(109,maiinvestir21587082[15])</f>
        <v>0</v>
      </c>
      <c r="T28" s="138" t="n">
        <f aca="false">SUBTOTAL(109,maiinvestir21587082[16])</f>
        <v>0</v>
      </c>
      <c r="U28" s="138" t="n">
        <f aca="false">SUBTOTAL(109,maiinvestir21587082[17])</f>
        <v>0</v>
      </c>
      <c r="V28" s="138" t="n">
        <f aca="false">SUBTOTAL(109,maiinvestir21587082[18])</f>
        <v>0</v>
      </c>
      <c r="W28" s="138" t="n">
        <f aca="false">SUBTOTAL(109,maiinvestir21587082[19])</f>
        <v>0</v>
      </c>
      <c r="X28" s="138" t="n">
        <f aca="false">SUBTOTAL(109,maiinvestir21587082[20])</f>
        <v>0</v>
      </c>
      <c r="Y28" s="138" t="n">
        <f aca="false">SUBTOTAL(109,maiinvestir21587082[21])</f>
        <v>0</v>
      </c>
      <c r="Z28" s="138" t="n">
        <f aca="false">SUBTOTAL(109,maiinvestir21587082[22])</f>
        <v>0</v>
      </c>
      <c r="AA28" s="138" t="n">
        <f aca="false">SUBTOTAL(109,maiinvestir21587082[23])</f>
        <v>0</v>
      </c>
      <c r="AB28" s="138" t="n">
        <f aca="false">SUBTOTAL(109,maiinvestir21587082[24])</f>
        <v>0</v>
      </c>
      <c r="AC28" s="138" t="n">
        <f aca="false">SUBTOTAL(109,maiinvestir21587082[25])</f>
        <v>0</v>
      </c>
      <c r="AD28" s="138" t="n">
        <f aca="false">SUBTOTAL(109,maiinvestir21587082[26])</f>
        <v>0</v>
      </c>
      <c r="AE28" s="138" t="n">
        <f aca="false">SUBTOTAL(109,maiinvestir21587082[27])</f>
        <v>0</v>
      </c>
      <c r="AF28" s="138" t="n">
        <f aca="false">SUBTOTAL(109,maiinvestir21587082[28])</f>
        <v>0</v>
      </c>
      <c r="AG28" s="138" t="n">
        <f aca="false">SUBTOTAL(109,maiinvestir21587082[29])</f>
        <v>0</v>
      </c>
      <c r="AH28" s="138" t="n">
        <f aca="false">SUBTOTAL(109,maiinvestir21587082[30])</f>
        <v>0</v>
      </c>
      <c r="AI28" s="138" t="n">
        <f aca="false">SUBTOTAL(109,maiinvestir21587082[31])</f>
        <v>0</v>
      </c>
      <c r="AJ28" s="138" t="n">
        <f aca="false">SUBTOTAL(109,maiinvestir21587082[TOTAL (R$)])</f>
        <v>0</v>
      </c>
      <c r="AK28" s="107"/>
    </row>
    <row r="29" customFormat="false" ht="6.75" hidden="false" customHeight="true" outlineLevel="0" collapsed="false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94"/>
      <c r="AJ29" s="107"/>
      <c r="AK29" s="107"/>
    </row>
    <row r="30" customFormat="false" ht="12.75" hidden="false" customHeight="false" outlineLevel="0" collapsed="false">
      <c r="C30" s="133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</row>
    <row r="31" customFormat="false" ht="12" hidden="false" customHeight="false" outlineLevel="0" collapsed="false">
      <c r="C31" s="133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</row>
    <row r="32" customFormat="false" ht="12" hidden="false" customHeight="false" outlineLevel="0" collapsed="false">
      <c r="C32" s="133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</row>
    <row r="33" customFormat="false" ht="39.75" hidden="false" customHeight="true" outlineLevel="0" collapsed="false">
      <c r="C33" s="133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3" t="s">
        <v>2</v>
      </c>
    </row>
    <row r="34" s="78" customFormat="true" ht="11.25" hidden="false" customHeight="true" outlineLevel="0" collapsed="false">
      <c r="C34" s="101"/>
      <c r="AJ34" s="106" t="s">
        <v>64</v>
      </c>
    </row>
    <row r="35" customFormat="false" ht="6.75" hidden="false" customHeight="true" outlineLevel="0" collapsed="false">
      <c r="B35" s="139"/>
      <c r="C35" s="140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212"/>
      <c r="AK35" s="139"/>
    </row>
    <row r="36" customFormat="false" ht="12.75" hidden="true" customHeight="false" outlineLevel="0" collapsed="false">
      <c r="B36" s="86"/>
      <c r="C36" s="109" t="s">
        <v>74</v>
      </c>
      <c r="D36" s="110" t="s">
        <v>69</v>
      </c>
      <c r="E36" s="110" t="s">
        <v>30</v>
      </c>
      <c r="F36" s="110" t="s">
        <v>31</v>
      </c>
      <c r="G36" s="110" t="s">
        <v>32</v>
      </c>
      <c r="H36" s="110" t="s">
        <v>33</v>
      </c>
      <c r="I36" s="110" t="s">
        <v>34</v>
      </c>
      <c r="J36" s="110" t="s">
        <v>35</v>
      </c>
      <c r="K36" s="110" t="s">
        <v>36</v>
      </c>
      <c r="L36" s="110" t="s">
        <v>37</v>
      </c>
      <c r="M36" s="110" t="s">
        <v>38</v>
      </c>
      <c r="N36" s="110" t="s">
        <v>39</v>
      </c>
      <c r="O36" s="110" t="s">
        <v>40</v>
      </c>
      <c r="P36" s="110" t="s">
        <v>41</v>
      </c>
      <c r="Q36" s="110" t="s">
        <v>81</v>
      </c>
      <c r="R36" s="110" t="s">
        <v>82</v>
      </c>
      <c r="S36" s="110" t="s">
        <v>83</v>
      </c>
      <c r="T36" s="110" t="s">
        <v>84</v>
      </c>
      <c r="U36" s="110" t="s">
        <v>85</v>
      </c>
      <c r="V36" s="110" t="s">
        <v>86</v>
      </c>
      <c r="W36" s="110" t="s">
        <v>87</v>
      </c>
      <c r="X36" s="110" t="s">
        <v>88</v>
      </c>
      <c r="Y36" s="110" t="s">
        <v>89</v>
      </c>
      <c r="Z36" s="110" t="s">
        <v>90</v>
      </c>
      <c r="AA36" s="110" t="s">
        <v>91</v>
      </c>
      <c r="AB36" s="110" t="s">
        <v>92</v>
      </c>
      <c r="AC36" s="110" t="s">
        <v>93</v>
      </c>
      <c r="AD36" s="110" t="s">
        <v>94</v>
      </c>
      <c r="AE36" s="110" t="s">
        <v>95</v>
      </c>
      <c r="AF36" s="110" t="s">
        <v>96</v>
      </c>
      <c r="AG36" s="110" t="s">
        <v>97</v>
      </c>
      <c r="AH36" s="110" t="s">
        <v>98</v>
      </c>
      <c r="AI36" s="110" t="s">
        <v>99</v>
      </c>
      <c r="AJ36" s="142" t="s">
        <v>2</v>
      </c>
      <c r="AK36" s="86" t="s">
        <v>75</v>
      </c>
    </row>
    <row r="37" customFormat="false" ht="19.5" hidden="false" customHeight="true" outlineLevel="0" collapsed="false">
      <c r="B37" s="143"/>
      <c r="C37" s="144" t="str">
        <f aca="false">DADOS!$R$3</f>
        <v>💧 ÁGUA</v>
      </c>
      <c r="D37" s="145" t="str">
        <f aca="false">IF(despesafixaconsolidadomai[[#This Row],[TOTAL]]=0,"",IF(OR(despesafixaconsolidadomai[[#This Row],[TOTAL]]=LARGE($AJ$37:$AJ$50,1),despesafixaconsolidadomai[[#This Row],[TOTAL]]=LARGE($AJ$37:$AJ$50,2),despesafixaconsolidadomai[[#This Row],[TOTAL]]=LARGE($AJ$37:$AJ$50,3),despesafixaconsolidadomai[[#This Row],[TOTAL]]=LARGE($AJ$37:$AJ$50,4),despesafixaconsolidadomai[[#This Row],[TOTAL]]=LARGE($AJ$37:$AJ$50,5)),DADOS!$I$8,""))</f>
        <v/>
      </c>
      <c r="E37" s="146" t="n">
        <f aca="false">SUMIFS(tabela_registros[VALOR],tabela_registros[MÊS],$AE$1,tabela_registros[DIA],maitotal30597183[[#Headers],[1]],tabela_registros[REGISTRO],DADOS!$N$4,tabela_registros[TIPO],DADOS!$P$3,tabela_registros[CATEGORIA],despesafixaconsolidadomai[[#This Row],[DESPESA FIXA]])</f>
        <v>0</v>
      </c>
      <c r="F37" s="114" t="n">
        <f aca="false">SUMIFS(tabela_registros[VALOR],tabela_registros[MÊS],$AE$1,tabela_registros[DIA],maitotal30597183[[#Headers],[2]],tabela_registros[REGISTRO],DADOS!$N$4,tabela_registros[TIPO],DADOS!$P$3,tabela_registros[CATEGORIA],despesafixaconsolidadomai[[#This Row],[DESPESA FIXA]])</f>
        <v>0</v>
      </c>
      <c r="G37" s="114" t="n">
        <f aca="false">SUMIFS(tabela_registros[VALOR],tabela_registros[MÊS],$AE$1,tabela_registros[DIA],maitotal30597183[[#Headers],[3]],tabela_registros[REGISTRO],DADOS!$N$4,tabela_registros[TIPO],DADOS!$P$3,tabela_registros[CATEGORIA],despesafixaconsolidadomai[[#This Row],[DESPESA FIXA]])</f>
        <v>0</v>
      </c>
      <c r="H37" s="114" t="n">
        <f aca="false">SUMIFS(tabela_registros[VALOR],tabela_registros[MÊS],$AE$1,tabela_registros[DIA],maitotal30597183[[#Headers],[4]],tabela_registros[REGISTRO],DADOS!$N$4,tabela_registros[TIPO],DADOS!$P$3,tabela_registros[CATEGORIA],despesafixaconsolidadomai[[#This Row],[DESPESA FIXA]])</f>
        <v>0</v>
      </c>
      <c r="I37" s="114" t="n">
        <f aca="false">SUMIFS(tabela_registros[VALOR],tabela_registros[MÊS],$AE$1,tabela_registros[DIA],maitotal30597183[[#Headers],[5]],tabela_registros[REGISTRO],DADOS!$N$4,tabela_registros[TIPO],DADOS!$P$3,tabela_registros[CATEGORIA],despesafixaconsolidadomai[[#This Row],[DESPESA FIXA]])</f>
        <v>0</v>
      </c>
      <c r="J37" s="114" t="n">
        <f aca="false">SUMIFS(tabela_registros[VALOR],tabela_registros[MÊS],$AE$1,tabela_registros[DIA],maitotal30597183[[#Headers],[6]],tabela_registros[REGISTRO],DADOS!$N$4,tabela_registros[TIPO],DADOS!$P$3,tabela_registros[CATEGORIA],despesafixaconsolidadomai[[#This Row],[DESPESA FIXA]])</f>
        <v>0</v>
      </c>
      <c r="K37" s="114" t="n">
        <f aca="false">SUMIFS(tabela_registros[VALOR],tabela_registros[MÊS],$AE$1,tabela_registros[DIA],maitotal30597183[[#Headers],[7]],tabela_registros[REGISTRO],DADOS!$N$4,tabela_registros[TIPO],DADOS!$P$3,tabela_registros[CATEGORIA],despesafixaconsolidadomai[[#This Row],[DESPESA FIXA]])</f>
        <v>0</v>
      </c>
      <c r="L37" s="114" t="n">
        <f aca="false">SUMIFS(tabela_registros[VALOR],tabela_registros[MÊS],$AE$1,tabela_registros[DIA],maitotal30597183[[#Headers],[8]],tabela_registros[REGISTRO],DADOS!$N$4,tabela_registros[TIPO],DADOS!$P$3,tabela_registros[CATEGORIA],despesafixaconsolidadomai[[#This Row],[DESPESA FIXA]])</f>
        <v>0</v>
      </c>
      <c r="M37" s="114" t="n">
        <f aca="false">SUMIFS(tabela_registros[VALOR],tabela_registros[MÊS],$AE$1,tabela_registros[DIA],maitotal30597183[[#Headers],[9]],tabela_registros[REGISTRO],DADOS!$N$4,tabela_registros[TIPO],DADOS!$P$3,tabela_registros[CATEGORIA],despesafixaconsolidadomai[[#This Row],[DESPESA FIXA]])</f>
        <v>0</v>
      </c>
      <c r="N37" s="114" t="n">
        <f aca="false">SUMIFS(tabela_registros[VALOR],tabela_registros[MÊS],$AE$1,tabela_registros[DIA],maitotal30597183[[#Headers],[10]],tabela_registros[REGISTRO],DADOS!$N$4,tabela_registros[TIPO],DADOS!$P$3,tabela_registros[CATEGORIA],despesafixaconsolidadomai[[#This Row],[DESPESA FIXA]])</f>
        <v>0</v>
      </c>
      <c r="O37" s="114" t="n">
        <f aca="false">SUMIFS(tabela_registros[VALOR],tabela_registros[MÊS],$AE$1,tabela_registros[DIA],maitotal30597183[[#Headers],[11]],tabela_registros[REGISTRO],DADOS!$N$4,tabela_registros[TIPO],DADOS!$P$3,tabela_registros[CATEGORIA],despesafixaconsolidadomai[[#This Row],[DESPESA FIXA]])</f>
        <v>0</v>
      </c>
      <c r="P37" s="114" t="n">
        <f aca="false">SUMIFS(tabela_registros[VALOR],tabela_registros[MÊS],$AE$1,tabela_registros[DIA],maitotal30597183[[#Headers],[12]],tabela_registros[REGISTRO],DADOS!$N$4,tabela_registros[TIPO],DADOS!$P$3,tabela_registros[CATEGORIA],despesafixaconsolidadomai[[#This Row],[DESPESA FIXA]])</f>
        <v>0</v>
      </c>
      <c r="Q37" s="114" t="n">
        <f aca="false">SUMIFS(tabela_registros[VALOR],tabela_registros[MÊS],$AE$1,tabela_registros[DIA],maitotal30597183[[#Headers],[13]],tabela_registros[REGISTRO],DADOS!$N$4,tabela_registros[TIPO],DADOS!$P$3,tabela_registros[CATEGORIA],despesafixaconsolidadomai[[#This Row],[DESPESA FIXA]])</f>
        <v>0</v>
      </c>
      <c r="R37" s="114" t="n">
        <f aca="false">SUMIFS(tabela_registros[VALOR],tabela_registros[MÊS],$AE$1,tabela_registros[DIA],maitotal30597183[[#Headers],[14]],tabela_registros[REGISTRO],DADOS!$N$4,tabela_registros[TIPO],DADOS!$P$3,tabela_registros[CATEGORIA],despesafixaconsolidadomai[[#This Row],[DESPESA FIXA]])</f>
        <v>0</v>
      </c>
      <c r="S37" s="114" t="n">
        <f aca="false">SUMIFS(tabela_registros[VALOR],tabela_registros[MÊS],$AE$1,tabela_registros[DIA],maitotal30597183[[#Headers],[15]],tabela_registros[REGISTRO],DADOS!$N$4,tabela_registros[TIPO],DADOS!$P$3,tabela_registros[CATEGORIA],despesafixaconsolidadomai[[#This Row],[DESPESA FIXA]])</f>
        <v>0</v>
      </c>
      <c r="T37" s="114" t="n">
        <f aca="false">SUMIFS(tabela_registros[VALOR],tabela_registros[MÊS],$AE$1,tabela_registros[DIA],maitotal30597183[[#Headers],[16]],tabela_registros[REGISTRO],DADOS!$N$4,tabela_registros[TIPO],DADOS!$P$3,tabela_registros[CATEGORIA],despesafixaconsolidadomai[[#This Row],[DESPESA FIXA]])</f>
        <v>0</v>
      </c>
      <c r="U37" s="114" t="n">
        <f aca="false">SUMIFS(tabela_registros[VALOR],tabela_registros[MÊS],$AE$1,tabela_registros[DIA],maitotal30597183[[#Headers],[17]],tabela_registros[REGISTRO],DADOS!$N$4,tabela_registros[TIPO],DADOS!$P$3,tabela_registros[CATEGORIA],despesafixaconsolidadomai[[#This Row],[DESPESA FIXA]])</f>
        <v>0</v>
      </c>
      <c r="V37" s="114" t="n">
        <f aca="false">SUMIFS(tabela_registros[VALOR],tabela_registros[MÊS],$AE$1,tabela_registros[DIA],maitotal30597183[[#Headers],[18]],tabela_registros[REGISTRO],DADOS!$N$4,tabela_registros[TIPO],DADOS!$P$3,tabela_registros[CATEGORIA],despesafixaconsolidadomai[[#This Row],[DESPESA FIXA]])</f>
        <v>0</v>
      </c>
      <c r="W37" s="114" t="n">
        <f aca="false">SUMIFS(tabela_registros[VALOR],tabela_registros[MÊS],$AE$1,tabela_registros[DIA],maitotal30597183[[#Headers],[19]],tabela_registros[REGISTRO],DADOS!$N$4,tabela_registros[TIPO],DADOS!$P$3,tabela_registros[CATEGORIA],despesafixaconsolidadomai[[#This Row],[DESPESA FIXA]])</f>
        <v>0</v>
      </c>
      <c r="X37" s="114" t="n">
        <f aca="false">SUMIFS(tabela_registros[VALOR],tabela_registros[MÊS],$AE$1,tabela_registros[DIA],maitotal30597183[[#Headers],[20]],tabela_registros[REGISTRO],DADOS!$N$4,tabela_registros[TIPO],DADOS!$P$3,tabela_registros[CATEGORIA],despesafixaconsolidadomai[[#This Row],[DESPESA FIXA]])</f>
        <v>0</v>
      </c>
      <c r="Y37" s="114" t="n">
        <f aca="false">SUMIFS(tabela_registros[VALOR],tabela_registros[MÊS],$AE$1,tabela_registros[DIA],maitotal30597183[[#Headers],[21]],tabela_registros[REGISTRO],DADOS!$N$4,tabela_registros[TIPO],DADOS!$P$3,tabela_registros[CATEGORIA],despesafixaconsolidadomai[[#This Row],[DESPESA FIXA]])</f>
        <v>0</v>
      </c>
      <c r="Z37" s="114" t="n">
        <f aca="false">SUMIFS(tabela_registros[VALOR],tabela_registros[MÊS],$AE$1,tabela_registros[DIA],maitotal30597183[[#Headers],[22]],tabela_registros[REGISTRO],DADOS!$N$4,tabela_registros[TIPO],DADOS!$P$3,tabela_registros[CATEGORIA],despesafixaconsolidadomai[[#This Row],[DESPESA FIXA]])</f>
        <v>0</v>
      </c>
      <c r="AA37" s="114" t="n">
        <f aca="false">SUMIFS(tabela_registros[VALOR],tabela_registros[MÊS],$AE$1,tabela_registros[DIA],maitotal30597183[[#Headers],[23]],tabela_registros[REGISTRO],DADOS!$N$4,tabela_registros[TIPO],DADOS!$P$3,tabela_registros[CATEGORIA],despesafixaconsolidadomai[[#This Row],[DESPESA FIXA]])</f>
        <v>0</v>
      </c>
      <c r="AB37" s="114" t="n">
        <f aca="false">SUMIFS(tabela_registros[VALOR],tabela_registros[MÊS],$AE$1,tabela_registros[DIA],maitotal30597183[[#Headers],[24]],tabela_registros[REGISTRO],DADOS!$N$4,tabela_registros[TIPO],DADOS!$P$3,tabela_registros[CATEGORIA],despesafixaconsolidadomai[[#This Row],[DESPESA FIXA]])</f>
        <v>0</v>
      </c>
      <c r="AC37" s="114" t="n">
        <f aca="false">SUMIFS(tabela_registros[VALOR],tabela_registros[MÊS],$AE$1,tabela_registros[DIA],maitotal30597183[[#Headers],[25]],tabela_registros[REGISTRO],DADOS!$N$4,tabela_registros[TIPO],DADOS!$P$3,tabela_registros[CATEGORIA],despesafixaconsolidadomai[[#This Row],[DESPESA FIXA]])</f>
        <v>0</v>
      </c>
      <c r="AD37" s="114" t="n">
        <f aca="false">SUMIFS(tabela_registros[VALOR],tabela_registros[MÊS],$AE$1,tabela_registros[DIA],maitotal30597183[[#Headers],[26]],tabela_registros[REGISTRO],DADOS!$N$4,tabela_registros[TIPO],DADOS!$P$3,tabela_registros[CATEGORIA],despesafixaconsolidadomai[[#This Row],[DESPESA FIXA]])</f>
        <v>0</v>
      </c>
      <c r="AE37" s="114" t="n">
        <f aca="false">SUMIFS(tabela_registros[VALOR],tabela_registros[MÊS],$AE$1,tabela_registros[DIA],maitotal30597183[[#Headers],[27]],tabela_registros[REGISTRO],DADOS!$N$4,tabela_registros[TIPO],DADOS!$P$3,tabela_registros[CATEGORIA],despesafixaconsolidadomai[[#This Row],[DESPESA FIXA]])</f>
        <v>0</v>
      </c>
      <c r="AF37" s="114" t="n">
        <f aca="false">SUMIFS(tabela_registros[VALOR],tabela_registros[MÊS],$AE$1,tabela_registros[DIA],maitotal30597183[[#Headers],[28]],tabela_registros[REGISTRO],DADOS!$N$4,tabela_registros[TIPO],DADOS!$P$3,tabela_registros[CATEGORIA],despesafixaconsolidadomai[[#This Row],[DESPESA FIXA]])</f>
        <v>0</v>
      </c>
      <c r="AG37" s="114" t="n">
        <f aca="false">SUMIFS(tabela_registros[VALOR],tabela_registros[MÊS],$AE$1,tabela_registros[DIA],maitotal30597183[[#Headers],[29]],tabela_registros[REGISTRO],DADOS!$N$4,tabela_registros[TIPO],DADOS!$P$3,tabela_registros[CATEGORIA],despesafixaconsolidadomai[[#This Row],[DESPESA FIXA]])</f>
        <v>0</v>
      </c>
      <c r="AH37" s="114" t="n">
        <f aca="false">SUMIFS(tabela_registros[VALOR],tabela_registros[MÊS],$AE$1,tabela_registros[DIA],maitotal30597183[[#Headers],[30]],tabela_registros[REGISTRO],DADOS!$N$4,tabela_registros[TIPO],DADOS!$P$3,tabela_registros[CATEGORIA],despesafixaconsolidadomai[[#This Row],[DESPESA FIXA]])</f>
        <v>0</v>
      </c>
      <c r="AI37" s="216" t="n">
        <f aca="false">SUMIFS(tabela_registros[VALOR],tabela_registros[MÊS],$AE$1,tabela_registros[DIA],maitotal30597183[[#Headers],[31]],tabela_registros[REGISTRO],DADOS!$N$4,tabela_registros[TIPO],DADOS!$P$3,tabela_registros[CATEGORIA],despesafixaconsolidadomai[[#This Row],[DESPESA FIXA]])</f>
        <v>0</v>
      </c>
      <c r="AJ37" s="147" t="n">
        <f aca="false">SUM(despesafixaconsolidadomai[[#This Row],[1]:[31]])</f>
        <v>0</v>
      </c>
      <c r="AK37" s="143"/>
    </row>
    <row r="38" customFormat="false" ht="18" hidden="false" customHeight="true" outlineLevel="0" collapsed="false">
      <c r="B38" s="143"/>
      <c r="C38" s="144" t="str">
        <f aca="false">DADOS!$R$4</f>
        <v>🐶 ANIMAIS DE ESTIMAÇÃO</v>
      </c>
      <c r="D38" s="145" t="str">
        <f aca="false">IF(despesafixaconsolidadomai[[#This Row],[TOTAL]]=0,"",IF(OR(despesafixaconsolidadomai[[#This Row],[TOTAL]]=LARGE($AJ$37:$AJ$50,1),despesafixaconsolidadomai[[#This Row],[TOTAL]]=LARGE($AJ$37:$AJ$50,2),despesafixaconsolidadomai[[#This Row],[TOTAL]]=LARGE($AJ$37:$AJ$50,3),despesafixaconsolidadomai[[#This Row],[TOTAL]]=LARGE($AJ$37:$AJ$50,4),despesafixaconsolidadomai[[#This Row],[TOTAL]]=LARGE($AJ$37:$AJ$50,5)),DADOS!$I$8,""))</f>
        <v/>
      </c>
      <c r="E38" s="148" t="n">
        <f aca="false">SUMIFS(tabela_registros[VALOR],tabela_registros[MÊS],$AE$1,tabela_registros[DIA],maitotal30597183[[#Headers],[1]],tabela_registros[REGISTRO],DADOS!$N$4,tabela_registros[TIPO],DADOS!$P$3,tabela_registros[CATEGORIA],despesafixaconsolidadomai[[#This Row],[DESPESA FIXA]])</f>
        <v>0</v>
      </c>
      <c r="F38" s="119" t="n">
        <f aca="false">SUMIFS(tabela_registros[VALOR],tabela_registros[MÊS],$AE$1,tabela_registros[DIA],maitotal30597183[[#Headers],[2]],tabela_registros[REGISTRO],DADOS!$N$4,tabela_registros[TIPO],DADOS!$P$3,tabela_registros[CATEGORIA],despesafixaconsolidadomai[[#This Row],[DESPESA FIXA]])</f>
        <v>0</v>
      </c>
      <c r="G38" s="119" t="n">
        <f aca="false">SUMIFS(tabela_registros[VALOR],tabela_registros[MÊS],$AE$1,tabela_registros[DIA],maitotal30597183[[#Headers],[3]],tabela_registros[REGISTRO],DADOS!$N$4,tabela_registros[TIPO],DADOS!$P$3,tabela_registros[CATEGORIA],despesafixaconsolidadomai[[#This Row],[DESPESA FIXA]])</f>
        <v>0</v>
      </c>
      <c r="H38" s="119" t="n">
        <f aca="false">SUMIFS(tabela_registros[VALOR],tabela_registros[MÊS],$AE$1,tabela_registros[DIA],maitotal30597183[[#Headers],[4]],tabela_registros[REGISTRO],DADOS!$N$4,tabela_registros[TIPO],DADOS!$P$3,tabela_registros[CATEGORIA],despesafixaconsolidadomai[[#This Row],[DESPESA FIXA]])</f>
        <v>0</v>
      </c>
      <c r="I38" s="119" t="n">
        <f aca="false">SUMIFS(tabela_registros[VALOR],tabela_registros[MÊS],$AE$1,tabela_registros[DIA],maitotal30597183[[#Headers],[5]],tabela_registros[REGISTRO],DADOS!$N$4,tabela_registros[TIPO],DADOS!$P$3,tabela_registros[CATEGORIA],despesafixaconsolidadomai[[#This Row],[DESPESA FIXA]])</f>
        <v>0</v>
      </c>
      <c r="J38" s="119" t="n">
        <f aca="false">SUMIFS(tabela_registros[VALOR],tabela_registros[MÊS],$AE$1,tabela_registros[DIA],maitotal30597183[[#Headers],[6]],tabela_registros[REGISTRO],DADOS!$N$4,tabela_registros[TIPO],DADOS!$P$3,tabela_registros[CATEGORIA],despesafixaconsolidadomai[[#This Row],[DESPESA FIXA]])</f>
        <v>0</v>
      </c>
      <c r="K38" s="119" t="n">
        <f aca="false">SUMIFS(tabela_registros[VALOR],tabela_registros[MÊS],$AE$1,tabela_registros[DIA],maitotal30597183[[#Headers],[7]],tabela_registros[REGISTRO],DADOS!$N$4,tabela_registros[TIPO],DADOS!$P$3,tabela_registros[CATEGORIA],despesafixaconsolidadomai[[#This Row],[DESPESA FIXA]])</f>
        <v>0</v>
      </c>
      <c r="L38" s="119" t="n">
        <f aca="false">SUMIFS(tabela_registros[VALOR],tabela_registros[MÊS],$AE$1,tabela_registros[DIA],maitotal30597183[[#Headers],[8]],tabela_registros[REGISTRO],DADOS!$N$4,tabela_registros[TIPO],DADOS!$P$3,tabela_registros[CATEGORIA],despesafixaconsolidadomai[[#This Row],[DESPESA FIXA]])</f>
        <v>0</v>
      </c>
      <c r="M38" s="119" t="n">
        <f aca="false">SUMIFS(tabela_registros[VALOR],tabela_registros[MÊS],$AE$1,tabela_registros[DIA],maitotal30597183[[#Headers],[9]],tabela_registros[REGISTRO],DADOS!$N$4,tabela_registros[TIPO],DADOS!$P$3,tabela_registros[CATEGORIA],despesafixaconsolidadomai[[#This Row],[DESPESA FIXA]])</f>
        <v>0</v>
      </c>
      <c r="N38" s="119" t="n">
        <f aca="false">SUMIFS(tabela_registros[VALOR],tabela_registros[MÊS],$AE$1,tabela_registros[DIA],maitotal30597183[[#Headers],[10]],tabela_registros[REGISTRO],DADOS!$N$4,tabela_registros[TIPO],DADOS!$P$3,tabela_registros[CATEGORIA],despesafixaconsolidadomai[[#This Row],[DESPESA FIXA]])</f>
        <v>0</v>
      </c>
      <c r="O38" s="119" t="n">
        <f aca="false">SUMIFS(tabela_registros[VALOR],tabela_registros[MÊS],$AE$1,tabela_registros[DIA],maitotal30597183[[#Headers],[11]],tabela_registros[REGISTRO],DADOS!$N$4,tabela_registros[TIPO],DADOS!$P$3,tabela_registros[CATEGORIA],despesafixaconsolidadomai[[#This Row],[DESPESA FIXA]])</f>
        <v>0</v>
      </c>
      <c r="P38" s="119" t="n">
        <f aca="false">SUMIFS(tabela_registros[VALOR],tabela_registros[MÊS],$AE$1,tabela_registros[DIA],maitotal30597183[[#Headers],[12]],tabela_registros[REGISTRO],DADOS!$N$4,tabela_registros[TIPO],DADOS!$P$3,tabela_registros[CATEGORIA],despesafixaconsolidadomai[[#This Row],[DESPESA FIXA]])</f>
        <v>0</v>
      </c>
      <c r="Q38" s="119" t="n">
        <f aca="false">SUMIFS(tabela_registros[VALOR],tabela_registros[MÊS],$AE$1,tabela_registros[DIA],maitotal30597183[[#Headers],[13]],tabela_registros[REGISTRO],DADOS!$N$4,tabela_registros[TIPO],DADOS!$P$3,tabela_registros[CATEGORIA],despesafixaconsolidadomai[[#This Row],[DESPESA FIXA]])</f>
        <v>0</v>
      </c>
      <c r="R38" s="119" t="n">
        <f aca="false">SUMIFS(tabela_registros[VALOR],tabela_registros[MÊS],$AE$1,tabela_registros[DIA],maitotal30597183[[#Headers],[14]],tabela_registros[REGISTRO],DADOS!$N$4,tabela_registros[TIPO],DADOS!$P$3,tabela_registros[CATEGORIA],despesafixaconsolidadomai[[#This Row],[DESPESA FIXA]])</f>
        <v>0</v>
      </c>
      <c r="S38" s="119" t="n">
        <f aca="false">SUMIFS(tabela_registros[VALOR],tabela_registros[MÊS],$AE$1,tabela_registros[DIA],maitotal30597183[[#Headers],[15]],tabela_registros[REGISTRO],DADOS!$N$4,tabela_registros[TIPO],DADOS!$P$3,tabela_registros[CATEGORIA],despesafixaconsolidadomai[[#This Row],[DESPESA FIXA]])</f>
        <v>0</v>
      </c>
      <c r="T38" s="119" t="n">
        <f aca="false">SUMIFS(tabela_registros[VALOR],tabela_registros[MÊS],$AE$1,tabela_registros[DIA],maitotal30597183[[#Headers],[16]],tabela_registros[REGISTRO],DADOS!$N$4,tabela_registros[TIPO],DADOS!$P$3,tabela_registros[CATEGORIA],despesafixaconsolidadomai[[#This Row],[DESPESA FIXA]])</f>
        <v>0</v>
      </c>
      <c r="U38" s="119" t="n">
        <f aca="false">SUMIFS(tabela_registros[VALOR],tabela_registros[MÊS],$AE$1,tabela_registros[DIA],maitotal30597183[[#Headers],[17]],tabela_registros[REGISTRO],DADOS!$N$4,tabela_registros[TIPO],DADOS!$P$3,tabela_registros[CATEGORIA],despesafixaconsolidadomai[[#This Row],[DESPESA FIXA]])</f>
        <v>0</v>
      </c>
      <c r="V38" s="119" t="n">
        <f aca="false">SUMIFS(tabela_registros[VALOR],tabela_registros[MÊS],$AE$1,tabela_registros[DIA],maitotal30597183[[#Headers],[18]],tabela_registros[REGISTRO],DADOS!$N$4,tabela_registros[TIPO],DADOS!$P$3,tabela_registros[CATEGORIA],despesafixaconsolidadomai[[#This Row],[DESPESA FIXA]])</f>
        <v>0</v>
      </c>
      <c r="W38" s="119" t="n">
        <f aca="false">SUMIFS(tabela_registros[VALOR],tabela_registros[MÊS],$AE$1,tabela_registros[DIA],maitotal30597183[[#Headers],[19]],tabela_registros[REGISTRO],DADOS!$N$4,tabela_registros[TIPO],DADOS!$P$3,tabela_registros[CATEGORIA],despesafixaconsolidadomai[[#This Row],[DESPESA FIXA]])</f>
        <v>0</v>
      </c>
      <c r="X38" s="119" t="n">
        <f aca="false">SUMIFS(tabela_registros[VALOR],tabela_registros[MÊS],$AE$1,tabela_registros[DIA],maitotal30597183[[#Headers],[20]],tabela_registros[REGISTRO],DADOS!$N$4,tabela_registros[TIPO],DADOS!$P$3,tabela_registros[CATEGORIA],despesafixaconsolidadomai[[#This Row],[DESPESA FIXA]])</f>
        <v>0</v>
      </c>
      <c r="Y38" s="119" t="n">
        <f aca="false">SUMIFS(tabela_registros[VALOR],tabela_registros[MÊS],$AE$1,tabela_registros[DIA],maitotal30597183[[#Headers],[21]],tabela_registros[REGISTRO],DADOS!$N$4,tabela_registros[TIPO],DADOS!$P$3,tabela_registros[CATEGORIA],despesafixaconsolidadomai[[#This Row],[DESPESA FIXA]])</f>
        <v>0</v>
      </c>
      <c r="Z38" s="119" t="n">
        <f aca="false">SUMIFS(tabela_registros[VALOR],tabela_registros[MÊS],$AE$1,tabela_registros[DIA],maitotal30597183[[#Headers],[22]],tabela_registros[REGISTRO],DADOS!$N$4,tabela_registros[TIPO],DADOS!$P$3,tabela_registros[CATEGORIA],despesafixaconsolidadomai[[#This Row],[DESPESA FIXA]])</f>
        <v>0</v>
      </c>
      <c r="AA38" s="119" t="n">
        <f aca="false">SUMIFS(tabela_registros[VALOR],tabela_registros[MÊS],$AE$1,tabela_registros[DIA],maitotal30597183[[#Headers],[23]],tabela_registros[REGISTRO],DADOS!$N$4,tabela_registros[TIPO],DADOS!$P$3,tabela_registros[CATEGORIA],despesafixaconsolidadomai[[#This Row],[DESPESA FIXA]])</f>
        <v>0</v>
      </c>
      <c r="AB38" s="119" t="n">
        <f aca="false">SUMIFS(tabela_registros[VALOR],tabela_registros[MÊS],$AE$1,tabela_registros[DIA],maitotal30597183[[#Headers],[24]],tabela_registros[REGISTRO],DADOS!$N$4,tabela_registros[TIPO],DADOS!$P$3,tabela_registros[CATEGORIA],despesafixaconsolidadomai[[#This Row],[DESPESA FIXA]])</f>
        <v>0</v>
      </c>
      <c r="AC38" s="119" t="n">
        <f aca="false">SUMIFS(tabela_registros[VALOR],tabela_registros[MÊS],$AE$1,tabela_registros[DIA],maitotal30597183[[#Headers],[25]],tabela_registros[REGISTRO],DADOS!$N$4,tabela_registros[TIPO],DADOS!$P$3,tabela_registros[CATEGORIA],despesafixaconsolidadomai[[#This Row],[DESPESA FIXA]])</f>
        <v>0</v>
      </c>
      <c r="AD38" s="119" t="n">
        <f aca="false">SUMIFS(tabela_registros[VALOR],tabela_registros[MÊS],$AE$1,tabela_registros[DIA],maitotal30597183[[#Headers],[26]],tabela_registros[REGISTRO],DADOS!$N$4,tabela_registros[TIPO],DADOS!$P$3,tabela_registros[CATEGORIA],despesafixaconsolidadomai[[#This Row],[DESPESA FIXA]])</f>
        <v>0</v>
      </c>
      <c r="AE38" s="119" t="n">
        <f aca="false">SUMIFS(tabela_registros[VALOR],tabela_registros[MÊS],$AE$1,tabela_registros[DIA],maitotal30597183[[#Headers],[27]],tabela_registros[REGISTRO],DADOS!$N$4,tabela_registros[TIPO],DADOS!$P$3,tabela_registros[CATEGORIA],despesafixaconsolidadomai[[#This Row],[DESPESA FIXA]])</f>
        <v>0</v>
      </c>
      <c r="AF38" s="119" t="n">
        <f aca="false">SUMIFS(tabela_registros[VALOR],tabela_registros[MÊS],$AE$1,tabela_registros[DIA],maitotal30597183[[#Headers],[28]],tabela_registros[REGISTRO],DADOS!$N$4,tabela_registros[TIPO],DADOS!$P$3,tabela_registros[CATEGORIA],despesafixaconsolidadomai[[#This Row],[DESPESA FIXA]])</f>
        <v>0</v>
      </c>
      <c r="AG38" s="119" t="n">
        <f aca="false">SUMIFS(tabela_registros[VALOR],tabela_registros[MÊS],$AE$1,tabela_registros[DIA],maitotal30597183[[#Headers],[29]],tabela_registros[REGISTRO],DADOS!$N$4,tabela_registros[TIPO],DADOS!$P$3,tabela_registros[CATEGORIA],despesafixaconsolidadomai[[#This Row],[DESPESA FIXA]])</f>
        <v>0</v>
      </c>
      <c r="AH38" s="119" t="n">
        <f aca="false">SUMIFS(tabela_registros[VALOR],tabela_registros[MÊS],$AE$1,tabela_registros[DIA],maitotal30597183[[#Headers],[30]],tabela_registros[REGISTRO],DADOS!$N$4,tabela_registros[TIPO],DADOS!$P$3,tabela_registros[CATEGORIA],despesafixaconsolidadomai[[#This Row],[DESPESA FIXA]])</f>
        <v>0</v>
      </c>
      <c r="AI38" s="217" t="n">
        <f aca="false">SUMIFS(tabela_registros[VALOR],tabela_registros[MÊS],$AE$1,tabela_registros[DIA],maitotal30597183[[#Headers],[31]],tabela_registros[REGISTRO],DADOS!$N$4,tabela_registros[TIPO],DADOS!$P$3,tabela_registros[CATEGORIA],despesafixaconsolidadomai[[#This Row],[DESPESA FIXA]])</f>
        <v>0</v>
      </c>
      <c r="AJ38" s="149" t="n">
        <f aca="false">SUM(despesafixaconsolidadomai[[#This Row],[1]:[31]])</f>
        <v>0</v>
      </c>
      <c r="AK38" s="143"/>
    </row>
    <row r="39" customFormat="false" ht="18" hidden="false" customHeight="true" outlineLevel="0" collapsed="false">
      <c r="B39" s="143"/>
      <c r="C39" s="144" t="str">
        <f aca="false">DADOS!$R$5</f>
        <v>🔖 ASSINATURAS E SERVIÇOS</v>
      </c>
      <c r="D39" s="145" t="str">
        <f aca="false">IF(despesafixaconsolidadomai[[#This Row],[TOTAL]]=0,"",IF(OR(despesafixaconsolidadomai[[#This Row],[TOTAL]]=LARGE($AJ$37:$AJ$50,1),despesafixaconsolidadomai[[#This Row],[TOTAL]]=LARGE($AJ$37:$AJ$50,2),despesafixaconsolidadomai[[#This Row],[TOTAL]]=LARGE($AJ$37:$AJ$50,3),despesafixaconsolidadomai[[#This Row],[TOTAL]]=LARGE($AJ$37:$AJ$50,4),despesafixaconsolidadomai[[#This Row],[TOTAL]]=LARGE($AJ$37:$AJ$50,5)),DADOS!$I$8,""))</f>
        <v/>
      </c>
      <c r="E39" s="148" t="n">
        <f aca="false">SUMIFS(tabela_registros[VALOR],tabela_registros[MÊS],$AE$1,tabela_registros[DIA],maitotal30597183[[#Headers],[1]],tabela_registros[REGISTRO],DADOS!$N$4,tabela_registros[TIPO],DADOS!$P$3,tabela_registros[CATEGORIA],despesafixaconsolidadomai[[#This Row],[DESPESA FIXA]])</f>
        <v>0</v>
      </c>
      <c r="F39" s="119" t="n">
        <f aca="false">SUMIFS(tabela_registros[VALOR],tabela_registros[MÊS],$AE$1,tabela_registros[DIA],maitotal30597183[[#Headers],[2]],tabela_registros[REGISTRO],DADOS!$N$4,tabela_registros[TIPO],DADOS!$P$3,tabela_registros[CATEGORIA],despesafixaconsolidadomai[[#This Row],[DESPESA FIXA]])</f>
        <v>0</v>
      </c>
      <c r="G39" s="119" t="n">
        <f aca="false">SUMIFS(tabela_registros[VALOR],tabela_registros[MÊS],$AE$1,tabela_registros[DIA],maitotal30597183[[#Headers],[3]],tabela_registros[REGISTRO],DADOS!$N$4,tabela_registros[TIPO],DADOS!$P$3,tabela_registros[CATEGORIA],despesafixaconsolidadomai[[#This Row],[DESPESA FIXA]])</f>
        <v>0</v>
      </c>
      <c r="H39" s="119" t="n">
        <f aca="false">SUMIFS(tabela_registros[VALOR],tabela_registros[MÊS],$AE$1,tabela_registros[DIA],maitotal30597183[[#Headers],[4]],tabela_registros[REGISTRO],DADOS!$N$4,tabela_registros[TIPO],DADOS!$P$3,tabela_registros[CATEGORIA],despesafixaconsolidadomai[[#This Row],[DESPESA FIXA]])</f>
        <v>0</v>
      </c>
      <c r="I39" s="119" t="n">
        <f aca="false">SUMIFS(tabela_registros[VALOR],tabela_registros[MÊS],$AE$1,tabela_registros[DIA],maitotal30597183[[#Headers],[5]],tabela_registros[REGISTRO],DADOS!$N$4,tabela_registros[TIPO],DADOS!$P$3,tabela_registros[CATEGORIA],despesafixaconsolidadomai[[#This Row],[DESPESA FIXA]])</f>
        <v>0</v>
      </c>
      <c r="J39" s="119" t="n">
        <f aca="false">SUMIFS(tabela_registros[VALOR],tabela_registros[MÊS],$AE$1,tabela_registros[DIA],maitotal30597183[[#Headers],[6]],tabela_registros[REGISTRO],DADOS!$N$4,tabela_registros[TIPO],DADOS!$P$3,tabela_registros[CATEGORIA],despesafixaconsolidadomai[[#This Row],[DESPESA FIXA]])</f>
        <v>0</v>
      </c>
      <c r="K39" s="119" t="n">
        <f aca="false">SUMIFS(tabela_registros[VALOR],tabela_registros[MÊS],$AE$1,tabela_registros[DIA],maitotal30597183[[#Headers],[7]],tabela_registros[REGISTRO],DADOS!$N$4,tabela_registros[TIPO],DADOS!$P$3,tabela_registros[CATEGORIA],despesafixaconsolidadomai[[#This Row],[DESPESA FIXA]])</f>
        <v>0</v>
      </c>
      <c r="L39" s="119" t="n">
        <f aca="false">SUMIFS(tabela_registros[VALOR],tabela_registros[MÊS],$AE$1,tabela_registros[DIA],maitotal30597183[[#Headers],[8]],tabela_registros[REGISTRO],DADOS!$N$4,tabela_registros[TIPO],DADOS!$P$3,tabela_registros[CATEGORIA],despesafixaconsolidadomai[[#This Row],[DESPESA FIXA]])</f>
        <v>0</v>
      </c>
      <c r="M39" s="119" t="n">
        <f aca="false">SUMIFS(tabela_registros[VALOR],tabela_registros[MÊS],$AE$1,tabela_registros[DIA],maitotal30597183[[#Headers],[9]],tabela_registros[REGISTRO],DADOS!$N$4,tabela_registros[TIPO],DADOS!$P$3,tabela_registros[CATEGORIA],despesafixaconsolidadomai[[#This Row],[DESPESA FIXA]])</f>
        <v>0</v>
      </c>
      <c r="N39" s="119" t="n">
        <f aca="false">SUMIFS(tabela_registros[VALOR],tabela_registros[MÊS],$AE$1,tabela_registros[DIA],maitotal30597183[[#Headers],[10]],tabela_registros[REGISTRO],DADOS!$N$4,tabela_registros[TIPO],DADOS!$P$3,tabela_registros[CATEGORIA],despesafixaconsolidadomai[[#This Row],[DESPESA FIXA]])</f>
        <v>0</v>
      </c>
      <c r="O39" s="119" t="n">
        <f aca="false">SUMIFS(tabela_registros[VALOR],tabela_registros[MÊS],$AE$1,tabela_registros[DIA],maitotal30597183[[#Headers],[11]],tabela_registros[REGISTRO],DADOS!$N$4,tabela_registros[TIPO],DADOS!$P$3,tabela_registros[CATEGORIA],despesafixaconsolidadomai[[#This Row],[DESPESA FIXA]])</f>
        <v>0</v>
      </c>
      <c r="P39" s="119" t="n">
        <f aca="false">SUMIFS(tabela_registros[VALOR],tabela_registros[MÊS],$AE$1,tabela_registros[DIA],maitotal30597183[[#Headers],[12]],tabela_registros[REGISTRO],DADOS!$N$4,tabela_registros[TIPO],DADOS!$P$3,tabela_registros[CATEGORIA],despesafixaconsolidadomai[[#This Row],[DESPESA FIXA]])</f>
        <v>0</v>
      </c>
      <c r="Q39" s="119" t="n">
        <f aca="false">SUMIFS(tabela_registros[VALOR],tabela_registros[MÊS],$AE$1,tabela_registros[DIA],maitotal30597183[[#Headers],[13]],tabela_registros[REGISTRO],DADOS!$N$4,tabela_registros[TIPO],DADOS!$P$3,tabela_registros[CATEGORIA],despesafixaconsolidadomai[[#This Row],[DESPESA FIXA]])</f>
        <v>0</v>
      </c>
      <c r="R39" s="119" t="n">
        <f aca="false">SUMIFS(tabela_registros[VALOR],tabela_registros[MÊS],$AE$1,tabela_registros[DIA],maitotal30597183[[#Headers],[14]],tabela_registros[REGISTRO],DADOS!$N$4,tabela_registros[TIPO],DADOS!$P$3,tabela_registros[CATEGORIA],despesafixaconsolidadomai[[#This Row],[DESPESA FIXA]])</f>
        <v>0</v>
      </c>
      <c r="S39" s="119" t="n">
        <f aca="false">SUMIFS(tabela_registros[VALOR],tabela_registros[MÊS],$AE$1,tabela_registros[DIA],maitotal30597183[[#Headers],[15]],tabela_registros[REGISTRO],DADOS!$N$4,tabela_registros[TIPO],DADOS!$P$3,tabela_registros[CATEGORIA],despesafixaconsolidadomai[[#This Row],[DESPESA FIXA]])</f>
        <v>0</v>
      </c>
      <c r="T39" s="119" t="n">
        <f aca="false">SUMIFS(tabela_registros[VALOR],tabela_registros[MÊS],$AE$1,tabela_registros[DIA],maitotal30597183[[#Headers],[16]],tabela_registros[REGISTRO],DADOS!$N$4,tabela_registros[TIPO],DADOS!$P$3,tabela_registros[CATEGORIA],despesafixaconsolidadomai[[#This Row],[DESPESA FIXA]])</f>
        <v>0</v>
      </c>
      <c r="U39" s="119" t="n">
        <f aca="false">SUMIFS(tabela_registros[VALOR],tabela_registros[MÊS],$AE$1,tabela_registros[DIA],maitotal30597183[[#Headers],[17]],tabela_registros[REGISTRO],DADOS!$N$4,tabela_registros[TIPO],DADOS!$P$3,tabela_registros[CATEGORIA],despesafixaconsolidadomai[[#This Row],[DESPESA FIXA]])</f>
        <v>0</v>
      </c>
      <c r="V39" s="119" t="n">
        <f aca="false">SUMIFS(tabela_registros[VALOR],tabela_registros[MÊS],$AE$1,tabela_registros[DIA],maitotal30597183[[#Headers],[18]],tabela_registros[REGISTRO],DADOS!$N$4,tabela_registros[TIPO],DADOS!$P$3,tabela_registros[CATEGORIA],despesafixaconsolidadomai[[#This Row],[DESPESA FIXA]])</f>
        <v>0</v>
      </c>
      <c r="W39" s="119" t="n">
        <f aca="false">SUMIFS(tabela_registros[VALOR],tabela_registros[MÊS],$AE$1,tabela_registros[DIA],maitotal30597183[[#Headers],[19]],tabela_registros[REGISTRO],DADOS!$N$4,tabela_registros[TIPO],DADOS!$P$3,tabela_registros[CATEGORIA],despesafixaconsolidadomai[[#This Row],[DESPESA FIXA]])</f>
        <v>0</v>
      </c>
      <c r="X39" s="119" t="n">
        <f aca="false">SUMIFS(tabela_registros[VALOR],tabela_registros[MÊS],$AE$1,tabela_registros[DIA],maitotal30597183[[#Headers],[20]],tabela_registros[REGISTRO],DADOS!$N$4,tabela_registros[TIPO],DADOS!$P$3,tabela_registros[CATEGORIA],despesafixaconsolidadomai[[#This Row],[DESPESA FIXA]])</f>
        <v>0</v>
      </c>
      <c r="Y39" s="119" t="n">
        <f aca="false">SUMIFS(tabela_registros[VALOR],tabela_registros[MÊS],$AE$1,tabela_registros[DIA],maitotal30597183[[#Headers],[21]],tabela_registros[REGISTRO],DADOS!$N$4,tabela_registros[TIPO],DADOS!$P$3,tabela_registros[CATEGORIA],despesafixaconsolidadomai[[#This Row],[DESPESA FIXA]])</f>
        <v>0</v>
      </c>
      <c r="Z39" s="119" t="n">
        <f aca="false">SUMIFS(tabela_registros[VALOR],tabela_registros[MÊS],$AE$1,tabela_registros[DIA],maitotal30597183[[#Headers],[22]],tabela_registros[REGISTRO],DADOS!$N$4,tabela_registros[TIPO],DADOS!$P$3,tabela_registros[CATEGORIA],despesafixaconsolidadomai[[#This Row],[DESPESA FIXA]])</f>
        <v>0</v>
      </c>
      <c r="AA39" s="119" t="n">
        <f aca="false">SUMIFS(tabela_registros[VALOR],tabela_registros[MÊS],$AE$1,tabela_registros[DIA],maitotal30597183[[#Headers],[23]],tabela_registros[REGISTRO],DADOS!$N$4,tabela_registros[TIPO],DADOS!$P$3,tabela_registros[CATEGORIA],despesafixaconsolidadomai[[#This Row],[DESPESA FIXA]])</f>
        <v>0</v>
      </c>
      <c r="AB39" s="119" t="n">
        <f aca="false">SUMIFS(tabela_registros[VALOR],tabela_registros[MÊS],$AE$1,tabela_registros[DIA],maitotal30597183[[#Headers],[24]],tabela_registros[REGISTRO],DADOS!$N$4,tabela_registros[TIPO],DADOS!$P$3,tabela_registros[CATEGORIA],despesafixaconsolidadomai[[#This Row],[DESPESA FIXA]])</f>
        <v>0</v>
      </c>
      <c r="AC39" s="119" t="n">
        <f aca="false">SUMIFS(tabela_registros[VALOR],tabela_registros[MÊS],$AE$1,tabela_registros[DIA],maitotal30597183[[#Headers],[25]],tabela_registros[REGISTRO],DADOS!$N$4,tabela_registros[TIPO],DADOS!$P$3,tabela_registros[CATEGORIA],despesafixaconsolidadomai[[#This Row],[DESPESA FIXA]])</f>
        <v>0</v>
      </c>
      <c r="AD39" s="119" t="n">
        <f aca="false">SUMIFS(tabela_registros[VALOR],tabela_registros[MÊS],$AE$1,tabela_registros[DIA],maitotal30597183[[#Headers],[26]],tabela_registros[REGISTRO],DADOS!$N$4,tabela_registros[TIPO],DADOS!$P$3,tabela_registros[CATEGORIA],despesafixaconsolidadomai[[#This Row],[DESPESA FIXA]])</f>
        <v>0</v>
      </c>
      <c r="AE39" s="119" t="n">
        <f aca="false">SUMIFS(tabela_registros[VALOR],tabela_registros[MÊS],$AE$1,tabela_registros[DIA],maitotal30597183[[#Headers],[27]],tabela_registros[REGISTRO],DADOS!$N$4,tabela_registros[TIPO],DADOS!$P$3,tabela_registros[CATEGORIA],despesafixaconsolidadomai[[#This Row],[DESPESA FIXA]])</f>
        <v>0</v>
      </c>
      <c r="AF39" s="119" t="n">
        <f aca="false">SUMIFS(tabela_registros[VALOR],tabela_registros[MÊS],$AE$1,tabela_registros[DIA],maitotal30597183[[#Headers],[28]],tabela_registros[REGISTRO],DADOS!$N$4,tabela_registros[TIPO],DADOS!$P$3,tabela_registros[CATEGORIA],despesafixaconsolidadomai[[#This Row],[DESPESA FIXA]])</f>
        <v>0</v>
      </c>
      <c r="AG39" s="119" t="n">
        <f aca="false">SUMIFS(tabela_registros[VALOR],tabela_registros[MÊS],$AE$1,tabela_registros[DIA],maitotal30597183[[#Headers],[29]],tabela_registros[REGISTRO],DADOS!$N$4,tabela_registros[TIPO],DADOS!$P$3,tabela_registros[CATEGORIA],despesafixaconsolidadomai[[#This Row],[DESPESA FIXA]])</f>
        <v>0</v>
      </c>
      <c r="AH39" s="119" t="n">
        <f aca="false">SUMIFS(tabela_registros[VALOR],tabela_registros[MÊS],$AE$1,tabela_registros[DIA],maitotal30597183[[#Headers],[30]],tabela_registros[REGISTRO],DADOS!$N$4,tabela_registros[TIPO],DADOS!$P$3,tabela_registros[CATEGORIA],despesafixaconsolidadomai[[#This Row],[DESPESA FIXA]])</f>
        <v>0</v>
      </c>
      <c r="AI39" s="217" t="n">
        <f aca="false">SUMIFS(tabela_registros[VALOR],tabela_registros[MÊS],$AE$1,tabela_registros[DIA],maitotal30597183[[#Headers],[31]],tabela_registros[REGISTRO],DADOS!$N$4,tabela_registros[TIPO],DADOS!$P$3,tabela_registros[CATEGORIA],despesafixaconsolidadomai[[#This Row],[DESPESA FIXA]])</f>
        <v>0</v>
      </c>
      <c r="AJ39" s="149" t="n">
        <f aca="false">SUM(despesafixaconsolidadomai[[#This Row],[1]:[31]])</f>
        <v>0</v>
      </c>
      <c r="AK39" s="143"/>
    </row>
    <row r="40" customFormat="false" ht="18" hidden="false" customHeight="true" outlineLevel="0" collapsed="false">
      <c r="B40" s="143"/>
      <c r="C40" s="144" t="str">
        <f aca="false">DADOS!$R$6</f>
        <v>📱 CELULAR</v>
      </c>
      <c r="D40" s="145" t="str">
        <f aca="false">IF(despesafixaconsolidadomai[[#This Row],[TOTAL]]=0,"",IF(OR(despesafixaconsolidadomai[[#This Row],[TOTAL]]=LARGE($AJ$37:$AJ$50,1),despesafixaconsolidadomai[[#This Row],[TOTAL]]=LARGE($AJ$37:$AJ$50,2),despesafixaconsolidadomai[[#This Row],[TOTAL]]=LARGE($AJ$37:$AJ$50,3),despesafixaconsolidadomai[[#This Row],[TOTAL]]=LARGE($AJ$37:$AJ$50,4),despesafixaconsolidadomai[[#This Row],[TOTAL]]=LARGE($AJ$37:$AJ$50,5)),DADOS!$I$8,""))</f>
        <v/>
      </c>
      <c r="E40" s="148" t="n">
        <f aca="false">SUMIFS(tabela_registros[VALOR],tabela_registros[MÊS],$AE$1,tabela_registros[DIA],maitotal30597183[[#Headers],[1]],tabela_registros[REGISTRO],DADOS!$N$4,tabela_registros[TIPO],DADOS!$P$3,tabela_registros[CATEGORIA],despesafixaconsolidadomai[[#This Row],[DESPESA FIXA]])</f>
        <v>0</v>
      </c>
      <c r="F40" s="119" t="n">
        <f aca="false">SUMIFS(tabela_registros[VALOR],tabela_registros[MÊS],$AE$1,tabela_registros[DIA],maitotal30597183[[#Headers],[2]],tabela_registros[REGISTRO],DADOS!$N$4,tabela_registros[TIPO],DADOS!$P$3,tabela_registros[CATEGORIA],despesafixaconsolidadomai[[#This Row],[DESPESA FIXA]])</f>
        <v>0</v>
      </c>
      <c r="G40" s="119" t="n">
        <f aca="false">SUMIFS(tabela_registros[VALOR],tabela_registros[MÊS],$AE$1,tabela_registros[DIA],maitotal30597183[[#Headers],[3]],tabela_registros[REGISTRO],DADOS!$N$4,tabela_registros[TIPO],DADOS!$P$3,tabela_registros[CATEGORIA],despesafixaconsolidadomai[[#This Row],[DESPESA FIXA]])</f>
        <v>0</v>
      </c>
      <c r="H40" s="119" t="n">
        <f aca="false">SUMIFS(tabela_registros[VALOR],tabela_registros[MÊS],$AE$1,tabela_registros[DIA],maitotal30597183[[#Headers],[4]],tabela_registros[REGISTRO],DADOS!$N$4,tabela_registros[TIPO],DADOS!$P$3,tabela_registros[CATEGORIA],despesafixaconsolidadomai[[#This Row],[DESPESA FIXA]])</f>
        <v>0</v>
      </c>
      <c r="I40" s="119" t="n">
        <f aca="false">SUMIFS(tabela_registros[VALOR],tabela_registros[MÊS],$AE$1,tabela_registros[DIA],maitotal30597183[[#Headers],[5]],tabela_registros[REGISTRO],DADOS!$N$4,tabela_registros[TIPO],DADOS!$P$3,tabela_registros[CATEGORIA],despesafixaconsolidadomai[[#This Row],[DESPESA FIXA]])</f>
        <v>0</v>
      </c>
      <c r="J40" s="119" t="n">
        <f aca="false">SUMIFS(tabela_registros[VALOR],tabela_registros[MÊS],$AE$1,tabela_registros[DIA],maitotal30597183[[#Headers],[6]],tabela_registros[REGISTRO],DADOS!$N$4,tabela_registros[TIPO],DADOS!$P$3,tabela_registros[CATEGORIA],despesafixaconsolidadomai[[#This Row],[DESPESA FIXA]])</f>
        <v>0</v>
      </c>
      <c r="K40" s="119" t="n">
        <f aca="false">SUMIFS(tabela_registros[VALOR],tabela_registros[MÊS],$AE$1,tabela_registros[DIA],maitotal30597183[[#Headers],[7]],tabela_registros[REGISTRO],DADOS!$N$4,tabela_registros[TIPO],DADOS!$P$3,tabela_registros[CATEGORIA],despesafixaconsolidadomai[[#This Row],[DESPESA FIXA]])</f>
        <v>0</v>
      </c>
      <c r="L40" s="119" t="n">
        <f aca="false">SUMIFS(tabela_registros[VALOR],tabela_registros[MÊS],$AE$1,tabela_registros[DIA],maitotal30597183[[#Headers],[8]],tabela_registros[REGISTRO],DADOS!$N$4,tabela_registros[TIPO],DADOS!$P$3,tabela_registros[CATEGORIA],despesafixaconsolidadomai[[#This Row],[DESPESA FIXA]])</f>
        <v>0</v>
      </c>
      <c r="M40" s="119" t="n">
        <f aca="false">SUMIFS(tabela_registros[VALOR],tabela_registros[MÊS],$AE$1,tabela_registros[DIA],maitotal30597183[[#Headers],[9]],tabela_registros[REGISTRO],DADOS!$N$4,tabela_registros[TIPO],DADOS!$P$3,tabela_registros[CATEGORIA],despesafixaconsolidadomai[[#This Row],[DESPESA FIXA]])</f>
        <v>0</v>
      </c>
      <c r="N40" s="119" t="n">
        <f aca="false">SUMIFS(tabela_registros[VALOR],tabela_registros[MÊS],$AE$1,tabela_registros[DIA],maitotal30597183[[#Headers],[10]],tabela_registros[REGISTRO],DADOS!$N$4,tabela_registros[TIPO],DADOS!$P$3,tabela_registros[CATEGORIA],despesafixaconsolidadomai[[#This Row],[DESPESA FIXA]])</f>
        <v>0</v>
      </c>
      <c r="O40" s="119" t="n">
        <f aca="false">SUMIFS(tabela_registros[VALOR],tabela_registros[MÊS],$AE$1,tabela_registros[DIA],maitotal30597183[[#Headers],[11]],tabela_registros[REGISTRO],DADOS!$N$4,tabela_registros[TIPO],DADOS!$P$3,tabela_registros[CATEGORIA],despesafixaconsolidadomai[[#This Row],[DESPESA FIXA]])</f>
        <v>0</v>
      </c>
      <c r="P40" s="119" t="n">
        <f aca="false">SUMIFS(tabela_registros[VALOR],tabela_registros[MÊS],$AE$1,tabela_registros[DIA],maitotal30597183[[#Headers],[12]],tabela_registros[REGISTRO],DADOS!$N$4,tabela_registros[TIPO],DADOS!$P$3,tabela_registros[CATEGORIA],despesafixaconsolidadomai[[#This Row],[DESPESA FIXA]])</f>
        <v>0</v>
      </c>
      <c r="Q40" s="119" t="n">
        <f aca="false">SUMIFS(tabela_registros[VALOR],tabela_registros[MÊS],$AE$1,tabela_registros[DIA],maitotal30597183[[#Headers],[13]],tabela_registros[REGISTRO],DADOS!$N$4,tabela_registros[TIPO],DADOS!$P$3,tabela_registros[CATEGORIA],despesafixaconsolidadomai[[#This Row],[DESPESA FIXA]])</f>
        <v>0</v>
      </c>
      <c r="R40" s="119" t="n">
        <f aca="false">SUMIFS(tabela_registros[VALOR],tabela_registros[MÊS],$AE$1,tabela_registros[DIA],maitotal30597183[[#Headers],[14]],tabela_registros[REGISTRO],DADOS!$N$4,tabela_registros[TIPO],DADOS!$P$3,tabela_registros[CATEGORIA],despesafixaconsolidadomai[[#This Row],[DESPESA FIXA]])</f>
        <v>0</v>
      </c>
      <c r="S40" s="119" t="n">
        <f aca="false">SUMIFS(tabela_registros[VALOR],tabela_registros[MÊS],$AE$1,tabela_registros[DIA],maitotal30597183[[#Headers],[15]],tabela_registros[REGISTRO],DADOS!$N$4,tabela_registros[TIPO],DADOS!$P$3,tabela_registros[CATEGORIA],despesafixaconsolidadomai[[#This Row],[DESPESA FIXA]])</f>
        <v>0</v>
      </c>
      <c r="T40" s="119" t="n">
        <f aca="false">SUMIFS(tabela_registros[VALOR],tabela_registros[MÊS],$AE$1,tabela_registros[DIA],maitotal30597183[[#Headers],[16]],tabela_registros[REGISTRO],DADOS!$N$4,tabela_registros[TIPO],DADOS!$P$3,tabela_registros[CATEGORIA],despesafixaconsolidadomai[[#This Row],[DESPESA FIXA]])</f>
        <v>0</v>
      </c>
      <c r="U40" s="119" t="n">
        <f aca="false">SUMIFS(tabela_registros[VALOR],tabela_registros[MÊS],$AE$1,tabela_registros[DIA],maitotal30597183[[#Headers],[17]],tabela_registros[REGISTRO],DADOS!$N$4,tabela_registros[TIPO],DADOS!$P$3,tabela_registros[CATEGORIA],despesafixaconsolidadomai[[#This Row],[DESPESA FIXA]])</f>
        <v>0</v>
      </c>
      <c r="V40" s="119" t="n">
        <f aca="false">SUMIFS(tabela_registros[VALOR],tabela_registros[MÊS],$AE$1,tabela_registros[DIA],maitotal30597183[[#Headers],[18]],tabela_registros[REGISTRO],DADOS!$N$4,tabela_registros[TIPO],DADOS!$P$3,tabela_registros[CATEGORIA],despesafixaconsolidadomai[[#This Row],[DESPESA FIXA]])</f>
        <v>0</v>
      </c>
      <c r="W40" s="119" t="n">
        <f aca="false">SUMIFS(tabela_registros[VALOR],tabela_registros[MÊS],$AE$1,tabela_registros[DIA],maitotal30597183[[#Headers],[19]],tabela_registros[REGISTRO],DADOS!$N$4,tabela_registros[TIPO],DADOS!$P$3,tabela_registros[CATEGORIA],despesafixaconsolidadomai[[#This Row],[DESPESA FIXA]])</f>
        <v>0</v>
      </c>
      <c r="X40" s="119" t="n">
        <f aca="false">SUMIFS(tabela_registros[VALOR],tabela_registros[MÊS],$AE$1,tabela_registros[DIA],maitotal30597183[[#Headers],[20]],tabela_registros[REGISTRO],DADOS!$N$4,tabela_registros[TIPO],DADOS!$P$3,tabela_registros[CATEGORIA],despesafixaconsolidadomai[[#This Row],[DESPESA FIXA]])</f>
        <v>0</v>
      </c>
      <c r="Y40" s="119" t="n">
        <f aca="false">SUMIFS(tabela_registros[VALOR],tabela_registros[MÊS],$AE$1,tabela_registros[DIA],maitotal30597183[[#Headers],[21]],tabela_registros[REGISTRO],DADOS!$N$4,tabela_registros[TIPO],DADOS!$P$3,tabela_registros[CATEGORIA],despesafixaconsolidadomai[[#This Row],[DESPESA FIXA]])</f>
        <v>0</v>
      </c>
      <c r="Z40" s="119" t="n">
        <f aca="false">SUMIFS(tabela_registros[VALOR],tabela_registros[MÊS],$AE$1,tabela_registros[DIA],maitotal30597183[[#Headers],[22]],tabela_registros[REGISTRO],DADOS!$N$4,tabela_registros[TIPO],DADOS!$P$3,tabela_registros[CATEGORIA],despesafixaconsolidadomai[[#This Row],[DESPESA FIXA]])</f>
        <v>0</v>
      </c>
      <c r="AA40" s="119" t="n">
        <f aca="false">SUMIFS(tabela_registros[VALOR],tabela_registros[MÊS],$AE$1,tabela_registros[DIA],maitotal30597183[[#Headers],[23]],tabela_registros[REGISTRO],DADOS!$N$4,tabela_registros[TIPO],DADOS!$P$3,tabela_registros[CATEGORIA],despesafixaconsolidadomai[[#This Row],[DESPESA FIXA]])</f>
        <v>0</v>
      </c>
      <c r="AB40" s="119" t="n">
        <f aca="false">SUMIFS(tabela_registros[VALOR],tabela_registros[MÊS],$AE$1,tabela_registros[DIA],maitotal30597183[[#Headers],[24]],tabela_registros[REGISTRO],DADOS!$N$4,tabela_registros[TIPO],DADOS!$P$3,tabela_registros[CATEGORIA],despesafixaconsolidadomai[[#This Row],[DESPESA FIXA]])</f>
        <v>0</v>
      </c>
      <c r="AC40" s="119" t="n">
        <f aca="false">SUMIFS(tabela_registros[VALOR],tabela_registros[MÊS],$AE$1,tabela_registros[DIA],maitotal30597183[[#Headers],[25]],tabela_registros[REGISTRO],DADOS!$N$4,tabela_registros[TIPO],DADOS!$P$3,tabela_registros[CATEGORIA],despesafixaconsolidadomai[[#This Row],[DESPESA FIXA]])</f>
        <v>0</v>
      </c>
      <c r="AD40" s="119" t="n">
        <f aca="false">SUMIFS(tabela_registros[VALOR],tabela_registros[MÊS],$AE$1,tabela_registros[DIA],maitotal30597183[[#Headers],[26]],tabela_registros[REGISTRO],DADOS!$N$4,tabela_registros[TIPO],DADOS!$P$3,tabela_registros[CATEGORIA],despesafixaconsolidadomai[[#This Row],[DESPESA FIXA]])</f>
        <v>0</v>
      </c>
      <c r="AE40" s="119" t="n">
        <f aca="false">SUMIFS(tabela_registros[VALOR],tabela_registros[MÊS],$AE$1,tabela_registros[DIA],maitotal30597183[[#Headers],[27]],tabela_registros[REGISTRO],DADOS!$N$4,tabela_registros[TIPO],DADOS!$P$3,tabela_registros[CATEGORIA],despesafixaconsolidadomai[[#This Row],[DESPESA FIXA]])</f>
        <v>0</v>
      </c>
      <c r="AF40" s="119" t="n">
        <f aca="false">SUMIFS(tabela_registros[VALOR],tabela_registros[MÊS],$AE$1,tabela_registros[DIA],maitotal30597183[[#Headers],[28]],tabela_registros[REGISTRO],DADOS!$N$4,tabela_registros[TIPO],DADOS!$P$3,tabela_registros[CATEGORIA],despesafixaconsolidadomai[[#This Row],[DESPESA FIXA]])</f>
        <v>0</v>
      </c>
      <c r="AG40" s="119" t="n">
        <f aca="false">SUMIFS(tabela_registros[VALOR],tabela_registros[MÊS],$AE$1,tabela_registros[DIA],maitotal30597183[[#Headers],[29]],tabela_registros[REGISTRO],DADOS!$N$4,tabela_registros[TIPO],DADOS!$P$3,tabela_registros[CATEGORIA],despesafixaconsolidadomai[[#This Row],[DESPESA FIXA]])</f>
        <v>0</v>
      </c>
      <c r="AH40" s="119" t="n">
        <f aca="false">SUMIFS(tabela_registros[VALOR],tabela_registros[MÊS],$AE$1,tabela_registros[DIA],maitotal30597183[[#Headers],[30]],tabela_registros[REGISTRO],DADOS!$N$4,tabela_registros[TIPO],DADOS!$P$3,tabela_registros[CATEGORIA],despesafixaconsolidadomai[[#This Row],[DESPESA FIXA]])</f>
        <v>0</v>
      </c>
      <c r="AI40" s="217" t="n">
        <f aca="false">SUMIFS(tabela_registros[VALOR],tabela_registros[MÊS],$AE$1,tabela_registros[DIA],maitotal30597183[[#Headers],[31]],tabela_registros[REGISTRO],DADOS!$N$4,tabela_registros[TIPO],DADOS!$P$3,tabela_registros[CATEGORIA],despesafixaconsolidadomai[[#This Row],[DESPESA FIXA]])</f>
        <v>0</v>
      </c>
      <c r="AJ40" s="149" t="n">
        <f aca="false">SUM(despesafixaconsolidadomai[[#This Row],[1]:[31]])</f>
        <v>0</v>
      </c>
      <c r="AK40" s="143"/>
    </row>
    <row r="41" customFormat="false" ht="18" hidden="false" customHeight="true" outlineLevel="0" collapsed="false">
      <c r="B41" s="143"/>
      <c r="C41" s="144" t="str">
        <f aca="false">DADOS!$R$7</f>
        <v>📖 EDUCAÇÃO</v>
      </c>
      <c r="D41" s="145" t="str">
        <f aca="false">IF(despesafixaconsolidadomai[[#This Row],[TOTAL]]=0,"",IF(OR(despesafixaconsolidadomai[[#This Row],[TOTAL]]=LARGE($AJ$37:$AJ$50,1),despesafixaconsolidadomai[[#This Row],[TOTAL]]=LARGE($AJ$37:$AJ$50,2),despesafixaconsolidadomai[[#This Row],[TOTAL]]=LARGE($AJ$37:$AJ$50,3),despesafixaconsolidadomai[[#This Row],[TOTAL]]=LARGE($AJ$37:$AJ$50,4),despesafixaconsolidadomai[[#This Row],[TOTAL]]=LARGE($AJ$37:$AJ$50,5)),DADOS!$I$8,""))</f>
        <v/>
      </c>
      <c r="E41" s="148" t="n">
        <f aca="false">SUMIFS(tabela_registros[VALOR],tabela_registros[MÊS],$AE$1,tabela_registros[DIA],maitotal30597183[[#Headers],[1]],tabela_registros[REGISTRO],DADOS!$N$4,tabela_registros[TIPO],DADOS!$P$3,tabela_registros[CATEGORIA],despesafixaconsolidadomai[[#This Row],[DESPESA FIXA]])</f>
        <v>0</v>
      </c>
      <c r="F41" s="119" t="n">
        <f aca="false">SUMIFS(tabela_registros[VALOR],tabela_registros[MÊS],$AE$1,tabela_registros[DIA],maitotal30597183[[#Headers],[2]],tabela_registros[REGISTRO],DADOS!$N$4,tabela_registros[TIPO],DADOS!$P$3,tabela_registros[CATEGORIA],despesafixaconsolidadomai[[#This Row],[DESPESA FIXA]])</f>
        <v>0</v>
      </c>
      <c r="G41" s="119" t="n">
        <f aca="false">SUMIFS(tabela_registros[VALOR],tabela_registros[MÊS],$AE$1,tabela_registros[DIA],maitotal30597183[[#Headers],[3]],tabela_registros[REGISTRO],DADOS!$N$4,tabela_registros[TIPO],DADOS!$P$3,tabela_registros[CATEGORIA],despesafixaconsolidadomai[[#This Row],[DESPESA FIXA]])</f>
        <v>0</v>
      </c>
      <c r="H41" s="119" t="n">
        <f aca="false">SUMIFS(tabela_registros[VALOR],tabela_registros[MÊS],$AE$1,tabela_registros[DIA],maitotal30597183[[#Headers],[4]],tabela_registros[REGISTRO],DADOS!$N$4,tabela_registros[TIPO],DADOS!$P$3,tabela_registros[CATEGORIA],despesafixaconsolidadomai[[#This Row],[DESPESA FIXA]])</f>
        <v>0</v>
      </c>
      <c r="I41" s="119" t="n">
        <f aca="false">SUMIFS(tabela_registros[VALOR],tabela_registros[MÊS],$AE$1,tabela_registros[DIA],maitotal30597183[[#Headers],[5]],tabela_registros[REGISTRO],DADOS!$N$4,tabela_registros[TIPO],DADOS!$P$3,tabela_registros[CATEGORIA],despesafixaconsolidadomai[[#This Row],[DESPESA FIXA]])</f>
        <v>0</v>
      </c>
      <c r="J41" s="119" t="n">
        <f aca="false">SUMIFS(tabela_registros[VALOR],tabela_registros[MÊS],$AE$1,tabela_registros[DIA],maitotal30597183[[#Headers],[6]],tabela_registros[REGISTRO],DADOS!$N$4,tabela_registros[TIPO],DADOS!$P$3,tabela_registros[CATEGORIA],despesafixaconsolidadomai[[#This Row],[DESPESA FIXA]])</f>
        <v>0</v>
      </c>
      <c r="K41" s="119" t="n">
        <f aca="false">SUMIFS(tabela_registros[VALOR],tabela_registros[MÊS],$AE$1,tabela_registros[DIA],maitotal30597183[[#Headers],[7]],tabela_registros[REGISTRO],DADOS!$N$4,tabela_registros[TIPO],DADOS!$P$3,tabela_registros[CATEGORIA],despesafixaconsolidadomai[[#This Row],[DESPESA FIXA]])</f>
        <v>0</v>
      </c>
      <c r="L41" s="119" t="n">
        <f aca="false">SUMIFS(tabela_registros[VALOR],tabela_registros[MÊS],$AE$1,tabela_registros[DIA],maitotal30597183[[#Headers],[8]],tabela_registros[REGISTRO],DADOS!$N$4,tabela_registros[TIPO],DADOS!$P$3,tabela_registros[CATEGORIA],despesafixaconsolidadomai[[#This Row],[DESPESA FIXA]])</f>
        <v>0</v>
      </c>
      <c r="M41" s="119" t="n">
        <f aca="false">SUMIFS(tabela_registros[VALOR],tabela_registros[MÊS],$AE$1,tabela_registros[DIA],maitotal30597183[[#Headers],[9]],tabela_registros[REGISTRO],DADOS!$N$4,tabela_registros[TIPO],DADOS!$P$3,tabela_registros[CATEGORIA],despesafixaconsolidadomai[[#This Row],[DESPESA FIXA]])</f>
        <v>0</v>
      </c>
      <c r="N41" s="119" t="n">
        <f aca="false">SUMIFS(tabela_registros[VALOR],tabela_registros[MÊS],$AE$1,tabela_registros[DIA],maitotal30597183[[#Headers],[10]],tabela_registros[REGISTRO],DADOS!$N$4,tabela_registros[TIPO],DADOS!$P$3,tabela_registros[CATEGORIA],despesafixaconsolidadomai[[#This Row],[DESPESA FIXA]])</f>
        <v>0</v>
      </c>
      <c r="O41" s="119" t="n">
        <f aca="false">SUMIFS(tabela_registros[VALOR],tabela_registros[MÊS],$AE$1,tabela_registros[DIA],maitotal30597183[[#Headers],[11]],tabela_registros[REGISTRO],DADOS!$N$4,tabela_registros[TIPO],DADOS!$P$3,tabela_registros[CATEGORIA],despesafixaconsolidadomai[[#This Row],[DESPESA FIXA]])</f>
        <v>0</v>
      </c>
      <c r="P41" s="119" t="n">
        <f aca="false">SUMIFS(tabela_registros[VALOR],tabela_registros[MÊS],$AE$1,tabela_registros[DIA],maitotal30597183[[#Headers],[12]],tabela_registros[REGISTRO],DADOS!$N$4,tabela_registros[TIPO],DADOS!$P$3,tabela_registros[CATEGORIA],despesafixaconsolidadomai[[#This Row],[DESPESA FIXA]])</f>
        <v>0</v>
      </c>
      <c r="Q41" s="119" t="n">
        <f aca="false">SUMIFS(tabela_registros[VALOR],tabela_registros[MÊS],$AE$1,tabela_registros[DIA],maitotal30597183[[#Headers],[13]],tabela_registros[REGISTRO],DADOS!$N$4,tabela_registros[TIPO],DADOS!$P$3,tabela_registros[CATEGORIA],despesafixaconsolidadomai[[#This Row],[DESPESA FIXA]])</f>
        <v>0</v>
      </c>
      <c r="R41" s="119" t="n">
        <f aca="false">SUMIFS(tabela_registros[VALOR],tabela_registros[MÊS],$AE$1,tabela_registros[DIA],maitotal30597183[[#Headers],[14]],tabela_registros[REGISTRO],DADOS!$N$4,tabela_registros[TIPO],DADOS!$P$3,tabela_registros[CATEGORIA],despesafixaconsolidadomai[[#This Row],[DESPESA FIXA]])</f>
        <v>0</v>
      </c>
      <c r="S41" s="119" t="n">
        <f aca="false">SUMIFS(tabela_registros[VALOR],tabela_registros[MÊS],$AE$1,tabela_registros[DIA],maitotal30597183[[#Headers],[15]],tabela_registros[REGISTRO],DADOS!$N$4,tabela_registros[TIPO],DADOS!$P$3,tabela_registros[CATEGORIA],despesafixaconsolidadomai[[#This Row],[DESPESA FIXA]])</f>
        <v>0</v>
      </c>
      <c r="T41" s="119" t="n">
        <f aca="false">SUMIFS(tabela_registros[VALOR],tabela_registros[MÊS],$AE$1,tabela_registros[DIA],maitotal30597183[[#Headers],[16]],tabela_registros[REGISTRO],DADOS!$N$4,tabela_registros[TIPO],DADOS!$P$3,tabela_registros[CATEGORIA],despesafixaconsolidadomai[[#This Row],[DESPESA FIXA]])</f>
        <v>0</v>
      </c>
      <c r="U41" s="119" t="n">
        <f aca="false">SUMIFS(tabela_registros[VALOR],tabela_registros[MÊS],$AE$1,tabela_registros[DIA],maitotal30597183[[#Headers],[17]],tabela_registros[REGISTRO],DADOS!$N$4,tabela_registros[TIPO],DADOS!$P$3,tabela_registros[CATEGORIA],despesafixaconsolidadomai[[#This Row],[DESPESA FIXA]])</f>
        <v>0</v>
      </c>
      <c r="V41" s="119" t="n">
        <f aca="false">SUMIFS(tabela_registros[VALOR],tabela_registros[MÊS],$AE$1,tabela_registros[DIA],maitotal30597183[[#Headers],[18]],tabela_registros[REGISTRO],DADOS!$N$4,tabela_registros[TIPO],DADOS!$P$3,tabela_registros[CATEGORIA],despesafixaconsolidadomai[[#This Row],[DESPESA FIXA]])</f>
        <v>0</v>
      </c>
      <c r="W41" s="119" t="n">
        <f aca="false">SUMIFS(tabela_registros[VALOR],tabela_registros[MÊS],$AE$1,tabela_registros[DIA],maitotal30597183[[#Headers],[19]],tabela_registros[REGISTRO],DADOS!$N$4,tabela_registros[TIPO],DADOS!$P$3,tabela_registros[CATEGORIA],despesafixaconsolidadomai[[#This Row],[DESPESA FIXA]])</f>
        <v>0</v>
      </c>
      <c r="X41" s="119" t="n">
        <f aca="false">SUMIFS(tabela_registros[VALOR],tabela_registros[MÊS],$AE$1,tabela_registros[DIA],maitotal30597183[[#Headers],[20]],tabela_registros[REGISTRO],DADOS!$N$4,tabela_registros[TIPO],DADOS!$P$3,tabela_registros[CATEGORIA],despesafixaconsolidadomai[[#This Row],[DESPESA FIXA]])</f>
        <v>0</v>
      </c>
      <c r="Y41" s="119" t="n">
        <f aca="false">SUMIFS(tabela_registros[VALOR],tabela_registros[MÊS],$AE$1,tabela_registros[DIA],maitotal30597183[[#Headers],[21]],tabela_registros[REGISTRO],DADOS!$N$4,tabela_registros[TIPO],DADOS!$P$3,tabela_registros[CATEGORIA],despesafixaconsolidadomai[[#This Row],[DESPESA FIXA]])</f>
        <v>0</v>
      </c>
      <c r="Z41" s="119" t="n">
        <f aca="false">SUMIFS(tabela_registros[VALOR],tabela_registros[MÊS],$AE$1,tabela_registros[DIA],maitotal30597183[[#Headers],[22]],tabela_registros[REGISTRO],DADOS!$N$4,tabela_registros[TIPO],DADOS!$P$3,tabela_registros[CATEGORIA],despesafixaconsolidadomai[[#This Row],[DESPESA FIXA]])</f>
        <v>0</v>
      </c>
      <c r="AA41" s="119" t="n">
        <f aca="false">SUMIFS(tabela_registros[VALOR],tabela_registros[MÊS],$AE$1,tabela_registros[DIA],maitotal30597183[[#Headers],[23]],tabela_registros[REGISTRO],DADOS!$N$4,tabela_registros[TIPO],DADOS!$P$3,tabela_registros[CATEGORIA],despesafixaconsolidadomai[[#This Row],[DESPESA FIXA]])</f>
        <v>0</v>
      </c>
      <c r="AB41" s="119" t="n">
        <f aca="false">SUMIFS(tabela_registros[VALOR],tabela_registros[MÊS],$AE$1,tabela_registros[DIA],maitotal30597183[[#Headers],[24]],tabela_registros[REGISTRO],DADOS!$N$4,tabela_registros[TIPO],DADOS!$P$3,tabela_registros[CATEGORIA],despesafixaconsolidadomai[[#This Row],[DESPESA FIXA]])</f>
        <v>0</v>
      </c>
      <c r="AC41" s="119" t="n">
        <f aca="false">SUMIFS(tabela_registros[VALOR],tabela_registros[MÊS],$AE$1,tabela_registros[DIA],maitotal30597183[[#Headers],[25]],tabela_registros[REGISTRO],DADOS!$N$4,tabela_registros[TIPO],DADOS!$P$3,tabela_registros[CATEGORIA],despesafixaconsolidadomai[[#This Row],[DESPESA FIXA]])</f>
        <v>0</v>
      </c>
      <c r="AD41" s="119" t="n">
        <f aca="false">SUMIFS(tabela_registros[VALOR],tabela_registros[MÊS],$AE$1,tabela_registros[DIA],maitotal30597183[[#Headers],[26]],tabela_registros[REGISTRO],DADOS!$N$4,tabela_registros[TIPO],DADOS!$P$3,tabela_registros[CATEGORIA],despesafixaconsolidadomai[[#This Row],[DESPESA FIXA]])</f>
        <v>0</v>
      </c>
      <c r="AE41" s="119" t="n">
        <f aca="false">SUMIFS(tabela_registros[VALOR],tabela_registros[MÊS],$AE$1,tabela_registros[DIA],maitotal30597183[[#Headers],[27]],tabela_registros[REGISTRO],DADOS!$N$4,tabela_registros[TIPO],DADOS!$P$3,tabela_registros[CATEGORIA],despesafixaconsolidadomai[[#This Row],[DESPESA FIXA]])</f>
        <v>0</v>
      </c>
      <c r="AF41" s="119" t="n">
        <f aca="false">SUMIFS(tabela_registros[VALOR],tabela_registros[MÊS],$AE$1,tabela_registros[DIA],maitotal30597183[[#Headers],[28]],tabela_registros[REGISTRO],DADOS!$N$4,tabela_registros[TIPO],DADOS!$P$3,tabela_registros[CATEGORIA],despesafixaconsolidadomai[[#This Row],[DESPESA FIXA]])</f>
        <v>0</v>
      </c>
      <c r="AG41" s="119" t="n">
        <f aca="false">SUMIFS(tabela_registros[VALOR],tabela_registros[MÊS],$AE$1,tabela_registros[DIA],maitotal30597183[[#Headers],[29]],tabela_registros[REGISTRO],DADOS!$N$4,tabela_registros[TIPO],DADOS!$P$3,tabela_registros[CATEGORIA],despesafixaconsolidadomai[[#This Row],[DESPESA FIXA]])</f>
        <v>0</v>
      </c>
      <c r="AH41" s="119" t="n">
        <f aca="false">SUMIFS(tabela_registros[VALOR],tabela_registros[MÊS],$AE$1,tabela_registros[DIA],maitotal30597183[[#Headers],[30]],tabela_registros[REGISTRO],DADOS!$N$4,tabela_registros[TIPO],DADOS!$P$3,tabela_registros[CATEGORIA],despesafixaconsolidadomai[[#This Row],[DESPESA FIXA]])</f>
        <v>0</v>
      </c>
      <c r="AI41" s="217" t="n">
        <f aca="false">SUMIFS(tabela_registros[VALOR],tabela_registros[MÊS],$AE$1,tabela_registros[DIA],maitotal30597183[[#Headers],[31]],tabela_registros[REGISTRO],DADOS!$N$4,tabela_registros[TIPO],DADOS!$P$3,tabela_registros[CATEGORIA],despesafixaconsolidadomai[[#This Row],[DESPESA FIXA]])</f>
        <v>0</v>
      </c>
      <c r="AJ41" s="149" t="n">
        <f aca="false">SUM(despesafixaconsolidadomai[[#This Row],[1]:[31]])</f>
        <v>0</v>
      </c>
      <c r="AK41" s="143"/>
    </row>
    <row r="42" customFormat="false" ht="18" hidden="false" customHeight="true" outlineLevel="0" collapsed="false">
      <c r="B42" s="143"/>
      <c r="C42" s="144" t="str">
        <f aca="false">DADOS!$R$8</f>
        <v>🏦 EMPRÉSTIMO</v>
      </c>
      <c r="D42" s="145" t="str">
        <f aca="false">IF(despesafixaconsolidadomai[[#This Row],[TOTAL]]=0,"",IF(OR(despesafixaconsolidadomai[[#This Row],[TOTAL]]=LARGE($AJ$37:$AJ$50,1),despesafixaconsolidadomai[[#This Row],[TOTAL]]=LARGE($AJ$37:$AJ$50,2),despesafixaconsolidadomai[[#This Row],[TOTAL]]=LARGE($AJ$37:$AJ$50,3),despesafixaconsolidadomai[[#This Row],[TOTAL]]=LARGE($AJ$37:$AJ$50,4),despesafixaconsolidadomai[[#This Row],[TOTAL]]=LARGE($AJ$37:$AJ$50,5)),DADOS!$I$8,""))</f>
        <v/>
      </c>
      <c r="E42" s="148" t="n">
        <f aca="false">SUMIFS(tabela_registros[VALOR],tabela_registros[MÊS],$AE$1,tabela_registros[DIA],maitotal30597183[[#Headers],[1]],tabela_registros[REGISTRO],DADOS!$N$4,tabela_registros[TIPO],DADOS!$P$3,tabela_registros[CATEGORIA],despesafixaconsolidadomai[[#This Row],[DESPESA FIXA]])</f>
        <v>0</v>
      </c>
      <c r="F42" s="119" t="n">
        <f aca="false">SUMIFS(tabela_registros[VALOR],tabela_registros[MÊS],$AE$1,tabela_registros[DIA],maitotal30597183[[#Headers],[2]],tabela_registros[REGISTRO],DADOS!$N$4,tabela_registros[TIPO],DADOS!$P$3,tabela_registros[CATEGORIA],despesafixaconsolidadomai[[#This Row],[DESPESA FIXA]])</f>
        <v>0</v>
      </c>
      <c r="G42" s="119" t="n">
        <f aca="false">SUMIFS(tabela_registros[VALOR],tabela_registros[MÊS],$AE$1,tabela_registros[DIA],maitotal30597183[[#Headers],[3]],tabela_registros[REGISTRO],DADOS!$N$4,tabela_registros[TIPO],DADOS!$P$3,tabela_registros[CATEGORIA],despesafixaconsolidadomai[[#This Row],[DESPESA FIXA]])</f>
        <v>0</v>
      </c>
      <c r="H42" s="119" t="n">
        <f aca="false">SUMIFS(tabela_registros[VALOR],tabela_registros[MÊS],$AE$1,tabela_registros[DIA],maitotal30597183[[#Headers],[4]],tabela_registros[REGISTRO],DADOS!$N$4,tabela_registros[TIPO],DADOS!$P$3,tabela_registros[CATEGORIA],despesafixaconsolidadomai[[#This Row],[DESPESA FIXA]])</f>
        <v>0</v>
      </c>
      <c r="I42" s="119" t="n">
        <f aca="false">SUMIFS(tabela_registros[VALOR],tabela_registros[MÊS],$AE$1,tabela_registros[DIA],maitotal30597183[[#Headers],[5]],tabela_registros[REGISTRO],DADOS!$N$4,tabela_registros[TIPO],DADOS!$P$3,tabela_registros[CATEGORIA],despesafixaconsolidadomai[[#This Row],[DESPESA FIXA]])</f>
        <v>0</v>
      </c>
      <c r="J42" s="119" t="n">
        <f aca="false">SUMIFS(tabela_registros[VALOR],tabela_registros[MÊS],$AE$1,tabela_registros[DIA],maitotal30597183[[#Headers],[6]],tabela_registros[REGISTRO],DADOS!$N$4,tabela_registros[TIPO],DADOS!$P$3,tabela_registros[CATEGORIA],despesafixaconsolidadomai[[#This Row],[DESPESA FIXA]])</f>
        <v>0</v>
      </c>
      <c r="K42" s="119" t="n">
        <f aca="false">SUMIFS(tabela_registros[VALOR],tabela_registros[MÊS],$AE$1,tabela_registros[DIA],maitotal30597183[[#Headers],[7]],tabela_registros[REGISTRO],DADOS!$N$4,tabela_registros[TIPO],DADOS!$P$3,tabela_registros[CATEGORIA],despesafixaconsolidadomai[[#This Row],[DESPESA FIXA]])</f>
        <v>0</v>
      </c>
      <c r="L42" s="119" t="n">
        <f aca="false">SUMIFS(tabela_registros[VALOR],tabela_registros[MÊS],$AE$1,tabela_registros[DIA],maitotal30597183[[#Headers],[8]],tabela_registros[REGISTRO],DADOS!$N$4,tabela_registros[TIPO],DADOS!$P$3,tabela_registros[CATEGORIA],despesafixaconsolidadomai[[#This Row],[DESPESA FIXA]])</f>
        <v>0</v>
      </c>
      <c r="M42" s="119" t="n">
        <f aca="false">SUMIFS(tabela_registros[VALOR],tabela_registros[MÊS],$AE$1,tabela_registros[DIA],maitotal30597183[[#Headers],[9]],tabela_registros[REGISTRO],DADOS!$N$4,tabela_registros[TIPO],DADOS!$P$3,tabela_registros[CATEGORIA],despesafixaconsolidadomai[[#This Row],[DESPESA FIXA]])</f>
        <v>0</v>
      </c>
      <c r="N42" s="119" t="n">
        <f aca="false">SUMIFS(tabela_registros[VALOR],tabela_registros[MÊS],$AE$1,tabela_registros[DIA],maitotal30597183[[#Headers],[10]],tabela_registros[REGISTRO],DADOS!$N$4,tabela_registros[TIPO],DADOS!$P$3,tabela_registros[CATEGORIA],despesafixaconsolidadomai[[#This Row],[DESPESA FIXA]])</f>
        <v>0</v>
      </c>
      <c r="O42" s="119" t="n">
        <f aca="false">SUMIFS(tabela_registros[VALOR],tabela_registros[MÊS],$AE$1,tabela_registros[DIA],maitotal30597183[[#Headers],[11]],tabela_registros[REGISTRO],DADOS!$N$4,tabela_registros[TIPO],DADOS!$P$3,tabela_registros[CATEGORIA],despesafixaconsolidadomai[[#This Row],[DESPESA FIXA]])</f>
        <v>0</v>
      </c>
      <c r="P42" s="119" t="n">
        <f aca="false">SUMIFS(tabela_registros[VALOR],tabela_registros[MÊS],$AE$1,tabela_registros[DIA],maitotal30597183[[#Headers],[12]],tabela_registros[REGISTRO],DADOS!$N$4,tabela_registros[TIPO],DADOS!$P$3,tabela_registros[CATEGORIA],despesafixaconsolidadomai[[#This Row],[DESPESA FIXA]])</f>
        <v>0</v>
      </c>
      <c r="Q42" s="119" t="n">
        <f aca="false">SUMIFS(tabela_registros[VALOR],tabela_registros[MÊS],$AE$1,tabela_registros[DIA],maitotal30597183[[#Headers],[13]],tabela_registros[REGISTRO],DADOS!$N$4,tabela_registros[TIPO],DADOS!$P$3,tabela_registros[CATEGORIA],despesafixaconsolidadomai[[#This Row],[DESPESA FIXA]])</f>
        <v>0</v>
      </c>
      <c r="R42" s="119" t="n">
        <f aca="false">SUMIFS(tabela_registros[VALOR],tabela_registros[MÊS],$AE$1,tabela_registros[DIA],maitotal30597183[[#Headers],[14]],tabela_registros[REGISTRO],DADOS!$N$4,tabela_registros[TIPO],DADOS!$P$3,tabela_registros[CATEGORIA],despesafixaconsolidadomai[[#This Row],[DESPESA FIXA]])</f>
        <v>0</v>
      </c>
      <c r="S42" s="119" t="n">
        <f aca="false">SUMIFS(tabela_registros[VALOR],tabela_registros[MÊS],$AE$1,tabela_registros[DIA],maitotal30597183[[#Headers],[15]],tabela_registros[REGISTRO],DADOS!$N$4,tabela_registros[TIPO],DADOS!$P$3,tabela_registros[CATEGORIA],despesafixaconsolidadomai[[#This Row],[DESPESA FIXA]])</f>
        <v>0</v>
      </c>
      <c r="T42" s="119" t="n">
        <f aca="false">SUMIFS(tabela_registros[VALOR],tabela_registros[MÊS],$AE$1,tabela_registros[DIA],maitotal30597183[[#Headers],[16]],tabela_registros[REGISTRO],DADOS!$N$4,tabela_registros[TIPO],DADOS!$P$3,tabela_registros[CATEGORIA],despesafixaconsolidadomai[[#This Row],[DESPESA FIXA]])</f>
        <v>0</v>
      </c>
      <c r="U42" s="119" t="n">
        <f aca="false">SUMIFS(tabela_registros[VALOR],tabela_registros[MÊS],$AE$1,tabela_registros[DIA],maitotal30597183[[#Headers],[17]],tabela_registros[REGISTRO],DADOS!$N$4,tabela_registros[TIPO],DADOS!$P$3,tabela_registros[CATEGORIA],despesafixaconsolidadomai[[#This Row],[DESPESA FIXA]])</f>
        <v>0</v>
      </c>
      <c r="V42" s="119" t="n">
        <f aca="false">SUMIFS(tabela_registros[VALOR],tabela_registros[MÊS],$AE$1,tabela_registros[DIA],maitotal30597183[[#Headers],[18]],tabela_registros[REGISTRO],DADOS!$N$4,tabela_registros[TIPO],DADOS!$P$3,tabela_registros[CATEGORIA],despesafixaconsolidadomai[[#This Row],[DESPESA FIXA]])</f>
        <v>0</v>
      </c>
      <c r="W42" s="119" t="n">
        <f aca="false">SUMIFS(tabela_registros[VALOR],tabela_registros[MÊS],$AE$1,tabela_registros[DIA],maitotal30597183[[#Headers],[19]],tabela_registros[REGISTRO],DADOS!$N$4,tabela_registros[TIPO],DADOS!$P$3,tabela_registros[CATEGORIA],despesafixaconsolidadomai[[#This Row],[DESPESA FIXA]])</f>
        <v>0</v>
      </c>
      <c r="X42" s="119" t="n">
        <f aca="false">SUMIFS(tabela_registros[VALOR],tabela_registros[MÊS],$AE$1,tabela_registros[DIA],maitotal30597183[[#Headers],[20]],tabela_registros[REGISTRO],DADOS!$N$4,tabela_registros[TIPO],DADOS!$P$3,tabela_registros[CATEGORIA],despesafixaconsolidadomai[[#This Row],[DESPESA FIXA]])</f>
        <v>0</v>
      </c>
      <c r="Y42" s="119" t="n">
        <f aca="false">SUMIFS(tabela_registros[VALOR],tabela_registros[MÊS],$AE$1,tabela_registros[DIA],maitotal30597183[[#Headers],[21]],tabela_registros[REGISTRO],DADOS!$N$4,tabela_registros[TIPO],DADOS!$P$3,tabela_registros[CATEGORIA],despesafixaconsolidadomai[[#This Row],[DESPESA FIXA]])</f>
        <v>0</v>
      </c>
      <c r="Z42" s="119" t="n">
        <f aca="false">SUMIFS(tabela_registros[VALOR],tabela_registros[MÊS],$AE$1,tabela_registros[DIA],maitotal30597183[[#Headers],[22]],tabela_registros[REGISTRO],DADOS!$N$4,tabela_registros[TIPO],DADOS!$P$3,tabela_registros[CATEGORIA],despesafixaconsolidadomai[[#This Row],[DESPESA FIXA]])</f>
        <v>0</v>
      </c>
      <c r="AA42" s="119" t="n">
        <f aca="false">SUMIFS(tabela_registros[VALOR],tabela_registros[MÊS],$AE$1,tabela_registros[DIA],maitotal30597183[[#Headers],[23]],tabela_registros[REGISTRO],DADOS!$N$4,tabela_registros[TIPO],DADOS!$P$3,tabela_registros[CATEGORIA],despesafixaconsolidadomai[[#This Row],[DESPESA FIXA]])</f>
        <v>0</v>
      </c>
      <c r="AB42" s="119" t="n">
        <f aca="false">SUMIFS(tabela_registros[VALOR],tabela_registros[MÊS],$AE$1,tabela_registros[DIA],maitotal30597183[[#Headers],[24]],tabela_registros[REGISTRO],DADOS!$N$4,tabela_registros[TIPO],DADOS!$P$3,tabela_registros[CATEGORIA],despesafixaconsolidadomai[[#This Row],[DESPESA FIXA]])</f>
        <v>0</v>
      </c>
      <c r="AC42" s="119" t="n">
        <f aca="false">SUMIFS(tabela_registros[VALOR],tabela_registros[MÊS],$AE$1,tabela_registros[DIA],maitotal30597183[[#Headers],[25]],tabela_registros[REGISTRO],DADOS!$N$4,tabela_registros[TIPO],DADOS!$P$3,tabela_registros[CATEGORIA],despesafixaconsolidadomai[[#This Row],[DESPESA FIXA]])</f>
        <v>0</v>
      </c>
      <c r="AD42" s="119" t="n">
        <f aca="false">SUMIFS(tabela_registros[VALOR],tabela_registros[MÊS],$AE$1,tabela_registros[DIA],maitotal30597183[[#Headers],[26]],tabela_registros[REGISTRO],DADOS!$N$4,tabela_registros[TIPO],DADOS!$P$3,tabela_registros[CATEGORIA],despesafixaconsolidadomai[[#This Row],[DESPESA FIXA]])</f>
        <v>0</v>
      </c>
      <c r="AE42" s="119" t="n">
        <f aca="false">SUMIFS(tabela_registros[VALOR],tabela_registros[MÊS],$AE$1,tabela_registros[DIA],maitotal30597183[[#Headers],[27]],tabela_registros[REGISTRO],DADOS!$N$4,tabela_registros[TIPO],DADOS!$P$3,tabela_registros[CATEGORIA],despesafixaconsolidadomai[[#This Row],[DESPESA FIXA]])</f>
        <v>0</v>
      </c>
      <c r="AF42" s="119" t="n">
        <f aca="false">SUMIFS(tabela_registros[VALOR],tabela_registros[MÊS],$AE$1,tabela_registros[DIA],maitotal30597183[[#Headers],[28]],tabela_registros[REGISTRO],DADOS!$N$4,tabela_registros[TIPO],DADOS!$P$3,tabela_registros[CATEGORIA],despesafixaconsolidadomai[[#This Row],[DESPESA FIXA]])</f>
        <v>0</v>
      </c>
      <c r="AG42" s="119" t="n">
        <f aca="false">SUMIFS(tabela_registros[VALOR],tabela_registros[MÊS],$AE$1,tabela_registros[DIA],maitotal30597183[[#Headers],[29]],tabela_registros[REGISTRO],DADOS!$N$4,tabela_registros[TIPO],DADOS!$P$3,tabela_registros[CATEGORIA],despesafixaconsolidadomai[[#This Row],[DESPESA FIXA]])</f>
        <v>0</v>
      </c>
      <c r="AH42" s="119" t="n">
        <f aca="false">SUMIFS(tabela_registros[VALOR],tabela_registros[MÊS],$AE$1,tabela_registros[DIA],maitotal30597183[[#Headers],[30]],tabela_registros[REGISTRO],DADOS!$N$4,tabela_registros[TIPO],DADOS!$P$3,tabela_registros[CATEGORIA],despesafixaconsolidadomai[[#This Row],[DESPESA FIXA]])</f>
        <v>0</v>
      </c>
      <c r="AI42" s="217" t="n">
        <f aca="false">SUMIFS(tabela_registros[VALOR],tabela_registros[MÊS],$AE$1,tabela_registros[DIA],maitotal30597183[[#Headers],[31]],tabela_registros[REGISTRO],DADOS!$N$4,tabela_registros[TIPO],DADOS!$P$3,tabela_registros[CATEGORIA],despesafixaconsolidadomai[[#This Row],[DESPESA FIXA]])</f>
        <v>0</v>
      </c>
      <c r="AJ42" s="149" t="n">
        <f aca="false">SUM(despesafixaconsolidadomai[[#This Row],[1]:[31]])</f>
        <v>0</v>
      </c>
      <c r="AK42" s="143"/>
    </row>
    <row r="43" customFormat="false" ht="18" hidden="false" customHeight="true" outlineLevel="0" collapsed="false">
      <c r="B43" s="143"/>
      <c r="C43" s="144" t="str">
        <f aca="false">DADOS!$R$9</f>
        <v>💡 ENERGIA</v>
      </c>
      <c r="D43" s="145" t="str">
        <f aca="false">IF(despesafixaconsolidadomai[[#This Row],[TOTAL]]=0,"",IF(OR(despesafixaconsolidadomai[[#This Row],[TOTAL]]=LARGE($AJ$37:$AJ$50,1),despesafixaconsolidadomai[[#This Row],[TOTAL]]=LARGE($AJ$37:$AJ$50,2),despesafixaconsolidadomai[[#This Row],[TOTAL]]=LARGE($AJ$37:$AJ$50,3),despesafixaconsolidadomai[[#This Row],[TOTAL]]=LARGE($AJ$37:$AJ$50,4),despesafixaconsolidadomai[[#This Row],[TOTAL]]=LARGE($AJ$37:$AJ$50,5)),DADOS!$I$8,""))</f>
        <v/>
      </c>
      <c r="E43" s="148" t="n">
        <f aca="false">SUMIFS(tabela_registros[VALOR],tabela_registros[MÊS],$AE$1,tabela_registros[DIA],maitotal30597183[[#Headers],[1]],tabela_registros[REGISTRO],DADOS!$N$4,tabela_registros[TIPO],DADOS!$P$3,tabela_registros[CATEGORIA],despesafixaconsolidadomai[[#This Row],[DESPESA FIXA]])</f>
        <v>0</v>
      </c>
      <c r="F43" s="119" t="n">
        <f aca="false">SUMIFS(tabela_registros[VALOR],tabela_registros[MÊS],$AE$1,tabela_registros[DIA],maitotal30597183[[#Headers],[2]],tabela_registros[REGISTRO],DADOS!$N$4,tabela_registros[TIPO],DADOS!$P$3,tabela_registros[CATEGORIA],despesafixaconsolidadomai[[#This Row],[DESPESA FIXA]])</f>
        <v>0</v>
      </c>
      <c r="G43" s="119" t="n">
        <f aca="false">SUMIFS(tabela_registros[VALOR],tabela_registros[MÊS],$AE$1,tabela_registros[DIA],maitotal30597183[[#Headers],[3]],tabela_registros[REGISTRO],DADOS!$N$4,tabela_registros[TIPO],DADOS!$P$3,tabela_registros[CATEGORIA],despesafixaconsolidadomai[[#This Row],[DESPESA FIXA]])</f>
        <v>0</v>
      </c>
      <c r="H43" s="119" t="n">
        <f aca="false">SUMIFS(tabela_registros[VALOR],tabela_registros[MÊS],$AE$1,tabela_registros[DIA],maitotal30597183[[#Headers],[4]],tabela_registros[REGISTRO],DADOS!$N$4,tabela_registros[TIPO],DADOS!$P$3,tabela_registros[CATEGORIA],despesafixaconsolidadomai[[#This Row],[DESPESA FIXA]])</f>
        <v>0</v>
      </c>
      <c r="I43" s="119" t="n">
        <f aca="false">SUMIFS(tabela_registros[VALOR],tabela_registros[MÊS],$AE$1,tabela_registros[DIA],maitotal30597183[[#Headers],[5]],tabela_registros[REGISTRO],DADOS!$N$4,tabela_registros[TIPO],DADOS!$P$3,tabela_registros[CATEGORIA],despesafixaconsolidadomai[[#This Row],[DESPESA FIXA]])</f>
        <v>0</v>
      </c>
      <c r="J43" s="119" t="n">
        <f aca="false">SUMIFS(tabela_registros[VALOR],tabela_registros[MÊS],$AE$1,tabela_registros[DIA],maitotal30597183[[#Headers],[6]],tabela_registros[REGISTRO],DADOS!$N$4,tabela_registros[TIPO],DADOS!$P$3,tabela_registros[CATEGORIA],despesafixaconsolidadomai[[#This Row],[DESPESA FIXA]])</f>
        <v>0</v>
      </c>
      <c r="K43" s="119" t="n">
        <f aca="false">SUMIFS(tabela_registros[VALOR],tabela_registros[MÊS],$AE$1,tabela_registros[DIA],maitotal30597183[[#Headers],[7]],tabela_registros[REGISTRO],DADOS!$N$4,tabela_registros[TIPO],DADOS!$P$3,tabela_registros[CATEGORIA],despesafixaconsolidadomai[[#This Row],[DESPESA FIXA]])</f>
        <v>0</v>
      </c>
      <c r="L43" s="119" t="n">
        <f aca="false">SUMIFS(tabela_registros[VALOR],tabela_registros[MÊS],$AE$1,tabela_registros[DIA],maitotal30597183[[#Headers],[8]],tabela_registros[REGISTRO],DADOS!$N$4,tabela_registros[TIPO],DADOS!$P$3,tabela_registros[CATEGORIA],despesafixaconsolidadomai[[#This Row],[DESPESA FIXA]])</f>
        <v>0</v>
      </c>
      <c r="M43" s="119" t="n">
        <f aca="false">SUMIFS(tabela_registros[VALOR],tabela_registros[MÊS],$AE$1,tabela_registros[DIA],maitotal30597183[[#Headers],[9]],tabela_registros[REGISTRO],DADOS!$N$4,tabela_registros[TIPO],DADOS!$P$3,tabela_registros[CATEGORIA],despesafixaconsolidadomai[[#This Row],[DESPESA FIXA]])</f>
        <v>0</v>
      </c>
      <c r="N43" s="119" t="n">
        <f aca="false">SUMIFS(tabela_registros[VALOR],tabela_registros[MÊS],$AE$1,tabela_registros[DIA],maitotal30597183[[#Headers],[10]],tabela_registros[REGISTRO],DADOS!$N$4,tabela_registros[TIPO],DADOS!$P$3,tabela_registros[CATEGORIA],despesafixaconsolidadomai[[#This Row],[DESPESA FIXA]])</f>
        <v>0</v>
      </c>
      <c r="O43" s="119" t="n">
        <f aca="false">SUMIFS(tabela_registros[VALOR],tabela_registros[MÊS],$AE$1,tabela_registros[DIA],maitotal30597183[[#Headers],[11]],tabela_registros[REGISTRO],DADOS!$N$4,tabela_registros[TIPO],DADOS!$P$3,tabela_registros[CATEGORIA],despesafixaconsolidadomai[[#This Row],[DESPESA FIXA]])</f>
        <v>0</v>
      </c>
      <c r="P43" s="119" t="n">
        <f aca="false">SUMIFS(tabela_registros[VALOR],tabela_registros[MÊS],$AE$1,tabela_registros[DIA],maitotal30597183[[#Headers],[12]],tabela_registros[REGISTRO],DADOS!$N$4,tabela_registros[TIPO],DADOS!$P$3,tabela_registros[CATEGORIA],despesafixaconsolidadomai[[#This Row],[DESPESA FIXA]])</f>
        <v>0</v>
      </c>
      <c r="Q43" s="119" t="n">
        <f aca="false">SUMIFS(tabela_registros[VALOR],tabela_registros[MÊS],$AE$1,tabela_registros[DIA],maitotal30597183[[#Headers],[13]],tabela_registros[REGISTRO],DADOS!$N$4,tabela_registros[TIPO],DADOS!$P$3,tabela_registros[CATEGORIA],despesafixaconsolidadomai[[#This Row],[DESPESA FIXA]])</f>
        <v>0</v>
      </c>
      <c r="R43" s="119" t="n">
        <f aca="false">SUMIFS(tabela_registros[VALOR],tabela_registros[MÊS],$AE$1,tabela_registros[DIA],maitotal30597183[[#Headers],[14]],tabela_registros[REGISTRO],DADOS!$N$4,tabela_registros[TIPO],DADOS!$P$3,tabela_registros[CATEGORIA],despesafixaconsolidadomai[[#This Row],[DESPESA FIXA]])</f>
        <v>0</v>
      </c>
      <c r="S43" s="119" t="n">
        <f aca="false">SUMIFS(tabela_registros[VALOR],tabela_registros[MÊS],$AE$1,tabela_registros[DIA],maitotal30597183[[#Headers],[15]],tabela_registros[REGISTRO],DADOS!$N$4,tabela_registros[TIPO],DADOS!$P$3,tabela_registros[CATEGORIA],despesafixaconsolidadomai[[#This Row],[DESPESA FIXA]])</f>
        <v>0</v>
      </c>
      <c r="T43" s="119" t="n">
        <f aca="false">SUMIFS(tabela_registros[VALOR],tabela_registros[MÊS],$AE$1,tabela_registros[DIA],maitotal30597183[[#Headers],[16]],tabela_registros[REGISTRO],DADOS!$N$4,tabela_registros[TIPO],DADOS!$P$3,tabela_registros[CATEGORIA],despesafixaconsolidadomai[[#This Row],[DESPESA FIXA]])</f>
        <v>0</v>
      </c>
      <c r="U43" s="119" t="n">
        <f aca="false">SUMIFS(tabela_registros[VALOR],tabela_registros[MÊS],$AE$1,tabela_registros[DIA],maitotal30597183[[#Headers],[17]],tabela_registros[REGISTRO],DADOS!$N$4,tabela_registros[TIPO],DADOS!$P$3,tabela_registros[CATEGORIA],despesafixaconsolidadomai[[#This Row],[DESPESA FIXA]])</f>
        <v>0</v>
      </c>
      <c r="V43" s="119" t="n">
        <f aca="false">SUMIFS(tabela_registros[VALOR],tabela_registros[MÊS],$AE$1,tabela_registros[DIA],maitotal30597183[[#Headers],[18]],tabela_registros[REGISTRO],DADOS!$N$4,tabela_registros[TIPO],DADOS!$P$3,tabela_registros[CATEGORIA],despesafixaconsolidadomai[[#This Row],[DESPESA FIXA]])</f>
        <v>0</v>
      </c>
      <c r="W43" s="119" t="n">
        <f aca="false">SUMIFS(tabela_registros[VALOR],tabela_registros[MÊS],$AE$1,tabela_registros[DIA],maitotal30597183[[#Headers],[19]],tabela_registros[REGISTRO],DADOS!$N$4,tabela_registros[TIPO],DADOS!$P$3,tabela_registros[CATEGORIA],despesafixaconsolidadomai[[#This Row],[DESPESA FIXA]])</f>
        <v>0</v>
      </c>
      <c r="X43" s="119" t="n">
        <f aca="false">SUMIFS(tabela_registros[VALOR],tabela_registros[MÊS],$AE$1,tabela_registros[DIA],maitotal30597183[[#Headers],[20]],tabela_registros[REGISTRO],DADOS!$N$4,tabela_registros[TIPO],DADOS!$P$3,tabela_registros[CATEGORIA],despesafixaconsolidadomai[[#This Row],[DESPESA FIXA]])</f>
        <v>0</v>
      </c>
      <c r="Y43" s="119" t="n">
        <f aca="false">SUMIFS(tabela_registros[VALOR],tabela_registros[MÊS],$AE$1,tabela_registros[DIA],maitotal30597183[[#Headers],[21]],tabela_registros[REGISTRO],DADOS!$N$4,tabela_registros[TIPO],DADOS!$P$3,tabela_registros[CATEGORIA],despesafixaconsolidadomai[[#This Row],[DESPESA FIXA]])</f>
        <v>0</v>
      </c>
      <c r="Z43" s="119" t="n">
        <f aca="false">SUMIFS(tabela_registros[VALOR],tabela_registros[MÊS],$AE$1,tabela_registros[DIA],maitotal30597183[[#Headers],[22]],tabela_registros[REGISTRO],DADOS!$N$4,tabela_registros[TIPO],DADOS!$P$3,tabela_registros[CATEGORIA],despesafixaconsolidadomai[[#This Row],[DESPESA FIXA]])</f>
        <v>0</v>
      </c>
      <c r="AA43" s="119" t="n">
        <f aca="false">SUMIFS(tabela_registros[VALOR],tabela_registros[MÊS],$AE$1,tabela_registros[DIA],maitotal30597183[[#Headers],[23]],tabela_registros[REGISTRO],DADOS!$N$4,tabela_registros[TIPO],DADOS!$P$3,tabela_registros[CATEGORIA],despesafixaconsolidadomai[[#This Row],[DESPESA FIXA]])</f>
        <v>0</v>
      </c>
      <c r="AB43" s="119" t="n">
        <f aca="false">SUMIFS(tabela_registros[VALOR],tabela_registros[MÊS],$AE$1,tabela_registros[DIA],maitotal30597183[[#Headers],[24]],tabela_registros[REGISTRO],DADOS!$N$4,tabela_registros[TIPO],DADOS!$P$3,tabela_registros[CATEGORIA],despesafixaconsolidadomai[[#This Row],[DESPESA FIXA]])</f>
        <v>0</v>
      </c>
      <c r="AC43" s="119" t="n">
        <f aca="false">SUMIFS(tabela_registros[VALOR],tabela_registros[MÊS],$AE$1,tabela_registros[DIA],maitotal30597183[[#Headers],[25]],tabela_registros[REGISTRO],DADOS!$N$4,tabela_registros[TIPO],DADOS!$P$3,tabela_registros[CATEGORIA],despesafixaconsolidadomai[[#This Row],[DESPESA FIXA]])</f>
        <v>0</v>
      </c>
      <c r="AD43" s="119" t="n">
        <f aca="false">SUMIFS(tabela_registros[VALOR],tabela_registros[MÊS],$AE$1,tabela_registros[DIA],maitotal30597183[[#Headers],[26]],tabela_registros[REGISTRO],DADOS!$N$4,tabela_registros[TIPO],DADOS!$P$3,tabela_registros[CATEGORIA],despesafixaconsolidadomai[[#This Row],[DESPESA FIXA]])</f>
        <v>0</v>
      </c>
      <c r="AE43" s="119" t="n">
        <f aca="false">SUMIFS(tabela_registros[VALOR],tabela_registros[MÊS],$AE$1,tabela_registros[DIA],maitotal30597183[[#Headers],[27]],tabela_registros[REGISTRO],DADOS!$N$4,tabela_registros[TIPO],DADOS!$P$3,tabela_registros[CATEGORIA],despesafixaconsolidadomai[[#This Row],[DESPESA FIXA]])</f>
        <v>0</v>
      </c>
      <c r="AF43" s="119" t="n">
        <f aca="false">SUMIFS(tabela_registros[VALOR],tabela_registros[MÊS],$AE$1,tabela_registros[DIA],maitotal30597183[[#Headers],[28]],tabela_registros[REGISTRO],DADOS!$N$4,tabela_registros[TIPO],DADOS!$P$3,tabela_registros[CATEGORIA],despesafixaconsolidadomai[[#This Row],[DESPESA FIXA]])</f>
        <v>0</v>
      </c>
      <c r="AG43" s="119" t="n">
        <f aca="false">SUMIFS(tabela_registros[VALOR],tabela_registros[MÊS],$AE$1,tabela_registros[DIA],maitotal30597183[[#Headers],[29]],tabela_registros[REGISTRO],DADOS!$N$4,tabela_registros[TIPO],DADOS!$P$3,tabela_registros[CATEGORIA],despesafixaconsolidadomai[[#This Row],[DESPESA FIXA]])</f>
        <v>0</v>
      </c>
      <c r="AH43" s="119" t="n">
        <f aca="false">SUMIFS(tabela_registros[VALOR],tabela_registros[MÊS],$AE$1,tabela_registros[DIA],maitotal30597183[[#Headers],[30]],tabela_registros[REGISTRO],DADOS!$N$4,tabela_registros[TIPO],DADOS!$P$3,tabela_registros[CATEGORIA],despesafixaconsolidadomai[[#This Row],[DESPESA FIXA]])</f>
        <v>0</v>
      </c>
      <c r="AI43" s="217" t="n">
        <f aca="false">SUMIFS(tabela_registros[VALOR],tabela_registros[MÊS],$AE$1,tabela_registros[DIA],maitotal30597183[[#Headers],[31]],tabela_registros[REGISTRO],DADOS!$N$4,tabela_registros[TIPO],DADOS!$P$3,tabela_registros[CATEGORIA],despesafixaconsolidadomai[[#This Row],[DESPESA FIXA]])</f>
        <v>0</v>
      </c>
      <c r="AJ43" s="149" t="n">
        <f aca="false">SUM(despesafixaconsolidadomai[[#This Row],[1]:[31]])</f>
        <v>0</v>
      </c>
      <c r="AK43" s="143"/>
    </row>
    <row r="44" customFormat="false" ht="18" hidden="false" customHeight="true" outlineLevel="0" collapsed="false">
      <c r="B44" s="143"/>
      <c r="C44" s="144" t="str">
        <f aca="false">DADOS!$R$10</f>
        <v>👨‍👩‍👧 FAMÍLIA</v>
      </c>
      <c r="D44" s="145" t="str">
        <f aca="false">IF(despesafixaconsolidadomai[[#This Row],[TOTAL]]=0,"",IF(OR(despesafixaconsolidadomai[[#This Row],[TOTAL]]=LARGE($AJ$37:$AJ$50,1),despesafixaconsolidadomai[[#This Row],[TOTAL]]=LARGE($AJ$37:$AJ$50,2),despesafixaconsolidadomai[[#This Row],[TOTAL]]=LARGE($AJ$37:$AJ$50,3),despesafixaconsolidadomai[[#This Row],[TOTAL]]=LARGE($AJ$37:$AJ$50,4),despesafixaconsolidadomai[[#This Row],[TOTAL]]=LARGE($AJ$37:$AJ$50,5)),DADOS!$I$8,""))</f>
        <v/>
      </c>
      <c r="E44" s="148" t="n">
        <f aca="false">SUMIFS(tabela_registros[VALOR],tabela_registros[MÊS],$AE$1,tabela_registros[DIA],maitotal30597183[[#Headers],[1]],tabela_registros[REGISTRO],DADOS!$N$4,tabela_registros[TIPO],DADOS!$P$3,tabela_registros[CATEGORIA],despesafixaconsolidadomai[[#This Row],[DESPESA FIXA]])</f>
        <v>0</v>
      </c>
      <c r="F44" s="119" t="n">
        <f aca="false">SUMIFS(tabela_registros[VALOR],tabela_registros[MÊS],$AE$1,tabela_registros[DIA],maitotal30597183[[#Headers],[2]],tabela_registros[REGISTRO],DADOS!$N$4,tabela_registros[TIPO],DADOS!$P$3,tabela_registros[CATEGORIA],despesafixaconsolidadomai[[#This Row],[DESPESA FIXA]])</f>
        <v>0</v>
      </c>
      <c r="G44" s="119" t="n">
        <f aca="false">SUMIFS(tabela_registros[VALOR],tabela_registros[MÊS],$AE$1,tabela_registros[DIA],maitotal30597183[[#Headers],[3]],tabela_registros[REGISTRO],DADOS!$N$4,tabela_registros[TIPO],DADOS!$P$3,tabela_registros[CATEGORIA],despesafixaconsolidadomai[[#This Row],[DESPESA FIXA]])</f>
        <v>0</v>
      </c>
      <c r="H44" s="119" t="n">
        <f aca="false">SUMIFS(tabela_registros[VALOR],tabela_registros[MÊS],$AE$1,tabela_registros[DIA],maitotal30597183[[#Headers],[4]],tabela_registros[REGISTRO],DADOS!$N$4,tabela_registros[TIPO],DADOS!$P$3,tabela_registros[CATEGORIA],despesafixaconsolidadomai[[#This Row],[DESPESA FIXA]])</f>
        <v>0</v>
      </c>
      <c r="I44" s="119" t="n">
        <f aca="false">SUMIFS(tabela_registros[VALOR],tabela_registros[MÊS],$AE$1,tabela_registros[DIA],maitotal30597183[[#Headers],[5]],tabela_registros[REGISTRO],DADOS!$N$4,tabela_registros[TIPO],DADOS!$P$3,tabela_registros[CATEGORIA],despesafixaconsolidadomai[[#This Row],[DESPESA FIXA]])</f>
        <v>0</v>
      </c>
      <c r="J44" s="119" t="n">
        <f aca="false">SUMIFS(tabela_registros[VALOR],tabela_registros[MÊS],$AE$1,tabela_registros[DIA],maitotal30597183[[#Headers],[6]],tabela_registros[REGISTRO],DADOS!$N$4,tabela_registros[TIPO],DADOS!$P$3,tabela_registros[CATEGORIA],despesafixaconsolidadomai[[#This Row],[DESPESA FIXA]])</f>
        <v>0</v>
      </c>
      <c r="K44" s="119" t="n">
        <f aca="false">SUMIFS(tabela_registros[VALOR],tabela_registros[MÊS],$AE$1,tabela_registros[DIA],maitotal30597183[[#Headers],[7]],tabela_registros[REGISTRO],DADOS!$N$4,tabela_registros[TIPO],DADOS!$P$3,tabela_registros[CATEGORIA],despesafixaconsolidadomai[[#This Row],[DESPESA FIXA]])</f>
        <v>0</v>
      </c>
      <c r="L44" s="119" t="n">
        <f aca="false">SUMIFS(tabela_registros[VALOR],tabela_registros[MÊS],$AE$1,tabela_registros[DIA],maitotal30597183[[#Headers],[8]],tabela_registros[REGISTRO],DADOS!$N$4,tabela_registros[TIPO],DADOS!$P$3,tabela_registros[CATEGORIA],despesafixaconsolidadomai[[#This Row],[DESPESA FIXA]])</f>
        <v>0</v>
      </c>
      <c r="M44" s="119" t="n">
        <f aca="false">SUMIFS(tabela_registros[VALOR],tabela_registros[MÊS],$AE$1,tabela_registros[DIA],maitotal30597183[[#Headers],[9]],tabela_registros[REGISTRO],DADOS!$N$4,tabela_registros[TIPO],DADOS!$P$3,tabela_registros[CATEGORIA],despesafixaconsolidadomai[[#This Row],[DESPESA FIXA]])</f>
        <v>0</v>
      </c>
      <c r="N44" s="119" t="n">
        <f aca="false">SUMIFS(tabela_registros[VALOR],tabela_registros[MÊS],$AE$1,tabela_registros[DIA],maitotal30597183[[#Headers],[10]],tabela_registros[REGISTRO],DADOS!$N$4,tabela_registros[TIPO],DADOS!$P$3,tabela_registros[CATEGORIA],despesafixaconsolidadomai[[#This Row],[DESPESA FIXA]])</f>
        <v>0</v>
      </c>
      <c r="O44" s="119" t="n">
        <f aca="false">SUMIFS(tabela_registros[VALOR],tabela_registros[MÊS],$AE$1,tabela_registros[DIA],maitotal30597183[[#Headers],[11]],tabela_registros[REGISTRO],DADOS!$N$4,tabela_registros[TIPO],DADOS!$P$3,tabela_registros[CATEGORIA],despesafixaconsolidadomai[[#This Row],[DESPESA FIXA]])</f>
        <v>0</v>
      </c>
      <c r="P44" s="119" t="n">
        <f aca="false">SUMIFS(tabela_registros[VALOR],tabela_registros[MÊS],$AE$1,tabela_registros[DIA],maitotal30597183[[#Headers],[12]],tabela_registros[REGISTRO],DADOS!$N$4,tabela_registros[TIPO],DADOS!$P$3,tabela_registros[CATEGORIA],despesafixaconsolidadomai[[#This Row],[DESPESA FIXA]])</f>
        <v>0</v>
      </c>
      <c r="Q44" s="119" t="n">
        <f aca="false">SUMIFS(tabela_registros[VALOR],tabela_registros[MÊS],$AE$1,tabela_registros[DIA],maitotal30597183[[#Headers],[13]],tabela_registros[REGISTRO],DADOS!$N$4,tabela_registros[TIPO],DADOS!$P$3,tabela_registros[CATEGORIA],despesafixaconsolidadomai[[#This Row],[DESPESA FIXA]])</f>
        <v>0</v>
      </c>
      <c r="R44" s="119" t="n">
        <f aca="false">SUMIFS(tabela_registros[VALOR],tabela_registros[MÊS],$AE$1,tabela_registros[DIA],maitotal30597183[[#Headers],[14]],tabela_registros[REGISTRO],DADOS!$N$4,tabela_registros[TIPO],DADOS!$P$3,tabela_registros[CATEGORIA],despesafixaconsolidadomai[[#This Row],[DESPESA FIXA]])</f>
        <v>0</v>
      </c>
      <c r="S44" s="119" t="n">
        <f aca="false">SUMIFS(tabela_registros[VALOR],tabela_registros[MÊS],$AE$1,tabela_registros[DIA],maitotal30597183[[#Headers],[15]],tabela_registros[REGISTRO],DADOS!$N$4,tabela_registros[TIPO],DADOS!$P$3,tabela_registros[CATEGORIA],despesafixaconsolidadomai[[#This Row],[DESPESA FIXA]])</f>
        <v>0</v>
      </c>
      <c r="T44" s="119" t="n">
        <f aca="false">SUMIFS(tabela_registros[VALOR],tabela_registros[MÊS],$AE$1,tabela_registros[DIA],maitotal30597183[[#Headers],[16]],tabela_registros[REGISTRO],DADOS!$N$4,tabela_registros[TIPO],DADOS!$P$3,tabela_registros[CATEGORIA],despesafixaconsolidadomai[[#This Row],[DESPESA FIXA]])</f>
        <v>0</v>
      </c>
      <c r="U44" s="119" t="n">
        <f aca="false">SUMIFS(tabela_registros[VALOR],tabela_registros[MÊS],$AE$1,tabela_registros[DIA],maitotal30597183[[#Headers],[17]],tabela_registros[REGISTRO],DADOS!$N$4,tabela_registros[TIPO],DADOS!$P$3,tabela_registros[CATEGORIA],despesafixaconsolidadomai[[#This Row],[DESPESA FIXA]])</f>
        <v>0</v>
      </c>
      <c r="V44" s="119" t="n">
        <f aca="false">SUMIFS(tabela_registros[VALOR],tabela_registros[MÊS],$AE$1,tabela_registros[DIA],maitotal30597183[[#Headers],[18]],tabela_registros[REGISTRO],DADOS!$N$4,tabela_registros[TIPO],DADOS!$P$3,tabela_registros[CATEGORIA],despesafixaconsolidadomai[[#This Row],[DESPESA FIXA]])</f>
        <v>0</v>
      </c>
      <c r="W44" s="119" t="n">
        <f aca="false">SUMIFS(tabela_registros[VALOR],tabela_registros[MÊS],$AE$1,tabela_registros[DIA],maitotal30597183[[#Headers],[19]],tabela_registros[REGISTRO],DADOS!$N$4,tabela_registros[TIPO],DADOS!$P$3,tabela_registros[CATEGORIA],despesafixaconsolidadomai[[#This Row],[DESPESA FIXA]])</f>
        <v>0</v>
      </c>
      <c r="X44" s="119" t="n">
        <f aca="false">SUMIFS(tabela_registros[VALOR],tabela_registros[MÊS],$AE$1,tabela_registros[DIA],maitotal30597183[[#Headers],[20]],tabela_registros[REGISTRO],DADOS!$N$4,tabela_registros[TIPO],DADOS!$P$3,tabela_registros[CATEGORIA],despesafixaconsolidadomai[[#This Row],[DESPESA FIXA]])</f>
        <v>0</v>
      </c>
      <c r="Y44" s="119" t="n">
        <f aca="false">SUMIFS(tabela_registros[VALOR],tabela_registros[MÊS],$AE$1,tabela_registros[DIA],maitotal30597183[[#Headers],[21]],tabela_registros[REGISTRO],DADOS!$N$4,tabela_registros[TIPO],DADOS!$P$3,tabela_registros[CATEGORIA],despesafixaconsolidadomai[[#This Row],[DESPESA FIXA]])</f>
        <v>0</v>
      </c>
      <c r="Z44" s="119" t="n">
        <f aca="false">SUMIFS(tabela_registros[VALOR],tabela_registros[MÊS],$AE$1,tabela_registros[DIA],maitotal30597183[[#Headers],[22]],tabela_registros[REGISTRO],DADOS!$N$4,tabela_registros[TIPO],DADOS!$P$3,tabela_registros[CATEGORIA],despesafixaconsolidadomai[[#This Row],[DESPESA FIXA]])</f>
        <v>0</v>
      </c>
      <c r="AA44" s="119" t="n">
        <f aca="false">SUMIFS(tabela_registros[VALOR],tabela_registros[MÊS],$AE$1,tabela_registros[DIA],maitotal30597183[[#Headers],[23]],tabela_registros[REGISTRO],DADOS!$N$4,tabela_registros[TIPO],DADOS!$P$3,tabela_registros[CATEGORIA],despesafixaconsolidadomai[[#This Row],[DESPESA FIXA]])</f>
        <v>0</v>
      </c>
      <c r="AB44" s="119" t="n">
        <f aca="false">SUMIFS(tabela_registros[VALOR],tabela_registros[MÊS],$AE$1,tabela_registros[DIA],maitotal30597183[[#Headers],[24]],tabela_registros[REGISTRO],DADOS!$N$4,tabela_registros[TIPO],DADOS!$P$3,tabela_registros[CATEGORIA],despesafixaconsolidadomai[[#This Row],[DESPESA FIXA]])</f>
        <v>0</v>
      </c>
      <c r="AC44" s="119" t="n">
        <f aca="false">SUMIFS(tabela_registros[VALOR],tabela_registros[MÊS],$AE$1,tabela_registros[DIA],maitotal30597183[[#Headers],[25]],tabela_registros[REGISTRO],DADOS!$N$4,tabela_registros[TIPO],DADOS!$P$3,tabela_registros[CATEGORIA],despesafixaconsolidadomai[[#This Row],[DESPESA FIXA]])</f>
        <v>0</v>
      </c>
      <c r="AD44" s="119" t="n">
        <f aca="false">SUMIFS(tabela_registros[VALOR],tabela_registros[MÊS],$AE$1,tabela_registros[DIA],maitotal30597183[[#Headers],[26]],tabela_registros[REGISTRO],DADOS!$N$4,tabela_registros[TIPO],DADOS!$P$3,tabela_registros[CATEGORIA],despesafixaconsolidadomai[[#This Row],[DESPESA FIXA]])</f>
        <v>0</v>
      </c>
      <c r="AE44" s="119" t="n">
        <f aca="false">SUMIFS(tabela_registros[VALOR],tabela_registros[MÊS],$AE$1,tabela_registros[DIA],maitotal30597183[[#Headers],[27]],tabela_registros[REGISTRO],DADOS!$N$4,tabela_registros[TIPO],DADOS!$P$3,tabela_registros[CATEGORIA],despesafixaconsolidadomai[[#This Row],[DESPESA FIXA]])</f>
        <v>0</v>
      </c>
      <c r="AF44" s="119" t="n">
        <f aca="false">SUMIFS(tabela_registros[VALOR],tabela_registros[MÊS],$AE$1,tabela_registros[DIA],maitotal30597183[[#Headers],[28]],tabela_registros[REGISTRO],DADOS!$N$4,tabela_registros[TIPO],DADOS!$P$3,tabela_registros[CATEGORIA],despesafixaconsolidadomai[[#This Row],[DESPESA FIXA]])</f>
        <v>0</v>
      </c>
      <c r="AG44" s="119" t="n">
        <f aca="false">SUMIFS(tabela_registros[VALOR],tabela_registros[MÊS],$AE$1,tabela_registros[DIA],maitotal30597183[[#Headers],[29]],tabela_registros[REGISTRO],DADOS!$N$4,tabela_registros[TIPO],DADOS!$P$3,tabela_registros[CATEGORIA],despesafixaconsolidadomai[[#This Row],[DESPESA FIXA]])</f>
        <v>0</v>
      </c>
      <c r="AH44" s="119" t="n">
        <f aca="false">SUMIFS(tabela_registros[VALOR],tabela_registros[MÊS],$AE$1,tabela_registros[DIA],maitotal30597183[[#Headers],[30]],tabela_registros[REGISTRO],DADOS!$N$4,tabela_registros[TIPO],DADOS!$P$3,tabela_registros[CATEGORIA],despesafixaconsolidadomai[[#This Row],[DESPESA FIXA]])</f>
        <v>0</v>
      </c>
      <c r="AI44" s="217" t="n">
        <f aca="false">SUMIFS(tabela_registros[VALOR],tabela_registros[MÊS],$AE$1,tabela_registros[DIA],maitotal30597183[[#Headers],[31]],tabela_registros[REGISTRO],DADOS!$N$4,tabela_registros[TIPO],DADOS!$P$3,tabela_registros[CATEGORIA],despesafixaconsolidadomai[[#This Row],[DESPESA FIXA]])</f>
        <v>0</v>
      </c>
      <c r="AJ44" s="149" t="n">
        <f aca="false">SUM(despesafixaconsolidadomai[[#This Row],[1]:[31]])</f>
        <v>0</v>
      </c>
      <c r="AK44" s="143"/>
    </row>
    <row r="45" customFormat="false" ht="18" hidden="false" customHeight="true" outlineLevel="0" collapsed="false">
      <c r="B45" s="143"/>
      <c r="C45" s="144" t="str">
        <f aca="false">DADOS!$R$11</f>
        <v>🔢 IMPOSTOS</v>
      </c>
      <c r="D45" s="145" t="str">
        <f aca="false">IF(despesafixaconsolidadomai[[#This Row],[TOTAL]]=0,"",IF(OR(despesafixaconsolidadomai[[#This Row],[TOTAL]]=LARGE($AJ$37:$AJ$50,1),despesafixaconsolidadomai[[#This Row],[TOTAL]]=LARGE($AJ$37:$AJ$50,2),despesafixaconsolidadomai[[#This Row],[TOTAL]]=LARGE($AJ$37:$AJ$50,3),despesafixaconsolidadomai[[#This Row],[TOTAL]]=LARGE($AJ$37:$AJ$50,4),despesafixaconsolidadomai[[#This Row],[TOTAL]]=LARGE($AJ$37:$AJ$50,5)),DADOS!$I$8,""))</f>
        <v/>
      </c>
      <c r="E45" s="148" t="n">
        <f aca="false">SUMIFS(tabela_registros[VALOR],tabela_registros[MÊS],$AE$1,tabela_registros[DIA],maitotal30597183[[#Headers],[1]],tabela_registros[REGISTRO],DADOS!$N$4,tabela_registros[TIPO],DADOS!$P$3,tabela_registros[CATEGORIA],despesafixaconsolidadomai[[#This Row],[DESPESA FIXA]])</f>
        <v>0</v>
      </c>
      <c r="F45" s="119" t="n">
        <f aca="false">SUMIFS(tabela_registros[VALOR],tabela_registros[MÊS],$AE$1,tabela_registros[DIA],maitotal30597183[[#Headers],[2]],tabela_registros[REGISTRO],DADOS!$N$4,tabela_registros[TIPO],DADOS!$P$3,tabela_registros[CATEGORIA],despesafixaconsolidadomai[[#This Row],[DESPESA FIXA]])</f>
        <v>0</v>
      </c>
      <c r="G45" s="119" t="n">
        <f aca="false">SUMIFS(tabela_registros[VALOR],tabela_registros[MÊS],$AE$1,tabela_registros[DIA],maitotal30597183[[#Headers],[3]],tabela_registros[REGISTRO],DADOS!$N$4,tabela_registros[TIPO],DADOS!$P$3,tabela_registros[CATEGORIA],despesafixaconsolidadomai[[#This Row],[DESPESA FIXA]])</f>
        <v>0</v>
      </c>
      <c r="H45" s="119" t="n">
        <f aca="false">SUMIFS(tabela_registros[VALOR],tabela_registros[MÊS],$AE$1,tabela_registros[DIA],maitotal30597183[[#Headers],[4]],tabela_registros[REGISTRO],DADOS!$N$4,tabela_registros[TIPO],DADOS!$P$3,tabela_registros[CATEGORIA],despesafixaconsolidadomai[[#This Row],[DESPESA FIXA]])</f>
        <v>0</v>
      </c>
      <c r="I45" s="119" t="n">
        <f aca="false">SUMIFS(tabela_registros[VALOR],tabela_registros[MÊS],$AE$1,tabela_registros[DIA],maitotal30597183[[#Headers],[5]],tabela_registros[REGISTRO],DADOS!$N$4,tabela_registros[TIPO],DADOS!$P$3,tabela_registros[CATEGORIA],despesafixaconsolidadomai[[#This Row],[DESPESA FIXA]])</f>
        <v>0</v>
      </c>
      <c r="J45" s="119" t="n">
        <f aca="false">SUMIFS(tabela_registros[VALOR],tabela_registros[MÊS],$AE$1,tabela_registros[DIA],maitotal30597183[[#Headers],[6]],tabela_registros[REGISTRO],DADOS!$N$4,tabela_registros[TIPO],DADOS!$P$3,tabela_registros[CATEGORIA],despesafixaconsolidadomai[[#This Row],[DESPESA FIXA]])</f>
        <v>0</v>
      </c>
      <c r="K45" s="119" t="n">
        <f aca="false">SUMIFS(tabela_registros[VALOR],tabela_registros[MÊS],$AE$1,tabela_registros[DIA],maitotal30597183[[#Headers],[7]],tabela_registros[REGISTRO],DADOS!$N$4,tabela_registros[TIPO],DADOS!$P$3,tabela_registros[CATEGORIA],despesafixaconsolidadomai[[#This Row],[DESPESA FIXA]])</f>
        <v>0</v>
      </c>
      <c r="L45" s="119" t="n">
        <f aca="false">SUMIFS(tabela_registros[VALOR],tabela_registros[MÊS],$AE$1,tabela_registros[DIA],maitotal30597183[[#Headers],[8]],tabela_registros[REGISTRO],DADOS!$N$4,tabela_registros[TIPO],DADOS!$P$3,tabela_registros[CATEGORIA],despesafixaconsolidadomai[[#This Row],[DESPESA FIXA]])</f>
        <v>0</v>
      </c>
      <c r="M45" s="119" t="n">
        <f aca="false">SUMIFS(tabela_registros[VALOR],tabela_registros[MÊS],$AE$1,tabela_registros[DIA],maitotal30597183[[#Headers],[9]],tabela_registros[REGISTRO],DADOS!$N$4,tabela_registros[TIPO],DADOS!$P$3,tabela_registros[CATEGORIA],despesafixaconsolidadomai[[#This Row],[DESPESA FIXA]])</f>
        <v>0</v>
      </c>
      <c r="N45" s="119" t="n">
        <f aca="false">SUMIFS(tabela_registros[VALOR],tabela_registros[MÊS],$AE$1,tabela_registros[DIA],maitotal30597183[[#Headers],[10]],tabela_registros[REGISTRO],DADOS!$N$4,tabela_registros[TIPO],DADOS!$P$3,tabela_registros[CATEGORIA],despesafixaconsolidadomai[[#This Row],[DESPESA FIXA]])</f>
        <v>0</v>
      </c>
      <c r="O45" s="119" t="n">
        <f aca="false">SUMIFS(tabela_registros[VALOR],tabela_registros[MÊS],$AE$1,tabela_registros[DIA],maitotal30597183[[#Headers],[11]],tabela_registros[REGISTRO],DADOS!$N$4,tabela_registros[TIPO],DADOS!$P$3,tabela_registros[CATEGORIA],despesafixaconsolidadomai[[#This Row],[DESPESA FIXA]])</f>
        <v>0</v>
      </c>
      <c r="P45" s="119" t="n">
        <f aca="false">SUMIFS(tabela_registros[VALOR],tabela_registros[MÊS],$AE$1,tabela_registros[DIA],maitotal30597183[[#Headers],[12]],tabela_registros[REGISTRO],DADOS!$N$4,tabela_registros[TIPO],DADOS!$P$3,tabela_registros[CATEGORIA],despesafixaconsolidadomai[[#This Row],[DESPESA FIXA]])</f>
        <v>0</v>
      </c>
      <c r="Q45" s="119" t="n">
        <f aca="false">SUMIFS(tabela_registros[VALOR],tabela_registros[MÊS],$AE$1,tabela_registros[DIA],maitotal30597183[[#Headers],[13]],tabela_registros[REGISTRO],DADOS!$N$4,tabela_registros[TIPO],DADOS!$P$3,tabela_registros[CATEGORIA],despesafixaconsolidadomai[[#This Row],[DESPESA FIXA]])</f>
        <v>0</v>
      </c>
      <c r="R45" s="119" t="n">
        <f aca="false">SUMIFS(tabela_registros[VALOR],tabela_registros[MÊS],$AE$1,tabela_registros[DIA],maitotal30597183[[#Headers],[14]],tabela_registros[REGISTRO],DADOS!$N$4,tabela_registros[TIPO],DADOS!$P$3,tabela_registros[CATEGORIA],despesafixaconsolidadomai[[#This Row],[DESPESA FIXA]])</f>
        <v>0</v>
      </c>
      <c r="S45" s="119" t="n">
        <f aca="false">SUMIFS(tabela_registros[VALOR],tabela_registros[MÊS],$AE$1,tabela_registros[DIA],maitotal30597183[[#Headers],[15]],tabela_registros[REGISTRO],DADOS!$N$4,tabela_registros[TIPO],DADOS!$P$3,tabela_registros[CATEGORIA],despesafixaconsolidadomai[[#This Row],[DESPESA FIXA]])</f>
        <v>0</v>
      </c>
      <c r="T45" s="119" t="n">
        <f aca="false">SUMIFS(tabela_registros[VALOR],tabela_registros[MÊS],$AE$1,tabela_registros[DIA],maitotal30597183[[#Headers],[16]],tabela_registros[REGISTRO],DADOS!$N$4,tabela_registros[TIPO],DADOS!$P$3,tabela_registros[CATEGORIA],despesafixaconsolidadomai[[#This Row],[DESPESA FIXA]])</f>
        <v>0</v>
      </c>
      <c r="U45" s="119" t="n">
        <f aca="false">SUMIFS(tabela_registros[VALOR],tabela_registros[MÊS],$AE$1,tabela_registros[DIA],maitotal30597183[[#Headers],[17]],tabela_registros[REGISTRO],DADOS!$N$4,tabela_registros[TIPO],DADOS!$P$3,tabela_registros[CATEGORIA],despesafixaconsolidadomai[[#This Row],[DESPESA FIXA]])</f>
        <v>0</v>
      </c>
      <c r="V45" s="119" t="n">
        <f aca="false">SUMIFS(tabela_registros[VALOR],tabela_registros[MÊS],$AE$1,tabela_registros[DIA],maitotal30597183[[#Headers],[18]],tabela_registros[REGISTRO],DADOS!$N$4,tabela_registros[TIPO],DADOS!$P$3,tabela_registros[CATEGORIA],despesafixaconsolidadomai[[#This Row],[DESPESA FIXA]])</f>
        <v>0</v>
      </c>
      <c r="W45" s="119" t="n">
        <f aca="false">SUMIFS(tabela_registros[VALOR],tabela_registros[MÊS],$AE$1,tabela_registros[DIA],maitotal30597183[[#Headers],[19]],tabela_registros[REGISTRO],DADOS!$N$4,tabela_registros[TIPO],DADOS!$P$3,tabela_registros[CATEGORIA],despesafixaconsolidadomai[[#This Row],[DESPESA FIXA]])</f>
        <v>0</v>
      </c>
      <c r="X45" s="119" t="n">
        <f aca="false">SUMIFS(tabela_registros[VALOR],tabela_registros[MÊS],$AE$1,tabela_registros[DIA],maitotal30597183[[#Headers],[20]],tabela_registros[REGISTRO],DADOS!$N$4,tabela_registros[TIPO],DADOS!$P$3,tabela_registros[CATEGORIA],despesafixaconsolidadomai[[#This Row],[DESPESA FIXA]])</f>
        <v>0</v>
      </c>
      <c r="Y45" s="119" t="n">
        <f aca="false">SUMIFS(tabela_registros[VALOR],tabela_registros[MÊS],$AE$1,tabela_registros[DIA],maitotal30597183[[#Headers],[21]],tabela_registros[REGISTRO],DADOS!$N$4,tabela_registros[TIPO],DADOS!$P$3,tabela_registros[CATEGORIA],despesafixaconsolidadomai[[#This Row],[DESPESA FIXA]])</f>
        <v>0</v>
      </c>
      <c r="Z45" s="119" t="n">
        <f aca="false">SUMIFS(tabela_registros[VALOR],tabela_registros[MÊS],$AE$1,tabela_registros[DIA],maitotal30597183[[#Headers],[22]],tabela_registros[REGISTRO],DADOS!$N$4,tabela_registros[TIPO],DADOS!$P$3,tabela_registros[CATEGORIA],despesafixaconsolidadomai[[#This Row],[DESPESA FIXA]])</f>
        <v>0</v>
      </c>
      <c r="AA45" s="119" t="n">
        <f aca="false">SUMIFS(tabela_registros[VALOR],tabela_registros[MÊS],$AE$1,tabela_registros[DIA],maitotal30597183[[#Headers],[23]],tabela_registros[REGISTRO],DADOS!$N$4,tabela_registros[TIPO],DADOS!$P$3,tabela_registros[CATEGORIA],despesafixaconsolidadomai[[#This Row],[DESPESA FIXA]])</f>
        <v>0</v>
      </c>
      <c r="AB45" s="119" t="n">
        <f aca="false">SUMIFS(tabela_registros[VALOR],tabela_registros[MÊS],$AE$1,tabela_registros[DIA],maitotal30597183[[#Headers],[24]],tabela_registros[REGISTRO],DADOS!$N$4,tabela_registros[TIPO],DADOS!$P$3,tabela_registros[CATEGORIA],despesafixaconsolidadomai[[#This Row],[DESPESA FIXA]])</f>
        <v>0</v>
      </c>
      <c r="AC45" s="119" t="n">
        <f aca="false">SUMIFS(tabela_registros[VALOR],tabela_registros[MÊS],$AE$1,tabela_registros[DIA],maitotal30597183[[#Headers],[25]],tabela_registros[REGISTRO],DADOS!$N$4,tabela_registros[TIPO],DADOS!$P$3,tabela_registros[CATEGORIA],despesafixaconsolidadomai[[#This Row],[DESPESA FIXA]])</f>
        <v>0</v>
      </c>
      <c r="AD45" s="119" t="n">
        <f aca="false">SUMIFS(tabela_registros[VALOR],tabela_registros[MÊS],$AE$1,tabela_registros[DIA],maitotal30597183[[#Headers],[26]],tabela_registros[REGISTRO],DADOS!$N$4,tabela_registros[TIPO],DADOS!$P$3,tabela_registros[CATEGORIA],despesafixaconsolidadomai[[#This Row],[DESPESA FIXA]])</f>
        <v>0</v>
      </c>
      <c r="AE45" s="119" t="n">
        <f aca="false">SUMIFS(tabela_registros[VALOR],tabela_registros[MÊS],$AE$1,tabela_registros[DIA],maitotal30597183[[#Headers],[27]],tabela_registros[REGISTRO],DADOS!$N$4,tabela_registros[TIPO],DADOS!$P$3,tabela_registros[CATEGORIA],despesafixaconsolidadomai[[#This Row],[DESPESA FIXA]])</f>
        <v>0</v>
      </c>
      <c r="AF45" s="119" t="n">
        <f aca="false">SUMIFS(tabela_registros[VALOR],tabela_registros[MÊS],$AE$1,tabela_registros[DIA],maitotal30597183[[#Headers],[28]],tabela_registros[REGISTRO],DADOS!$N$4,tabela_registros[TIPO],DADOS!$P$3,tabela_registros[CATEGORIA],despesafixaconsolidadomai[[#This Row],[DESPESA FIXA]])</f>
        <v>0</v>
      </c>
      <c r="AG45" s="119" t="n">
        <f aca="false">SUMIFS(tabela_registros[VALOR],tabela_registros[MÊS],$AE$1,tabela_registros[DIA],maitotal30597183[[#Headers],[29]],tabela_registros[REGISTRO],DADOS!$N$4,tabela_registros[TIPO],DADOS!$P$3,tabela_registros[CATEGORIA],despesafixaconsolidadomai[[#This Row],[DESPESA FIXA]])</f>
        <v>0</v>
      </c>
      <c r="AH45" s="119" t="n">
        <f aca="false">SUMIFS(tabela_registros[VALOR],tabela_registros[MÊS],$AE$1,tabela_registros[DIA],maitotal30597183[[#Headers],[30]],tabela_registros[REGISTRO],DADOS!$N$4,tabela_registros[TIPO],DADOS!$P$3,tabela_registros[CATEGORIA],despesafixaconsolidadomai[[#This Row],[DESPESA FIXA]])</f>
        <v>0</v>
      </c>
      <c r="AI45" s="217" t="n">
        <f aca="false">SUMIFS(tabela_registros[VALOR],tabela_registros[MÊS],$AE$1,tabela_registros[DIA],maitotal30597183[[#Headers],[31]],tabela_registros[REGISTRO],DADOS!$N$4,tabela_registros[TIPO],DADOS!$P$3,tabela_registros[CATEGORIA],despesafixaconsolidadomai[[#This Row],[DESPESA FIXA]])</f>
        <v>0</v>
      </c>
      <c r="AJ45" s="149" t="n">
        <f aca="false">SUM(despesafixaconsolidadomai[[#This Row],[1]:[31]])</f>
        <v>0</v>
      </c>
      <c r="AK45" s="143"/>
    </row>
    <row r="46" customFormat="false" ht="18" hidden="false" customHeight="true" outlineLevel="0" collapsed="false">
      <c r="B46" s="143"/>
      <c r="C46" s="144" t="str">
        <f aca="false">DADOS!$R$12</f>
        <v>🖱️ INTERNET</v>
      </c>
      <c r="D46" s="145" t="str">
        <f aca="false">IF(despesafixaconsolidadomai[[#This Row],[TOTAL]]=0,"",IF(OR(despesafixaconsolidadomai[[#This Row],[TOTAL]]=LARGE($AJ$37:$AJ$50,1),despesafixaconsolidadomai[[#This Row],[TOTAL]]=LARGE($AJ$37:$AJ$50,2),despesafixaconsolidadomai[[#This Row],[TOTAL]]=LARGE($AJ$37:$AJ$50,3),despesafixaconsolidadomai[[#This Row],[TOTAL]]=LARGE($AJ$37:$AJ$50,4),despesafixaconsolidadomai[[#This Row],[TOTAL]]=LARGE($AJ$37:$AJ$50,5)),DADOS!$I$8,""))</f>
        <v/>
      </c>
      <c r="E46" s="148" t="n">
        <f aca="false">SUMIFS(tabela_registros[VALOR],tabela_registros[MÊS],$AE$1,tabela_registros[DIA],maitotal30597183[[#Headers],[1]],tabela_registros[REGISTRO],DADOS!$N$4,tabela_registros[TIPO],DADOS!$P$3,tabela_registros[CATEGORIA],despesafixaconsolidadomai[[#This Row],[DESPESA FIXA]])</f>
        <v>0</v>
      </c>
      <c r="F46" s="119" t="n">
        <f aca="false">SUMIFS(tabela_registros[VALOR],tabela_registros[MÊS],$AE$1,tabela_registros[DIA],maitotal30597183[[#Headers],[2]],tabela_registros[REGISTRO],DADOS!$N$4,tabela_registros[TIPO],DADOS!$P$3,tabela_registros[CATEGORIA],despesafixaconsolidadomai[[#This Row],[DESPESA FIXA]])</f>
        <v>0</v>
      </c>
      <c r="G46" s="119" t="n">
        <f aca="false">SUMIFS(tabela_registros[VALOR],tabela_registros[MÊS],$AE$1,tabela_registros[DIA],maitotal30597183[[#Headers],[3]],tabela_registros[REGISTRO],DADOS!$N$4,tabela_registros[TIPO],DADOS!$P$3,tabela_registros[CATEGORIA],despesafixaconsolidadomai[[#This Row],[DESPESA FIXA]])</f>
        <v>0</v>
      </c>
      <c r="H46" s="119" t="n">
        <f aca="false">SUMIFS(tabela_registros[VALOR],tabela_registros[MÊS],$AE$1,tabela_registros[DIA],maitotal30597183[[#Headers],[4]],tabela_registros[REGISTRO],DADOS!$N$4,tabela_registros[TIPO],DADOS!$P$3,tabela_registros[CATEGORIA],despesafixaconsolidadomai[[#This Row],[DESPESA FIXA]])</f>
        <v>0</v>
      </c>
      <c r="I46" s="119" t="n">
        <f aca="false">SUMIFS(tabela_registros[VALOR],tabela_registros[MÊS],$AE$1,tabela_registros[DIA],maitotal30597183[[#Headers],[5]],tabela_registros[REGISTRO],DADOS!$N$4,tabela_registros[TIPO],DADOS!$P$3,tabela_registros[CATEGORIA],despesafixaconsolidadomai[[#This Row],[DESPESA FIXA]])</f>
        <v>0</v>
      </c>
      <c r="J46" s="119" t="n">
        <f aca="false">SUMIFS(tabela_registros[VALOR],tabela_registros[MÊS],$AE$1,tabela_registros[DIA],maitotal30597183[[#Headers],[6]],tabela_registros[REGISTRO],DADOS!$N$4,tabela_registros[TIPO],DADOS!$P$3,tabela_registros[CATEGORIA],despesafixaconsolidadomai[[#This Row],[DESPESA FIXA]])</f>
        <v>0</v>
      </c>
      <c r="K46" s="119" t="n">
        <f aca="false">SUMIFS(tabela_registros[VALOR],tabela_registros[MÊS],$AE$1,tabela_registros[DIA],maitotal30597183[[#Headers],[7]],tabela_registros[REGISTRO],DADOS!$N$4,tabela_registros[TIPO],DADOS!$P$3,tabela_registros[CATEGORIA],despesafixaconsolidadomai[[#This Row],[DESPESA FIXA]])</f>
        <v>0</v>
      </c>
      <c r="L46" s="119" t="n">
        <f aca="false">SUMIFS(tabela_registros[VALOR],tabela_registros[MÊS],$AE$1,tabela_registros[DIA],maitotal30597183[[#Headers],[8]],tabela_registros[REGISTRO],DADOS!$N$4,tabela_registros[TIPO],DADOS!$P$3,tabela_registros[CATEGORIA],despesafixaconsolidadomai[[#This Row],[DESPESA FIXA]])</f>
        <v>0</v>
      </c>
      <c r="M46" s="119" t="n">
        <f aca="false">SUMIFS(tabela_registros[VALOR],tabela_registros[MÊS],$AE$1,tabela_registros[DIA],maitotal30597183[[#Headers],[9]],tabela_registros[REGISTRO],DADOS!$N$4,tabela_registros[TIPO],DADOS!$P$3,tabela_registros[CATEGORIA],despesafixaconsolidadomai[[#This Row],[DESPESA FIXA]])</f>
        <v>0</v>
      </c>
      <c r="N46" s="119" t="n">
        <f aca="false">SUMIFS(tabela_registros[VALOR],tabela_registros[MÊS],$AE$1,tabela_registros[DIA],maitotal30597183[[#Headers],[10]],tabela_registros[REGISTRO],DADOS!$N$4,tabela_registros[TIPO],DADOS!$P$3,tabela_registros[CATEGORIA],despesafixaconsolidadomai[[#This Row],[DESPESA FIXA]])</f>
        <v>0</v>
      </c>
      <c r="O46" s="119" t="n">
        <f aca="false">SUMIFS(tabela_registros[VALOR],tabela_registros[MÊS],$AE$1,tabela_registros[DIA],maitotal30597183[[#Headers],[11]],tabela_registros[REGISTRO],DADOS!$N$4,tabela_registros[TIPO],DADOS!$P$3,tabela_registros[CATEGORIA],despesafixaconsolidadomai[[#This Row],[DESPESA FIXA]])</f>
        <v>0</v>
      </c>
      <c r="P46" s="119" t="n">
        <f aca="false">SUMIFS(tabela_registros[VALOR],tabela_registros[MÊS],$AE$1,tabela_registros[DIA],maitotal30597183[[#Headers],[12]],tabela_registros[REGISTRO],DADOS!$N$4,tabela_registros[TIPO],DADOS!$P$3,tabela_registros[CATEGORIA],despesafixaconsolidadomai[[#This Row],[DESPESA FIXA]])</f>
        <v>0</v>
      </c>
      <c r="Q46" s="119" t="n">
        <f aca="false">SUMIFS(tabela_registros[VALOR],tabela_registros[MÊS],$AE$1,tabela_registros[DIA],maitotal30597183[[#Headers],[13]],tabela_registros[REGISTRO],DADOS!$N$4,tabela_registros[TIPO],DADOS!$P$3,tabela_registros[CATEGORIA],despesafixaconsolidadomai[[#This Row],[DESPESA FIXA]])</f>
        <v>0</v>
      </c>
      <c r="R46" s="119" t="n">
        <f aca="false">SUMIFS(tabela_registros[VALOR],tabela_registros[MÊS],$AE$1,tabela_registros[DIA],maitotal30597183[[#Headers],[14]],tabela_registros[REGISTRO],DADOS!$N$4,tabela_registros[TIPO],DADOS!$P$3,tabela_registros[CATEGORIA],despesafixaconsolidadomai[[#This Row],[DESPESA FIXA]])</f>
        <v>0</v>
      </c>
      <c r="S46" s="119" t="n">
        <f aca="false">SUMIFS(tabela_registros[VALOR],tabela_registros[MÊS],$AE$1,tabela_registros[DIA],maitotal30597183[[#Headers],[15]],tabela_registros[REGISTRO],DADOS!$N$4,tabela_registros[TIPO],DADOS!$P$3,tabela_registros[CATEGORIA],despesafixaconsolidadomai[[#This Row],[DESPESA FIXA]])</f>
        <v>0</v>
      </c>
      <c r="T46" s="119" t="n">
        <f aca="false">SUMIFS(tabela_registros[VALOR],tabela_registros[MÊS],$AE$1,tabela_registros[DIA],maitotal30597183[[#Headers],[16]],tabela_registros[REGISTRO],DADOS!$N$4,tabela_registros[TIPO],DADOS!$P$3,tabela_registros[CATEGORIA],despesafixaconsolidadomai[[#This Row],[DESPESA FIXA]])</f>
        <v>0</v>
      </c>
      <c r="U46" s="119" t="n">
        <f aca="false">SUMIFS(tabela_registros[VALOR],tabela_registros[MÊS],$AE$1,tabela_registros[DIA],maitotal30597183[[#Headers],[17]],tabela_registros[REGISTRO],DADOS!$N$4,tabela_registros[TIPO],DADOS!$P$3,tabela_registros[CATEGORIA],despesafixaconsolidadomai[[#This Row],[DESPESA FIXA]])</f>
        <v>0</v>
      </c>
      <c r="V46" s="119" t="n">
        <f aca="false">SUMIFS(tabela_registros[VALOR],tabela_registros[MÊS],$AE$1,tabela_registros[DIA],maitotal30597183[[#Headers],[18]],tabela_registros[REGISTRO],DADOS!$N$4,tabela_registros[TIPO],DADOS!$P$3,tabela_registros[CATEGORIA],despesafixaconsolidadomai[[#This Row],[DESPESA FIXA]])</f>
        <v>0</v>
      </c>
      <c r="W46" s="119" t="n">
        <f aca="false">SUMIFS(tabela_registros[VALOR],tabela_registros[MÊS],$AE$1,tabela_registros[DIA],maitotal30597183[[#Headers],[19]],tabela_registros[REGISTRO],DADOS!$N$4,tabela_registros[TIPO],DADOS!$P$3,tabela_registros[CATEGORIA],despesafixaconsolidadomai[[#This Row],[DESPESA FIXA]])</f>
        <v>0</v>
      </c>
      <c r="X46" s="119" t="n">
        <f aca="false">SUMIFS(tabela_registros[VALOR],tabela_registros[MÊS],$AE$1,tabela_registros[DIA],maitotal30597183[[#Headers],[20]],tabela_registros[REGISTRO],DADOS!$N$4,tabela_registros[TIPO],DADOS!$P$3,tabela_registros[CATEGORIA],despesafixaconsolidadomai[[#This Row],[DESPESA FIXA]])</f>
        <v>0</v>
      </c>
      <c r="Y46" s="119" t="n">
        <f aca="false">SUMIFS(tabela_registros[VALOR],tabela_registros[MÊS],$AE$1,tabela_registros[DIA],maitotal30597183[[#Headers],[21]],tabela_registros[REGISTRO],DADOS!$N$4,tabela_registros[TIPO],DADOS!$P$3,tabela_registros[CATEGORIA],despesafixaconsolidadomai[[#This Row],[DESPESA FIXA]])</f>
        <v>0</v>
      </c>
      <c r="Z46" s="119" t="n">
        <f aca="false">SUMIFS(tabela_registros[VALOR],tabela_registros[MÊS],$AE$1,tabela_registros[DIA],maitotal30597183[[#Headers],[22]],tabela_registros[REGISTRO],DADOS!$N$4,tabela_registros[TIPO],DADOS!$P$3,tabela_registros[CATEGORIA],despesafixaconsolidadomai[[#This Row],[DESPESA FIXA]])</f>
        <v>0</v>
      </c>
      <c r="AA46" s="119" t="n">
        <f aca="false">SUMIFS(tabela_registros[VALOR],tabela_registros[MÊS],$AE$1,tabela_registros[DIA],maitotal30597183[[#Headers],[23]],tabela_registros[REGISTRO],DADOS!$N$4,tabela_registros[TIPO],DADOS!$P$3,tabela_registros[CATEGORIA],despesafixaconsolidadomai[[#This Row],[DESPESA FIXA]])</f>
        <v>0</v>
      </c>
      <c r="AB46" s="119" t="n">
        <f aca="false">SUMIFS(tabela_registros[VALOR],tabela_registros[MÊS],$AE$1,tabela_registros[DIA],maitotal30597183[[#Headers],[24]],tabela_registros[REGISTRO],DADOS!$N$4,tabela_registros[TIPO],DADOS!$P$3,tabela_registros[CATEGORIA],despesafixaconsolidadomai[[#This Row],[DESPESA FIXA]])</f>
        <v>0</v>
      </c>
      <c r="AC46" s="119" t="n">
        <f aca="false">SUMIFS(tabela_registros[VALOR],tabela_registros[MÊS],$AE$1,tabela_registros[DIA],maitotal30597183[[#Headers],[25]],tabela_registros[REGISTRO],DADOS!$N$4,tabela_registros[TIPO],DADOS!$P$3,tabela_registros[CATEGORIA],despesafixaconsolidadomai[[#This Row],[DESPESA FIXA]])</f>
        <v>0</v>
      </c>
      <c r="AD46" s="119" t="n">
        <f aca="false">SUMIFS(tabela_registros[VALOR],tabela_registros[MÊS],$AE$1,tabela_registros[DIA],maitotal30597183[[#Headers],[26]],tabela_registros[REGISTRO],DADOS!$N$4,tabela_registros[TIPO],DADOS!$P$3,tabela_registros[CATEGORIA],despesafixaconsolidadomai[[#This Row],[DESPESA FIXA]])</f>
        <v>0</v>
      </c>
      <c r="AE46" s="119" t="n">
        <f aca="false">SUMIFS(tabela_registros[VALOR],tabela_registros[MÊS],$AE$1,tabela_registros[DIA],maitotal30597183[[#Headers],[27]],tabela_registros[REGISTRO],DADOS!$N$4,tabela_registros[TIPO],DADOS!$P$3,tabela_registros[CATEGORIA],despesafixaconsolidadomai[[#This Row],[DESPESA FIXA]])</f>
        <v>0</v>
      </c>
      <c r="AF46" s="119" t="n">
        <f aca="false">SUMIFS(tabela_registros[VALOR],tabela_registros[MÊS],$AE$1,tabela_registros[DIA],maitotal30597183[[#Headers],[28]],tabela_registros[REGISTRO],DADOS!$N$4,tabela_registros[TIPO],DADOS!$P$3,tabela_registros[CATEGORIA],despesafixaconsolidadomai[[#This Row],[DESPESA FIXA]])</f>
        <v>0</v>
      </c>
      <c r="AG46" s="119" t="n">
        <f aca="false">SUMIFS(tabela_registros[VALOR],tabela_registros[MÊS],$AE$1,tabela_registros[DIA],maitotal30597183[[#Headers],[29]],tabela_registros[REGISTRO],DADOS!$N$4,tabela_registros[TIPO],DADOS!$P$3,tabela_registros[CATEGORIA],despesafixaconsolidadomai[[#This Row],[DESPESA FIXA]])</f>
        <v>0</v>
      </c>
      <c r="AH46" s="119" t="n">
        <f aca="false">SUMIFS(tabela_registros[VALOR],tabela_registros[MÊS],$AE$1,tabela_registros[DIA],maitotal30597183[[#Headers],[30]],tabela_registros[REGISTRO],DADOS!$N$4,tabela_registros[TIPO],DADOS!$P$3,tabela_registros[CATEGORIA],despesafixaconsolidadomai[[#This Row],[DESPESA FIXA]])</f>
        <v>0</v>
      </c>
      <c r="AI46" s="217" t="n">
        <f aca="false">SUMIFS(tabela_registros[VALOR],tabela_registros[MÊS],$AE$1,tabela_registros[DIA],maitotal30597183[[#Headers],[31]],tabela_registros[REGISTRO],DADOS!$N$4,tabela_registros[TIPO],DADOS!$P$3,tabela_registros[CATEGORIA],despesafixaconsolidadomai[[#This Row],[DESPESA FIXA]])</f>
        <v>0</v>
      </c>
      <c r="AJ46" s="149" t="n">
        <f aca="false">SUM(despesafixaconsolidadomai[[#This Row],[1]:[31]])</f>
        <v>0</v>
      </c>
      <c r="AK46" s="143"/>
    </row>
    <row r="47" customFormat="false" ht="18" hidden="false" customHeight="true" outlineLevel="0" collapsed="false">
      <c r="B47" s="143"/>
      <c r="C47" s="144" t="str">
        <f aca="false">DADOS!$R$13</f>
        <v>🏠 MORADIA</v>
      </c>
      <c r="D47" s="145" t="str">
        <f aca="false">IF(despesafixaconsolidadomai[[#This Row],[TOTAL]]=0,"",IF(OR(despesafixaconsolidadomai[[#This Row],[TOTAL]]=LARGE($AJ$37:$AJ$50,1),despesafixaconsolidadomai[[#This Row],[TOTAL]]=LARGE($AJ$37:$AJ$50,2),despesafixaconsolidadomai[[#This Row],[TOTAL]]=LARGE($AJ$37:$AJ$50,3),despesafixaconsolidadomai[[#This Row],[TOTAL]]=LARGE($AJ$37:$AJ$50,4),despesafixaconsolidadomai[[#This Row],[TOTAL]]=LARGE($AJ$37:$AJ$50,5)),DADOS!$I$8,""))</f>
        <v/>
      </c>
      <c r="E47" s="148" t="n">
        <f aca="false">SUMIFS(tabela_registros[VALOR],tabela_registros[MÊS],$AE$1,tabela_registros[DIA],maitotal30597183[[#Headers],[1]],tabela_registros[REGISTRO],DADOS!$N$4,tabela_registros[TIPO],DADOS!$P$3,tabela_registros[CATEGORIA],despesafixaconsolidadomai[[#This Row],[DESPESA FIXA]])</f>
        <v>0</v>
      </c>
      <c r="F47" s="119" t="n">
        <f aca="false">SUMIFS(tabela_registros[VALOR],tabela_registros[MÊS],$AE$1,tabela_registros[DIA],maitotal30597183[[#Headers],[2]],tabela_registros[REGISTRO],DADOS!$N$4,tabela_registros[TIPO],DADOS!$P$3,tabela_registros[CATEGORIA],despesafixaconsolidadomai[[#This Row],[DESPESA FIXA]])</f>
        <v>0</v>
      </c>
      <c r="G47" s="119" t="n">
        <f aca="false">SUMIFS(tabela_registros[VALOR],tabela_registros[MÊS],$AE$1,tabela_registros[DIA],maitotal30597183[[#Headers],[3]],tabela_registros[REGISTRO],DADOS!$N$4,tabela_registros[TIPO],DADOS!$P$3,tabela_registros[CATEGORIA],despesafixaconsolidadomai[[#This Row],[DESPESA FIXA]])</f>
        <v>0</v>
      </c>
      <c r="H47" s="119" t="n">
        <f aca="false">SUMIFS(tabela_registros[VALOR],tabela_registros[MÊS],$AE$1,tabela_registros[DIA],maitotal30597183[[#Headers],[4]],tabela_registros[REGISTRO],DADOS!$N$4,tabela_registros[TIPO],DADOS!$P$3,tabela_registros[CATEGORIA],despesafixaconsolidadomai[[#This Row],[DESPESA FIXA]])</f>
        <v>0</v>
      </c>
      <c r="I47" s="119" t="n">
        <f aca="false">SUMIFS(tabela_registros[VALOR],tabela_registros[MÊS],$AE$1,tabela_registros[DIA],maitotal30597183[[#Headers],[5]],tabela_registros[REGISTRO],DADOS!$N$4,tabela_registros[TIPO],DADOS!$P$3,tabela_registros[CATEGORIA],despesafixaconsolidadomai[[#This Row],[DESPESA FIXA]])</f>
        <v>0</v>
      </c>
      <c r="J47" s="119" t="n">
        <f aca="false">SUMIFS(tabela_registros[VALOR],tabela_registros[MÊS],$AE$1,tabela_registros[DIA],maitotal30597183[[#Headers],[6]],tabela_registros[REGISTRO],DADOS!$N$4,tabela_registros[TIPO],DADOS!$P$3,tabela_registros[CATEGORIA],despesafixaconsolidadomai[[#This Row],[DESPESA FIXA]])</f>
        <v>0</v>
      </c>
      <c r="K47" s="119" t="n">
        <f aca="false">SUMIFS(tabela_registros[VALOR],tabela_registros[MÊS],$AE$1,tabela_registros[DIA],maitotal30597183[[#Headers],[7]],tabela_registros[REGISTRO],DADOS!$N$4,tabela_registros[TIPO],DADOS!$P$3,tabela_registros[CATEGORIA],despesafixaconsolidadomai[[#This Row],[DESPESA FIXA]])</f>
        <v>0</v>
      </c>
      <c r="L47" s="119" t="n">
        <f aca="false">SUMIFS(tabela_registros[VALOR],tabela_registros[MÊS],$AE$1,tabela_registros[DIA],maitotal30597183[[#Headers],[8]],tabela_registros[REGISTRO],DADOS!$N$4,tabela_registros[TIPO],DADOS!$P$3,tabela_registros[CATEGORIA],despesafixaconsolidadomai[[#This Row],[DESPESA FIXA]])</f>
        <v>0</v>
      </c>
      <c r="M47" s="119" t="n">
        <f aca="false">SUMIFS(tabela_registros[VALOR],tabela_registros[MÊS],$AE$1,tabela_registros[DIA],maitotal30597183[[#Headers],[9]],tabela_registros[REGISTRO],DADOS!$N$4,tabela_registros[TIPO],DADOS!$P$3,tabela_registros[CATEGORIA],despesafixaconsolidadomai[[#This Row],[DESPESA FIXA]])</f>
        <v>0</v>
      </c>
      <c r="N47" s="119" t="n">
        <f aca="false">SUMIFS(tabela_registros[VALOR],tabela_registros[MÊS],$AE$1,tabela_registros[DIA],maitotal30597183[[#Headers],[10]],tabela_registros[REGISTRO],DADOS!$N$4,tabela_registros[TIPO],DADOS!$P$3,tabela_registros[CATEGORIA],despesafixaconsolidadomai[[#This Row],[DESPESA FIXA]])</f>
        <v>0</v>
      </c>
      <c r="O47" s="119" t="n">
        <f aca="false">SUMIFS(tabela_registros[VALOR],tabela_registros[MÊS],$AE$1,tabela_registros[DIA],maitotal30597183[[#Headers],[11]],tabela_registros[REGISTRO],DADOS!$N$4,tabela_registros[TIPO],DADOS!$P$3,tabela_registros[CATEGORIA],despesafixaconsolidadomai[[#This Row],[DESPESA FIXA]])</f>
        <v>0</v>
      </c>
      <c r="P47" s="119" t="n">
        <f aca="false">SUMIFS(tabela_registros[VALOR],tabela_registros[MÊS],$AE$1,tabela_registros[DIA],maitotal30597183[[#Headers],[12]],tabela_registros[REGISTRO],DADOS!$N$4,tabela_registros[TIPO],DADOS!$P$3,tabela_registros[CATEGORIA],despesafixaconsolidadomai[[#This Row],[DESPESA FIXA]])</f>
        <v>0</v>
      </c>
      <c r="Q47" s="119" t="n">
        <f aca="false">SUMIFS(tabela_registros[VALOR],tabela_registros[MÊS],$AE$1,tabela_registros[DIA],maitotal30597183[[#Headers],[13]],tabela_registros[REGISTRO],DADOS!$N$4,tabela_registros[TIPO],DADOS!$P$3,tabela_registros[CATEGORIA],despesafixaconsolidadomai[[#This Row],[DESPESA FIXA]])</f>
        <v>0</v>
      </c>
      <c r="R47" s="119" t="n">
        <f aca="false">SUMIFS(tabela_registros[VALOR],tabela_registros[MÊS],$AE$1,tabela_registros[DIA],maitotal30597183[[#Headers],[14]],tabela_registros[REGISTRO],DADOS!$N$4,tabela_registros[TIPO],DADOS!$P$3,tabela_registros[CATEGORIA],despesafixaconsolidadomai[[#This Row],[DESPESA FIXA]])</f>
        <v>0</v>
      </c>
      <c r="S47" s="119" t="n">
        <f aca="false">SUMIFS(tabela_registros[VALOR],tabela_registros[MÊS],$AE$1,tabela_registros[DIA],maitotal30597183[[#Headers],[15]],tabela_registros[REGISTRO],DADOS!$N$4,tabela_registros[TIPO],DADOS!$P$3,tabela_registros[CATEGORIA],despesafixaconsolidadomai[[#This Row],[DESPESA FIXA]])</f>
        <v>0</v>
      </c>
      <c r="T47" s="119" t="n">
        <f aca="false">SUMIFS(tabela_registros[VALOR],tabela_registros[MÊS],$AE$1,tabela_registros[DIA],maitotal30597183[[#Headers],[16]],tabela_registros[REGISTRO],DADOS!$N$4,tabela_registros[TIPO],DADOS!$P$3,tabela_registros[CATEGORIA],despesafixaconsolidadomai[[#This Row],[DESPESA FIXA]])</f>
        <v>0</v>
      </c>
      <c r="U47" s="119" t="n">
        <f aca="false">SUMIFS(tabela_registros[VALOR],tabela_registros[MÊS],$AE$1,tabela_registros[DIA],maitotal30597183[[#Headers],[17]],tabela_registros[REGISTRO],DADOS!$N$4,tabela_registros[TIPO],DADOS!$P$3,tabela_registros[CATEGORIA],despesafixaconsolidadomai[[#This Row],[DESPESA FIXA]])</f>
        <v>0</v>
      </c>
      <c r="V47" s="119" t="n">
        <f aca="false">SUMIFS(tabela_registros[VALOR],tabela_registros[MÊS],$AE$1,tabela_registros[DIA],maitotal30597183[[#Headers],[18]],tabela_registros[REGISTRO],DADOS!$N$4,tabela_registros[TIPO],DADOS!$P$3,tabela_registros[CATEGORIA],despesafixaconsolidadomai[[#This Row],[DESPESA FIXA]])</f>
        <v>0</v>
      </c>
      <c r="W47" s="119" t="n">
        <f aca="false">SUMIFS(tabela_registros[VALOR],tabela_registros[MÊS],$AE$1,tabela_registros[DIA],maitotal30597183[[#Headers],[19]],tabela_registros[REGISTRO],DADOS!$N$4,tabela_registros[TIPO],DADOS!$P$3,tabela_registros[CATEGORIA],despesafixaconsolidadomai[[#This Row],[DESPESA FIXA]])</f>
        <v>0</v>
      </c>
      <c r="X47" s="119" t="n">
        <f aca="false">SUMIFS(tabela_registros[VALOR],tabela_registros[MÊS],$AE$1,tabela_registros[DIA],maitotal30597183[[#Headers],[20]],tabela_registros[REGISTRO],DADOS!$N$4,tabela_registros[TIPO],DADOS!$P$3,tabela_registros[CATEGORIA],despesafixaconsolidadomai[[#This Row],[DESPESA FIXA]])</f>
        <v>0</v>
      </c>
      <c r="Y47" s="119" t="n">
        <f aca="false">SUMIFS(tabela_registros[VALOR],tabela_registros[MÊS],$AE$1,tabela_registros[DIA],maitotal30597183[[#Headers],[21]],tabela_registros[REGISTRO],DADOS!$N$4,tabela_registros[TIPO],DADOS!$P$3,tabela_registros[CATEGORIA],despesafixaconsolidadomai[[#This Row],[DESPESA FIXA]])</f>
        <v>0</v>
      </c>
      <c r="Z47" s="119" t="n">
        <f aca="false">SUMIFS(tabela_registros[VALOR],tabela_registros[MÊS],$AE$1,tabela_registros[DIA],maitotal30597183[[#Headers],[22]],tabela_registros[REGISTRO],DADOS!$N$4,tabela_registros[TIPO],DADOS!$P$3,tabela_registros[CATEGORIA],despesafixaconsolidadomai[[#This Row],[DESPESA FIXA]])</f>
        <v>0</v>
      </c>
      <c r="AA47" s="119" t="n">
        <f aca="false">SUMIFS(tabela_registros[VALOR],tabela_registros[MÊS],$AE$1,tabela_registros[DIA],maitotal30597183[[#Headers],[23]],tabela_registros[REGISTRO],DADOS!$N$4,tabela_registros[TIPO],DADOS!$P$3,tabela_registros[CATEGORIA],despesafixaconsolidadomai[[#This Row],[DESPESA FIXA]])</f>
        <v>0</v>
      </c>
      <c r="AB47" s="119" t="n">
        <f aca="false">SUMIFS(tabela_registros[VALOR],tabela_registros[MÊS],$AE$1,tabela_registros[DIA],maitotal30597183[[#Headers],[24]],tabela_registros[REGISTRO],DADOS!$N$4,tabela_registros[TIPO],DADOS!$P$3,tabela_registros[CATEGORIA],despesafixaconsolidadomai[[#This Row],[DESPESA FIXA]])</f>
        <v>0</v>
      </c>
      <c r="AC47" s="119" t="n">
        <f aca="false">SUMIFS(tabela_registros[VALOR],tabela_registros[MÊS],$AE$1,tabela_registros[DIA],maitotal30597183[[#Headers],[25]],tabela_registros[REGISTRO],DADOS!$N$4,tabela_registros[TIPO],DADOS!$P$3,tabela_registros[CATEGORIA],despesafixaconsolidadomai[[#This Row],[DESPESA FIXA]])</f>
        <v>0</v>
      </c>
      <c r="AD47" s="119" t="n">
        <f aca="false">SUMIFS(tabela_registros[VALOR],tabela_registros[MÊS],$AE$1,tabela_registros[DIA],maitotal30597183[[#Headers],[26]],tabela_registros[REGISTRO],DADOS!$N$4,tabela_registros[TIPO],DADOS!$P$3,tabela_registros[CATEGORIA],despesafixaconsolidadomai[[#This Row],[DESPESA FIXA]])</f>
        <v>0</v>
      </c>
      <c r="AE47" s="119" t="n">
        <f aca="false">SUMIFS(tabela_registros[VALOR],tabela_registros[MÊS],$AE$1,tabela_registros[DIA],maitotal30597183[[#Headers],[27]],tabela_registros[REGISTRO],DADOS!$N$4,tabela_registros[TIPO],DADOS!$P$3,tabela_registros[CATEGORIA],despesafixaconsolidadomai[[#This Row],[DESPESA FIXA]])</f>
        <v>0</v>
      </c>
      <c r="AF47" s="119" t="n">
        <f aca="false">SUMIFS(tabela_registros[VALOR],tabela_registros[MÊS],$AE$1,tabela_registros[DIA],maitotal30597183[[#Headers],[28]],tabela_registros[REGISTRO],DADOS!$N$4,tabela_registros[TIPO],DADOS!$P$3,tabela_registros[CATEGORIA],despesafixaconsolidadomai[[#This Row],[DESPESA FIXA]])</f>
        <v>0</v>
      </c>
      <c r="AG47" s="119" t="n">
        <f aca="false">SUMIFS(tabela_registros[VALOR],tabela_registros[MÊS],$AE$1,tabela_registros[DIA],maitotal30597183[[#Headers],[29]],tabela_registros[REGISTRO],DADOS!$N$4,tabela_registros[TIPO],DADOS!$P$3,tabela_registros[CATEGORIA],despesafixaconsolidadomai[[#This Row],[DESPESA FIXA]])</f>
        <v>0</v>
      </c>
      <c r="AH47" s="119" t="n">
        <f aca="false">SUMIFS(tabela_registros[VALOR],tabela_registros[MÊS],$AE$1,tabela_registros[DIA],maitotal30597183[[#Headers],[30]],tabela_registros[REGISTRO],DADOS!$N$4,tabela_registros[TIPO],DADOS!$P$3,tabela_registros[CATEGORIA],despesafixaconsolidadomai[[#This Row],[DESPESA FIXA]])</f>
        <v>0</v>
      </c>
      <c r="AI47" s="217" t="n">
        <f aca="false">SUMIFS(tabela_registros[VALOR],tabela_registros[MÊS],$AE$1,tabela_registros[DIA],maitotal30597183[[#Headers],[31]],tabela_registros[REGISTRO],DADOS!$N$4,tabela_registros[TIPO],DADOS!$P$3,tabela_registros[CATEGORIA],despesafixaconsolidadomai[[#This Row],[DESPESA FIXA]])</f>
        <v>0</v>
      </c>
      <c r="AJ47" s="149" t="n">
        <f aca="false">SUM(despesafixaconsolidadomai[[#This Row],[1]:[31]])</f>
        <v>0</v>
      </c>
      <c r="AK47" s="143"/>
    </row>
    <row r="48" customFormat="false" ht="18" hidden="false" customHeight="true" outlineLevel="0" collapsed="false">
      <c r="B48" s="143"/>
      <c r="C48" s="144" t="str">
        <f aca="false">DADOS!$R$14</f>
        <v>💊 SAÚDE</v>
      </c>
      <c r="D48" s="145" t="str">
        <f aca="false">IF(despesafixaconsolidadomai[[#This Row],[TOTAL]]=0,"",IF(OR(despesafixaconsolidadomai[[#This Row],[TOTAL]]=LARGE($AJ$37:$AJ$50,1),despesafixaconsolidadomai[[#This Row],[TOTAL]]=LARGE($AJ$37:$AJ$50,2),despesafixaconsolidadomai[[#This Row],[TOTAL]]=LARGE($AJ$37:$AJ$50,3),despesafixaconsolidadomai[[#This Row],[TOTAL]]=LARGE($AJ$37:$AJ$50,4),despesafixaconsolidadomai[[#This Row],[TOTAL]]=LARGE($AJ$37:$AJ$50,5)),DADOS!$I$8,""))</f>
        <v/>
      </c>
      <c r="E48" s="148" t="n">
        <f aca="false">SUMIFS(tabela_registros[VALOR],tabela_registros[MÊS],$AE$1,tabela_registros[DIA],maitotal30597183[[#Headers],[1]],tabela_registros[REGISTRO],DADOS!$N$4,tabela_registros[TIPO],DADOS!$P$3,tabela_registros[CATEGORIA],despesafixaconsolidadomai[[#This Row],[DESPESA FIXA]])</f>
        <v>0</v>
      </c>
      <c r="F48" s="119" t="n">
        <f aca="false">SUMIFS(tabela_registros[VALOR],tabela_registros[MÊS],$AE$1,tabela_registros[DIA],maitotal30597183[[#Headers],[2]],tabela_registros[REGISTRO],DADOS!$N$4,tabela_registros[TIPO],DADOS!$P$3,tabela_registros[CATEGORIA],despesafixaconsolidadomai[[#This Row],[DESPESA FIXA]])</f>
        <v>0</v>
      </c>
      <c r="G48" s="119" t="n">
        <f aca="false">SUMIFS(tabela_registros[VALOR],tabela_registros[MÊS],$AE$1,tabela_registros[DIA],maitotal30597183[[#Headers],[3]],tabela_registros[REGISTRO],DADOS!$N$4,tabela_registros[TIPO],DADOS!$P$3,tabela_registros[CATEGORIA],despesafixaconsolidadomai[[#This Row],[DESPESA FIXA]])</f>
        <v>0</v>
      </c>
      <c r="H48" s="119" t="n">
        <f aca="false">SUMIFS(tabela_registros[VALOR],tabela_registros[MÊS],$AE$1,tabela_registros[DIA],maitotal30597183[[#Headers],[4]],tabela_registros[REGISTRO],DADOS!$N$4,tabela_registros[TIPO],DADOS!$P$3,tabela_registros[CATEGORIA],despesafixaconsolidadomai[[#This Row],[DESPESA FIXA]])</f>
        <v>0</v>
      </c>
      <c r="I48" s="119" t="n">
        <f aca="false">SUMIFS(tabela_registros[VALOR],tabela_registros[MÊS],$AE$1,tabela_registros[DIA],maitotal30597183[[#Headers],[5]],tabela_registros[REGISTRO],DADOS!$N$4,tabela_registros[TIPO],DADOS!$P$3,tabela_registros[CATEGORIA],despesafixaconsolidadomai[[#This Row],[DESPESA FIXA]])</f>
        <v>0</v>
      </c>
      <c r="J48" s="119" t="n">
        <f aca="false">SUMIFS(tabela_registros[VALOR],tabela_registros[MÊS],$AE$1,tabela_registros[DIA],maitotal30597183[[#Headers],[6]],tabela_registros[REGISTRO],DADOS!$N$4,tabela_registros[TIPO],DADOS!$P$3,tabela_registros[CATEGORIA],despesafixaconsolidadomai[[#This Row],[DESPESA FIXA]])</f>
        <v>0</v>
      </c>
      <c r="K48" s="119" t="n">
        <f aca="false">SUMIFS(tabela_registros[VALOR],tabela_registros[MÊS],$AE$1,tabela_registros[DIA],maitotal30597183[[#Headers],[7]],tabela_registros[REGISTRO],DADOS!$N$4,tabela_registros[TIPO],DADOS!$P$3,tabela_registros[CATEGORIA],despesafixaconsolidadomai[[#This Row],[DESPESA FIXA]])</f>
        <v>0</v>
      </c>
      <c r="L48" s="119" t="n">
        <f aca="false">SUMIFS(tabela_registros[VALOR],tabela_registros[MÊS],$AE$1,tabela_registros[DIA],maitotal30597183[[#Headers],[8]],tabela_registros[REGISTRO],DADOS!$N$4,tabela_registros[TIPO],DADOS!$P$3,tabela_registros[CATEGORIA],despesafixaconsolidadomai[[#This Row],[DESPESA FIXA]])</f>
        <v>0</v>
      </c>
      <c r="M48" s="119" t="n">
        <f aca="false">SUMIFS(tabela_registros[VALOR],tabela_registros[MÊS],$AE$1,tabela_registros[DIA],maitotal30597183[[#Headers],[9]],tabela_registros[REGISTRO],DADOS!$N$4,tabela_registros[TIPO],DADOS!$P$3,tabela_registros[CATEGORIA],despesafixaconsolidadomai[[#This Row],[DESPESA FIXA]])</f>
        <v>0</v>
      </c>
      <c r="N48" s="119" t="n">
        <f aca="false">SUMIFS(tabela_registros[VALOR],tabela_registros[MÊS],$AE$1,tabela_registros[DIA],maitotal30597183[[#Headers],[10]],tabela_registros[REGISTRO],DADOS!$N$4,tabela_registros[TIPO],DADOS!$P$3,tabela_registros[CATEGORIA],despesafixaconsolidadomai[[#This Row],[DESPESA FIXA]])</f>
        <v>0</v>
      </c>
      <c r="O48" s="119" t="n">
        <f aca="false">SUMIFS(tabela_registros[VALOR],tabela_registros[MÊS],$AE$1,tabela_registros[DIA],maitotal30597183[[#Headers],[11]],tabela_registros[REGISTRO],DADOS!$N$4,tabela_registros[TIPO],DADOS!$P$3,tabela_registros[CATEGORIA],despesafixaconsolidadomai[[#This Row],[DESPESA FIXA]])</f>
        <v>0</v>
      </c>
      <c r="P48" s="119" t="n">
        <f aca="false">SUMIFS(tabela_registros[VALOR],tabela_registros[MÊS],$AE$1,tabela_registros[DIA],maitotal30597183[[#Headers],[12]],tabela_registros[REGISTRO],DADOS!$N$4,tabela_registros[TIPO],DADOS!$P$3,tabela_registros[CATEGORIA],despesafixaconsolidadomai[[#This Row],[DESPESA FIXA]])</f>
        <v>0</v>
      </c>
      <c r="Q48" s="119" t="n">
        <f aca="false">SUMIFS(tabela_registros[VALOR],tabela_registros[MÊS],$AE$1,tabela_registros[DIA],maitotal30597183[[#Headers],[13]],tabela_registros[REGISTRO],DADOS!$N$4,tabela_registros[TIPO],DADOS!$P$3,tabela_registros[CATEGORIA],despesafixaconsolidadomai[[#This Row],[DESPESA FIXA]])</f>
        <v>0</v>
      </c>
      <c r="R48" s="119" t="n">
        <f aca="false">SUMIFS(tabela_registros[VALOR],tabela_registros[MÊS],$AE$1,tabela_registros[DIA],maitotal30597183[[#Headers],[14]],tabela_registros[REGISTRO],DADOS!$N$4,tabela_registros[TIPO],DADOS!$P$3,tabela_registros[CATEGORIA],despesafixaconsolidadomai[[#This Row],[DESPESA FIXA]])</f>
        <v>0</v>
      </c>
      <c r="S48" s="119" t="n">
        <f aca="false">SUMIFS(tabela_registros[VALOR],tabela_registros[MÊS],$AE$1,tabela_registros[DIA],maitotal30597183[[#Headers],[15]],tabela_registros[REGISTRO],DADOS!$N$4,tabela_registros[TIPO],DADOS!$P$3,tabela_registros[CATEGORIA],despesafixaconsolidadomai[[#This Row],[DESPESA FIXA]])</f>
        <v>0</v>
      </c>
      <c r="T48" s="119" t="n">
        <f aca="false">SUMIFS(tabela_registros[VALOR],tabela_registros[MÊS],$AE$1,tabela_registros[DIA],maitotal30597183[[#Headers],[16]],tabela_registros[REGISTRO],DADOS!$N$4,tabela_registros[TIPO],DADOS!$P$3,tabela_registros[CATEGORIA],despesafixaconsolidadomai[[#This Row],[DESPESA FIXA]])</f>
        <v>0</v>
      </c>
      <c r="U48" s="119" t="n">
        <f aca="false">SUMIFS(tabela_registros[VALOR],tabela_registros[MÊS],$AE$1,tabela_registros[DIA],maitotal30597183[[#Headers],[17]],tabela_registros[REGISTRO],DADOS!$N$4,tabela_registros[TIPO],DADOS!$P$3,tabela_registros[CATEGORIA],despesafixaconsolidadomai[[#This Row],[DESPESA FIXA]])</f>
        <v>0</v>
      </c>
      <c r="V48" s="119" t="n">
        <f aca="false">SUMIFS(tabela_registros[VALOR],tabela_registros[MÊS],$AE$1,tabela_registros[DIA],maitotal30597183[[#Headers],[18]],tabela_registros[REGISTRO],DADOS!$N$4,tabela_registros[TIPO],DADOS!$P$3,tabela_registros[CATEGORIA],despesafixaconsolidadomai[[#This Row],[DESPESA FIXA]])</f>
        <v>0</v>
      </c>
      <c r="W48" s="119" t="n">
        <f aca="false">SUMIFS(tabela_registros[VALOR],tabela_registros[MÊS],$AE$1,tabela_registros[DIA],maitotal30597183[[#Headers],[19]],tabela_registros[REGISTRO],DADOS!$N$4,tabela_registros[TIPO],DADOS!$P$3,tabela_registros[CATEGORIA],despesafixaconsolidadomai[[#This Row],[DESPESA FIXA]])</f>
        <v>0</v>
      </c>
      <c r="X48" s="119" t="n">
        <f aca="false">SUMIFS(tabela_registros[VALOR],tabela_registros[MÊS],$AE$1,tabela_registros[DIA],maitotal30597183[[#Headers],[20]],tabela_registros[REGISTRO],DADOS!$N$4,tabela_registros[TIPO],DADOS!$P$3,tabela_registros[CATEGORIA],despesafixaconsolidadomai[[#This Row],[DESPESA FIXA]])</f>
        <v>0</v>
      </c>
      <c r="Y48" s="119" t="n">
        <f aca="false">SUMIFS(tabela_registros[VALOR],tabela_registros[MÊS],$AE$1,tabela_registros[DIA],maitotal30597183[[#Headers],[21]],tabela_registros[REGISTRO],DADOS!$N$4,tabela_registros[TIPO],DADOS!$P$3,tabela_registros[CATEGORIA],despesafixaconsolidadomai[[#This Row],[DESPESA FIXA]])</f>
        <v>0</v>
      </c>
      <c r="Z48" s="119" t="n">
        <f aca="false">SUMIFS(tabela_registros[VALOR],tabela_registros[MÊS],$AE$1,tabela_registros[DIA],maitotal30597183[[#Headers],[22]],tabela_registros[REGISTRO],DADOS!$N$4,tabela_registros[TIPO],DADOS!$P$3,tabela_registros[CATEGORIA],despesafixaconsolidadomai[[#This Row],[DESPESA FIXA]])</f>
        <v>0</v>
      </c>
      <c r="AA48" s="119" t="n">
        <f aca="false">SUMIFS(tabela_registros[VALOR],tabela_registros[MÊS],$AE$1,tabela_registros[DIA],maitotal30597183[[#Headers],[23]],tabela_registros[REGISTRO],DADOS!$N$4,tabela_registros[TIPO],DADOS!$P$3,tabela_registros[CATEGORIA],despesafixaconsolidadomai[[#This Row],[DESPESA FIXA]])</f>
        <v>0</v>
      </c>
      <c r="AB48" s="119" t="n">
        <f aca="false">SUMIFS(tabela_registros[VALOR],tabela_registros[MÊS],$AE$1,tabela_registros[DIA],maitotal30597183[[#Headers],[24]],tabela_registros[REGISTRO],DADOS!$N$4,tabela_registros[TIPO],DADOS!$P$3,tabela_registros[CATEGORIA],despesafixaconsolidadomai[[#This Row],[DESPESA FIXA]])</f>
        <v>0</v>
      </c>
      <c r="AC48" s="119" t="n">
        <f aca="false">SUMIFS(tabela_registros[VALOR],tabela_registros[MÊS],$AE$1,tabela_registros[DIA],maitotal30597183[[#Headers],[25]],tabela_registros[REGISTRO],DADOS!$N$4,tabela_registros[TIPO],DADOS!$P$3,tabela_registros[CATEGORIA],despesafixaconsolidadomai[[#This Row],[DESPESA FIXA]])</f>
        <v>0</v>
      </c>
      <c r="AD48" s="119" t="n">
        <f aca="false">SUMIFS(tabela_registros[VALOR],tabela_registros[MÊS],$AE$1,tabela_registros[DIA],maitotal30597183[[#Headers],[26]],tabela_registros[REGISTRO],DADOS!$N$4,tabela_registros[TIPO],DADOS!$P$3,tabela_registros[CATEGORIA],despesafixaconsolidadomai[[#This Row],[DESPESA FIXA]])</f>
        <v>0</v>
      </c>
      <c r="AE48" s="119" t="n">
        <f aca="false">SUMIFS(tabela_registros[VALOR],tabela_registros[MÊS],$AE$1,tabela_registros[DIA],maitotal30597183[[#Headers],[27]],tabela_registros[REGISTRO],DADOS!$N$4,tabela_registros[TIPO],DADOS!$P$3,tabela_registros[CATEGORIA],despesafixaconsolidadomai[[#This Row],[DESPESA FIXA]])</f>
        <v>0</v>
      </c>
      <c r="AF48" s="119" t="n">
        <f aca="false">SUMIFS(tabela_registros[VALOR],tabela_registros[MÊS],$AE$1,tabela_registros[DIA],maitotal30597183[[#Headers],[28]],tabela_registros[REGISTRO],DADOS!$N$4,tabela_registros[TIPO],DADOS!$P$3,tabela_registros[CATEGORIA],despesafixaconsolidadomai[[#This Row],[DESPESA FIXA]])</f>
        <v>0</v>
      </c>
      <c r="AG48" s="119" t="n">
        <f aca="false">SUMIFS(tabela_registros[VALOR],tabela_registros[MÊS],$AE$1,tabela_registros[DIA],maitotal30597183[[#Headers],[29]],tabela_registros[REGISTRO],DADOS!$N$4,tabela_registros[TIPO],DADOS!$P$3,tabela_registros[CATEGORIA],despesafixaconsolidadomai[[#This Row],[DESPESA FIXA]])</f>
        <v>0</v>
      </c>
      <c r="AH48" s="119" t="n">
        <f aca="false">SUMIFS(tabela_registros[VALOR],tabela_registros[MÊS],$AE$1,tabela_registros[DIA],maitotal30597183[[#Headers],[30]],tabela_registros[REGISTRO],DADOS!$N$4,tabela_registros[TIPO],DADOS!$P$3,tabela_registros[CATEGORIA],despesafixaconsolidadomai[[#This Row],[DESPESA FIXA]])</f>
        <v>0</v>
      </c>
      <c r="AI48" s="217" t="n">
        <f aca="false">SUMIFS(tabela_registros[VALOR],tabela_registros[MÊS],$AE$1,tabela_registros[DIA],maitotal30597183[[#Headers],[31]],tabela_registros[REGISTRO],DADOS!$N$4,tabela_registros[TIPO],DADOS!$P$3,tabela_registros[CATEGORIA],despesafixaconsolidadomai[[#This Row],[DESPESA FIXA]])</f>
        <v>0</v>
      </c>
      <c r="AJ48" s="149" t="n">
        <f aca="false">SUM(despesafixaconsolidadomai[[#This Row],[1]:[31]])</f>
        <v>0</v>
      </c>
      <c r="AK48" s="143"/>
    </row>
    <row r="49" customFormat="false" ht="18" hidden="false" customHeight="true" outlineLevel="0" collapsed="false">
      <c r="B49" s="143"/>
      <c r="C49" s="144" t="str">
        <f aca="false">DADOS!$R$15</f>
        <v>📞 TELEFONE</v>
      </c>
      <c r="D49" s="145" t="str">
        <f aca="false">IF(despesafixaconsolidadomai[[#This Row],[TOTAL]]=0,"",IF(OR(despesafixaconsolidadomai[[#This Row],[TOTAL]]=LARGE($AJ$37:$AJ$50,1),despesafixaconsolidadomai[[#This Row],[TOTAL]]=LARGE($AJ$37:$AJ$50,2),despesafixaconsolidadomai[[#This Row],[TOTAL]]=LARGE($AJ$37:$AJ$50,3),despesafixaconsolidadomai[[#This Row],[TOTAL]]=LARGE($AJ$37:$AJ$50,4),despesafixaconsolidadomai[[#This Row],[TOTAL]]=LARGE($AJ$37:$AJ$50,5)),DADOS!$I$8,""))</f>
        <v/>
      </c>
      <c r="E49" s="148" t="n">
        <f aca="false">SUMIFS(tabela_registros[VALOR],tabela_registros[MÊS],$AE$1,tabela_registros[DIA],maitotal30597183[[#Headers],[1]],tabela_registros[REGISTRO],DADOS!$N$4,tabela_registros[TIPO],DADOS!$P$3,tabela_registros[CATEGORIA],despesafixaconsolidadomai[[#This Row],[DESPESA FIXA]])</f>
        <v>0</v>
      </c>
      <c r="F49" s="119" t="n">
        <f aca="false">SUMIFS(tabela_registros[VALOR],tabela_registros[MÊS],$AE$1,tabela_registros[DIA],maitotal30597183[[#Headers],[2]],tabela_registros[REGISTRO],DADOS!$N$4,tabela_registros[TIPO],DADOS!$P$3,tabela_registros[CATEGORIA],despesafixaconsolidadomai[[#This Row],[DESPESA FIXA]])</f>
        <v>0</v>
      </c>
      <c r="G49" s="119" t="n">
        <f aca="false">SUMIFS(tabela_registros[VALOR],tabela_registros[MÊS],$AE$1,tabela_registros[DIA],maitotal30597183[[#Headers],[3]],tabela_registros[REGISTRO],DADOS!$N$4,tabela_registros[TIPO],DADOS!$P$3,tabela_registros[CATEGORIA],despesafixaconsolidadomai[[#This Row],[DESPESA FIXA]])</f>
        <v>0</v>
      </c>
      <c r="H49" s="119" t="n">
        <f aca="false">SUMIFS(tabela_registros[VALOR],tabela_registros[MÊS],$AE$1,tabela_registros[DIA],maitotal30597183[[#Headers],[4]],tabela_registros[REGISTRO],DADOS!$N$4,tabela_registros[TIPO],DADOS!$P$3,tabela_registros[CATEGORIA],despesafixaconsolidadomai[[#This Row],[DESPESA FIXA]])</f>
        <v>0</v>
      </c>
      <c r="I49" s="119" t="n">
        <f aca="false">SUMIFS(tabela_registros[VALOR],tabela_registros[MÊS],$AE$1,tabela_registros[DIA],maitotal30597183[[#Headers],[5]],tabela_registros[REGISTRO],DADOS!$N$4,tabela_registros[TIPO],DADOS!$P$3,tabela_registros[CATEGORIA],despesafixaconsolidadomai[[#This Row],[DESPESA FIXA]])</f>
        <v>0</v>
      </c>
      <c r="J49" s="119" t="n">
        <f aca="false">SUMIFS(tabela_registros[VALOR],tabela_registros[MÊS],$AE$1,tabela_registros[DIA],maitotal30597183[[#Headers],[6]],tabela_registros[REGISTRO],DADOS!$N$4,tabela_registros[TIPO],DADOS!$P$3,tabela_registros[CATEGORIA],despesafixaconsolidadomai[[#This Row],[DESPESA FIXA]])</f>
        <v>0</v>
      </c>
      <c r="K49" s="119" t="n">
        <f aca="false">SUMIFS(tabela_registros[VALOR],tabela_registros[MÊS],$AE$1,tabela_registros[DIA],maitotal30597183[[#Headers],[7]],tabela_registros[REGISTRO],DADOS!$N$4,tabela_registros[TIPO],DADOS!$P$3,tabela_registros[CATEGORIA],despesafixaconsolidadomai[[#This Row],[DESPESA FIXA]])</f>
        <v>0</v>
      </c>
      <c r="L49" s="119" t="n">
        <f aca="false">SUMIFS(tabela_registros[VALOR],tabela_registros[MÊS],$AE$1,tabela_registros[DIA],maitotal30597183[[#Headers],[8]],tabela_registros[REGISTRO],DADOS!$N$4,tabela_registros[TIPO],DADOS!$P$3,tabela_registros[CATEGORIA],despesafixaconsolidadomai[[#This Row],[DESPESA FIXA]])</f>
        <v>0</v>
      </c>
      <c r="M49" s="119" t="n">
        <f aca="false">SUMIFS(tabela_registros[VALOR],tabela_registros[MÊS],$AE$1,tabela_registros[DIA],maitotal30597183[[#Headers],[9]],tabela_registros[REGISTRO],DADOS!$N$4,tabela_registros[TIPO],DADOS!$P$3,tabela_registros[CATEGORIA],despesafixaconsolidadomai[[#This Row],[DESPESA FIXA]])</f>
        <v>0</v>
      </c>
      <c r="N49" s="119" t="n">
        <f aca="false">SUMIFS(tabela_registros[VALOR],tabela_registros[MÊS],$AE$1,tabela_registros[DIA],maitotal30597183[[#Headers],[10]],tabela_registros[REGISTRO],DADOS!$N$4,tabela_registros[TIPO],DADOS!$P$3,tabela_registros[CATEGORIA],despesafixaconsolidadomai[[#This Row],[DESPESA FIXA]])</f>
        <v>0</v>
      </c>
      <c r="O49" s="119" t="n">
        <f aca="false">SUMIFS(tabela_registros[VALOR],tabela_registros[MÊS],$AE$1,tabela_registros[DIA],maitotal30597183[[#Headers],[11]],tabela_registros[REGISTRO],DADOS!$N$4,tabela_registros[TIPO],DADOS!$P$3,tabela_registros[CATEGORIA],despesafixaconsolidadomai[[#This Row],[DESPESA FIXA]])</f>
        <v>0</v>
      </c>
      <c r="P49" s="119" t="n">
        <f aca="false">SUMIFS(tabela_registros[VALOR],tabela_registros[MÊS],$AE$1,tabela_registros[DIA],maitotal30597183[[#Headers],[12]],tabela_registros[REGISTRO],DADOS!$N$4,tabela_registros[TIPO],DADOS!$P$3,tabela_registros[CATEGORIA],despesafixaconsolidadomai[[#This Row],[DESPESA FIXA]])</f>
        <v>0</v>
      </c>
      <c r="Q49" s="119" t="n">
        <f aca="false">SUMIFS(tabela_registros[VALOR],tabela_registros[MÊS],$AE$1,tabela_registros[DIA],maitotal30597183[[#Headers],[13]],tabela_registros[REGISTRO],DADOS!$N$4,tabela_registros[TIPO],DADOS!$P$3,tabela_registros[CATEGORIA],despesafixaconsolidadomai[[#This Row],[DESPESA FIXA]])</f>
        <v>0</v>
      </c>
      <c r="R49" s="119" t="n">
        <f aca="false">SUMIFS(tabela_registros[VALOR],tabela_registros[MÊS],$AE$1,tabela_registros[DIA],maitotal30597183[[#Headers],[14]],tabela_registros[REGISTRO],DADOS!$N$4,tabela_registros[TIPO],DADOS!$P$3,tabela_registros[CATEGORIA],despesafixaconsolidadomai[[#This Row],[DESPESA FIXA]])</f>
        <v>0</v>
      </c>
      <c r="S49" s="119" t="n">
        <f aca="false">SUMIFS(tabela_registros[VALOR],tabela_registros[MÊS],$AE$1,tabela_registros[DIA],maitotal30597183[[#Headers],[15]],tabela_registros[REGISTRO],DADOS!$N$4,tabela_registros[TIPO],DADOS!$P$3,tabela_registros[CATEGORIA],despesafixaconsolidadomai[[#This Row],[DESPESA FIXA]])</f>
        <v>0</v>
      </c>
      <c r="T49" s="119" t="n">
        <f aca="false">SUMIFS(tabela_registros[VALOR],tabela_registros[MÊS],$AE$1,tabela_registros[DIA],maitotal30597183[[#Headers],[16]],tabela_registros[REGISTRO],DADOS!$N$4,tabela_registros[TIPO],DADOS!$P$3,tabela_registros[CATEGORIA],despesafixaconsolidadomai[[#This Row],[DESPESA FIXA]])</f>
        <v>0</v>
      </c>
      <c r="U49" s="119" t="n">
        <f aca="false">SUMIFS(tabela_registros[VALOR],tabela_registros[MÊS],$AE$1,tabela_registros[DIA],maitotal30597183[[#Headers],[17]],tabela_registros[REGISTRO],DADOS!$N$4,tabela_registros[TIPO],DADOS!$P$3,tabela_registros[CATEGORIA],despesafixaconsolidadomai[[#This Row],[DESPESA FIXA]])</f>
        <v>0</v>
      </c>
      <c r="V49" s="119" t="n">
        <f aca="false">SUMIFS(tabela_registros[VALOR],tabela_registros[MÊS],$AE$1,tabela_registros[DIA],maitotal30597183[[#Headers],[18]],tabela_registros[REGISTRO],DADOS!$N$4,tabela_registros[TIPO],DADOS!$P$3,tabela_registros[CATEGORIA],despesafixaconsolidadomai[[#This Row],[DESPESA FIXA]])</f>
        <v>0</v>
      </c>
      <c r="W49" s="119" t="n">
        <f aca="false">SUMIFS(tabela_registros[VALOR],tabela_registros[MÊS],$AE$1,tabela_registros[DIA],maitotal30597183[[#Headers],[19]],tabela_registros[REGISTRO],DADOS!$N$4,tabela_registros[TIPO],DADOS!$P$3,tabela_registros[CATEGORIA],despesafixaconsolidadomai[[#This Row],[DESPESA FIXA]])</f>
        <v>0</v>
      </c>
      <c r="X49" s="119" t="n">
        <f aca="false">SUMIFS(tabela_registros[VALOR],tabela_registros[MÊS],$AE$1,tabela_registros[DIA],maitotal30597183[[#Headers],[20]],tabela_registros[REGISTRO],DADOS!$N$4,tabela_registros[TIPO],DADOS!$P$3,tabela_registros[CATEGORIA],despesafixaconsolidadomai[[#This Row],[DESPESA FIXA]])</f>
        <v>0</v>
      </c>
      <c r="Y49" s="119" t="n">
        <f aca="false">SUMIFS(tabela_registros[VALOR],tabela_registros[MÊS],$AE$1,tabela_registros[DIA],maitotal30597183[[#Headers],[21]],tabela_registros[REGISTRO],DADOS!$N$4,tabela_registros[TIPO],DADOS!$P$3,tabela_registros[CATEGORIA],despesafixaconsolidadomai[[#This Row],[DESPESA FIXA]])</f>
        <v>0</v>
      </c>
      <c r="Z49" s="119" t="n">
        <f aca="false">SUMIFS(tabela_registros[VALOR],tabela_registros[MÊS],$AE$1,tabela_registros[DIA],maitotal30597183[[#Headers],[22]],tabela_registros[REGISTRO],DADOS!$N$4,tabela_registros[TIPO],DADOS!$P$3,tabela_registros[CATEGORIA],despesafixaconsolidadomai[[#This Row],[DESPESA FIXA]])</f>
        <v>0</v>
      </c>
      <c r="AA49" s="119" t="n">
        <f aca="false">SUMIFS(tabela_registros[VALOR],tabela_registros[MÊS],$AE$1,tabela_registros[DIA],maitotal30597183[[#Headers],[23]],tabela_registros[REGISTRO],DADOS!$N$4,tabela_registros[TIPO],DADOS!$P$3,tabela_registros[CATEGORIA],despesafixaconsolidadomai[[#This Row],[DESPESA FIXA]])</f>
        <v>0</v>
      </c>
      <c r="AB49" s="119" t="n">
        <f aca="false">SUMIFS(tabela_registros[VALOR],tabela_registros[MÊS],$AE$1,tabela_registros[DIA],maitotal30597183[[#Headers],[24]],tabela_registros[REGISTRO],DADOS!$N$4,tabela_registros[TIPO],DADOS!$P$3,tabela_registros[CATEGORIA],despesafixaconsolidadomai[[#This Row],[DESPESA FIXA]])</f>
        <v>0</v>
      </c>
      <c r="AC49" s="119" t="n">
        <f aca="false">SUMIFS(tabela_registros[VALOR],tabela_registros[MÊS],$AE$1,tabela_registros[DIA],maitotal30597183[[#Headers],[25]],tabela_registros[REGISTRO],DADOS!$N$4,tabela_registros[TIPO],DADOS!$P$3,tabela_registros[CATEGORIA],despesafixaconsolidadomai[[#This Row],[DESPESA FIXA]])</f>
        <v>0</v>
      </c>
      <c r="AD49" s="119" t="n">
        <f aca="false">SUMIFS(tabela_registros[VALOR],tabela_registros[MÊS],$AE$1,tabela_registros[DIA],maitotal30597183[[#Headers],[26]],tabela_registros[REGISTRO],DADOS!$N$4,tabela_registros[TIPO],DADOS!$P$3,tabela_registros[CATEGORIA],despesafixaconsolidadomai[[#This Row],[DESPESA FIXA]])</f>
        <v>0</v>
      </c>
      <c r="AE49" s="119" t="n">
        <f aca="false">SUMIFS(tabela_registros[VALOR],tabela_registros[MÊS],$AE$1,tabela_registros[DIA],maitotal30597183[[#Headers],[27]],tabela_registros[REGISTRO],DADOS!$N$4,tabela_registros[TIPO],DADOS!$P$3,tabela_registros[CATEGORIA],despesafixaconsolidadomai[[#This Row],[DESPESA FIXA]])</f>
        <v>0</v>
      </c>
      <c r="AF49" s="119" t="n">
        <f aca="false">SUMIFS(tabela_registros[VALOR],tabela_registros[MÊS],$AE$1,tabela_registros[DIA],maitotal30597183[[#Headers],[28]],tabela_registros[REGISTRO],DADOS!$N$4,tabela_registros[TIPO],DADOS!$P$3,tabela_registros[CATEGORIA],despesafixaconsolidadomai[[#This Row],[DESPESA FIXA]])</f>
        <v>0</v>
      </c>
      <c r="AG49" s="119" t="n">
        <f aca="false">SUMIFS(tabela_registros[VALOR],tabela_registros[MÊS],$AE$1,tabela_registros[DIA],maitotal30597183[[#Headers],[29]],tabela_registros[REGISTRO],DADOS!$N$4,tabela_registros[TIPO],DADOS!$P$3,tabela_registros[CATEGORIA],despesafixaconsolidadomai[[#This Row],[DESPESA FIXA]])</f>
        <v>0</v>
      </c>
      <c r="AH49" s="119" t="n">
        <f aca="false">SUMIFS(tabela_registros[VALOR],tabela_registros[MÊS],$AE$1,tabela_registros[DIA],maitotal30597183[[#Headers],[30]],tabela_registros[REGISTRO],DADOS!$N$4,tabela_registros[TIPO],DADOS!$P$3,tabela_registros[CATEGORIA],despesafixaconsolidadomai[[#This Row],[DESPESA FIXA]])</f>
        <v>0</v>
      </c>
      <c r="AI49" s="217" t="n">
        <f aca="false">SUMIFS(tabela_registros[VALOR],tabela_registros[MÊS],$AE$1,tabela_registros[DIA],maitotal30597183[[#Headers],[31]],tabela_registros[REGISTRO],DADOS!$N$4,tabela_registros[TIPO],DADOS!$P$3,tabela_registros[CATEGORIA],despesafixaconsolidadomai[[#This Row],[DESPESA FIXA]])</f>
        <v>0</v>
      </c>
      <c r="AJ49" s="149" t="n">
        <f aca="false">SUM(despesafixaconsolidadomai[[#This Row],[1]:[31]])</f>
        <v>0</v>
      </c>
      <c r="AK49" s="143"/>
    </row>
    <row r="50" customFormat="false" ht="18" hidden="false" customHeight="true" outlineLevel="0" collapsed="false">
      <c r="B50" s="143"/>
      <c r="C50" s="144" t="str">
        <f aca="false">DADOS!$R$16</f>
        <v>📎 OUTROS</v>
      </c>
      <c r="D50" s="145" t="str">
        <f aca="false">IF(despesafixaconsolidadomai[[#This Row],[TOTAL]]=0,"",IF(OR(despesafixaconsolidadomai[[#This Row],[TOTAL]]=LARGE($AJ$37:$AJ$50,1),despesafixaconsolidadomai[[#This Row],[TOTAL]]=LARGE($AJ$37:$AJ$50,2),despesafixaconsolidadomai[[#This Row],[TOTAL]]=LARGE($AJ$37:$AJ$50,3),despesafixaconsolidadomai[[#This Row],[TOTAL]]=LARGE($AJ$37:$AJ$50,4),despesafixaconsolidadomai[[#This Row],[TOTAL]]=LARGE($AJ$37:$AJ$50,5)),DADOS!$I$8,""))</f>
        <v/>
      </c>
      <c r="E50" s="150" t="n">
        <f aca="false">SUMIFS(tabela_registros[VALOR],tabela_registros[MÊS],$AE$1,tabela_registros[DIA],maitotal30597183[[#Headers],[1]],tabela_registros[REGISTRO],DADOS!$N$4,tabela_registros[TIPO],DADOS!$P$3,tabela_registros[CATEGORIA],despesafixaconsolidadomai[[#This Row],[DESPESA FIXA]])</f>
        <v>0</v>
      </c>
      <c r="F50" s="151" t="n">
        <f aca="false">SUMIFS(tabela_registros[VALOR],tabela_registros[MÊS],$AE$1,tabela_registros[DIA],maitotal30597183[[#Headers],[2]],tabela_registros[REGISTRO],DADOS!$N$4,tabela_registros[TIPO],DADOS!$P$3,tabela_registros[CATEGORIA],despesafixaconsolidadomai[[#This Row],[DESPESA FIXA]])</f>
        <v>0</v>
      </c>
      <c r="G50" s="151" t="n">
        <f aca="false">SUMIFS(tabela_registros[VALOR],tabela_registros[MÊS],$AE$1,tabela_registros[DIA],maitotal30597183[[#Headers],[3]],tabela_registros[REGISTRO],DADOS!$N$4,tabela_registros[TIPO],DADOS!$P$3,tabela_registros[CATEGORIA],despesafixaconsolidadomai[[#This Row],[DESPESA FIXA]])</f>
        <v>0</v>
      </c>
      <c r="H50" s="151" t="n">
        <f aca="false">SUMIFS(tabela_registros[VALOR],tabela_registros[MÊS],$AE$1,tabela_registros[DIA],maitotal30597183[[#Headers],[4]],tabela_registros[REGISTRO],DADOS!$N$4,tabela_registros[TIPO],DADOS!$P$3,tabela_registros[CATEGORIA],despesafixaconsolidadomai[[#This Row],[DESPESA FIXA]])</f>
        <v>0</v>
      </c>
      <c r="I50" s="151" t="n">
        <f aca="false">SUMIFS(tabela_registros[VALOR],tabela_registros[MÊS],$AE$1,tabela_registros[DIA],maitotal30597183[[#Headers],[5]],tabela_registros[REGISTRO],DADOS!$N$4,tabela_registros[TIPO],DADOS!$P$3,tabela_registros[CATEGORIA],despesafixaconsolidadomai[[#This Row],[DESPESA FIXA]])</f>
        <v>0</v>
      </c>
      <c r="J50" s="151" t="n">
        <f aca="false">SUMIFS(tabela_registros[VALOR],tabela_registros[MÊS],$AE$1,tabela_registros[DIA],maitotal30597183[[#Headers],[6]],tabela_registros[REGISTRO],DADOS!$N$4,tabela_registros[TIPO],DADOS!$P$3,tabela_registros[CATEGORIA],despesafixaconsolidadomai[[#This Row],[DESPESA FIXA]])</f>
        <v>0</v>
      </c>
      <c r="K50" s="151" t="n">
        <f aca="false">SUMIFS(tabela_registros[VALOR],tabela_registros[MÊS],$AE$1,tabela_registros[DIA],maitotal30597183[[#Headers],[7]],tabela_registros[REGISTRO],DADOS!$N$4,tabela_registros[TIPO],DADOS!$P$3,tabela_registros[CATEGORIA],despesafixaconsolidadomai[[#This Row],[DESPESA FIXA]])</f>
        <v>0</v>
      </c>
      <c r="L50" s="151" t="n">
        <f aca="false">SUMIFS(tabela_registros[VALOR],tabela_registros[MÊS],$AE$1,tabela_registros[DIA],maitotal30597183[[#Headers],[8]],tabela_registros[REGISTRO],DADOS!$N$4,tabela_registros[TIPO],DADOS!$P$3,tabela_registros[CATEGORIA],despesafixaconsolidadomai[[#This Row],[DESPESA FIXA]])</f>
        <v>0</v>
      </c>
      <c r="M50" s="151" t="n">
        <f aca="false">SUMIFS(tabela_registros[VALOR],tabela_registros[MÊS],$AE$1,tabela_registros[DIA],maitotal30597183[[#Headers],[9]],tabela_registros[REGISTRO],DADOS!$N$4,tabela_registros[TIPO],DADOS!$P$3,tabela_registros[CATEGORIA],despesafixaconsolidadomai[[#This Row],[DESPESA FIXA]])</f>
        <v>0</v>
      </c>
      <c r="N50" s="151" t="n">
        <f aca="false">SUMIFS(tabela_registros[VALOR],tabela_registros[MÊS],$AE$1,tabela_registros[DIA],maitotal30597183[[#Headers],[10]],tabela_registros[REGISTRO],DADOS!$N$4,tabela_registros[TIPO],DADOS!$P$3,tabela_registros[CATEGORIA],despesafixaconsolidadomai[[#This Row],[DESPESA FIXA]])</f>
        <v>0</v>
      </c>
      <c r="O50" s="151" t="n">
        <f aca="false">SUMIFS(tabela_registros[VALOR],tabela_registros[MÊS],$AE$1,tabela_registros[DIA],maitotal30597183[[#Headers],[11]],tabela_registros[REGISTRO],DADOS!$N$4,tabela_registros[TIPO],DADOS!$P$3,tabela_registros[CATEGORIA],despesafixaconsolidadomai[[#This Row],[DESPESA FIXA]])</f>
        <v>0</v>
      </c>
      <c r="P50" s="151" t="n">
        <f aca="false">SUMIFS(tabela_registros[VALOR],tabela_registros[MÊS],$AE$1,tabela_registros[DIA],maitotal30597183[[#Headers],[12]],tabela_registros[REGISTRO],DADOS!$N$4,tabela_registros[TIPO],DADOS!$P$3,tabela_registros[CATEGORIA],despesafixaconsolidadomai[[#This Row],[DESPESA FIXA]])</f>
        <v>0</v>
      </c>
      <c r="Q50" s="151" t="n">
        <f aca="false">SUMIFS(tabela_registros[VALOR],tabela_registros[MÊS],$AE$1,tabela_registros[DIA],maitotal30597183[[#Headers],[13]],tabela_registros[REGISTRO],DADOS!$N$4,tabela_registros[TIPO],DADOS!$P$3,tabela_registros[CATEGORIA],despesafixaconsolidadomai[[#This Row],[DESPESA FIXA]])</f>
        <v>0</v>
      </c>
      <c r="R50" s="151" t="n">
        <f aca="false">SUMIFS(tabela_registros[VALOR],tabela_registros[MÊS],$AE$1,tabela_registros[DIA],maitotal30597183[[#Headers],[14]],tabela_registros[REGISTRO],DADOS!$N$4,tabela_registros[TIPO],DADOS!$P$3,tabela_registros[CATEGORIA],despesafixaconsolidadomai[[#This Row],[DESPESA FIXA]])</f>
        <v>0</v>
      </c>
      <c r="S50" s="151" t="n">
        <f aca="false">SUMIFS(tabela_registros[VALOR],tabela_registros[MÊS],$AE$1,tabela_registros[DIA],maitotal30597183[[#Headers],[15]],tabela_registros[REGISTRO],DADOS!$N$4,tabela_registros[TIPO],DADOS!$P$3,tabela_registros[CATEGORIA],despesafixaconsolidadomai[[#This Row],[DESPESA FIXA]])</f>
        <v>0</v>
      </c>
      <c r="T50" s="151" t="n">
        <f aca="false">SUMIFS(tabela_registros[VALOR],tabela_registros[MÊS],$AE$1,tabela_registros[DIA],maitotal30597183[[#Headers],[16]],tabela_registros[REGISTRO],DADOS!$N$4,tabela_registros[TIPO],DADOS!$P$3,tabela_registros[CATEGORIA],despesafixaconsolidadomai[[#This Row],[DESPESA FIXA]])</f>
        <v>0</v>
      </c>
      <c r="U50" s="151" t="n">
        <f aca="false">SUMIFS(tabela_registros[VALOR],tabela_registros[MÊS],$AE$1,tabela_registros[DIA],maitotal30597183[[#Headers],[17]],tabela_registros[REGISTRO],DADOS!$N$4,tabela_registros[TIPO],DADOS!$P$3,tabela_registros[CATEGORIA],despesafixaconsolidadomai[[#This Row],[DESPESA FIXA]])</f>
        <v>0</v>
      </c>
      <c r="V50" s="151" t="n">
        <f aca="false">SUMIFS(tabela_registros[VALOR],tabela_registros[MÊS],$AE$1,tabela_registros[DIA],maitotal30597183[[#Headers],[18]],tabela_registros[REGISTRO],DADOS!$N$4,tabela_registros[TIPO],DADOS!$P$3,tabela_registros[CATEGORIA],despesafixaconsolidadomai[[#This Row],[DESPESA FIXA]])</f>
        <v>0</v>
      </c>
      <c r="W50" s="151" t="n">
        <f aca="false">SUMIFS(tabela_registros[VALOR],tabela_registros[MÊS],$AE$1,tabela_registros[DIA],maitotal30597183[[#Headers],[19]],tabela_registros[REGISTRO],DADOS!$N$4,tabela_registros[TIPO],DADOS!$P$3,tabela_registros[CATEGORIA],despesafixaconsolidadomai[[#This Row],[DESPESA FIXA]])</f>
        <v>0</v>
      </c>
      <c r="X50" s="151" t="n">
        <f aca="false">SUMIFS(tabela_registros[VALOR],tabela_registros[MÊS],$AE$1,tabela_registros[DIA],maitotal30597183[[#Headers],[20]],tabela_registros[REGISTRO],DADOS!$N$4,tabela_registros[TIPO],DADOS!$P$3,tabela_registros[CATEGORIA],despesafixaconsolidadomai[[#This Row],[DESPESA FIXA]])</f>
        <v>0</v>
      </c>
      <c r="Y50" s="151" t="n">
        <f aca="false">SUMIFS(tabela_registros[VALOR],tabela_registros[MÊS],$AE$1,tabela_registros[DIA],maitotal30597183[[#Headers],[21]],tabela_registros[REGISTRO],DADOS!$N$4,tabela_registros[TIPO],DADOS!$P$3,tabela_registros[CATEGORIA],despesafixaconsolidadomai[[#This Row],[DESPESA FIXA]])</f>
        <v>0</v>
      </c>
      <c r="Z50" s="151" t="n">
        <f aca="false">SUMIFS(tabela_registros[VALOR],tabela_registros[MÊS],$AE$1,tabela_registros[DIA],maitotal30597183[[#Headers],[22]],tabela_registros[REGISTRO],DADOS!$N$4,tabela_registros[TIPO],DADOS!$P$3,tabela_registros[CATEGORIA],despesafixaconsolidadomai[[#This Row],[DESPESA FIXA]])</f>
        <v>0</v>
      </c>
      <c r="AA50" s="151" t="n">
        <f aca="false">SUMIFS(tabela_registros[VALOR],tabela_registros[MÊS],$AE$1,tabela_registros[DIA],maitotal30597183[[#Headers],[23]],tabela_registros[REGISTRO],DADOS!$N$4,tabela_registros[TIPO],DADOS!$P$3,tabela_registros[CATEGORIA],despesafixaconsolidadomai[[#This Row],[DESPESA FIXA]])</f>
        <v>0</v>
      </c>
      <c r="AB50" s="151" t="n">
        <f aca="false">SUMIFS(tabela_registros[VALOR],tabela_registros[MÊS],$AE$1,tabela_registros[DIA],maitotal30597183[[#Headers],[24]],tabela_registros[REGISTRO],DADOS!$N$4,tabela_registros[TIPO],DADOS!$P$3,tabela_registros[CATEGORIA],despesafixaconsolidadomai[[#This Row],[DESPESA FIXA]])</f>
        <v>0</v>
      </c>
      <c r="AC50" s="151" t="n">
        <f aca="false">SUMIFS(tabela_registros[VALOR],tabela_registros[MÊS],$AE$1,tabela_registros[DIA],maitotal30597183[[#Headers],[25]],tabela_registros[REGISTRO],DADOS!$N$4,tabela_registros[TIPO],DADOS!$P$3,tabela_registros[CATEGORIA],despesafixaconsolidadomai[[#This Row],[DESPESA FIXA]])</f>
        <v>0</v>
      </c>
      <c r="AD50" s="151" t="n">
        <f aca="false">SUMIFS(tabela_registros[VALOR],tabela_registros[MÊS],$AE$1,tabela_registros[DIA],maitotal30597183[[#Headers],[26]],tabela_registros[REGISTRO],DADOS!$N$4,tabela_registros[TIPO],DADOS!$P$3,tabela_registros[CATEGORIA],despesafixaconsolidadomai[[#This Row],[DESPESA FIXA]])</f>
        <v>0</v>
      </c>
      <c r="AE50" s="151" t="n">
        <f aca="false">SUMIFS(tabela_registros[VALOR],tabela_registros[MÊS],$AE$1,tabela_registros[DIA],maitotal30597183[[#Headers],[27]],tabela_registros[REGISTRO],DADOS!$N$4,tabela_registros[TIPO],DADOS!$P$3,tabela_registros[CATEGORIA],despesafixaconsolidadomai[[#This Row],[DESPESA FIXA]])</f>
        <v>0</v>
      </c>
      <c r="AF50" s="151" t="n">
        <f aca="false">SUMIFS(tabela_registros[VALOR],tabela_registros[MÊS],$AE$1,tabela_registros[DIA],maitotal30597183[[#Headers],[28]],tabela_registros[REGISTRO],DADOS!$N$4,tabela_registros[TIPO],DADOS!$P$3,tabela_registros[CATEGORIA],despesafixaconsolidadomai[[#This Row],[DESPESA FIXA]])</f>
        <v>0</v>
      </c>
      <c r="AG50" s="151" t="n">
        <f aca="false">SUMIFS(tabela_registros[VALOR],tabela_registros[MÊS],$AE$1,tabela_registros[DIA],maitotal30597183[[#Headers],[29]],tabela_registros[REGISTRO],DADOS!$N$4,tabela_registros[TIPO],DADOS!$P$3,tabela_registros[CATEGORIA],despesafixaconsolidadomai[[#This Row],[DESPESA FIXA]])</f>
        <v>0</v>
      </c>
      <c r="AH50" s="151" t="n">
        <f aca="false">SUMIFS(tabela_registros[VALOR],tabela_registros[MÊS],$AE$1,tabela_registros[DIA],maitotal30597183[[#Headers],[30]],tabela_registros[REGISTRO],DADOS!$N$4,tabela_registros[TIPO],DADOS!$P$3,tabela_registros[CATEGORIA],despesafixaconsolidadomai[[#This Row],[DESPESA FIXA]])</f>
        <v>0</v>
      </c>
      <c r="AI50" s="218" t="n">
        <f aca="false">SUMIFS(tabela_registros[VALOR],tabela_registros[MÊS],$AE$1,tabela_registros[DIA],maitotal30597183[[#Headers],[31]],tabela_registros[REGISTRO],DADOS!$N$4,tabela_registros[TIPO],DADOS!$P$3,tabela_registros[CATEGORIA],despesafixaconsolidadomai[[#This Row],[DESPESA FIXA]])</f>
        <v>0</v>
      </c>
      <c r="AJ50" s="219" t="n">
        <f aca="false">SUM(despesafixaconsolidadomai[[#This Row],[1]:[31]])</f>
        <v>0</v>
      </c>
      <c r="AK50" s="143"/>
    </row>
    <row r="51" s="122" customFormat="true" ht="21" hidden="false" customHeight="true" outlineLevel="0" collapsed="false">
      <c r="B51" s="152"/>
      <c r="C51" s="153" t="s">
        <v>2</v>
      </c>
      <c r="D51" s="154" t="str">
        <f aca="false">IF(despesafixaconsolidadomai[[#This Row],[TOTAL]]=0,"",IF(OR(despesafixaconsolidadomai[[#This Row],[TOTAL]]=SMALL($AJ$37:$AJ$50,1),despesafixaconsolidadomai[[#This Row],[TOTAL]]=SMALL($AJ$37:$AJ$50,2),despesafixaconsolidadomai[[#This Row],[TOTAL]]=SMALL($AJ$37:$AJ$50,3),despesafixaconsolidadomai[[#This Row],[TOTAL]]=SMALL($AJ$37:$AJ$50,4),despesafixaconsolidadomai[[#This Row],[TOTAL]]=SMALL($AJ$37:$AJ$50,5)),DADOS!$I$8,""))</f>
        <v/>
      </c>
      <c r="E51" s="155" t="n">
        <f aca="false">SUM(E37:E50)</f>
        <v>0</v>
      </c>
      <c r="F51" s="156" t="n">
        <f aca="false">SUM(F37:F50)+despesafixaconsolidadomai[[#This Row],[1]]</f>
        <v>0</v>
      </c>
      <c r="G51" s="156" t="n">
        <f aca="false">SUM(G37:G50)+despesafixaconsolidadomai[[#This Row],[2]]</f>
        <v>0</v>
      </c>
      <c r="H51" s="156" t="n">
        <f aca="false">SUM(H37:H50)+despesafixaconsolidadomai[[#This Row],[3]]</f>
        <v>0</v>
      </c>
      <c r="I51" s="156" t="n">
        <f aca="false">SUM(I37:I50)+despesafixaconsolidadomai[[#This Row],[4]]</f>
        <v>0</v>
      </c>
      <c r="J51" s="156" t="n">
        <f aca="false">SUM(J37:J50)+despesafixaconsolidadomai[[#This Row],[5]]</f>
        <v>0</v>
      </c>
      <c r="K51" s="156" t="n">
        <f aca="false">SUM(K37:K50)+despesafixaconsolidadomai[[#This Row],[6]]</f>
        <v>0</v>
      </c>
      <c r="L51" s="156" t="n">
        <f aca="false">SUM(L37:L50)+despesafixaconsolidadomai[[#This Row],[7]]</f>
        <v>0</v>
      </c>
      <c r="M51" s="156" t="n">
        <f aca="false">SUM(M37:M50)+despesafixaconsolidadomai[[#This Row],[8]]</f>
        <v>0</v>
      </c>
      <c r="N51" s="156" t="n">
        <f aca="false">SUM(N37:N50)+despesafixaconsolidadomai[[#This Row],[9]]</f>
        <v>0</v>
      </c>
      <c r="O51" s="156" t="n">
        <f aca="false">SUM(O37:O50)+despesafixaconsolidadomai[[#This Row],[10]]</f>
        <v>0</v>
      </c>
      <c r="P51" s="156" t="n">
        <f aca="false">SUM(P37:P50)+despesafixaconsolidadomai[[#This Row],[11]]</f>
        <v>0</v>
      </c>
      <c r="Q51" s="156" t="n">
        <f aca="false">SUM(Q37:Q50)+despesafixaconsolidadomai[[#This Row],[12]]</f>
        <v>0</v>
      </c>
      <c r="R51" s="156" t="n">
        <f aca="false">SUM(R37:R50)+despesafixaconsolidadomai[[#This Row],[13]]</f>
        <v>0</v>
      </c>
      <c r="S51" s="156" t="n">
        <f aca="false">SUM(S37:S50)+despesafixaconsolidadomai[[#This Row],[14]]</f>
        <v>0</v>
      </c>
      <c r="T51" s="156" t="n">
        <f aca="false">SUM(T37:T50)+despesafixaconsolidadomai[[#This Row],[15]]</f>
        <v>0</v>
      </c>
      <c r="U51" s="156" t="n">
        <f aca="false">SUM(U37:U50)+despesafixaconsolidadomai[[#This Row],[16]]</f>
        <v>0</v>
      </c>
      <c r="V51" s="156" t="n">
        <f aca="false">SUM(V37:V50)+despesafixaconsolidadomai[[#This Row],[17]]</f>
        <v>0</v>
      </c>
      <c r="W51" s="156" t="n">
        <f aca="false">SUM(W37:W50)+despesafixaconsolidadomai[[#This Row],[18]]</f>
        <v>0</v>
      </c>
      <c r="X51" s="156" t="n">
        <f aca="false">SUM(X37:X50)+despesafixaconsolidadomai[[#This Row],[19]]</f>
        <v>0</v>
      </c>
      <c r="Y51" s="156" t="n">
        <f aca="false">SUM(Y37:Y50)+despesafixaconsolidadomai[[#This Row],[20]]</f>
        <v>0</v>
      </c>
      <c r="Z51" s="156" t="n">
        <f aca="false">SUM(Z37:Z50)+despesafixaconsolidadomai[[#This Row],[21]]</f>
        <v>0</v>
      </c>
      <c r="AA51" s="156" t="n">
        <f aca="false">SUM(AA37:AA50)+despesafixaconsolidadomai[[#This Row],[22]]</f>
        <v>0</v>
      </c>
      <c r="AB51" s="156" t="n">
        <f aca="false">SUM(AB37:AB50)+despesafixaconsolidadomai[[#This Row],[23]]</f>
        <v>0</v>
      </c>
      <c r="AC51" s="156" t="n">
        <f aca="false">SUM(AC37:AC50)+despesafixaconsolidadomai[[#This Row],[24]]</f>
        <v>0</v>
      </c>
      <c r="AD51" s="156" t="n">
        <f aca="false">SUM(AD37:AD50)+despesafixaconsolidadomai[[#This Row],[25]]</f>
        <v>0</v>
      </c>
      <c r="AE51" s="156" t="n">
        <f aca="false">SUM(AE37:AE50)+despesafixaconsolidadomai[[#This Row],[26]]</f>
        <v>0</v>
      </c>
      <c r="AF51" s="156" t="n">
        <f aca="false">SUM(AF37:AF50)+despesafixaconsolidadomai[[#This Row],[27]]</f>
        <v>0</v>
      </c>
      <c r="AG51" s="156" t="n">
        <f aca="false">SUM(AG37:AG50)+despesafixaconsolidadomai[[#This Row],[28]]</f>
        <v>0</v>
      </c>
      <c r="AH51" s="156" t="n">
        <f aca="false">SUM(AH37:AH50)+despesafixaconsolidadomai[[#This Row],[29]]</f>
        <v>0</v>
      </c>
      <c r="AI51" s="223" t="n">
        <f aca="false">SUM(AI37:AI50)+despesafixaconsolidadomai[[#This Row],[30]]</f>
        <v>0</v>
      </c>
      <c r="AJ51" s="157" t="n">
        <f aca="false">despesafixaconsolidadomai[[#This Row],[31]]</f>
        <v>0</v>
      </c>
      <c r="AK51" s="158"/>
    </row>
    <row r="52" customFormat="false" ht="6.75" hidden="false" customHeight="true" outlineLevel="0" collapsed="false">
      <c r="B52" s="97"/>
      <c r="C52" s="159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227"/>
      <c r="AJ52" s="97"/>
      <c r="AK52" s="244"/>
    </row>
    <row r="53" customFormat="false" ht="12.75" hidden="false" customHeight="false" outlineLevel="0" collapsed="false">
      <c r="C53" s="133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K53" s="100"/>
    </row>
    <row r="54" customFormat="false" ht="12" hidden="false" customHeight="false" outlineLevel="0" collapsed="false">
      <c r="C54" s="133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</row>
    <row r="55" customFormat="false" ht="12" hidden="false" customHeight="false" outlineLevel="0" collapsed="false">
      <c r="C55" s="133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</row>
    <row r="56" customFormat="false" ht="39.75" hidden="false" customHeight="true" outlineLevel="0" collapsed="false">
      <c r="C56" s="133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3" t="s">
        <v>2</v>
      </c>
    </row>
    <row r="57" s="78" customFormat="true" ht="11.25" hidden="false" customHeight="true" outlineLevel="0" collapsed="false">
      <c r="C57" s="101"/>
      <c r="AJ57" s="106" t="s">
        <v>64</v>
      </c>
    </row>
    <row r="58" customFormat="false" ht="6.75" hidden="false" customHeight="true" outlineLevel="0" collapsed="false">
      <c r="B58" s="139"/>
      <c r="C58" s="140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212"/>
      <c r="AK58" s="139"/>
    </row>
    <row r="59" customFormat="false" ht="12.75" hidden="true" customHeight="false" outlineLevel="0" collapsed="false">
      <c r="B59" s="86"/>
      <c r="C59" s="109" t="s">
        <v>79</v>
      </c>
      <c r="D59" s="110" t="s">
        <v>69</v>
      </c>
      <c r="E59" s="110" t="s">
        <v>30</v>
      </c>
      <c r="F59" s="110" t="s">
        <v>31</v>
      </c>
      <c r="G59" s="110" t="s">
        <v>32</v>
      </c>
      <c r="H59" s="110" t="s">
        <v>33</v>
      </c>
      <c r="I59" s="110" t="s">
        <v>34</v>
      </c>
      <c r="J59" s="110" t="s">
        <v>35</v>
      </c>
      <c r="K59" s="110" t="s">
        <v>36</v>
      </c>
      <c r="L59" s="110" t="s">
        <v>37</v>
      </c>
      <c r="M59" s="110" t="s">
        <v>38</v>
      </c>
      <c r="N59" s="110" t="s">
        <v>39</v>
      </c>
      <c r="O59" s="110" t="s">
        <v>40</v>
      </c>
      <c r="P59" s="110" t="s">
        <v>41</v>
      </c>
      <c r="Q59" s="110" t="s">
        <v>81</v>
      </c>
      <c r="R59" s="110" t="s">
        <v>82</v>
      </c>
      <c r="S59" s="110" t="s">
        <v>83</v>
      </c>
      <c r="T59" s="110" t="s">
        <v>84</v>
      </c>
      <c r="U59" s="110" t="s">
        <v>85</v>
      </c>
      <c r="V59" s="110" t="s">
        <v>86</v>
      </c>
      <c r="W59" s="110" t="s">
        <v>87</v>
      </c>
      <c r="X59" s="110" t="s">
        <v>88</v>
      </c>
      <c r="Y59" s="110" t="s">
        <v>89</v>
      </c>
      <c r="Z59" s="110" t="s">
        <v>90</v>
      </c>
      <c r="AA59" s="110" t="s">
        <v>91</v>
      </c>
      <c r="AB59" s="110" t="s">
        <v>92</v>
      </c>
      <c r="AC59" s="110" t="s">
        <v>93</v>
      </c>
      <c r="AD59" s="110" t="s">
        <v>94</v>
      </c>
      <c r="AE59" s="110" t="s">
        <v>95</v>
      </c>
      <c r="AF59" s="110" t="s">
        <v>96</v>
      </c>
      <c r="AG59" s="110" t="s">
        <v>97</v>
      </c>
      <c r="AH59" s="110" t="s">
        <v>98</v>
      </c>
      <c r="AI59" s="110" t="s">
        <v>99</v>
      </c>
      <c r="AJ59" s="142" t="s">
        <v>2</v>
      </c>
      <c r="AK59" s="86" t="s">
        <v>75</v>
      </c>
    </row>
    <row r="60" customFormat="false" ht="19.5" hidden="false" customHeight="true" outlineLevel="0" collapsed="false">
      <c r="B60" s="143"/>
      <c r="C60" s="144" t="str">
        <f aca="false">DADOS!$T$3</f>
        <v>🍕 ALIMENTAÇÃO</v>
      </c>
      <c r="D60" s="145" t="str">
        <f aca="false">IF(despesavariávelconsolidadomai[[#This Row],[TOTAL]]=0,"",IF(OR(despesavariávelconsolidadomai[[#This Row],[TOTAL]]=LARGE($AJ$60:$AJ$72,1),despesavariávelconsolidadomai[[#This Row],[TOTAL]]=LARGE($AJ$60:$AJ$72,2),despesavariávelconsolidadomai[[#This Row],[TOTAL]]=LARGE($AJ$60:$AJ$72,3),despesavariávelconsolidadomai[[#This Row],[TOTAL]]=LARGE($AJ$60:$AJ$72,4),despesavariávelconsolidadomai[[#This Row],[TOTAL]]=LARGE($AJ$60:$AJ$72,5)),DADOS!$I$8,""))</f>
        <v/>
      </c>
      <c r="E60" s="146" t="n">
        <f aca="false">SUMIFS(tabela_registros[VALOR],tabela_registros[MÊS],$AE$1,tabela_registros[DIA],maitotal30597183[[#Headers],[1]],tabela_registros[REGISTRO],DADOS!$N$4,tabela_registros[TIPO],DADOS!$P$4,tabela_registros[CATEGORIA],despesavariávelconsolidadomai[[#This Row],[DESPESA VARIÁVEL]])</f>
        <v>0</v>
      </c>
      <c r="F60" s="114" t="n">
        <f aca="false">SUMIFS(tabela_registros[VALOR],tabela_registros[MÊS],$AE$1,tabela_registros[DIA],maitotal30597183[[#Headers],[2]],tabela_registros[REGISTRO],DADOS!$N$4,tabela_registros[TIPO],DADOS!$P$4,tabela_registros[CATEGORIA],despesavariávelconsolidadomai[[#This Row],[DESPESA VARIÁVEL]])</f>
        <v>0</v>
      </c>
      <c r="G60" s="114" t="n">
        <f aca="false">SUMIFS(tabela_registros[VALOR],tabela_registros[MÊS],$AE$1,tabela_registros[DIA],maitotal30597183[[#Headers],[3]],tabela_registros[REGISTRO],DADOS!$N$4,tabela_registros[TIPO],DADOS!$P$4,tabela_registros[CATEGORIA],despesavariávelconsolidadomai[[#This Row],[DESPESA VARIÁVEL]])</f>
        <v>0</v>
      </c>
      <c r="H60" s="114" t="n">
        <f aca="false">SUMIFS(tabela_registros[VALOR],tabela_registros[MÊS],$AE$1,tabela_registros[DIA],maitotal30597183[[#Headers],[4]],tabela_registros[REGISTRO],DADOS!$N$4,tabela_registros[TIPO],DADOS!$P$4,tabela_registros[CATEGORIA],despesavariávelconsolidadomai[[#This Row],[DESPESA VARIÁVEL]])</f>
        <v>0</v>
      </c>
      <c r="I60" s="114" t="n">
        <f aca="false">SUMIFS(tabela_registros[VALOR],tabela_registros[MÊS],$AE$1,tabela_registros[DIA],maitotal30597183[[#Headers],[5]],tabela_registros[REGISTRO],DADOS!$N$4,tabela_registros[TIPO],DADOS!$P$4,tabela_registros[CATEGORIA],despesavariávelconsolidadomai[[#This Row],[DESPESA VARIÁVEL]])</f>
        <v>0</v>
      </c>
      <c r="J60" s="114" t="n">
        <f aca="false">SUMIFS(tabela_registros[VALOR],tabela_registros[MÊS],$AE$1,tabela_registros[DIA],maitotal30597183[[#Headers],[6]],tabela_registros[REGISTRO],DADOS!$N$4,tabela_registros[TIPO],DADOS!$P$4,tabela_registros[CATEGORIA],despesavariávelconsolidadomai[[#This Row],[DESPESA VARIÁVEL]])</f>
        <v>0</v>
      </c>
      <c r="K60" s="114" t="n">
        <f aca="false">SUMIFS(tabela_registros[VALOR],tabela_registros[MÊS],$AE$1,tabela_registros[DIA],maitotal30597183[[#Headers],[7]],tabela_registros[REGISTRO],DADOS!$N$4,tabela_registros[TIPO],DADOS!$P$4,tabela_registros[CATEGORIA],despesavariávelconsolidadomai[[#This Row],[DESPESA VARIÁVEL]])</f>
        <v>0</v>
      </c>
      <c r="L60" s="114" t="n">
        <f aca="false">SUMIFS(tabela_registros[VALOR],tabela_registros[MÊS],$AE$1,tabela_registros[DIA],maitotal30597183[[#Headers],[8]],tabela_registros[REGISTRO],DADOS!$N$4,tabela_registros[TIPO],DADOS!$P$4,tabela_registros[CATEGORIA],despesavariávelconsolidadomai[[#This Row],[DESPESA VARIÁVEL]])</f>
        <v>0</v>
      </c>
      <c r="M60" s="114" t="n">
        <f aca="false">SUMIFS(tabela_registros[VALOR],tabela_registros[MÊS],$AE$1,tabela_registros[DIA],maitotal30597183[[#Headers],[9]],tabela_registros[REGISTRO],DADOS!$N$4,tabela_registros[TIPO],DADOS!$P$4,tabela_registros[CATEGORIA],despesavariávelconsolidadomai[[#This Row],[DESPESA VARIÁVEL]])</f>
        <v>0</v>
      </c>
      <c r="N60" s="114" t="n">
        <f aca="false">SUMIFS(tabela_registros[VALOR],tabela_registros[MÊS],$AE$1,tabela_registros[DIA],maitotal30597183[[#Headers],[10]],tabela_registros[REGISTRO],DADOS!$N$4,tabela_registros[TIPO],DADOS!$P$4,tabela_registros[CATEGORIA],despesavariávelconsolidadomai[[#This Row],[DESPESA VARIÁVEL]])</f>
        <v>0</v>
      </c>
      <c r="O60" s="114" t="n">
        <f aca="false">SUMIFS(tabela_registros[VALOR],tabela_registros[MÊS],$AE$1,tabela_registros[DIA],maitotal30597183[[#Headers],[11]],tabela_registros[REGISTRO],DADOS!$N$4,tabela_registros[TIPO],DADOS!$P$4,tabela_registros[CATEGORIA],despesavariávelconsolidadomai[[#This Row],[DESPESA VARIÁVEL]])</f>
        <v>0</v>
      </c>
      <c r="P60" s="114" t="n">
        <f aca="false">SUMIFS(tabela_registros[VALOR],tabela_registros[MÊS],$AE$1,tabela_registros[DIA],maitotal30597183[[#Headers],[12]],tabela_registros[REGISTRO],DADOS!$N$4,tabela_registros[TIPO],DADOS!$P$4,tabela_registros[CATEGORIA],despesavariávelconsolidadomai[[#This Row],[DESPESA VARIÁVEL]])</f>
        <v>0</v>
      </c>
      <c r="Q60" s="114" t="n">
        <f aca="false">SUMIFS(tabela_registros[VALOR],tabela_registros[MÊS],$AE$1,tabela_registros[DIA],maitotal30597183[[#Headers],[13]],tabela_registros[REGISTRO],DADOS!$N$4,tabela_registros[TIPO],DADOS!$P$4,tabela_registros[CATEGORIA],despesavariávelconsolidadomai[[#This Row],[DESPESA VARIÁVEL]])</f>
        <v>0</v>
      </c>
      <c r="R60" s="114" t="n">
        <f aca="false">SUMIFS(tabela_registros[VALOR],tabela_registros[MÊS],$AE$1,tabela_registros[DIA],maitotal30597183[[#Headers],[14]],tabela_registros[REGISTRO],DADOS!$N$4,tabela_registros[TIPO],DADOS!$P$4,tabela_registros[CATEGORIA],despesavariávelconsolidadomai[[#This Row],[DESPESA VARIÁVEL]])</f>
        <v>0</v>
      </c>
      <c r="S60" s="114" t="n">
        <f aca="false">SUMIFS(tabela_registros[VALOR],tabela_registros[MÊS],$AE$1,tabela_registros[DIA],maitotal30597183[[#Headers],[15]],tabela_registros[REGISTRO],DADOS!$N$4,tabela_registros[TIPO],DADOS!$P$4,tabela_registros[CATEGORIA],despesavariávelconsolidadomai[[#This Row],[DESPESA VARIÁVEL]])</f>
        <v>0</v>
      </c>
      <c r="T60" s="114" t="n">
        <f aca="false">SUMIFS(tabela_registros[VALOR],tabela_registros[MÊS],$AE$1,tabela_registros[DIA],maitotal30597183[[#Headers],[16]],tabela_registros[REGISTRO],DADOS!$N$4,tabela_registros[TIPO],DADOS!$P$4,tabela_registros[CATEGORIA],despesavariávelconsolidadomai[[#This Row],[DESPESA VARIÁVEL]])</f>
        <v>0</v>
      </c>
      <c r="U60" s="114" t="n">
        <f aca="false">SUMIFS(tabela_registros[VALOR],tabela_registros[MÊS],$AE$1,tabela_registros[DIA],maitotal30597183[[#Headers],[17]],tabela_registros[REGISTRO],DADOS!$N$4,tabela_registros[TIPO],DADOS!$P$4,tabela_registros[CATEGORIA],despesavariávelconsolidadomai[[#This Row],[DESPESA VARIÁVEL]])</f>
        <v>0</v>
      </c>
      <c r="V60" s="114" t="n">
        <f aca="false">SUMIFS(tabela_registros[VALOR],tabela_registros[MÊS],$AE$1,tabela_registros[DIA],maitotal30597183[[#Headers],[18]],tabela_registros[REGISTRO],DADOS!$N$4,tabela_registros[TIPO],DADOS!$P$4,tabela_registros[CATEGORIA],despesavariávelconsolidadomai[[#This Row],[DESPESA VARIÁVEL]])</f>
        <v>0</v>
      </c>
      <c r="W60" s="114" t="n">
        <f aca="false">SUMIFS(tabela_registros[VALOR],tabela_registros[MÊS],$AE$1,tabela_registros[DIA],maitotal30597183[[#Headers],[19]],tabela_registros[REGISTRO],DADOS!$N$4,tabela_registros[TIPO],DADOS!$P$4,tabela_registros[CATEGORIA],despesavariávelconsolidadomai[[#This Row],[DESPESA VARIÁVEL]])</f>
        <v>0</v>
      </c>
      <c r="X60" s="114" t="n">
        <f aca="false">SUMIFS(tabela_registros[VALOR],tabela_registros[MÊS],$AE$1,tabela_registros[DIA],maitotal30597183[[#Headers],[20]],tabela_registros[REGISTRO],DADOS!$N$4,tabela_registros[TIPO],DADOS!$P$4,tabela_registros[CATEGORIA],despesavariávelconsolidadomai[[#This Row],[DESPESA VARIÁVEL]])</f>
        <v>0</v>
      </c>
      <c r="Y60" s="114" t="n">
        <f aca="false">SUMIFS(tabela_registros[VALOR],tabela_registros[MÊS],$AE$1,tabela_registros[DIA],maitotal30597183[[#Headers],[21]],tabela_registros[REGISTRO],DADOS!$N$4,tabela_registros[TIPO],DADOS!$P$4,tabela_registros[CATEGORIA],despesavariávelconsolidadomai[[#This Row],[DESPESA VARIÁVEL]])</f>
        <v>0</v>
      </c>
      <c r="Z60" s="114" t="n">
        <f aca="false">SUMIFS(tabela_registros[VALOR],tabela_registros[MÊS],$AE$1,tabela_registros[DIA],maitotal30597183[[#Headers],[22]],tabela_registros[REGISTRO],DADOS!$N$4,tabela_registros[TIPO],DADOS!$P$4,tabela_registros[CATEGORIA],despesavariávelconsolidadomai[[#This Row],[DESPESA VARIÁVEL]])</f>
        <v>0</v>
      </c>
      <c r="AA60" s="114" t="n">
        <f aca="false">SUMIFS(tabela_registros[VALOR],tabela_registros[MÊS],$AE$1,tabela_registros[DIA],maitotal30597183[[#Headers],[23]],tabela_registros[REGISTRO],DADOS!$N$4,tabela_registros[TIPO],DADOS!$P$4,tabela_registros[CATEGORIA],despesavariávelconsolidadomai[[#This Row],[DESPESA VARIÁVEL]])</f>
        <v>0</v>
      </c>
      <c r="AB60" s="114" t="n">
        <f aca="false">SUMIFS(tabela_registros[VALOR],tabela_registros[MÊS],$AE$1,tabela_registros[DIA],maitotal30597183[[#Headers],[24]],tabela_registros[REGISTRO],DADOS!$N$4,tabela_registros[TIPO],DADOS!$P$4,tabela_registros[CATEGORIA],despesavariávelconsolidadomai[[#This Row],[DESPESA VARIÁVEL]])</f>
        <v>0</v>
      </c>
      <c r="AC60" s="114" t="n">
        <f aca="false">SUMIFS(tabela_registros[VALOR],tabela_registros[MÊS],$AE$1,tabela_registros[DIA],maitotal30597183[[#Headers],[25]],tabela_registros[REGISTRO],DADOS!$N$4,tabela_registros[TIPO],DADOS!$P$4,tabela_registros[CATEGORIA],despesavariávelconsolidadomai[[#This Row],[DESPESA VARIÁVEL]])</f>
        <v>0</v>
      </c>
      <c r="AD60" s="114" t="n">
        <f aca="false">SUMIFS(tabela_registros[VALOR],tabela_registros[MÊS],$AE$1,tabela_registros[DIA],maitotal30597183[[#Headers],[26]],tabela_registros[REGISTRO],DADOS!$N$4,tabela_registros[TIPO],DADOS!$P$4,tabela_registros[CATEGORIA],despesavariávelconsolidadomai[[#This Row],[DESPESA VARIÁVEL]])</f>
        <v>0</v>
      </c>
      <c r="AE60" s="114" t="n">
        <f aca="false">SUMIFS(tabela_registros[VALOR],tabela_registros[MÊS],$AE$1,tabela_registros[DIA],maitotal30597183[[#Headers],[27]],tabela_registros[REGISTRO],DADOS!$N$4,tabela_registros[TIPO],DADOS!$P$4,tabela_registros[CATEGORIA],despesavariávelconsolidadomai[[#This Row],[DESPESA VARIÁVEL]])</f>
        <v>0</v>
      </c>
      <c r="AF60" s="114" t="n">
        <f aca="false">SUMIFS(tabela_registros[VALOR],tabela_registros[MÊS],$AE$1,tabela_registros[DIA],maitotal30597183[[#Headers],[28]],tabela_registros[REGISTRO],DADOS!$N$4,tabela_registros[TIPO],DADOS!$P$4,tabela_registros[CATEGORIA],despesavariávelconsolidadomai[[#This Row],[DESPESA VARIÁVEL]])</f>
        <v>0</v>
      </c>
      <c r="AG60" s="114" t="n">
        <f aca="false">SUMIFS(tabela_registros[VALOR],tabela_registros[MÊS],$AE$1,tabela_registros[DIA],maitotal30597183[[#Headers],[29]],tabela_registros[REGISTRO],DADOS!$N$4,tabela_registros[TIPO],DADOS!$P$4,tabela_registros[CATEGORIA],despesavariávelconsolidadomai[[#This Row],[DESPESA VARIÁVEL]])</f>
        <v>0</v>
      </c>
      <c r="AH60" s="114" t="n">
        <f aca="false">SUMIFS(tabela_registros[VALOR],tabela_registros[MÊS],$AE$1,tabela_registros[DIA],maitotal30597183[[#Headers],[30]],tabela_registros[REGISTRO],DADOS!$N$4,tabela_registros[TIPO],DADOS!$P$4,tabela_registros[CATEGORIA],despesavariávelconsolidadomai[[#This Row],[DESPESA VARIÁVEL]])</f>
        <v>0</v>
      </c>
      <c r="AI60" s="216" t="n">
        <f aca="false">SUMIFS(tabela_registros[VALOR],tabela_registros[MÊS],$AE$1,tabela_registros[DIA],maitotal30597183[[#Headers],[31]],tabela_registros[REGISTRO],DADOS!$N$4,tabela_registros[TIPO],DADOS!$P$4,tabela_registros[CATEGORIA],despesavariávelconsolidadomai[[#This Row],[DESPESA VARIÁVEL]])</f>
        <v>0</v>
      </c>
      <c r="AJ60" s="147" t="n">
        <f aca="false">SUM(despesavariávelconsolidadomai[[#This Row],[1]:[31]])</f>
        <v>0</v>
      </c>
      <c r="AK60" s="143"/>
    </row>
    <row r="61" customFormat="false" ht="18" hidden="false" customHeight="true" outlineLevel="0" collapsed="false">
      <c r="B61" s="143"/>
      <c r="C61" s="144" t="str">
        <f aca="false">DADOS!$T$4</f>
        <v>💳 CARTÃO DE CRÉDITO</v>
      </c>
      <c r="D61" s="145" t="str">
        <f aca="false">IF(despesavariávelconsolidadomai[[#This Row],[TOTAL]]=0,"",IF(OR(despesavariávelconsolidadomai[[#This Row],[TOTAL]]=LARGE($AJ$60:$AJ$72,1),despesavariávelconsolidadomai[[#This Row],[TOTAL]]=LARGE($AJ$60:$AJ$72,2),despesavariávelconsolidadomai[[#This Row],[TOTAL]]=LARGE($AJ$60:$AJ$72,3),despesavariávelconsolidadomai[[#This Row],[TOTAL]]=LARGE($AJ$60:$AJ$72,4),despesavariávelconsolidadomai[[#This Row],[TOTAL]]=LARGE($AJ$60:$AJ$72,5)),DADOS!$I$8,""))</f>
        <v/>
      </c>
      <c r="E61" s="148" t="n">
        <f aca="false">SUMIFS(tabela_registros[VALOR],tabela_registros[MÊS],$AE$1,tabela_registros[DIA],maitotal30597183[[#Headers],[1]],tabela_registros[REGISTRO],DADOS!$N$4,tabela_registros[TIPO],DADOS!$P$4,tabela_registros[CATEGORIA],despesavariávelconsolidadomai[[#This Row],[DESPESA VARIÁVEL]])</f>
        <v>0</v>
      </c>
      <c r="F61" s="119" t="n">
        <f aca="false">SUMIFS(tabela_registros[VALOR],tabela_registros[MÊS],$AE$1,tabela_registros[DIA],maitotal30597183[[#Headers],[2]],tabela_registros[REGISTRO],DADOS!$N$4,tabela_registros[TIPO],DADOS!$P$4,tabela_registros[CATEGORIA],despesavariávelconsolidadomai[[#This Row],[DESPESA VARIÁVEL]])</f>
        <v>0</v>
      </c>
      <c r="G61" s="119" t="n">
        <f aca="false">SUMIFS(tabela_registros[VALOR],tabela_registros[MÊS],$AE$1,tabela_registros[DIA],maitotal30597183[[#Headers],[3]],tabela_registros[REGISTRO],DADOS!$N$4,tabela_registros[TIPO],DADOS!$P$4,tabela_registros[CATEGORIA],despesavariávelconsolidadomai[[#This Row],[DESPESA VARIÁVEL]])</f>
        <v>0</v>
      </c>
      <c r="H61" s="119" t="n">
        <f aca="false">SUMIFS(tabela_registros[VALOR],tabela_registros[MÊS],$AE$1,tabela_registros[DIA],maitotal30597183[[#Headers],[4]],tabela_registros[REGISTRO],DADOS!$N$4,tabela_registros[TIPO],DADOS!$P$4,tabela_registros[CATEGORIA],despesavariávelconsolidadomai[[#This Row],[DESPESA VARIÁVEL]])</f>
        <v>0</v>
      </c>
      <c r="I61" s="119" t="n">
        <f aca="false">SUMIFS(tabela_registros[VALOR],tabela_registros[MÊS],$AE$1,tabela_registros[DIA],maitotal30597183[[#Headers],[5]],tabela_registros[REGISTRO],DADOS!$N$4,tabela_registros[TIPO],DADOS!$P$4,tabela_registros[CATEGORIA],despesavariávelconsolidadomai[[#This Row],[DESPESA VARIÁVEL]])</f>
        <v>0</v>
      </c>
      <c r="J61" s="119" t="n">
        <f aca="false">SUMIFS(tabela_registros[VALOR],tabela_registros[MÊS],$AE$1,tabela_registros[DIA],maitotal30597183[[#Headers],[6]],tabela_registros[REGISTRO],DADOS!$N$4,tabela_registros[TIPO],DADOS!$P$4,tabela_registros[CATEGORIA],despesavariávelconsolidadomai[[#This Row],[DESPESA VARIÁVEL]])</f>
        <v>0</v>
      </c>
      <c r="K61" s="119" t="n">
        <f aca="false">SUMIFS(tabela_registros[VALOR],tabela_registros[MÊS],$AE$1,tabela_registros[DIA],maitotal30597183[[#Headers],[7]],tabela_registros[REGISTRO],DADOS!$N$4,tabela_registros[TIPO],DADOS!$P$4,tabela_registros[CATEGORIA],despesavariávelconsolidadomai[[#This Row],[DESPESA VARIÁVEL]])</f>
        <v>0</v>
      </c>
      <c r="L61" s="119" t="n">
        <f aca="false">SUMIFS(tabela_registros[VALOR],tabela_registros[MÊS],$AE$1,tabela_registros[DIA],maitotal30597183[[#Headers],[8]],tabela_registros[REGISTRO],DADOS!$N$4,tabela_registros[TIPO],DADOS!$P$4,tabela_registros[CATEGORIA],despesavariávelconsolidadomai[[#This Row],[DESPESA VARIÁVEL]])</f>
        <v>0</v>
      </c>
      <c r="M61" s="119" t="n">
        <f aca="false">SUMIFS(tabela_registros[VALOR],tabela_registros[MÊS],$AE$1,tabela_registros[DIA],maitotal30597183[[#Headers],[9]],tabela_registros[REGISTRO],DADOS!$N$4,tabela_registros[TIPO],DADOS!$P$4,tabela_registros[CATEGORIA],despesavariávelconsolidadomai[[#This Row],[DESPESA VARIÁVEL]])</f>
        <v>0</v>
      </c>
      <c r="N61" s="119" t="n">
        <f aca="false">SUMIFS(tabela_registros[VALOR],tabela_registros[MÊS],$AE$1,tabela_registros[DIA],maitotal30597183[[#Headers],[10]],tabela_registros[REGISTRO],DADOS!$N$4,tabela_registros[TIPO],DADOS!$P$4,tabela_registros[CATEGORIA],despesavariávelconsolidadomai[[#This Row],[DESPESA VARIÁVEL]])</f>
        <v>0</v>
      </c>
      <c r="O61" s="119" t="n">
        <f aca="false">SUMIFS(tabela_registros[VALOR],tabela_registros[MÊS],$AE$1,tabela_registros[DIA],maitotal30597183[[#Headers],[11]],tabela_registros[REGISTRO],DADOS!$N$4,tabela_registros[TIPO],DADOS!$P$4,tabela_registros[CATEGORIA],despesavariávelconsolidadomai[[#This Row],[DESPESA VARIÁVEL]])</f>
        <v>0</v>
      </c>
      <c r="P61" s="119" t="n">
        <f aca="false">SUMIFS(tabela_registros[VALOR],tabela_registros[MÊS],$AE$1,tabela_registros[DIA],maitotal30597183[[#Headers],[12]],tabela_registros[REGISTRO],DADOS!$N$4,tabela_registros[TIPO],DADOS!$P$4,tabela_registros[CATEGORIA],despesavariávelconsolidadomai[[#This Row],[DESPESA VARIÁVEL]])</f>
        <v>0</v>
      </c>
      <c r="Q61" s="119" t="n">
        <f aca="false">SUMIFS(tabela_registros[VALOR],tabela_registros[MÊS],$AE$1,tabela_registros[DIA],maitotal30597183[[#Headers],[13]],tabela_registros[REGISTRO],DADOS!$N$4,tabela_registros[TIPO],DADOS!$P$4,tabela_registros[CATEGORIA],despesavariávelconsolidadomai[[#This Row],[DESPESA VARIÁVEL]])</f>
        <v>0</v>
      </c>
      <c r="R61" s="119" t="n">
        <f aca="false">SUMIFS(tabela_registros[VALOR],tabela_registros[MÊS],$AE$1,tabela_registros[DIA],maitotal30597183[[#Headers],[14]],tabela_registros[REGISTRO],DADOS!$N$4,tabela_registros[TIPO],DADOS!$P$4,tabela_registros[CATEGORIA],despesavariávelconsolidadomai[[#This Row],[DESPESA VARIÁVEL]])</f>
        <v>0</v>
      </c>
      <c r="S61" s="119" t="n">
        <f aca="false">SUMIFS(tabela_registros[VALOR],tabela_registros[MÊS],$AE$1,tabela_registros[DIA],maitotal30597183[[#Headers],[15]],tabela_registros[REGISTRO],DADOS!$N$4,tabela_registros[TIPO],DADOS!$P$4,tabela_registros[CATEGORIA],despesavariávelconsolidadomai[[#This Row],[DESPESA VARIÁVEL]])</f>
        <v>0</v>
      </c>
      <c r="T61" s="119" t="n">
        <f aca="false">SUMIFS(tabela_registros[VALOR],tabela_registros[MÊS],$AE$1,tabela_registros[DIA],maitotal30597183[[#Headers],[16]],tabela_registros[REGISTRO],DADOS!$N$4,tabela_registros[TIPO],DADOS!$P$4,tabela_registros[CATEGORIA],despesavariávelconsolidadomai[[#This Row],[DESPESA VARIÁVEL]])</f>
        <v>0</v>
      </c>
      <c r="U61" s="119" t="n">
        <f aca="false">SUMIFS(tabela_registros[VALOR],tabela_registros[MÊS],$AE$1,tabela_registros[DIA],maitotal30597183[[#Headers],[17]],tabela_registros[REGISTRO],DADOS!$N$4,tabela_registros[TIPO],DADOS!$P$4,tabela_registros[CATEGORIA],despesavariávelconsolidadomai[[#This Row],[DESPESA VARIÁVEL]])</f>
        <v>0</v>
      </c>
      <c r="V61" s="119" t="n">
        <f aca="false">SUMIFS(tabela_registros[VALOR],tabela_registros[MÊS],$AE$1,tabela_registros[DIA],maitotal30597183[[#Headers],[18]],tabela_registros[REGISTRO],DADOS!$N$4,tabela_registros[TIPO],DADOS!$P$4,tabela_registros[CATEGORIA],despesavariávelconsolidadomai[[#This Row],[DESPESA VARIÁVEL]])</f>
        <v>0</v>
      </c>
      <c r="W61" s="119" t="n">
        <f aca="false">SUMIFS(tabela_registros[VALOR],tabela_registros[MÊS],$AE$1,tabela_registros[DIA],maitotal30597183[[#Headers],[19]],tabela_registros[REGISTRO],DADOS!$N$4,tabela_registros[TIPO],DADOS!$P$4,tabela_registros[CATEGORIA],despesavariávelconsolidadomai[[#This Row],[DESPESA VARIÁVEL]])</f>
        <v>0</v>
      </c>
      <c r="X61" s="119" t="n">
        <f aca="false">SUMIFS(tabela_registros[VALOR],tabela_registros[MÊS],$AE$1,tabela_registros[DIA],maitotal30597183[[#Headers],[20]],tabela_registros[REGISTRO],DADOS!$N$4,tabela_registros[TIPO],DADOS!$P$4,tabela_registros[CATEGORIA],despesavariávelconsolidadomai[[#This Row],[DESPESA VARIÁVEL]])</f>
        <v>0</v>
      </c>
      <c r="Y61" s="119" t="n">
        <f aca="false">SUMIFS(tabela_registros[VALOR],tabela_registros[MÊS],$AE$1,tabela_registros[DIA],maitotal30597183[[#Headers],[21]],tabela_registros[REGISTRO],DADOS!$N$4,tabela_registros[TIPO],DADOS!$P$4,tabela_registros[CATEGORIA],despesavariávelconsolidadomai[[#This Row],[DESPESA VARIÁVEL]])</f>
        <v>0</v>
      </c>
      <c r="Z61" s="119" t="n">
        <f aca="false">SUMIFS(tabela_registros[VALOR],tabela_registros[MÊS],$AE$1,tabela_registros[DIA],maitotal30597183[[#Headers],[22]],tabela_registros[REGISTRO],DADOS!$N$4,tabela_registros[TIPO],DADOS!$P$4,tabela_registros[CATEGORIA],despesavariávelconsolidadomai[[#This Row],[DESPESA VARIÁVEL]])</f>
        <v>0</v>
      </c>
      <c r="AA61" s="119" t="n">
        <f aca="false">SUMIFS(tabela_registros[VALOR],tabela_registros[MÊS],$AE$1,tabela_registros[DIA],maitotal30597183[[#Headers],[23]],tabela_registros[REGISTRO],DADOS!$N$4,tabela_registros[TIPO],DADOS!$P$4,tabela_registros[CATEGORIA],despesavariávelconsolidadomai[[#This Row],[DESPESA VARIÁVEL]])</f>
        <v>0</v>
      </c>
      <c r="AB61" s="119" t="n">
        <f aca="false">SUMIFS(tabela_registros[VALOR],tabela_registros[MÊS],$AE$1,tabela_registros[DIA],maitotal30597183[[#Headers],[24]],tabela_registros[REGISTRO],DADOS!$N$4,tabela_registros[TIPO],DADOS!$P$4,tabela_registros[CATEGORIA],despesavariávelconsolidadomai[[#This Row],[DESPESA VARIÁVEL]])</f>
        <v>0</v>
      </c>
      <c r="AC61" s="119" t="n">
        <f aca="false">SUMIFS(tabela_registros[VALOR],tabela_registros[MÊS],$AE$1,tabela_registros[DIA],maitotal30597183[[#Headers],[25]],tabela_registros[REGISTRO],DADOS!$N$4,tabela_registros[TIPO],DADOS!$P$4,tabela_registros[CATEGORIA],despesavariávelconsolidadomai[[#This Row],[DESPESA VARIÁVEL]])</f>
        <v>0</v>
      </c>
      <c r="AD61" s="119" t="n">
        <f aca="false">SUMIFS(tabela_registros[VALOR],tabela_registros[MÊS],$AE$1,tabela_registros[DIA],maitotal30597183[[#Headers],[26]],tabela_registros[REGISTRO],DADOS!$N$4,tabela_registros[TIPO],DADOS!$P$4,tabela_registros[CATEGORIA],despesavariávelconsolidadomai[[#This Row],[DESPESA VARIÁVEL]])</f>
        <v>0</v>
      </c>
      <c r="AE61" s="119" t="n">
        <f aca="false">SUMIFS(tabela_registros[VALOR],tabela_registros[MÊS],$AE$1,tabela_registros[DIA],maitotal30597183[[#Headers],[27]],tabela_registros[REGISTRO],DADOS!$N$4,tabela_registros[TIPO],DADOS!$P$4,tabela_registros[CATEGORIA],despesavariávelconsolidadomai[[#This Row],[DESPESA VARIÁVEL]])</f>
        <v>0</v>
      </c>
      <c r="AF61" s="119" t="n">
        <f aca="false">SUMIFS(tabela_registros[VALOR],tabela_registros[MÊS],$AE$1,tabela_registros[DIA],maitotal30597183[[#Headers],[28]],tabela_registros[REGISTRO],DADOS!$N$4,tabela_registros[TIPO],DADOS!$P$4,tabela_registros[CATEGORIA],despesavariávelconsolidadomai[[#This Row],[DESPESA VARIÁVEL]])</f>
        <v>0</v>
      </c>
      <c r="AG61" s="119" t="n">
        <f aca="false">SUMIFS(tabela_registros[VALOR],tabela_registros[MÊS],$AE$1,tabela_registros[DIA],maitotal30597183[[#Headers],[29]],tabela_registros[REGISTRO],DADOS!$N$4,tabela_registros[TIPO],DADOS!$P$4,tabela_registros[CATEGORIA],despesavariávelconsolidadomai[[#This Row],[DESPESA VARIÁVEL]])</f>
        <v>0</v>
      </c>
      <c r="AH61" s="119" t="n">
        <f aca="false">SUMIFS(tabela_registros[VALOR],tabela_registros[MÊS],$AE$1,tabela_registros[DIA],maitotal30597183[[#Headers],[30]],tabela_registros[REGISTRO],DADOS!$N$4,tabela_registros[TIPO],DADOS!$P$4,tabela_registros[CATEGORIA],despesavariávelconsolidadomai[[#This Row],[DESPESA VARIÁVEL]])</f>
        <v>0</v>
      </c>
      <c r="AI61" s="217" t="n">
        <f aca="false">SUMIFS(tabela_registros[VALOR],tabela_registros[MÊS],$AE$1,tabela_registros[DIA],maitotal30597183[[#Headers],[31]],tabela_registros[REGISTRO],DADOS!$N$4,tabela_registros[TIPO],DADOS!$P$4,tabela_registros[CATEGORIA],despesavariávelconsolidadomai[[#This Row],[DESPESA VARIÁVEL]])</f>
        <v>0</v>
      </c>
      <c r="AJ61" s="149" t="n">
        <f aca="false">SUM(despesavariávelconsolidadomai[[#This Row],[1]:[31]])</f>
        <v>0</v>
      </c>
      <c r="AK61" s="143"/>
    </row>
    <row r="62" customFormat="false" ht="18" hidden="false" customHeight="true" outlineLevel="0" collapsed="false">
      <c r="B62" s="143"/>
      <c r="C62" s="144" t="str">
        <f aca="false">DADOS!$T$5</f>
        <v>✍️ CHEQUE ESPECIAL</v>
      </c>
      <c r="D62" s="145" t="str">
        <f aca="false">IF(despesavariávelconsolidadomai[[#This Row],[TOTAL]]=0,"",IF(OR(despesavariávelconsolidadomai[[#This Row],[TOTAL]]=LARGE($AJ$60:$AJ$72,1),despesavariávelconsolidadomai[[#This Row],[TOTAL]]=LARGE($AJ$60:$AJ$72,2),despesavariávelconsolidadomai[[#This Row],[TOTAL]]=LARGE($AJ$60:$AJ$72,3),despesavariávelconsolidadomai[[#This Row],[TOTAL]]=LARGE($AJ$60:$AJ$72,4),despesavariávelconsolidadomai[[#This Row],[TOTAL]]=LARGE($AJ$60:$AJ$72,5)),DADOS!$I$8,""))</f>
        <v/>
      </c>
      <c r="E62" s="148" t="n">
        <f aca="false">SUMIFS(tabela_registros[VALOR],tabela_registros[MÊS],$AE$1,tabela_registros[DIA],maitotal30597183[[#Headers],[1]],tabela_registros[REGISTRO],DADOS!$N$4,tabela_registros[TIPO],DADOS!$P$4,tabela_registros[CATEGORIA],despesavariávelconsolidadomai[[#This Row],[DESPESA VARIÁVEL]])</f>
        <v>0</v>
      </c>
      <c r="F62" s="119" t="n">
        <f aca="false">SUMIFS(tabela_registros[VALOR],tabela_registros[MÊS],$AE$1,tabela_registros[DIA],maitotal30597183[[#Headers],[2]],tabela_registros[REGISTRO],DADOS!$N$4,tabela_registros[TIPO],DADOS!$P$4,tabela_registros[CATEGORIA],despesavariávelconsolidadomai[[#This Row],[DESPESA VARIÁVEL]])</f>
        <v>0</v>
      </c>
      <c r="G62" s="119" t="n">
        <f aca="false">SUMIFS(tabela_registros[VALOR],tabela_registros[MÊS],$AE$1,tabela_registros[DIA],maitotal30597183[[#Headers],[3]],tabela_registros[REGISTRO],DADOS!$N$4,tabela_registros[TIPO],DADOS!$P$4,tabela_registros[CATEGORIA],despesavariávelconsolidadomai[[#This Row],[DESPESA VARIÁVEL]])</f>
        <v>0</v>
      </c>
      <c r="H62" s="119" t="n">
        <f aca="false">SUMIFS(tabela_registros[VALOR],tabela_registros[MÊS],$AE$1,tabela_registros[DIA],maitotal30597183[[#Headers],[4]],tabela_registros[REGISTRO],DADOS!$N$4,tabela_registros[TIPO],DADOS!$P$4,tabela_registros[CATEGORIA],despesavariávelconsolidadomai[[#This Row],[DESPESA VARIÁVEL]])</f>
        <v>0</v>
      </c>
      <c r="I62" s="119" t="n">
        <f aca="false">SUMIFS(tabela_registros[VALOR],tabela_registros[MÊS],$AE$1,tabela_registros[DIA],maitotal30597183[[#Headers],[5]],tabela_registros[REGISTRO],DADOS!$N$4,tabela_registros[TIPO],DADOS!$P$4,tabela_registros[CATEGORIA],despesavariávelconsolidadomai[[#This Row],[DESPESA VARIÁVEL]])</f>
        <v>0</v>
      </c>
      <c r="J62" s="119" t="n">
        <f aca="false">SUMIFS(tabela_registros[VALOR],tabela_registros[MÊS],$AE$1,tabela_registros[DIA],maitotal30597183[[#Headers],[6]],tabela_registros[REGISTRO],DADOS!$N$4,tabela_registros[TIPO],DADOS!$P$4,tabela_registros[CATEGORIA],despesavariávelconsolidadomai[[#This Row],[DESPESA VARIÁVEL]])</f>
        <v>0</v>
      </c>
      <c r="K62" s="119" t="n">
        <f aca="false">SUMIFS(tabela_registros[VALOR],tabela_registros[MÊS],$AE$1,tabela_registros[DIA],maitotal30597183[[#Headers],[7]],tabela_registros[REGISTRO],DADOS!$N$4,tabela_registros[TIPO],DADOS!$P$4,tabela_registros[CATEGORIA],despesavariávelconsolidadomai[[#This Row],[DESPESA VARIÁVEL]])</f>
        <v>0</v>
      </c>
      <c r="L62" s="119" t="n">
        <f aca="false">SUMIFS(tabela_registros[VALOR],tabela_registros[MÊS],$AE$1,tabela_registros[DIA],maitotal30597183[[#Headers],[8]],tabela_registros[REGISTRO],DADOS!$N$4,tabela_registros[TIPO],DADOS!$P$4,tabela_registros[CATEGORIA],despesavariávelconsolidadomai[[#This Row],[DESPESA VARIÁVEL]])</f>
        <v>0</v>
      </c>
      <c r="M62" s="119" t="n">
        <f aca="false">SUMIFS(tabela_registros[VALOR],tabela_registros[MÊS],$AE$1,tabela_registros[DIA],maitotal30597183[[#Headers],[9]],tabela_registros[REGISTRO],DADOS!$N$4,tabela_registros[TIPO],DADOS!$P$4,tabela_registros[CATEGORIA],despesavariávelconsolidadomai[[#This Row],[DESPESA VARIÁVEL]])</f>
        <v>0</v>
      </c>
      <c r="N62" s="119" t="n">
        <f aca="false">SUMIFS(tabela_registros[VALOR],tabela_registros[MÊS],$AE$1,tabela_registros[DIA],maitotal30597183[[#Headers],[10]],tabela_registros[REGISTRO],DADOS!$N$4,tabela_registros[TIPO],DADOS!$P$4,tabela_registros[CATEGORIA],despesavariávelconsolidadomai[[#This Row],[DESPESA VARIÁVEL]])</f>
        <v>0</v>
      </c>
      <c r="O62" s="119" t="n">
        <f aca="false">SUMIFS(tabela_registros[VALOR],tabela_registros[MÊS],$AE$1,tabela_registros[DIA],maitotal30597183[[#Headers],[11]],tabela_registros[REGISTRO],DADOS!$N$4,tabela_registros[TIPO],DADOS!$P$4,tabela_registros[CATEGORIA],despesavariávelconsolidadomai[[#This Row],[DESPESA VARIÁVEL]])</f>
        <v>0</v>
      </c>
      <c r="P62" s="119" t="n">
        <f aca="false">SUMIFS(tabela_registros[VALOR],tabela_registros[MÊS],$AE$1,tabela_registros[DIA],maitotal30597183[[#Headers],[12]],tabela_registros[REGISTRO],DADOS!$N$4,tabela_registros[TIPO],DADOS!$P$4,tabela_registros[CATEGORIA],despesavariávelconsolidadomai[[#This Row],[DESPESA VARIÁVEL]])</f>
        <v>0</v>
      </c>
      <c r="Q62" s="119" t="n">
        <f aca="false">SUMIFS(tabela_registros[VALOR],tabela_registros[MÊS],$AE$1,tabela_registros[DIA],maitotal30597183[[#Headers],[13]],tabela_registros[REGISTRO],DADOS!$N$4,tabela_registros[TIPO],DADOS!$P$4,tabela_registros[CATEGORIA],despesavariávelconsolidadomai[[#This Row],[DESPESA VARIÁVEL]])</f>
        <v>0</v>
      </c>
      <c r="R62" s="119" t="n">
        <f aca="false">SUMIFS(tabela_registros[VALOR],tabela_registros[MÊS],$AE$1,tabela_registros[DIA],maitotal30597183[[#Headers],[14]],tabela_registros[REGISTRO],DADOS!$N$4,tabela_registros[TIPO],DADOS!$P$4,tabela_registros[CATEGORIA],despesavariávelconsolidadomai[[#This Row],[DESPESA VARIÁVEL]])</f>
        <v>0</v>
      </c>
      <c r="S62" s="119" t="n">
        <f aca="false">SUMIFS(tabela_registros[VALOR],tabela_registros[MÊS],$AE$1,tabela_registros[DIA],maitotal30597183[[#Headers],[15]],tabela_registros[REGISTRO],DADOS!$N$4,tabela_registros[TIPO],DADOS!$P$4,tabela_registros[CATEGORIA],despesavariávelconsolidadomai[[#This Row],[DESPESA VARIÁVEL]])</f>
        <v>0</v>
      </c>
      <c r="T62" s="119" t="n">
        <f aca="false">SUMIFS(tabela_registros[VALOR],tabela_registros[MÊS],$AE$1,tabela_registros[DIA],maitotal30597183[[#Headers],[16]],tabela_registros[REGISTRO],DADOS!$N$4,tabela_registros[TIPO],DADOS!$P$4,tabela_registros[CATEGORIA],despesavariávelconsolidadomai[[#This Row],[DESPESA VARIÁVEL]])</f>
        <v>0</v>
      </c>
      <c r="U62" s="119" t="n">
        <f aca="false">SUMIFS(tabela_registros[VALOR],tabela_registros[MÊS],$AE$1,tabela_registros[DIA],maitotal30597183[[#Headers],[17]],tabela_registros[REGISTRO],DADOS!$N$4,tabela_registros[TIPO],DADOS!$P$4,tabela_registros[CATEGORIA],despesavariávelconsolidadomai[[#This Row],[DESPESA VARIÁVEL]])</f>
        <v>0</v>
      </c>
      <c r="V62" s="119" t="n">
        <f aca="false">SUMIFS(tabela_registros[VALOR],tabela_registros[MÊS],$AE$1,tabela_registros[DIA],maitotal30597183[[#Headers],[18]],tabela_registros[REGISTRO],DADOS!$N$4,tabela_registros[TIPO],DADOS!$P$4,tabela_registros[CATEGORIA],despesavariávelconsolidadomai[[#This Row],[DESPESA VARIÁVEL]])</f>
        <v>0</v>
      </c>
      <c r="W62" s="119" t="n">
        <f aca="false">SUMIFS(tabela_registros[VALOR],tabela_registros[MÊS],$AE$1,tabela_registros[DIA],maitotal30597183[[#Headers],[19]],tabela_registros[REGISTRO],DADOS!$N$4,tabela_registros[TIPO],DADOS!$P$4,tabela_registros[CATEGORIA],despesavariávelconsolidadomai[[#This Row],[DESPESA VARIÁVEL]])</f>
        <v>0</v>
      </c>
      <c r="X62" s="119" t="n">
        <f aca="false">SUMIFS(tabela_registros[VALOR],tabela_registros[MÊS],$AE$1,tabela_registros[DIA],maitotal30597183[[#Headers],[20]],tabela_registros[REGISTRO],DADOS!$N$4,tabela_registros[TIPO],DADOS!$P$4,tabela_registros[CATEGORIA],despesavariávelconsolidadomai[[#This Row],[DESPESA VARIÁVEL]])</f>
        <v>0</v>
      </c>
      <c r="Y62" s="119" t="n">
        <f aca="false">SUMIFS(tabela_registros[VALOR],tabela_registros[MÊS],$AE$1,tabela_registros[DIA],maitotal30597183[[#Headers],[21]],tabela_registros[REGISTRO],DADOS!$N$4,tabela_registros[TIPO],DADOS!$P$4,tabela_registros[CATEGORIA],despesavariávelconsolidadomai[[#This Row],[DESPESA VARIÁVEL]])</f>
        <v>0</v>
      </c>
      <c r="Z62" s="119" t="n">
        <f aca="false">SUMIFS(tabela_registros[VALOR],tabela_registros[MÊS],$AE$1,tabela_registros[DIA],maitotal30597183[[#Headers],[22]],tabela_registros[REGISTRO],DADOS!$N$4,tabela_registros[TIPO],DADOS!$P$4,tabela_registros[CATEGORIA],despesavariávelconsolidadomai[[#This Row],[DESPESA VARIÁVEL]])</f>
        <v>0</v>
      </c>
      <c r="AA62" s="119" t="n">
        <f aca="false">SUMIFS(tabela_registros[VALOR],tabela_registros[MÊS],$AE$1,tabela_registros[DIA],maitotal30597183[[#Headers],[23]],tabela_registros[REGISTRO],DADOS!$N$4,tabela_registros[TIPO],DADOS!$P$4,tabela_registros[CATEGORIA],despesavariávelconsolidadomai[[#This Row],[DESPESA VARIÁVEL]])</f>
        <v>0</v>
      </c>
      <c r="AB62" s="119" t="n">
        <f aca="false">SUMIFS(tabela_registros[VALOR],tabela_registros[MÊS],$AE$1,tabela_registros[DIA],maitotal30597183[[#Headers],[24]],tabela_registros[REGISTRO],DADOS!$N$4,tabela_registros[TIPO],DADOS!$P$4,tabela_registros[CATEGORIA],despesavariávelconsolidadomai[[#This Row],[DESPESA VARIÁVEL]])</f>
        <v>0</v>
      </c>
      <c r="AC62" s="119" t="n">
        <f aca="false">SUMIFS(tabela_registros[VALOR],tabela_registros[MÊS],$AE$1,tabela_registros[DIA],maitotal30597183[[#Headers],[25]],tabela_registros[REGISTRO],DADOS!$N$4,tabela_registros[TIPO],DADOS!$P$4,tabela_registros[CATEGORIA],despesavariávelconsolidadomai[[#This Row],[DESPESA VARIÁVEL]])</f>
        <v>0</v>
      </c>
      <c r="AD62" s="119" t="n">
        <f aca="false">SUMIFS(tabela_registros[VALOR],tabela_registros[MÊS],$AE$1,tabela_registros[DIA],maitotal30597183[[#Headers],[26]],tabela_registros[REGISTRO],DADOS!$N$4,tabela_registros[TIPO],DADOS!$P$4,tabela_registros[CATEGORIA],despesavariávelconsolidadomai[[#This Row],[DESPESA VARIÁVEL]])</f>
        <v>0</v>
      </c>
      <c r="AE62" s="119" t="n">
        <f aca="false">SUMIFS(tabela_registros[VALOR],tabela_registros[MÊS],$AE$1,tabela_registros[DIA],maitotal30597183[[#Headers],[27]],tabela_registros[REGISTRO],DADOS!$N$4,tabela_registros[TIPO],DADOS!$P$4,tabela_registros[CATEGORIA],despesavariávelconsolidadomai[[#This Row],[DESPESA VARIÁVEL]])</f>
        <v>0</v>
      </c>
      <c r="AF62" s="119" t="n">
        <f aca="false">SUMIFS(tabela_registros[VALOR],tabela_registros[MÊS],$AE$1,tabela_registros[DIA],maitotal30597183[[#Headers],[28]],tabela_registros[REGISTRO],DADOS!$N$4,tabela_registros[TIPO],DADOS!$P$4,tabela_registros[CATEGORIA],despesavariávelconsolidadomai[[#This Row],[DESPESA VARIÁVEL]])</f>
        <v>0</v>
      </c>
      <c r="AG62" s="119" t="n">
        <f aca="false">SUMIFS(tabela_registros[VALOR],tabela_registros[MÊS],$AE$1,tabela_registros[DIA],maitotal30597183[[#Headers],[29]],tabela_registros[REGISTRO],DADOS!$N$4,tabela_registros[TIPO],DADOS!$P$4,tabela_registros[CATEGORIA],despesavariávelconsolidadomai[[#This Row],[DESPESA VARIÁVEL]])</f>
        <v>0</v>
      </c>
      <c r="AH62" s="119" t="n">
        <f aca="false">SUMIFS(tabela_registros[VALOR],tabela_registros[MÊS],$AE$1,tabela_registros[DIA],maitotal30597183[[#Headers],[30]],tabela_registros[REGISTRO],DADOS!$N$4,tabela_registros[TIPO],DADOS!$P$4,tabela_registros[CATEGORIA],despesavariávelconsolidadomai[[#This Row],[DESPESA VARIÁVEL]])</f>
        <v>0</v>
      </c>
      <c r="AI62" s="217" t="n">
        <f aca="false">SUMIFS(tabela_registros[VALOR],tabela_registros[MÊS],$AE$1,tabela_registros[DIA],maitotal30597183[[#Headers],[31]],tabela_registros[REGISTRO],DADOS!$N$4,tabela_registros[TIPO],DADOS!$P$4,tabela_registros[CATEGORIA],despesavariávelconsolidadomai[[#This Row],[DESPESA VARIÁVEL]])</f>
        <v>0</v>
      </c>
      <c r="AJ62" s="149" t="n">
        <f aca="false">SUM(despesavariávelconsolidadomai[[#This Row],[1]:[31]])</f>
        <v>0</v>
      </c>
      <c r="AK62" s="143"/>
    </row>
    <row r="63" customFormat="false" ht="18" hidden="false" customHeight="true" outlineLevel="0" collapsed="false">
      <c r="B63" s="143"/>
      <c r="C63" s="144" t="str">
        <f aca="false">DADOS!$T$6</f>
        <v>💄 CUIDADOS PESSOAIS</v>
      </c>
      <c r="D63" s="145" t="str">
        <f aca="false">IF(despesavariávelconsolidadomai[[#This Row],[TOTAL]]=0,"",IF(OR(despesavariávelconsolidadomai[[#This Row],[TOTAL]]=LARGE($AJ$60:$AJ$72,1),despesavariávelconsolidadomai[[#This Row],[TOTAL]]=LARGE($AJ$60:$AJ$72,2),despesavariávelconsolidadomai[[#This Row],[TOTAL]]=LARGE($AJ$60:$AJ$72,3),despesavariávelconsolidadomai[[#This Row],[TOTAL]]=LARGE($AJ$60:$AJ$72,4),despesavariávelconsolidadomai[[#This Row],[TOTAL]]=LARGE($AJ$60:$AJ$72,5)),DADOS!$I$8,""))</f>
        <v/>
      </c>
      <c r="E63" s="148" t="n">
        <f aca="false">SUMIFS(tabela_registros[VALOR],tabela_registros[MÊS],$AE$1,tabela_registros[DIA],maitotal30597183[[#Headers],[1]],tabela_registros[REGISTRO],DADOS!$N$4,tabela_registros[TIPO],DADOS!$P$4,tabela_registros[CATEGORIA],despesavariávelconsolidadomai[[#This Row],[DESPESA VARIÁVEL]])</f>
        <v>0</v>
      </c>
      <c r="F63" s="119" t="n">
        <f aca="false">SUMIFS(tabela_registros[VALOR],tabela_registros[MÊS],$AE$1,tabela_registros[DIA],maitotal30597183[[#Headers],[2]],tabela_registros[REGISTRO],DADOS!$N$4,tabela_registros[TIPO],DADOS!$P$4,tabela_registros[CATEGORIA],despesavariávelconsolidadomai[[#This Row],[DESPESA VARIÁVEL]])</f>
        <v>0</v>
      </c>
      <c r="G63" s="119" t="n">
        <f aca="false">SUMIFS(tabela_registros[VALOR],tabela_registros[MÊS],$AE$1,tabela_registros[DIA],maitotal30597183[[#Headers],[3]],tabela_registros[REGISTRO],DADOS!$N$4,tabela_registros[TIPO],DADOS!$P$4,tabela_registros[CATEGORIA],despesavariávelconsolidadomai[[#This Row],[DESPESA VARIÁVEL]])</f>
        <v>0</v>
      </c>
      <c r="H63" s="119" t="n">
        <f aca="false">SUMIFS(tabela_registros[VALOR],tabela_registros[MÊS],$AE$1,tabela_registros[DIA],maitotal30597183[[#Headers],[4]],tabela_registros[REGISTRO],DADOS!$N$4,tabela_registros[TIPO],DADOS!$P$4,tabela_registros[CATEGORIA],despesavariávelconsolidadomai[[#This Row],[DESPESA VARIÁVEL]])</f>
        <v>0</v>
      </c>
      <c r="I63" s="119" t="n">
        <f aca="false">SUMIFS(tabela_registros[VALOR],tabela_registros[MÊS],$AE$1,tabela_registros[DIA],maitotal30597183[[#Headers],[5]],tabela_registros[REGISTRO],DADOS!$N$4,tabela_registros[TIPO],DADOS!$P$4,tabela_registros[CATEGORIA],despesavariávelconsolidadomai[[#This Row],[DESPESA VARIÁVEL]])</f>
        <v>0</v>
      </c>
      <c r="J63" s="119" t="n">
        <f aca="false">SUMIFS(tabela_registros[VALOR],tabela_registros[MÊS],$AE$1,tabela_registros[DIA],maitotal30597183[[#Headers],[6]],tabela_registros[REGISTRO],DADOS!$N$4,tabela_registros[TIPO],DADOS!$P$4,tabela_registros[CATEGORIA],despesavariávelconsolidadomai[[#This Row],[DESPESA VARIÁVEL]])</f>
        <v>0</v>
      </c>
      <c r="K63" s="119" t="n">
        <f aca="false">SUMIFS(tabela_registros[VALOR],tabela_registros[MÊS],$AE$1,tabela_registros[DIA],maitotal30597183[[#Headers],[7]],tabela_registros[REGISTRO],DADOS!$N$4,tabela_registros[TIPO],DADOS!$P$4,tabela_registros[CATEGORIA],despesavariávelconsolidadomai[[#This Row],[DESPESA VARIÁVEL]])</f>
        <v>0</v>
      </c>
      <c r="L63" s="119" t="n">
        <f aca="false">SUMIFS(tabela_registros[VALOR],tabela_registros[MÊS],$AE$1,tabela_registros[DIA],maitotal30597183[[#Headers],[8]],tabela_registros[REGISTRO],DADOS!$N$4,tabela_registros[TIPO],DADOS!$P$4,tabela_registros[CATEGORIA],despesavariávelconsolidadomai[[#This Row],[DESPESA VARIÁVEL]])</f>
        <v>0</v>
      </c>
      <c r="M63" s="119" t="n">
        <f aca="false">SUMIFS(tabela_registros[VALOR],tabela_registros[MÊS],$AE$1,tabela_registros[DIA],maitotal30597183[[#Headers],[9]],tabela_registros[REGISTRO],DADOS!$N$4,tabela_registros[TIPO],DADOS!$P$4,tabela_registros[CATEGORIA],despesavariávelconsolidadomai[[#This Row],[DESPESA VARIÁVEL]])</f>
        <v>0</v>
      </c>
      <c r="N63" s="119" t="n">
        <f aca="false">SUMIFS(tabela_registros[VALOR],tabela_registros[MÊS],$AE$1,tabela_registros[DIA],maitotal30597183[[#Headers],[10]],tabela_registros[REGISTRO],DADOS!$N$4,tabela_registros[TIPO],DADOS!$P$4,tabela_registros[CATEGORIA],despesavariávelconsolidadomai[[#This Row],[DESPESA VARIÁVEL]])</f>
        <v>0</v>
      </c>
      <c r="O63" s="119" t="n">
        <f aca="false">SUMIFS(tabela_registros[VALOR],tabela_registros[MÊS],$AE$1,tabela_registros[DIA],maitotal30597183[[#Headers],[11]],tabela_registros[REGISTRO],DADOS!$N$4,tabela_registros[TIPO],DADOS!$P$4,tabela_registros[CATEGORIA],despesavariávelconsolidadomai[[#This Row],[DESPESA VARIÁVEL]])</f>
        <v>0</v>
      </c>
      <c r="P63" s="119" t="n">
        <f aca="false">SUMIFS(tabela_registros[VALOR],tabela_registros[MÊS],$AE$1,tabela_registros[DIA],maitotal30597183[[#Headers],[12]],tabela_registros[REGISTRO],DADOS!$N$4,tabela_registros[TIPO],DADOS!$P$4,tabela_registros[CATEGORIA],despesavariávelconsolidadomai[[#This Row],[DESPESA VARIÁVEL]])</f>
        <v>0</v>
      </c>
      <c r="Q63" s="119" t="n">
        <f aca="false">SUMIFS(tabela_registros[VALOR],tabela_registros[MÊS],$AE$1,tabela_registros[DIA],maitotal30597183[[#Headers],[13]],tabela_registros[REGISTRO],DADOS!$N$4,tabela_registros[TIPO],DADOS!$P$4,tabela_registros[CATEGORIA],despesavariávelconsolidadomai[[#This Row],[DESPESA VARIÁVEL]])</f>
        <v>0</v>
      </c>
      <c r="R63" s="119" t="n">
        <f aca="false">SUMIFS(tabela_registros[VALOR],tabela_registros[MÊS],$AE$1,tabela_registros[DIA],maitotal30597183[[#Headers],[14]],tabela_registros[REGISTRO],DADOS!$N$4,tabela_registros[TIPO],DADOS!$P$4,tabela_registros[CATEGORIA],despesavariávelconsolidadomai[[#This Row],[DESPESA VARIÁVEL]])</f>
        <v>0</v>
      </c>
      <c r="S63" s="119" t="n">
        <f aca="false">SUMIFS(tabela_registros[VALOR],tabela_registros[MÊS],$AE$1,tabela_registros[DIA],maitotal30597183[[#Headers],[15]],tabela_registros[REGISTRO],DADOS!$N$4,tabela_registros[TIPO],DADOS!$P$4,tabela_registros[CATEGORIA],despesavariávelconsolidadomai[[#This Row],[DESPESA VARIÁVEL]])</f>
        <v>0</v>
      </c>
      <c r="T63" s="119" t="n">
        <f aca="false">SUMIFS(tabela_registros[VALOR],tabela_registros[MÊS],$AE$1,tabela_registros[DIA],maitotal30597183[[#Headers],[16]],tabela_registros[REGISTRO],DADOS!$N$4,tabela_registros[TIPO],DADOS!$P$4,tabela_registros[CATEGORIA],despesavariávelconsolidadomai[[#This Row],[DESPESA VARIÁVEL]])</f>
        <v>0</v>
      </c>
      <c r="U63" s="119" t="n">
        <f aca="false">SUMIFS(tabela_registros[VALOR],tabela_registros[MÊS],$AE$1,tabela_registros[DIA],maitotal30597183[[#Headers],[17]],tabela_registros[REGISTRO],DADOS!$N$4,tabela_registros[TIPO],DADOS!$P$4,tabela_registros[CATEGORIA],despesavariávelconsolidadomai[[#This Row],[DESPESA VARIÁVEL]])</f>
        <v>0</v>
      </c>
      <c r="V63" s="119" t="n">
        <f aca="false">SUMIFS(tabela_registros[VALOR],tabela_registros[MÊS],$AE$1,tabela_registros[DIA],maitotal30597183[[#Headers],[18]],tabela_registros[REGISTRO],DADOS!$N$4,tabela_registros[TIPO],DADOS!$P$4,tabela_registros[CATEGORIA],despesavariávelconsolidadomai[[#This Row],[DESPESA VARIÁVEL]])</f>
        <v>0</v>
      </c>
      <c r="W63" s="119" t="n">
        <f aca="false">SUMIFS(tabela_registros[VALOR],tabela_registros[MÊS],$AE$1,tabela_registros[DIA],maitotal30597183[[#Headers],[19]],tabela_registros[REGISTRO],DADOS!$N$4,tabela_registros[TIPO],DADOS!$P$4,tabela_registros[CATEGORIA],despesavariávelconsolidadomai[[#This Row],[DESPESA VARIÁVEL]])</f>
        <v>0</v>
      </c>
      <c r="X63" s="119" t="n">
        <f aca="false">SUMIFS(tabela_registros[VALOR],tabela_registros[MÊS],$AE$1,tabela_registros[DIA],maitotal30597183[[#Headers],[20]],tabela_registros[REGISTRO],DADOS!$N$4,tabela_registros[TIPO],DADOS!$P$4,tabela_registros[CATEGORIA],despesavariávelconsolidadomai[[#This Row],[DESPESA VARIÁVEL]])</f>
        <v>0</v>
      </c>
      <c r="Y63" s="119" t="n">
        <f aca="false">SUMIFS(tabela_registros[VALOR],tabela_registros[MÊS],$AE$1,tabela_registros[DIA],maitotal30597183[[#Headers],[21]],tabela_registros[REGISTRO],DADOS!$N$4,tabela_registros[TIPO],DADOS!$P$4,tabela_registros[CATEGORIA],despesavariávelconsolidadomai[[#This Row],[DESPESA VARIÁVEL]])</f>
        <v>0</v>
      </c>
      <c r="Z63" s="119" t="n">
        <f aca="false">SUMIFS(tabela_registros[VALOR],tabela_registros[MÊS],$AE$1,tabela_registros[DIA],maitotal30597183[[#Headers],[22]],tabela_registros[REGISTRO],DADOS!$N$4,tabela_registros[TIPO],DADOS!$P$4,tabela_registros[CATEGORIA],despesavariávelconsolidadomai[[#This Row],[DESPESA VARIÁVEL]])</f>
        <v>0</v>
      </c>
      <c r="AA63" s="119" t="n">
        <f aca="false">SUMIFS(tabela_registros[VALOR],tabela_registros[MÊS],$AE$1,tabela_registros[DIA],maitotal30597183[[#Headers],[23]],tabela_registros[REGISTRO],DADOS!$N$4,tabela_registros[TIPO],DADOS!$P$4,tabela_registros[CATEGORIA],despesavariávelconsolidadomai[[#This Row],[DESPESA VARIÁVEL]])</f>
        <v>0</v>
      </c>
      <c r="AB63" s="119" t="n">
        <f aca="false">SUMIFS(tabela_registros[VALOR],tabela_registros[MÊS],$AE$1,tabela_registros[DIA],maitotal30597183[[#Headers],[24]],tabela_registros[REGISTRO],DADOS!$N$4,tabela_registros[TIPO],DADOS!$P$4,tabela_registros[CATEGORIA],despesavariávelconsolidadomai[[#This Row],[DESPESA VARIÁVEL]])</f>
        <v>0</v>
      </c>
      <c r="AC63" s="119" t="n">
        <f aca="false">SUMIFS(tabela_registros[VALOR],tabela_registros[MÊS],$AE$1,tabela_registros[DIA],maitotal30597183[[#Headers],[25]],tabela_registros[REGISTRO],DADOS!$N$4,tabela_registros[TIPO],DADOS!$P$4,tabela_registros[CATEGORIA],despesavariávelconsolidadomai[[#This Row],[DESPESA VARIÁVEL]])</f>
        <v>0</v>
      </c>
      <c r="AD63" s="119" t="n">
        <f aca="false">SUMIFS(tabela_registros[VALOR],tabela_registros[MÊS],$AE$1,tabela_registros[DIA],maitotal30597183[[#Headers],[26]],tabela_registros[REGISTRO],DADOS!$N$4,tabela_registros[TIPO],DADOS!$P$4,tabela_registros[CATEGORIA],despesavariávelconsolidadomai[[#This Row],[DESPESA VARIÁVEL]])</f>
        <v>0</v>
      </c>
      <c r="AE63" s="119" t="n">
        <f aca="false">SUMIFS(tabela_registros[VALOR],tabela_registros[MÊS],$AE$1,tabela_registros[DIA],maitotal30597183[[#Headers],[27]],tabela_registros[REGISTRO],DADOS!$N$4,tabela_registros[TIPO],DADOS!$P$4,tabela_registros[CATEGORIA],despesavariávelconsolidadomai[[#This Row],[DESPESA VARIÁVEL]])</f>
        <v>0</v>
      </c>
      <c r="AF63" s="119" t="n">
        <f aca="false">SUMIFS(tabela_registros[VALOR],tabela_registros[MÊS],$AE$1,tabela_registros[DIA],maitotal30597183[[#Headers],[28]],tabela_registros[REGISTRO],DADOS!$N$4,tabela_registros[TIPO],DADOS!$P$4,tabela_registros[CATEGORIA],despesavariávelconsolidadomai[[#This Row],[DESPESA VARIÁVEL]])</f>
        <v>0</v>
      </c>
      <c r="AG63" s="119" t="n">
        <f aca="false">SUMIFS(tabela_registros[VALOR],tabela_registros[MÊS],$AE$1,tabela_registros[DIA],maitotal30597183[[#Headers],[29]],tabela_registros[REGISTRO],DADOS!$N$4,tabela_registros[TIPO],DADOS!$P$4,tabela_registros[CATEGORIA],despesavariávelconsolidadomai[[#This Row],[DESPESA VARIÁVEL]])</f>
        <v>0</v>
      </c>
      <c r="AH63" s="119" t="n">
        <f aca="false">SUMIFS(tabela_registros[VALOR],tabela_registros[MÊS],$AE$1,tabela_registros[DIA],maitotal30597183[[#Headers],[30]],tabela_registros[REGISTRO],DADOS!$N$4,tabela_registros[TIPO],DADOS!$P$4,tabela_registros[CATEGORIA],despesavariávelconsolidadomai[[#This Row],[DESPESA VARIÁVEL]])</f>
        <v>0</v>
      </c>
      <c r="AI63" s="217" t="n">
        <f aca="false">SUMIFS(tabela_registros[VALOR],tabela_registros[MÊS],$AE$1,tabela_registros[DIA],maitotal30597183[[#Headers],[31]],tabela_registros[REGISTRO],DADOS!$N$4,tabela_registros[TIPO],DADOS!$P$4,tabela_registros[CATEGORIA],despesavariávelconsolidadomai[[#This Row],[DESPESA VARIÁVEL]])</f>
        <v>0</v>
      </c>
      <c r="AJ63" s="149" t="n">
        <f aca="false">SUM(despesavariávelconsolidadomai[[#This Row],[1]:[31]])</f>
        <v>0</v>
      </c>
      <c r="AK63" s="143"/>
    </row>
    <row r="64" customFormat="false" ht="18" hidden="false" customHeight="true" outlineLevel="0" collapsed="false">
      <c r="B64" s="143"/>
      <c r="C64" s="144" t="str">
        <f aca="false">DADOS!$T$7</f>
        <v>🤝 DOAÇÃO</v>
      </c>
      <c r="D64" s="145" t="str">
        <f aca="false">IF(despesavariávelconsolidadomai[[#This Row],[TOTAL]]=0,"",IF(OR(despesavariávelconsolidadomai[[#This Row],[TOTAL]]=LARGE($AJ$60:$AJ$72,1),despesavariávelconsolidadomai[[#This Row],[TOTAL]]=LARGE($AJ$60:$AJ$72,2),despesavariávelconsolidadomai[[#This Row],[TOTAL]]=LARGE($AJ$60:$AJ$72,3),despesavariávelconsolidadomai[[#This Row],[TOTAL]]=LARGE($AJ$60:$AJ$72,4),despesavariávelconsolidadomai[[#This Row],[TOTAL]]=LARGE($AJ$60:$AJ$72,5)),DADOS!$I$8,""))</f>
        <v/>
      </c>
      <c r="E64" s="148" t="n">
        <f aca="false">SUMIFS(tabela_registros[VALOR],tabela_registros[MÊS],$AE$1,tabela_registros[DIA],maitotal30597183[[#Headers],[1]],tabela_registros[REGISTRO],DADOS!$N$4,tabela_registros[TIPO],DADOS!$P$4,tabela_registros[CATEGORIA],despesavariávelconsolidadomai[[#This Row],[DESPESA VARIÁVEL]])</f>
        <v>0</v>
      </c>
      <c r="F64" s="119" t="n">
        <f aca="false">SUMIFS(tabela_registros[VALOR],tabela_registros[MÊS],$AE$1,tabela_registros[DIA],maitotal30597183[[#Headers],[2]],tabela_registros[REGISTRO],DADOS!$N$4,tabela_registros[TIPO],DADOS!$P$4,tabela_registros[CATEGORIA],despesavariávelconsolidadomai[[#This Row],[DESPESA VARIÁVEL]])</f>
        <v>0</v>
      </c>
      <c r="G64" s="119" t="n">
        <f aca="false">SUMIFS(tabela_registros[VALOR],tabela_registros[MÊS],$AE$1,tabela_registros[DIA],maitotal30597183[[#Headers],[3]],tabela_registros[REGISTRO],DADOS!$N$4,tabela_registros[TIPO],DADOS!$P$4,tabela_registros[CATEGORIA],despesavariávelconsolidadomai[[#This Row],[DESPESA VARIÁVEL]])</f>
        <v>0</v>
      </c>
      <c r="H64" s="119" t="n">
        <f aca="false">SUMIFS(tabela_registros[VALOR],tabela_registros[MÊS],$AE$1,tabela_registros[DIA],maitotal30597183[[#Headers],[4]],tabela_registros[REGISTRO],DADOS!$N$4,tabela_registros[TIPO],DADOS!$P$4,tabela_registros[CATEGORIA],despesavariávelconsolidadomai[[#This Row],[DESPESA VARIÁVEL]])</f>
        <v>0</v>
      </c>
      <c r="I64" s="119" t="n">
        <f aca="false">SUMIFS(tabela_registros[VALOR],tabela_registros[MÊS],$AE$1,tabela_registros[DIA],maitotal30597183[[#Headers],[5]],tabela_registros[REGISTRO],DADOS!$N$4,tabela_registros[TIPO],DADOS!$P$4,tabela_registros[CATEGORIA],despesavariávelconsolidadomai[[#This Row],[DESPESA VARIÁVEL]])</f>
        <v>0</v>
      </c>
      <c r="J64" s="119" t="n">
        <f aca="false">SUMIFS(tabela_registros[VALOR],tabela_registros[MÊS],$AE$1,tabela_registros[DIA],maitotal30597183[[#Headers],[6]],tabela_registros[REGISTRO],DADOS!$N$4,tabela_registros[TIPO],DADOS!$P$4,tabela_registros[CATEGORIA],despesavariávelconsolidadomai[[#This Row],[DESPESA VARIÁVEL]])</f>
        <v>0</v>
      </c>
      <c r="K64" s="119" t="n">
        <f aca="false">SUMIFS(tabela_registros[VALOR],tabela_registros[MÊS],$AE$1,tabela_registros[DIA],maitotal30597183[[#Headers],[7]],tabela_registros[REGISTRO],DADOS!$N$4,tabela_registros[TIPO],DADOS!$P$4,tabela_registros[CATEGORIA],despesavariávelconsolidadomai[[#This Row],[DESPESA VARIÁVEL]])</f>
        <v>0</v>
      </c>
      <c r="L64" s="119" t="n">
        <f aca="false">SUMIFS(tabela_registros[VALOR],tabela_registros[MÊS],$AE$1,tabela_registros[DIA],maitotal30597183[[#Headers],[8]],tabela_registros[REGISTRO],DADOS!$N$4,tabela_registros[TIPO],DADOS!$P$4,tabela_registros[CATEGORIA],despesavariávelconsolidadomai[[#This Row],[DESPESA VARIÁVEL]])</f>
        <v>0</v>
      </c>
      <c r="M64" s="119" t="n">
        <f aca="false">SUMIFS(tabela_registros[VALOR],tabela_registros[MÊS],$AE$1,tabela_registros[DIA],maitotal30597183[[#Headers],[9]],tabela_registros[REGISTRO],DADOS!$N$4,tabela_registros[TIPO],DADOS!$P$4,tabela_registros[CATEGORIA],despesavariávelconsolidadomai[[#This Row],[DESPESA VARIÁVEL]])</f>
        <v>0</v>
      </c>
      <c r="N64" s="119" t="n">
        <f aca="false">SUMIFS(tabela_registros[VALOR],tabela_registros[MÊS],$AE$1,tabela_registros[DIA],maitotal30597183[[#Headers],[10]],tabela_registros[REGISTRO],DADOS!$N$4,tabela_registros[TIPO],DADOS!$P$4,tabela_registros[CATEGORIA],despesavariávelconsolidadomai[[#This Row],[DESPESA VARIÁVEL]])</f>
        <v>0</v>
      </c>
      <c r="O64" s="119" t="n">
        <f aca="false">SUMIFS(tabela_registros[VALOR],tabela_registros[MÊS],$AE$1,tabela_registros[DIA],maitotal30597183[[#Headers],[11]],tabela_registros[REGISTRO],DADOS!$N$4,tabela_registros[TIPO],DADOS!$P$4,tabela_registros[CATEGORIA],despesavariávelconsolidadomai[[#This Row],[DESPESA VARIÁVEL]])</f>
        <v>0</v>
      </c>
      <c r="P64" s="119" t="n">
        <f aca="false">SUMIFS(tabela_registros[VALOR],tabela_registros[MÊS],$AE$1,tabela_registros[DIA],maitotal30597183[[#Headers],[12]],tabela_registros[REGISTRO],DADOS!$N$4,tabela_registros[TIPO],DADOS!$P$4,tabela_registros[CATEGORIA],despesavariávelconsolidadomai[[#This Row],[DESPESA VARIÁVEL]])</f>
        <v>0</v>
      </c>
      <c r="Q64" s="119" t="n">
        <f aca="false">SUMIFS(tabela_registros[VALOR],tabela_registros[MÊS],$AE$1,tabela_registros[DIA],maitotal30597183[[#Headers],[13]],tabela_registros[REGISTRO],DADOS!$N$4,tabela_registros[TIPO],DADOS!$P$4,tabela_registros[CATEGORIA],despesavariávelconsolidadomai[[#This Row],[DESPESA VARIÁVEL]])</f>
        <v>0</v>
      </c>
      <c r="R64" s="119" t="n">
        <f aca="false">SUMIFS(tabela_registros[VALOR],tabela_registros[MÊS],$AE$1,tabela_registros[DIA],maitotal30597183[[#Headers],[14]],tabela_registros[REGISTRO],DADOS!$N$4,tabela_registros[TIPO],DADOS!$P$4,tabela_registros[CATEGORIA],despesavariávelconsolidadomai[[#This Row],[DESPESA VARIÁVEL]])</f>
        <v>0</v>
      </c>
      <c r="S64" s="119" t="n">
        <f aca="false">SUMIFS(tabela_registros[VALOR],tabela_registros[MÊS],$AE$1,tabela_registros[DIA],maitotal30597183[[#Headers],[15]],tabela_registros[REGISTRO],DADOS!$N$4,tabela_registros[TIPO],DADOS!$P$4,tabela_registros[CATEGORIA],despesavariávelconsolidadomai[[#This Row],[DESPESA VARIÁVEL]])</f>
        <v>0</v>
      </c>
      <c r="T64" s="119" t="n">
        <f aca="false">SUMIFS(tabela_registros[VALOR],tabela_registros[MÊS],$AE$1,tabela_registros[DIA],maitotal30597183[[#Headers],[16]],tabela_registros[REGISTRO],DADOS!$N$4,tabela_registros[TIPO],DADOS!$P$4,tabela_registros[CATEGORIA],despesavariávelconsolidadomai[[#This Row],[DESPESA VARIÁVEL]])</f>
        <v>0</v>
      </c>
      <c r="U64" s="119" t="n">
        <f aca="false">SUMIFS(tabela_registros[VALOR],tabela_registros[MÊS],$AE$1,tabela_registros[DIA],maitotal30597183[[#Headers],[17]],tabela_registros[REGISTRO],DADOS!$N$4,tabela_registros[TIPO],DADOS!$P$4,tabela_registros[CATEGORIA],despesavariávelconsolidadomai[[#This Row],[DESPESA VARIÁVEL]])</f>
        <v>0</v>
      </c>
      <c r="V64" s="119" t="n">
        <f aca="false">SUMIFS(tabela_registros[VALOR],tabela_registros[MÊS],$AE$1,tabela_registros[DIA],maitotal30597183[[#Headers],[18]],tabela_registros[REGISTRO],DADOS!$N$4,tabela_registros[TIPO],DADOS!$P$4,tabela_registros[CATEGORIA],despesavariávelconsolidadomai[[#This Row],[DESPESA VARIÁVEL]])</f>
        <v>0</v>
      </c>
      <c r="W64" s="119" t="n">
        <f aca="false">SUMIFS(tabela_registros[VALOR],tabela_registros[MÊS],$AE$1,tabela_registros[DIA],maitotal30597183[[#Headers],[19]],tabela_registros[REGISTRO],DADOS!$N$4,tabela_registros[TIPO],DADOS!$P$4,tabela_registros[CATEGORIA],despesavariávelconsolidadomai[[#This Row],[DESPESA VARIÁVEL]])</f>
        <v>0</v>
      </c>
      <c r="X64" s="119" t="n">
        <f aca="false">SUMIFS(tabela_registros[VALOR],tabela_registros[MÊS],$AE$1,tabela_registros[DIA],maitotal30597183[[#Headers],[20]],tabela_registros[REGISTRO],DADOS!$N$4,tabela_registros[TIPO],DADOS!$P$4,tabela_registros[CATEGORIA],despesavariávelconsolidadomai[[#This Row],[DESPESA VARIÁVEL]])</f>
        <v>0</v>
      </c>
      <c r="Y64" s="119" t="n">
        <f aca="false">SUMIFS(tabela_registros[VALOR],tabela_registros[MÊS],$AE$1,tabela_registros[DIA],maitotal30597183[[#Headers],[21]],tabela_registros[REGISTRO],DADOS!$N$4,tabela_registros[TIPO],DADOS!$P$4,tabela_registros[CATEGORIA],despesavariávelconsolidadomai[[#This Row],[DESPESA VARIÁVEL]])</f>
        <v>0</v>
      </c>
      <c r="Z64" s="119" t="n">
        <f aca="false">SUMIFS(tabela_registros[VALOR],tabela_registros[MÊS],$AE$1,tabela_registros[DIA],maitotal30597183[[#Headers],[22]],tabela_registros[REGISTRO],DADOS!$N$4,tabela_registros[TIPO],DADOS!$P$4,tabela_registros[CATEGORIA],despesavariávelconsolidadomai[[#This Row],[DESPESA VARIÁVEL]])</f>
        <v>0</v>
      </c>
      <c r="AA64" s="119" t="n">
        <f aca="false">SUMIFS(tabela_registros[VALOR],tabela_registros[MÊS],$AE$1,tabela_registros[DIA],maitotal30597183[[#Headers],[23]],tabela_registros[REGISTRO],DADOS!$N$4,tabela_registros[TIPO],DADOS!$P$4,tabela_registros[CATEGORIA],despesavariávelconsolidadomai[[#This Row],[DESPESA VARIÁVEL]])</f>
        <v>0</v>
      </c>
      <c r="AB64" s="119" t="n">
        <f aca="false">SUMIFS(tabela_registros[VALOR],tabela_registros[MÊS],$AE$1,tabela_registros[DIA],maitotal30597183[[#Headers],[24]],tabela_registros[REGISTRO],DADOS!$N$4,tabela_registros[TIPO],DADOS!$P$4,tabela_registros[CATEGORIA],despesavariávelconsolidadomai[[#This Row],[DESPESA VARIÁVEL]])</f>
        <v>0</v>
      </c>
      <c r="AC64" s="119" t="n">
        <f aca="false">SUMIFS(tabela_registros[VALOR],tabela_registros[MÊS],$AE$1,tabela_registros[DIA],maitotal30597183[[#Headers],[25]],tabela_registros[REGISTRO],DADOS!$N$4,tabela_registros[TIPO],DADOS!$P$4,tabela_registros[CATEGORIA],despesavariávelconsolidadomai[[#This Row],[DESPESA VARIÁVEL]])</f>
        <v>0</v>
      </c>
      <c r="AD64" s="119" t="n">
        <f aca="false">SUMIFS(tabela_registros[VALOR],tabela_registros[MÊS],$AE$1,tabela_registros[DIA],maitotal30597183[[#Headers],[26]],tabela_registros[REGISTRO],DADOS!$N$4,tabela_registros[TIPO],DADOS!$P$4,tabela_registros[CATEGORIA],despesavariávelconsolidadomai[[#This Row],[DESPESA VARIÁVEL]])</f>
        <v>0</v>
      </c>
      <c r="AE64" s="119" t="n">
        <f aca="false">SUMIFS(tabela_registros[VALOR],tabela_registros[MÊS],$AE$1,tabela_registros[DIA],maitotal30597183[[#Headers],[27]],tabela_registros[REGISTRO],DADOS!$N$4,tabela_registros[TIPO],DADOS!$P$4,tabela_registros[CATEGORIA],despesavariávelconsolidadomai[[#This Row],[DESPESA VARIÁVEL]])</f>
        <v>0</v>
      </c>
      <c r="AF64" s="119" t="n">
        <f aca="false">SUMIFS(tabela_registros[VALOR],tabela_registros[MÊS],$AE$1,tabela_registros[DIA],maitotal30597183[[#Headers],[28]],tabela_registros[REGISTRO],DADOS!$N$4,tabela_registros[TIPO],DADOS!$P$4,tabela_registros[CATEGORIA],despesavariávelconsolidadomai[[#This Row],[DESPESA VARIÁVEL]])</f>
        <v>0</v>
      </c>
      <c r="AG64" s="119" t="n">
        <f aca="false">SUMIFS(tabela_registros[VALOR],tabela_registros[MÊS],$AE$1,tabela_registros[DIA],maitotal30597183[[#Headers],[29]],tabela_registros[REGISTRO],DADOS!$N$4,tabela_registros[TIPO],DADOS!$P$4,tabela_registros[CATEGORIA],despesavariávelconsolidadomai[[#This Row],[DESPESA VARIÁVEL]])</f>
        <v>0</v>
      </c>
      <c r="AH64" s="119" t="n">
        <f aca="false">SUMIFS(tabela_registros[VALOR],tabela_registros[MÊS],$AE$1,tabela_registros[DIA],maitotal30597183[[#Headers],[30]],tabela_registros[REGISTRO],DADOS!$N$4,tabela_registros[TIPO],DADOS!$P$4,tabela_registros[CATEGORIA],despesavariávelconsolidadomai[[#This Row],[DESPESA VARIÁVEL]])</f>
        <v>0</v>
      </c>
      <c r="AI64" s="217" t="n">
        <f aca="false">SUMIFS(tabela_registros[VALOR],tabela_registros[MÊS],$AE$1,tabela_registros[DIA],maitotal30597183[[#Headers],[31]],tabela_registros[REGISTRO],DADOS!$N$4,tabela_registros[TIPO],DADOS!$P$4,tabela_registros[CATEGORIA],despesavariávelconsolidadomai[[#This Row],[DESPESA VARIÁVEL]])</f>
        <v>0</v>
      </c>
      <c r="AJ64" s="149" t="n">
        <f aca="false">SUM(despesavariávelconsolidadomai[[#This Row],[1]:[31]])</f>
        <v>0</v>
      </c>
      <c r="AK64" s="143"/>
    </row>
    <row r="65" customFormat="false" ht="18" hidden="false" customHeight="true" outlineLevel="0" collapsed="false">
      <c r="B65" s="143"/>
      <c r="C65" s="144" t="str">
        <f aca="false">DADOS!$T$8</f>
        <v>📖 EDUCAÇÃO</v>
      </c>
      <c r="D65" s="145" t="str">
        <f aca="false">IF(despesavariávelconsolidadomai[[#This Row],[TOTAL]]=0,"",IF(OR(despesavariávelconsolidadomai[[#This Row],[TOTAL]]=LARGE($AJ$60:$AJ$72,1),despesavariávelconsolidadomai[[#This Row],[TOTAL]]=LARGE($AJ$60:$AJ$72,2),despesavariávelconsolidadomai[[#This Row],[TOTAL]]=LARGE($AJ$60:$AJ$72,3),despesavariávelconsolidadomai[[#This Row],[TOTAL]]=LARGE($AJ$60:$AJ$72,4),despesavariávelconsolidadomai[[#This Row],[TOTAL]]=LARGE($AJ$60:$AJ$72,5)),DADOS!$I$8,""))</f>
        <v/>
      </c>
      <c r="E65" s="148" t="n">
        <f aca="false">SUMIFS(tabela_registros[VALOR],tabela_registros[MÊS],$AE$1,tabela_registros[DIA],maitotal30597183[[#Headers],[1]],tabela_registros[REGISTRO],DADOS!$N$4,tabela_registros[TIPO],DADOS!$P$4,tabela_registros[CATEGORIA],despesavariávelconsolidadomai[[#This Row],[DESPESA VARIÁVEL]])</f>
        <v>0</v>
      </c>
      <c r="F65" s="119" t="n">
        <f aca="false">SUMIFS(tabela_registros[VALOR],tabela_registros[MÊS],$AE$1,tabela_registros[DIA],maitotal30597183[[#Headers],[2]],tabela_registros[REGISTRO],DADOS!$N$4,tabela_registros[TIPO],DADOS!$P$4,tabela_registros[CATEGORIA],despesavariávelconsolidadomai[[#This Row],[DESPESA VARIÁVEL]])</f>
        <v>0</v>
      </c>
      <c r="G65" s="119" t="n">
        <f aca="false">SUMIFS(tabela_registros[VALOR],tabela_registros[MÊS],$AE$1,tabela_registros[DIA],maitotal30597183[[#Headers],[3]],tabela_registros[REGISTRO],DADOS!$N$4,tabela_registros[TIPO],DADOS!$P$4,tabela_registros[CATEGORIA],despesavariávelconsolidadomai[[#This Row],[DESPESA VARIÁVEL]])</f>
        <v>0</v>
      </c>
      <c r="H65" s="119" t="n">
        <f aca="false">SUMIFS(tabela_registros[VALOR],tabela_registros[MÊS],$AE$1,tabela_registros[DIA],maitotal30597183[[#Headers],[4]],tabela_registros[REGISTRO],DADOS!$N$4,tabela_registros[TIPO],DADOS!$P$4,tabela_registros[CATEGORIA],despesavariávelconsolidadomai[[#This Row],[DESPESA VARIÁVEL]])</f>
        <v>0</v>
      </c>
      <c r="I65" s="119" t="n">
        <f aca="false">SUMIFS(tabela_registros[VALOR],tabela_registros[MÊS],$AE$1,tabela_registros[DIA],maitotal30597183[[#Headers],[5]],tabela_registros[REGISTRO],DADOS!$N$4,tabela_registros[TIPO],DADOS!$P$4,tabela_registros[CATEGORIA],despesavariávelconsolidadomai[[#This Row],[DESPESA VARIÁVEL]])</f>
        <v>0</v>
      </c>
      <c r="J65" s="119" t="n">
        <f aca="false">SUMIFS(tabela_registros[VALOR],tabela_registros[MÊS],$AE$1,tabela_registros[DIA],maitotal30597183[[#Headers],[6]],tabela_registros[REGISTRO],DADOS!$N$4,tabela_registros[TIPO],DADOS!$P$4,tabela_registros[CATEGORIA],despesavariávelconsolidadomai[[#This Row],[DESPESA VARIÁVEL]])</f>
        <v>0</v>
      </c>
      <c r="K65" s="119" t="n">
        <f aca="false">SUMIFS(tabela_registros[VALOR],tabela_registros[MÊS],$AE$1,tabela_registros[DIA],maitotal30597183[[#Headers],[7]],tabela_registros[REGISTRO],DADOS!$N$4,tabela_registros[TIPO],DADOS!$P$4,tabela_registros[CATEGORIA],despesavariávelconsolidadomai[[#This Row],[DESPESA VARIÁVEL]])</f>
        <v>0</v>
      </c>
      <c r="L65" s="119" t="n">
        <f aca="false">SUMIFS(tabela_registros[VALOR],tabela_registros[MÊS],$AE$1,tabela_registros[DIA],maitotal30597183[[#Headers],[8]],tabela_registros[REGISTRO],DADOS!$N$4,tabela_registros[TIPO],DADOS!$P$4,tabela_registros[CATEGORIA],despesavariávelconsolidadomai[[#This Row],[DESPESA VARIÁVEL]])</f>
        <v>0</v>
      </c>
      <c r="M65" s="119" t="n">
        <f aca="false">SUMIFS(tabela_registros[VALOR],tabela_registros[MÊS],$AE$1,tabela_registros[DIA],maitotal30597183[[#Headers],[9]],tabela_registros[REGISTRO],DADOS!$N$4,tabela_registros[TIPO],DADOS!$P$4,tabela_registros[CATEGORIA],despesavariávelconsolidadomai[[#This Row],[DESPESA VARIÁVEL]])</f>
        <v>0</v>
      </c>
      <c r="N65" s="119" t="n">
        <f aca="false">SUMIFS(tabela_registros[VALOR],tabela_registros[MÊS],$AE$1,tabela_registros[DIA],maitotal30597183[[#Headers],[10]],tabela_registros[REGISTRO],DADOS!$N$4,tabela_registros[TIPO],DADOS!$P$4,tabela_registros[CATEGORIA],despesavariávelconsolidadomai[[#This Row],[DESPESA VARIÁVEL]])</f>
        <v>0</v>
      </c>
      <c r="O65" s="119" t="n">
        <f aca="false">SUMIFS(tabela_registros[VALOR],tabela_registros[MÊS],$AE$1,tabela_registros[DIA],maitotal30597183[[#Headers],[11]],tabela_registros[REGISTRO],DADOS!$N$4,tabela_registros[TIPO],DADOS!$P$4,tabela_registros[CATEGORIA],despesavariávelconsolidadomai[[#This Row],[DESPESA VARIÁVEL]])</f>
        <v>0</v>
      </c>
      <c r="P65" s="119" t="n">
        <f aca="false">SUMIFS(tabela_registros[VALOR],tabela_registros[MÊS],$AE$1,tabela_registros[DIA],maitotal30597183[[#Headers],[12]],tabela_registros[REGISTRO],DADOS!$N$4,tabela_registros[TIPO],DADOS!$P$4,tabela_registros[CATEGORIA],despesavariávelconsolidadomai[[#This Row],[DESPESA VARIÁVEL]])</f>
        <v>0</v>
      </c>
      <c r="Q65" s="119" t="n">
        <f aca="false">SUMIFS(tabela_registros[VALOR],tabela_registros[MÊS],$AE$1,tabela_registros[DIA],maitotal30597183[[#Headers],[13]],tabela_registros[REGISTRO],DADOS!$N$4,tabela_registros[TIPO],DADOS!$P$4,tabela_registros[CATEGORIA],despesavariávelconsolidadomai[[#This Row],[DESPESA VARIÁVEL]])</f>
        <v>0</v>
      </c>
      <c r="R65" s="119" t="n">
        <f aca="false">SUMIFS(tabela_registros[VALOR],tabela_registros[MÊS],$AE$1,tabela_registros[DIA],maitotal30597183[[#Headers],[14]],tabela_registros[REGISTRO],DADOS!$N$4,tabela_registros[TIPO],DADOS!$P$4,tabela_registros[CATEGORIA],despesavariávelconsolidadomai[[#This Row],[DESPESA VARIÁVEL]])</f>
        <v>0</v>
      </c>
      <c r="S65" s="119" t="n">
        <f aca="false">SUMIFS(tabela_registros[VALOR],tabela_registros[MÊS],$AE$1,tabela_registros[DIA],maitotal30597183[[#Headers],[15]],tabela_registros[REGISTRO],DADOS!$N$4,tabela_registros[TIPO],DADOS!$P$4,tabela_registros[CATEGORIA],despesavariávelconsolidadomai[[#This Row],[DESPESA VARIÁVEL]])</f>
        <v>0</v>
      </c>
      <c r="T65" s="119" t="n">
        <f aca="false">SUMIFS(tabela_registros[VALOR],tabela_registros[MÊS],$AE$1,tabela_registros[DIA],maitotal30597183[[#Headers],[16]],tabela_registros[REGISTRO],DADOS!$N$4,tabela_registros[TIPO],DADOS!$P$4,tabela_registros[CATEGORIA],despesavariávelconsolidadomai[[#This Row],[DESPESA VARIÁVEL]])</f>
        <v>0</v>
      </c>
      <c r="U65" s="119" t="n">
        <f aca="false">SUMIFS(tabela_registros[VALOR],tabela_registros[MÊS],$AE$1,tabela_registros[DIA],maitotal30597183[[#Headers],[17]],tabela_registros[REGISTRO],DADOS!$N$4,tabela_registros[TIPO],DADOS!$P$4,tabela_registros[CATEGORIA],despesavariávelconsolidadomai[[#This Row],[DESPESA VARIÁVEL]])</f>
        <v>0</v>
      </c>
      <c r="V65" s="119" t="n">
        <f aca="false">SUMIFS(tabela_registros[VALOR],tabela_registros[MÊS],$AE$1,tabela_registros[DIA],maitotal30597183[[#Headers],[18]],tabela_registros[REGISTRO],DADOS!$N$4,tabela_registros[TIPO],DADOS!$P$4,tabela_registros[CATEGORIA],despesavariávelconsolidadomai[[#This Row],[DESPESA VARIÁVEL]])</f>
        <v>0</v>
      </c>
      <c r="W65" s="119" t="n">
        <f aca="false">SUMIFS(tabela_registros[VALOR],tabela_registros[MÊS],$AE$1,tabela_registros[DIA],maitotal30597183[[#Headers],[19]],tabela_registros[REGISTRO],DADOS!$N$4,tabela_registros[TIPO],DADOS!$P$4,tabela_registros[CATEGORIA],despesavariávelconsolidadomai[[#This Row],[DESPESA VARIÁVEL]])</f>
        <v>0</v>
      </c>
      <c r="X65" s="119" t="n">
        <f aca="false">SUMIFS(tabela_registros[VALOR],tabela_registros[MÊS],$AE$1,tabela_registros[DIA],maitotal30597183[[#Headers],[20]],tabela_registros[REGISTRO],DADOS!$N$4,tabela_registros[TIPO],DADOS!$P$4,tabela_registros[CATEGORIA],despesavariávelconsolidadomai[[#This Row],[DESPESA VARIÁVEL]])</f>
        <v>0</v>
      </c>
      <c r="Y65" s="119" t="n">
        <f aca="false">SUMIFS(tabela_registros[VALOR],tabela_registros[MÊS],$AE$1,tabela_registros[DIA],maitotal30597183[[#Headers],[21]],tabela_registros[REGISTRO],DADOS!$N$4,tabela_registros[TIPO],DADOS!$P$4,tabela_registros[CATEGORIA],despesavariávelconsolidadomai[[#This Row],[DESPESA VARIÁVEL]])</f>
        <v>0</v>
      </c>
      <c r="Z65" s="119" t="n">
        <f aca="false">SUMIFS(tabela_registros[VALOR],tabela_registros[MÊS],$AE$1,tabela_registros[DIA],maitotal30597183[[#Headers],[22]],tabela_registros[REGISTRO],DADOS!$N$4,tabela_registros[TIPO],DADOS!$P$4,tabela_registros[CATEGORIA],despesavariávelconsolidadomai[[#This Row],[DESPESA VARIÁVEL]])</f>
        <v>0</v>
      </c>
      <c r="AA65" s="119" t="n">
        <f aca="false">SUMIFS(tabela_registros[VALOR],tabela_registros[MÊS],$AE$1,tabela_registros[DIA],maitotal30597183[[#Headers],[23]],tabela_registros[REGISTRO],DADOS!$N$4,tabela_registros[TIPO],DADOS!$P$4,tabela_registros[CATEGORIA],despesavariávelconsolidadomai[[#This Row],[DESPESA VARIÁVEL]])</f>
        <v>0</v>
      </c>
      <c r="AB65" s="119" t="n">
        <f aca="false">SUMIFS(tabela_registros[VALOR],tabela_registros[MÊS],$AE$1,tabela_registros[DIA],maitotal30597183[[#Headers],[24]],tabela_registros[REGISTRO],DADOS!$N$4,tabela_registros[TIPO],DADOS!$P$4,tabela_registros[CATEGORIA],despesavariávelconsolidadomai[[#This Row],[DESPESA VARIÁVEL]])</f>
        <v>0</v>
      </c>
      <c r="AC65" s="119" t="n">
        <f aca="false">SUMIFS(tabela_registros[VALOR],tabela_registros[MÊS],$AE$1,tabela_registros[DIA],maitotal30597183[[#Headers],[25]],tabela_registros[REGISTRO],DADOS!$N$4,tabela_registros[TIPO],DADOS!$P$4,tabela_registros[CATEGORIA],despesavariávelconsolidadomai[[#This Row],[DESPESA VARIÁVEL]])</f>
        <v>0</v>
      </c>
      <c r="AD65" s="119" t="n">
        <f aca="false">SUMIFS(tabela_registros[VALOR],tabela_registros[MÊS],$AE$1,tabela_registros[DIA],maitotal30597183[[#Headers],[26]],tabela_registros[REGISTRO],DADOS!$N$4,tabela_registros[TIPO],DADOS!$P$4,tabela_registros[CATEGORIA],despesavariávelconsolidadomai[[#This Row],[DESPESA VARIÁVEL]])</f>
        <v>0</v>
      </c>
      <c r="AE65" s="119" t="n">
        <f aca="false">SUMIFS(tabela_registros[VALOR],tabela_registros[MÊS],$AE$1,tabela_registros[DIA],maitotal30597183[[#Headers],[27]],tabela_registros[REGISTRO],DADOS!$N$4,tabela_registros[TIPO],DADOS!$P$4,tabela_registros[CATEGORIA],despesavariávelconsolidadomai[[#This Row],[DESPESA VARIÁVEL]])</f>
        <v>0</v>
      </c>
      <c r="AF65" s="119" t="n">
        <f aca="false">SUMIFS(tabela_registros[VALOR],tabela_registros[MÊS],$AE$1,tabela_registros[DIA],maitotal30597183[[#Headers],[28]],tabela_registros[REGISTRO],DADOS!$N$4,tabela_registros[TIPO],DADOS!$P$4,tabela_registros[CATEGORIA],despesavariávelconsolidadomai[[#This Row],[DESPESA VARIÁVEL]])</f>
        <v>0</v>
      </c>
      <c r="AG65" s="119" t="n">
        <f aca="false">SUMIFS(tabela_registros[VALOR],tabela_registros[MÊS],$AE$1,tabela_registros[DIA],maitotal30597183[[#Headers],[29]],tabela_registros[REGISTRO],DADOS!$N$4,tabela_registros[TIPO],DADOS!$P$4,tabela_registros[CATEGORIA],despesavariávelconsolidadomai[[#This Row],[DESPESA VARIÁVEL]])</f>
        <v>0</v>
      </c>
      <c r="AH65" s="119" t="n">
        <f aca="false">SUMIFS(tabela_registros[VALOR],tabela_registros[MÊS],$AE$1,tabela_registros[DIA],maitotal30597183[[#Headers],[30]],tabela_registros[REGISTRO],DADOS!$N$4,tabela_registros[TIPO],DADOS!$P$4,tabela_registros[CATEGORIA],despesavariávelconsolidadomai[[#This Row],[DESPESA VARIÁVEL]])</f>
        <v>0</v>
      </c>
      <c r="AI65" s="217" t="n">
        <f aca="false">SUMIFS(tabela_registros[VALOR],tabela_registros[MÊS],$AE$1,tabela_registros[DIA],maitotal30597183[[#Headers],[31]],tabela_registros[REGISTRO],DADOS!$N$4,tabela_registros[TIPO],DADOS!$P$4,tabela_registros[CATEGORIA],despesavariávelconsolidadomai[[#This Row],[DESPESA VARIÁVEL]])</f>
        <v>0</v>
      </c>
      <c r="AJ65" s="149" t="n">
        <f aca="false">SUM(despesavariávelconsolidadomai[[#This Row],[1]:[31]])</f>
        <v>0</v>
      </c>
      <c r="AK65" s="143"/>
    </row>
    <row r="66" customFormat="false" ht="18" hidden="false" customHeight="true" outlineLevel="0" collapsed="false">
      <c r="B66" s="143"/>
      <c r="C66" s="144" t="str">
        <f aca="false">DADOS!$T$9</f>
        <v>🎭 LAZER</v>
      </c>
      <c r="D66" s="145" t="str">
        <f aca="false">IF(despesavariávelconsolidadomai[[#This Row],[TOTAL]]=0,"",IF(OR(despesavariávelconsolidadomai[[#This Row],[TOTAL]]=LARGE($AJ$60:$AJ$72,1),despesavariávelconsolidadomai[[#This Row],[TOTAL]]=LARGE($AJ$60:$AJ$72,2),despesavariávelconsolidadomai[[#This Row],[TOTAL]]=LARGE($AJ$60:$AJ$72,3),despesavariávelconsolidadomai[[#This Row],[TOTAL]]=LARGE($AJ$60:$AJ$72,4),despesavariávelconsolidadomai[[#This Row],[TOTAL]]=LARGE($AJ$60:$AJ$72,5)),DADOS!$I$8,""))</f>
        <v/>
      </c>
      <c r="E66" s="148" t="n">
        <f aca="false">SUMIFS(tabela_registros[VALOR],tabela_registros[MÊS],$AE$1,tabela_registros[DIA],maitotal30597183[[#Headers],[1]],tabela_registros[REGISTRO],DADOS!$N$4,tabela_registros[TIPO],DADOS!$P$4,tabela_registros[CATEGORIA],despesavariávelconsolidadomai[[#This Row],[DESPESA VARIÁVEL]])</f>
        <v>0</v>
      </c>
      <c r="F66" s="119" t="n">
        <f aca="false">SUMIFS(tabela_registros[VALOR],tabela_registros[MÊS],$AE$1,tabela_registros[DIA],maitotal30597183[[#Headers],[2]],tabela_registros[REGISTRO],DADOS!$N$4,tabela_registros[TIPO],DADOS!$P$4,tabela_registros[CATEGORIA],despesavariávelconsolidadomai[[#This Row],[DESPESA VARIÁVEL]])</f>
        <v>0</v>
      </c>
      <c r="G66" s="119" t="n">
        <f aca="false">SUMIFS(tabela_registros[VALOR],tabela_registros[MÊS],$AE$1,tabela_registros[DIA],maitotal30597183[[#Headers],[3]],tabela_registros[REGISTRO],DADOS!$N$4,tabela_registros[TIPO],DADOS!$P$4,tabela_registros[CATEGORIA],despesavariávelconsolidadomai[[#This Row],[DESPESA VARIÁVEL]])</f>
        <v>0</v>
      </c>
      <c r="H66" s="119" t="n">
        <f aca="false">SUMIFS(tabela_registros[VALOR],tabela_registros[MÊS],$AE$1,tabela_registros[DIA],maitotal30597183[[#Headers],[4]],tabela_registros[REGISTRO],DADOS!$N$4,tabela_registros[TIPO],DADOS!$P$4,tabela_registros[CATEGORIA],despesavariávelconsolidadomai[[#This Row],[DESPESA VARIÁVEL]])</f>
        <v>0</v>
      </c>
      <c r="I66" s="119" t="n">
        <f aca="false">SUMIFS(tabela_registros[VALOR],tabela_registros[MÊS],$AE$1,tabela_registros[DIA],maitotal30597183[[#Headers],[5]],tabela_registros[REGISTRO],DADOS!$N$4,tabela_registros[TIPO],DADOS!$P$4,tabela_registros[CATEGORIA],despesavariávelconsolidadomai[[#This Row],[DESPESA VARIÁVEL]])</f>
        <v>0</v>
      </c>
      <c r="J66" s="119" t="n">
        <f aca="false">SUMIFS(tabela_registros[VALOR],tabela_registros[MÊS],$AE$1,tabela_registros[DIA],maitotal30597183[[#Headers],[6]],tabela_registros[REGISTRO],DADOS!$N$4,tabela_registros[TIPO],DADOS!$P$4,tabela_registros[CATEGORIA],despesavariávelconsolidadomai[[#This Row],[DESPESA VARIÁVEL]])</f>
        <v>0</v>
      </c>
      <c r="K66" s="119" t="n">
        <f aca="false">SUMIFS(tabela_registros[VALOR],tabela_registros[MÊS],$AE$1,tabela_registros[DIA],maitotal30597183[[#Headers],[7]],tabela_registros[REGISTRO],DADOS!$N$4,tabela_registros[TIPO],DADOS!$P$4,tabela_registros[CATEGORIA],despesavariávelconsolidadomai[[#This Row],[DESPESA VARIÁVEL]])</f>
        <v>0</v>
      </c>
      <c r="L66" s="119" t="n">
        <f aca="false">SUMIFS(tabela_registros[VALOR],tabela_registros[MÊS],$AE$1,tabela_registros[DIA],maitotal30597183[[#Headers],[8]],tabela_registros[REGISTRO],DADOS!$N$4,tabela_registros[TIPO],DADOS!$P$4,tabela_registros[CATEGORIA],despesavariávelconsolidadomai[[#This Row],[DESPESA VARIÁVEL]])</f>
        <v>0</v>
      </c>
      <c r="M66" s="119" t="n">
        <f aca="false">SUMIFS(tabela_registros[VALOR],tabela_registros[MÊS],$AE$1,tabela_registros[DIA],maitotal30597183[[#Headers],[9]],tabela_registros[REGISTRO],DADOS!$N$4,tabela_registros[TIPO],DADOS!$P$4,tabela_registros[CATEGORIA],despesavariávelconsolidadomai[[#This Row],[DESPESA VARIÁVEL]])</f>
        <v>0</v>
      </c>
      <c r="N66" s="119" t="n">
        <f aca="false">SUMIFS(tabela_registros[VALOR],tabela_registros[MÊS],$AE$1,tabela_registros[DIA],maitotal30597183[[#Headers],[10]],tabela_registros[REGISTRO],DADOS!$N$4,tabela_registros[TIPO],DADOS!$P$4,tabela_registros[CATEGORIA],despesavariávelconsolidadomai[[#This Row],[DESPESA VARIÁVEL]])</f>
        <v>0</v>
      </c>
      <c r="O66" s="119" t="n">
        <f aca="false">SUMIFS(tabela_registros[VALOR],tabela_registros[MÊS],$AE$1,tabela_registros[DIA],maitotal30597183[[#Headers],[11]],tabela_registros[REGISTRO],DADOS!$N$4,tabela_registros[TIPO],DADOS!$P$4,tabela_registros[CATEGORIA],despesavariávelconsolidadomai[[#This Row],[DESPESA VARIÁVEL]])</f>
        <v>0</v>
      </c>
      <c r="P66" s="119" t="n">
        <f aca="false">SUMIFS(tabela_registros[VALOR],tabela_registros[MÊS],$AE$1,tabela_registros[DIA],maitotal30597183[[#Headers],[12]],tabela_registros[REGISTRO],DADOS!$N$4,tabela_registros[TIPO],DADOS!$P$4,tabela_registros[CATEGORIA],despesavariávelconsolidadomai[[#This Row],[DESPESA VARIÁVEL]])</f>
        <v>0</v>
      </c>
      <c r="Q66" s="119" t="n">
        <f aca="false">SUMIFS(tabela_registros[VALOR],tabela_registros[MÊS],$AE$1,tabela_registros[DIA],maitotal30597183[[#Headers],[13]],tabela_registros[REGISTRO],DADOS!$N$4,tabela_registros[TIPO],DADOS!$P$4,tabela_registros[CATEGORIA],despesavariávelconsolidadomai[[#This Row],[DESPESA VARIÁVEL]])</f>
        <v>0</v>
      </c>
      <c r="R66" s="119" t="n">
        <f aca="false">SUMIFS(tabela_registros[VALOR],tabela_registros[MÊS],$AE$1,tabela_registros[DIA],maitotal30597183[[#Headers],[14]],tabela_registros[REGISTRO],DADOS!$N$4,tabela_registros[TIPO],DADOS!$P$4,tabela_registros[CATEGORIA],despesavariávelconsolidadomai[[#This Row],[DESPESA VARIÁVEL]])</f>
        <v>0</v>
      </c>
      <c r="S66" s="119" t="n">
        <f aca="false">SUMIFS(tabela_registros[VALOR],tabela_registros[MÊS],$AE$1,tabela_registros[DIA],maitotal30597183[[#Headers],[15]],tabela_registros[REGISTRO],DADOS!$N$4,tabela_registros[TIPO],DADOS!$P$4,tabela_registros[CATEGORIA],despesavariávelconsolidadomai[[#This Row],[DESPESA VARIÁVEL]])</f>
        <v>0</v>
      </c>
      <c r="T66" s="119" t="n">
        <f aca="false">SUMIFS(tabela_registros[VALOR],tabela_registros[MÊS],$AE$1,tabela_registros[DIA],maitotal30597183[[#Headers],[16]],tabela_registros[REGISTRO],DADOS!$N$4,tabela_registros[TIPO],DADOS!$P$4,tabela_registros[CATEGORIA],despesavariávelconsolidadomai[[#This Row],[DESPESA VARIÁVEL]])</f>
        <v>0</v>
      </c>
      <c r="U66" s="119" t="n">
        <f aca="false">SUMIFS(tabela_registros[VALOR],tabela_registros[MÊS],$AE$1,tabela_registros[DIA],maitotal30597183[[#Headers],[17]],tabela_registros[REGISTRO],DADOS!$N$4,tabela_registros[TIPO],DADOS!$P$4,tabela_registros[CATEGORIA],despesavariávelconsolidadomai[[#This Row],[DESPESA VARIÁVEL]])</f>
        <v>0</v>
      </c>
      <c r="V66" s="119" t="n">
        <f aca="false">SUMIFS(tabela_registros[VALOR],tabela_registros[MÊS],$AE$1,tabela_registros[DIA],maitotal30597183[[#Headers],[18]],tabela_registros[REGISTRO],DADOS!$N$4,tabela_registros[TIPO],DADOS!$P$4,tabela_registros[CATEGORIA],despesavariávelconsolidadomai[[#This Row],[DESPESA VARIÁVEL]])</f>
        <v>0</v>
      </c>
      <c r="W66" s="119" t="n">
        <f aca="false">SUMIFS(tabela_registros[VALOR],tabela_registros[MÊS],$AE$1,tabela_registros[DIA],maitotal30597183[[#Headers],[19]],tabela_registros[REGISTRO],DADOS!$N$4,tabela_registros[TIPO],DADOS!$P$4,tabela_registros[CATEGORIA],despesavariávelconsolidadomai[[#This Row],[DESPESA VARIÁVEL]])</f>
        <v>0</v>
      </c>
      <c r="X66" s="119" t="n">
        <f aca="false">SUMIFS(tabela_registros[VALOR],tabela_registros[MÊS],$AE$1,tabela_registros[DIA],maitotal30597183[[#Headers],[20]],tabela_registros[REGISTRO],DADOS!$N$4,tabela_registros[TIPO],DADOS!$P$4,tabela_registros[CATEGORIA],despesavariávelconsolidadomai[[#This Row],[DESPESA VARIÁVEL]])</f>
        <v>0</v>
      </c>
      <c r="Y66" s="119" t="n">
        <f aca="false">SUMIFS(tabela_registros[VALOR],tabela_registros[MÊS],$AE$1,tabela_registros[DIA],maitotal30597183[[#Headers],[21]],tabela_registros[REGISTRO],DADOS!$N$4,tabela_registros[TIPO],DADOS!$P$4,tabela_registros[CATEGORIA],despesavariávelconsolidadomai[[#This Row],[DESPESA VARIÁVEL]])</f>
        <v>0</v>
      </c>
      <c r="Z66" s="119" t="n">
        <f aca="false">SUMIFS(tabela_registros[VALOR],tabela_registros[MÊS],$AE$1,tabela_registros[DIA],maitotal30597183[[#Headers],[22]],tabela_registros[REGISTRO],DADOS!$N$4,tabela_registros[TIPO],DADOS!$P$4,tabela_registros[CATEGORIA],despesavariávelconsolidadomai[[#This Row],[DESPESA VARIÁVEL]])</f>
        <v>0</v>
      </c>
      <c r="AA66" s="119" t="n">
        <f aca="false">SUMIFS(tabela_registros[VALOR],tabela_registros[MÊS],$AE$1,tabela_registros[DIA],maitotal30597183[[#Headers],[23]],tabela_registros[REGISTRO],DADOS!$N$4,tabela_registros[TIPO],DADOS!$P$4,tabela_registros[CATEGORIA],despesavariávelconsolidadomai[[#This Row],[DESPESA VARIÁVEL]])</f>
        <v>0</v>
      </c>
      <c r="AB66" s="119" t="n">
        <f aca="false">SUMIFS(tabela_registros[VALOR],tabela_registros[MÊS],$AE$1,tabela_registros[DIA],maitotal30597183[[#Headers],[24]],tabela_registros[REGISTRO],DADOS!$N$4,tabela_registros[TIPO],DADOS!$P$4,tabela_registros[CATEGORIA],despesavariávelconsolidadomai[[#This Row],[DESPESA VARIÁVEL]])</f>
        <v>0</v>
      </c>
      <c r="AC66" s="119" t="n">
        <f aca="false">SUMIFS(tabela_registros[VALOR],tabela_registros[MÊS],$AE$1,tabela_registros[DIA],maitotal30597183[[#Headers],[25]],tabela_registros[REGISTRO],DADOS!$N$4,tabela_registros[TIPO],DADOS!$P$4,tabela_registros[CATEGORIA],despesavariávelconsolidadomai[[#This Row],[DESPESA VARIÁVEL]])</f>
        <v>0</v>
      </c>
      <c r="AD66" s="119" t="n">
        <f aca="false">SUMIFS(tabela_registros[VALOR],tabela_registros[MÊS],$AE$1,tabela_registros[DIA],maitotal30597183[[#Headers],[26]],tabela_registros[REGISTRO],DADOS!$N$4,tabela_registros[TIPO],DADOS!$P$4,tabela_registros[CATEGORIA],despesavariávelconsolidadomai[[#This Row],[DESPESA VARIÁVEL]])</f>
        <v>0</v>
      </c>
      <c r="AE66" s="119" t="n">
        <f aca="false">SUMIFS(tabela_registros[VALOR],tabela_registros[MÊS],$AE$1,tabela_registros[DIA],maitotal30597183[[#Headers],[27]],tabela_registros[REGISTRO],DADOS!$N$4,tabela_registros[TIPO],DADOS!$P$4,tabela_registros[CATEGORIA],despesavariávelconsolidadomai[[#This Row],[DESPESA VARIÁVEL]])</f>
        <v>0</v>
      </c>
      <c r="AF66" s="119" t="n">
        <f aca="false">SUMIFS(tabela_registros[VALOR],tabela_registros[MÊS],$AE$1,tabela_registros[DIA],maitotal30597183[[#Headers],[28]],tabela_registros[REGISTRO],DADOS!$N$4,tabela_registros[TIPO],DADOS!$P$4,tabela_registros[CATEGORIA],despesavariávelconsolidadomai[[#This Row],[DESPESA VARIÁVEL]])</f>
        <v>0</v>
      </c>
      <c r="AG66" s="119" t="n">
        <f aca="false">SUMIFS(tabela_registros[VALOR],tabela_registros[MÊS],$AE$1,tabela_registros[DIA],maitotal30597183[[#Headers],[29]],tabela_registros[REGISTRO],DADOS!$N$4,tabela_registros[TIPO],DADOS!$P$4,tabela_registros[CATEGORIA],despesavariávelconsolidadomai[[#This Row],[DESPESA VARIÁVEL]])</f>
        <v>0</v>
      </c>
      <c r="AH66" s="119" t="n">
        <f aca="false">SUMIFS(tabela_registros[VALOR],tabela_registros[MÊS],$AE$1,tabela_registros[DIA],maitotal30597183[[#Headers],[30]],tabela_registros[REGISTRO],DADOS!$N$4,tabela_registros[TIPO],DADOS!$P$4,tabela_registros[CATEGORIA],despesavariávelconsolidadomai[[#This Row],[DESPESA VARIÁVEL]])</f>
        <v>0</v>
      </c>
      <c r="AI66" s="217" t="n">
        <f aca="false">SUMIFS(tabela_registros[VALOR],tabela_registros[MÊS],$AE$1,tabela_registros[DIA],maitotal30597183[[#Headers],[31]],tabela_registros[REGISTRO],DADOS!$N$4,tabela_registros[TIPO],DADOS!$P$4,tabela_registros[CATEGORIA],despesavariávelconsolidadomai[[#This Row],[DESPESA VARIÁVEL]])</f>
        <v>0</v>
      </c>
      <c r="AJ66" s="149" t="n">
        <f aca="false">SUM(despesavariávelconsolidadomai[[#This Row],[1]:[31]])</f>
        <v>0</v>
      </c>
      <c r="AK66" s="143"/>
    </row>
    <row r="67" customFormat="false" ht="18" hidden="false" customHeight="true" outlineLevel="0" collapsed="false">
      <c r="B67" s="143"/>
      <c r="C67" s="144" t="str">
        <f aca="false">DADOS!$T$10</f>
        <v>🛒 MERCADO</v>
      </c>
      <c r="D67" s="145" t="str">
        <f aca="false">IF(despesavariávelconsolidadomai[[#This Row],[TOTAL]]=0,"",IF(OR(despesavariávelconsolidadomai[[#This Row],[TOTAL]]=LARGE($AJ$60:$AJ$72,1),despesavariávelconsolidadomai[[#This Row],[TOTAL]]=LARGE($AJ$60:$AJ$72,2),despesavariávelconsolidadomai[[#This Row],[TOTAL]]=LARGE($AJ$60:$AJ$72,3),despesavariávelconsolidadomai[[#This Row],[TOTAL]]=LARGE($AJ$60:$AJ$72,4),despesavariávelconsolidadomai[[#This Row],[TOTAL]]=LARGE($AJ$60:$AJ$72,5)),DADOS!$I$8,""))</f>
        <v/>
      </c>
      <c r="E67" s="148" t="n">
        <f aca="false">SUMIFS(tabela_registros[VALOR],tabela_registros[MÊS],$AE$1,tabela_registros[DIA],maitotal30597183[[#Headers],[1]],tabela_registros[REGISTRO],DADOS!$N$4,tabela_registros[TIPO],DADOS!$P$4,tabela_registros[CATEGORIA],despesavariávelconsolidadomai[[#This Row],[DESPESA VARIÁVEL]])</f>
        <v>0</v>
      </c>
      <c r="F67" s="119" t="n">
        <f aca="false">SUMIFS(tabela_registros[VALOR],tabela_registros[MÊS],$AE$1,tabela_registros[DIA],maitotal30597183[[#Headers],[2]],tabela_registros[REGISTRO],DADOS!$N$4,tabela_registros[TIPO],DADOS!$P$4,tabela_registros[CATEGORIA],despesavariávelconsolidadomai[[#This Row],[DESPESA VARIÁVEL]])</f>
        <v>0</v>
      </c>
      <c r="G67" s="119" t="n">
        <f aca="false">SUMIFS(tabela_registros[VALOR],tabela_registros[MÊS],$AE$1,tabela_registros[DIA],maitotal30597183[[#Headers],[3]],tabela_registros[REGISTRO],DADOS!$N$4,tabela_registros[TIPO],DADOS!$P$4,tabela_registros[CATEGORIA],despesavariávelconsolidadomai[[#This Row],[DESPESA VARIÁVEL]])</f>
        <v>0</v>
      </c>
      <c r="H67" s="119" t="n">
        <f aca="false">SUMIFS(tabela_registros[VALOR],tabela_registros[MÊS],$AE$1,tabela_registros[DIA],maitotal30597183[[#Headers],[4]],tabela_registros[REGISTRO],DADOS!$N$4,tabela_registros[TIPO],DADOS!$P$4,tabela_registros[CATEGORIA],despesavariávelconsolidadomai[[#This Row],[DESPESA VARIÁVEL]])</f>
        <v>0</v>
      </c>
      <c r="I67" s="119" t="n">
        <f aca="false">SUMIFS(tabela_registros[VALOR],tabela_registros[MÊS],$AE$1,tabela_registros[DIA],maitotal30597183[[#Headers],[5]],tabela_registros[REGISTRO],DADOS!$N$4,tabela_registros[TIPO],DADOS!$P$4,tabela_registros[CATEGORIA],despesavariávelconsolidadomai[[#This Row],[DESPESA VARIÁVEL]])</f>
        <v>0</v>
      </c>
      <c r="J67" s="119" t="n">
        <f aca="false">SUMIFS(tabela_registros[VALOR],tabela_registros[MÊS],$AE$1,tabela_registros[DIA],maitotal30597183[[#Headers],[6]],tabela_registros[REGISTRO],DADOS!$N$4,tabela_registros[TIPO],DADOS!$P$4,tabela_registros[CATEGORIA],despesavariávelconsolidadomai[[#This Row],[DESPESA VARIÁVEL]])</f>
        <v>0</v>
      </c>
      <c r="K67" s="119" t="n">
        <f aca="false">SUMIFS(tabela_registros[VALOR],tabela_registros[MÊS],$AE$1,tabela_registros[DIA],maitotal30597183[[#Headers],[7]],tabela_registros[REGISTRO],DADOS!$N$4,tabela_registros[TIPO],DADOS!$P$4,tabela_registros[CATEGORIA],despesavariávelconsolidadomai[[#This Row],[DESPESA VARIÁVEL]])</f>
        <v>0</v>
      </c>
      <c r="L67" s="119" t="n">
        <f aca="false">SUMIFS(tabela_registros[VALOR],tabela_registros[MÊS],$AE$1,tabela_registros[DIA],maitotal30597183[[#Headers],[8]],tabela_registros[REGISTRO],DADOS!$N$4,tabela_registros[TIPO],DADOS!$P$4,tabela_registros[CATEGORIA],despesavariávelconsolidadomai[[#This Row],[DESPESA VARIÁVEL]])</f>
        <v>0</v>
      </c>
      <c r="M67" s="119" t="n">
        <f aca="false">SUMIFS(tabela_registros[VALOR],tabela_registros[MÊS],$AE$1,tabela_registros[DIA],maitotal30597183[[#Headers],[9]],tabela_registros[REGISTRO],DADOS!$N$4,tabela_registros[TIPO],DADOS!$P$4,tabela_registros[CATEGORIA],despesavariávelconsolidadomai[[#This Row],[DESPESA VARIÁVEL]])</f>
        <v>0</v>
      </c>
      <c r="N67" s="119" t="n">
        <f aca="false">SUMIFS(tabela_registros[VALOR],tabela_registros[MÊS],$AE$1,tabela_registros[DIA],maitotal30597183[[#Headers],[10]],tabela_registros[REGISTRO],DADOS!$N$4,tabela_registros[TIPO],DADOS!$P$4,tabela_registros[CATEGORIA],despesavariávelconsolidadomai[[#This Row],[DESPESA VARIÁVEL]])</f>
        <v>0</v>
      </c>
      <c r="O67" s="119" t="n">
        <f aca="false">SUMIFS(tabela_registros[VALOR],tabela_registros[MÊS],$AE$1,tabela_registros[DIA],maitotal30597183[[#Headers],[11]],tabela_registros[REGISTRO],DADOS!$N$4,tabela_registros[TIPO],DADOS!$P$4,tabela_registros[CATEGORIA],despesavariávelconsolidadomai[[#This Row],[DESPESA VARIÁVEL]])</f>
        <v>0</v>
      </c>
      <c r="P67" s="119" t="n">
        <f aca="false">SUMIFS(tabela_registros[VALOR],tabela_registros[MÊS],$AE$1,tabela_registros[DIA],maitotal30597183[[#Headers],[12]],tabela_registros[REGISTRO],DADOS!$N$4,tabela_registros[TIPO],DADOS!$P$4,tabela_registros[CATEGORIA],despesavariávelconsolidadomai[[#This Row],[DESPESA VARIÁVEL]])</f>
        <v>0</v>
      </c>
      <c r="Q67" s="119" t="n">
        <f aca="false">SUMIFS(tabela_registros[VALOR],tabela_registros[MÊS],$AE$1,tabela_registros[DIA],maitotal30597183[[#Headers],[13]],tabela_registros[REGISTRO],DADOS!$N$4,tabela_registros[TIPO],DADOS!$P$4,tabela_registros[CATEGORIA],despesavariávelconsolidadomai[[#This Row],[DESPESA VARIÁVEL]])</f>
        <v>0</v>
      </c>
      <c r="R67" s="119" t="n">
        <f aca="false">SUMIFS(tabela_registros[VALOR],tabela_registros[MÊS],$AE$1,tabela_registros[DIA],maitotal30597183[[#Headers],[14]],tabela_registros[REGISTRO],DADOS!$N$4,tabela_registros[TIPO],DADOS!$P$4,tabela_registros[CATEGORIA],despesavariávelconsolidadomai[[#This Row],[DESPESA VARIÁVEL]])</f>
        <v>0</v>
      </c>
      <c r="S67" s="119" t="n">
        <f aca="false">SUMIFS(tabela_registros[VALOR],tabela_registros[MÊS],$AE$1,tabela_registros[DIA],maitotal30597183[[#Headers],[15]],tabela_registros[REGISTRO],DADOS!$N$4,tabela_registros[TIPO],DADOS!$P$4,tabela_registros[CATEGORIA],despesavariávelconsolidadomai[[#This Row],[DESPESA VARIÁVEL]])</f>
        <v>0</v>
      </c>
      <c r="T67" s="119" t="n">
        <f aca="false">SUMIFS(tabela_registros[VALOR],tabela_registros[MÊS],$AE$1,tabela_registros[DIA],maitotal30597183[[#Headers],[16]],tabela_registros[REGISTRO],DADOS!$N$4,tabela_registros[TIPO],DADOS!$P$4,tabela_registros[CATEGORIA],despesavariávelconsolidadomai[[#This Row],[DESPESA VARIÁVEL]])</f>
        <v>0</v>
      </c>
      <c r="U67" s="119" t="n">
        <f aca="false">SUMIFS(tabela_registros[VALOR],tabela_registros[MÊS],$AE$1,tabela_registros[DIA],maitotal30597183[[#Headers],[17]],tabela_registros[REGISTRO],DADOS!$N$4,tabela_registros[TIPO],DADOS!$P$4,tabela_registros[CATEGORIA],despesavariávelconsolidadomai[[#This Row],[DESPESA VARIÁVEL]])</f>
        <v>0</v>
      </c>
      <c r="V67" s="119" t="n">
        <f aca="false">SUMIFS(tabela_registros[VALOR],tabela_registros[MÊS],$AE$1,tabela_registros[DIA],maitotal30597183[[#Headers],[18]],tabela_registros[REGISTRO],DADOS!$N$4,tabela_registros[TIPO],DADOS!$P$4,tabela_registros[CATEGORIA],despesavariávelconsolidadomai[[#This Row],[DESPESA VARIÁVEL]])</f>
        <v>0</v>
      </c>
      <c r="W67" s="119" t="n">
        <f aca="false">SUMIFS(tabela_registros[VALOR],tabela_registros[MÊS],$AE$1,tabela_registros[DIA],maitotal30597183[[#Headers],[19]],tabela_registros[REGISTRO],DADOS!$N$4,tabela_registros[TIPO],DADOS!$P$4,tabela_registros[CATEGORIA],despesavariávelconsolidadomai[[#This Row],[DESPESA VARIÁVEL]])</f>
        <v>0</v>
      </c>
      <c r="X67" s="119" t="n">
        <f aca="false">SUMIFS(tabela_registros[VALOR],tabela_registros[MÊS],$AE$1,tabela_registros[DIA],maitotal30597183[[#Headers],[20]],tabela_registros[REGISTRO],DADOS!$N$4,tabela_registros[TIPO],DADOS!$P$4,tabela_registros[CATEGORIA],despesavariávelconsolidadomai[[#This Row],[DESPESA VARIÁVEL]])</f>
        <v>0</v>
      </c>
      <c r="Y67" s="119" t="n">
        <f aca="false">SUMIFS(tabela_registros[VALOR],tabela_registros[MÊS],$AE$1,tabela_registros[DIA],maitotal30597183[[#Headers],[21]],tabela_registros[REGISTRO],DADOS!$N$4,tabela_registros[TIPO],DADOS!$P$4,tabela_registros[CATEGORIA],despesavariávelconsolidadomai[[#This Row],[DESPESA VARIÁVEL]])</f>
        <v>0</v>
      </c>
      <c r="Z67" s="119" t="n">
        <f aca="false">SUMIFS(tabela_registros[VALOR],tabela_registros[MÊS],$AE$1,tabela_registros[DIA],maitotal30597183[[#Headers],[22]],tabela_registros[REGISTRO],DADOS!$N$4,tabela_registros[TIPO],DADOS!$P$4,tabela_registros[CATEGORIA],despesavariávelconsolidadomai[[#This Row],[DESPESA VARIÁVEL]])</f>
        <v>0</v>
      </c>
      <c r="AA67" s="119" t="n">
        <f aca="false">SUMIFS(tabela_registros[VALOR],tabela_registros[MÊS],$AE$1,tabela_registros[DIA],maitotal30597183[[#Headers],[23]],tabela_registros[REGISTRO],DADOS!$N$4,tabela_registros[TIPO],DADOS!$P$4,tabela_registros[CATEGORIA],despesavariávelconsolidadomai[[#This Row],[DESPESA VARIÁVEL]])</f>
        <v>0</v>
      </c>
      <c r="AB67" s="119" t="n">
        <f aca="false">SUMIFS(tabela_registros[VALOR],tabela_registros[MÊS],$AE$1,tabela_registros[DIA],maitotal30597183[[#Headers],[24]],tabela_registros[REGISTRO],DADOS!$N$4,tabela_registros[TIPO],DADOS!$P$4,tabela_registros[CATEGORIA],despesavariávelconsolidadomai[[#This Row],[DESPESA VARIÁVEL]])</f>
        <v>0</v>
      </c>
      <c r="AC67" s="119" t="n">
        <f aca="false">SUMIFS(tabela_registros[VALOR],tabela_registros[MÊS],$AE$1,tabela_registros[DIA],maitotal30597183[[#Headers],[25]],tabela_registros[REGISTRO],DADOS!$N$4,tabela_registros[TIPO],DADOS!$P$4,tabela_registros[CATEGORIA],despesavariávelconsolidadomai[[#This Row],[DESPESA VARIÁVEL]])</f>
        <v>0</v>
      </c>
      <c r="AD67" s="119" t="n">
        <f aca="false">SUMIFS(tabela_registros[VALOR],tabela_registros[MÊS],$AE$1,tabela_registros[DIA],maitotal30597183[[#Headers],[26]],tabela_registros[REGISTRO],DADOS!$N$4,tabela_registros[TIPO],DADOS!$P$4,tabela_registros[CATEGORIA],despesavariávelconsolidadomai[[#This Row],[DESPESA VARIÁVEL]])</f>
        <v>0</v>
      </c>
      <c r="AE67" s="119" t="n">
        <f aca="false">SUMIFS(tabela_registros[VALOR],tabela_registros[MÊS],$AE$1,tabela_registros[DIA],maitotal30597183[[#Headers],[27]],tabela_registros[REGISTRO],DADOS!$N$4,tabela_registros[TIPO],DADOS!$P$4,tabela_registros[CATEGORIA],despesavariávelconsolidadomai[[#This Row],[DESPESA VARIÁVEL]])</f>
        <v>0</v>
      </c>
      <c r="AF67" s="119" t="n">
        <f aca="false">SUMIFS(tabela_registros[VALOR],tabela_registros[MÊS],$AE$1,tabela_registros[DIA],maitotal30597183[[#Headers],[28]],tabela_registros[REGISTRO],DADOS!$N$4,tabela_registros[TIPO],DADOS!$P$4,tabela_registros[CATEGORIA],despesavariávelconsolidadomai[[#This Row],[DESPESA VARIÁVEL]])</f>
        <v>0</v>
      </c>
      <c r="AG67" s="119" t="n">
        <f aca="false">SUMIFS(tabela_registros[VALOR],tabela_registros[MÊS],$AE$1,tabela_registros[DIA],maitotal30597183[[#Headers],[29]],tabela_registros[REGISTRO],DADOS!$N$4,tabela_registros[TIPO],DADOS!$P$4,tabela_registros[CATEGORIA],despesavariávelconsolidadomai[[#This Row],[DESPESA VARIÁVEL]])</f>
        <v>0</v>
      </c>
      <c r="AH67" s="119" t="n">
        <f aca="false">SUMIFS(tabela_registros[VALOR],tabela_registros[MÊS],$AE$1,tabela_registros[DIA],maitotal30597183[[#Headers],[30]],tabela_registros[REGISTRO],DADOS!$N$4,tabela_registros[TIPO],DADOS!$P$4,tabela_registros[CATEGORIA],despesavariávelconsolidadomai[[#This Row],[DESPESA VARIÁVEL]])</f>
        <v>0</v>
      </c>
      <c r="AI67" s="217" t="n">
        <f aca="false">SUMIFS(tabela_registros[VALOR],tabela_registros[MÊS],$AE$1,tabela_registros[DIA],maitotal30597183[[#Headers],[31]],tabela_registros[REGISTRO],DADOS!$N$4,tabela_registros[TIPO],DADOS!$P$4,tabela_registros[CATEGORIA],despesavariávelconsolidadomai[[#This Row],[DESPESA VARIÁVEL]])</f>
        <v>0</v>
      </c>
      <c r="AJ67" s="149" t="n">
        <f aca="false">SUM(despesavariávelconsolidadomai[[#This Row],[1]:[31]])</f>
        <v>0</v>
      </c>
      <c r="AK67" s="143"/>
    </row>
    <row r="68" customFormat="false" ht="18" hidden="false" customHeight="true" outlineLevel="0" collapsed="false">
      <c r="B68" s="143"/>
      <c r="C68" s="144" t="str">
        <f aca="false">DADOS!$T$11</f>
        <v>🎁 PRESENTES</v>
      </c>
      <c r="D68" s="145" t="str">
        <f aca="false">IF(despesavariávelconsolidadomai[[#This Row],[TOTAL]]=0,"",IF(OR(despesavariávelconsolidadomai[[#This Row],[TOTAL]]=LARGE($AJ$60:$AJ$72,1),despesavariávelconsolidadomai[[#This Row],[TOTAL]]=LARGE($AJ$60:$AJ$72,2),despesavariávelconsolidadomai[[#This Row],[TOTAL]]=LARGE($AJ$60:$AJ$72,3),despesavariávelconsolidadomai[[#This Row],[TOTAL]]=LARGE($AJ$60:$AJ$72,4),despesavariávelconsolidadomai[[#This Row],[TOTAL]]=LARGE($AJ$60:$AJ$72,5)),DADOS!$I$8,""))</f>
        <v/>
      </c>
      <c r="E68" s="148" t="n">
        <f aca="false">SUMIFS(tabela_registros[VALOR],tabela_registros[MÊS],$AE$1,tabela_registros[DIA],maitotal30597183[[#Headers],[1]],tabela_registros[REGISTRO],DADOS!$N$4,tabela_registros[TIPO],DADOS!$P$4,tabela_registros[CATEGORIA],despesavariávelconsolidadomai[[#This Row],[DESPESA VARIÁVEL]])</f>
        <v>0</v>
      </c>
      <c r="F68" s="119" t="n">
        <f aca="false">SUMIFS(tabela_registros[VALOR],tabela_registros[MÊS],$AE$1,tabela_registros[DIA],maitotal30597183[[#Headers],[2]],tabela_registros[REGISTRO],DADOS!$N$4,tabela_registros[TIPO],DADOS!$P$4,tabela_registros[CATEGORIA],despesavariávelconsolidadomai[[#This Row],[DESPESA VARIÁVEL]])</f>
        <v>0</v>
      </c>
      <c r="G68" s="119" t="n">
        <f aca="false">SUMIFS(tabela_registros[VALOR],tabela_registros[MÊS],$AE$1,tabela_registros[DIA],maitotal30597183[[#Headers],[3]],tabela_registros[REGISTRO],DADOS!$N$4,tabela_registros[TIPO],DADOS!$P$4,tabela_registros[CATEGORIA],despesavariávelconsolidadomai[[#This Row],[DESPESA VARIÁVEL]])</f>
        <v>0</v>
      </c>
      <c r="H68" s="119" t="n">
        <f aca="false">SUMIFS(tabela_registros[VALOR],tabela_registros[MÊS],$AE$1,tabela_registros[DIA],maitotal30597183[[#Headers],[4]],tabela_registros[REGISTRO],DADOS!$N$4,tabela_registros[TIPO],DADOS!$P$4,tabela_registros[CATEGORIA],despesavariávelconsolidadomai[[#This Row],[DESPESA VARIÁVEL]])</f>
        <v>0</v>
      </c>
      <c r="I68" s="119" t="n">
        <f aca="false">SUMIFS(tabela_registros[VALOR],tabela_registros[MÊS],$AE$1,tabela_registros[DIA],maitotal30597183[[#Headers],[5]],tabela_registros[REGISTRO],DADOS!$N$4,tabela_registros[TIPO],DADOS!$P$4,tabela_registros[CATEGORIA],despesavariávelconsolidadomai[[#This Row],[DESPESA VARIÁVEL]])</f>
        <v>0</v>
      </c>
      <c r="J68" s="119" t="n">
        <f aca="false">SUMIFS(tabela_registros[VALOR],tabela_registros[MÊS],$AE$1,tabela_registros[DIA],maitotal30597183[[#Headers],[6]],tabela_registros[REGISTRO],DADOS!$N$4,tabela_registros[TIPO],DADOS!$P$4,tabela_registros[CATEGORIA],despesavariávelconsolidadomai[[#This Row],[DESPESA VARIÁVEL]])</f>
        <v>0</v>
      </c>
      <c r="K68" s="119" t="n">
        <f aca="false">SUMIFS(tabela_registros[VALOR],tabela_registros[MÊS],$AE$1,tabela_registros[DIA],maitotal30597183[[#Headers],[7]],tabela_registros[REGISTRO],DADOS!$N$4,tabela_registros[TIPO],DADOS!$P$4,tabela_registros[CATEGORIA],despesavariávelconsolidadomai[[#This Row],[DESPESA VARIÁVEL]])</f>
        <v>0</v>
      </c>
      <c r="L68" s="119" t="n">
        <f aca="false">SUMIFS(tabela_registros[VALOR],tabela_registros[MÊS],$AE$1,tabela_registros[DIA],maitotal30597183[[#Headers],[8]],tabela_registros[REGISTRO],DADOS!$N$4,tabela_registros[TIPO],DADOS!$P$4,tabela_registros[CATEGORIA],despesavariávelconsolidadomai[[#This Row],[DESPESA VARIÁVEL]])</f>
        <v>0</v>
      </c>
      <c r="M68" s="119" t="n">
        <f aca="false">SUMIFS(tabela_registros[VALOR],tabela_registros[MÊS],$AE$1,tabela_registros[DIA],maitotal30597183[[#Headers],[9]],tabela_registros[REGISTRO],DADOS!$N$4,tabela_registros[TIPO],DADOS!$P$4,tabela_registros[CATEGORIA],despesavariávelconsolidadomai[[#This Row],[DESPESA VARIÁVEL]])</f>
        <v>0</v>
      </c>
      <c r="N68" s="119" t="n">
        <f aca="false">SUMIFS(tabela_registros[VALOR],tabela_registros[MÊS],$AE$1,tabela_registros[DIA],maitotal30597183[[#Headers],[10]],tabela_registros[REGISTRO],DADOS!$N$4,tabela_registros[TIPO],DADOS!$P$4,tabela_registros[CATEGORIA],despesavariávelconsolidadomai[[#This Row],[DESPESA VARIÁVEL]])</f>
        <v>0</v>
      </c>
      <c r="O68" s="119" t="n">
        <f aca="false">SUMIFS(tabela_registros[VALOR],tabela_registros[MÊS],$AE$1,tabela_registros[DIA],maitotal30597183[[#Headers],[11]],tabela_registros[REGISTRO],DADOS!$N$4,tabela_registros[TIPO],DADOS!$P$4,tabela_registros[CATEGORIA],despesavariávelconsolidadomai[[#This Row],[DESPESA VARIÁVEL]])</f>
        <v>0</v>
      </c>
      <c r="P68" s="119" t="n">
        <f aca="false">SUMIFS(tabela_registros[VALOR],tabela_registros[MÊS],$AE$1,tabela_registros[DIA],maitotal30597183[[#Headers],[12]],tabela_registros[REGISTRO],DADOS!$N$4,tabela_registros[TIPO],DADOS!$P$4,tabela_registros[CATEGORIA],despesavariávelconsolidadomai[[#This Row],[DESPESA VARIÁVEL]])</f>
        <v>0</v>
      </c>
      <c r="Q68" s="119" t="n">
        <f aca="false">SUMIFS(tabela_registros[VALOR],tabela_registros[MÊS],$AE$1,tabela_registros[DIA],maitotal30597183[[#Headers],[13]],tabela_registros[REGISTRO],DADOS!$N$4,tabela_registros[TIPO],DADOS!$P$4,tabela_registros[CATEGORIA],despesavariávelconsolidadomai[[#This Row],[DESPESA VARIÁVEL]])</f>
        <v>0</v>
      </c>
      <c r="R68" s="119" t="n">
        <f aca="false">SUMIFS(tabela_registros[VALOR],tabela_registros[MÊS],$AE$1,tabela_registros[DIA],maitotal30597183[[#Headers],[14]],tabela_registros[REGISTRO],DADOS!$N$4,tabela_registros[TIPO],DADOS!$P$4,tabela_registros[CATEGORIA],despesavariávelconsolidadomai[[#This Row],[DESPESA VARIÁVEL]])</f>
        <v>0</v>
      </c>
      <c r="S68" s="119" t="n">
        <f aca="false">SUMIFS(tabela_registros[VALOR],tabela_registros[MÊS],$AE$1,tabela_registros[DIA],maitotal30597183[[#Headers],[15]],tabela_registros[REGISTRO],DADOS!$N$4,tabela_registros[TIPO],DADOS!$P$4,tabela_registros[CATEGORIA],despesavariávelconsolidadomai[[#This Row],[DESPESA VARIÁVEL]])</f>
        <v>0</v>
      </c>
      <c r="T68" s="119" t="n">
        <f aca="false">SUMIFS(tabela_registros[VALOR],tabela_registros[MÊS],$AE$1,tabela_registros[DIA],maitotal30597183[[#Headers],[16]],tabela_registros[REGISTRO],DADOS!$N$4,tabela_registros[TIPO],DADOS!$P$4,tabela_registros[CATEGORIA],despesavariávelconsolidadomai[[#This Row],[DESPESA VARIÁVEL]])</f>
        <v>0</v>
      </c>
      <c r="U68" s="119" t="n">
        <f aca="false">SUMIFS(tabela_registros[VALOR],tabela_registros[MÊS],$AE$1,tabela_registros[DIA],maitotal30597183[[#Headers],[17]],tabela_registros[REGISTRO],DADOS!$N$4,tabela_registros[TIPO],DADOS!$P$4,tabela_registros[CATEGORIA],despesavariávelconsolidadomai[[#This Row],[DESPESA VARIÁVEL]])</f>
        <v>0</v>
      </c>
      <c r="V68" s="119" t="n">
        <f aca="false">SUMIFS(tabela_registros[VALOR],tabela_registros[MÊS],$AE$1,tabela_registros[DIA],maitotal30597183[[#Headers],[18]],tabela_registros[REGISTRO],DADOS!$N$4,tabela_registros[TIPO],DADOS!$P$4,tabela_registros[CATEGORIA],despesavariávelconsolidadomai[[#This Row],[DESPESA VARIÁVEL]])</f>
        <v>0</v>
      </c>
      <c r="W68" s="119" t="n">
        <f aca="false">SUMIFS(tabela_registros[VALOR],tabela_registros[MÊS],$AE$1,tabela_registros[DIA],maitotal30597183[[#Headers],[19]],tabela_registros[REGISTRO],DADOS!$N$4,tabela_registros[TIPO],DADOS!$P$4,tabela_registros[CATEGORIA],despesavariávelconsolidadomai[[#This Row],[DESPESA VARIÁVEL]])</f>
        <v>0</v>
      </c>
      <c r="X68" s="119" t="n">
        <f aca="false">SUMIFS(tabela_registros[VALOR],tabela_registros[MÊS],$AE$1,tabela_registros[DIA],maitotal30597183[[#Headers],[20]],tabela_registros[REGISTRO],DADOS!$N$4,tabela_registros[TIPO],DADOS!$P$4,tabela_registros[CATEGORIA],despesavariávelconsolidadomai[[#This Row],[DESPESA VARIÁVEL]])</f>
        <v>0</v>
      </c>
      <c r="Y68" s="119" t="n">
        <f aca="false">SUMIFS(tabela_registros[VALOR],tabela_registros[MÊS],$AE$1,tabela_registros[DIA],maitotal30597183[[#Headers],[21]],tabela_registros[REGISTRO],DADOS!$N$4,tabela_registros[TIPO],DADOS!$P$4,tabela_registros[CATEGORIA],despesavariávelconsolidadomai[[#This Row],[DESPESA VARIÁVEL]])</f>
        <v>0</v>
      </c>
      <c r="Z68" s="119" t="n">
        <f aca="false">SUMIFS(tabela_registros[VALOR],tabela_registros[MÊS],$AE$1,tabela_registros[DIA],maitotal30597183[[#Headers],[22]],tabela_registros[REGISTRO],DADOS!$N$4,tabela_registros[TIPO],DADOS!$P$4,tabela_registros[CATEGORIA],despesavariávelconsolidadomai[[#This Row],[DESPESA VARIÁVEL]])</f>
        <v>0</v>
      </c>
      <c r="AA68" s="119" t="n">
        <f aca="false">SUMIFS(tabela_registros[VALOR],tabela_registros[MÊS],$AE$1,tabela_registros[DIA],maitotal30597183[[#Headers],[23]],tabela_registros[REGISTRO],DADOS!$N$4,tabela_registros[TIPO],DADOS!$P$4,tabela_registros[CATEGORIA],despesavariávelconsolidadomai[[#This Row],[DESPESA VARIÁVEL]])</f>
        <v>0</v>
      </c>
      <c r="AB68" s="119" t="n">
        <f aca="false">SUMIFS(tabela_registros[VALOR],tabela_registros[MÊS],$AE$1,tabela_registros[DIA],maitotal30597183[[#Headers],[24]],tabela_registros[REGISTRO],DADOS!$N$4,tabela_registros[TIPO],DADOS!$P$4,tabela_registros[CATEGORIA],despesavariávelconsolidadomai[[#This Row],[DESPESA VARIÁVEL]])</f>
        <v>0</v>
      </c>
      <c r="AC68" s="119" t="n">
        <f aca="false">SUMIFS(tabela_registros[VALOR],tabela_registros[MÊS],$AE$1,tabela_registros[DIA],maitotal30597183[[#Headers],[25]],tabela_registros[REGISTRO],DADOS!$N$4,tabela_registros[TIPO],DADOS!$P$4,tabela_registros[CATEGORIA],despesavariávelconsolidadomai[[#This Row],[DESPESA VARIÁVEL]])</f>
        <v>0</v>
      </c>
      <c r="AD68" s="119" t="n">
        <f aca="false">SUMIFS(tabela_registros[VALOR],tabela_registros[MÊS],$AE$1,tabela_registros[DIA],maitotal30597183[[#Headers],[26]],tabela_registros[REGISTRO],DADOS!$N$4,tabela_registros[TIPO],DADOS!$P$4,tabela_registros[CATEGORIA],despesavariávelconsolidadomai[[#This Row],[DESPESA VARIÁVEL]])</f>
        <v>0</v>
      </c>
      <c r="AE68" s="119" t="n">
        <f aca="false">SUMIFS(tabela_registros[VALOR],tabela_registros[MÊS],$AE$1,tabela_registros[DIA],maitotal30597183[[#Headers],[27]],tabela_registros[REGISTRO],DADOS!$N$4,tabela_registros[TIPO],DADOS!$P$4,tabela_registros[CATEGORIA],despesavariávelconsolidadomai[[#This Row],[DESPESA VARIÁVEL]])</f>
        <v>0</v>
      </c>
      <c r="AF68" s="119" t="n">
        <f aca="false">SUMIFS(tabela_registros[VALOR],tabela_registros[MÊS],$AE$1,tabela_registros[DIA],maitotal30597183[[#Headers],[28]],tabela_registros[REGISTRO],DADOS!$N$4,tabela_registros[TIPO],DADOS!$P$4,tabela_registros[CATEGORIA],despesavariávelconsolidadomai[[#This Row],[DESPESA VARIÁVEL]])</f>
        <v>0</v>
      </c>
      <c r="AG68" s="119" t="n">
        <f aca="false">SUMIFS(tabela_registros[VALOR],tabela_registros[MÊS],$AE$1,tabela_registros[DIA],maitotal30597183[[#Headers],[29]],tabela_registros[REGISTRO],DADOS!$N$4,tabela_registros[TIPO],DADOS!$P$4,tabela_registros[CATEGORIA],despesavariávelconsolidadomai[[#This Row],[DESPESA VARIÁVEL]])</f>
        <v>0</v>
      </c>
      <c r="AH68" s="119" t="n">
        <f aca="false">SUMIFS(tabela_registros[VALOR],tabela_registros[MÊS],$AE$1,tabela_registros[DIA],maitotal30597183[[#Headers],[30]],tabela_registros[REGISTRO],DADOS!$N$4,tabela_registros[TIPO],DADOS!$P$4,tabela_registros[CATEGORIA],despesavariávelconsolidadomai[[#This Row],[DESPESA VARIÁVEL]])</f>
        <v>0</v>
      </c>
      <c r="AI68" s="217" t="n">
        <f aca="false">SUMIFS(tabela_registros[VALOR],tabela_registros[MÊS],$AE$1,tabela_registros[DIA],maitotal30597183[[#Headers],[31]],tabela_registros[REGISTRO],DADOS!$N$4,tabela_registros[TIPO],DADOS!$P$4,tabela_registros[CATEGORIA],despesavariávelconsolidadomai[[#This Row],[DESPESA VARIÁVEL]])</f>
        <v>0</v>
      </c>
      <c r="AJ68" s="149" t="n">
        <f aca="false">SUM(despesavariávelconsolidadomai[[#This Row],[1]:[31]])</f>
        <v>0</v>
      </c>
      <c r="AK68" s="143"/>
    </row>
    <row r="69" customFormat="false" ht="18" hidden="false" customHeight="true" outlineLevel="0" collapsed="false">
      <c r="B69" s="143"/>
      <c r="C69" s="144" t="str">
        <f aca="false">DADOS!$T$12</f>
        <v>💊 SAÚDE</v>
      </c>
      <c r="D69" s="145" t="str">
        <f aca="false">IF(despesavariávelconsolidadomai[[#This Row],[TOTAL]]=0,"",IF(OR(despesavariávelconsolidadomai[[#This Row],[TOTAL]]=LARGE($AJ$60:$AJ$72,1),despesavariávelconsolidadomai[[#This Row],[TOTAL]]=LARGE($AJ$60:$AJ$72,2),despesavariávelconsolidadomai[[#This Row],[TOTAL]]=LARGE($AJ$60:$AJ$72,3),despesavariávelconsolidadomai[[#This Row],[TOTAL]]=LARGE($AJ$60:$AJ$72,4),despesavariávelconsolidadomai[[#This Row],[TOTAL]]=LARGE($AJ$60:$AJ$72,5)),DADOS!$I$8,""))</f>
        <v/>
      </c>
      <c r="E69" s="148" t="n">
        <f aca="false">SUMIFS(tabela_registros[VALOR],tabela_registros[MÊS],$AE$1,tabela_registros[DIA],maitotal30597183[[#Headers],[1]],tabela_registros[REGISTRO],DADOS!$N$4,tabela_registros[TIPO],DADOS!$P$4,tabela_registros[CATEGORIA],despesavariávelconsolidadomai[[#This Row],[DESPESA VARIÁVEL]])</f>
        <v>0</v>
      </c>
      <c r="F69" s="119" t="n">
        <f aca="false">SUMIFS(tabela_registros[VALOR],tabela_registros[MÊS],$AE$1,tabela_registros[DIA],maitotal30597183[[#Headers],[2]],tabela_registros[REGISTRO],DADOS!$N$4,tabela_registros[TIPO],DADOS!$P$4,tabela_registros[CATEGORIA],despesavariávelconsolidadomai[[#This Row],[DESPESA VARIÁVEL]])</f>
        <v>0</v>
      </c>
      <c r="G69" s="119" t="n">
        <f aca="false">SUMIFS(tabela_registros[VALOR],tabela_registros[MÊS],$AE$1,tabela_registros[DIA],maitotal30597183[[#Headers],[3]],tabela_registros[REGISTRO],DADOS!$N$4,tabela_registros[TIPO],DADOS!$P$4,tabela_registros[CATEGORIA],despesavariávelconsolidadomai[[#This Row],[DESPESA VARIÁVEL]])</f>
        <v>0</v>
      </c>
      <c r="H69" s="119" t="n">
        <f aca="false">SUMIFS(tabela_registros[VALOR],tabela_registros[MÊS],$AE$1,tabela_registros[DIA],maitotal30597183[[#Headers],[4]],tabela_registros[REGISTRO],DADOS!$N$4,tabela_registros[TIPO],DADOS!$P$4,tabela_registros[CATEGORIA],despesavariávelconsolidadomai[[#This Row],[DESPESA VARIÁVEL]])</f>
        <v>0</v>
      </c>
      <c r="I69" s="119" t="n">
        <f aca="false">SUMIFS(tabela_registros[VALOR],tabela_registros[MÊS],$AE$1,tabela_registros[DIA],maitotal30597183[[#Headers],[5]],tabela_registros[REGISTRO],DADOS!$N$4,tabela_registros[TIPO],DADOS!$P$4,tabela_registros[CATEGORIA],despesavariávelconsolidadomai[[#This Row],[DESPESA VARIÁVEL]])</f>
        <v>0</v>
      </c>
      <c r="J69" s="119" t="n">
        <f aca="false">SUMIFS(tabela_registros[VALOR],tabela_registros[MÊS],$AE$1,tabela_registros[DIA],maitotal30597183[[#Headers],[6]],tabela_registros[REGISTRO],DADOS!$N$4,tabela_registros[TIPO],DADOS!$P$4,tabela_registros[CATEGORIA],despesavariávelconsolidadomai[[#This Row],[DESPESA VARIÁVEL]])</f>
        <v>0</v>
      </c>
      <c r="K69" s="119" t="n">
        <f aca="false">SUMIFS(tabela_registros[VALOR],tabela_registros[MÊS],$AE$1,tabela_registros[DIA],maitotal30597183[[#Headers],[7]],tabela_registros[REGISTRO],DADOS!$N$4,tabela_registros[TIPO],DADOS!$P$4,tabela_registros[CATEGORIA],despesavariávelconsolidadomai[[#This Row],[DESPESA VARIÁVEL]])</f>
        <v>0</v>
      </c>
      <c r="L69" s="119" t="n">
        <f aca="false">SUMIFS(tabela_registros[VALOR],tabela_registros[MÊS],$AE$1,tabela_registros[DIA],maitotal30597183[[#Headers],[8]],tabela_registros[REGISTRO],DADOS!$N$4,tabela_registros[TIPO],DADOS!$P$4,tabela_registros[CATEGORIA],despesavariávelconsolidadomai[[#This Row],[DESPESA VARIÁVEL]])</f>
        <v>0</v>
      </c>
      <c r="M69" s="119" t="n">
        <f aca="false">SUMIFS(tabela_registros[VALOR],tabela_registros[MÊS],$AE$1,tabela_registros[DIA],maitotal30597183[[#Headers],[9]],tabela_registros[REGISTRO],DADOS!$N$4,tabela_registros[TIPO],DADOS!$P$4,tabela_registros[CATEGORIA],despesavariávelconsolidadomai[[#This Row],[DESPESA VARIÁVEL]])</f>
        <v>0</v>
      </c>
      <c r="N69" s="119" t="n">
        <f aca="false">SUMIFS(tabela_registros[VALOR],tabela_registros[MÊS],$AE$1,tabela_registros[DIA],maitotal30597183[[#Headers],[10]],tabela_registros[REGISTRO],DADOS!$N$4,tabela_registros[TIPO],DADOS!$P$4,tabela_registros[CATEGORIA],despesavariávelconsolidadomai[[#This Row],[DESPESA VARIÁVEL]])</f>
        <v>0</v>
      </c>
      <c r="O69" s="119" t="n">
        <f aca="false">SUMIFS(tabela_registros[VALOR],tabela_registros[MÊS],$AE$1,tabela_registros[DIA],maitotal30597183[[#Headers],[11]],tabela_registros[REGISTRO],DADOS!$N$4,tabela_registros[TIPO],DADOS!$P$4,tabela_registros[CATEGORIA],despesavariávelconsolidadomai[[#This Row],[DESPESA VARIÁVEL]])</f>
        <v>0</v>
      </c>
      <c r="P69" s="119" t="n">
        <f aca="false">SUMIFS(tabela_registros[VALOR],tabela_registros[MÊS],$AE$1,tabela_registros[DIA],maitotal30597183[[#Headers],[12]],tabela_registros[REGISTRO],DADOS!$N$4,tabela_registros[TIPO],DADOS!$P$4,tabela_registros[CATEGORIA],despesavariávelconsolidadomai[[#This Row],[DESPESA VARIÁVEL]])</f>
        <v>0</v>
      </c>
      <c r="Q69" s="119" t="n">
        <f aca="false">SUMIFS(tabela_registros[VALOR],tabela_registros[MÊS],$AE$1,tabela_registros[DIA],maitotal30597183[[#Headers],[13]],tabela_registros[REGISTRO],DADOS!$N$4,tabela_registros[TIPO],DADOS!$P$4,tabela_registros[CATEGORIA],despesavariávelconsolidadomai[[#This Row],[DESPESA VARIÁVEL]])</f>
        <v>0</v>
      </c>
      <c r="R69" s="119" t="n">
        <f aca="false">SUMIFS(tabela_registros[VALOR],tabela_registros[MÊS],$AE$1,tabela_registros[DIA],maitotal30597183[[#Headers],[14]],tabela_registros[REGISTRO],DADOS!$N$4,tabela_registros[TIPO],DADOS!$P$4,tabela_registros[CATEGORIA],despesavariávelconsolidadomai[[#This Row],[DESPESA VARIÁVEL]])</f>
        <v>0</v>
      </c>
      <c r="S69" s="119" t="n">
        <f aca="false">SUMIFS(tabela_registros[VALOR],tabela_registros[MÊS],$AE$1,tabela_registros[DIA],maitotal30597183[[#Headers],[15]],tabela_registros[REGISTRO],DADOS!$N$4,tabela_registros[TIPO],DADOS!$P$4,tabela_registros[CATEGORIA],despesavariávelconsolidadomai[[#This Row],[DESPESA VARIÁVEL]])</f>
        <v>0</v>
      </c>
      <c r="T69" s="119" t="n">
        <f aca="false">SUMIFS(tabela_registros[VALOR],tabela_registros[MÊS],$AE$1,tabela_registros[DIA],maitotal30597183[[#Headers],[16]],tabela_registros[REGISTRO],DADOS!$N$4,tabela_registros[TIPO],DADOS!$P$4,tabela_registros[CATEGORIA],despesavariávelconsolidadomai[[#This Row],[DESPESA VARIÁVEL]])</f>
        <v>0</v>
      </c>
      <c r="U69" s="119" t="n">
        <f aca="false">SUMIFS(tabela_registros[VALOR],tabela_registros[MÊS],$AE$1,tabela_registros[DIA],maitotal30597183[[#Headers],[17]],tabela_registros[REGISTRO],DADOS!$N$4,tabela_registros[TIPO],DADOS!$P$4,tabela_registros[CATEGORIA],despesavariávelconsolidadomai[[#This Row],[DESPESA VARIÁVEL]])</f>
        <v>0</v>
      </c>
      <c r="V69" s="119" t="n">
        <f aca="false">SUMIFS(tabela_registros[VALOR],tabela_registros[MÊS],$AE$1,tabela_registros[DIA],maitotal30597183[[#Headers],[18]],tabela_registros[REGISTRO],DADOS!$N$4,tabela_registros[TIPO],DADOS!$P$4,tabela_registros[CATEGORIA],despesavariávelconsolidadomai[[#This Row],[DESPESA VARIÁVEL]])</f>
        <v>0</v>
      </c>
      <c r="W69" s="119" t="n">
        <f aca="false">SUMIFS(tabela_registros[VALOR],tabela_registros[MÊS],$AE$1,tabela_registros[DIA],maitotal30597183[[#Headers],[19]],tabela_registros[REGISTRO],DADOS!$N$4,tabela_registros[TIPO],DADOS!$P$4,tabela_registros[CATEGORIA],despesavariávelconsolidadomai[[#This Row],[DESPESA VARIÁVEL]])</f>
        <v>0</v>
      </c>
      <c r="X69" s="119" t="n">
        <f aca="false">SUMIFS(tabela_registros[VALOR],tabela_registros[MÊS],$AE$1,tabela_registros[DIA],maitotal30597183[[#Headers],[20]],tabela_registros[REGISTRO],DADOS!$N$4,tabela_registros[TIPO],DADOS!$P$4,tabela_registros[CATEGORIA],despesavariávelconsolidadomai[[#This Row],[DESPESA VARIÁVEL]])</f>
        <v>0</v>
      </c>
      <c r="Y69" s="119" t="n">
        <f aca="false">SUMIFS(tabela_registros[VALOR],tabela_registros[MÊS],$AE$1,tabela_registros[DIA],maitotal30597183[[#Headers],[21]],tabela_registros[REGISTRO],DADOS!$N$4,tabela_registros[TIPO],DADOS!$P$4,tabela_registros[CATEGORIA],despesavariávelconsolidadomai[[#This Row],[DESPESA VARIÁVEL]])</f>
        <v>0</v>
      </c>
      <c r="Z69" s="119" t="n">
        <f aca="false">SUMIFS(tabela_registros[VALOR],tabela_registros[MÊS],$AE$1,tabela_registros[DIA],maitotal30597183[[#Headers],[22]],tabela_registros[REGISTRO],DADOS!$N$4,tabela_registros[TIPO],DADOS!$P$4,tabela_registros[CATEGORIA],despesavariávelconsolidadomai[[#This Row],[DESPESA VARIÁVEL]])</f>
        <v>0</v>
      </c>
      <c r="AA69" s="119" t="n">
        <f aca="false">SUMIFS(tabela_registros[VALOR],tabela_registros[MÊS],$AE$1,tabela_registros[DIA],maitotal30597183[[#Headers],[23]],tabela_registros[REGISTRO],DADOS!$N$4,tabela_registros[TIPO],DADOS!$P$4,tabela_registros[CATEGORIA],despesavariávelconsolidadomai[[#This Row],[DESPESA VARIÁVEL]])</f>
        <v>0</v>
      </c>
      <c r="AB69" s="119" t="n">
        <f aca="false">SUMIFS(tabela_registros[VALOR],tabela_registros[MÊS],$AE$1,tabela_registros[DIA],maitotal30597183[[#Headers],[24]],tabela_registros[REGISTRO],DADOS!$N$4,tabela_registros[TIPO],DADOS!$P$4,tabela_registros[CATEGORIA],despesavariávelconsolidadomai[[#This Row],[DESPESA VARIÁVEL]])</f>
        <v>0</v>
      </c>
      <c r="AC69" s="119" t="n">
        <f aca="false">SUMIFS(tabela_registros[VALOR],tabela_registros[MÊS],$AE$1,tabela_registros[DIA],maitotal30597183[[#Headers],[25]],tabela_registros[REGISTRO],DADOS!$N$4,tabela_registros[TIPO],DADOS!$P$4,tabela_registros[CATEGORIA],despesavariávelconsolidadomai[[#This Row],[DESPESA VARIÁVEL]])</f>
        <v>0</v>
      </c>
      <c r="AD69" s="119" t="n">
        <f aca="false">SUMIFS(tabela_registros[VALOR],tabela_registros[MÊS],$AE$1,tabela_registros[DIA],maitotal30597183[[#Headers],[26]],tabela_registros[REGISTRO],DADOS!$N$4,tabela_registros[TIPO],DADOS!$P$4,tabela_registros[CATEGORIA],despesavariávelconsolidadomai[[#This Row],[DESPESA VARIÁVEL]])</f>
        <v>0</v>
      </c>
      <c r="AE69" s="119" t="n">
        <f aca="false">SUMIFS(tabela_registros[VALOR],tabela_registros[MÊS],$AE$1,tabela_registros[DIA],maitotal30597183[[#Headers],[27]],tabela_registros[REGISTRO],DADOS!$N$4,tabela_registros[TIPO],DADOS!$P$4,tabela_registros[CATEGORIA],despesavariávelconsolidadomai[[#This Row],[DESPESA VARIÁVEL]])</f>
        <v>0</v>
      </c>
      <c r="AF69" s="119" t="n">
        <f aca="false">SUMIFS(tabela_registros[VALOR],tabela_registros[MÊS],$AE$1,tabela_registros[DIA],maitotal30597183[[#Headers],[28]],tabela_registros[REGISTRO],DADOS!$N$4,tabela_registros[TIPO],DADOS!$P$4,tabela_registros[CATEGORIA],despesavariávelconsolidadomai[[#This Row],[DESPESA VARIÁVEL]])</f>
        <v>0</v>
      </c>
      <c r="AG69" s="119" t="n">
        <f aca="false">SUMIFS(tabela_registros[VALOR],tabela_registros[MÊS],$AE$1,tabela_registros[DIA],maitotal30597183[[#Headers],[29]],tabela_registros[REGISTRO],DADOS!$N$4,tabela_registros[TIPO],DADOS!$P$4,tabela_registros[CATEGORIA],despesavariávelconsolidadomai[[#This Row],[DESPESA VARIÁVEL]])</f>
        <v>0</v>
      </c>
      <c r="AH69" s="119" t="n">
        <f aca="false">SUMIFS(tabela_registros[VALOR],tabela_registros[MÊS],$AE$1,tabela_registros[DIA],maitotal30597183[[#Headers],[30]],tabela_registros[REGISTRO],DADOS!$N$4,tabela_registros[TIPO],DADOS!$P$4,tabela_registros[CATEGORIA],despesavariávelconsolidadomai[[#This Row],[DESPESA VARIÁVEL]])</f>
        <v>0</v>
      </c>
      <c r="AI69" s="217" t="n">
        <f aca="false">SUMIFS(tabela_registros[VALOR],tabela_registros[MÊS],$AE$1,tabela_registros[DIA],maitotal30597183[[#Headers],[31]],tabela_registros[REGISTRO],DADOS!$N$4,tabela_registros[TIPO],DADOS!$P$4,tabela_registros[CATEGORIA],despesavariávelconsolidadomai[[#This Row],[DESPESA VARIÁVEL]])</f>
        <v>0</v>
      </c>
      <c r="AJ69" s="149" t="n">
        <f aca="false">SUM(despesavariávelconsolidadomai[[#This Row],[1]:[31]])</f>
        <v>0</v>
      </c>
      <c r="AK69" s="143"/>
    </row>
    <row r="70" customFormat="false" ht="18" hidden="false" customHeight="true" outlineLevel="0" collapsed="false">
      <c r="B70" s="143"/>
      <c r="C70" s="144" t="str">
        <f aca="false">DADOS!$T$13</f>
        <v>🚍 TRANSPORTE</v>
      </c>
      <c r="D70" s="145" t="str">
        <f aca="false">IF(despesavariávelconsolidadomai[[#This Row],[TOTAL]]=0,"",IF(OR(despesavariávelconsolidadomai[[#This Row],[TOTAL]]=LARGE($AJ$60:$AJ$72,1),despesavariávelconsolidadomai[[#This Row],[TOTAL]]=LARGE($AJ$60:$AJ$72,2),despesavariávelconsolidadomai[[#This Row],[TOTAL]]=LARGE($AJ$60:$AJ$72,3),despesavariávelconsolidadomai[[#This Row],[TOTAL]]=LARGE($AJ$60:$AJ$72,4),despesavariávelconsolidadomai[[#This Row],[TOTAL]]=LARGE($AJ$60:$AJ$72,5)),DADOS!$I$8,""))</f>
        <v/>
      </c>
      <c r="E70" s="148" t="n">
        <f aca="false">SUMIFS(tabela_registros[VALOR],tabela_registros[MÊS],$AE$1,tabela_registros[DIA],maitotal30597183[[#Headers],[1]],tabela_registros[REGISTRO],DADOS!$N$4,tabela_registros[TIPO],DADOS!$P$4,tabela_registros[CATEGORIA],despesavariávelconsolidadomai[[#This Row],[DESPESA VARIÁVEL]])</f>
        <v>0</v>
      </c>
      <c r="F70" s="119" t="n">
        <f aca="false">SUMIFS(tabela_registros[VALOR],tabela_registros[MÊS],$AE$1,tabela_registros[DIA],maitotal30597183[[#Headers],[2]],tabela_registros[REGISTRO],DADOS!$N$4,tabela_registros[TIPO],DADOS!$P$4,tabela_registros[CATEGORIA],despesavariávelconsolidadomai[[#This Row],[DESPESA VARIÁVEL]])</f>
        <v>0</v>
      </c>
      <c r="G70" s="119" t="n">
        <f aca="false">SUMIFS(tabela_registros[VALOR],tabela_registros[MÊS],$AE$1,tabela_registros[DIA],maitotal30597183[[#Headers],[3]],tabela_registros[REGISTRO],DADOS!$N$4,tabela_registros[TIPO],DADOS!$P$4,tabela_registros[CATEGORIA],despesavariávelconsolidadomai[[#This Row],[DESPESA VARIÁVEL]])</f>
        <v>0</v>
      </c>
      <c r="H70" s="119" t="n">
        <f aca="false">SUMIFS(tabela_registros[VALOR],tabela_registros[MÊS],$AE$1,tabela_registros[DIA],maitotal30597183[[#Headers],[4]],tabela_registros[REGISTRO],DADOS!$N$4,tabela_registros[TIPO],DADOS!$P$4,tabela_registros[CATEGORIA],despesavariávelconsolidadomai[[#This Row],[DESPESA VARIÁVEL]])</f>
        <v>0</v>
      </c>
      <c r="I70" s="119" t="n">
        <f aca="false">SUMIFS(tabela_registros[VALOR],tabela_registros[MÊS],$AE$1,tabela_registros[DIA],maitotal30597183[[#Headers],[5]],tabela_registros[REGISTRO],DADOS!$N$4,tabela_registros[TIPO],DADOS!$P$4,tabela_registros[CATEGORIA],despesavariávelconsolidadomai[[#This Row],[DESPESA VARIÁVEL]])</f>
        <v>0</v>
      </c>
      <c r="J70" s="119" t="n">
        <f aca="false">SUMIFS(tabela_registros[VALOR],tabela_registros[MÊS],$AE$1,tabela_registros[DIA],maitotal30597183[[#Headers],[6]],tabela_registros[REGISTRO],DADOS!$N$4,tabela_registros[TIPO],DADOS!$P$4,tabela_registros[CATEGORIA],despesavariávelconsolidadomai[[#This Row],[DESPESA VARIÁVEL]])</f>
        <v>0</v>
      </c>
      <c r="K70" s="119" t="n">
        <f aca="false">SUMIFS(tabela_registros[VALOR],tabela_registros[MÊS],$AE$1,tabela_registros[DIA],maitotal30597183[[#Headers],[7]],tabela_registros[REGISTRO],DADOS!$N$4,tabela_registros[TIPO],DADOS!$P$4,tabela_registros[CATEGORIA],despesavariávelconsolidadomai[[#This Row],[DESPESA VARIÁVEL]])</f>
        <v>0</v>
      </c>
      <c r="L70" s="119" t="n">
        <f aca="false">SUMIFS(tabela_registros[VALOR],tabela_registros[MÊS],$AE$1,tabela_registros[DIA],maitotal30597183[[#Headers],[8]],tabela_registros[REGISTRO],DADOS!$N$4,tabela_registros[TIPO],DADOS!$P$4,tabela_registros[CATEGORIA],despesavariávelconsolidadomai[[#This Row],[DESPESA VARIÁVEL]])</f>
        <v>0</v>
      </c>
      <c r="M70" s="119" t="n">
        <f aca="false">SUMIFS(tabela_registros[VALOR],tabela_registros[MÊS],$AE$1,tabela_registros[DIA],maitotal30597183[[#Headers],[9]],tabela_registros[REGISTRO],DADOS!$N$4,tabela_registros[TIPO],DADOS!$P$4,tabela_registros[CATEGORIA],despesavariávelconsolidadomai[[#This Row],[DESPESA VARIÁVEL]])</f>
        <v>0</v>
      </c>
      <c r="N70" s="119" t="n">
        <f aca="false">SUMIFS(tabela_registros[VALOR],tabela_registros[MÊS],$AE$1,tabela_registros[DIA],maitotal30597183[[#Headers],[10]],tabela_registros[REGISTRO],DADOS!$N$4,tabela_registros[TIPO],DADOS!$P$4,tabela_registros[CATEGORIA],despesavariávelconsolidadomai[[#This Row],[DESPESA VARIÁVEL]])</f>
        <v>0</v>
      </c>
      <c r="O70" s="119" t="n">
        <f aca="false">SUMIFS(tabela_registros[VALOR],tabela_registros[MÊS],$AE$1,tabela_registros[DIA],maitotal30597183[[#Headers],[11]],tabela_registros[REGISTRO],DADOS!$N$4,tabela_registros[TIPO],DADOS!$P$4,tabela_registros[CATEGORIA],despesavariávelconsolidadomai[[#This Row],[DESPESA VARIÁVEL]])</f>
        <v>0</v>
      </c>
      <c r="P70" s="119" t="n">
        <f aca="false">SUMIFS(tabela_registros[VALOR],tabela_registros[MÊS],$AE$1,tabela_registros[DIA],maitotal30597183[[#Headers],[12]],tabela_registros[REGISTRO],DADOS!$N$4,tabela_registros[TIPO],DADOS!$P$4,tabela_registros[CATEGORIA],despesavariávelconsolidadomai[[#This Row],[DESPESA VARIÁVEL]])</f>
        <v>0</v>
      </c>
      <c r="Q70" s="119" t="n">
        <f aca="false">SUMIFS(tabela_registros[VALOR],tabela_registros[MÊS],$AE$1,tabela_registros[DIA],maitotal30597183[[#Headers],[13]],tabela_registros[REGISTRO],DADOS!$N$4,tabela_registros[TIPO],DADOS!$P$4,tabela_registros[CATEGORIA],despesavariávelconsolidadomai[[#This Row],[DESPESA VARIÁVEL]])</f>
        <v>0</v>
      </c>
      <c r="R70" s="119" t="n">
        <f aca="false">SUMIFS(tabela_registros[VALOR],tabela_registros[MÊS],$AE$1,tabela_registros[DIA],maitotal30597183[[#Headers],[14]],tabela_registros[REGISTRO],DADOS!$N$4,tabela_registros[TIPO],DADOS!$P$4,tabela_registros[CATEGORIA],despesavariávelconsolidadomai[[#This Row],[DESPESA VARIÁVEL]])</f>
        <v>0</v>
      </c>
      <c r="S70" s="119" t="n">
        <f aca="false">SUMIFS(tabela_registros[VALOR],tabela_registros[MÊS],$AE$1,tabela_registros[DIA],maitotal30597183[[#Headers],[15]],tabela_registros[REGISTRO],DADOS!$N$4,tabela_registros[TIPO],DADOS!$P$4,tabela_registros[CATEGORIA],despesavariávelconsolidadomai[[#This Row],[DESPESA VARIÁVEL]])</f>
        <v>0</v>
      </c>
      <c r="T70" s="119" t="n">
        <f aca="false">SUMIFS(tabela_registros[VALOR],tabela_registros[MÊS],$AE$1,tabela_registros[DIA],maitotal30597183[[#Headers],[16]],tabela_registros[REGISTRO],DADOS!$N$4,tabela_registros[TIPO],DADOS!$P$4,tabela_registros[CATEGORIA],despesavariávelconsolidadomai[[#This Row],[DESPESA VARIÁVEL]])</f>
        <v>0</v>
      </c>
      <c r="U70" s="119" t="n">
        <f aca="false">SUMIFS(tabela_registros[VALOR],tabela_registros[MÊS],$AE$1,tabela_registros[DIA],maitotal30597183[[#Headers],[17]],tabela_registros[REGISTRO],DADOS!$N$4,tabela_registros[TIPO],DADOS!$P$4,tabela_registros[CATEGORIA],despesavariávelconsolidadomai[[#This Row],[DESPESA VARIÁVEL]])</f>
        <v>0</v>
      </c>
      <c r="V70" s="119" t="n">
        <f aca="false">SUMIFS(tabela_registros[VALOR],tabela_registros[MÊS],$AE$1,tabela_registros[DIA],maitotal30597183[[#Headers],[18]],tabela_registros[REGISTRO],DADOS!$N$4,tabela_registros[TIPO],DADOS!$P$4,tabela_registros[CATEGORIA],despesavariávelconsolidadomai[[#This Row],[DESPESA VARIÁVEL]])</f>
        <v>0</v>
      </c>
      <c r="W70" s="119" t="n">
        <f aca="false">SUMIFS(tabela_registros[VALOR],tabela_registros[MÊS],$AE$1,tabela_registros[DIA],maitotal30597183[[#Headers],[19]],tabela_registros[REGISTRO],DADOS!$N$4,tabela_registros[TIPO],DADOS!$P$4,tabela_registros[CATEGORIA],despesavariávelconsolidadomai[[#This Row],[DESPESA VARIÁVEL]])</f>
        <v>0</v>
      </c>
      <c r="X70" s="119" t="n">
        <f aca="false">SUMIFS(tabela_registros[VALOR],tabela_registros[MÊS],$AE$1,tabela_registros[DIA],maitotal30597183[[#Headers],[20]],tabela_registros[REGISTRO],DADOS!$N$4,tabela_registros[TIPO],DADOS!$P$4,tabela_registros[CATEGORIA],despesavariávelconsolidadomai[[#This Row],[DESPESA VARIÁVEL]])</f>
        <v>0</v>
      </c>
      <c r="Y70" s="119" t="n">
        <f aca="false">SUMIFS(tabela_registros[VALOR],tabela_registros[MÊS],$AE$1,tabela_registros[DIA],maitotal30597183[[#Headers],[21]],tabela_registros[REGISTRO],DADOS!$N$4,tabela_registros[TIPO],DADOS!$P$4,tabela_registros[CATEGORIA],despesavariávelconsolidadomai[[#This Row],[DESPESA VARIÁVEL]])</f>
        <v>0</v>
      </c>
      <c r="Z70" s="119" t="n">
        <f aca="false">SUMIFS(tabela_registros[VALOR],tabela_registros[MÊS],$AE$1,tabela_registros[DIA],maitotal30597183[[#Headers],[22]],tabela_registros[REGISTRO],DADOS!$N$4,tabela_registros[TIPO],DADOS!$P$4,tabela_registros[CATEGORIA],despesavariávelconsolidadomai[[#This Row],[DESPESA VARIÁVEL]])</f>
        <v>0</v>
      </c>
      <c r="AA70" s="119" t="n">
        <f aca="false">SUMIFS(tabela_registros[VALOR],tabela_registros[MÊS],$AE$1,tabela_registros[DIA],maitotal30597183[[#Headers],[23]],tabela_registros[REGISTRO],DADOS!$N$4,tabela_registros[TIPO],DADOS!$P$4,tabela_registros[CATEGORIA],despesavariávelconsolidadomai[[#This Row],[DESPESA VARIÁVEL]])</f>
        <v>0</v>
      </c>
      <c r="AB70" s="119" t="n">
        <f aca="false">SUMIFS(tabela_registros[VALOR],tabela_registros[MÊS],$AE$1,tabela_registros[DIA],maitotal30597183[[#Headers],[24]],tabela_registros[REGISTRO],DADOS!$N$4,tabela_registros[TIPO],DADOS!$P$4,tabela_registros[CATEGORIA],despesavariávelconsolidadomai[[#This Row],[DESPESA VARIÁVEL]])</f>
        <v>0</v>
      </c>
      <c r="AC70" s="119" t="n">
        <f aca="false">SUMIFS(tabela_registros[VALOR],tabela_registros[MÊS],$AE$1,tabela_registros[DIA],maitotal30597183[[#Headers],[25]],tabela_registros[REGISTRO],DADOS!$N$4,tabela_registros[TIPO],DADOS!$P$4,tabela_registros[CATEGORIA],despesavariávelconsolidadomai[[#This Row],[DESPESA VARIÁVEL]])</f>
        <v>0</v>
      </c>
      <c r="AD70" s="119" t="n">
        <f aca="false">SUMIFS(tabela_registros[VALOR],tabela_registros[MÊS],$AE$1,tabela_registros[DIA],maitotal30597183[[#Headers],[26]],tabela_registros[REGISTRO],DADOS!$N$4,tabela_registros[TIPO],DADOS!$P$4,tabela_registros[CATEGORIA],despesavariávelconsolidadomai[[#This Row],[DESPESA VARIÁVEL]])</f>
        <v>0</v>
      </c>
      <c r="AE70" s="119" t="n">
        <f aca="false">SUMIFS(tabela_registros[VALOR],tabela_registros[MÊS],$AE$1,tabela_registros[DIA],maitotal30597183[[#Headers],[27]],tabela_registros[REGISTRO],DADOS!$N$4,tabela_registros[TIPO],DADOS!$P$4,tabela_registros[CATEGORIA],despesavariávelconsolidadomai[[#This Row],[DESPESA VARIÁVEL]])</f>
        <v>0</v>
      </c>
      <c r="AF70" s="119" t="n">
        <f aca="false">SUMIFS(tabela_registros[VALOR],tabela_registros[MÊS],$AE$1,tabela_registros[DIA],maitotal30597183[[#Headers],[28]],tabela_registros[REGISTRO],DADOS!$N$4,tabela_registros[TIPO],DADOS!$P$4,tabela_registros[CATEGORIA],despesavariávelconsolidadomai[[#This Row],[DESPESA VARIÁVEL]])</f>
        <v>0</v>
      </c>
      <c r="AG70" s="119" t="n">
        <f aca="false">SUMIFS(tabela_registros[VALOR],tabela_registros[MÊS],$AE$1,tabela_registros[DIA],maitotal30597183[[#Headers],[29]],tabela_registros[REGISTRO],DADOS!$N$4,tabela_registros[TIPO],DADOS!$P$4,tabela_registros[CATEGORIA],despesavariávelconsolidadomai[[#This Row],[DESPESA VARIÁVEL]])</f>
        <v>0</v>
      </c>
      <c r="AH70" s="119" t="n">
        <f aca="false">SUMIFS(tabela_registros[VALOR],tabela_registros[MÊS],$AE$1,tabela_registros[DIA],maitotal30597183[[#Headers],[30]],tabela_registros[REGISTRO],DADOS!$N$4,tabela_registros[TIPO],DADOS!$P$4,tabela_registros[CATEGORIA],despesavariávelconsolidadomai[[#This Row],[DESPESA VARIÁVEL]])</f>
        <v>0</v>
      </c>
      <c r="AI70" s="217" t="n">
        <f aca="false">SUMIFS(tabela_registros[VALOR],tabela_registros[MÊS],$AE$1,tabela_registros[DIA],maitotal30597183[[#Headers],[31]],tabela_registros[REGISTRO],DADOS!$N$4,tabela_registros[TIPO],DADOS!$P$4,tabela_registros[CATEGORIA],despesavariávelconsolidadomai[[#This Row],[DESPESA VARIÁVEL]])</f>
        <v>0</v>
      </c>
      <c r="AJ70" s="149" t="n">
        <f aca="false">SUM(despesavariávelconsolidadomai[[#This Row],[1]:[31]])</f>
        <v>0</v>
      </c>
      <c r="AK70" s="143"/>
    </row>
    <row r="71" customFormat="false" ht="18" hidden="false" customHeight="true" outlineLevel="0" collapsed="false">
      <c r="B71" s="143"/>
      <c r="C71" s="144" t="str">
        <f aca="false">DADOS!$T$14</f>
        <v>🛍️ VESTUÁRIO</v>
      </c>
      <c r="D71" s="145" t="str">
        <f aca="false">IF(despesavariávelconsolidadomai[[#This Row],[TOTAL]]=0,"",IF(OR(despesavariávelconsolidadomai[[#This Row],[TOTAL]]=LARGE($AJ$60:$AJ$72,1),despesavariávelconsolidadomai[[#This Row],[TOTAL]]=LARGE($AJ$60:$AJ$72,2),despesavariávelconsolidadomai[[#This Row],[TOTAL]]=LARGE($AJ$60:$AJ$72,3),despesavariávelconsolidadomai[[#This Row],[TOTAL]]=LARGE($AJ$60:$AJ$72,4),despesavariávelconsolidadomai[[#This Row],[TOTAL]]=LARGE($AJ$60:$AJ$72,5)),DADOS!$I$8,""))</f>
        <v/>
      </c>
      <c r="E71" s="148" t="n">
        <f aca="false">SUMIFS(tabela_registros[VALOR],tabela_registros[MÊS],$AE$1,tabela_registros[DIA],maitotal30597183[[#Headers],[1]],tabela_registros[REGISTRO],DADOS!$N$4,tabela_registros[TIPO],DADOS!$P$4,tabela_registros[CATEGORIA],despesavariávelconsolidadomai[[#This Row],[DESPESA VARIÁVEL]])</f>
        <v>0</v>
      </c>
      <c r="F71" s="119" t="n">
        <f aca="false">SUMIFS(tabela_registros[VALOR],tabela_registros[MÊS],$AE$1,tabela_registros[DIA],maitotal30597183[[#Headers],[2]],tabela_registros[REGISTRO],DADOS!$N$4,tabela_registros[TIPO],DADOS!$P$4,tabela_registros[CATEGORIA],despesavariávelconsolidadomai[[#This Row],[DESPESA VARIÁVEL]])</f>
        <v>0</v>
      </c>
      <c r="G71" s="119" t="n">
        <f aca="false">SUMIFS(tabela_registros[VALOR],tabela_registros[MÊS],$AE$1,tabela_registros[DIA],maitotal30597183[[#Headers],[3]],tabela_registros[REGISTRO],DADOS!$N$4,tabela_registros[TIPO],DADOS!$P$4,tabela_registros[CATEGORIA],despesavariávelconsolidadomai[[#This Row],[DESPESA VARIÁVEL]])</f>
        <v>0</v>
      </c>
      <c r="H71" s="119" t="n">
        <f aca="false">SUMIFS(tabela_registros[VALOR],tabela_registros[MÊS],$AE$1,tabela_registros[DIA],maitotal30597183[[#Headers],[4]],tabela_registros[REGISTRO],DADOS!$N$4,tabela_registros[TIPO],DADOS!$P$4,tabela_registros[CATEGORIA],despesavariávelconsolidadomai[[#This Row],[DESPESA VARIÁVEL]])</f>
        <v>0</v>
      </c>
      <c r="I71" s="119" t="n">
        <f aca="false">SUMIFS(tabela_registros[VALOR],tabela_registros[MÊS],$AE$1,tabela_registros[DIA],maitotal30597183[[#Headers],[5]],tabela_registros[REGISTRO],DADOS!$N$4,tabela_registros[TIPO],DADOS!$P$4,tabela_registros[CATEGORIA],despesavariávelconsolidadomai[[#This Row],[DESPESA VARIÁVEL]])</f>
        <v>0</v>
      </c>
      <c r="J71" s="119" t="n">
        <f aca="false">SUMIFS(tabela_registros[VALOR],tabela_registros[MÊS],$AE$1,tabela_registros[DIA],maitotal30597183[[#Headers],[6]],tabela_registros[REGISTRO],DADOS!$N$4,tabela_registros[TIPO],DADOS!$P$4,tabela_registros[CATEGORIA],despesavariávelconsolidadomai[[#This Row],[DESPESA VARIÁVEL]])</f>
        <v>0</v>
      </c>
      <c r="K71" s="119" t="n">
        <f aca="false">SUMIFS(tabela_registros[VALOR],tabela_registros[MÊS],$AE$1,tabela_registros[DIA],maitotal30597183[[#Headers],[7]],tabela_registros[REGISTRO],DADOS!$N$4,tabela_registros[TIPO],DADOS!$P$4,tabela_registros[CATEGORIA],despesavariávelconsolidadomai[[#This Row],[DESPESA VARIÁVEL]])</f>
        <v>0</v>
      </c>
      <c r="L71" s="119" t="n">
        <f aca="false">SUMIFS(tabela_registros[VALOR],tabela_registros[MÊS],$AE$1,tabela_registros[DIA],maitotal30597183[[#Headers],[8]],tabela_registros[REGISTRO],DADOS!$N$4,tabela_registros[TIPO],DADOS!$P$4,tabela_registros[CATEGORIA],despesavariávelconsolidadomai[[#This Row],[DESPESA VARIÁVEL]])</f>
        <v>0</v>
      </c>
      <c r="M71" s="119" t="n">
        <f aca="false">SUMIFS(tabela_registros[VALOR],tabela_registros[MÊS],$AE$1,tabela_registros[DIA],maitotal30597183[[#Headers],[9]],tabela_registros[REGISTRO],DADOS!$N$4,tabela_registros[TIPO],DADOS!$P$4,tabela_registros[CATEGORIA],despesavariávelconsolidadomai[[#This Row],[DESPESA VARIÁVEL]])</f>
        <v>0</v>
      </c>
      <c r="N71" s="119" t="n">
        <f aca="false">SUMIFS(tabela_registros[VALOR],tabela_registros[MÊS],$AE$1,tabela_registros[DIA],maitotal30597183[[#Headers],[10]],tabela_registros[REGISTRO],DADOS!$N$4,tabela_registros[TIPO],DADOS!$P$4,tabela_registros[CATEGORIA],despesavariávelconsolidadomai[[#This Row],[DESPESA VARIÁVEL]])</f>
        <v>0</v>
      </c>
      <c r="O71" s="119" t="n">
        <f aca="false">SUMIFS(tabela_registros[VALOR],tabela_registros[MÊS],$AE$1,tabela_registros[DIA],maitotal30597183[[#Headers],[11]],tabela_registros[REGISTRO],DADOS!$N$4,tabela_registros[TIPO],DADOS!$P$4,tabela_registros[CATEGORIA],despesavariávelconsolidadomai[[#This Row],[DESPESA VARIÁVEL]])</f>
        <v>0</v>
      </c>
      <c r="P71" s="119" t="n">
        <f aca="false">SUMIFS(tabela_registros[VALOR],tabela_registros[MÊS],$AE$1,tabela_registros[DIA],maitotal30597183[[#Headers],[12]],tabela_registros[REGISTRO],DADOS!$N$4,tabela_registros[TIPO],DADOS!$P$4,tabela_registros[CATEGORIA],despesavariávelconsolidadomai[[#This Row],[DESPESA VARIÁVEL]])</f>
        <v>0</v>
      </c>
      <c r="Q71" s="119" t="n">
        <f aca="false">SUMIFS(tabela_registros[VALOR],tabela_registros[MÊS],$AE$1,tabela_registros[DIA],maitotal30597183[[#Headers],[13]],tabela_registros[REGISTRO],DADOS!$N$4,tabela_registros[TIPO],DADOS!$P$4,tabela_registros[CATEGORIA],despesavariávelconsolidadomai[[#This Row],[DESPESA VARIÁVEL]])</f>
        <v>0</v>
      </c>
      <c r="R71" s="119" t="n">
        <f aca="false">SUMIFS(tabela_registros[VALOR],tabela_registros[MÊS],$AE$1,tabela_registros[DIA],maitotal30597183[[#Headers],[14]],tabela_registros[REGISTRO],DADOS!$N$4,tabela_registros[TIPO],DADOS!$P$4,tabela_registros[CATEGORIA],despesavariávelconsolidadomai[[#This Row],[DESPESA VARIÁVEL]])</f>
        <v>0</v>
      </c>
      <c r="S71" s="119" t="n">
        <f aca="false">SUMIFS(tabela_registros[VALOR],tabela_registros[MÊS],$AE$1,tabela_registros[DIA],maitotal30597183[[#Headers],[15]],tabela_registros[REGISTRO],DADOS!$N$4,tabela_registros[TIPO],DADOS!$P$4,tabela_registros[CATEGORIA],despesavariávelconsolidadomai[[#This Row],[DESPESA VARIÁVEL]])</f>
        <v>0</v>
      </c>
      <c r="T71" s="119" t="n">
        <f aca="false">SUMIFS(tabela_registros[VALOR],tabela_registros[MÊS],$AE$1,tabela_registros[DIA],maitotal30597183[[#Headers],[16]],tabela_registros[REGISTRO],DADOS!$N$4,tabela_registros[TIPO],DADOS!$P$4,tabela_registros[CATEGORIA],despesavariávelconsolidadomai[[#This Row],[DESPESA VARIÁVEL]])</f>
        <v>0</v>
      </c>
      <c r="U71" s="119" t="n">
        <f aca="false">SUMIFS(tabela_registros[VALOR],tabela_registros[MÊS],$AE$1,tabela_registros[DIA],maitotal30597183[[#Headers],[17]],tabela_registros[REGISTRO],DADOS!$N$4,tabela_registros[TIPO],DADOS!$P$4,tabela_registros[CATEGORIA],despesavariávelconsolidadomai[[#This Row],[DESPESA VARIÁVEL]])</f>
        <v>0</v>
      </c>
      <c r="V71" s="119" t="n">
        <f aca="false">SUMIFS(tabela_registros[VALOR],tabela_registros[MÊS],$AE$1,tabela_registros[DIA],maitotal30597183[[#Headers],[18]],tabela_registros[REGISTRO],DADOS!$N$4,tabela_registros[TIPO],DADOS!$P$4,tabela_registros[CATEGORIA],despesavariávelconsolidadomai[[#This Row],[DESPESA VARIÁVEL]])</f>
        <v>0</v>
      </c>
      <c r="W71" s="119" t="n">
        <f aca="false">SUMIFS(tabela_registros[VALOR],tabela_registros[MÊS],$AE$1,tabela_registros[DIA],maitotal30597183[[#Headers],[19]],tabela_registros[REGISTRO],DADOS!$N$4,tabela_registros[TIPO],DADOS!$P$4,tabela_registros[CATEGORIA],despesavariávelconsolidadomai[[#This Row],[DESPESA VARIÁVEL]])</f>
        <v>0</v>
      </c>
      <c r="X71" s="119" t="n">
        <f aca="false">SUMIFS(tabela_registros[VALOR],tabela_registros[MÊS],$AE$1,tabela_registros[DIA],maitotal30597183[[#Headers],[20]],tabela_registros[REGISTRO],DADOS!$N$4,tabela_registros[TIPO],DADOS!$P$4,tabela_registros[CATEGORIA],despesavariávelconsolidadomai[[#This Row],[DESPESA VARIÁVEL]])</f>
        <v>0</v>
      </c>
      <c r="Y71" s="119" t="n">
        <f aca="false">SUMIFS(tabela_registros[VALOR],tabela_registros[MÊS],$AE$1,tabela_registros[DIA],maitotal30597183[[#Headers],[21]],tabela_registros[REGISTRO],DADOS!$N$4,tabela_registros[TIPO],DADOS!$P$4,tabela_registros[CATEGORIA],despesavariávelconsolidadomai[[#This Row],[DESPESA VARIÁVEL]])</f>
        <v>0</v>
      </c>
      <c r="Z71" s="119" t="n">
        <f aca="false">SUMIFS(tabela_registros[VALOR],tabela_registros[MÊS],$AE$1,tabela_registros[DIA],maitotal30597183[[#Headers],[22]],tabela_registros[REGISTRO],DADOS!$N$4,tabela_registros[TIPO],DADOS!$P$4,tabela_registros[CATEGORIA],despesavariávelconsolidadomai[[#This Row],[DESPESA VARIÁVEL]])</f>
        <v>0</v>
      </c>
      <c r="AA71" s="119" t="n">
        <f aca="false">SUMIFS(tabela_registros[VALOR],tabela_registros[MÊS],$AE$1,tabela_registros[DIA],maitotal30597183[[#Headers],[23]],tabela_registros[REGISTRO],DADOS!$N$4,tabela_registros[TIPO],DADOS!$P$4,tabela_registros[CATEGORIA],despesavariávelconsolidadomai[[#This Row],[DESPESA VARIÁVEL]])</f>
        <v>0</v>
      </c>
      <c r="AB71" s="119" t="n">
        <f aca="false">SUMIFS(tabela_registros[VALOR],tabela_registros[MÊS],$AE$1,tabela_registros[DIA],maitotal30597183[[#Headers],[24]],tabela_registros[REGISTRO],DADOS!$N$4,tabela_registros[TIPO],DADOS!$P$4,tabela_registros[CATEGORIA],despesavariávelconsolidadomai[[#This Row],[DESPESA VARIÁVEL]])</f>
        <v>0</v>
      </c>
      <c r="AC71" s="119" t="n">
        <f aca="false">SUMIFS(tabela_registros[VALOR],tabela_registros[MÊS],$AE$1,tabela_registros[DIA],maitotal30597183[[#Headers],[25]],tabela_registros[REGISTRO],DADOS!$N$4,tabela_registros[TIPO],DADOS!$P$4,tabela_registros[CATEGORIA],despesavariávelconsolidadomai[[#This Row],[DESPESA VARIÁVEL]])</f>
        <v>0</v>
      </c>
      <c r="AD71" s="119" t="n">
        <f aca="false">SUMIFS(tabela_registros[VALOR],tabela_registros[MÊS],$AE$1,tabela_registros[DIA],maitotal30597183[[#Headers],[26]],tabela_registros[REGISTRO],DADOS!$N$4,tabela_registros[TIPO],DADOS!$P$4,tabela_registros[CATEGORIA],despesavariávelconsolidadomai[[#This Row],[DESPESA VARIÁVEL]])</f>
        <v>0</v>
      </c>
      <c r="AE71" s="119" t="n">
        <f aca="false">SUMIFS(tabela_registros[VALOR],tabela_registros[MÊS],$AE$1,tabela_registros[DIA],maitotal30597183[[#Headers],[27]],tabela_registros[REGISTRO],DADOS!$N$4,tabela_registros[TIPO],DADOS!$P$4,tabela_registros[CATEGORIA],despesavariávelconsolidadomai[[#This Row],[DESPESA VARIÁVEL]])</f>
        <v>0</v>
      </c>
      <c r="AF71" s="119" t="n">
        <f aca="false">SUMIFS(tabela_registros[VALOR],tabela_registros[MÊS],$AE$1,tabela_registros[DIA],maitotal30597183[[#Headers],[28]],tabela_registros[REGISTRO],DADOS!$N$4,tabela_registros[TIPO],DADOS!$P$4,tabela_registros[CATEGORIA],despesavariávelconsolidadomai[[#This Row],[DESPESA VARIÁVEL]])</f>
        <v>0</v>
      </c>
      <c r="AG71" s="119" t="n">
        <f aca="false">SUMIFS(tabela_registros[VALOR],tabela_registros[MÊS],$AE$1,tabela_registros[DIA],maitotal30597183[[#Headers],[29]],tabela_registros[REGISTRO],DADOS!$N$4,tabela_registros[TIPO],DADOS!$P$4,tabela_registros[CATEGORIA],despesavariávelconsolidadomai[[#This Row],[DESPESA VARIÁVEL]])</f>
        <v>0</v>
      </c>
      <c r="AH71" s="119" t="n">
        <f aca="false">SUMIFS(tabela_registros[VALOR],tabela_registros[MÊS],$AE$1,tabela_registros[DIA],maitotal30597183[[#Headers],[30]],tabela_registros[REGISTRO],DADOS!$N$4,tabela_registros[TIPO],DADOS!$P$4,tabela_registros[CATEGORIA],despesavariávelconsolidadomai[[#This Row],[DESPESA VARIÁVEL]])</f>
        <v>0</v>
      </c>
      <c r="AI71" s="217" t="n">
        <f aca="false">SUMIFS(tabela_registros[VALOR],tabela_registros[MÊS],$AE$1,tabela_registros[DIA],maitotal30597183[[#Headers],[31]],tabela_registros[REGISTRO],DADOS!$N$4,tabela_registros[TIPO],DADOS!$P$4,tabela_registros[CATEGORIA],despesavariávelconsolidadomai[[#This Row],[DESPESA VARIÁVEL]])</f>
        <v>0</v>
      </c>
      <c r="AJ71" s="149" t="n">
        <f aca="false">SUM(despesavariávelconsolidadomai[[#This Row],[1]:[31]])</f>
        <v>0</v>
      </c>
      <c r="AK71" s="143"/>
    </row>
    <row r="72" customFormat="false" ht="18" hidden="false" customHeight="true" outlineLevel="0" collapsed="false">
      <c r="B72" s="143"/>
      <c r="C72" s="144" t="str">
        <f aca="false">DADOS!$T$15</f>
        <v>📎 OUTROS</v>
      </c>
      <c r="D72" s="145" t="str">
        <f aca="false">IF(despesavariávelconsolidadomai[[#This Row],[TOTAL]]=0,"",IF(OR(despesavariávelconsolidadomai[[#This Row],[TOTAL]]=LARGE($AJ$60:$AJ$72,1),despesavariávelconsolidadomai[[#This Row],[TOTAL]]=LARGE($AJ$60:$AJ$72,2),despesavariávelconsolidadomai[[#This Row],[TOTAL]]=LARGE($AJ$60:$AJ$72,3),despesavariávelconsolidadomai[[#This Row],[TOTAL]]=LARGE($AJ$60:$AJ$72,4),despesavariávelconsolidadomai[[#This Row],[TOTAL]]=LARGE($AJ$60:$AJ$72,5)),DADOS!$I$8,""))</f>
        <v/>
      </c>
      <c r="E72" s="148" t="n">
        <f aca="false">SUMIFS(tabela_registros[VALOR],tabela_registros[MÊS],$AE$1,tabela_registros[DIA],maitotal30597183[[#Headers],[1]],tabela_registros[REGISTRO],DADOS!$N$4,tabela_registros[TIPO],DADOS!$P$4,tabela_registros[CATEGORIA],despesavariávelconsolidadomai[[#This Row],[DESPESA VARIÁVEL]])</f>
        <v>0</v>
      </c>
      <c r="F72" s="119" t="n">
        <f aca="false">SUMIFS(tabela_registros[VALOR],tabela_registros[MÊS],$AE$1,tabela_registros[DIA],maitotal30597183[[#Headers],[2]],tabela_registros[REGISTRO],DADOS!$N$4,tabela_registros[TIPO],DADOS!$P$4,tabela_registros[CATEGORIA],despesavariávelconsolidadomai[[#This Row],[DESPESA VARIÁVEL]])</f>
        <v>0</v>
      </c>
      <c r="G72" s="119" t="n">
        <f aca="false">SUMIFS(tabela_registros[VALOR],tabela_registros[MÊS],$AE$1,tabela_registros[DIA],maitotal30597183[[#Headers],[3]],tabela_registros[REGISTRO],DADOS!$N$4,tabela_registros[TIPO],DADOS!$P$4,tabela_registros[CATEGORIA],despesavariávelconsolidadomai[[#This Row],[DESPESA VARIÁVEL]])</f>
        <v>0</v>
      </c>
      <c r="H72" s="119" t="n">
        <f aca="false">SUMIFS(tabela_registros[VALOR],tabela_registros[MÊS],$AE$1,tabela_registros[DIA],maitotal30597183[[#Headers],[4]],tabela_registros[REGISTRO],DADOS!$N$4,tabela_registros[TIPO],DADOS!$P$4,tabela_registros[CATEGORIA],despesavariávelconsolidadomai[[#This Row],[DESPESA VARIÁVEL]])</f>
        <v>0</v>
      </c>
      <c r="I72" s="119" t="n">
        <f aca="false">SUMIFS(tabela_registros[VALOR],tabela_registros[MÊS],$AE$1,tabela_registros[DIA],maitotal30597183[[#Headers],[5]],tabela_registros[REGISTRO],DADOS!$N$4,tabela_registros[TIPO],DADOS!$P$4,tabela_registros[CATEGORIA],despesavariávelconsolidadomai[[#This Row],[DESPESA VARIÁVEL]])</f>
        <v>0</v>
      </c>
      <c r="J72" s="119" t="n">
        <f aca="false">SUMIFS(tabela_registros[VALOR],tabela_registros[MÊS],$AE$1,tabela_registros[DIA],maitotal30597183[[#Headers],[6]],tabela_registros[REGISTRO],DADOS!$N$4,tabela_registros[TIPO],DADOS!$P$4,tabela_registros[CATEGORIA],despesavariávelconsolidadomai[[#This Row],[DESPESA VARIÁVEL]])</f>
        <v>0</v>
      </c>
      <c r="K72" s="119" t="n">
        <f aca="false">SUMIFS(tabela_registros[VALOR],tabela_registros[MÊS],$AE$1,tabela_registros[DIA],maitotal30597183[[#Headers],[7]],tabela_registros[REGISTRO],DADOS!$N$4,tabela_registros[TIPO],DADOS!$P$4,tabela_registros[CATEGORIA],despesavariávelconsolidadomai[[#This Row],[DESPESA VARIÁVEL]])</f>
        <v>0</v>
      </c>
      <c r="L72" s="119" t="n">
        <f aca="false">SUMIFS(tabela_registros[VALOR],tabela_registros[MÊS],$AE$1,tabela_registros[DIA],maitotal30597183[[#Headers],[8]],tabela_registros[REGISTRO],DADOS!$N$4,tabela_registros[TIPO],DADOS!$P$4,tabela_registros[CATEGORIA],despesavariávelconsolidadomai[[#This Row],[DESPESA VARIÁVEL]])</f>
        <v>0</v>
      </c>
      <c r="M72" s="119" t="n">
        <f aca="false">SUMIFS(tabela_registros[VALOR],tabela_registros[MÊS],$AE$1,tabela_registros[DIA],maitotal30597183[[#Headers],[9]],tabela_registros[REGISTRO],DADOS!$N$4,tabela_registros[TIPO],DADOS!$P$4,tabela_registros[CATEGORIA],despesavariávelconsolidadomai[[#This Row],[DESPESA VARIÁVEL]])</f>
        <v>0</v>
      </c>
      <c r="N72" s="119" t="n">
        <f aca="false">SUMIFS(tabela_registros[VALOR],tabela_registros[MÊS],$AE$1,tabela_registros[DIA],maitotal30597183[[#Headers],[10]],tabela_registros[REGISTRO],DADOS!$N$4,tabela_registros[TIPO],DADOS!$P$4,tabela_registros[CATEGORIA],despesavariávelconsolidadomai[[#This Row],[DESPESA VARIÁVEL]])</f>
        <v>0</v>
      </c>
      <c r="O72" s="119" t="n">
        <f aca="false">SUMIFS(tabela_registros[VALOR],tabela_registros[MÊS],$AE$1,tabela_registros[DIA],maitotal30597183[[#Headers],[11]],tabela_registros[REGISTRO],DADOS!$N$4,tabela_registros[TIPO],DADOS!$P$4,tabela_registros[CATEGORIA],despesavariávelconsolidadomai[[#This Row],[DESPESA VARIÁVEL]])</f>
        <v>0</v>
      </c>
      <c r="P72" s="119" t="n">
        <f aca="false">SUMIFS(tabela_registros[VALOR],tabela_registros[MÊS],$AE$1,tabela_registros[DIA],maitotal30597183[[#Headers],[12]],tabela_registros[REGISTRO],DADOS!$N$4,tabela_registros[TIPO],DADOS!$P$4,tabela_registros[CATEGORIA],despesavariávelconsolidadomai[[#This Row],[DESPESA VARIÁVEL]])</f>
        <v>0</v>
      </c>
      <c r="Q72" s="119" t="n">
        <f aca="false">SUMIFS(tabela_registros[VALOR],tabela_registros[MÊS],$AE$1,tabela_registros[DIA],maitotal30597183[[#Headers],[13]],tabela_registros[REGISTRO],DADOS!$N$4,tabela_registros[TIPO],DADOS!$P$4,tabela_registros[CATEGORIA],despesavariávelconsolidadomai[[#This Row],[DESPESA VARIÁVEL]])</f>
        <v>0</v>
      </c>
      <c r="R72" s="119" t="n">
        <f aca="false">SUMIFS(tabela_registros[VALOR],tabela_registros[MÊS],$AE$1,tabela_registros[DIA],maitotal30597183[[#Headers],[14]],tabela_registros[REGISTRO],DADOS!$N$4,tabela_registros[TIPO],DADOS!$P$4,tabela_registros[CATEGORIA],despesavariávelconsolidadomai[[#This Row],[DESPESA VARIÁVEL]])</f>
        <v>0</v>
      </c>
      <c r="S72" s="119" t="n">
        <f aca="false">SUMIFS(tabela_registros[VALOR],tabela_registros[MÊS],$AE$1,tabela_registros[DIA],maitotal30597183[[#Headers],[15]],tabela_registros[REGISTRO],DADOS!$N$4,tabela_registros[TIPO],DADOS!$P$4,tabela_registros[CATEGORIA],despesavariávelconsolidadomai[[#This Row],[DESPESA VARIÁVEL]])</f>
        <v>0</v>
      </c>
      <c r="T72" s="119" t="n">
        <f aca="false">SUMIFS(tabela_registros[VALOR],tabela_registros[MÊS],$AE$1,tabela_registros[DIA],maitotal30597183[[#Headers],[16]],tabela_registros[REGISTRO],DADOS!$N$4,tabela_registros[TIPO],DADOS!$P$4,tabela_registros[CATEGORIA],despesavariávelconsolidadomai[[#This Row],[DESPESA VARIÁVEL]])</f>
        <v>0</v>
      </c>
      <c r="U72" s="119" t="n">
        <f aca="false">SUMIFS(tabela_registros[VALOR],tabela_registros[MÊS],$AE$1,tabela_registros[DIA],maitotal30597183[[#Headers],[17]],tabela_registros[REGISTRO],DADOS!$N$4,tabela_registros[TIPO],DADOS!$P$4,tabela_registros[CATEGORIA],despesavariávelconsolidadomai[[#This Row],[DESPESA VARIÁVEL]])</f>
        <v>0</v>
      </c>
      <c r="V72" s="119" t="n">
        <f aca="false">SUMIFS(tabela_registros[VALOR],tabela_registros[MÊS],$AE$1,tabela_registros[DIA],maitotal30597183[[#Headers],[18]],tabela_registros[REGISTRO],DADOS!$N$4,tabela_registros[TIPO],DADOS!$P$4,tabela_registros[CATEGORIA],despesavariávelconsolidadomai[[#This Row],[DESPESA VARIÁVEL]])</f>
        <v>0</v>
      </c>
      <c r="W72" s="119" t="n">
        <f aca="false">SUMIFS(tabela_registros[VALOR],tabela_registros[MÊS],$AE$1,tabela_registros[DIA],maitotal30597183[[#Headers],[19]],tabela_registros[REGISTRO],DADOS!$N$4,tabela_registros[TIPO],DADOS!$P$4,tabela_registros[CATEGORIA],despesavariávelconsolidadomai[[#This Row],[DESPESA VARIÁVEL]])</f>
        <v>0</v>
      </c>
      <c r="X72" s="119" t="n">
        <f aca="false">SUMIFS(tabela_registros[VALOR],tabela_registros[MÊS],$AE$1,tabela_registros[DIA],maitotal30597183[[#Headers],[20]],tabela_registros[REGISTRO],DADOS!$N$4,tabela_registros[TIPO],DADOS!$P$4,tabela_registros[CATEGORIA],despesavariávelconsolidadomai[[#This Row],[DESPESA VARIÁVEL]])</f>
        <v>0</v>
      </c>
      <c r="Y72" s="119" t="n">
        <f aca="false">SUMIFS(tabela_registros[VALOR],tabela_registros[MÊS],$AE$1,tabela_registros[DIA],maitotal30597183[[#Headers],[21]],tabela_registros[REGISTRO],DADOS!$N$4,tabela_registros[TIPO],DADOS!$P$4,tabela_registros[CATEGORIA],despesavariávelconsolidadomai[[#This Row],[DESPESA VARIÁVEL]])</f>
        <v>0</v>
      </c>
      <c r="Z72" s="119" t="n">
        <f aca="false">SUMIFS(tabela_registros[VALOR],tabela_registros[MÊS],$AE$1,tabela_registros[DIA],maitotal30597183[[#Headers],[22]],tabela_registros[REGISTRO],DADOS!$N$4,tabela_registros[TIPO],DADOS!$P$4,tabela_registros[CATEGORIA],despesavariávelconsolidadomai[[#This Row],[DESPESA VARIÁVEL]])</f>
        <v>0</v>
      </c>
      <c r="AA72" s="119" t="n">
        <f aca="false">SUMIFS(tabela_registros[VALOR],tabela_registros[MÊS],$AE$1,tabela_registros[DIA],maitotal30597183[[#Headers],[23]],tabela_registros[REGISTRO],DADOS!$N$4,tabela_registros[TIPO],DADOS!$P$4,tabela_registros[CATEGORIA],despesavariávelconsolidadomai[[#This Row],[DESPESA VARIÁVEL]])</f>
        <v>0</v>
      </c>
      <c r="AB72" s="119" t="n">
        <f aca="false">SUMIFS(tabela_registros[VALOR],tabela_registros[MÊS],$AE$1,tabela_registros[DIA],maitotal30597183[[#Headers],[24]],tabela_registros[REGISTRO],DADOS!$N$4,tabela_registros[TIPO],DADOS!$P$4,tabela_registros[CATEGORIA],despesavariávelconsolidadomai[[#This Row],[DESPESA VARIÁVEL]])</f>
        <v>0</v>
      </c>
      <c r="AC72" s="119" t="n">
        <f aca="false">SUMIFS(tabela_registros[VALOR],tabela_registros[MÊS],$AE$1,tabela_registros[DIA],maitotal30597183[[#Headers],[25]],tabela_registros[REGISTRO],DADOS!$N$4,tabela_registros[TIPO],DADOS!$P$4,tabela_registros[CATEGORIA],despesavariávelconsolidadomai[[#This Row],[DESPESA VARIÁVEL]])</f>
        <v>0</v>
      </c>
      <c r="AD72" s="119" t="n">
        <f aca="false">SUMIFS(tabela_registros[VALOR],tabela_registros[MÊS],$AE$1,tabela_registros[DIA],maitotal30597183[[#Headers],[26]],tabela_registros[REGISTRO],DADOS!$N$4,tabela_registros[TIPO],DADOS!$P$4,tabela_registros[CATEGORIA],despesavariávelconsolidadomai[[#This Row],[DESPESA VARIÁVEL]])</f>
        <v>0</v>
      </c>
      <c r="AE72" s="119" t="n">
        <f aca="false">SUMIFS(tabela_registros[VALOR],tabela_registros[MÊS],$AE$1,tabela_registros[DIA],maitotal30597183[[#Headers],[27]],tabela_registros[REGISTRO],DADOS!$N$4,tabela_registros[TIPO],DADOS!$P$4,tabela_registros[CATEGORIA],despesavariávelconsolidadomai[[#This Row],[DESPESA VARIÁVEL]])</f>
        <v>0</v>
      </c>
      <c r="AF72" s="119" t="n">
        <f aca="false">SUMIFS(tabela_registros[VALOR],tabela_registros[MÊS],$AE$1,tabela_registros[DIA],maitotal30597183[[#Headers],[28]],tabela_registros[REGISTRO],DADOS!$N$4,tabela_registros[TIPO],DADOS!$P$4,tabela_registros[CATEGORIA],despesavariávelconsolidadomai[[#This Row],[DESPESA VARIÁVEL]])</f>
        <v>0</v>
      </c>
      <c r="AG72" s="119" t="n">
        <f aca="false">SUMIFS(tabela_registros[VALOR],tabela_registros[MÊS],$AE$1,tabela_registros[DIA],maitotal30597183[[#Headers],[29]],tabela_registros[REGISTRO],DADOS!$N$4,tabela_registros[TIPO],DADOS!$P$4,tabela_registros[CATEGORIA],despesavariávelconsolidadomai[[#This Row],[DESPESA VARIÁVEL]])</f>
        <v>0</v>
      </c>
      <c r="AH72" s="119" t="n">
        <f aca="false">SUMIFS(tabela_registros[VALOR],tabela_registros[MÊS],$AE$1,tabela_registros[DIA],maitotal30597183[[#Headers],[30]],tabela_registros[REGISTRO],DADOS!$N$4,tabela_registros[TIPO],DADOS!$P$4,tabela_registros[CATEGORIA],despesavariávelconsolidadomai[[#This Row],[DESPESA VARIÁVEL]])</f>
        <v>0</v>
      </c>
      <c r="AI72" s="218" t="n">
        <f aca="false">SUMIFS(tabela_registros[VALOR],tabela_registros[MÊS],$AE$1,tabela_registros[DIA],maitotal30597183[[#Headers],[31]],tabela_registros[REGISTRO],DADOS!$N$4,tabela_registros[TIPO],DADOS!$P$4,tabela_registros[CATEGORIA],despesavariávelconsolidadomai[[#This Row],[DESPESA VARIÁVEL]])</f>
        <v>0</v>
      </c>
      <c r="AJ72" s="149" t="n">
        <f aca="false">SUM(despesavariávelconsolidadomai[[#This Row],[1]:[31]])</f>
        <v>0</v>
      </c>
      <c r="AK72" s="143"/>
    </row>
    <row r="73" s="122" customFormat="true" ht="21" hidden="false" customHeight="true" outlineLevel="0" collapsed="false">
      <c r="B73" s="152"/>
      <c r="C73" s="153" t="s">
        <v>2</v>
      </c>
      <c r="D73" s="154" t="str">
        <f aca="false">IF(despesavariávelconsolidadomai[[#This Row],[TOTAL]]=0,"",IF(OR(despesavariávelconsolidadomai[[#This Row],[TOTAL]]=SMALL(despesavariávelconsolidadomai[TOTAL],1),despesavariávelconsolidadomai[[#This Row],[TOTAL]]=SMALL(despesavariávelconsolidadomai[TOTAL],2),despesavariávelconsolidadomai[[#This Row],[TOTAL]]=SMALL(despesavariávelconsolidadomai[TOTAL],3),despesavariávelconsolidadomai[[#This Row],[TOTAL]]=SMALL(despesavariávelconsolidadomai[TOTAL],4),despesavariávelconsolidadomai[[#This Row],[TOTAL]]=SMALL(despesavariávelconsolidadomai[TOTAL],5)),DADOS!$I$8,""))</f>
        <v/>
      </c>
      <c r="E73" s="155" t="n">
        <f aca="false">SUM(E60:E72)</f>
        <v>0</v>
      </c>
      <c r="F73" s="156" t="n">
        <f aca="false">SUM(F60:F72)+despesavariávelconsolidadomai[[#This Row],[1]]</f>
        <v>0</v>
      </c>
      <c r="G73" s="156" t="n">
        <f aca="false">SUM(G60:G72)+despesavariávelconsolidadomai[[#This Row],[2]]</f>
        <v>0</v>
      </c>
      <c r="H73" s="156" t="n">
        <f aca="false">SUM(H60:H72)+despesavariávelconsolidadomai[[#This Row],[3]]</f>
        <v>0</v>
      </c>
      <c r="I73" s="156" t="n">
        <f aca="false">SUM(I60:I72)+despesavariávelconsolidadomai[[#This Row],[4]]</f>
        <v>0</v>
      </c>
      <c r="J73" s="156" t="n">
        <f aca="false">SUM(J60:J72)+despesavariávelconsolidadomai[[#This Row],[5]]</f>
        <v>0</v>
      </c>
      <c r="K73" s="156" t="n">
        <f aca="false">SUM(K60:K72)+despesavariávelconsolidadomai[[#This Row],[6]]</f>
        <v>0</v>
      </c>
      <c r="L73" s="156" t="n">
        <f aca="false">SUM(L60:L72)+despesavariávelconsolidadomai[[#This Row],[7]]</f>
        <v>0</v>
      </c>
      <c r="M73" s="156" t="n">
        <f aca="false">SUM(M60:M72)+despesavariávelconsolidadomai[[#This Row],[8]]</f>
        <v>0</v>
      </c>
      <c r="N73" s="156" t="n">
        <f aca="false">SUM(N60:N72)+despesavariávelconsolidadomai[[#This Row],[9]]</f>
        <v>0</v>
      </c>
      <c r="O73" s="156" t="n">
        <f aca="false">SUM(O60:O72)+despesavariávelconsolidadomai[[#This Row],[10]]</f>
        <v>0</v>
      </c>
      <c r="P73" s="156" t="n">
        <f aca="false">SUM(P60:P72)+despesavariávelconsolidadomai[[#This Row],[11]]</f>
        <v>0</v>
      </c>
      <c r="Q73" s="156" t="n">
        <f aca="false">SUM(Q60:Q72)+despesavariávelconsolidadomai[[#This Row],[12]]</f>
        <v>0</v>
      </c>
      <c r="R73" s="156" t="n">
        <f aca="false">SUM(R60:R72)+despesavariávelconsolidadomai[[#This Row],[13]]</f>
        <v>0</v>
      </c>
      <c r="S73" s="156" t="n">
        <f aca="false">SUM(S60:S72)+despesavariávelconsolidadomai[[#This Row],[14]]</f>
        <v>0</v>
      </c>
      <c r="T73" s="156" t="n">
        <f aca="false">SUM(T60:T72)+despesavariávelconsolidadomai[[#This Row],[15]]</f>
        <v>0</v>
      </c>
      <c r="U73" s="156" t="n">
        <f aca="false">SUM(U60:U72)+despesavariávelconsolidadomai[[#This Row],[16]]</f>
        <v>0</v>
      </c>
      <c r="V73" s="156" t="n">
        <f aca="false">SUM(V60:V72)+despesavariávelconsolidadomai[[#This Row],[17]]</f>
        <v>0</v>
      </c>
      <c r="W73" s="156" t="n">
        <f aca="false">SUM(W60:W72)+despesavariávelconsolidadomai[[#This Row],[18]]</f>
        <v>0</v>
      </c>
      <c r="X73" s="156" t="n">
        <f aca="false">SUM(X60:X72)+despesavariávelconsolidadomai[[#This Row],[19]]</f>
        <v>0</v>
      </c>
      <c r="Y73" s="156" t="n">
        <f aca="false">SUM(Y60:Y72)+despesavariávelconsolidadomai[[#This Row],[20]]</f>
        <v>0</v>
      </c>
      <c r="Z73" s="156" t="n">
        <f aca="false">SUM(Z60:Z72)+despesavariávelconsolidadomai[[#This Row],[21]]</f>
        <v>0</v>
      </c>
      <c r="AA73" s="156" t="n">
        <f aca="false">SUM(AA60:AA72)+despesavariávelconsolidadomai[[#This Row],[22]]</f>
        <v>0</v>
      </c>
      <c r="AB73" s="156" t="n">
        <f aca="false">SUM(AB60:AB72)+despesavariávelconsolidadomai[[#This Row],[23]]</f>
        <v>0</v>
      </c>
      <c r="AC73" s="156" t="n">
        <f aca="false">SUM(AC60:AC72)+despesavariávelconsolidadomai[[#This Row],[24]]</f>
        <v>0</v>
      </c>
      <c r="AD73" s="156" t="n">
        <f aca="false">SUM(AD60:AD72)+despesavariávelconsolidadomai[[#This Row],[25]]</f>
        <v>0</v>
      </c>
      <c r="AE73" s="156" t="n">
        <f aca="false">SUM(AE60:AE72)+despesavariávelconsolidadomai[[#This Row],[26]]</f>
        <v>0</v>
      </c>
      <c r="AF73" s="156" t="n">
        <f aca="false">SUM(AF60:AF72)+despesavariávelconsolidadomai[[#This Row],[27]]</f>
        <v>0</v>
      </c>
      <c r="AG73" s="156" t="n">
        <f aca="false">SUM(AG60:AG72)+despesavariávelconsolidadomai[[#This Row],[28]]</f>
        <v>0</v>
      </c>
      <c r="AH73" s="156" t="n">
        <f aca="false">SUM(AH60:AH72)+despesavariávelconsolidadomai[[#This Row],[29]]</f>
        <v>0</v>
      </c>
      <c r="AI73" s="223" t="n">
        <f aca="false">SUM(AI60:AI72)+despesavariávelconsolidadomai[[#This Row],[30]]</f>
        <v>0</v>
      </c>
      <c r="AJ73" s="157" t="n">
        <f aca="false">despesavariávelconsolidadomai[[#This Row],[31]]</f>
        <v>0</v>
      </c>
      <c r="AK73" s="158"/>
    </row>
    <row r="74" customFormat="false" ht="6.75" hidden="false" customHeight="true" outlineLevel="0" collapsed="false">
      <c r="B74" s="97"/>
      <c r="C74" s="159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229"/>
      <c r="AJ74" s="97"/>
      <c r="AK74" s="244"/>
    </row>
    <row r="75" s="78" customFormat="true" ht="12.75" hidden="false" customHeight="false" outlineLevel="0" collapsed="false">
      <c r="E75" s="100"/>
    </row>
    <row r="76" s="78" customFormat="true" ht="12" hidden="false" customHeight="false" outlineLevel="0" collapsed="false"/>
    <row r="77" s="78" customFormat="true" ht="12" hidden="false" customHeight="false" outlineLevel="0" collapsed="false"/>
    <row r="78" customFormat="false" ht="39.75" hidden="false" customHeight="true" outlineLevel="0" collapsed="false">
      <c r="C78" s="101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3" t="s">
        <v>2</v>
      </c>
    </row>
    <row r="79" s="78" customFormat="true" ht="12.75" hidden="false" customHeight="false" outlineLevel="0" collapsed="false">
      <c r="B79" s="161"/>
      <c r="AJ79" s="106" t="s">
        <v>64</v>
      </c>
    </row>
    <row r="80" customFormat="false" ht="6.75" hidden="false" customHeight="true" outlineLevel="0" collapsed="false">
      <c r="B80" s="86"/>
      <c r="C80" s="162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233"/>
      <c r="AK80" s="139"/>
    </row>
    <row r="81" customFormat="false" ht="13.5" hidden="true" customHeight="false" outlineLevel="0" collapsed="false">
      <c r="B81" s="86"/>
      <c r="C81" s="109" t="s">
        <v>68</v>
      </c>
      <c r="D81" s="110" t="s">
        <v>69</v>
      </c>
      <c r="E81" s="110" t="s">
        <v>30</v>
      </c>
      <c r="F81" s="110" t="s">
        <v>31</v>
      </c>
      <c r="G81" s="110" t="s">
        <v>32</v>
      </c>
      <c r="H81" s="110" t="s">
        <v>33</v>
      </c>
      <c r="I81" s="110" t="s">
        <v>34</v>
      </c>
      <c r="J81" s="110" t="s">
        <v>35</v>
      </c>
      <c r="K81" s="110" t="s">
        <v>36</v>
      </c>
      <c r="L81" s="110" t="s">
        <v>37</v>
      </c>
      <c r="M81" s="110" t="s">
        <v>38</v>
      </c>
      <c r="N81" s="110" t="s">
        <v>39</v>
      </c>
      <c r="O81" s="110" t="s">
        <v>40</v>
      </c>
      <c r="P81" s="110" t="s">
        <v>41</v>
      </c>
      <c r="Q81" s="110" t="s">
        <v>81</v>
      </c>
      <c r="R81" s="110" t="s">
        <v>82</v>
      </c>
      <c r="S81" s="110" t="s">
        <v>83</v>
      </c>
      <c r="T81" s="110" t="s">
        <v>84</v>
      </c>
      <c r="U81" s="110" t="s">
        <v>85</v>
      </c>
      <c r="V81" s="110" t="s">
        <v>86</v>
      </c>
      <c r="W81" s="110" t="s">
        <v>87</v>
      </c>
      <c r="X81" s="110" t="s">
        <v>88</v>
      </c>
      <c r="Y81" s="110" t="s">
        <v>89</v>
      </c>
      <c r="Z81" s="110" t="s">
        <v>90</v>
      </c>
      <c r="AA81" s="110" t="s">
        <v>91</v>
      </c>
      <c r="AB81" s="110" t="s">
        <v>92</v>
      </c>
      <c r="AC81" s="110" t="s">
        <v>93</v>
      </c>
      <c r="AD81" s="110" t="s">
        <v>94</v>
      </c>
      <c r="AE81" s="110" t="s">
        <v>95</v>
      </c>
      <c r="AF81" s="110" t="s">
        <v>96</v>
      </c>
      <c r="AG81" s="110" t="s">
        <v>97</v>
      </c>
      <c r="AH81" s="110" t="s">
        <v>98</v>
      </c>
      <c r="AI81" s="110" t="s">
        <v>99</v>
      </c>
      <c r="AJ81" s="111" t="s">
        <v>70</v>
      </c>
      <c r="AK81" s="86"/>
    </row>
    <row r="82" customFormat="false" ht="19.5" hidden="false" customHeight="true" outlineLevel="0" collapsed="false">
      <c r="B82" s="143"/>
      <c r="C82" s="144" t="str">
        <f aca="false">DADOS!$X$3</f>
        <v>💵 ALUGUEL</v>
      </c>
      <c r="D82" s="145" t="str">
        <f aca="false">IF(receitasfixasconsolidadomai[[#This Row],[TOTAL (R$)]]=0,"",IF(OR(receitasfixasconsolidadomai[[#This Row],[TOTAL (R$)]]=LARGE($AJ$82:$AJ$86,1),receitasfixasconsolidadomai[[#This Row],[TOTAL (R$)]]=LARGE($AJ$82:$AJ$86,2)),DADOS!$I$9,""))</f>
        <v/>
      </c>
      <c r="E82" s="146" t="n">
        <f aca="false">SUMIFS(tabela_registros[VALOR],tabela_registros[MÊS],$AE$1,tabela_registros[DIA],receitasfixasconsolidadomai[[#Headers],[1]],tabela_registros[REGISTRO],DADOS!$N$3,tabela_registros[TIPO],DADOS!$V$3,tabela_registros[CATEGORIA],receitasfixasconsolidadomai[[#This Row],[ATUAL]])</f>
        <v>0</v>
      </c>
      <c r="F82" s="114" t="n">
        <f aca="false">SUMIFS(tabela_registros[VALOR],tabela_registros[MÊS],$AE$1,tabela_registros[DIA],receitasfixasconsolidadomai[[#Headers],[2]],tabela_registros[REGISTRO],DADOS!$N$3,tabela_registros[TIPO],DADOS!$V$3,tabela_registros[CATEGORIA],receitasfixasconsolidadomai[[#This Row],[ATUAL]])</f>
        <v>0</v>
      </c>
      <c r="G82" s="114" t="n">
        <f aca="false">SUMIFS(tabela_registros[VALOR],tabela_registros[MÊS],$AE$1,tabela_registros[DIA],receitasfixasconsolidadomai[[#Headers],[3]],tabela_registros[REGISTRO],DADOS!$N$3,tabela_registros[TIPO],DADOS!$V$3,tabela_registros[CATEGORIA],receitasfixasconsolidadomai[[#This Row],[ATUAL]])</f>
        <v>0</v>
      </c>
      <c r="H82" s="114" t="n">
        <f aca="false">SUMIFS(tabela_registros[VALOR],tabela_registros[MÊS],$AE$1,tabela_registros[DIA],receitasfixasconsolidadomai[[#Headers],[4]],tabela_registros[REGISTRO],DADOS!$N$3,tabela_registros[TIPO],DADOS!$V$3,tabela_registros[CATEGORIA],receitasfixasconsolidadomai[[#This Row],[ATUAL]])</f>
        <v>0</v>
      </c>
      <c r="I82" s="114" t="n">
        <f aca="false">SUMIFS(tabela_registros[VALOR],tabela_registros[MÊS],$AE$1,tabela_registros[DIA],receitasfixasconsolidadomai[[#Headers],[5]],tabela_registros[REGISTRO],DADOS!$N$3,tabela_registros[TIPO],DADOS!$V$3,tabela_registros[CATEGORIA],receitasfixasconsolidadomai[[#This Row],[ATUAL]])</f>
        <v>0</v>
      </c>
      <c r="J82" s="114" t="n">
        <f aca="false">SUMIFS(tabela_registros[VALOR],tabela_registros[MÊS],$AE$1,tabela_registros[DIA],receitasfixasconsolidadomai[[#Headers],[6]],tabela_registros[REGISTRO],DADOS!$N$3,tabela_registros[TIPO],DADOS!$V$3,tabela_registros[CATEGORIA],receitasfixasconsolidadomai[[#This Row],[ATUAL]])</f>
        <v>0</v>
      </c>
      <c r="K82" s="114" t="n">
        <f aca="false">SUMIFS(tabela_registros[VALOR],tabela_registros[MÊS],$AE$1,tabela_registros[DIA],receitasfixasconsolidadomai[[#Headers],[7]],tabela_registros[REGISTRO],DADOS!$N$3,tabela_registros[TIPO],DADOS!$V$3,tabela_registros[CATEGORIA],receitasfixasconsolidadomai[[#This Row],[ATUAL]])</f>
        <v>0</v>
      </c>
      <c r="L82" s="114" t="n">
        <f aca="false">SUMIFS(tabela_registros[VALOR],tabela_registros[MÊS],$AE$1,tabela_registros[DIA],receitasfixasconsolidadomai[[#Headers],[8]],tabela_registros[REGISTRO],DADOS!$N$3,tabela_registros[TIPO],DADOS!$V$3,tabela_registros[CATEGORIA],receitasfixasconsolidadomai[[#This Row],[ATUAL]])</f>
        <v>0</v>
      </c>
      <c r="M82" s="114" t="n">
        <f aca="false">SUMIFS(tabela_registros[VALOR],tabela_registros[MÊS],$AE$1,tabela_registros[DIA],receitasfixasconsolidadomai[[#Headers],[9]],tabela_registros[REGISTRO],DADOS!$N$3,tabela_registros[TIPO],DADOS!$V$3,tabela_registros[CATEGORIA],receitasfixasconsolidadomai[[#This Row],[ATUAL]])</f>
        <v>0</v>
      </c>
      <c r="N82" s="114" t="n">
        <f aca="false">SUMIFS(tabela_registros[VALOR],tabela_registros[MÊS],$AE$1,tabela_registros[DIA],receitasfixasconsolidadomai[[#Headers],[10]],tabela_registros[REGISTRO],DADOS!$N$3,tabela_registros[TIPO],DADOS!$V$3,tabela_registros[CATEGORIA],receitasfixasconsolidadomai[[#This Row],[ATUAL]])</f>
        <v>0</v>
      </c>
      <c r="O82" s="114" t="n">
        <f aca="false">SUMIFS(tabela_registros[VALOR],tabela_registros[MÊS],$AE$1,tabela_registros[DIA],receitasfixasconsolidadomai[[#Headers],[11]],tabela_registros[REGISTRO],DADOS!$N$3,tabela_registros[TIPO],DADOS!$V$3,tabela_registros[CATEGORIA],receitasfixasconsolidadomai[[#This Row],[ATUAL]])</f>
        <v>0</v>
      </c>
      <c r="P82" s="114" t="n">
        <f aca="false">SUMIFS(tabela_registros[VALOR],tabela_registros[MÊS],$AE$1,tabela_registros[DIA],receitasfixasconsolidadomai[[#Headers],[12]],tabela_registros[REGISTRO],DADOS!$N$3,tabela_registros[TIPO],DADOS!$V$3,tabela_registros[CATEGORIA],receitasfixasconsolidadomai[[#This Row],[ATUAL]])</f>
        <v>0</v>
      </c>
      <c r="Q82" s="114" t="n">
        <f aca="false">SUMIFS(tabela_registros[VALOR],tabela_registros[MÊS],$AE$1,tabela_registros[DIA],receitasfixasconsolidadomai[[#Headers],[13]],tabela_registros[REGISTRO],DADOS!$N$3,tabela_registros[TIPO],DADOS!$V$3,tabela_registros[CATEGORIA],receitasfixasconsolidadomai[[#This Row],[ATUAL]])</f>
        <v>0</v>
      </c>
      <c r="R82" s="114" t="n">
        <f aca="false">SUMIFS(tabela_registros[VALOR],tabela_registros[MÊS],$AE$1,tabela_registros[DIA],receitasfixasconsolidadomai[[#Headers],[14]],tabela_registros[REGISTRO],DADOS!$N$3,tabela_registros[TIPO],DADOS!$V$3,tabela_registros[CATEGORIA],receitasfixasconsolidadomai[[#This Row],[ATUAL]])</f>
        <v>0</v>
      </c>
      <c r="S82" s="114" t="n">
        <f aca="false">SUMIFS(tabela_registros[VALOR],tabela_registros[MÊS],$AE$1,tabela_registros[DIA],receitasfixasconsolidadomai[[#Headers],[15]],tabela_registros[REGISTRO],DADOS!$N$3,tabela_registros[TIPO],DADOS!$V$3,tabela_registros[CATEGORIA],receitasfixasconsolidadomai[[#This Row],[ATUAL]])</f>
        <v>0</v>
      </c>
      <c r="T82" s="114" t="n">
        <f aca="false">SUMIFS(tabela_registros[VALOR],tabela_registros[MÊS],$AE$1,tabela_registros[DIA],receitasfixasconsolidadomai[[#Headers],[16]],tabela_registros[REGISTRO],DADOS!$N$3,tabela_registros[TIPO],DADOS!$V$3,tabela_registros[CATEGORIA],receitasfixasconsolidadomai[[#This Row],[ATUAL]])</f>
        <v>0</v>
      </c>
      <c r="U82" s="114" t="n">
        <f aca="false">SUMIFS(tabela_registros[VALOR],tabela_registros[MÊS],$AE$1,tabela_registros[DIA],receitasfixasconsolidadomai[[#Headers],[17]],tabela_registros[REGISTRO],DADOS!$N$3,tabela_registros[TIPO],DADOS!$V$3,tabela_registros[CATEGORIA],receitasfixasconsolidadomai[[#This Row],[ATUAL]])</f>
        <v>0</v>
      </c>
      <c r="V82" s="114" t="n">
        <f aca="false">SUMIFS(tabela_registros[VALOR],tabela_registros[MÊS],$AE$1,tabela_registros[DIA],receitasfixasconsolidadomai[[#Headers],[18]],tabela_registros[REGISTRO],DADOS!$N$3,tabela_registros[TIPO],DADOS!$V$3,tabela_registros[CATEGORIA],receitasfixasconsolidadomai[[#This Row],[ATUAL]])</f>
        <v>0</v>
      </c>
      <c r="W82" s="114" t="n">
        <f aca="false">SUMIFS(tabela_registros[VALOR],tabela_registros[MÊS],$AE$1,tabela_registros[DIA],receitasfixasconsolidadomai[[#Headers],[19]],tabela_registros[REGISTRO],DADOS!$N$3,tabela_registros[TIPO],DADOS!$V$3,tabela_registros[CATEGORIA],receitasfixasconsolidadomai[[#This Row],[ATUAL]])</f>
        <v>0</v>
      </c>
      <c r="X82" s="114" t="n">
        <f aca="false">SUMIFS(tabela_registros[VALOR],tabela_registros[MÊS],$AE$1,tabela_registros[DIA],receitasfixasconsolidadomai[[#Headers],[20]],tabela_registros[REGISTRO],DADOS!$N$3,tabela_registros[TIPO],DADOS!$V$3,tabela_registros[CATEGORIA],receitasfixasconsolidadomai[[#This Row],[ATUAL]])</f>
        <v>0</v>
      </c>
      <c r="Y82" s="114" t="n">
        <f aca="false">SUMIFS(tabela_registros[VALOR],tabela_registros[MÊS],$AE$1,tabela_registros[DIA],receitasfixasconsolidadomai[[#Headers],[21]],tabela_registros[REGISTRO],DADOS!$N$3,tabela_registros[TIPO],DADOS!$V$3,tabela_registros[CATEGORIA],receitasfixasconsolidadomai[[#This Row],[ATUAL]])</f>
        <v>0</v>
      </c>
      <c r="Z82" s="114" t="n">
        <f aca="false">SUMIFS(tabela_registros[VALOR],tabela_registros[MÊS],$AE$1,tabela_registros[DIA],receitasfixasconsolidadomai[[#Headers],[22]],tabela_registros[REGISTRO],DADOS!$N$3,tabela_registros[TIPO],DADOS!$V$3,tabela_registros[CATEGORIA],receitasfixasconsolidadomai[[#This Row],[ATUAL]])</f>
        <v>0</v>
      </c>
      <c r="AA82" s="114" t="n">
        <f aca="false">SUMIFS(tabela_registros[VALOR],tabela_registros[MÊS],$AE$1,tabela_registros[DIA],receitasfixasconsolidadomai[[#Headers],[23]],tabela_registros[REGISTRO],DADOS!$N$3,tabela_registros[TIPO],DADOS!$V$3,tabela_registros[CATEGORIA],receitasfixasconsolidadomai[[#This Row],[ATUAL]])</f>
        <v>0</v>
      </c>
      <c r="AB82" s="114" t="n">
        <f aca="false">SUMIFS(tabela_registros[VALOR],tabela_registros[MÊS],$AE$1,tabela_registros[DIA],receitasfixasconsolidadomai[[#Headers],[24]],tabela_registros[REGISTRO],DADOS!$N$3,tabela_registros[TIPO],DADOS!$V$3,tabela_registros[CATEGORIA],receitasfixasconsolidadomai[[#This Row],[ATUAL]])</f>
        <v>0</v>
      </c>
      <c r="AC82" s="114" t="n">
        <f aca="false">SUMIFS(tabela_registros[VALOR],tabela_registros[MÊS],$AE$1,tabela_registros[DIA],receitasfixasconsolidadomai[[#Headers],[25]],tabela_registros[REGISTRO],DADOS!$N$3,tabela_registros[TIPO],DADOS!$V$3,tabela_registros[CATEGORIA],receitasfixasconsolidadomai[[#This Row],[ATUAL]])</f>
        <v>0</v>
      </c>
      <c r="AD82" s="114" t="n">
        <f aca="false">SUMIFS(tabela_registros[VALOR],tabela_registros[MÊS],$AE$1,tabela_registros[DIA],receitasfixasconsolidadomai[[#Headers],[26]],tabela_registros[REGISTRO],DADOS!$N$3,tabela_registros[TIPO],DADOS!$V$3,tabela_registros[CATEGORIA],receitasfixasconsolidadomai[[#This Row],[ATUAL]])</f>
        <v>0</v>
      </c>
      <c r="AE82" s="114" t="n">
        <f aca="false">SUMIFS(tabela_registros[VALOR],tabela_registros[MÊS],$AE$1,tabela_registros[DIA],receitasfixasconsolidadomai[[#Headers],[27]],tabela_registros[REGISTRO],DADOS!$N$3,tabela_registros[TIPO],DADOS!$V$3,tabela_registros[CATEGORIA],receitasfixasconsolidadomai[[#This Row],[ATUAL]])</f>
        <v>0</v>
      </c>
      <c r="AF82" s="114" t="n">
        <f aca="false">SUMIFS(tabela_registros[VALOR],tabela_registros[MÊS],$AE$1,tabela_registros[DIA],receitasfixasconsolidadomai[[#Headers],[28]],tabela_registros[REGISTRO],DADOS!$N$3,tabela_registros[TIPO],DADOS!$V$3,tabela_registros[CATEGORIA],receitasfixasconsolidadomai[[#This Row],[ATUAL]])</f>
        <v>0</v>
      </c>
      <c r="AG82" s="114" t="n">
        <f aca="false">SUMIFS(tabela_registros[VALOR],tabela_registros[MÊS],$AE$1,tabela_registros[DIA],receitasfixasconsolidadomai[[#Headers],[29]],tabela_registros[REGISTRO],DADOS!$N$3,tabela_registros[TIPO],DADOS!$V$3,tabela_registros[CATEGORIA],receitasfixasconsolidadomai[[#This Row],[ATUAL]])</f>
        <v>0</v>
      </c>
      <c r="AH82" s="114" t="n">
        <f aca="false">SUMIFS(tabela_registros[VALOR],tabela_registros[MÊS],$AE$1,tabela_registros[DIA],receitasfixasconsolidadomai[[#Headers],[30]],tabela_registros[REGISTRO],DADOS!$N$3,tabela_registros[TIPO],DADOS!$V$3,tabela_registros[CATEGORIA],receitasfixasconsolidadomai[[#This Row],[ATUAL]])</f>
        <v>0</v>
      </c>
      <c r="AI82" s="216" t="n">
        <f aca="false">SUMIFS(tabela_registros[VALOR],tabela_registros[MÊS],$AE$1,tabela_registros[DIA],receitasfixasconsolidadomai[[#Headers],[31]],tabela_registros[REGISTRO],DADOS!$N$3,tabela_registros[TIPO],DADOS!$V$3,tabela_registros[CATEGORIA],receitasfixasconsolidadomai[[#This Row],[ATUAL]])</f>
        <v>0</v>
      </c>
      <c r="AJ82" s="149" t="n">
        <f aca="false">SUM(receitasfixasconsolidadomai[[#This Row],[1]:[31]])</f>
        <v>0</v>
      </c>
      <c r="AK82" s="165"/>
    </row>
    <row r="83" customFormat="false" ht="19.5" hidden="false" customHeight="true" outlineLevel="0" collapsed="false">
      <c r="B83" s="143"/>
      <c r="C83" s="144" t="str">
        <f aca="false">DADOS!$X$4</f>
        <v>💸APOSENTADORIA</v>
      </c>
      <c r="D83" s="145" t="str">
        <f aca="false">IF(receitasfixasconsolidadomai[[#This Row],[TOTAL (R$)]]=0,"",IF(OR(receitasfixasconsolidadomai[[#This Row],[TOTAL (R$)]]=LARGE($AJ$82:$AJ$86,1),receitasfixasconsolidadomai[[#This Row],[TOTAL (R$)]]=LARGE($AJ$82:$AJ$86,2)),DADOS!$I$9,""))</f>
        <v/>
      </c>
      <c r="E83" s="148" t="n">
        <f aca="false">SUMIFS(tabela_registros[VALOR],tabela_registros[MÊS],$AE$1,tabela_registros[DIA],receitasfixasconsolidadomai[[#Headers],[1]],tabela_registros[REGISTRO],DADOS!$N$3,tabela_registros[TIPO],DADOS!$V$3,tabela_registros[CATEGORIA],receitasfixasconsolidadomai[[#This Row],[ATUAL]])</f>
        <v>0</v>
      </c>
      <c r="F83" s="119" t="n">
        <f aca="false">SUMIFS(tabela_registros[VALOR],tabela_registros[MÊS],$AE$1,tabela_registros[DIA],receitasfixasconsolidadomai[[#Headers],[2]],tabela_registros[REGISTRO],DADOS!$N$3,tabela_registros[TIPO],DADOS!$V$3,tabela_registros[CATEGORIA],receitasfixasconsolidadomai[[#This Row],[ATUAL]])</f>
        <v>0</v>
      </c>
      <c r="G83" s="119" t="n">
        <f aca="false">SUMIFS(tabela_registros[VALOR],tabela_registros[MÊS],$AE$1,tabela_registros[DIA],receitasfixasconsolidadomai[[#Headers],[3]],tabela_registros[REGISTRO],DADOS!$N$3,tabela_registros[TIPO],DADOS!$V$3,tabela_registros[CATEGORIA],receitasfixasconsolidadomai[[#This Row],[ATUAL]])</f>
        <v>0</v>
      </c>
      <c r="H83" s="119" t="n">
        <f aca="false">SUMIFS(tabela_registros[VALOR],tabela_registros[MÊS],$AE$1,tabela_registros[DIA],receitasfixasconsolidadomai[[#Headers],[4]],tabela_registros[REGISTRO],DADOS!$N$3,tabela_registros[TIPO],DADOS!$V$3,tabela_registros[CATEGORIA],receitasfixasconsolidadomai[[#This Row],[ATUAL]])</f>
        <v>0</v>
      </c>
      <c r="I83" s="119" t="n">
        <f aca="false">SUMIFS(tabela_registros[VALOR],tabela_registros[MÊS],$AE$1,tabela_registros[DIA],receitasfixasconsolidadomai[[#Headers],[5]],tabela_registros[REGISTRO],DADOS!$N$3,tabela_registros[TIPO],DADOS!$V$3,tabela_registros[CATEGORIA],receitasfixasconsolidadomai[[#This Row],[ATUAL]])</f>
        <v>0</v>
      </c>
      <c r="J83" s="119" t="n">
        <f aca="false">SUMIFS(tabela_registros[VALOR],tabela_registros[MÊS],$AE$1,tabela_registros[DIA],receitasfixasconsolidadomai[[#Headers],[6]],tabela_registros[REGISTRO],DADOS!$N$3,tabela_registros[TIPO],DADOS!$V$3,tabela_registros[CATEGORIA],receitasfixasconsolidadomai[[#This Row],[ATUAL]])</f>
        <v>0</v>
      </c>
      <c r="K83" s="119" t="n">
        <f aca="false">SUMIFS(tabela_registros[VALOR],tabela_registros[MÊS],$AE$1,tabela_registros[DIA],receitasfixasconsolidadomai[[#Headers],[7]],tabela_registros[REGISTRO],DADOS!$N$3,tabela_registros[TIPO],DADOS!$V$3,tabela_registros[CATEGORIA],receitasfixasconsolidadomai[[#This Row],[ATUAL]])</f>
        <v>0</v>
      </c>
      <c r="L83" s="119" t="n">
        <f aca="false">SUMIFS(tabela_registros[VALOR],tabela_registros[MÊS],$AE$1,tabela_registros[DIA],receitasfixasconsolidadomai[[#Headers],[8]],tabela_registros[REGISTRO],DADOS!$N$3,tabela_registros[TIPO],DADOS!$V$3,tabela_registros[CATEGORIA],receitasfixasconsolidadomai[[#This Row],[ATUAL]])</f>
        <v>0</v>
      </c>
      <c r="M83" s="119" t="n">
        <f aca="false">SUMIFS(tabela_registros[VALOR],tabela_registros[MÊS],$AE$1,tabela_registros[DIA],receitasfixasconsolidadomai[[#Headers],[9]],tabela_registros[REGISTRO],DADOS!$N$3,tabela_registros[TIPO],DADOS!$V$3,tabela_registros[CATEGORIA],receitasfixasconsolidadomai[[#This Row],[ATUAL]])</f>
        <v>0</v>
      </c>
      <c r="N83" s="119" t="n">
        <f aca="false">SUMIFS(tabela_registros[VALOR],tabela_registros[MÊS],$AE$1,tabela_registros[DIA],receitasfixasconsolidadomai[[#Headers],[10]],tabela_registros[REGISTRO],DADOS!$N$3,tabela_registros[TIPO],DADOS!$V$3,tabela_registros[CATEGORIA],receitasfixasconsolidadomai[[#This Row],[ATUAL]])</f>
        <v>0</v>
      </c>
      <c r="O83" s="119" t="n">
        <f aca="false">SUMIFS(tabela_registros[VALOR],tabela_registros[MÊS],$AE$1,tabela_registros[DIA],receitasfixasconsolidadomai[[#Headers],[11]],tabela_registros[REGISTRO],DADOS!$N$3,tabela_registros[TIPO],DADOS!$V$3,tabela_registros[CATEGORIA],receitasfixasconsolidadomai[[#This Row],[ATUAL]])</f>
        <v>0</v>
      </c>
      <c r="P83" s="119" t="n">
        <f aca="false">SUMIFS(tabela_registros[VALOR],tabela_registros[MÊS],$AE$1,tabela_registros[DIA],receitasfixasconsolidadomai[[#Headers],[12]],tabela_registros[REGISTRO],DADOS!$N$3,tabela_registros[TIPO],DADOS!$V$3,tabela_registros[CATEGORIA],receitasfixasconsolidadomai[[#This Row],[ATUAL]])</f>
        <v>0</v>
      </c>
      <c r="Q83" s="119" t="n">
        <f aca="false">SUMIFS(tabela_registros[VALOR],tabela_registros[MÊS],$AE$1,tabela_registros[DIA],receitasfixasconsolidadomai[[#Headers],[13]],tabela_registros[REGISTRO],DADOS!$N$3,tabela_registros[TIPO],DADOS!$V$3,tabela_registros[CATEGORIA],receitasfixasconsolidadomai[[#This Row],[ATUAL]])</f>
        <v>0</v>
      </c>
      <c r="R83" s="119" t="n">
        <f aca="false">SUMIFS(tabela_registros[VALOR],tabela_registros[MÊS],$AE$1,tabela_registros[DIA],receitasfixasconsolidadomai[[#Headers],[14]],tabela_registros[REGISTRO],DADOS!$N$3,tabela_registros[TIPO],DADOS!$V$3,tabela_registros[CATEGORIA],receitasfixasconsolidadomai[[#This Row],[ATUAL]])</f>
        <v>0</v>
      </c>
      <c r="S83" s="119" t="n">
        <f aca="false">SUMIFS(tabela_registros[VALOR],tabela_registros[MÊS],$AE$1,tabela_registros[DIA],receitasfixasconsolidadomai[[#Headers],[15]],tabela_registros[REGISTRO],DADOS!$N$3,tabela_registros[TIPO],DADOS!$V$3,tabela_registros[CATEGORIA],receitasfixasconsolidadomai[[#This Row],[ATUAL]])</f>
        <v>0</v>
      </c>
      <c r="T83" s="119" t="n">
        <f aca="false">SUMIFS(tabela_registros[VALOR],tabela_registros[MÊS],$AE$1,tabela_registros[DIA],receitasfixasconsolidadomai[[#Headers],[16]],tabela_registros[REGISTRO],DADOS!$N$3,tabela_registros[TIPO],DADOS!$V$3,tabela_registros[CATEGORIA],receitasfixasconsolidadomai[[#This Row],[ATUAL]])</f>
        <v>0</v>
      </c>
      <c r="U83" s="119" t="n">
        <f aca="false">SUMIFS(tabela_registros[VALOR],tabela_registros[MÊS],$AE$1,tabela_registros[DIA],receitasfixasconsolidadomai[[#Headers],[17]],tabela_registros[REGISTRO],DADOS!$N$3,tabela_registros[TIPO],DADOS!$V$3,tabela_registros[CATEGORIA],receitasfixasconsolidadomai[[#This Row],[ATUAL]])</f>
        <v>0</v>
      </c>
      <c r="V83" s="119" t="n">
        <f aca="false">SUMIFS(tabela_registros[VALOR],tabela_registros[MÊS],$AE$1,tabela_registros[DIA],receitasfixasconsolidadomai[[#Headers],[18]],tabela_registros[REGISTRO],DADOS!$N$3,tabela_registros[TIPO],DADOS!$V$3,tabela_registros[CATEGORIA],receitasfixasconsolidadomai[[#This Row],[ATUAL]])</f>
        <v>0</v>
      </c>
      <c r="W83" s="119" t="n">
        <f aca="false">SUMIFS(tabela_registros[VALOR],tabela_registros[MÊS],$AE$1,tabela_registros[DIA],receitasfixasconsolidadomai[[#Headers],[19]],tabela_registros[REGISTRO],DADOS!$N$3,tabela_registros[TIPO],DADOS!$V$3,tabela_registros[CATEGORIA],receitasfixasconsolidadomai[[#This Row],[ATUAL]])</f>
        <v>0</v>
      </c>
      <c r="X83" s="119" t="n">
        <f aca="false">SUMIFS(tabela_registros[VALOR],tabela_registros[MÊS],$AE$1,tabela_registros[DIA],receitasfixasconsolidadomai[[#Headers],[20]],tabela_registros[REGISTRO],DADOS!$N$3,tabela_registros[TIPO],DADOS!$V$3,tabela_registros[CATEGORIA],receitasfixasconsolidadomai[[#This Row],[ATUAL]])</f>
        <v>0</v>
      </c>
      <c r="Y83" s="119" t="n">
        <f aca="false">SUMIFS(tabela_registros[VALOR],tabela_registros[MÊS],$AE$1,tabela_registros[DIA],receitasfixasconsolidadomai[[#Headers],[21]],tabela_registros[REGISTRO],DADOS!$N$3,tabela_registros[TIPO],DADOS!$V$3,tabela_registros[CATEGORIA],receitasfixasconsolidadomai[[#This Row],[ATUAL]])</f>
        <v>0</v>
      </c>
      <c r="Z83" s="119" t="n">
        <f aca="false">SUMIFS(tabela_registros[VALOR],tabela_registros[MÊS],$AE$1,tabela_registros[DIA],receitasfixasconsolidadomai[[#Headers],[22]],tabela_registros[REGISTRO],DADOS!$N$3,tabela_registros[TIPO],DADOS!$V$3,tabela_registros[CATEGORIA],receitasfixasconsolidadomai[[#This Row],[ATUAL]])</f>
        <v>0</v>
      </c>
      <c r="AA83" s="119" t="n">
        <f aca="false">SUMIFS(tabela_registros[VALOR],tabela_registros[MÊS],$AE$1,tabela_registros[DIA],receitasfixasconsolidadomai[[#Headers],[23]],tabela_registros[REGISTRO],DADOS!$N$3,tabela_registros[TIPO],DADOS!$V$3,tabela_registros[CATEGORIA],receitasfixasconsolidadomai[[#This Row],[ATUAL]])</f>
        <v>0</v>
      </c>
      <c r="AB83" s="119" t="n">
        <f aca="false">SUMIFS(tabela_registros[VALOR],tabela_registros[MÊS],$AE$1,tabela_registros[DIA],receitasfixasconsolidadomai[[#Headers],[24]],tabela_registros[REGISTRO],DADOS!$N$3,tabela_registros[TIPO],DADOS!$V$3,tabela_registros[CATEGORIA],receitasfixasconsolidadomai[[#This Row],[ATUAL]])</f>
        <v>0</v>
      </c>
      <c r="AC83" s="119" t="n">
        <f aca="false">SUMIFS(tabela_registros[VALOR],tabela_registros[MÊS],$AE$1,tabela_registros[DIA],receitasfixasconsolidadomai[[#Headers],[25]],tabela_registros[REGISTRO],DADOS!$N$3,tabela_registros[TIPO],DADOS!$V$3,tabela_registros[CATEGORIA],receitasfixasconsolidadomai[[#This Row],[ATUAL]])</f>
        <v>0</v>
      </c>
      <c r="AD83" s="119" t="n">
        <f aca="false">SUMIFS(tabela_registros[VALOR],tabela_registros[MÊS],$AE$1,tabela_registros[DIA],receitasfixasconsolidadomai[[#Headers],[26]],tabela_registros[REGISTRO],DADOS!$N$3,tabela_registros[TIPO],DADOS!$V$3,tabela_registros[CATEGORIA],receitasfixasconsolidadomai[[#This Row],[ATUAL]])</f>
        <v>0</v>
      </c>
      <c r="AE83" s="119" t="n">
        <f aca="false">SUMIFS(tabela_registros[VALOR],tabela_registros[MÊS],$AE$1,tabela_registros[DIA],receitasfixasconsolidadomai[[#Headers],[27]],tabela_registros[REGISTRO],DADOS!$N$3,tabela_registros[TIPO],DADOS!$V$3,tabela_registros[CATEGORIA],receitasfixasconsolidadomai[[#This Row],[ATUAL]])</f>
        <v>0</v>
      </c>
      <c r="AF83" s="119" t="n">
        <f aca="false">SUMIFS(tabela_registros[VALOR],tabela_registros[MÊS],$AE$1,tabela_registros[DIA],receitasfixasconsolidadomai[[#Headers],[28]],tabela_registros[REGISTRO],DADOS!$N$3,tabela_registros[TIPO],DADOS!$V$3,tabela_registros[CATEGORIA],receitasfixasconsolidadomai[[#This Row],[ATUAL]])</f>
        <v>0</v>
      </c>
      <c r="AG83" s="119" t="n">
        <f aca="false">SUMIFS(tabela_registros[VALOR],tabela_registros[MÊS],$AE$1,tabela_registros[DIA],receitasfixasconsolidadomai[[#Headers],[29]],tabela_registros[REGISTRO],DADOS!$N$3,tabela_registros[TIPO],DADOS!$V$3,tabela_registros[CATEGORIA],receitasfixasconsolidadomai[[#This Row],[ATUAL]])</f>
        <v>0</v>
      </c>
      <c r="AH83" s="119" t="n">
        <f aca="false">SUMIFS(tabela_registros[VALOR],tabela_registros[MÊS],$AE$1,tabela_registros[DIA],receitasfixasconsolidadomai[[#Headers],[30]],tabela_registros[REGISTRO],DADOS!$N$3,tabela_registros[TIPO],DADOS!$V$3,tabela_registros[CATEGORIA],receitasfixasconsolidadomai[[#This Row],[ATUAL]])</f>
        <v>0</v>
      </c>
      <c r="AI83" s="217" t="n">
        <f aca="false">SUMIFS(tabela_registros[VALOR],tabela_registros[MÊS],$AE$1,tabela_registros[DIA],receitasfixasconsolidadomai[[#Headers],[31]],tabela_registros[REGISTRO],DADOS!$N$3,tabela_registros[TIPO],DADOS!$V$3,tabela_registros[CATEGORIA],receitasfixasconsolidadomai[[#This Row],[ATUAL]])</f>
        <v>0</v>
      </c>
      <c r="AJ83" s="149" t="n">
        <f aca="false">SUM(receitasfixasconsolidadomai[[#This Row],[1]:[31]])</f>
        <v>0</v>
      </c>
      <c r="AK83" s="165"/>
    </row>
    <row r="84" customFormat="false" ht="19.5" hidden="false" customHeight="true" outlineLevel="0" collapsed="false">
      <c r="B84" s="143"/>
      <c r="C84" s="144" t="str">
        <f aca="false">DADOS!$X$5</f>
        <v>🎀 MESADA</v>
      </c>
      <c r="D84" s="145" t="str">
        <f aca="false">IF(receitasfixasconsolidadomai[[#This Row],[TOTAL (R$)]]=0,"",IF(OR(receitasfixasconsolidadomai[[#This Row],[TOTAL (R$)]]=LARGE($AJ$82:$AJ$86,1),receitasfixasconsolidadomai[[#This Row],[TOTAL (R$)]]=LARGE($AJ$82:$AJ$86,2)),DADOS!$I$9,""))</f>
        <v/>
      </c>
      <c r="E84" s="148" t="n">
        <f aca="false">SUMIFS(tabela_registros[VALOR],tabela_registros[MÊS],$AE$1,tabela_registros[DIA],receitasfixasconsolidadomai[[#Headers],[1]],tabela_registros[REGISTRO],DADOS!$N$3,tabela_registros[TIPO],DADOS!$V$3,tabela_registros[CATEGORIA],receitasfixasconsolidadomai[[#This Row],[ATUAL]])</f>
        <v>0</v>
      </c>
      <c r="F84" s="119" t="n">
        <f aca="false">SUMIFS(tabela_registros[VALOR],tabela_registros[MÊS],$AE$1,tabela_registros[DIA],receitasfixasconsolidadomai[[#Headers],[2]],tabela_registros[REGISTRO],DADOS!$N$3,tabela_registros[TIPO],DADOS!$V$3,tabela_registros[CATEGORIA],receitasfixasconsolidadomai[[#This Row],[ATUAL]])</f>
        <v>0</v>
      </c>
      <c r="G84" s="119" t="n">
        <f aca="false">SUMIFS(tabela_registros[VALOR],tabela_registros[MÊS],$AE$1,tabela_registros[DIA],receitasfixasconsolidadomai[[#Headers],[3]],tabela_registros[REGISTRO],DADOS!$N$3,tabela_registros[TIPO],DADOS!$V$3,tabela_registros[CATEGORIA],receitasfixasconsolidadomai[[#This Row],[ATUAL]])</f>
        <v>0</v>
      </c>
      <c r="H84" s="119" t="n">
        <f aca="false">SUMIFS(tabela_registros[VALOR],tabela_registros[MÊS],$AE$1,tabela_registros[DIA],receitasfixasconsolidadomai[[#Headers],[4]],tabela_registros[REGISTRO],DADOS!$N$3,tabela_registros[TIPO],DADOS!$V$3,tabela_registros[CATEGORIA],receitasfixasconsolidadomai[[#This Row],[ATUAL]])</f>
        <v>0</v>
      </c>
      <c r="I84" s="119" t="n">
        <f aca="false">SUMIFS(tabela_registros[VALOR],tabela_registros[MÊS],$AE$1,tabela_registros[DIA],receitasfixasconsolidadomai[[#Headers],[5]],tabela_registros[REGISTRO],DADOS!$N$3,tabela_registros[TIPO],DADOS!$V$3,tabela_registros[CATEGORIA],receitasfixasconsolidadomai[[#This Row],[ATUAL]])</f>
        <v>0</v>
      </c>
      <c r="J84" s="119" t="n">
        <f aca="false">SUMIFS(tabela_registros[VALOR],tabela_registros[MÊS],$AE$1,tabela_registros[DIA],receitasfixasconsolidadomai[[#Headers],[6]],tabela_registros[REGISTRO],DADOS!$N$3,tabela_registros[TIPO],DADOS!$V$3,tabela_registros[CATEGORIA],receitasfixasconsolidadomai[[#This Row],[ATUAL]])</f>
        <v>0</v>
      </c>
      <c r="K84" s="119" t="n">
        <f aca="false">SUMIFS(tabela_registros[VALOR],tabela_registros[MÊS],$AE$1,tabela_registros[DIA],receitasfixasconsolidadomai[[#Headers],[7]],tabela_registros[REGISTRO],DADOS!$N$3,tabela_registros[TIPO],DADOS!$V$3,tabela_registros[CATEGORIA],receitasfixasconsolidadomai[[#This Row],[ATUAL]])</f>
        <v>0</v>
      </c>
      <c r="L84" s="119" t="n">
        <f aca="false">SUMIFS(tabela_registros[VALOR],tabela_registros[MÊS],$AE$1,tabela_registros[DIA],receitasfixasconsolidadomai[[#Headers],[8]],tabela_registros[REGISTRO],DADOS!$N$3,tabela_registros[TIPO],DADOS!$V$3,tabela_registros[CATEGORIA],receitasfixasconsolidadomai[[#This Row],[ATUAL]])</f>
        <v>0</v>
      </c>
      <c r="M84" s="119" t="n">
        <f aca="false">SUMIFS(tabela_registros[VALOR],tabela_registros[MÊS],$AE$1,tabela_registros[DIA],receitasfixasconsolidadomai[[#Headers],[9]],tabela_registros[REGISTRO],DADOS!$N$3,tabela_registros[TIPO],DADOS!$V$3,tabela_registros[CATEGORIA],receitasfixasconsolidadomai[[#This Row],[ATUAL]])</f>
        <v>0</v>
      </c>
      <c r="N84" s="119" t="n">
        <f aca="false">SUMIFS(tabela_registros[VALOR],tabela_registros[MÊS],$AE$1,tabela_registros[DIA],receitasfixasconsolidadomai[[#Headers],[10]],tabela_registros[REGISTRO],DADOS!$N$3,tabela_registros[TIPO],DADOS!$V$3,tabela_registros[CATEGORIA],receitasfixasconsolidadomai[[#This Row],[ATUAL]])</f>
        <v>0</v>
      </c>
      <c r="O84" s="119" t="n">
        <f aca="false">SUMIFS(tabela_registros[VALOR],tabela_registros[MÊS],$AE$1,tabela_registros[DIA],receitasfixasconsolidadomai[[#Headers],[11]],tabela_registros[REGISTRO],DADOS!$N$3,tabela_registros[TIPO],DADOS!$V$3,tabela_registros[CATEGORIA],receitasfixasconsolidadomai[[#This Row],[ATUAL]])</f>
        <v>0</v>
      </c>
      <c r="P84" s="119" t="n">
        <f aca="false">SUMIFS(tabela_registros[VALOR],tabela_registros[MÊS],$AE$1,tabela_registros[DIA],receitasfixasconsolidadomai[[#Headers],[12]],tabela_registros[REGISTRO],DADOS!$N$3,tabela_registros[TIPO],DADOS!$V$3,tabela_registros[CATEGORIA],receitasfixasconsolidadomai[[#This Row],[ATUAL]])</f>
        <v>0</v>
      </c>
      <c r="Q84" s="119" t="n">
        <f aca="false">SUMIFS(tabela_registros[VALOR],tabela_registros[MÊS],$AE$1,tabela_registros[DIA],receitasfixasconsolidadomai[[#Headers],[13]],tabela_registros[REGISTRO],DADOS!$N$3,tabela_registros[TIPO],DADOS!$V$3,tabela_registros[CATEGORIA],receitasfixasconsolidadomai[[#This Row],[ATUAL]])</f>
        <v>0</v>
      </c>
      <c r="R84" s="119" t="n">
        <f aca="false">SUMIFS(tabela_registros[VALOR],tabela_registros[MÊS],$AE$1,tabela_registros[DIA],receitasfixasconsolidadomai[[#Headers],[14]],tabela_registros[REGISTRO],DADOS!$N$3,tabela_registros[TIPO],DADOS!$V$3,tabela_registros[CATEGORIA],receitasfixasconsolidadomai[[#This Row],[ATUAL]])</f>
        <v>0</v>
      </c>
      <c r="S84" s="119" t="n">
        <f aca="false">SUMIFS(tabela_registros[VALOR],tabela_registros[MÊS],$AE$1,tabela_registros[DIA],receitasfixasconsolidadomai[[#Headers],[15]],tabela_registros[REGISTRO],DADOS!$N$3,tabela_registros[TIPO],DADOS!$V$3,tabela_registros[CATEGORIA],receitasfixasconsolidadomai[[#This Row],[ATUAL]])</f>
        <v>0</v>
      </c>
      <c r="T84" s="119" t="n">
        <f aca="false">SUMIFS(tabela_registros[VALOR],tabela_registros[MÊS],$AE$1,tabela_registros[DIA],receitasfixasconsolidadomai[[#Headers],[16]],tabela_registros[REGISTRO],DADOS!$N$3,tabela_registros[TIPO],DADOS!$V$3,tabela_registros[CATEGORIA],receitasfixasconsolidadomai[[#This Row],[ATUAL]])</f>
        <v>0</v>
      </c>
      <c r="U84" s="119" t="n">
        <f aca="false">SUMIFS(tabela_registros[VALOR],tabela_registros[MÊS],$AE$1,tabela_registros[DIA],receitasfixasconsolidadomai[[#Headers],[17]],tabela_registros[REGISTRO],DADOS!$N$3,tabela_registros[TIPO],DADOS!$V$3,tabela_registros[CATEGORIA],receitasfixasconsolidadomai[[#This Row],[ATUAL]])</f>
        <v>0</v>
      </c>
      <c r="V84" s="119" t="n">
        <f aca="false">SUMIFS(tabela_registros[VALOR],tabela_registros[MÊS],$AE$1,tabela_registros[DIA],receitasfixasconsolidadomai[[#Headers],[18]],tabela_registros[REGISTRO],DADOS!$N$3,tabela_registros[TIPO],DADOS!$V$3,tabela_registros[CATEGORIA],receitasfixasconsolidadomai[[#This Row],[ATUAL]])</f>
        <v>0</v>
      </c>
      <c r="W84" s="119" t="n">
        <f aca="false">SUMIFS(tabela_registros[VALOR],tabela_registros[MÊS],$AE$1,tabela_registros[DIA],receitasfixasconsolidadomai[[#Headers],[19]],tabela_registros[REGISTRO],DADOS!$N$3,tabela_registros[TIPO],DADOS!$V$3,tabela_registros[CATEGORIA],receitasfixasconsolidadomai[[#This Row],[ATUAL]])</f>
        <v>0</v>
      </c>
      <c r="X84" s="119" t="n">
        <f aca="false">SUMIFS(tabela_registros[VALOR],tabela_registros[MÊS],$AE$1,tabela_registros[DIA],receitasfixasconsolidadomai[[#Headers],[20]],tabela_registros[REGISTRO],DADOS!$N$3,tabela_registros[TIPO],DADOS!$V$3,tabela_registros[CATEGORIA],receitasfixasconsolidadomai[[#This Row],[ATUAL]])</f>
        <v>0</v>
      </c>
      <c r="Y84" s="119" t="n">
        <f aca="false">SUMIFS(tabela_registros[VALOR],tabela_registros[MÊS],$AE$1,tabela_registros[DIA],receitasfixasconsolidadomai[[#Headers],[21]],tabela_registros[REGISTRO],DADOS!$N$3,tabela_registros[TIPO],DADOS!$V$3,tabela_registros[CATEGORIA],receitasfixasconsolidadomai[[#This Row],[ATUAL]])</f>
        <v>0</v>
      </c>
      <c r="Z84" s="119" t="n">
        <f aca="false">SUMIFS(tabela_registros[VALOR],tabela_registros[MÊS],$AE$1,tabela_registros[DIA],receitasfixasconsolidadomai[[#Headers],[22]],tabela_registros[REGISTRO],DADOS!$N$3,tabela_registros[TIPO],DADOS!$V$3,tabela_registros[CATEGORIA],receitasfixasconsolidadomai[[#This Row],[ATUAL]])</f>
        <v>0</v>
      </c>
      <c r="AA84" s="119" t="n">
        <f aca="false">SUMIFS(tabela_registros[VALOR],tabela_registros[MÊS],$AE$1,tabela_registros[DIA],receitasfixasconsolidadomai[[#Headers],[23]],tabela_registros[REGISTRO],DADOS!$N$3,tabela_registros[TIPO],DADOS!$V$3,tabela_registros[CATEGORIA],receitasfixasconsolidadomai[[#This Row],[ATUAL]])</f>
        <v>0</v>
      </c>
      <c r="AB84" s="119" t="n">
        <f aca="false">SUMIFS(tabela_registros[VALOR],tabela_registros[MÊS],$AE$1,tabela_registros[DIA],receitasfixasconsolidadomai[[#Headers],[24]],tabela_registros[REGISTRO],DADOS!$N$3,tabela_registros[TIPO],DADOS!$V$3,tabela_registros[CATEGORIA],receitasfixasconsolidadomai[[#This Row],[ATUAL]])</f>
        <v>0</v>
      </c>
      <c r="AC84" s="119" t="n">
        <f aca="false">SUMIFS(tabela_registros[VALOR],tabela_registros[MÊS],$AE$1,tabela_registros[DIA],receitasfixasconsolidadomai[[#Headers],[25]],tabela_registros[REGISTRO],DADOS!$N$3,tabela_registros[TIPO],DADOS!$V$3,tabela_registros[CATEGORIA],receitasfixasconsolidadomai[[#This Row],[ATUAL]])</f>
        <v>0</v>
      </c>
      <c r="AD84" s="119" t="n">
        <f aca="false">SUMIFS(tabela_registros[VALOR],tabela_registros[MÊS],$AE$1,tabela_registros[DIA],receitasfixasconsolidadomai[[#Headers],[26]],tabela_registros[REGISTRO],DADOS!$N$3,tabela_registros[TIPO],DADOS!$V$3,tabela_registros[CATEGORIA],receitasfixasconsolidadomai[[#This Row],[ATUAL]])</f>
        <v>0</v>
      </c>
      <c r="AE84" s="119" t="n">
        <f aca="false">SUMIFS(tabela_registros[VALOR],tabela_registros[MÊS],$AE$1,tabela_registros[DIA],receitasfixasconsolidadomai[[#Headers],[27]],tabela_registros[REGISTRO],DADOS!$N$3,tabela_registros[TIPO],DADOS!$V$3,tabela_registros[CATEGORIA],receitasfixasconsolidadomai[[#This Row],[ATUAL]])</f>
        <v>0</v>
      </c>
      <c r="AF84" s="119" t="n">
        <f aca="false">SUMIFS(tabela_registros[VALOR],tabela_registros[MÊS],$AE$1,tabela_registros[DIA],receitasfixasconsolidadomai[[#Headers],[28]],tabela_registros[REGISTRO],DADOS!$N$3,tabela_registros[TIPO],DADOS!$V$3,tabela_registros[CATEGORIA],receitasfixasconsolidadomai[[#This Row],[ATUAL]])</f>
        <v>0</v>
      </c>
      <c r="AG84" s="119" t="n">
        <f aca="false">SUMIFS(tabela_registros[VALOR],tabela_registros[MÊS],$AE$1,tabela_registros[DIA],receitasfixasconsolidadomai[[#Headers],[29]],tabela_registros[REGISTRO],DADOS!$N$3,tabela_registros[TIPO],DADOS!$V$3,tabela_registros[CATEGORIA],receitasfixasconsolidadomai[[#This Row],[ATUAL]])</f>
        <v>0</v>
      </c>
      <c r="AH84" s="119" t="n">
        <f aca="false">SUMIFS(tabela_registros[VALOR],tabela_registros[MÊS],$AE$1,tabela_registros[DIA],receitasfixasconsolidadomai[[#Headers],[30]],tabela_registros[REGISTRO],DADOS!$N$3,tabela_registros[TIPO],DADOS!$V$3,tabela_registros[CATEGORIA],receitasfixasconsolidadomai[[#This Row],[ATUAL]])</f>
        <v>0</v>
      </c>
      <c r="AI84" s="217" t="n">
        <f aca="false">SUMIFS(tabela_registros[VALOR],tabela_registros[MÊS],$AE$1,tabela_registros[DIA],receitasfixasconsolidadomai[[#Headers],[31]],tabela_registros[REGISTRO],DADOS!$N$3,tabela_registros[TIPO],DADOS!$V$3,tabela_registros[CATEGORIA],receitasfixasconsolidadomai[[#This Row],[ATUAL]])</f>
        <v>0</v>
      </c>
      <c r="AJ84" s="149" t="n">
        <f aca="false">SUM(receitasfixasconsolidadomai[[#This Row],[1]:[31]])</f>
        <v>0</v>
      </c>
      <c r="AK84" s="165"/>
    </row>
    <row r="85" customFormat="false" ht="19.5" hidden="false" customHeight="true" outlineLevel="0" collapsed="false">
      <c r="B85" s="143"/>
      <c r="C85" s="144" t="str">
        <f aca="false">DADOS!$X$6</f>
        <v>💰 SALÁRIO</v>
      </c>
      <c r="D85" s="145" t="str">
        <f aca="false">IF(receitasfixasconsolidadomai[[#This Row],[TOTAL (R$)]]=0,"",IF(OR(receitasfixasconsolidadomai[[#This Row],[TOTAL (R$)]]=LARGE($AJ$82:$AJ$86,1),receitasfixasconsolidadomai[[#This Row],[TOTAL (R$)]]=LARGE($AJ$82:$AJ$86,2)),DADOS!$I$9,""))</f>
        <v/>
      </c>
      <c r="E85" s="148" t="n">
        <f aca="false">SUMIFS(tabela_registros[VALOR],tabela_registros[MÊS],$AE$1,tabela_registros[DIA],receitasfixasconsolidadomai[[#Headers],[1]],tabela_registros[REGISTRO],DADOS!$N$3,tabela_registros[TIPO],DADOS!$V$3,tabela_registros[CATEGORIA],receitasfixasconsolidadomai[[#This Row],[ATUAL]])</f>
        <v>0</v>
      </c>
      <c r="F85" s="119" t="n">
        <f aca="false">SUMIFS(tabela_registros[VALOR],tabela_registros[MÊS],$AE$1,tabela_registros[DIA],receitasfixasconsolidadomai[[#Headers],[2]],tabela_registros[REGISTRO],DADOS!$N$3,tabela_registros[TIPO],DADOS!$V$3,tabela_registros[CATEGORIA],receitasfixasconsolidadomai[[#This Row],[ATUAL]])</f>
        <v>0</v>
      </c>
      <c r="G85" s="119" t="n">
        <f aca="false">SUMIFS(tabela_registros[VALOR],tabela_registros[MÊS],$AE$1,tabela_registros[DIA],receitasfixasconsolidadomai[[#Headers],[3]],tabela_registros[REGISTRO],DADOS!$N$3,tabela_registros[TIPO],DADOS!$V$3,tabela_registros[CATEGORIA],receitasfixasconsolidadomai[[#This Row],[ATUAL]])</f>
        <v>0</v>
      </c>
      <c r="H85" s="119" t="n">
        <f aca="false">SUMIFS(tabela_registros[VALOR],tabela_registros[MÊS],$AE$1,tabela_registros[DIA],receitasfixasconsolidadomai[[#Headers],[4]],tabela_registros[REGISTRO],DADOS!$N$3,tabela_registros[TIPO],DADOS!$V$3,tabela_registros[CATEGORIA],receitasfixasconsolidadomai[[#This Row],[ATUAL]])</f>
        <v>0</v>
      </c>
      <c r="I85" s="119" t="n">
        <f aca="false">SUMIFS(tabela_registros[VALOR],tabela_registros[MÊS],$AE$1,tabela_registros[DIA],receitasfixasconsolidadomai[[#Headers],[5]],tabela_registros[REGISTRO],DADOS!$N$3,tabela_registros[TIPO],DADOS!$V$3,tabela_registros[CATEGORIA],receitasfixasconsolidadomai[[#This Row],[ATUAL]])</f>
        <v>0</v>
      </c>
      <c r="J85" s="119" t="n">
        <f aca="false">SUMIFS(tabela_registros[VALOR],tabela_registros[MÊS],$AE$1,tabela_registros[DIA],receitasfixasconsolidadomai[[#Headers],[6]],tabela_registros[REGISTRO],DADOS!$N$3,tabela_registros[TIPO],DADOS!$V$3,tabela_registros[CATEGORIA],receitasfixasconsolidadomai[[#This Row],[ATUAL]])</f>
        <v>0</v>
      </c>
      <c r="K85" s="119" t="n">
        <f aca="false">SUMIFS(tabela_registros[VALOR],tabela_registros[MÊS],$AE$1,tabela_registros[DIA],receitasfixasconsolidadomai[[#Headers],[7]],tabela_registros[REGISTRO],DADOS!$N$3,tabela_registros[TIPO],DADOS!$V$3,tabela_registros[CATEGORIA],receitasfixasconsolidadomai[[#This Row],[ATUAL]])</f>
        <v>0</v>
      </c>
      <c r="L85" s="119" t="n">
        <f aca="false">SUMIFS(tabela_registros[VALOR],tabela_registros[MÊS],$AE$1,tabela_registros[DIA],receitasfixasconsolidadomai[[#Headers],[8]],tabela_registros[REGISTRO],DADOS!$N$3,tabela_registros[TIPO],DADOS!$V$3,tabela_registros[CATEGORIA],receitasfixasconsolidadomai[[#This Row],[ATUAL]])</f>
        <v>0</v>
      </c>
      <c r="M85" s="119" t="n">
        <f aca="false">SUMIFS(tabela_registros[VALOR],tabela_registros[MÊS],$AE$1,tabela_registros[DIA],receitasfixasconsolidadomai[[#Headers],[9]],tabela_registros[REGISTRO],DADOS!$N$3,tabela_registros[TIPO],DADOS!$V$3,tabela_registros[CATEGORIA],receitasfixasconsolidadomai[[#This Row],[ATUAL]])</f>
        <v>0</v>
      </c>
      <c r="N85" s="119" t="n">
        <f aca="false">SUMIFS(tabela_registros[VALOR],tabela_registros[MÊS],$AE$1,tabela_registros[DIA],receitasfixasconsolidadomai[[#Headers],[10]],tabela_registros[REGISTRO],DADOS!$N$3,tabela_registros[TIPO],DADOS!$V$3,tabela_registros[CATEGORIA],receitasfixasconsolidadomai[[#This Row],[ATUAL]])</f>
        <v>0</v>
      </c>
      <c r="O85" s="119" t="n">
        <f aca="false">SUMIFS(tabela_registros[VALOR],tabela_registros[MÊS],$AE$1,tabela_registros[DIA],receitasfixasconsolidadomai[[#Headers],[11]],tabela_registros[REGISTRO],DADOS!$N$3,tabela_registros[TIPO],DADOS!$V$3,tabela_registros[CATEGORIA],receitasfixasconsolidadomai[[#This Row],[ATUAL]])</f>
        <v>0</v>
      </c>
      <c r="P85" s="119" t="n">
        <f aca="false">SUMIFS(tabela_registros[VALOR],tabela_registros[MÊS],$AE$1,tabela_registros[DIA],receitasfixasconsolidadomai[[#Headers],[12]],tabela_registros[REGISTRO],DADOS!$N$3,tabela_registros[TIPO],DADOS!$V$3,tabela_registros[CATEGORIA],receitasfixasconsolidadomai[[#This Row],[ATUAL]])</f>
        <v>0</v>
      </c>
      <c r="Q85" s="119" t="n">
        <f aca="false">SUMIFS(tabela_registros[VALOR],tabela_registros[MÊS],$AE$1,tabela_registros[DIA],receitasfixasconsolidadomai[[#Headers],[13]],tabela_registros[REGISTRO],DADOS!$N$3,tabela_registros[TIPO],DADOS!$V$3,tabela_registros[CATEGORIA],receitasfixasconsolidadomai[[#This Row],[ATUAL]])</f>
        <v>0</v>
      </c>
      <c r="R85" s="119" t="n">
        <f aca="false">SUMIFS(tabela_registros[VALOR],tabela_registros[MÊS],$AE$1,tabela_registros[DIA],receitasfixasconsolidadomai[[#Headers],[14]],tabela_registros[REGISTRO],DADOS!$N$3,tabela_registros[TIPO],DADOS!$V$3,tabela_registros[CATEGORIA],receitasfixasconsolidadomai[[#This Row],[ATUAL]])</f>
        <v>0</v>
      </c>
      <c r="S85" s="119" t="n">
        <f aca="false">SUMIFS(tabela_registros[VALOR],tabela_registros[MÊS],$AE$1,tabela_registros[DIA],receitasfixasconsolidadomai[[#Headers],[15]],tabela_registros[REGISTRO],DADOS!$N$3,tabela_registros[TIPO],DADOS!$V$3,tabela_registros[CATEGORIA],receitasfixasconsolidadomai[[#This Row],[ATUAL]])</f>
        <v>0</v>
      </c>
      <c r="T85" s="119" t="n">
        <f aca="false">SUMIFS(tabela_registros[VALOR],tabela_registros[MÊS],$AE$1,tabela_registros[DIA],receitasfixasconsolidadomai[[#Headers],[16]],tabela_registros[REGISTRO],DADOS!$N$3,tabela_registros[TIPO],DADOS!$V$3,tabela_registros[CATEGORIA],receitasfixasconsolidadomai[[#This Row],[ATUAL]])</f>
        <v>0</v>
      </c>
      <c r="U85" s="119" t="n">
        <f aca="false">SUMIFS(tabela_registros[VALOR],tabela_registros[MÊS],$AE$1,tabela_registros[DIA],receitasfixasconsolidadomai[[#Headers],[17]],tabela_registros[REGISTRO],DADOS!$N$3,tabela_registros[TIPO],DADOS!$V$3,tabela_registros[CATEGORIA],receitasfixasconsolidadomai[[#This Row],[ATUAL]])</f>
        <v>0</v>
      </c>
      <c r="V85" s="119" t="n">
        <f aca="false">SUMIFS(tabela_registros[VALOR],tabela_registros[MÊS],$AE$1,tabela_registros[DIA],receitasfixasconsolidadomai[[#Headers],[18]],tabela_registros[REGISTRO],DADOS!$N$3,tabela_registros[TIPO],DADOS!$V$3,tabela_registros[CATEGORIA],receitasfixasconsolidadomai[[#This Row],[ATUAL]])</f>
        <v>0</v>
      </c>
      <c r="W85" s="119" t="n">
        <f aca="false">SUMIFS(tabela_registros[VALOR],tabela_registros[MÊS],$AE$1,tabela_registros[DIA],receitasfixasconsolidadomai[[#Headers],[19]],tabela_registros[REGISTRO],DADOS!$N$3,tabela_registros[TIPO],DADOS!$V$3,tabela_registros[CATEGORIA],receitasfixasconsolidadomai[[#This Row],[ATUAL]])</f>
        <v>0</v>
      </c>
      <c r="X85" s="119" t="n">
        <f aca="false">SUMIFS(tabela_registros[VALOR],tabela_registros[MÊS],$AE$1,tabela_registros[DIA],receitasfixasconsolidadomai[[#Headers],[20]],tabela_registros[REGISTRO],DADOS!$N$3,tabela_registros[TIPO],DADOS!$V$3,tabela_registros[CATEGORIA],receitasfixasconsolidadomai[[#This Row],[ATUAL]])</f>
        <v>0</v>
      </c>
      <c r="Y85" s="119" t="n">
        <f aca="false">SUMIFS(tabela_registros[VALOR],tabela_registros[MÊS],$AE$1,tabela_registros[DIA],receitasfixasconsolidadomai[[#Headers],[21]],tabela_registros[REGISTRO],DADOS!$N$3,tabela_registros[TIPO],DADOS!$V$3,tabela_registros[CATEGORIA],receitasfixasconsolidadomai[[#This Row],[ATUAL]])</f>
        <v>0</v>
      </c>
      <c r="Z85" s="119" t="n">
        <f aca="false">SUMIFS(tabela_registros[VALOR],tabela_registros[MÊS],$AE$1,tabela_registros[DIA],receitasfixasconsolidadomai[[#Headers],[22]],tabela_registros[REGISTRO],DADOS!$N$3,tabela_registros[TIPO],DADOS!$V$3,tabela_registros[CATEGORIA],receitasfixasconsolidadomai[[#This Row],[ATUAL]])</f>
        <v>0</v>
      </c>
      <c r="AA85" s="119" t="n">
        <f aca="false">SUMIFS(tabela_registros[VALOR],tabela_registros[MÊS],$AE$1,tabela_registros[DIA],receitasfixasconsolidadomai[[#Headers],[23]],tabela_registros[REGISTRO],DADOS!$N$3,tabela_registros[TIPO],DADOS!$V$3,tabela_registros[CATEGORIA],receitasfixasconsolidadomai[[#This Row],[ATUAL]])</f>
        <v>0</v>
      </c>
      <c r="AB85" s="119" t="n">
        <f aca="false">SUMIFS(tabela_registros[VALOR],tabela_registros[MÊS],$AE$1,tabela_registros[DIA],receitasfixasconsolidadomai[[#Headers],[24]],tabela_registros[REGISTRO],DADOS!$N$3,tabela_registros[TIPO],DADOS!$V$3,tabela_registros[CATEGORIA],receitasfixasconsolidadomai[[#This Row],[ATUAL]])</f>
        <v>0</v>
      </c>
      <c r="AC85" s="119" t="n">
        <f aca="false">SUMIFS(tabela_registros[VALOR],tabela_registros[MÊS],$AE$1,tabela_registros[DIA],receitasfixasconsolidadomai[[#Headers],[25]],tabela_registros[REGISTRO],DADOS!$N$3,tabela_registros[TIPO],DADOS!$V$3,tabela_registros[CATEGORIA],receitasfixasconsolidadomai[[#This Row],[ATUAL]])</f>
        <v>0</v>
      </c>
      <c r="AD85" s="119" t="n">
        <f aca="false">SUMIFS(tabela_registros[VALOR],tabela_registros[MÊS],$AE$1,tabela_registros[DIA],receitasfixasconsolidadomai[[#Headers],[26]],tabela_registros[REGISTRO],DADOS!$N$3,tabela_registros[TIPO],DADOS!$V$3,tabela_registros[CATEGORIA],receitasfixasconsolidadomai[[#This Row],[ATUAL]])</f>
        <v>0</v>
      </c>
      <c r="AE85" s="119" t="n">
        <f aca="false">SUMIFS(tabela_registros[VALOR],tabela_registros[MÊS],$AE$1,tabela_registros[DIA],receitasfixasconsolidadomai[[#Headers],[27]],tabela_registros[REGISTRO],DADOS!$N$3,tabela_registros[TIPO],DADOS!$V$3,tabela_registros[CATEGORIA],receitasfixasconsolidadomai[[#This Row],[ATUAL]])</f>
        <v>0</v>
      </c>
      <c r="AF85" s="119" t="n">
        <f aca="false">SUMIFS(tabela_registros[VALOR],tabela_registros[MÊS],$AE$1,tabela_registros[DIA],receitasfixasconsolidadomai[[#Headers],[28]],tabela_registros[REGISTRO],DADOS!$N$3,tabela_registros[TIPO],DADOS!$V$3,tabela_registros[CATEGORIA],receitasfixasconsolidadomai[[#This Row],[ATUAL]])</f>
        <v>0</v>
      </c>
      <c r="AG85" s="119" t="n">
        <f aca="false">SUMIFS(tabela_registros[VALOR],tabela_registros[MÊS],$AE$1,tabela_registros[DIA],receitasfixasconsolidadomai[[#Headers],[29]],tabela_registros[REGISTRO],DADOS!$N$3,tabela_registros[TIPO],DADOS!$V$3,tabela_registros[CATEGORIA],receitasfixasconsolidadomai[[#This Row],[ATUAL]])</f>
        <v>0</v>
      </c>
      <c r="AH85" s="119" t="n">
        <f aca="false">SUMIFS(tabela_registros[VALOR],tabela_registros[MÊS],$AE$1,tabela_registros[DIA],receitasfixasconsolidadomai[[#Headers],[30]],tabela_registros[REGISTRO],DADOS!$N$3,tabela_registros[TIPO],DADOS!$V$3,tabela_registros[CATEGORIA],receitasfixasconsolidadomai[[#This Row],[ATUAL]])</f>
        <v>0</v>
      </c>
      <c r="AI85" s="217" t="n">
        <f aca="false">SUMIFS(tabela_registros[VALOR],tabela_registros[MÊS],$AE$1,tabela_registros[DIA],receitasfixasconsolidadomai[[#Headers],[31]],tabela_registros[REGISTRO],DADOS!$N$3,tabela_registros[TIPO],DADOS!$V$3,tabela_registros[CATEGORIA],receitasfixasconsolidadomai[[#This Row],[ATUAL]])</f>
        <v>0</v>
      </c>
      <c r="AJ85" s="149" t="n">
        <f aca="false">SUM(receitasfixasconsolidadomai[[#This Row],[1]:[31]])</f>
        <v>0</v>
      </c>
      <c r="AK85" s="165"/>
    </row>
    <row r="86" customFormat="false" ht="18" hidden="false" customHeight="true" outlineLevel="0" collapsed="false">
      <c r="B86" s="143"/>
      <c r="C86" s="144" t="str">
        <f aca="false">DADOS!$X$7</f>
        <v>📎 OUTROS</v>
      </c>
      <c r="D86" s="145" t="str">
        <f aca="false">IF(receitasfixasconsolidadomai[[#This Row],[TOTAL (R$)]]=0,"",IF(OR(receitasfixasconsolidadomai[[#This Row],[TOTAL (R$)]]=LARGE($AJ$82:$AJ$86,1),receitasfixasconsolidadomai[[#This Row],[TOTAL (R$)]]=LARGE($AJ$82:$AJ$86,2)),DADOS!$I$9,""))</f>
        <v/>
      </c>
      <c r="E86" s="148" t="n">
        <f aca="false">SUMIFS(tabela_registros[VALOR],tabela_registros[MÊS],$AE$1,tabela_registros[DIA],receitasfixasconsolidadomai[[#Headers],[1]],tabela_registros[REGISTRO],DADOS!$N$3,tabela_registros[TIPO],DADOS!$V$3,tabela_registros[CATEGORIA],receitasfixasconsolidadomai[[#This Row],[ATUAL]])</f>
        <v>0</v>
      </c>
      <c r="F86" s="119" t="n">
        <f aca="false">SUMIFS(tabela_registros[VALOR],tabela_registros[MÊS],$AE$1,tabela_registros[DIA],receitasfixasconsolidadomai[[#Headers],[2]],tabela_registros[REGISTRO],DADOS!$N$3,tabela_registros[TIPO],DADOS!$V$3,tabela_registros[CATEGORIA],receitasfixasconsolidadomai[[#This Row],[ATUAL]])</f>
        <v>0</v>
      </c>
      <c r="G86" s="119" t="n">
        <f aca="false">SUMIFS(tabela_registros[VALOR],tabela_registros[MÊS],$AE$1,tabela_registros[DIA],receitasfixasconsolidadomai[[#Headers],[3]],tabela_registros[REGISTRO],DADOS!$N$3,tabela_registros[TIPO],DADOS!$V$3,tabela_registros[CATEGORIA],receitasfixasconsolidadomai[[#This Row],[ATUAL]])</f>
        <v>0</v>
      </c>
      <c r="H86" s="119" t="n">
        <f aca="false">SUMIFS(tabela_registros[VALOR],tabela_registros[MÊS],$AE$1,tabela_registros[DIA],receitasfixasconsolidadomai[[#Headers],[4]],tabela_registros[REGISTRO],DADOS!$N$3,tabela_registros[TIPO],DADOS!$V$3,tabela_registros[CATEGORIA],receitasfixasconsolidadomai[[#This Row],[ATUAL]])</f>
        <v>0</v>
      </c>
      <c r="I86" s="119" t="n">
        <f aca="false">SUMIFS(tabela_registros[VALOR],tabela_registros[MÊS],$AE$1,tabela_registros[DIA],receitasfixasconsolidadomai[[#Headers],[5]],tabela_registros[REGISTRO],DADOS!$N$3,tabela_registros[TIPO],DADOS!$V$3,tabela_registros[CATEGORIA],receitasfixasconsolidadomai[[#This Row],[ATUAL]])</f>
        <v>0</v>
      </c>
      <c r="J86" s="119" t="n">
        <f aca="false">SUMIFS(tabela_registros[VALOR],tabela_registros[MÊS],$AE$1,tabela_registros[DIA],receitasfixasconsolidadomai[[#Headers],[6]],tabela_registros[REGISTRO],DADOS!$N$3,tabela_registros[TIPO],DADOS!$V$3,tabela_registros[CATEGORIA],receitasfixasconsolidadomai[[#This Row],[ATUAL]])</f>
        <v>0</v>
      </c>
      <c r="K86" s="119" t="n">
        <f aca="false">SUMIFS(tabela_registros[VALOR],tabela_registros[MÊS],$AE$1,tabela_registros[DIA],receitasfixasconsolidadomai[[#Headers],[7]],tabela_registros[REGISTRO],DADOS!$N$3,tabela_registros[TIPO],DADOS!$V$3,tabela_registros[CATEGORIA],receitasfixasconsolidadomai[[#This Row],[ATUAL]])</f>
        <v>0</v>
      </c>
      <c r="L86" s="119" t="n">
        <f aca="false">SUMIFS(tabela_registros[VALOR],tabela_registros[MÊS],$AE$1,tabela_registros[DIA],receitasfixasconsolidadomai[[#Headers],[8]],tabela_registros[REGISTRO],DADOS!$N$3,tabela_registros[TIPO],DADOS!$V$3,tabela_registros[CATEGORIA],receitasfixasconsolidadomai[[#This Row],[ATUAL]])</f>
        <v>0</v>
      </c>
      <c r="M86" s="119" t="n">
        <f aca="false">SUMIFS(tabela_registros[VALOR],tabela_registros[MÊS],$AE$1,tabela_registros[DIA],receitasfixasconsolidadomai[[#Headers],[9]],tabela_registros[REGISTRO],DADOS!$N$3,tabela_registros[TIPO],DADOS!$V$3,tabela_registros[CATEGORIA],receitasfixasconsolidadomai[[#This Row],[ATUAL]])</f>
        <v>0</v>
      </c>
      <c r="N86" s="119" t="n">
        <f aca="false">SUMIFS(tabela_registros[VALOR],tabela_registros[MÊS],$AE$1,tabela_registros[DIA],receitasfixasconsolidadomai[[#Headers],[10]],tabela_registros[REGISTRO],DADOS!$N$3,tabela_registros[TIPO],DADOS!$V$3,tabela_registros[CATEGORIA],receitasfixasconsolidadomai[[#This Row],[ATUAL]])</f>
        <v>0</v>
      </c>
      <c r="O86" s="119" t="n">
        <f aca="false">SUMIFS(tabela_registros[VALOR],tabela_registros[MÊS],$AE$1,tabela_registros[DIA],receitasfixasconsolidadomai[[#Headers],[11]],tabela_registros[REGISTRO],DADOS!$N$3,tabela_registros[TIPO],DADOS!$V$3,tabela_registros[CATEGORIA],receitasfixasconsolidadomai[[#This Row],[ATUAL]])</f>
        <v>0</v>
      </c>
      <c r="P86" s="119" t="n">
        <f aca="false">SUMIFS(tabela_registros[VALOR],tabela_registros[MÊS],$AE$1,tabela_registros[DIA],receitasfixasconsolidadomai[[#Headers],[12]],tabela_registros[REGISTRO],DADOS!$N$3,tabela_registros[TIPO],DADOS!$V$3,tabela_registros[CATEGORIA],receitasfixasconsolidadomai[[#This Row],[ATUAL]])</f>
        <v>0</v>
      </c>
      <c r="Q86" s="119" t="n">
        <f aca="false">SUMIFS(tabela_registros[VALOR],tabela_registros[MÊS],$AE$1,tabela_registros[DIA],receitasfixasconsolidadomai[[#Headers],[13]],tabela_registros[REGISTRO],DADOS!$N$3,tabela_registros[TIPO],DADOS!$V$3,tabela_registros[CATEGORIA],receitasfixasconsolidadomai[[#This Row],[ATUAL]])</f>
        <v>0</v>
      </c>
      <c r="R86" s="119" t="n">
        <f aca="false">SUMIFS(tabela_registros[VALOR],tabela_registros[MÊS],$AE$1,tabela_registros[DIA],receitasfixasconsolidadomai[[#Headers],[14]],tabela_registros[REGISTRO],DADOS!$N$3,tabela_registros[TIPO],DADOS!$V$3,tabela_registros[CATEGORIA],receitasfixasconsolidadomai[[#This Row],[ATUAL]])</f>
        <v>0</v>
      </c>
      <c r="S86" s="119" t="n">
        <f aca="false">SUMIFS(tabela_registros[VALOR],tabela_registros[MÊS],$AE$1,tabela_registros[DIA],receitasfixasconsolidadomai[[#Headers],[15]],tabela_registros[REGISTRO],DADOS!$N$3,tabela_registros[TIPO],DADOS!$V$3,tabela_registros[CATEGORIA],receitasfixasconsolidadomai[[#This Row],[ATUAL]])</f>
        <v>0</v>
      </c>
      <c r="T86" s="119" t="n">
        <f aca="false">SUMIFS(tabela_registros[VALOR],tabela_registros[MÊS],$AE$1,tabela_registros[DIA],receitasfixasconsolidadomai[[#Headers],[16]],tabela_registros[REGISTRO],DADOS!$N$3,tabela_registros[TIPO],DADOS!$V$3,tabela_registros[CATEGORIA],receitasfixasconsolidadomai[[#This Row],[ATUAL]])</f>
        <v>0</v>
      </c>
      <c r="U86" s="119" t="n">
        <f aca="false">SUMIFS(tabela_registros[VALOR],tabela_registros[MÊS],$AE$1,tabela_registros[DIA],receitasfixasconsolidadomai[[#Headers],[17]],tabela_registros[REGISTRO],DADOS!$N$3,tabela_registros[TIPO],DADOS!$V$3,tabela_registros[CATEGORIA],receitasfixasconsolidadomai[[#This Row],[ATUAL]])</f>
        <v>0</v>
      </c>
      <c r="V86" s="119" t="n">
        <f aca="false">SUMIFS(tabela_registros[VALOR],tabela_registros[MÊS],$AE$1,tabela_registros[DIA],receitasfixasconsolidadomai[[#Headers],[18]],tabela_registros[REGISTRO],DADOS!$N$3,tabela_registros[TIPO],DADOS!$V$3,tabela_registros[CATEGORIA],receitasfixasconsolidadomai[[#This Row],[ATUAL]])</f>
        <v>0</v>
      </c>
      <c r="W86" s="119" t="n">
        <f aca="false">SUMIFS(tabela_registros[VALOR],tabela_registros[MÊS],$AE$1,tabela_registros[DIA],receitasfixasconsolidadomai[[#Headers],[19]],tabela_registros[REGISTRO],DADOS!$N$3,tabela_registros[TIPO],DADOS!$V$3,tabela_registros[CATEGORIA],receitasfixasconsolidadomai[[#This Row],[ATUAL]])</f>
        <v>0</v>
      </c>
      <c r="X86" s="119" t="n">
        <f aca="false">SUMIFS(tabela_registros[VALOR],tabela_registros[MÊS],$AE$1,tabela_registros[DIA],receitasfixasconsolidadomai[[#Headers],[20]],tabela_registros[REGISTRO],DADOS!$N$3,tabela_registros[TIPO],DADOS!$V$3,tabela_registros[CATEGORIA],receitasfixasconsolidadomai[[#This Row],[ATUAL]])</f>
        <v>0</v>
      </c>
      <c r="Y86" s="119" t="n">
        <f aca="false">SUMIFS(tabela_registros[VALOR],tabela_registros[MÊS],$AE$1,tabela_registros[DIA],receitasfixasconsolidadomai[[#Headers],[21]],tabela_registros[REGISTRO],DADOS!$N$3,tabela_registros[TIPO],DADOS!$V$3,tabela_registros[CATEGORIA],receitasfixasconsolidadomai[[#This Row],[ATUAL]])</f>
        <v>0</v>
      </c>
      <c r="Z86" s="119" t="n">
        <f aca="false">SUMIFS(tabela_registros[VALOR],tabela_registros[MÊS],$AE$1,tabela_registros[DIA],receitasfixasconsolidadomai[[#Headers],[22]],tabela_registros[REGISTRO],DADOS!$N$3,tabela_registros[TIPO],DADOS!$V$3,tabela_registros[CATEGORIA],receitasfixasconsolidadomai[[#This Row],[ATUAL]])</f>
        <v>0</v>
      </c>
      <c r="AA86" s="119" t="n">
        <f aca="false">SUMIFS(tabela_registros[VALOR],tabela_registros[MÊS],$AE$1,tabela_registros[DIA],receitasfixasconsolidadomai[[#Headers],[23]],tabela_registros[REGISTRO],DADOS!$N$3,tabela_registros[TIPO],DADOS!$V$3,tabela_registros[CATEGORIA],receitasfixasconsolidadomai[[#This Row],[ATUAL]])</f>
        <v>0</v>
      </c>
      <c r="AB86" s="119" t="n">
        <f aca="false">SUMIFS(tabela_registros[VALOR],tabela_registros[MÊS],$AE$1,tabela_registros[DIA],receitasfixasconsolidadomai[[#Headers],[24]],tabela_registros[REGISTRO],DADOS!$N$3,tabela_registros[TIPO],DADOS!$V$3,tabela_registros[CATEGORIA],receitasfixasconsolidadomai[[#This Row],[ATUAL]])</f>
        <v>0</v>
      </c>
      <c r="AC86" s="119" t="n">
        <f aca="false">SUMIFS(tabela_registros[VALOR],tabela_registros[MÊS],$AE$1,tabela_registros[DIA],receitasfixasconsolidadomai[[#Headers],[25]],tabela_registros[REGISTRO],DADOS!$N$3,tabela_registros[TIPO],DADOS!$V$3,tabela_registros[CATEGORIA],receitasfixasconsolidadomai[[#This Row],[ATUAL]])</f>
        <v>0</v>
      </c>
      <c r="AD86" s="119" t="n">
        <f aca="false">SUMIFS(tabela_registros[VALOR],tabela_registros[MÊS],$AE$1,tabela_registros[DIA],receitasfixasconsolidadomai[[#Headers],[26]],tabela_registros[REGISTRO],DADOS!$N$3,tabela_registros[TIPO],DADOS!$V$3,tabela_registros[CATEGORIA],receitasfixasconsolidadomai[[#This Row],[ATUAL]])</f>
        <v>0</v>
      </c>
      <c r="AE86" s="119" t="n">
        <f aca="false">SUMIFS(tabela_registros[VALOR],tabela_registros[MÊS],$AE$1,tabela_registros[DIA],receitasfixasconsolidadomai[[#Headers],[27]],tabela_registros[REGISTRO],DADOS!$N$3,tabela_registros[TIPO],DADOS!$V$3,tabela_registros[CATEGORIA],receitasfixasconsolidadomai[[#This Row],[ATUAL]])</f>
        <v>0</v>
      </c>
      <c r="AF86" s="119" t="n">
        <f aca="false">SUMIFS(tabela_registros[VALOR],tabela_registros[MÊS],$AE$1,tabela_registros[DIA],receitasfixasconsolidadomai[[#Headers],[28]],tabela_registros[REGISTRO],DADOS!$N$3,tabela_registros[TIPO],DADOS!$V$3,tabela_registros[CATEGORIA],receitasfixasconsolidadomai[[#This Row],[ATUAL]])</f>
        <v>0</v>
      </c>
      <c r="AG86" s="119" t="n">
        <f aca="false">SUMIFS(tabela_registros[VALOR],tabela_registros[MÊS],$AE$1,tabela_registros[DIA],receitasfixasconsolidadomai[[#Headers],[29]],tabela_registros[REGISTRO],DADOS!$N$3,tabela_registros[TIPO],DADOS!$V$3,tabela_registros[CATEGORIA],receitasfixasconsolidadomai[[#This Row],[ATUAL]])</f>
        <v>0</v>
      </c>
      <c r="AH86" s="119" t="n">
        <f aca="false">SUMIFS(tabela_registros[VALOR],tabela_registros[MÊS],$AE$1,tabela_registros[DIA],receitasfixasconsolidadomai[[#Headers],[30]],tabela_registros[REGISTRO],DADOS!$N$3,tabela_registros[TIPO],DADOS!$V$3,tabela_registros[CATEGORIA],receitasfixasconsolidadomai[[#This Row],[ATUAL]])</f>
        <v>0</v>
      </c>
      <c r="AI86" s="218" t="n">
        <f aca="false">SUMIFS(tabela_registros[VALOR],tabela_registros[MÊS],$AE$1,tabela_registros[DIA],receitasfixasconsolidadomai[[#Headers],[31]],tabela_registros[REGISTRO],DADOS!$N$3,tabela_registros[TIPO],DADOS!$V$3,tabela_registros[CATEGORIA],receitasfixasconsolidadomai[[#This Row],[ATUAL]])</f>
        <v>0</v>
      </c>
      <c r="AJ86" s="149" t="n">
        <f aca="false">SUM(receitasfixasconsolidadomai[[#This Row],[1]:[31]])</f>
        <v>0</v>
      </c>
      <c r="AK86" s="165"/>
    </row>
    <row r="87" s="122" customFormat="true" ht="21" hidden="false" customHeight="true" outlineLevel="0" collapsed="false">
      <c r="B87" s="152"/>
      <c r="C87" s="153" t="s">
        <v>2</v>
      </c>
      <c r="D87" s="166"/>
      <c r="E87" s="155" t="n">
        <f aca="false">SUM(E82:E86)</f>
        <v>0</v>
      </c>
      <c r="F87" s="156" t="n">
        <f aca="false">SUM(F82:F86)+receitasfixasconsolidadomai[[#This Row],[1]]</f>
        <v>0</v>
      </c>
      <c r="G87" s="156" t="n">
        <f aca="false">SUM(G82:G86)+receitasfixasconsolidadomai[[#This Row],[2]]</f>
        <v>0</v>
      </c>
      <c r="H87" s="156" t="n">
        <f aca="false">SUM(H82:H86)+receitasfixasconsolidadomai[[#This Row],[3]]</f>
        <v>0</v>
      </c>
      <c r="I87" s="156" t="n">
        <f aca="false">SUM(I82:I86)+receitasfixasconsolidadomai[[#This Row],[4]]</f>
        <v>0</v>
      </c>
      <c r="J87" s="156" t="n">
        <f aca="false">SUM(J82:J86)+receitasfixasconsolidadomai[[#This Row],[5]]</f>
        <v>0</v>
      </c>
      <c r="K87" s="156" t="n">
        <f aca="false">SUM(K82:K86)+receitasfixasconsolidadomai[[#This Row],[6]]</f>
        <v>0</v>
      </c>
      <c r="L87" s="156" t="n">
        <f aca="false">SUM(L82:L86)+receitasfixasconsolidadomai[[#This Row],[7]]</f>
        <v>0</v>
      </c>
      <c r="M87" s="156" t="n">
        <f aca="false">SUM(M82:M86)+receitasfixasconsolidadomai[[#This Row],[8]]</f>
        <v>0</v>
      </c>
      <c r="N87" s="156" t="n">
        <f aca="false">SUM(N82:N86)+receitasfixasconsolidadomai[[#This Row],[9]]</f>
        <v>0</v>
      </c>
      <c r="O87" s="156" t="n">
        <f aca="false">SUM(O82:O86)+receitasfixasconsolidadomai[[#This Row],[10]]</f>
        <v>0</v>
      </c>
      <c r="P87" s="156" t="n">
        <f aca="false">SUM(P82:P86)+receitasfixasconsolidadomai[[#This Row],[11]]</f>
        <v>0</v>
      </c>
      <c r="Q87" s="156" t="n">
        <f aca="false">SUM(Q82:Q86)+receitasfixasconsolidadomai[[#This Row],[12]]</f>
        <v>0</v>
      </c>
      <c r="R87" s="156" t="n">
        <f aca="false">SUM(R82:R86)+receitasfixasconsolidadomai[[#This Row],[13]]</f>
        <v>0</v>
      </c>
      <c r="S87" s="156" t="n">
        <f aca="false">SUM(S82:S86)+receitasfixasconsolidadomai[[#This Row],[14]]</f>
        <v>0</v>
      </c>
      <c r="T87" s="156" t="n">
        <f aca="false">SUM(T82:T86)+receitasfixasconsolidadomai[[#This Row],[15]]</f>
        <v>0</v>
      </c>
      <c r="U87" s="156" t="n">
        <f aca="false">SUM(U82:U86)+receitasfixasconsolidadomai[[#This Row],[16]]</f>
        <v>0</v>
      </c>
      <c r="V87" s="156" t="n">
        <f aca="false">SUM(V82:V86)+receitasfixasconsolidadomai[[#This Row],[17]]</f>
        <v>0</v>
      </c>
      <c r="W87" s="156" t="n">
        <f aca="false">SUM(W82:W86)+receitasfixasconsolidadomai[[#This Row],[18]]</f>
        <v>0</v>
      </c>
      <c r="X87" s="156" t="n">
        <f aca="false">SUM(X82:X86)+receitasfixasconsolidadomai[[#This Row],[19]]</f>
        <v>0</v>
      </c>
      <c r="Y87" s="156" t="n">
        <f aca="false">SUM(Y82:Y86)+receitasfixasconsolidadomai[[#This Row],[20]]</f>
        <v>0</v>
      </c>
      <c r="Z87" s="156" t="n">
        <f aca="false">SUM(Z82:Z86)+receitasfixasconsolidadomai[[#This Row],[21]]</f>
        <v>0</v>
      </c>
      <c r="AA87" s="156" t="n">
        <f aca="false">SUM(AA82:AA86)+receitasfixasconsolidadomai[[#This Row],[22]]</f>
        <v>0</v>
      </c>
      <c r="AB87" s="156" t="n">
        <f aca="false">SUM(AB82:AB86)+receitasfixasconsolidadomai[[#This Row],[23]]</f>
        <v>0</v>
      </c>
      <c r="AC87" s="156" t="n">
        <f aca="false">SUM(AC82:AC86)+receitasfixasconsolidadomai[[#This Row],[24]]</f>
        <v>0</v>
      </c>
      <c r="AD87" s="156" t="n">
        <f aca="false">SUM(AD82:AD86)+receitasfixasconsolidadomai[[#This Row],[25]]</f>
        <v>0</v>
      </c>
      <c r="AE87" s="156" t="n">
        <f aca="false">SUM(AE82:AE86)+receitasfixasconsolidadomai[[#This Row],[26]]</f>
        <v>0</v>
      </c>
      <c r="AF87" s="156" t="n">
        <f aca="false">SUM(AF82:AF86)+receitasfixasconsolidadomai[[#This Row],[27]]</f>
        <v>0</v>
      </c>
      <c r="AG87" s="156" t="n">
        <f aca="false">SUM(AG82:AG86)+receitasfixasconsolidadomai[[#This Row],[28]]</f>
        <v>0</v>
      </c>
      <c r="AH87" s="156" t="n">
        <f aca="false">SUM(AH82:AH86)+receitasfixasconsolidadomai[[#This Row],[29]]</f>
        <v>0</v>
      </c>
      <c r="AI87" s="223" t="n">
        <f aca="false">SUM(AI82:AI86)+receitasfixasconsolidadomai[[#This Row],[30]]</f>
        <v>0</v>
      </c>
      <c r="AJ87" s="157" t="n">
        <f aca="false">receitasfixasconsolidadomai[[#This Row],[31]]</f>
        <v>0</v>
      </c>
      <c r="AK87" s="158"/>
    </row>
    <row r="88" customFormat="false" ht="6.75" hidden="false" customHeight="true" outlineLevel="0" collapsed="false">
      <c r="B88" s="97"/>
      <c r="C88" s="162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233"/>
      <c r="AJ88" s="164"/>
      <c r="AK88" s="244"/>
    </row>
    <row r="89" s="78" customFormat="true" ht="12.75" hidden="false" customHeight="false" outlineLevel="0" collapsed="false">
      <c r="E89" s="100"/>
    </row>
    <row r="90" s="78" customFormat="true" ht="12" hidden="false" customHeight="false" outlineLevel="0" collapsed="false"/>
    <row r="91" s="78" customFormat="true" ht="12" hidden="false" customHeight="false" outlineLevel="0" collapsed="false"/>
    <row r="92" customFormat="false" ht="39.75" hidden="false" customHeight="true" outlineLevel="0" collapsed="false">
      <c r="C92" s="101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3" t="s">
        <v>2</v>
      </c>
    </row>
    <row r="93" s="78" customFormat="true" ht="12.75" hidden="false" customHeight="false" outlineLevel="0" collapsed="false">
      <c r="B93" s="161"/>
      <c r="AJ93" s="106" t="s">
        <v>64</v>
      </c>
    </row>
    <row r="94" customFormat="false" ht="6.75" hidden="false" customHeight="true" outlineLevel="0" collapsed="false">
      <c r="B94" s="86"/>
      <c r="C94" s="162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233"/>
      <c r="AK94" s="139"/>
    </row>
    <row r="95" customFormat="false" ht="13.5" hidden="true" customHeight="false" outlineLevel="0" collapsed="false">
      <c r="B95" s="86"/>
      <c r="C95" s="109" t="s">
        <v>68</v>
      </c>
      <c r="D95" s="110" t="s">
        <v>69</v>
      </c>
      <c r="E95" s="110" t="s">
        <v>30</v>
      </c>
      <c r="F95" s="110" t="s">
        <v>31</v>
      </c>
      <c r="G95" s="110" t="s">
        <v>32</v>
      </c>
      <c r="H95" s="110" t="s">
        <v>33</v>
      </c>
      <c r="I95" s="110" t="s">
        <v>34</v>
      </c>
      <c r="J95" s="110" t="s">
        <v>35</v>
      </c>
      <c r="K95" s="110" t="s">
        <v>36</v>
      </c>
      <c r="L95" s="110" t="s">
        <v>37</v>
      </c>
      <c r="M95" s="110" t="s">
        <v>38</v>
      </c>
      <c r="N95" s="110" t="s">
        <v>39</v>
      </c>
      <c r="O95" s="110" t="s">
        <v>40</v>
      </c>
      <c r="P95" s="110" t="s">
        <v>41</v>
      </c>
      <c r="Q95" s="110" t="s">
        <v>81</v>
      </c>
      <c r="R95" s="110" t="s">
        <v>82</v>
      </c>
      <c r="S95" s="110" t="s">
        <v>83</v>
      </c>
      <c r="T95" s="110" t="s">
        <v>84</v>
      </c>
      <c r="U95" s="110" t="s">
        <v>85</v>
      </c>
      <c r="V95" s="110" t="s">
        <v>86</v>
      </c>
      <c r="W95" s="110" t="s">
        <v>87</v>
      </c>
      <c r="X95" s="110" t="s">
        <v>88</v>
      </c>
      <c r="Y95" s="110" t="s">
        <v>89</v>
      </c>
      <c r="Z95" s="110" t="s">
        <v>90</v>
      </c>
      <c r="AA95" s="110" t="s">
        <v>91</v>
      </c>
      <c r="AB95" s="110" t="s">
        <v>92</v>
      </c>
      <c r="AC95" s="110" t="s">
        <v>93</v>
      </c>
      <c r="AD95" s="110" t="s">
        <v>94</v>
      </c>
      <c r="AE95" s="110" t="s">
        <v>95</v>
      </c>
      <c r="AF95" s="110" t="s">
        <v>96</v>
      </c>
      <c r="AG95" s="110" t="s">
        <v>97</v>
      </c>
      <c r="AH95" s="110" t="s">
        <v>98</v>
      </c>
      <c r="AI95" s="110" t="s">
        <v>99</v>
      </c>
      <c r="AJ95" s="111" t="s">
        <v>70</v>
      </c>
      <c r="AK95" s="86"/>
    </row>
    <row r="96" customFormat="false" ht="19.5" hidden="false" customHeight="true" outlineLevel="0" collapsed="false">
      <c r="B96" s="143"/>
      <c r="C96" s="144" t="str">
        <f aca="false">DADOS!$Z$3</f>
        <v>🏅 BÔNUS</v>
      </c>
      <c r="D96" s="145" t="str">
        <f aca="false">IF(receitasvariáveisconsolidadomai[[#This Row],[TOTAL (R$)]]=0,"",IF(OR(receitasvariáveisconsolidadomai[[#This Row],[TOTAL (R$)]]=LARGE($AJ$96:$AJ$103,1),receitasvariáveisconsolidadomai[[#This Row],[TOTAL (R$)]]=LARGE($AJ$96:$AJ$103,2)),DADOS!$I$9,""))</f>
        <v/>
      </c>
      <c r="E96" s="148" t="n">
        <f aca="false">SUMIFS(tabela_registros[VALOR],tabela_registros[MÊS],$AE$1,tabela_registros[DIA],receitasvariáveisconsolidadomai[[#Headers],[1]],tabela_registros[REGISTRO],DADOS!$N$3,tabela_registros[TIPO],DADOS!$V$4,tabela_registros[CATEGORIA],receitasvariáveisconsolidadomai[[#This Row],[ATUAL]])</f>
        <v>0</v>
      </c>
      <c r="F96" s="119" t="n">
        <f aca="false">SUMIFS(tabela_registros[VALOR],tabela_registros[MÊS],$AE$1,tabela_registros[DIA],receitasvariáveisconsolidadomai[[#Headers],[2]],tabela_registros[REGISTRO],DADOS!$N$3,tabela_registros[TIPO],DADOS!$V$4,tabela_registros[CATEGORIA],receitasvariáveisconsolidadomai[[#This Row],[ATUAL]])</f>
        <v>0</v>
      </c>
      <c r="G96" s="119" t="n">
        <f aca="false">SUMIFS(tabela_registros[VALOR],tabela_registros[MÊS],$AE$1,tabela_registros[DIA],receitasvariáveisconsolidadomai[[#Headers],[3]],tabela_registros[REGISTRO],DADOS!$N$3,tabela_registros[TIPO],DADOS!$V$4,tabela_registros[CATEGORIA],receitasvariáveisconsolidadomai[[#This Row],[ATUAL]])</f>
        <v>0</v>
      </c>
      <c r="H96" s="119" t="n">
        <f aca="false">SUMIFS(tabela_registros[VALOR],tabela_registros[MÊS],$AE$1,tabela_registros[DIA],receitasvariáveisconsolidadomai[[#Headers],[4]],tabela_registros[REGISTRO],DADOS!$N$3,tabela_registros[TIPO],DADOS!$V$4,tabela_registros[CATEGORIA],receitasvariáveisconsolidadomai[[#This Row],[ATUAL]])</f>
        <v>0</v>
      </c>
      <c r="I96" s="119" t="n">
        <f aca="false">SUMIFS(tabela_registros[VALOR],tabela_registros[MÊS],$AE$1,tabela_registros[DIA],receitasvariáveisconsolidadomai[[#Headers],[5]],tabela_registros[REGISTRO],DADOS!$N$3,tabela_registros[TIPO],DADOS!$V$4,tabela_registros[CATEGORIA],receitasvariáveisconsolidadomai[[#This Row],[ATUAL]])</f>
        <v>0</v>
      </c>
      <c r="J96" s="119" t="n">
        <f aca="false">SUMIFS(tabela_registros[VALOR],tabela_registros[MÊS],$AE$1,tabela_registros[DIA],receitasvariáveisconsolidadomai[[#Headers],[6]],tabela_registros[REGISTRO],DADOS!$N$3,tabela_registros[TIPO],DADOS!$V$4,tabela_registros[CATEGORIA],receitasvariáveisconsolidadomai[[#This Row],[ATUAL]])</f>
        <v>0</v>
      </c>
      <c r="K96" s="119" t="n">
        <f aca="false">SUMIFS(tabela_registros[VALOR],tabela_registros[MÊS],$AE$1,tabela_registros[DIA],receitasvariáveisconsolidadomai[[#Headers],[7]],tabela_registros[REGISTRO],DADOS!$N$3,tabela_registros[TIPO],DADOS!$V$4,tabela_registros[CATEGORIA],receitasvariáveisconsolidadomai[[#This Row],[ATUAL]])</f>
        <v>0</v>
      </c>
      <c r="L96" s="119" t="n">
        <f aca="false">SUMIFS(tabela_registros[VALOR],tabela_registros[MÊS],$AE$1,tabela_registros[DIA],receitasvariáveisconsolidadomai[[#Headers],[8]],tabela_registros[REGISTRO],DADOS!$N$3,tabela_registros[TIPO],DADOS!$V$4,tabela_registros[CATEGORIA],receitasvariáveisconsolidadomai[[#This Row],[ATUAL]])</f>
        <v>0</v>
      </c>
      <c r="M96" s="119" t="n">
        <f aca="false">SUMIFS(tabela_registros[VALOR],tabela_registros[MÊS],$AE$1,tabela_registros[DIA],receitasvariáveisconsolidadomai[[#Headers],[9]],tabela_registros[REGISTRO],DADOS!$N$3,tabela_registros[TIPO],DADOS!$V$4,tabela_registros[CATEGORIA],receitasvariáveisconsolidadomai[[#This Row],[ATUAL]])</f>
        <v>0</v>
      </c>
      <c r="N96" s="119" t="n">
        <f aca="false">SUMIFS(tabela_registros[VALOR],tabela_registros[MÊS],$AE$1,tabela_registros[DIA],receitasvariáveisconsolidadomai[[#Headers],[10]],tabela_registros[REGISTRO],DADOS!$N$3,tabela_registros[TIPO],DADOS!$V$4,tabela_registros[CATEGORIA],receitasvariáveisconsolidadomai[[#This Row],[ATUAL]])</f>
        <v>0</v>
      </c>
      <c r="O96" s="119" t="n">
        <f aca="false">SUMIFS(tabela_registros[VALOR],tabela_registros[MÊS],$AE$1,tabela_registros[DIA],receitasvariáveisconsolidadomai[[#Headers],[11]],tabela_registros[REGISTRO],DADOS!$N$3,tabela_registros[TIPO],DADOS!$V$4,tabela_registros[CATEGORIA],receitasvariáveisconsolidadomai[[#This Row],[ATUAL]])</f>
        <v>0</v>
      </c>
      <c r="P96" s="119" t="n">
        <f aca="false">SUMIFS(tabela_registros[VALOR],tabela_registros[MÊS],$AE$1,tabela_registros[DIA],receitasvariáveisconsolidadomai[[#Headers],[12]],tabela_registros[REGISTRO],DADOS!$N$3,tabela_registros[TIPO],DADOS!$V$4,tabela_registros[CATEGORIA],receitasvariáveisconsolidadomai[[#This Row],[ATUAL]])</f>
        <v>0</v>
      </c>
      <c r="Q96" s="119" t="n">
        <f aca="false">SUMIFS(tabela_registros[VALOR],tabela_registros[MÊS],$AE$1,tabela_registros[DIA],receitasvariáveisconsolidadomai[[#Headers],[13]],tabela_registros[REGISTRO],DADOS!$N$3,tabela_registros[TIPO],DADOS!$V$4,tabela_registros[CATEGORIA],receitasvariáveisconsolidadomai[[#This Row],[ATUAL]])</f>
        <v>0</v>
      </c>
      <c r="R96" s="119" t="n">
        <f aca="false">SUMIFS(tabela_registros[VALOR],tabela_registros[MÊS],$AE$1,tabela_registros[DIA],receitasvariáveisconsolidadomai[[#Headers],[14]],tabela_registros[REGISTRO],DADOS!$N$3,tabela_registros[TIPO],DADOS!$V$4,tabela_registros[CATEGORIA],receitasvariáveisconsolidadomai[[#This Row],[ATUAL]])</f>
        <v>0</v>
      </c>
      <c r="S96" s="119" t="n">
        <f aca="false">SUMIFS(tabela_registros[VALOR],tabela_registros[MÊS],$AE$1,tabela_registros[DIA],receitasvariáveisconsolidadomai[[#Headers],[15]],tabela_registros[REGISTRO],DADOS!$N$3,tabela_registros[TIPO],DADOS!$V$4,tabela_registros[CATEGORIA],receitasvariáveisconsolidadomai[[#This Row],[ATUAL]])</f>
        <v>0</v>
      </c>
      <c r="T96" s="119" t="n">
        <f aca="false">SUMIFS(tabela_registros[VALOR],tabela_registros[MÊS],$AE$1,tabela_registros[DIA],receitasvariáveisconsolidadomai[[#Headers],[16]],tabela_registros[REGISTRO],DADOS!$N$3,tabela_registros[TIPO],DADOS!$V$4,tabela_registros[CATEGORIA],receitasvariáveisconsolidadomai[[#This Row],[ATUAL]])</f>
        <v>0</v>
      </c>
      <c r="U96" s="119" t="n">
        <f aca="false">SUMIFS(tabela_registros[VALOR],tabela_registros[MÊS],$AE$1,tabela_registros[DIA],receitasvariáveisconsolidadomai[[#Headers],[17]],tabela_registros[REGISTRO],DADOS!$N$3,tabela_registros[TIPO],DADOS!$V$4,tabela_registros[CATEGORIA],receitasvariáveisconsolidadomai[[#This Row],[ATUAL]])</f>
        <v>0</v>
      </c>
      <c r="V96" s="119" t="n">
        <f aca="false">SUMIFS(tabela_registros[VALOR],tabela_registros[MÊS],$AE$1,tabela_registros[DIA],receitasvariáveisconsolidadomai[[#Headers],[18]],tabela_registros[REGISTRO],DADOS!$N$3,tabela_registros[TIPO],DADOS!$V$4,tabela_registros[CATEGORIA],receitasvariáveisconsolidadomai[[#This Row],[ATUAL]])</f>
        <v>0</v>
      </c>
      <c r="W96" s="119" t="n">
        <f aca="false">SUMIFS(tabela_registros[VALOR],tabela_registros[MÊS],$AE$1,tabela_registros[DIA],receitasvariáveisconsolidadomai[[#Headers],[19]],tabela_registros[REGISTRO],DADOS!$N$3,tabela_registros[TIPO],DADOS!$V$4,tabela_registros[CATEGORIA],receitasvariáveisconsolidadomai[[#This Row],[ATUAL]])</f>
        <v>0</v>
      </c>
      <c r="X96" s="119" t="n">
        <f aca="false">SUMIFS(tabela_registros[VALOR],tabela_registros[MÊS],$AE$1,tabela_registros[DIA],receitasvariáveisconsolidadomai[[#Headers],[20]],tabela_registros[REGISTRO],DADOS!$N$3,tabela_registros[TIPO],DADOS!$V$4,tabela_registros[CATEGORIA],receitasvariáveisconsolidadomai[[#This Row],[ATUAL]])</f>
        <v>0</v>
      </c>
      <c r="Y96" s="119" t="n">
        <f aca="false">SUMIFS(tabela_registros[VALOR],tabela_registros[MÊS],$AE$1,tabela_registros[DIA],receitasvariáveisconsolidadomai[[#Headers],[21]],tabela_registros[REGISTRO],DADOS!$N$3,tabela_registros[TIPO],DADOS!$V$4,tabela_registros[CATEGORIA],receitasvariáveisconsolidadomai[[#This Row],[ATUAL]])</f>
        <v>0</v>
      </c>
      <c r="Z96" s="119" t="n">
        <f aca="false">SUMIFS(tabela_registros[VALOR],tabela_registros[MÊS],$AE$1,tabela_registros[DIA],receitasvariáveisconsolidadomai[[#Headers],[22]],tabela_registros[REGISTRO],DADOS!$N$3,tabela_registros[TIPO],DADOS!$V$4,tabela_registros[CATEGORIA],receitasvariáveisconsolidadomai[[#This Row],[ATUAL]])</f>
        <v>0</v>
      </c>
      <c r="AA96" s="119" t="n">
        <f aca="false">SUMIFS(tabela_registros[VALOR],tabela_registros[MÊS],$AE$1,tabela_registros[DIA],receitasvariáveisconsolidadomai[[#Headers],[23]],tabela_registros[REGISTRO],DADOS!$N$3,tabela_registros[TIPO],DADOS!$V$4,tabela_registros[CATEGORIA],receitasvariáveisconsolidadomai[[#This Row],[ATUAL]])</f>
        <v>0</v>
      </c>
      <c r="AB96" s="119" t="n">
        <f aca="false">SUMIFS(tabela_registros[VALOR],tabela_registros[MÊS],$AE$1,tabela_registros[DIA],receitasvariáveisconsolidadomai[[#Headers],[24]],tabela_registros[REGISTRO],DADOS!$N$3,tabela_registros[TIPO],DADOS!$V$4,tabela_registros[CATEGORIA],receitasvariáveisconsolidadomai[[#This Row],[ATUAL]])</f>
        <v>0</v>
      </c>
      <c r="AC96" s="119" t="n">
        <f aca="false">SUMIFS(tabela_registros[VALOR],tabela_registros[MÊS],$AE$1,tabela_registros[DIA],receitasvariáveisconsolidadomai[[#Headers],[25]],tabela_registros[REGISTRO],DADOS!$N$3,tabela_registros[TIPO],DADOS!$V$4,tabela_registros[CATEGORIA],receitasvariáveisconsolidadomai[[#This Row],[ATUAL]])</f>
        <v>0</v>
      </c>
      <c r="AD96" s="119" t="n">
        <f aca="false">SUMIFS(tabela_registros[VALOR],tabela_registros[MÊS],$AE$1,tabela_registros[DIA],receitasvariáveisconsolidadomai[[#Headers],[26]],tabela_registros[REGISTRO],DADOS!$N$3,tabela_registros[TIPO],DADOS!$V$4,tabela_registros[CATEGORIA],receitasvariáveisconsolidadomai[[#This Row],[ATUAL]])</f>
        <v>0</v>
      </c>
      <c r="AE96" s="119" t="n">
        <f aca="false">SUMIFS(tabela_registros[VALOR],tabela_registros[MÊS],$AE$1,tabela_registros[DIA],receitasvariáveisconsolidadomai[[#Headers],[27]],tabela_registros[REGISTRO],DADOS!$N$3,tabela_registros[TIPO],DADOS!$V$4,tabela_registros[CATEGORIA],receitasvariáveisconsolidadomai[[#This Row],[ATUAL]])</f>
        <v>0</v>
      </c>
      <c r="AF96" s="119" t="n">
        <f aca="false">SUMIFS(tabela_registros[VALOR],tabela_registros[MÊS],$AE$1,tabela_registros[DIA],receitasvariáveisconsolidadomai[[#Headers],[28]],tabela_registros[REGISTRO],DADOS!$N$3,tabela_registros[TIPO],DADOS!$V$4,tabela_registros[CATEGORIA],receitasvariáveisconsolidadomai[[#This Row],[ATUAL]])</f>
        <v>0</v>
      </c>
      <c r="AG96" s="119" t="n">
        <f aca="false">SUMIFS(tabela_registros[VALOR],tabela_registros[MÊS],$AE$1,tabela_registros[DIA],receitasvariáveisconsolidadomai[[#Headers],[29]],tabela_registros[REGISTRO],DADOS!$N$3,tabela_registros[TIPO],DADOS!$V$4,tabela_registros[CATEGORIA],receitasvariáveisconsolidadomai[[#This Row],[ATUAL]])</f>
        <v>0</v>
      </c>
      <c r="AH96" s="119" t="n">
        <f aca="false">SUMIFS(tabela_registros[VALOR],tabela_registros[MÊS],$AE$1,tabela_registros[DIA],receitasvariáveisconsolidadomai[[#Headers],[30]],tabela_registros[REGISTRO],DADOS!$N$3,tabela_registros[TIPO],DADOS!$V$4,tabela_registros[CATEGORIA],receitasvariáveisconsolidadomai[[#This Row],[ATUAL]])</f>
        <v>0</v>
      </c>
      <c r="AI96" s="217" t="n">
        <f aca="false">SUMIFS(tabela_registros[VALOR],tabela_registros[MÊS],$AE$1,tabela_registros[DIA],receitasvariáveisconsolidadomai[[#Headers],[31]],tabela_registros[REGISTRO],DADOS!$N$3,tabela_registros[TIPO],DADOS!$V$4,tabela_registros[CATEGORIA],receitasvariáveisconsolidadomai[[#This Row],[ATUAL]])</f>
        <v>0</v>
      </c>
      <c r="AJ96" s="149" t="n">
        <f aca="false">SUM(receitasvariáveisconsolidadomai[[#This Row],[1]:[31]])</f>
        <v>0</v>
      </c>
      <c r="AK96" s="165"/>
    </row>
    <row r="97" customFormat="false" ht="19.5" hidden="false" customHeight="true" outlineLevel="0" collapsed="false">
      <c r="B97" s="143"/>
      <c r="C97" s="144" t="str">
        <f aca="false">DADOS!$Z$4</f>
        <v>🤑 COMISSÃO</v>
      </c>
      <c r="D97" s="145" t="str">
        <f aca="false">IF(receitasvariáveisconsolidadomai[[#This Row],[TOTAL (R$)]]=0,"",IF(OR(receitasvariáveisconsolidadomai[[#This Row],[TOTAL (R$)]]=LARGE($AJ$96:$AJ$103,1),receitasvariáveisconsolidadomai[[#This Row],[TOTAL (R$)]]=LARGE($AJ$96:$AJ$103,2)),DADOS!$I$9,""))</f>
        <v/>
      </c>
      <c r="E97" s="148" t="n">
        <f aca="false">SUMIFS(tabela_registros[VALOR],tabela_registros[MÊS],$AE$1,tabela_registros[DIA],receitasvariáveisconsolidadomai[[#Headers],[1]],tabela_registros[REGISTRO],DADOS!$N$3,tabela_registros[TIPO],DADOS!$V$4,tabela_registros[CATEGORIA],receitasvariáveisconsolidadomai[[#This Row],[ATUAL]])</f>
        <v>0</v>
      </c>
      <c r="F97" s="119" t="n">
        <f aca="false">SUMIFS(tabela_registros[VALOR],tabela_registros[MÊS],$AE$1,tabela_registros[DIA],receitasvariáveisconsolidadomai[[#Headers],[2]],tabela_registros[REGISTRO],DADOS!$N$3,tabela_registros[TIPO],DADOS!$V$4,tabela_registros[CATEGORIA],receitasvariáveisconsolidadomai[[#This Row],[ATUAL]])</f>
        <v>0</v>
      </c>
      <c r="G97" s="119" t="n">
        <f aca="false">SUMIFS(tabela_registros[VALOR],tabela_registros[MÊS],$AE$1,tabela_registros[DIA],receitasvariáveisconsolidadomai[[#Headers],[3]],tabela_registros[REGISTRO],DADOS!$N$3,tabela_registros[TIPO],DADOS!$V$4,tabela_registros[CATEGORIA],receitasvariáveisconsolidadomai[[#This Row],[ATUAL]])</f>
        <v>0</v>
      </c>
      <c r="H97" s="119" t="n">
        <f aca="false">SUMIFS(tabela_registros[VALOR],tabela_registros[MÊS],$AE$1,tabela_registros[DIA],receitasvariáveisconsolidadomai[[#Headers],[4]],tabela_registros[REGISTRO],DADOS!$N$3,tabela_registros[TIPO],DADOS!$V$4,tabela_registros[CATEGORIA],receitasvariáveisconsolidadomai[[#This Row],[ATUAL]])</f>
        <v>0</v>
      </c>
      <c r="I97" s="119" t="n">
        <f aca="false">SUMIFS(tabela_registros[VALOR],tabela_registros[MÊS],$AE$1,tabela_registros[DIA],receitasvariáveisconsolidadomai[[#Headers],[5]],tabela_registros[REGISTRO],DADOS!$N$3,tabela_registros[TIPO],DADOS!$V$4,tabela_registros[CATEGORIA],receitasvariáveisconsolidadomai[[#This Row],[ATUAL]])</f>
        <v>0</v>
      </c>
      <c r="J97" s="119" t="n">
        <f aca="false">SUMIFS(tabela_registros[VALOR],tabela_registros[MÊS],$AE$1,tabela_registros[DIA],receitasvariáveisconsolidadomai[[#Headers],[6]],tabela_registros[REGISTRO],DADOS!$N$3,tabela_registros[TIPO],DADOS!$V$4,tabela_registros[CATEGORIA],receitasvariáveisconsolidadomai[[#This Row],[ATUAL]])</f>
        <v>0</v>
      </c>
      <c r="K97" s="119" t="n">
        <f aca="false">SUMIFS(tabela_registros[VALOR],tabela_registros[MÊS],$AE$1,tabela_registros[DIA],receitasvariáveisconsolidadomai[[#Headers],[7]],tabela_registros[REGISTRO],DADOS!$N$3,tabela_registros[TIPO],DADOS!$V$4,tabela_registros[CATEGORIA],receitasvariáveisconsolidadomai[[#This Row],[ATUAL]])</f>
        <v>0</v>
      </c>
      <c r="L97" s="119" t="n">
        <f aca="false">SUMIFS(tabela_registros[VALOR],tabela_registros[MÊS],$AE$1,tabela_registros[DIA],receitasvariáveisconsolidadomai[[#Headers],[8]],tabela_registros[REGISTRO],DADOS!$N$3,tabela_registros[TIPO],DADOS!$V$4,tabela_registros[CATEGORIA],receitasvariáveisconsolidadomai[[#This Row],[ATUAL]])</f>
        <v>0</v>
      </c>
      <c r="M97" s="119" t="n">
        <f aca="false">SUMIFS(tabela_registros[VALOR],tabela_registros[MÊS],$AE$1,tabela_registros[DIA],receitasvariáveisconsolidadomai[[#Headers],[9]],tabela_registros[REGISTRO],DADOS!$N$3,tabela_registros[TIPO],DADOS!$V$4,tabela_registros[CATEGORIA],receitasvariáveisconsolidadomai[[#This Row],[ATUAL]])</f>
        <v>0</v>
      </c>
      <c r="N97" s="119" t="n">
        <f aca="false">SUMIFS(tabela_registros[VALOR],tabela_registros[MÊS],$AE$1,tabela_registros[DIA],receitasvariáveisconsolidadomai[[#Headers],[10]],tabela_registros[REGISTRO],DADOS!$N$3,tabela_registros[TIPO],DADOS!$V$4,tabela_registros[CATEGORIA],receitasvariáveisconsolidadomai[[#This Row],[ATUAL]])</f>
        <v>0</v>
      </c>
      <c r="O97" s="119" t="n">
        <f aca="false">SUMIFS(tabela_registros[VALOR],tabela_registros[MÊS],$AE$1,tabela_registros[DIA],receitasvariáveisconsolidadomai[[#Headers],[11]],tabela_registros[REGISTRO],DADOS!$N$3,tabela_registros[TIPO],DADOS!$V$4,tabela_registros[CATEGORIA],receitasvariáveisconsolidadomai[[#This Row],[ATUAL]])</f>
        <v>0</v>
      </c>
      <c r="P97" s="119" t="n">
        <f aca="false">SUMIFS(tabela_registros[VALOR],tabela_registros[MÊS],$AE$1,tabela_registros[DIA],receitasvariáveisconsolidadomai[[#Headers],[12]],tabela_registros[REGISTRO],DADOS!$N$3,tabela_registros[TIPO],DADOS!$V$4,tabela_registros[CATEGORIA],receitasvariáveisconsolidadomai[[#This Row],[ATUAL]])</f>
        <v>0</v>
      </c>
      <c r="Q97" s="119" t="n">
        <f aca="false">SUMIFS(tabela_registros[VALOR],tabela_registros[MÊS],$AE$1,tabela_registros[DIA],receitasvariáveisconsolidadomai[[#Headers],[13]],tabela_registros[REGISTRO],DADOS!$N$3,tabela_registros[TIPO],DADOS!$V$4,tabela_registros[CATEGORIA],receitasvariáveisconsolidadomai[[#This Row],[ATUAL]])</f>
        <v>0</v>
      </c>
      <c r="R97" s="119" t="n">
        <f aca="false">SUMIFS(tabela_registros[VALOR],tabela_registros[MÊS],$AE$1,tabela_registros[DIA],receitasvariáveisconsolidadomai[[#Headers],[14]],tabela_registros[REGISTRO],DADOS!$N$3,tabela_registros[TIPO],DADOS!$V$4,tabela_registros[CATEGORIA],receitasvariáveisconsolidadomai[[#This Row],[ATUAL]])</f>
        <v>0</v>
      </c>
      <c r="S97" s="119" t="n">
        <f aca="false">SUMIFS(tabela_registros[VALOR],tabela_registros[MÊS],$AE$1,tabela_registros[DIA],receitasvariáveisconsolidadomai[[#Headers],[15]],tabela_registros[REGISTRO],DADOS!$N$3,tabela_registros[TIPO],DADOS!$V$4,tabela_registros[CATEGORIA],receitasvariáveisconsolidadomai[[#This Row],[ATUAL]])</f>
        <v>0</v>
      </c>
      <c r="T97" s="119" t="n">
        <f aca="false">SUMIFS(tabela_registros[VALOR],tabela_registros[MÊS],$AE$1,tabela_registros[DIA],receitasvariáveisconsolidadomai[[#Headers],[16]],tabela_registros[REGISTRO],DADOS!$N$3,tabela_registros[TIPO],DADOS!$V$4,tabela_registros[CATEGORIA],receitasvariáveisconsolidadomai[[#This Row],[ATUAL]])</f>
        <v>0</v>
      </c>
      <c r="U97" s="119" t="n">
        <f aca="false">SUMIFS(tabela_registros[VALOR],tabela_registros[MÊS],$AE$1,tabela_registros[DIA],receitasvariáveisconsolidadomai[[#Headers],[17]],tabela_registros[REGISTRO],DADOS!$N$3,tabela_registros[TIPO],DADOS!$V$4,tabela_registros[CATEGORIA],receitasvariáveisconsolidadomai[[#This Row],[ATUAL]])</f>
        <v>0</v>
      </c>
      <c r="V97" s="119" t="n">
        <f aca="false">SUMIFS(tabela_registros[VALOR],tabela_registros[MÊS],$AE$1,tabela_registros[DIA],receitasvariáveisconsolidadomai[[#Headers],[18]],tabela_registros[REGISTRO],DADOS!$N$3,tabela_registros[TIPO],DADOS!$V$4,tabela_registros[CATEGORIA],receitasvariáveisconsolidadomai[[#This Row],[ATUAL]])</f>
        <v>0</v>
      </c>
      <c r="W97" s="119" t="n">
        <f aca="false">SUMIFS(tabela_registros[VALOR],tabela_registros[MÊS],$AE$1,tabela_registros[DIA],receitasvariáveisconsolidadomai[[#Headers],[19]],tabela_registros[REGISTRO],DADOS!$N$3,tabela_registros[TIPO],DADOS!$V$4,tabela_registros[CATEGORIA],receitasvariáveisconsolidadomai[[#This Row],[ATUAL]])</f>
        <v>0</v>
      </c>
      <c r="X97" s="119" t="n">
        <f aca="false">SUMIFS(tabela_registros[VALOR],tabela_registros[MÊS],$AE$1,tabela_registros[DIA],receitasvariáveisconsolidadomai[[#Headers],[20]],tabela_registros[REGISTRO],DADOS!$N$3,tabela_registros[TIPO],DADOS!$V$4,tabela_registros[CATEGORIA],receitasvariáveisconsolidadomai[[#This Row],[ATUAL]])</f>
        <v>0</v>
      </c>
      <c r="Y97" s="119" t="n">
        <f aca="false">SUMIFS(tabela_registros[VALOR],tabela_registros[MÊS],$AE$1,tabela_registros[DIA],receitasvariáveisconsolidadomai[[#Headers],[21]],tabela_registros[REGISTRO],DADOS!$N$3,tabela_registros[TIPO],DADOS!$V$4,tabela_registros[CATEGORIA],receitasvariáveisconsolidadomai[[#This Row],[ATUAL]])</f>
        <v>0</v>
      </c>
      <c r="Z97" s="119" t="n">
        <f aca="false">SUMIFS(tabela_registros[VALOR],tabela_registros[MÊS],$AE$1,tabela_registros[DIA],receitasvariáveisconsolidadomai[[#Headers],[22]],tabela_registros[REGISTRO],DADOS!$N$3,tabela_registros[TIPO],DADOS!$V$4,tabela_registros[CATEGORIA],receitasvariáveisconsolidadomai[[#This Row],[ATUAL]])</f>
        <v>0</v>
      </c>
      <c r="AA97" s="119" t="n">
        <f aca="false">SUMIFS(tabela_registros[VALOR],tabela_registros[MÊS],$AE$1,tabela_registros[DIA],receitasvariáveisconsolidadomai[[#Headers],[23]],tabela_registros[REGISTRO],DADOS!$N$3,tabela_registros[TIPO],DADOS!$V$4,tabela_registros[CATEGORIA],receitasvariáveisconsolidadomai[[#This Row],[ATUAL]])</f>
        <v>0</v>
      </c>
      <c r="AB97" s="119" t="n">
        <f aca="false">SUMIFS(tabela_registros[VALOR],tabela_registros[MÊS],$AE$1,tabela_registros[DIA],receitasvariáveisconsolidadomai[[#Headers],[24]],tabela_registros[REGISTRO],DADOS!$N$3,tabela_registros[TIPO],DADOS!$V$4,tabela_registros[CATEGORIA],receitasvariáveisconsolidadomai[[#This Row],[ATUAL]])</f>
        <v>0</v>
      </c>
      <c r="AC97" s="119" t="n">
        <f aca="false">SUMIFS(tabela_registros[VALOR],tabela_registros[MÊS],$AE$1,tabela_registros[DIA],receitasvariáveisconsolidadomai[[#Headers],[25]],tabela_registros[REGISTRO],DADOS!$N$3,tabela_registros[TIPO],DADOS!$V$4,tabela_registros[CATEGORIA],receitasvariáveisconsolidadomai[[#This Row],[ATUAL]])</f>
        <v>0</v>
      </c>
      <c r="AD97" s="119" t="n">
        <f aca="false">SUMIFS(tabela_registros[VALOR],tabela_registros[MÊS],$AE$1,tabela_registros[DIA],receitasvariáveisconsolidadomai[[#Headers],[26]],tabela_registros[REGISTRO],DADOS!$N$3,tabela_registros[TIPO],DADOS!$V$4,tabela_registros[CATEGORIA],receitasvariáveisconsolidadomai[[#This Row],[ATUAL]])</f>
        <v>0</v>
      </c>
      <c r="AE97" s="119" t="n">
        <f aca="false">SUMIFS(tabela_registros[VALOR],tabela_registros[MÊS],$AE$1,tabela_registros[DIA],receitasvariáveisconsolidadomai[[#Headers],[27]],tabela_registros[REGISTRO],DADOS!$N$3,tabela_registros[TIPO],DADOS!$V$4,tabela_registros[CATEGORIA],receitasvariáveisconsolidadomai[[#This Row],[ATUAL]])</f>
        <v>0</v>
      </c>
      <c r="AF97" s="119" t="n">
        <f aca="false">SUMIFS(tabela_registros[VALOR],tabela_registros[MÊS],$AE$1,tabela_registros[DIA],receitasvariáveisconsolidadomai[[#Headers],[28]],tabela_registros[REGISTRO],DADOS!$N$3,tabela_registros[TIPO],DADOS!$V$4,tabela_registros[CATEGORIA],receitasvariáveisconsolidadomai[[#This Row],[ATUAL]])</f>
        <v>0</v>
      </c>
      <c r="AG97" s="119" t="n">
        <f aca="false">SUMIFS(tabela_registros[VALOR],tabela_registros[MÊS],$AE$1,tabela_registros[DIA],receitasvariáveisconsolidadomai[[#Headers],[29]],tabela_registros[REGISTRO],DADOS!$N$3,tabela_registros[TIPO],DADOS!$V$4,tabela_registros[CATEGORIA],receitasvariáveisconsolidadomai[[#This Row],[ATUAL]])</f>
        <v>0</v>
      </c>
      <c r="AH97" s="119" t="n">
        <f aca="false">SUMIFS(tabela_registros[VALOR],tabela_registros[MÊS],$AE$1,tabela_registros[DIA],receitasvariáveisconsolidadomai[[#Headers],[30]],tabela_registros[REGISTRO],DADOS!$N$3,tabela_registros[TIPO],DADOS!$V$4,tabela_registros[CATEGORIA],receitasvariáveisconsolidadomai[[#This Row],[ATUAL]])</f>
        <v>0</v>
      </c>
      <c r="AI97" s="217" t="n">
        <f aca="false">SUMIFS(tabela_registros[VALOR],tabela_registros[MÊS],$AE$1,tabela_registros[DIA],receitasvariáveisconsolidadomai[[#Headers],[31]],tabela_registros[REGISTRO],DADOS!$N$3,tabela_registros[TIPO],DADOS!$V$4,tabela_registros[CATEGORIA],receitasvariáveisconsolidadomai[[#This Row],[ATUAL]])</f>
        <v>0</v>
      </c>
      <c r="AJ97" s="149" t="n">
        <f aca="false">SUM(receitasvariáveisconsolidadomai[[#This Row],[1]:[31]])</f>
        <v>0</v>
      </c>
      <c r="AK97" s="165"/>
    </row>
    <row r="98" customFormat="false" ht="19.5" hidden="false" customHeight="true" outlineLevel="0" collapsed="false">
      <c r="B98" s="143"/>
      <c r="C98" s="144" t="str">
        <f aca="false">DADOS!$Z$5</f>
        <v>🎗️ HERANÇA</v>
      </c>
      <c r="D98" s="145" t="str">
        <f aca="false">IF(receitasvariáveisconsolidadomai[[#This Row],[TOTAL (R$)]]=0,"",IF(OR(receitasvariáveisconsolidadomai[[#This Row],[TOTAL (R$)]]=LARGE($AJ$96:$AJ$103,1),receitasvariáveisconsolidadomai[[#This Row],[TOTAL (R$)]]=LARGE($AJ$96:$AJ$103,2)),DADOS!$I$9,""))</f>
        <v/>
      </c>
      <c r="E98" s="148" t="n">
        <f aca="false">SUMIFS(tabela_registros[VALOR],tabela_registros[MÊS],$AE$1,tabela_registros[DIA],receitasvariáveisconsolidadomai[[#Headers],[1]],tabela_registros[REGISTRO],DADOS!$N$3,tabela_registros[TIPO],DADOS!$V$4,tabela_registros[CATEGORIA],receitasvariáveisconsolidadomai[[#This Row],[ATUAL]])</f>
        <v>0</v>
      </c>
      <c r="F98" s="119" t="n">
        <f aca="false">SUMIFS(tabela_registros[VALOR],tabela_registros[MÊS],$AE$1,tabela_registros[DIA],receitasvariáveisconsolidadomai[[#Headers],[2]],tabela_registros[REGISTRO],DADOS!$N$3,tabela_registros[TIPO],DADOS!$V$4,tabela_registros[CATEGORIA],receitasvariáveisconsolidadomai[[#This Row],[ATUAL]])</f>
        <v>0</v>
      </c>
      <c r="G98" s="119" t="n">
        <f aca="false">SUMIFS(tabela_registros[VALOR],tabela_registros[MÊS],$AE$1,tabela_registros[DIA],receitasvariáveisconsolidadomai[[#Headers],[3]],tabela_registros[REGISTRO],DADOS!$N$3,tabela_registros[TIPO],DADOS!$V$4,tabela_registros[CATEGORIA],receitasvariáveisconsolidadomai[[#This Row],[ATUAL]])</f>
        <v>0</v>
      </c>
      <c r="H98" s="119" t="n">
        <f aca="false">SUMIFS(tabela_registros[VALOR],tabela_registros[MÊS],$AE$1,tabela_registros[DIA],receitasvariáveisconsolidadomai[[#Headers],[4]],tabela_registros[REGISTRO],DADOS!$N$3,tabela_registros[TIPO],DADOS!$V$4,tabela_registros[CATEGORIA],receitasvariáveisconsolidadomai[[#This Row],[ATUAL]])</f>
        <v>0</v>
      </c>
      <c r="I98" s="119" t="n">
        <f aca="false">SUMIFS(tabela_registros[VALOR],tabela_registros[MÊS],$AE$1,tabela_registros[DIA],receitasvariáveisconsolidadomai[[#Headers],[5]],tabela_registros[REGISTRO],DADOS!$N$3,tabela_registros[TIPO],DADOS!$V$4,tabela_registros[CATEGORIA],receitasvariáveisconsolidadomai[[#This Row],[ATUAL]])</f>
        <v>0</v>
      </c>
      <c r="J98" s="119" t="n">
        <f aca="false">SUMIFS(tabela_registros[VALOR],tabela_registros[MÊS],$AE$1,tabela_registros[DIA],receitasvariáveisconsolidadomai[[#Headers],[6]],tabela_registros[REGISTRO],DADOS!$N$3,tabela_registros[TIPO],DADOS!$V$4,tabela_registros[CATEGORIA],receitasvariáveisconsolidadomai[[#This Row],[ATUAL]])</f>
        <v>0</v>
      </c>
      <c r="K98" s="119" t="n">
        <f aca="false">SUMIFS(tabela_registros[VALOR],tabela_registros[MÊS],$AE$1,tabela_registros[DIA],receitasvariáveisconsolidadomai[[#Headers],[7]],tabela_registros[REGISTRO],DADOS!$N$3,tabela_registros[TIPO],DADOS!$V$4,tabela_registros[CATEGORIA],receitasvariáveisconsolidadomai[[#This Row],[ATUAL]])</f>
        <v>0</v>
      </c>
      <c r="L98" s="119" t="n">
        <f aca="false">SUMIFS(tabela_registros[VALOR],tabela_registros[MÊS],$AE$1,tabela_registros[DIA],receitasvariáveisconsolidadomai[[#Headers],[8]],tabela_registros[REGISTRO],DADOS!$N$3,tabela_registros[TIPO],DADOS!$V$4,tabela_registros[CATEGORIA],receitasvariáveisconsolidadomai[[#This Row],[ATUAL]])</f>
        <v>0</v>
      </c>
      <c r="M98" s="119" t="n">
        <f aca="false">SUMIFS(tabela_registros[VALOR],tabela_registros[MÊS],$AE$1,tabela_registros[DIA],receitasvariáveisconsolidadomai[[#Headers],[9]],tabela_registros[REGISTRO],DADOS!$N$3,tabela_registros[TIPO],DADOS!$V$4,tabela_registros[CATEGORIA],receitasvariáveisconsolidadomai[[#This Row],[ATUAL]])</f>
        <v>0</v>
      </c>
      <c r="N98" s="119" t="n">
        <f aca="false">SUMIFS(tabela_registros[VALOR],tabela_registros[MÊS],$AE$1,tabela_registros[DIA],receitasvariáveisconsolidadomai[[#Headers],[10]],tabela_registros[REGISTRO],DADOS!$N$3,tabela_registros[TIPO],DADOS!$V$4,tabela_registros[CATEGORIA],receitasvariáveisconsolidadomai[[#This Row],[ATUAL]])</f>
        <v>0</v>
      </c>
      <c r="O98" s="119" t="n">
        <f aca="false">SUMIFS(tabela_registros[VALOR],tabela_registros[MÊS],$AE$1,tabela_registros[DIA],receitasvariáveisconsolidadomai[[#Headers],[11]],tabela_registros[REGISTRO],DADOS!$N$3,tabela_registros[TIPO],DADOS!$V$4,tabela_registros[CATEGORIA],receitasvariáveisconsolidadomai[[#This Row],[ATUAL]])</f>
        <v>0</v>
      </c>
      <c r="P98" s="119" t="n">
        <f aca="false">SUMIFS(tabela_registros[VALOR],tabela_registros[MÊS],$AE$1,tabela_registros[DIA],receitasvariáveisconsolidadomai[[#Headers],[12]],tabela_registros[REGISTRO],DADOS!$N$3,tabela_registros[TIPO],DADOS!$V$4,tabela_registros[CATEGORIA],receitasvariáveisconsolidadomai[[#This Row],[ATUAL]])</f>
        <v>0</v>
      </c>
      <c r="Q98" s="119" t="n">
        <f aca="false">SUMIFS(tabela_registros[VALOR],tabela_registros[MÊS],$AE$1,tabela_registros[DIA],receitasvariáveisconsolidadomai[[#Headers],[13]],tabela_registros[REGISTRO],DADOS!$N$3,tabela_registros[TIPO],DADOS!$V$4,tabela_registros[CATEGORIA],receitasvariáveisconsolidadomai[[#This Row],[ATUAL]])</f>
        <v>0</v>
      </c>
      <c r="R98" s="119" t="n">
        <f aca="false">SUMIFS(tabela_registros[VALOR],tabela_registros[MÊS],$AE$1,tabela_registros[DIA],receitasvariáveisconsolidadomai[[#Headers],[14]],tabela_registros[REGISTRO],DADOS!$N$3,tabela_registros[TIPO],DADOS!$V$4,tabela_registros[CATEGORIA],receitasvariáveisconsolidadomai[[#This Row],[ATUAL]])</f>
        <v>0</v>
      </c>
      <c r="S98" s="119" t="n">
        <f aca="false">SUMIFS(tabela_registros[VALOR],tabela_registros[MÊS],$AE$1,tabela_registros[DIA],receitasvariáveisconsolidadomai[[#Headers],[15]],tabela_registros[REGISTRO],DADOS!$N$3,tabela_registros[TIPO],DADOS!$V$4,tabela_registros[CATEGORIA],receitasvariáveisconsolidadomai[[#This Row],[ATUAL]])</f>
        <v>0</v>
      </c>
      <c r="T98" s="119" t="n">
        <f aca="false">SUMIFS(tabela_registros[VALOR],tabela_registros[MÊS],$AE$1,tabela_registros[DIA],receitasvariáveisconsolidadomai[[#Headers],[16]],tabela_registros[REGISTRO],DADOS!$N$3,tabela_registros[TIPO],DADOS!$V$4,tabela_registros[CATEGORIA],receitasvariáveisconsolidadomai[[#This Row],[ATUAL]])</f>
        <v>0</v>
      </c>
      <c r="U98" s="119" t="n">
        <f aca="false">SUMIFS(tabela_registros[VALOR],tabela_registros[MÊS],$AE$1,tabela_registros[DIA],receitasvariáveisconsolidadomai[[#Headers],[17]],tabela_registros[REGISTRO],DADOS!$N$3,tabela_registros[TIPO],DADOS!$V$4,tabela_registros[CATEGORIA],receitasvariáveisconsolidadomai[[#This Row],[ATUAL]])</f>
        <v>0</v>
      </c>
      <c r="V98" s="119" t="n">
        <f aca="false">SUMIFS(tabela_registros[VALOR],tabela_registros[MÊS],$AE$1,tabela_registros[DIA],receitasvariáveisconsolidadomai[[#Headers],[18]],tabela_registros[REGISTRO],DADOS!$N$3,tabela_registros[TIPO],DADOS!$V$4,tabela_registros[CATEGORIA],receitasvariáveisconsolidadomai[[#This Row],[ATUAL]])</f>
        <v>0</v>
      </c>
      <c r="W98" s="119" t="n">
        <f aca="false">SUMIFS(tabela_registros[VALOR],tabela_registros[MÊS],$AE$1,tabela_registros[DIA],receitasvariáveisconsolidadomai[[#Headers],[19]],tabela_registros[REGISTRO],DADOS!$N$3,tabela_registros[TIPO],DADOS!$V$4,tabela_registros[CATEGORIA],receitasvariáveisconsolidadomai[[#This Row],[ATUAL]])</f>
        <v>0</v>
      </c>
      <c r="X98" s="119" t="n">
        <f aca="false">SUMIFS(tabela_registros[VALOR],tabela_registros[MÊS],$AE$1,tabela_registros[DIA],receitasvariáveisconsolidadomai[[#Headers],[20]],tabela_registros[REGISTRO],DADOS!$N$3,tabela_registros[TIPO],DADOS!$V$4,tabela_registros[CATEGORIA],receitasvariáveisconsolidadomai[[#This Row],[ATUAL]])</f>
        <v>0</v>
      </c>
      <c r="Y98" s="119" t="n">
        <f aca="false">SUMIFS(tabela_registros[VALOR],tabela_registros[MÊS],$AE$1,tabela_registros[DIA],receitasvariáveisconsolidadomai[[#Headers],[21]],tabela_registros[REGISTRO],DADOS!$N$3,tabela_registros[TIPO],DADOS!$V$4,tabela_registros[CATEGORIA],receitasvariáveisconsolidadomai[[#This Row],[ATUAL]])</f>
        <v>0</v>
      </c>
      <c r="Z98" s="119" t="n">
        <f aca="false">SUMIFS(tabela_registros[VALOR],tabela_registros[MÊS],$AE$1,tabela_registros[DIA],receitasvariáveisconsolidadomai[[#Headers],[22]],tabela_registros[REGISTRO],DADOS!$N$3,tabela_registros[TIPO],DADOS!$V$4,tabela_registros[CATEGORIA],receitasvariáveisconsolidadomai[[#This Row],[ATUAL]])</f>
        <v>0</v>
      </c>
      <c r="AA98" s="119" t="n">
        <f aca="false">SUMIFS(tabela_registros[VALOR],tabela_registros[MÊS],$AE$1,tabela_registros[DIA],receitasvariáveisconsolidadomai[[#Headers],[23]],tabela_registros[REGISTRO],DADOS!$N$3,tabela_registros[TIPO],DADOS!$V$4,tabela_registros[CATEGORIA],receitasvariáveisconsolidadomai[[#This Row],[ATUAL]])</f>
        <v>0</v>
      </c>
      <c r="AB98" s="119" t="n">
        <f aca="false">SUMIFS(tabela_registros[VALOR],tabela_registros[MÊS],$AE$1,tabela_registros[DIA],receitasvariáveisconsolidadomai[[#Headers],[24]],tabela_registros[REGISTRO],DADOS!$N$3,tabela_registros[TIPO],DADOS!$V$4,tabela_registros[CATEGORIA],receitasvariáveisconsolidadomai[[#This Row],[ATUAL]])</f>
        <v>0</v>
      </c>
      <c r="AC98" s="119" t="n">
        <f aca="false">SUMIFS(tabela_registros[VALOR],tabela_registros[MÊS],$AE$1,tabela_registros[DIA],receitasvariáveisconsolidadomai[[#Headers],[25]],tabela_registros[REGISTRO],DADOS!$N$3,tabela_registros[TIPO],DADOS!$V$4,tabela_registros[CATEGORIA],receitasvariáveisconsolidadomai[[#This Row],[ATUAL]])</f>
        <v>0</v>
      </c>
      <c r="AD98" s="119" t="n">
        <f aca="false">SUMIFS(tabela_registros[VALOR],tabela_registros[MÊS],$AE$1,tabela_registros[DIA],receitasvariáveisconsolidadomai[[#Headers],[26]],tabela_registros[REGISTRO],DADOS!$N$3,tabela_registros[TIPO],DADOS!$V$4,tabela_registros[CATEGORIA],receitasvariáveisconsolidadomai[[#This Row],[ATUAL]])</f>
        <v>0</v>
      </c>
      <c r="AE98" s="119" t="n">
        <f aca="false">SUMIFS(tabela_registros[VALOR],tabela_registros[MÊS],$AE$1,tabela_registros[DIA],receitasvariáveisconsolidadomai[[#Headers],[27]],tabela_registros[REGISTRO],DADOS!$N$3,tabela_registros[TIPO],DADOS!$V$4,tabela_registros[CATEGORIA],receitasvariáveisconsolidadomai[[#This Row],[ATUAL]])</f>
        <v>0</v>
      </c>
      <c r="AF98" s="119" t="n">
        <f aca="false">SUMIFS(tabela_registros[VALOR],tabela_registros[MÊS],$AE$1,tabela_registros[DIA],receitasvariáveisconsolidadomai[[#Headers],[28]],tabela_registros[REGISTRO],DADOS!$N$3,tabela_registros[TIPO],DADOS!$V$4,tabela_registros[CATEGORIA],receitasvariáveisconsolidadomai[[#This Row],[ATUAL]])</f>
        <v>0</v>
      </c>
      <c r="AG98" s="119" t="n">
        <f aca="false">SUMIFS(tabela_registros[VALOR],tabela_registros[MÊS],$AE$1,tabela_registros[DIA],receitasvariáveisconsolidadomai[[#Headers],[29]],tabela_registros[REGISTRO],DADOS!$N$3,tabela_registros[TIPO],DADOS!$V$4,tabela_registros[CATEGORIA],receitasvariáveisconsolidadomai[[#This Row],[ATUAL]])</f>
        <v>0</v>
      </c>
      <c r="AH98" s="119" t="n">
        <f aca="false">SUMIFS(tabela_registros[VALOR],tabela_registros[MÊS],$AE$1,tabela_registros[DIA],receitasvariáveisconsolidadomai[[#Headers],[30]],tabela_registros[REGISTRO],DADOS!$N$3,tabela_registros[TIPO],DADOS!$V$4,tabela_registros[CATEGORIA],receitasvariáveisconsolidadomai[[#This Row],[ATUAL]])</f>
        <v>0</v>
      </c>
      <c r="AI98" s="217" t="n">
        <f aca="false">SUMIFS(tabela_registros[VALOR],tabela_registros[MÊS],$AE$1,tabela_registros[DIA],receitasvariáveisconsolidadomai[[#Headers],[31]],tabela_registros[REGISTRO],DADOS!$N$3,tabela_registros[TIPO],DADOS!$V$4,tabela_registros[CATEGORIA],receitasvariáveisconsolidadomai[[#This Row],[ATUAL]])</f>
        <v>0</v>
      </c>
      <c r="AJ98" s="149" t="n">
        <f aca="false">SUM(receitasvariáveisconsolidadomai[[#This Row],[1]:[31]])</f>
        <v>0</v>
      </c>
      <c r="AK98" s="165"/>
    </row>
    <row r="99" customFormat="false" ht="19.5" hidden="false" customHeight="true" outlineLevel="0" collapsed="false">
      <c r="B99" s="143"/>
      <c r="C99" s="144" t="str">
        <f aca="false">DADOS!$Z$6</f>
        <v>💲 INVESTIMENTOS</v>
      </c>
      <c r="D99" s="145" t="str">
        <f aca="false">IF(receitasvariáveisconsolidadomai[[#This Row],[TOTAL (R$)]]=0,"",IF(OR(receitasvariáveisconsolidadomai[[#This Row],[TOTAL (R$)]]=LARGE($AJ$96:$AJ$103,1),receitasvariáveisconsolidadomai[[#This Row],[TOTAL (R$)]]=LARGE($AJ$96:$AJ$103,2)),DADOS!$I$9,""))</f>
        <v/>
      </c>
      <c r="E99" s="148" t="n">
        <f aca="false">SUMIFS(tabela_registros[VALOR],tabela_registros[MÊS],$AE$1,tabela_registros[DIA],receitasvariáveisconsolidadomai[[#Headers],[1]],tabela_registros[REGISTRO],DADOS!$N$3,tabela_registros[TIPO],DADOS!$V$4,tabela_registros[CATEGORIA],receitasvariáveisconsolidadomai[[#This Row],[ATUAL]])</f>
        <v>0</v>
      </c>
      <c r="F99" s="119" t="n">
        <f aca="false">SUMIFS(tabela_registros[VALOR],tabela_registros[MÊS],$AE$1,tabela_registros[DIA],receitasvariáveisconsolidadomai[[#Headers],[2]],tabela_registros[REGISTRO],DADOS!$N$3,tabela_registros[TIPO],DADOS!$V$4,tabela_registros[CATEGORIA],receitasvariáveisconsolidadomai[[#This Row],[ATUAL]])</f>
        <v>0</v>
      </c>
      <c r="G99" s="119" t="n">
        <f aca="false">SUMIFS(tabela_registros[VALOR],tabela_registros[MÊS],$AE$1,tabela_registros[DIA],receitasvariáveisconsolidadomai[[#Headers],[3]],tabela_registros[REGISTRO],DADOS!$N$3,tabela_registros[TIPO],DADOS!$V$4,tabela_registros[CATEGORIA],receitasvariáveisconsolidadomai[[#This Row],[ATUAL]])</f>
        <v>0</v>
      </c>
      <c r="H99" s="119" t="n">
        <f aca="false">SUMIFS(tabela_registros[VALOR],tabela_registros[MÊS],$AE$1,tabela_registros[DIA],receitasvariáveisconsolidadomai[[#Headers],[4]],tabela_registros[REGISTRO],DADOS!$N$3,tabela_registros[TIPO],DADOS!$V$4,tabela_registros[CATEGORIA],receitasvariáveisconsolidadomai[[#This Row],[ATUAL]])</f>
        <v>0</v>
      </c>
      <c r="I99" s="119" t="n">
        <f aca="false">SUMIFS(tabela_registros[VALOR],tabela_registros[MÊS],$AE$1,tabela_registros[DIA],receitasvariáveisconsolidadomai[[#Headers],[5]],tabela_registros[REGISTRO],DADOS!$N$3,tabela_registros[TIPO],DADOS!$V$4,tabela_registros[CATEGORIA],receitasvariáveisconsolidadomai[[#This Row],[ATUAL]])</f>
        <v>0</v>
      </c>
      <c r="J99" s="119" t="n">
        <f aca="false">SUMIFS(tabela_registros[VALOR],tabela_registros[MÊS],$AE$1,tabela_registros[DIA],receitasvariáveisconsolidadomai[[#Headers],[6]],tabela_registros[REGISTRO],DADOS!$N$3,tabela_registros[TIPO],DADOS!$V$4,tabela_registros[CATEGORIA],receitasvariáveisconsolidadomai[[#This Row],[ATUAL]])</f>
        <v>0</v>
      </c>
      <c r="K99" s="119" t="n">
        <f aca="false">SUMIFS(tabela_registros[VALOR],tabela_registros[MÊS],$AE$1,tabela_registros[DIA],receitasvariáveisconsolidadomai[[#Headers],[7]],tabela_registros[REGISTRO],DADOS!$N$3,tabela_registros[TIPO],DADOS!$V$4,tabela_registros[CATEGORIA],receitasvariáveisconsolidadomai[[#This Row],[ATUAL]])</f>
        <v>0</v>
      </c>
      <c r="L99" s="119" t="n">
        <f aca="false">SUMIFS(tabela_registros[VALOR],tabela_registros[MÊS],$AE$1,tabela_registros[DIA],receitasvariáveisconsolidadomai[[#Headers],[8]],tabela_registros[REGISTRO],DADOS!$N$3,tabela_registros[TIPO],DADOS!$V$4,tabela_registros[CATEGORIA],receitasvariáveisconsolidadomai[[#This Row],[ATUAL]])</f>
        <v>0</v>
      </c>
      <c r="M99" s="119" t="n">
        <f aca="false">SUMIFS(tabela_registros[VALOR],tabela_registros[MÊS],$AE$1,tabela_registros[DIA],receitasvariáveisconsolidadomai[[#Headers],[9]],tabela_registros[REGISTRO],DADOS!$N$3,tabela_registros[TIPO],DADOS!$V$4,tabela_registros[CATEGORIA],receitasvariáveisconsolidadomai[[#This Row],[ATUAL]])</f>
        <v>0</v>
      </c>
      <c r="N99" s="119" t="n">
        <f aca="false">SUMIFS(tabela_registros[VALOR],tabela_registros[MÊS],$AE$1,tabela_registros[DIA],receitasvariáveisconsolidadomai[[#Headers],[10]],tabela_registros[REGISTRO],DADOS!$N$3,tabela_registros[TIPO],DADOS!$V$4,tabela_registros[CATEGORIA],receitasvariáveisconsolidadomai[[#This Row],[ATUAL]])</f>
        <v>0</v>
      </c>
      <c r="O99" s="119" t="n">
        <f aca="false">SUMIFS(tabela_registros[VALOR],tabela_registros[MÊS],$AE$1,tabela_registros[DIA],receitasvariáveisconsolidadomai[[#Headers],[11]],tabela_registros[REGISTRO],DADOS!$N$3,tabela_registros[TIPO],DADOS!$V$4,tabela_registros[CATEGORIA],receitasvariáveisconsolidadomai[[#This Row],[ATUAL]])</f>
        <v>0</v>
      </c>
      <c r="P99" s="119" t="n">
        <f aca="false">SUMIFS(tabela_registros[VALOR],tabela_registros[MÊS],$AE$1,tabela_registros[DIA],receitasvariáveisconsolidadomai[[#Headers],[12]],tabela_registros[REGISTRO],DADOS!$N$3,tabela_registros[TIPO],DADOS!$V$4,tabela_registros[CATEGORIA],receitasvariáveisconsolidadomai[[#This Row],[ATUAL]])</f>
        <v>0</v>
      </c>
      <c r="Q99" s="119" t="n">
        <f aca="false">SUMIFS(tabela_registros[VALOR],tabela_registros[MÊS],$AE$1,tabela_registros[DIA],receitasvariáveisconsolidadomai[[#Headers],[13]],tabela_registros[REGISTRO],DADOS!$N$3,tabela_registros[TIPO],DADOS!$V$4,tabela_registros[CATEGORIA],receitasvariáveisconsolidadomai[[#This Row],[ATUAL]])</f>
        <v>0</v>
      </c>
      <c r="R99" s="119" t="n">
        <f aca="false">SUMIFS(tabela_registros[VALOR],tabela_registros[MÊS],$AE$1,tabela_registros[DIA],receitasvariáveisconsolidadomai[[#Headers],[14]],tabela_registros[REGISTRO],DADOS!$N$3,tabela_registros[TIPO],DADOS!$V$4,tabela_registros[CATEGORIA],receitasvariáveisconsolidadomai[[#This Row],[ATUAL]])</f>
        <v>0</v>
      </c>
      <c r="S99" s="119" t="n">
        <f aca="false">SUMIFS(tabela_registros[VALOR],tabela_registros[MÊS],$AE$1,tabela_registros[DIA],receitasvariáveisconsolidadomai[[#Headers],[15]],tabela_registros[REGISTRO],DADOS!$N$3,tabela_registros[TIPO],DADOS!$V$4,tabela_registros[CATEGORIA],receitasvariáveisconsolidadomai[[#This Row],[ATUAL]])</f>
        <v>0</v>
      </c>
      <c r="T99" s="119" t="n">
        <f aca="false">SUMIFS(tabela_registros[VALOR],tabela_registros[MÊS],$AE$1,tabela_registros[DIA],receitasvariáveisconsolidadomai[[#Headers],[16]],tabela_registros[REGISTRO],DADOS!$N$3,tabela_registros[TIPO],DADOS!$V$4,tabela_registros[CATEGORIA],receitasvariáveisconsolidadomai[[#This Row],[ATUAL]])</f>
        <v>0</v>
      </c>
      <c r="U99" s="119" t="n">
        <f aca="false">SUMIFS(tabela_registros[VALOR],tabela_registros[MÊS],$AE$1,tabela_registros[DIA],receitasvariáveisconsolidadomai[[#Headers],[17]],tabela_registros[REGISTRO],DADOS!$N$3,tabela_registros[TIPO],DADOS!$V$4,tabela_registros[CATEGORIA],receitasvariáveisconsolidadomai[[#This Row],[ATUAL]])</f>
        <v>0</v>
      </c>
      <c r="V99" s="119" t="n">
        <f aca="false">SUMIFS(tabela_registros[VALOR],tabela_registros[MÊS],$AE$1,tabela_registros[DIA],receitasvariáveisconsolidadomai[[#Headers],[18]],tabela_registros[REGISTRO],DADOS!$N$3,tabela_registros[TIPO],DADOS!$V$4,tabela_registros[CATEGORIA],receitasvariáveisconsolidadomai[[#This Row],[ATUAL]])</f>
        <v>0</v>
      </c>
      <c r="W99" s="119" t="n">
        <f aca="false">SUMIFS(tabela_registros[VALOR],tabela_registros[MÊS],$AE$1,tabela_registros[DIA],receitasvariáveisconsolidadomai[[#Headers],[19]],tabela_registros[REGISTRO],DADOS!$N$3,tabela_registros[TIPO],DADOS!$V$4,tabela_registros[CATEGORIA],receitasvariáveisconsolidadomai[[#This Row],[ATUAL]])</f>
        <v>0</v>
      </c>
      <c r="X99" s="119" t="n">
        <f aca="false">SUMIFS(tabela_registros[VALOR],tabela_registros[MÊS],$AE$1,tabela_registros[DIA],receitasvariáveisconsolidadomai[[#Headers],[20]],tabela_registros[REGISTRO],DADOS!$N$3,tabela_registros[TIPO],DADOS!$V$4,tabela_registros[CATEGORIA],receitasvariáveisconsolidadomai[[#This Row],[ATUAL]])</f>
        <v>0</v>
      </c>
      <c r="Y99" s="119" t="n">
        <f aca="false">SUMIFS(tabela_registros[VALOR],tabela_registros[MÊS],$AE$1,tabela_registros[DIA],receitasvariáveisconsolidadomai[[#Headers],[21]],tabela_registros[REGISTRO],DADOS!$N$3,tabela_registros[TIPO],DADOS!$V$4,tabela_registros[CATEGORIA],receitasvariáveisconsolidadomai[[#This Row],[ATUAL]])</f>
        <v>0</v>
      </c>
      <c r="Z99" s="119" t="n">
        <f aca="false">SUMIFS(tabela_registros[VALOR],tabela_registros[MÊS],$AE$1,tabela_registros[DIA],receitasvariáveisconsolidadomai[[#Headers],[22]],tabela_registros[REGISTRO],DADOS!$N$3,tabela_registros[TIPO],DADOS!$V$4,tabela_registros[CATEGORIA],receitasvariáveisconsolidadomai[[#This Row],[ATUAL]])</f>
        <v>0</v>
      </c>
      <c r="AA99" s="119" t="n">
        <f aca="false">SUMIFS(tabela_registros[VALOR],tabela_registros[MÊS],$AE$1,tabela_registros[DIA],receitasvariáveisconsolidadomai[[#Headers],[23]],tabela_registros[REGISTRO],DADOS!$N$3,tabela_registros[TIPO],DADOS!$V$4,tabela_registros[CATEGORIA],receitasvariáveisconsolidadomai[[#This Row],[ATUAL]])</f>
        <v>0</v>
      </c>
      <c r="AB99" s="119" t="n">
        <f aca="false">SUMIFS(tabela_registros[VALOR],tabela_registros[MÊS],$AE$1,tabela_registros[DIA],receitasvariáveisconsolidadomai[[#Headers],[24]],tabela_registros[REGISTRO],DADOS!$N$3,tabela_registros[TIPO],DADOS!$V$4,tabela_registros[CATEGORIA],receitasvariáveisconsolidadomai[[#This Row],[ATUAL]])</f>
        <v>0</v>
      </c>
      <c r="AC99" s="119" t="n">
        <f aca="false">SUMIFS(tabela_registros[VALOR],tabela_registros[MÊS],$AE$1,tabela_registros[DIA],receitasvariáveisconsolidadomai[[#Headers],[25]],tabela_registros[REGISTRO],DADOS!$N$3,tabela_registros[TIPO],DADOS!$V$4,tabela_registros[CATEGORIA],receitasvariáveisconsolidadomai[[#This Row],[ATUAL]])</f>
        <v>0</v>
      </c>
      <c r="AD99" s="119" t="n">
        <f aca="false">SUMIFS(tabela_registros[VALOR],tabela_registros[MÊS],$AE$1,tabela_registros[DIA],receitasvariáveisconsolidadomai[[#Headers],[26]],tabela_registros[REGISTRO],DADOS!$N$3,tabela_registros[TIPO],DADOS!$V$4,tabela_registros[CATEGORIA],receitasvariáveisconsolidadomai[[#This Row],[ATUAL]])</f>
        <v>0</v>
      </c>
      <c r="AE99" s="119" t="n">
        <f aca="false">SUMIFS(tabela_registros[VALOR],tabela_registros[MÊS],$AE$1,tabela_registros[DIA],receitasvariáveisconsolidadomai[[#Headers],[27]],tabela_registros[REGISTRO],DADOS!$N$3,tabela_registros[TIPO],DADOS!$V$4,tabela_registros[CATEGORIA],receitasvariáveisconsolidadomai[[#This Row],[ATUAL]])</f>
        <v>0</v>
      </c>
      <c r="AF99" s="119" t="n">
        <f aca="false">SUMIFS(tabela_registros[VALOR],tabela_registros[MÊS],$AE$1,tabela_registros[DIA],receitasvariáveisconsolidadomai[[#Headers],[28]],tabela_registros[REGISTRO],DADOS!$N$3,tabela_registros[TIPO],DADOS!$V$4,tabela_registros[CATEGORIA],receitasvariáveisconsolidadomai[[#This Row],[ATUAL]])</f>
        <v>0</v>
      </c>
      <c r="AG99" s="119" t="n">
        <f aca="false">SUMIFS(tabela_registros[VALOR],tabela_registros[MÊS],$AE$1,tabela_registros[DIA],receitasvariáveisconsolidadomai[[#Headers],[29]],tabela_registros[REGISTRO],DADOS!$N$3,tabela_registros[TIPO],DADOS!$V$4,tabela_registros[CATEGORIA],receitasvariáveisconsolidadomai[[#This Row],[ATUAL]])</f>
        <v>0</v>
      </c>
      <c r="AH99" s="119" t="n">
        <f aca="false">SUMIFS(tabela_registros[VALOR],tabela_registros[MÊS],$AE$1,tabela_registros[DIA],receitasvariáveisconsolidadomai[[#Headers],[30]],tabela_registros[REGISTRO],DADOS!$N$3,tabela_registros[TIPO],DADOS!$V$4,tabela_registros[CATEGORIA],receitasvariáveisconsolidadomai[[#This Row],[ATUAL]])</f>
        <v>0</v>
      </c>
      <c r="AI99" s="217" t="n">
        <f aca="false">SUMIFS(tabela_registros[VALOR],tabela_registros[MÊS],$AE$1,tabela_registros[DIA],receitasvariáveisconsolidadomai[[#Headers],[31]],tabela_registros[REGISTRO],DADOS!$N$3,tabela_registros[TIPO],DADOS!$V$4,tabela_registros[CATEGORIA],receitasvariáveisconsolidadomai[[#This Row],[ATUAL]])</f>
        <v>0</v>
      </c>
      <c r="AJ99" s="149" t="n">
        <f aca="false">SUM(receitasvariáveisconsolidadomai[[#This Row],[1]:[31]])</f>
        <v>0</v>
      </c>
      <c r="AK99" s="165"/>
    </row>
    <row r="100" customFormat="false" ht="19.5" hidden="false" customHeight="true" outlineLevel="0" collapsed="false">
      <c r="B100" s="143"/>
      <c r="C100" s="144" t="str">
        <f aca="false">DADOS!$Z$7</f>
        <v>🧾 NOTA DE SERVIÇO</v>
      </c>
      <c r="D100" s="145" t="str">
        <f aca="false">IF(receitasvariáveisconsolidadomai[[#This Row],[TOTAL (R$)]]=0,"",IF(OR(receitasvariáveisconsolidadomai[[#This Row],[TOTAL (R$)]]=LARGE($AJ$96:$AJ$103,1),receitasvariáveisconsolidadomai[[#This Row],[TOTAL (R$)]]=LARGE($AJ$96:$AJ$103,2)),DADOS!$I$9,""))</f>
        <v/>
      </c>
      <c r="E100" s="148" t="n">
        <f aca="false">SUMIFS(tabela_registros[VALOR],tabela_registros[MÊS],$AE$1,tabela_registros[DIA],receitasvariáveisconsolidadomai[[#Headers],[1]],tabela_registros[REGISTRO],DADOS!$N$3,tabela_registros[TIPO],DADOS!$V$4,tabela_registros[CATEGORIA],receitasvariáveisconsolidadomai[[#This Row],[ATUAL]])</f>
        <v>0</v>
      </c>
      <c r="F100" s="119" t="n">
        <f aca="false">SUMIFS(tabela_registros[VALOR],tabela_registros[MÊS],$AE$1,tabela_registros[DIA],receitasvariáveisconsolidadomai[[#Headers],[2]],tabela_registros[REGISTRO],DADOS!$N$3,tabela_registros[TIPO],DADOS!$V$4,tabela_registros[CATEGORIA],receitasvariáveisconsolidadomai[[#This Row],[ATUAL]])</f>
        <v>0</v>
      </c>
      <c r="G100" s="119" t="n">
        <f aca="false">SUMIFS(tabela_registros[VALOR],tabela_registros[MÊS],$AE$1,tabela_registros[DIA],receitasvariáveisconsolidadomai[[#Headers],[3]],tabela_registros[REGISTRO],DADOS!$N$3,tabela_registros[TIPO],DADOS!$V$4,tabela_registros[CATEGORIA],receitasvariáveisconsolidadomai[[#This Row],[ATUAL]])</f>
        <v>0</v>
      </c>
      <c r="H100" s="119" t="n">
        <f aca="false">SUMIFS(tabela_registros[VALOR],tabela_registros[MÊS],$AE$1,tabela_registros[DIA],receitasvariáveisconsolidadomai[[#Headers],[4]],tabela_registros[REGISTRO],DADOS!$N$3,tabela_registros[TIPO],DADOS!$V$4,tabela_registros[CATEGORIA],receitasvariáveisconsolidadomai[[#This Row],[ATUAL]])</f>
        <v>0</v>
      </c>
      <c r="I100" s="119" t="n">
        <f aca="false">SUMIFS(tabela_registros[VALOR],tabela_registros[MÊS],$AE$1,tabela_registros[DIA],receitasvariáveisconsolidadomai[[#Headers],[5]],tabela_registros[REGISTRO],DADOS!$N$3,tabela_registros[TIPO],DADOS!$V$4,tabela_registros[CATEGORIA],receitasvariáveisconsolidadomai[[#This Row],[ATUAL]])</f>
        <v>0</v>
      </c>
      <c r="J100" s="119" t="n">
        <f aca="false">SUMIFS(tabela_registros[VALOR],tabela_registros[MÊS],$AE$1,tabela_registros[DIA],receitasvariáveisconsolidadomai[[#Headers],[6]],tabela_registros[REGISTRO],DADOS!$N$3,tabela_registros[TIPO],DADOS!$V$4,tabela_registros[CATEGORIA],receitasvariáveisconsolidadomai[[#This Row],[ATUAL]])</f>
        <v>0</v>
      </c>
      <c r="K100" s="119" t="n">
        <f aca="false">SUMIFS(tabela_registros[VALOR],tabela_registros[MÊS],$AE$1,tabela_registros[DIA],receitasvariáveisconsolidadomai[[#Headers],[7]],tabela_registros[REGISTRO],DADOS!$N$3,tabela_registros[TIPO],DADOS!$V$4,tabela_registros[CATEGORIA],receitasvariáveisconsolidadomai[[#This Row],[ATUAL]])</f>
        <v>0</v>
      </c>
      <c r="L100" s="119" t="n">
        <f aca="false">SUMIFS(tabela_registros[VALOR],tabela_registros[MÊS],$AE$1,tabela_registros[DIA],receitasvariáveisconsolidadomai[[#Headers],[8]],tabela_registros[REGISTRO],DADOS!$N$3,tabela_registros[TIPO],DADOS!$V$4,tabela_registros[CATEGORIA],receitasvariáveisconsolidadomai[[#This Row],[ATUAL]])</f>
        <v>0</v>
      </c>
      <c r="M100" s="119" t="n">
        <f aca="false">SUMIFS(tabela_registros[VALOR],tabela_registros[MÊS],$AE$1,tabela_registros[DIA],receitasvariáveisconsolidadomai[[#Headers],[9]],tabela_registros[REGISTRO],DADOS!$N$3,tabela_registros[TIPO],DADOS!$V$4,tabela_registros[CATEGORIA],receitasvariáveisconsolidadomai[[#This Row],[ATUAL]])</f>
        <v>0</v>
      </c>
      <c r="N100" s="119" t="n">
        <f aca="false">SUMIFS(tabela_registros[VALOR],tabela_registros[MÊS],$AE$1,tabela_registros[DIA],receitasvariáveisconsolidadomai[[#Headers],[10]],tabela_registros[REGISTRO],DADOS!$N$3,tabela_registros[TIPO],DADOS!$V$4,tabela_registros[CATEGORIA],receitasvariáveisconsolidadomai[[#This Row],[ATUAL]])</f>
        <v>0</v>
      </c>
      <c r="O100" s="119" t="n">
        <f aca="false">SUMIFS(tabela_registros[VALOR],tabela_registros[MÊS],$AE$1,tabela_registros[DIA],receitasvariáveisconsolidadomai[[#Headers],[11]],tabela_registros[REGISTRO],DADOS!$N$3,tabela_registros[TIPO],DADOS!$V$4,tabela_registros[CATEGORIA],receitasvariáveisconsolidadomai[[#This Row],[ATUAL]])</f>
        <v>0</v>
      </c>
      <c r="P100" s="119" t="n">
        <f aca="false">SUMIFS(tabela_registros[VALOR],tabela_registros[MÊS],$AE$1,tabela_registros[DIA],receitasvariáveisconsolidadomai[[#Headers],[12]],tabela_registros[REGISTRO],DADOS!$N$3,tabela_registros[TIPO],DADOS!$V$4,tabela_registros[CATEGORIA],receitasvariáveisconsolidadomai[[#This Row],[ATUAL]])</f>
        <v>0</v>
      </c>
      <c r="Q100" s="119" t="n">
        <f aca="false">SUMIFS(tabela_registros[VALOR],tabela_registros[MÊS],$AE$1,tabela_registros[DIA],receitasvariáveisconsolidadomai[[#Headers],[13]],tabela_registros[REGISTRO],DADOS!$N$3,tabela_registros[TIPO],DADOS!$V$4,tabela_registros[CATEGORIA],receitasvariáveisconsolidadomai[[#This Row],[ATUAL]])</f>
        <v>0</v>
      </c>
      <c r="R100" s="119" t="n">
        <f aca="false">SUMIFS(tabela_registros[VALOR],tabela_registros[MÊS],$AE$1,tabela_registros[DIA],receitasvariáveisconsolidadomai[[#Headers],[14]],tabela_registros[REGISTRO],DADOS!$N$3,tabela_registros[TIPO],DADOS!$V$4,tabela_registros[CATEGORIA],receitasvariáveisconsolidadomai[[#This Row],[ATUAL]])</f>
        <v>0</v>
      </c>
      <c r="S100" s="119" t="n">
        <f aca="false">SUMIFS(tabela_registros[VALOR],tabela_registros[MÊS],$AE$1,tabela_registros[DIA],receitasvariáveisconsolidadomai[[#Headers],[15]],tabela_registros[REGISTRO],DADOS!$N$3,tabela_registros[TIPO],DADOS!$V$4,tabela_registros[CATEGORIA],receitasvariáveisconsolidadomai[[#This Row],[ATUAL]])</f>
        <v>0</v>
      </c>
      <c r="T100" s="119" t="n">
        <f aca="false">SUMIFS(tabela_registros[VALOR],tabela_registros[MÊS],$AE$1,tabela_registros[DIA],receitasvariáveisconsolidadomai[[#Headers],[16]],tabela_registros[REGISTRO],DADOS!$N$3,tabela_registros[TIPO],DADOS!$V$4,tabela_registros[CATEGORIA],receitasvariáveisconsolidadomai[[#This Row],[ATUAL]])</f>
        <v>0</v>
      </c>
      <c r="U100" s="119" t="n">
        <f aca="false">SUMIFS(tabela_registros[VALOR],tabela_registros[MÊS],$AE$1,tabela_registros[DIA],receitasvariáveisconsolidadomai[[#Headers],[17]],tabela_registros[REGISTRO],DADOS!$N$3,tabela_registros[TIPO],DADOS!$V$4,tabela_registros[CATEGORIA],receitasvariáveisconsolidadomai[[#This Row],[ATUAL]])</f>
        <v>0</v>
      </c>
      <c r="V100" s="119" t="n">
        <f aca="false">SUMIFS(tabela_registros[VALOR],tabela_registros[MÊS],$AE$1,tabela_registros[DIA],receitasvariáveisconsolidadomai[[#Headers],[18]],tabela_registros[REGISTRO],DADOS!$N$3,tabela_registros[TIPO],DADOS!$V$4,tabela_registros[CATEGORIA],receitasvariáveisconsolidadomai[[#This Row],[ATUAL]])</f>
        <v>0</v>
      </c>
      <c r="W100" s="119" t="n">
        <f aca="false">SUMIFS(tabela_registros[VALOR],tabela_registros[MÊS],$AE$1,tabela_registros[DIA],receitasvariáveisconsolidadomai[[#Headers],[19]],tabela_registros[REGISTRO],DADOS!$N$3,tabela_registros[TIPO],DADOS!$V$4,tabela_registros[CATEGORIA],receitasvariáveisconsolidadomai[[#This Row],[ATUAL]])</f>
        <v>0</v>
      </c>
      <c r="X100" s="119" t="n">
        <f aca="false">SUMIFS(tabela_registros[VALOR],tabela_registros[MÊS],$AE$1,tabela_registros[DIA],receitasvariáveisconsolidadomai[[#Headers],[20]],tabela_registros[REGISTRO],DADOS!$N$3,tabela_registros[TIPO],DADOS!$V$4,tabela_registros[CATEGORIA],receitasvariáveisconsolidadomai[[#This Row],[ATUAL]])</f>
        <v>0</v>
      </c>
      <c r="Y100" s="119" t="n">
        <f aca="false">SUMIFS(tabela_registros[VALOR],tabela_registros[MÊS],$AE$1,tabela_registros[DIA],receitasvariáveisconsolidadomai[[#Headers],[21]],tabela_registros[REGISTRO],DADOS!$N$3,tabela_registros[TIPO],DADOS!$V$4,tabela_registros[CATEGORIA],receitasvariáveisconsolidadomai[[#This Row],[ATUAL]])</f>
        <v>0</v>
      </c>
      <c r="Z100" s="119" t="n">
        <f aca="false">SUMIFS(tabela_registros[VALOR],tabela_registros[MÊS],$AE$1,tabela_registros[DIA],receitasvariáveisconsolidadomai[[#Headers],[22]],tabela_registros[REGISTRO],DADOS!$N$3,tabela_registros[TIPO],DADOS!$V$4,tabela_registros[CATEGORIA],receitasvariáveisconsolidadomai[[#This Row],[ATUAL]])</f>
        <v>0</v>
      </c>
      <c r="AA100" s="119" t="n">
        <f aca="false">SUMIFS(tabela_registros[VALOR],tabela_registros[MÊS],$AE$1,tabela_registros[DIA],receitasvariáveisconsolidadomai[[#Headers],[23]],tabela_registros[REGISTRO],DADOS!$N$3,tabela_registros[TIPO],DADOS!$V$4,tabela_registros[CATEGORIA],receitasvariáveisconsolidadomai[[#This Row],[ATUAL]])</f>
        <v>0</v>
      </c>
      <c r="AB100" s="119" t="n">
        <f aca="false">SUMIFS(tabela_registros[VALOR],tabela_registros[MÊS],$AE$1,tabela_registros[DIA],receitasvariáveisconsolidadomai[[#Headers],[24]],tabela_registros[REGISTRO],DADOS!$N$3,tabela_registros[TIPO],DADOS!$V$4,tabela_registros[CATEGORIA],receitasvariáveisconsolidadomai[[#This Row],[ATUAL]])</f>
        <v>0</v>
      </c>
      <c r="AC100" s="119" t="n">
        <f aca="false">SUMIFS(tabela_registros[VALOR],tabela_registros[MÊS],$AE$1,tabela_registros[DIA],receitasvariáveisconsolidadomai[[#Headers],[25]],tabela_registros[REGISTRO],DADOS!$N$3,tabela_registros[TIPO],DADOS!$V$4,tabela_registros[CATEGORIA],receitasvariáveisconsolidadomai[[#This Row],[ATUAL]])</f>
        <v>0</v>
      </c>
      <c r="AD100" s="119" t="n">
        <f aca="false">SUMIFS(tabela_registros[VALOR],tabela_registros[MÊS],$AE$1,tabela_registros[DIA],receitasvariáveisconsolidadomai[[#Headers],[26]],tabela_registros[REGISTRO],DADOS!$N$3,tabela_registros[TIPO],DADOS!$V$4,tabela_registros[CATEGORIA],receitasvariáveisconsolidadomai[[#This Row],[ATUAL]])</f>
        <v>0</v>
      </c>
      <c r="AE100" s="119" t="n">
        <f aca="false">SUMIFS(tabela_registros[VALOR],tabela_registros[MÊS],$AE$1,tabela_registros[DIA],receitasvariáveisconsolidadomai[[#Headers],[27]],tabela_registros[REGISTRO],DADOS!$N$3,tabela_registros[TIPO],DADOS!$V$4,tabela_registros[CATEGORIA],receitasvariáveisconsolidadomai[[#This Row],[ATUAL]])</f>
        <v>0</v>
      </c>
      <c r="AF100" s="119" t="n">
        <f aca="false">SUMIFS(tabela_registros[VALOR],tabela_registros[MÊS],$AE$1,tabela_registros[DIA],receitasvariáveisconsolidadomai[[#Headers],[28]],tabela_registros[REGISTRO],DADOS!$N$3,tabela_registros[TIPO],DADOS!$V$4,tabela_registros[CATEGORIA],receitasvariáveisconsolidadomai[[#This Row],[ATUAL]])</f>
        <v>0</v>
      </c>
      <c r="AG100" s="119" t="n">
        <f aca="false">SUMIFS(tabela_registros[VALOR],tabela_registros[MÊS],$AE$1,tabela_registros[DIA],receitasvariáveisconsolidadomai[[#Headers],[29]],tabela_registros[REGISTRO],DADOS!$N$3,tabela_registros[TIPO],DADOS!$V$4,tabela_registros[CATEGORIA],receitasvariáveisconsolidadomai[[#This Row],[ATUAL]])</f>
        <v>0</v>
      </c>
      <c r="AH100" s="119" t="n">
        <f aca="false">SUMIFS(tabela_registros[VALOR],tabela_registros[MÊS],$AE$1,tabela_registros[DIA],receitasvariáveisconsolidadomai[[#Headers],[30]],tabela_registros[REGISTRO],DADOS!$N$3,tabela_registros[TIPO],DADOS!$V$4,tabela_registros[CATEGORIA],receitasvariáveisconsolidadomai[[#This Row],[ATUAL]])</f>
        <v>0</v>
      </c>
      <c r="AI100" s="217" t="n">
        <f aca="false">SUMIFS(tabela_registros[VALOR],tabela_registros[MÊS],$AE$1,tabela_registros[DIA],receitasvariáveisconsolidadomai[[#Headers],[31]],tabela_registros[REGISTRO],DADOS!$N$3,tabela_registros[TIPO],DADOS!$V$4,tabela_registros[CATEGORIA],receitasvariáveisconsolidadomai[[#This Row],[ATUAL]])</f>
        <v>0</v>
      </c>
      <c r="AJ100" s="237" t="n">
        <f aca="false">SUM(receitasvariáveisconsolidadomai[[#This Row],[1]:[31]])</f>
        <v>0</v>
      </c>
      <c r="AK100" s="165"/>
    </row>
    <row r="101" customFormat="false" ht="19.5" hidden="false" customHeight="true" outlineLevel="0" collapsed="false">
      <c r="B101" s="143"/>
      <c r="C101" s="144" t="str">
        <f aca="false">DADOS!$Z$8</f>
        <v>🎁 PRESENTE</v>
      </c>
      <c r="D101" s="145" t="str">
        <f aca="false">IF(receitasvariáveisconsolidadomai[[#This Row],[TOTAL (R$)]]=0,"",IF(OR(receitasvariáveisconsolidadomai[[#This Row],[TOTAL (R$)]]=LARGE($AJ$96:$AJ$103,1),receitasvariáveisconsolidadomai[[#This Row],[TOTAL (R$)]]=LARGE($AJ$96:$AJ$103,2)),DADOS!$I$9,""))</f>
        <v/>
      </c>
      <c r="E101" s="148" t="n">
        <f aca="false">SUMIFS(tabela_registros[VALOR],tabela_registros[MÊS],$AE$1,tabela_registros[DIA],receitasvariáveisconsolidadomai[[#Headers],[1]],tabela_registros[REGISTRO],DADOS!$N$3,tabela_registros[TIPO],DADOS!$V$4,tabela_registros[CATEGORIA],receitasvariáveisconsolidadomai[[#This Row],[ATUAL]])</f>
        <v>0</v>
      </c>
      <c r="F101" s="119" t="n">
        <f aca="false">SUMIFS(tabela_registros[VALOR],tabela_registros[MÊS],$AE$1,tabela_registros[DIA],receitasvariáveisconsolidadomai[[#Headers],[2]],tabela_registros[REGISTRO],DADOS!$N$3,tabela_registros[TIPO],DADOS!$V$4,tabela_registros[CATEGORIA],receitasvariáveisconsolidadomai[[#This Row],[ATUAL]])</f>
        <v>0</v>
      </c>
      <c r="G101" s="119" t="n">
        <f aca="false">SUMIFS(tabela_registros[VALOR],tabela_registros[MÊS],$AE$1,tabela_registros[DIA],receitasvariáveisconsolidadomai[[#Headers],[3]],tabela_registros[REGISTRO],DADOS!$N$3,tabela_registros[TIPO],DADOS!$V$4,tabela_registros[CATEGORIA],receitasvariáveisconsolidadomai[[#This Row],[ATUAL]])</f>
        <v>0</v>
      </c>
      <c r="H101" s="119" t="n">
        <f aca="false">SUMIFS(tabela_registros[VALOR],tabela_registros[MÊS],$AE$1,tabela_registros[DIA],receitasvariáveisconsolidadomai[[#Headers],[4]],tabela_registros[REGISTRO],DADOS!$N$3,tabela_registros[TIPO],DADOS!$V$4,tabela_registros[CATEGORIA],receitasvariáveisconsolidadomai[[#This Row],[ATUAL]])</f>
        <v>0</v>
      </c>
      <c r="I101" s="119" t="n">
        <f aca="false">SUMIFS(tabela_registros[VALOR],tabela_registros[MÊS],$AE$1,tabela_registros[DIA],receitasvariáveisconsolidadomai[[#Headers],[5]],tabela_registros[REGISTRO],DADOS!$N$3,tabela_registros[TIPO],DADOS!$V$4,tabela_registros[CATEGORIA],receitasvariáveisconsolidadomai[[#This Row],[ATUAL]])</f>
        <v>0</v>
      </c>
      <c r="J101" s="119" t="n">
        <f aca="false">SUMIFS(tabela_registros[VALOR],tabela_registros[MÊS],$AE$1,tabela_registros[DIA],receitasvariáveisconsolidadomai[[#Headers],[6]],tabela_registros[REGISTRO],DADOS!$N$3,tabela_registros[TIPO],DADOS!$V$4,tabela_registros[CATEGORIA],receitasvariáveisconsolidadomai[[#This Row],[ATUAL]])</f>
        <v>0</v>
      </c>
      <c r="K101" s="119" t="n">
        <f aca="false">SUMIFS(tabela_registros[VALOR],tabela_registros[MÊS],$AE$1,tabela_registros[DIA],receitasvariáveisconsolidadomai[[#Headers],[7]],tabela_registros[REGISTRO],DADOS!$N$3,tabela_registros[TIPO],DADOS!$V$4,tabela_registros[CATEGORIA],receitasvariáveisconsolidadomai[[#This Row],[ATUAL]])</f>
        <v>0</v>
      </c>
      <c r="L101" s="119" t="n">
        <f aca="false">SUMIFS(tabela_registros[VALOR],tabela_registros[MÊS],$AE$1,tabela_registros[DIA],receitasvariáveisconsolidadomai[[#Headers],[8]],tabela_registros[REGISTRO],DADOS!$N$3,tabela_registros[TIPO],DADOS!$V$4,tabela_registros[CATEGORIA],receitasvariáveisconsolidadomai[[#This Row],[ATUAL]])</f>
        <v>0</v>
      </c>
      <c r="M101" s="119" t="n">
        <f aca="false">SUMIFS(tabela_registros[VALOR],tabela_registros[MÊS],$AE$1,tabela_registros[DIA],receitasvariáveisconsolidadomai[[#Headers],[9]],tabela_registros[REGISTRO],DADOS!$N$3,tabela_registros[TIPO],DADOS!$V$4,tabela_registros[CATEGORIA],receitasvariáveisconsolidadomai[[#This Row],[ATUAL]])</f>
        <v>0</v>
      </c>
      <c r="N101" s="119" t="n">
        <f aca="false">SUMIFS(tabela_registros[VALOR],tabela_registros[MÊS],$AE$1,tabela_registros[DIA],receitasvariáveisconsolidadomai[[#Headers],[10]],tabela_registros[REGISTRO],DADOS!$N$3,tabela_registros[TIPO],DADOS!$V$4,tabela_registros[CATEGORIA],receitasvariáveisconsolidadomai[[#This Row],[ATUAL]])</f>
        <v>0</v>
      </c>
      <c r="O101" s="119" t="n">
        <f aca="false">SUMIFS(tabela_registros[VALOR],tabela_registros[MÊS],$AE$1,tabela_registros[DIA],receitasvariáveisconsolidadomai[[#Headers],[11]],tabela_registros[REGISTRO],DADOS!$N$3,tabela_registros[TIPO],DADOS!$V$4,tabela_registros[CATEGORIA],receitasvariáveisconsolidadomai[[#This Row],[ATUAL]])</f>
        <v>0</v>
      </c>
      <c r="P101" s="119" t="n">
        <f aca="false">SUMIFS(tabela_registros[VALOR],tabela_registros[MÊS],$AE$1,tabela_registros[DIA],receitasvariáveisconsolidadomai[[#Headers],[12]],tabela_registros[REGISTRO],DADOS!$N$3,tabela_registros[TIPO],DADOS!$V$4,tabela_registros[CATEGORIA],receitasvariáveisconsolidadomai[[#This Row],[ATUAL]])</f>
        <v>0</v>
      </c>
      <c r="Q101" s="119" t="n">
        <f aca="false">SUMIFS(tabela_registros[VALOR],tabela_registros[MÊS],$AE$1,tabela_registros[DIA],receitasvariáveisconsolidadomai[[#Headers],[13]],tabela_registros[REGISTRO],DADOS!$N$3,tabela_registros[TIPO],DADOS!$V$4,tabela_registros[CATEGORIA],receitasvariáveisconsolidadomai[[#This Row],[ATUAL]])</f>
        <v>0</v>
      </c>
      <c r="R101" s="119" t="n">
        <f aca="false">SUMIFS(tabela_registros[VALOR],tabela_registros[MÊS],$AE$1,tabela_registros[DIA],receitasvariáveisconsolidadomai[[#Headers],[14]],tabela_registros[REGISTRO],DADOS!$N$3,tabela_registros[TIPO],DADOS!$V$4,tabela_registros[CATEGORIA],receitasvariáveisconsolidadomai[[#This Row],[ATUAL]])</f>
        <v>0</v>
      </c>
      <c r="S101" s="119" t="n">
        <f aca="false">SUMIFS(tabela_registros[VALOR],tabela_registros[MÊS],$AE$1,tabela_registros[DIA],receitasvariáveisconsolidadomai[[#Headers],[15]],tabela_registros[REGISTRO],DADOS!$N$3,tabela_registros[TIPO],DADOS!$V$4,tabela_registros[CATEGORIA],receitasvariáveisconsolidadomai[[#This Row],[ATUAL]])</f>
        <v>0</v>
      </c>
      <c r="T101" s="119" t="n">
        <f aca="false">SUMIFS(tabela_registros[VALOR],tabela_registros[MÊS],$AE$1,tabela_registros[DIA],receitasvariáveisconsolidadomai[[#Headers],[16]],tabela_registros[REGISTRO],DADOS!$N$3,tabela_registros[TIPO],DADOS!$V$4,tabela_registros[CATEGORIA],receitasvariáveisconsolidadomai[[#This Row],[ATUAL]])</f>
        <v>0</v>
      </c>
      <c r="U101" s="119" t="n">
        <f aca="false">SUMIFS(tabela_registros[VALOR],tabela_registros[MÊS],$AE$1,tabela_registros[DIA],receitasvariáveisconsolidadomai[[#Headers],[17]],tabela_registros[REGISTRO],DADOS!$N$3,tabela_registros[TIPO],DADOS!$V$4,tabela_registros[CATEGORIA],receitasvariáveisconsolidadomai[[#This Row],[ATUAL]])</f>
        <v>0</v>
      </c>
      <c r="V101" s="119" t="n">
        <f aca="false">SUMIFS(tabela_registros[VALOR],tabela_registros[MÊS],$AE$1,tabela_registros[DIA],receitasvariáveisconsolidadomai[[#Headers],[18]],tabela_registros[REGISTRO],DADOS!$N$3,tabela_registros[TIPO],DADOS!$V$4,tabela_registros[CATEGORIA],receitasvariáveisconsolidadomai[[#This Row],[ATUAL]])</f>
        <v>0</v>
      </c>
      <c r="W101" s="119" t="n">
        <f aca="false">SUMIFS(tabela_registros[VALOR],tabela_registros[MÊS],$AE$1,tabela_registros[DIA],receitasvariáveisconsolidadomai[[#Headers],[19]],tabela_registros[REGISTRO],DADOS!$N$3,tabela_registros[TIPO],DADOS!$V$4,tabela_registros[CATEGORIA],receitasvariáveisconsolidadomai[[#This Row],[ATUAL]])</f>
        <v>0</v>
      </c>
      <c r="X101" s="119" t="n">
        <f aca="false">SUMIFS(tabela_registros[VALOR],tabela_registros[MÊS],$AE$1,tabela_registros[DIA],receitasvariáveisconsolidadomai[[#Headers],[20]],tabela_registros[REGISTRO],DADOS!$N$3,tabela_registros[TIPO],DADOS!$V$4,tabela_registros[CATEGORIA],receitasvariáveisconsolidadomai[[#This Row],[ATUAL]])</f>
        <v>0</v>
      </c>
      <c r="Y101" s="119" t="n">
        <f aca="false">SUMIFS(tabela_registros[VALOR],tabela_registros[MÊS],$AE$1,tabela_registros[DIA],receitasvariáveisconsolidadomai[[#Headers],[21]],tabela_registros[REGISTRO],DADOS!$N$3,tabela_registros[TIPO],DADOS!$V$4,tabela_registros[CATEGORIA],receitasvariáveisconsolidadomai[[#This Row],[ATUAL]])</f>
        <v>0</v>
      </c>
      <c r="Z101" s="119" t="n">
        <f aca="false">SUMIFS(tabela_registros[VALOR],tabela_registros[MÊS],$AE$1,tabela_registros[DIA],receitasvariáveisconsolidadomai[[#Headers],[22]],tabela_registros[REGISTRO],DADOS!$N$3,tabela_registros[TIPO],DADOS!$V$4,tabela_registros[CATEGORIA],receitasvariáveisconsolidadomai[[#This Row],[ATUAL]])</f>
        <v>0</v>
      </c>
      <c r="AA101" s="119" t="n">
        <f aca="false">SUMIFS(tabela_registros[VALOR],tabela_registros[MÊS],$AE$1,tabela_registros[DIA],receitasvariáveisconsolidadomai[[#Headers],[23]],tabela_registros[REGISTRO],DADOS!$N$3,tabela_registros[TIPO],DADOS!$V$4,tabela_registros[CATEGORIA],receitasvariáveisconsolidadomai[[#This Row],[ATUAL]])</f>
        <v>0</v>
      </c>
      <c r="AB101" s="119" t="n">
        <f aca="false">SUMIFS(tabela_registros[VALOR],tabela_registros[MÊS],$AE$1,tabela_registros[DIA],receitasvariáveisconsolidadomai[[#Headers],[24]],tabela_registros[REGISTRO],DADOS!$N$3,tabela_registros[TIPO],DADOS!$V$4,tabela_registros[CATEGORIA],receitasvariáveisconsolidadomai[[#This Row],[ATUAL]])</f>
        <v>0</v>
      </c>
      <c r="AC101" s="119" t="n">
        <f aca="false">SUMIFS(tabela_registros[VALOR],tabela_registros[MÊS],$AE$1,tabela_registros[DIA],receitasvariáveisconsolidadomai[[#Headers],[25]],tabela_registros[REGISTRO],DADOS!$N$3,tabela_registros[TIPO],DADOS!$V$4,tabela_registros[CATEGORIA],receitasvariáveisconsolidadomai[[#This Row],[ATUAL]])</f>
        <v>0</v>
      </c>
      <c r="AD101" s="119" t="n">
        <f aca="false">SUMIFS(tabela_registros[VALOR],tabela_registros[MÊS],$AE$1,tabela_registros[DIA],receitasvariáveisconsolidadomai[[#Headers],[26]],tabela_registros[REGISTRO],DADOS!$N$3,tabela_registros[TIPO],DADOS!$V$4,tabela_registros[CATEGORIA],receitasvariáveisconsolidadomai[[#This Row],[ATUAL]])</f>
        <v>0</v>
      </c>
      <c r="AE101" s="119" t="n">
        <f aca="false">SUMIFS(tabela_registros[VALOR],tabela_registros[MÊS],$AE$1,tabela_registros[DIA],receitasvariáveisconsolidadomai[[#Headers],[27]],tabela_registros[REGISTRO],DADOS!$N$3,tabela_registros[TIPO],DADOS!$V$4,tabela_registros[CATEGORIA],receitasvariáveisconsolidadomai[[#This Row],[ATUAL]])</f>
        <v>0</v>
      </c>
      <c r="AF101" s="119" t="n">
        <f aca="false">SUMIFS(tabela_registros[VALOR],tabela_registros[MÊS],$AE$1,tabela_registros[DIA],receitasvariáveisconsolidadomai[[#Headers],[28]],tabela_registros[REGISTRO],DADOS!$N$3,tabela_registros[TIPO],DADOS!$V$4,tabela_registros[CATEGORIA],receitasvariáveisconsolidadomai[[#This Row],[ATUAL]])</f>
        <v>0</v>
      </c>
      <c r="AG101" s="119" t="n">
        <f aca="false">SUMIFS(tabela_registros[VALOR],tabela_registros[MÊS],$AE$1,tabela_registros[DIA],receitasvariáveisconsolidadomai[[#Headers],[29]],tabela_registros[REGISTRO],DADOS!$N$3,tabela_registros[TIPO],DADOS!$V$4,tabela_registros[CATEGORIA],receitasvariáveisconsolidadomai[[#This Row],[ATUAL]])</f>
        <v>0</v>
      </c>
      <c r="AH101" s="119" t="n">
        <f aca="false">SUMIFS(tabela_registros[VALOR],tabela_registros[MÊS],$AE$1,tabela_registros[DIA],receitasvariáveisconsolidadomai[[#Headers],[30]],tabela_registros[REGISTRO],DADOS!$N$3,tabela_registros[TIPO],DADOS!$V$4,tabela_registros[CATEGORIA],receitasvariáveisconsolidadomai[[#This Row],[ATUAL]])</f>
        <v>0</v>
      </c>
      <c r="AI101" s="217" t="n">
        <f aca="false">SUMIFS(tabela_registros[VALOR],tabela_registros[MÊS],$AE$1,tabela_registros[DIA],receitasvariáveisconsolidadomai[[#Headers],[31]],tabela_registros[REGISTRO],DADOS!$N$3,tabela_registros[TIPO],DADOS!$V$4,tabela_registros[CATEGORIA],receitasvariáveisconsolidadomai[[#This Row],[ATUAL]])</f>
        <v>0</v>
      </c>
      <c r="AJ101" s="237" t="n">
        <f aca="false">SUM(receitasvariáveisconsolidadomai[[#This Row],[1]:[31]])</f>
        <v>0</v>
      </c>
      <c r="AK101" s="165"/>
    </row>
    <row r="102" customFormat="false" ht="19.5" hidden="false" customHeight="true" outlineLevel="0" collapsed="false">
      <c r="B102" s="143"/>
      <c r="C102" s="144" t="str">
        <f aca="false">DADOS!$Z$9</f>
        <v>👷‍♀️ TRABALHO TEMPORÁRIO</v>
      </c>
      <c r="D102" s="145" t="str">
        <f aca="false">IF(receitasvariáveisconsolidadomai[[#This Row],[TOTAL (R$)]]=0,"",IF(OR(receitasvariáveisconsolidadomai[[#This Row],[TOTAL (R$)]]=LARGE($AJ$96:$AJ$103,1),receitasvariáveisconsolidadomai[[#This Row],[TOTAL (R$)]]=LARGE($AJ$96:$AJ$103,2)),DADOS!$I$9,""))</f>
        <v/>
      </c>
      <c r="E102" s="148" t="n">
        <f aca="false">SUMIFS(tabela_registros[VALOR],tabela_registros[MÊS],$AE$1,tabela_registros[DIA],receitasvariáveisconsolidadomai[[#Headers],[1]],tabela_registros[REGISTRO],DADOS!$N$3,tabela_registros[TIPO],DADOS!$V$4,tabela_registros[CATEGORIA],receitasvariáveisconsolidadomai[[#This Row],[ATUAL]])</f>
        <v>0</v>
      </c>
      <c r="F102" s="119" t="n">
        <f aca="false">SUMIFS(tabela_registros[VALOR],tabela_registros[MÊS],$AE$1,tabela_registros[DIA],receitasvariáveisconsolidadomai[[#Headers],[2]],tabela_registros[REGISTRO],DADOS!$N$3,tabela_registros[TIPO],DADOS!$V$4,tabela_registros[CATEGORIA],receitasvariáveisconsolidadomai[[#This Row],[ATUAL]])</f>
        <v>0</v>
      </c>
      <c r="G102" s="119" t="n">
        <f aca="false">SUMIFS(tabela_registros[VALOR],tabela_registros[MÊS],$AE$1,tabela_registros[DIA],receitasvariáveisconsolidadomai[[#Headers],[3]],tabela_registros[REGISTRO],DADOS!$N$3,tabela_registros[TIPO],DADOS!$V$4,tabela_registros[CATEGORIA],receitasvariáveisconsolidadomai[[#This Row],[ATUAL]])</f>
        <v>0</v>
      </c>
      <c r="H102" s="119" t="n">
        <f aca="false">SUMIFS(tabela_registros[VALOR],tabela_registros[MÊS],$AE$1,tabela_registros[DIA],receitasvariáveisconsolidadomai[[#Headers],[4]],tabela_registros[REGISTRO],DADOS!$N$3,tabela_registros[TIPO],DADOS!$V$4,tabela_registros[CATEGORIA],receitasvariáveisconsolidadomai[[#This Row],[ATUAL]])</f>
        <v>0</v>
      </c>
      <c r="I102" s="119" t="n">
        <f aca="false">SUMIFS(tabela_registros[VALOR],tabela_registros[MÊS],$AE$1,tabela_registros[DIA],receitasvariáveisconsolidadomai[[#Headers],[5]],tabela_registros[REGISTRO],DADOS!$N$3,tabela_registros[TIPO],DADOS!$V$4,tabela_registros[CATEGORIA],receitasvariáveisconsolidadomai[[#This Row],[ATUAL]])</f>
        <v>0</v>
      </c>
      <c r="J102" s="119" t="n">
        <f aca="false">SUMIFS(tabela_registros[VALOR],tabela_registros[MÊS],$AE$1,tabela_registros[DIA],receitasvariáveisconsolidadomai[[#Headers],[6]],tabela_registros[REGISTRO],DADOS!$N$3,tabela_registros[TIPO],DADOS!$V$4,tabela_registros[CATEGORIA],receitasvariáveisconsolidadomai[[#This Row],[ATUAL]])</f>
        <v>0</v>
      </c>
      <c r="K102" s="119" t="n">
        <f aca="false">SUMIFS(tabela_registros[VALOR],tabela_registros[MÊS],$AE$1,tabela_registros[DIA],receitasvariáveisconsolidadomai[[#Headers],[7]],tabela_registros[REGISTRO],DADOS!$N$3,tabela_registros[TIPO],DADOS!$V$4,tabela_registros[CATEGORIA],receitasvariáveisconsolidadomai[[#This Row],[ATUAL]])</f>
        <v>0</v>
      </c>
      <c r="L102" s="119" t="n">
        <f aca="false">SUMIFS(tabela_registros[VALOR],tabela_registros[MÊS],$AE$1,tabela_registros[DIA],receitasvariáveisconsolidadomai[[#Headers],[8]],tabela_registros[REGISTRO],DADOS!$N$3,tabela_registros[TIPO],DADOS!$V$4,tabela_registros[CATEGORIA],receitasvariáveisconsolidadomai[[#This Row],[ATUAL]])</f>
        <v>0</v>
      </c>
      <c r="M102" s="119" t="n">
        <f aca="false">SUMIFS(tabela_registros[VALOR],tabela_registros[MÊS],$AE$1,tabela_registros[DIA],receitasvariáveisconsolidadomai[[#Headers],[9]],tabela_registros[REGISTRO],DADOS!$N$3,tabela_registros[TIPO],DADOS!$V$4,tabela_registros[CATEGORIA],receitasvariáveisconsolidadomai[[#This Row],[ATUAL]])</f>
        <v>0</v>
      </c>
      <c r="N102" s="119" t="n">
        <f aca="false">SUMIFS(tabela_registros[VALOR],tabela_registros[MÊS],$AE$1,tabela_registros[DIA],receitasvariáveisconsolidadomai[[#Headers],[10]],tabela_registros[REGISTRO],DADOS!$N$3,tabela_registros[TIPO],DADOS!$V$4,tabela_registros[CATEGORIA],receitasvariáveisconsolidadomai[[#This Row],[ATUAL]])</f>
        <v>0</v>
      </c>
      <c r="O102" s="119" t="n">
        <f aca="false">SUMIFS(tabela_registros[VALOR],tabela_registros[MÊS],$AE$1,tabela_registros[DIA],receitasvariáveisconsolidadomai[[#Headers],[11]],tabela_registros[REGISTRO],DADOS!$N$3,tabela_registros[TIPO],DADOS!$V$4,tabela_registros[CATEGORIA],receitasvariáveisconsolidadomai[[#This Row],[ATUAL]])</f>
        <v>0</v>
      </c>
      <c r="P102" s="119" t="n">
        <f aca="false">SUMIFS(tabela_registros[VALOR],tabela_registros[MÊS],$AE$1,tabela_registros[DIA],receitasvariáveisconsolidadomai[[#Headers],[12]],tabela_registros[REGISTRO],DADOS!$N$3,tabela_registros[TIPO],DADOS!$V$4,tabela_registros[CATEGORIA],receitasvariáveisconsolidadomai[[#This Row],[ATUAL]])</f>
        <v>0</v>
      </c>
      <c r="Q102" s="119" t="n">
        <f aca="false">SUMIFS(tabela_registros[VALOR],tabela_registros[MÊS],$AE$1,tabela_registros[DIA],receitasvariáveisconsolidadomai[[#Headers],[13]],tabela_registros[REGISTRO],DADOS!$N$3,tabela_registros[TIPO],DADOS!$V$4,tabela_registros[CATEGORIA],receitasvariáveisconsolidadomai[[#This Row],[ATUAL]])</f>
        <v>0</v>
      </c>
      <c r="R102" s="119" t="n">
        <f aca="false">SUMIFS(tabela_registros[VALOR],tabela_registros[MÊS],$AE$1,tabela_registros[DIA],receitasvariáveisconsolidadomai[[#Headers],[14]],tabela_registros[REGISTRO],DADOS!$N$3,tabela_registros[TIPO],DADOS!$V$4,tabela_registros[CATEGORIA],receitasvariáveisconsolidadomai[[#This Row],[ATUAL]])</f>
        <v>0</v>
      </c>
      <c r="S102" s="119" t="n">
        <f aca="false">SUMIFS(tabela_registros[VALOR],tabela_registros[MÊS],$AE$1,tabela_registros[DIA],receitasvariáveisconsolidadomai[[#Headers],[15]],tabela_registros[REGISTRO],DADOS!$N$3,tabela_registros[TIPO],DADOS!$V$4,tabela_registros[CATEGORIA],receitasvariáveisconsolidadomai[[#This Row],[ATUAL]])</f>
        <v>0</v>
      </c>
      <c r="T102" s="119" t="n">
        <f aca="false">SUMIFS(tabela_registros[VALOR],tabela_registros[MÊS],$AE$1,tabela_registros[DIA],receitasvariáveisconsolidadomai[[#Headers],[16]],tabela_registros[REGISTRO],DADOS!$N$3,tabela_registros[TIPO],DADOS!$V$4,tabela_registros[CATEGORIA],receitasvariáveisconsolidadomai[[#This Row],[ATUAL]])</f>
        <v>0</v>
      </c>
      <c r="U102" s="119" t="n">
        <f aca="false">SUMIFS(tabela_registros[VALOR],tabela_registros[MÊS],$AE$1,tabela_registros[DIA],receitasvariáveisconsolidadomai[[#Headers],[17]],tabela_registros[REGISTRO],DADOS!$N$3,tabela_registros[TIPO],DADOS!$V$4,tabela_registros[CATEGORIA],receitasvariáveisconsolidadomai[[#This Row],[ATUAL]])</f>
        <v>0</v>
      </c>
      <c r="V102" s="119" t="n">
        <f aca="false">SUMIFS(tabela_registros[VALOR],tabela_registros[MÊS],$AE$1,tabela_registros[DIA],receitasvariáveisconsolidadomai[[#Headers],[18]],tabela_registros[REGISTRO],DADOS!$N$3,tabela_registros[TIPO],DADOS!$V$4,tabela_registros[CATEGORIA],receitasvariáveisconsolidadomai[[#This Row],[ATUAL]])</f>
        <v>0</v>
      </c>
      <c r="W102" s="119" t="n">
        <f aca="false">SUMIFS(tabela_registros[VALOR],tabela_registros[MÊS],$AE$1,tabela_registros[DIA],receitasvariáveisconsolidadomai[[#Headers],[19]],tabela_registros[REGISTRO],DADOS!$N$3,tabela_registros[TIPO],DADOS!$V$4,tabela_registros[CATEGORIA],receitasvariáveisconsolidadomai[[#This Row],[ATUAL]])</f>
        <v>0</v>
      </c>
      <c r="X102" s="119" t="n">
        <f aca="false">SUMIFS(tabela_registros[VALOR],tabela_registros[MÊS],$AE$1,tabela_registros[DIA],receitasvariáveisconsolidadomai[[#Headers],[20]],tabela_registros[REGISTRO],DADOS!$N$3,tabela_registros[TIPO],DADOS!$V$4,tabela_registros[CATEGORIA],receitasvariáveisconsolidadomai[[#This Row],[ATUAL]])</f>
        <v>0</v>
      </c>
      <c r="Y102" s="119" t="n">
        <f aca="false">SUMIFS(tabela_registros[VALOR],tabela_registros[MÊS],$AE$1,tabela_registros[DIA],receitasvariáveisconsolidadomai[[#Headers],[21]],tabela_registros[REGISTRO],DADOS!$N$3,tabela_registros[TIPO],DADOS!$V$4,tabela_registros[CATEGORIA],receitasvariáveisconsolidadomai[[#This Row],[ATUAL]])</f>
        <v>0</v>
      </c>
      <c r="Z102" s="119" t="n">
        <f aca="false">SUMIFS(tabela_registros[VALOR],tabela_registros[MÊS],$AE$1,tabela_registros[DIA],receitasvariáveisconsolidadomai[[#Headers],[22]],tabela_registros[REGISTRO],DADOS!$N$3,tabela_registros[TIPO],DADOS!$V$4,tabela_registros[CATEGORIA],receitasvariáveisconsolidadomai[[#This Row],[ATUAL]])</f>
        <v>0</v>
      </c>
      <c r="AA102" s="119" t="n">
        <f aca="false">SUMIFS(tabela_registros[VALOR],tabela_registros[MÊS],$AE$1,tabela_registros[DIA],receitasvariáveisconsolidadomai[[#Headers],[23]],tabela_registros[REGISTRO],DADOS!$N$3,tabela_registros[TIPO],DADOS!$V$4,tabela_registros[CATEGORIA],receitasvariáveisconsolidadomai[[#This Row],[ATUAL]])</f>
        <v>0</v>
      </c>
      <c r="AB102" s="119" t="n">
        <f aca="false">SUMIFS(tabela_registros[VALOR],tabela_registros[MÊS],$AE$1,tabela_registros[DIA],receitasvariáveisconsolidadomai[[#Headers],[24]],tabela_registros[REGISTRO],DADOS!$N$3,tabela_registros[TIPO],DADOS!$V$4,tabela_registros[CATEGORIA],receitasvariáveisconsolidadomai[[#This Row],[ATUAL]])</f>
        <v>0</v>
      </c>
      <c r="AC102" s="119" t="n">
        <f aca="false">SUMIFS(tabela_registros[VALOR],tabela_registros[MÊS],$AE$1,tabela_registros[DIA],receitasvariáveisconsolidadomai[[#Headers],[25]],tabela_registros[REGISTRO],DADOS!$N$3,tabela_registros[TIPO],DADOS!$V$4,tabela_registros[CATEGORIA],receitasvariáveisconsolidadomai[[#This Row],[ATUAL]])</f>
        <v>0</v>
      </c>
      <c r="AD102" s="119" t="n">
        <f aca="false">SUMIFS(tabela_registros[VALOR],tabela_registros[MÊS],$AE$1,tabela_registros[DIA],receitasvariáveisconsolidadomai[[#Headers],[26]],tabela_registros[REGISTRO],DADOS!$N$3,tabela_registros[TIPO],DADOS!$V$4,tabela_registros[CATEGORIA],receitasvariáveisconsolidadomai[[#This Row],[ATUAL]])</f>
        <v>0</v>
      </c>
      <c r="AE102" s="119" t="n">
        <f aca="false">SUMIFS(tabela_registros[VALOR],tabela_registros[MÊS],$AE$1,tabela_registros[DIA],receitasvariáveisconsolidadomai[[#Headers],[27]],tabela_registros[REGISTRO],DADOS!$N$3,tabela_registros[TIPO],DADOS!$V$4,tabela_registros[CATEGORIA],receitasvariáveisconsolidadomai[[#This Row],[ATUAL]])</f>
        <v>0</v>
      </c>
      <c r="AF102" s="119" t="n">
        <f aca="false">SUMIFS(tabela_registros[VALOR],tabela_registros[MÊS],$AE$1,tabela_registros[DIA],receitasvariáveisconsolidadomai[[#Headers],[28]],tabela_registros[REGISTRO],DADOS!$N$3,tabela_registros[TIPO],DADOS!$V$4,tabela_registros[CATEGORIA],receitasvariáveisconsolidadomai[[#This Row],[ATUAL]])</f>
        <v>0</v>
      </c>
      <c r="AG102" s="119" t="n">
        <f aca="false">SUMIFS(tabela_registros[VALOR],tabela_registros[MÊS],$AE$1,tabela_registros[DIA],receitasvariáveisconsolidadomai[[#Headers],[29]],tabela_registros[REGISTRO],DADOS!$N$3,tabela_registros[TIPO],DADOS!$V$4,tabela_registros[CATEGORIA],receitasvariáveisconsolidadomai[[#This Row],[ATUAL]])</f>
        <v>0</v>
      </c>
      <c r="AH102" s="119" t="n">
        <f aca="false">SUMIFS(tabela_registros[VALOR],tabela_registros[MÊS],$AE$1,tabela_registros[DIA],receitasvariáveisconsolidadomai[[#Headers],[30]],tabela_registros[REGISTRO],DADOS!$N$3,tabela_registros[TIPO],DADOS!$V$4,tabela_registros[CATEGORIA],receitasvariáveisconsolidadomai[[#This Row],[ATUAL]])</f>
        <v>0</v>
      </c>
      <c r="AI102" s="217" t="n">
        <f aca="false">SUMIFS(tabela_registros[VALOR],tabela_registros[MÊS],$AE$1,tabela_registros[DIA],receitasvariáveisconsolidadomai[[#Headers],[31]],tabela_registros[REGISTRO],DADOS!$N$3,tabela_registros[TIPO],DADOS!$V$4,tabela_registros[CATEGORIA],receitasvariáveisconsolidadomai[[#This Row],[ATUAL]])</f>
        <v>0</v>
      </c>
      <c r="AJ102" s="237" t="n">
        <f aca="false">SUM(receitasvariáveisconsolidadomai[[#This Row],[1]:[31]])</f>
        <v>0</v>
      </c>
      <c r="AK102" s="165"/>
    </row>
    <row r="103" customFormat="false" ht="18" hidden="false" customHeight="true" outlineLevel="0" collapsed="false">
      <c r="B103" s="143"/>
      <c r="C103" s="144" t="str">
        <f aca="false">DADOS!$Z$10</f>
        <v>📎 OUTROS</v>
      </c>
      <c r="D103" s="145" t="str">
        <f aca="false">IF(receitasvariáveisconsolidadomai[[#This Row],[TOTAL (R$)]]=0,"",IF(OR(receitasvariáveisconsolidadomai[[#This Row],[TOTAL (R$)]]=LARGE($AJ$96:$AJ$103,1),receitasvariáveisconsolidadomai[[#This Row],[TOTAL (R$)]]=LARGE($AJ$96:$AJ$103,2)),DADOS!$I$9,""))</f>
        <v/>
      </c>
      <c r="E103" s="148" t="n">
        <f aca="false">SUMIFS(tabela_registros[VALOR],tabela_registros[MÊS],$AE$1,tabela_registros[DIA],receitasvariáveisconsolidadomai[[#Headers],[1]],tabela_registros[REGISTRO],DADOS!$N$3,tabela_registros[TIPO],DADOS!$V$4,tabela_registros[CATEGORIA],receitasvariáveisconsolidadomai[[#This Row],[ATUAL]])</f>
        <v>0</v>
      </c>
      <c r="F103" s="119" t="n">
        <f aca="false">SUMIFS(tabela_registros[VALOR],tabela_registros[MÊS],$AE$1,tabela_registros[DIA],receitasvariáveisconsolidadomai[[#Headers],[2]],tabela_registros[REGISTRO],DADOS!$N$3,tabela_registros[TIPO],DADOS!$V$4,tabela_registros[CATEGORIA],receitasvariáveisconsolidadomai[[#This Row],[ATUAL]])</f>
        <v>0</v>
      </c>
      <c r="G103" s="119" t="n">
        <f aca="false">SUMIFS(tabela_registros[VALOR],tabela_registros[MÊS],$AE$1,tabela_registros[DIA],receitasvariáveisconsolidadomai[[#Headers],[3]],tabela_registros[REGISTRO],DADOS!$N$3,tabela_registros[TIPO],DADOS!$V$4,tabela_registros[CATEGORIA],receitasvariáveisconsolidadomai[[#This Row],[ATUAL]])</f>
        <v>0</v>
      </c>
      <c r="H103" s="119" t="n">
        <f aca="false">SUMIFS(tabela_registros[VALOR],tabela_registros[MÊS],$AE$1,tabela_registros[DIA],receitasvariáveisconsolidadomai[[#Headers],[4]],tabela_registros[REGISTRO],DADOS!$N$3,tabela_registros[TIPO],DADOS!$V$4,tabela_registros[CATEGORIA],receitasvariáveisconsolidadomai[[#This Row],[ATUAL]])</f>
        <v>0</v>
      </c>
      <c r="I103" s="119" t="n">
        <f aca="false">SUMIFS(tabela_registros[VALOR],tabela_registros[MÊS],$AE$1,tabela_registros[DIA],receitasvariáveisconsolidadomai[[#Headers],[5]],tabela_registros[REGISTRO],DADOS!$N$3,tabela_registros[TIPO],DADOS!$V$4,tabela_registros[CATEGORIA],receitasvariáveisconsolidadomai[[#This Row],[ATUAL]])</f>
        <v>0</v>
      </c>
      <c r="J103" s="119" t="n">
        <f aca="false">SUMIFS(tabela_registros[VALOR],tabela_registros[MÊS],$AE$1,tabela_registros[DIA],receitasvariáveisconsolidadomai[[#Headers],[6]],tabela_registros[REGISTRO],DADOS!$N$3,tabela_registros[TIPO],DADOS!$V$4,tabela_registros[CATEGORIA],receitasvariáveisconsolidadomai[[#This Row],[ATUAL]])</f>
        <v>0</v>
      </c>
      <c r="K103" s="119" t="n">
        <f aca="false">SUMIFS(tabela_registros[VALOR],tabela_registros[MÊS],$AE$1,tabela_registros[DIA],receitasvariáveisconsolidadomai[[#Headers],[7]],tabela_registros[REGISTRO],DADOS!$N$3,tabela_registros[TIPO],DADOS!$V$4,tabela_registros[CATEGORIA],receitasvariáveisconsolidadomai[[#This Row],[ATUAL]])</f>
        <v>0</v>
      </c>
      <c r="L103" s="119" t="n">
        <f aca="false">SUMIFS(tabela_registros[VALOR],tabela_registros[MÊS],$AE$1,tabela_registros[DIA],receitasvariáveisconsolidadomai[[#Headers],[8]],tabela_registros[REGISTRO],DADOS!$N$3,tabela_registros[TIPO],DADOS!$V$4,tabela_registros[CATEGORIA],receitasvariáveisconsolidadomai[[#This Row],[ATUAL]])</f>
        <v>0</v>
      </c>
      <c r="M103" s="119" t="n">
        <f aca="false">SUMIFS(tabela_registros[VALOR],tabela_registros[MÊS],$AE$1,tabela_registros[DIA],receitasvariáveisconsolidadomai[[#Headers],[9]],tabela_registros[REGISTRO],DADOS!$N$3,tabela_registros[TIPO],DADOS!$V$4,tabela_registros[CATEGORIA],receitasvariáveisconsolidadomai[[#This Row],[ATUAL]])</f>
        <v>0</v>
      </c>
      <c r="N103" s="119" t="n">
        <f aca="false">SUMIFS(tabela_registros[VALOR],tabela_registros[MÊS],$AE$1,tabela_registros[DIA],receitasvariáveisconsolidadomai[[#Headers],[10]],tabela_registros[REGISTRO],DADOS!$N$3,tabela_registros[TIPO],DADOS!$V$4,tabela_registros[CATEGORIA],receitasvariáveisconsolidadomai[[#This Row],[ATUAL]])</f>
        <v>0</v>
      </c>
      <c r="O103" s="119" t="n">
        <f aca="false">SUMIFS(tabela_registros[VALOR],tabela_registros[MÊS],$AE$1,tabela_registros[DIA],receitasvariáveisconsolidadomai[[#Headers],[11]],tabela_registros[REGISTRO],DADOS!$N$3,tabela_registros[TIPO],DADOS!$V$4,tabela_registros[CATEGORIA],receitasvariáveisconsolidadomai[[#This Row],[ATUAL]])</f>
        <v>0</v>
      </c>
      <c r="P103" s="119" t="n">
        <f aca="false">SUMIFS(tabela_registros[VALOR],tabela_registros[MÊS],$AE$1,tabela_registros[DIA],receitasvariáveisconsolidadomai[[#Headers],[12]],tabela_registros[REGISTRO],DADOS!$N$3,tabela_registros[TIPO],DADOS!$V$4,tabela_registros[CATEGORIA],receitasvariáveisconsolidadomai[[#This Row],[ATUAL]])</f>
        <v>0</v>
      </c>
      <c r="Q103" s="119" t="n">
        <f aca="false">SUMIFS(tabela_registros[VALOR],tabela_registros[MÊS],$AE$1,tabela_registros[DIA],receitasvariáveisconsolidadomai[[#Headers],[13]],tabela_registros[REGISTRO],DADOS!$N$3,tabela_registros[TIPO],DADOS!$V$4,tabela_registros[CATEGORIA],receitasvariáveisconsolidadomai[[#This Row],[ATUAL]])</f>
        <v>0</v>
      </c>
      <c r="R103" s="119" t="n">
        <f aca="false">SUMIFS(tabela_registros[VALOR],tabela_registros[MÊS],$AE$1,tabela_registros[DIA],receitasvariáveisconsolidadomai[[#Headers],[14]],tabela_registros[REGISTRO],DADOS!$N$3,tabela_registros[TIPO],DADOS!$V$4,tabela_registros[CATEGORIA],receitasvariáveisconsolidadomai[[#This Row],[ATUAL]])</f>
        <v>0</v>
      </c>
      <c r="S103" s="119" t="n">
        <f aca="false">SUMIFS(tabela_registros[VALOR],tabela_registros[MÊS],$AE$1,tabela_registros[DIA],receitasvariáveisconsolidadomai[[#Headers],[15]],tabela_registros[REGISTRO],DADOS!$N$3,tabela_registros[TIPO],DADOS!$V$4,tabela_registros[CATEGORIA],receitasvariáveisconsolidadomai[[#This Row],[ATUAL]])</f>
        <v>0</v>
      </c>
      <c r="T103" s="119" t="n">
        <f aca="false">SUMIFS(tabela_registros[VALOR],tabela_registros[MÊS],$AE$1,tabela_registros[DIA],receitasvariáveisconsolidadomai[[#Headers],[16]],tabela_registros[REGISTRO],DADOS!$N$3,tabela_registros[TIPO],DADOS!$V$4,tabela_registros[CATEGORIA],receitasvariáveisconsolidadomai[[#This Row],[ATUAL]])</f>
        <v>0</v>
      </c>
      <c r="U103" s="119" t="n">
        <f aca="false">SUMIFS(tabela_registros[VALOR],tabela_registros[MÊS],$AE$1,tabela_registros[DIA],receitasvariáveisconsolidadomai[[#Headers],[17]],tabela_registros[REGISTRO],DADOS!$N$3,tabela_registros[TIPO],DADOS!$V$4,tabela_registros[CATEGORIA],receitasvariáveisconsolidadomai[[#This Row],[ATUAL]])</f>
        <v>0</v>
      </c>
      <c r="V103" s="119" t="n">
        <f aca="false">SUMIFS(tabela_registros[VALOR],tabela_registros[MÊS],$AE$1,tabela_registros[DIA],receitasvariáveisconsolidadomai[[#Headers],[18]],tabela_registros[REGISTRO],DADOS!$N$3,tabela_registros[TIPO],DADOS!$V$4,tabela_registros[CATEGORIA],receitasvariáveisconsolidadomai[[#This Row],[ATUAL]])</f>
        <v>0</v>
      </c>
      <c r="W103" s="119" t="n">
        <f aca="false">SUMIFS(tabela_registros[VALOR],tabela_registros[MÊS],$AE$1,tabela_registros[DIA],receitasvariáveisconsolidadomai[[#Headers],[19]],tabela_registros[REGISTRO],DADOS!$N$3,tabela_registros[TIPO],DADOS!$V$4,tabela_registros[CATEGORIA],receitasvariáveisconsolidadomai[[#This Row],[ATUAL]])</f>
        <v>0</v>
      </c>
      <c r="X103" s="119" t="n">
        <f aca="false">SUMIFS(tabela_registros[VALOR],tabela_registros[MÊS],$AE$1,tabela_registros[DIA],receitasvariáveisconsolidadomai[[#Headers],[20]],tabela_registros[REGISTRO],DADOS!$N$3,tabela_registros[TIPO],DADOS!$V$4,tabela_registros[CATEGORIA],receitasvariáveisconsolidadomai[[#This Row],[ATUAL]])</f>
        <v>0</v>
      </c>
      <c r="Y103" s="119" t="n">
        <f aca="false">SUMIFS(tabela_registros[VALOR],tabela_registros[MÊS],$AE$1,tabela_registros[DIA],receitasvariáveisconsolidadomai[[#Headers],[21]],tabela_registros[REGISTRO],DADOS!$N$3,tabela_registros[TIPO],DADOS!$V$4,tabela_registros[CATEGORIA],receitasvariáveisconsolidadomai[[#This Row],[ATUAL]])</f>
        <v>0</v>
      </c>
      <c r="Z103" s="119" t="n">
        <f aca="false">SUMIFS(tabela_registros[VALOR],tabela_registros[MÊS],$AE$1,tabela_registros[DIA],receitasvariáveisconsolidadomai[[#Headers],[22]],tabela_registros[REGISTRO],DADOS!$N$3,tabela_registros[TIPO],DADOS!$V$4,tabela_registros[CATEGORIA],receitasvariáveisconsolidadomai[[#This Row],[ATUAL]])</f>
        <v>0</v>
      </c>
      <c r="AA103" s="119" t="n">
        <f aca="false">SUMIFS(tabela_registros[VALOR],tabela_registros[MÊS],$AE$1,tabela_registros[DIA],receitasvariáveisconsolidadomai[[#Headers],[23]],tabela_registros[REGISTRO],DADOS!$N$3,tabela_registros[TIPO],DADOS!$V$4,tabela_registros[CATEGORIA],receitasvariáveisconsolidadomai[[#This Row],[ATUAL]])</f>
        <v>0</v>
      </c>
      <c r="AB103" s="119" t="n">
        <f aca="false">SUMIFS(tabela_registros[VALOR],tabela_registros[MÊS],$AE$1,tabela_registros[DIA],receitasvariáveisconsolidadomai[[#Headers],[24]],tabela_registros[REGISTRO],DADOS!$N$3,tabela_registros[TIPO],DADOS!$V$4,tabela_registros[CATEGORIA],receitasvariáveisconsolidadomai[[#This Row],[ATUAL]])</f>
        <v>0</v>
      </c>
      <c r="AC103" s="119" t="n">
        <f aca="false">SUMIFS(tabela_registros[VALOR],tabela_registros[MÊS],$AE$1,tabela_registros[DIA],receitasvariáveisconsolidadomai[[#Headers],[25]],tabela_registros[REGISTRO],DADOS!$N$3,tabela_registros[TIPO],DADOS!$V$4,tabela_registros[CATEGORIA],receitasvariáveisconsolidadomai[[#This Row],[ATUAL]])</f>
        <v>0</v>
      </c>
      <c r="AD103" s="119" t="n">
        <f aca="false">SUMIFS(tabela_registros[VALOR],tabela_registros[MÊS],$AE$1,tabela_registros[DIA],receitasvariáveisconsolidadomai[[#Headers],[26]],tabela_registros[REGISTRO],DADOS!$N$3,tabela_registros[TIPO],DADOS!$V$4,tabela_registros[CATEGORIA],receitasvariáveisconsolidadomai[[#This Row],[ATUAL]])</f>
        <v>0</v>
      </c>
      <c r="AE103" s="119" t="n">
        <f aca="false">SUMIFS(tabela_registros[VALOR],tabela_registros[MÊS],$AE$1,tabela_registros[DIA],receitasvariáveisconsolidadomai[[#Headers],[27]],tabela_registros[REGISTRO],DADOS!$N$3,tabela_registros[TIPO],DADOS!$V$4,tabela_registros[CATEGORIA],receitasvariáveisconsolidadomai[[#This Row],[ATUAL]])</f>
        <v>0</v>
      </c>
      <c r="AF103" s="119" t="n">
        <f aca="false">SUMIFS(tabela_registros[VALOR],tabela_registros[MÊS],$AE$1,tabela_registros[DIA],receitasvariáveisconsolidadomai[[#Headers],[28]],tabela_registros[REGISTRO],DADOS!$N$3,tabela_registros[TIPO],DADOS!$V$4,tabela_registros[CATEGORIA],receitasvariáveisconsolidadomai[[#This Row],[ATUAL]])</f>
        <v>0</v>
      </c>
      <c r="AG103" s="119" t="n">
        <f aca="false">SUMIFS(tabela_registros[VALOR],tabela_registros[MÊS],$AE$1,tabela_registros[DIA],receitasvariáveisconsolidadomai[[#Headers],[29]],tabela_registros[REGISTRO],DADOS!$N$3,tabela_registros[TIPO],DADOS!$V$4,tabela_registros[CATEGORIA],receitasvariáveisconsolidadomai[[#This Row],[ATUAL]])</f>
        <v>0</v>
      </c>
      <c r="AH103" s="119" t="n">
        <f aca="false">SUMIFS(tabela_registros[VALOR],tabela_registros[MÊS],$AE$1,tabela_registros[DIA],receitasvariáveisconsolidadomai[[#Headers],[30]],tabela_registros[REGISTRO],DADOS!$N$3,tabela_registros[TIPO],DADOS!$V$4,tabela_registros[CATEGORIA],receitasvariáveisconsolidadomai[[#This Row],[ATUAL]])</f>
        <v>0</v>
      </c>
      <c r="AI103" s="218" t="n">
        <f aca="false">SUMIFS(tabela_registros[VALOR],tabela_registros[MÊS],$AE$1,tabela_registros[DIA],receitasvariáveisconsolidadomai[[#Headers],[31]],tabela_registros[REGISTRO],DADOS!$N$3,tabela_registros[TIPO],DADOS!$V$4,tabela_registros[CATEGORIA],receitasvariáveisconsolidadomai[[#This Row],[ATUAL]])</f>
        <v>0</v>
      </c>
      <c r="AJ103" s="149" t="n">
        <f aca="false">SUM(receitasvariáveisconsolidadomai[[#This Row],[1]:[31]])</f>
        <v>0</v>
      </c>
      <c r="AK103" s="165"/>
    </row>
    <row r="104" s="122" customFormat="true" ht="21" hidden="false" customHeight="true" outlineLevel="0" collapsed="false">
      <c r="B104" s="152"/>
      <c r="C104" s="153" t="s">
        <v>2</v>
      </c>
      <c r="D104" s="166"/>
      <c r="E104" s="155" t="n">
        <f aca="false">SUM(E96:E103)</f>
        <v>0</v>
      </c>
      <c r="F104" s="156" t="n">
        <f aca="false">SUM(F96:F103)+receitasvariáveisconsolidadomai[[#This Row],[1]]</f>
        <v>0</v>
      </c>
      <c r="G104" s="156" t="n">
        <f aca="false">SUM(G96:G103)+receitasvariáveisconsolidadomai[[#This Row],[2]]</f>
        <v>0</v>
      </c>
      <c r="H104" s="156" t="n">
        <f aca="false">SUM(H96:H103)+receitasvariáveisconsolidadomai[[#This Row],[3]]</f>
        <v>0</v>
      </c>
      <c r="I104" s="156" t="n">
        <f aca="false">SUM(I96:I103)+receitasvariáveisconsolidadomai[[#This Row],[4]]</f>
        <v>0</v>
      </c>
      <c r="J104" s="156" t="n">
        <f aca="false">SUM(J96:J103)+receitasvariáveisconsolidadomai[[#This Row],[5]]</f>
        <v>0</v>
      </c>
      <c r="K104" s="156" t="n">
        <f aca="false">SUM(K96:K103)+receitasvariáveisconsolidadomai[[#This Row],[6]]</f>
        <v>0</v>
      </c>
      <c r="L104" s="156" t="n">
        <f aca="false">SUM(L96:L103)+receitasvariáveisconsolidadomai[[#This Row],[7]]</f>
        <v>0</v>
      </c>
      <c r="M104" s="156" t="n">
        <f aca="false">SUM(M96:M103)+receitasvariáveisconsolidadomai[[#This Row],[8]]</f>
        <v>0</v>
      </c>
      <c r="N104" s="156" t="n">
        <f aca="false">SUM(N96:N103)+receitasvariáveisconsolidadomai[[#This Row],[9]]</f>
        <v>0</v>
      </c>
      <c r="O104" s="156" t="n">
        <f aca="false">SUM(O96:O103)+receitasvariáveisconsolidadomai[[#This Row],[10]]</f>
        <v>0</v>
      </c>
      <c r="P104" s="156" t="n">
        <f aca="false">SUM(P96:P103)+receitasvariáveisconsolidadomai[[#This Row],[11]]</f>
        <v>0</v>
      </c>
      <c r="Q104" s="156" t="n">
        <f aca="false">SUM(Q96:Q103)+receitasvariáveisconsolidadomai[[#This Row],[12]]</f>
        <v>0</v>
      </c>
      <c r="R104" s="156" t="n">
        <f aca="false">SUM(R96:R103)+receitasvariáveisconsolidadomai[[#This Row],[13]]</f>
        <v>0</v>
      </c>
      <c r="S104" s="156" t="n">
        <f aca="false">SUM(S96:S103)+receitasvariáveisconsolidadomai[[#This Row],[14]]</f>
        <v>0</v>
      </c>
      <c r="T104" s="156" t="n">
        <f aca="false">SUM(T96:T103)+receitasvariáveisconsolidadomai[[#This Row],[15]]</f>
        <v>0</v>
      </c>
      <c r="U104" s="156" t="n">
        <f aca="false">SUM(U96:U103)+receitasvariáveisconsolidadomai[[#This Row],[16]]</f>
        <v>0</v>
      </c>
      <c r="V104" s="156" t="n">
        <f aca="false">SUM(V96:V103)+receitasvariáveisconsolidadomai[[#This Row],[17]]</f>
        <v>0</v>
      </c>
      <c r="W104" s="156" t="n">
        <f aca="false">SUM(W96:W103)+receitasvariáveisconsolidadomai[[#This Row],[18]]</f>
        <v>0</v>
      </c>
      <c r="X104" s="156" t="n">
        <f aca="false">SUM(X96:X103)+receitasvariáveisconsolidadomai[[#This Row],[19]]</f>
        <v>0</v>
      </c>
      <c r="Y104" s="156" t="n">
        <f aca="false">SUM(Y96:Y103)+receitasvariáveisconsolidadomai[[#This Row],[20]]</f>
        <v>0</v>
      </c>
      <c r="Z104" s="156" t="n">
        <f aca="false">SUM(Z96:Z103)+receitasvariáveisconsolidadomai[[#This Row],[21]]</f>
        <v>0</v>
      </c>
      <c r="AA104" s="156" t="n">
        <f aca="false">SUM(AA96:AA103)+receitasvariáveisconsolidadomai[[#This Row],[22]]</f>
        <v>0</v>
      </c>
      <c r="AB104" s="156" t="n">
        <f aca="false">SUM(AB96:AB103)+receitasvariáveisconsolidadomai[[#This Row],[23]]</f>
        <v>0</v>
      </c>
      <c r="AC104" s="156" t="n">
        <f aca="false">SUM(AC96:AC103)+receitasvariáveisconsolidadomai[[#This Row],[24]]</f>
        <v>0</v>
      </c>
      <c r="AD104" s="156" t="n">
        <f aca="false">SUM(AD96:AD103)+receitasvariáveisconsolidadomai[[#This Row],[25]]</f>
        <v>0</v>
      </c>
      <c r="AE104" s="156" t="n">
        <f aca="false">SUM(AE96:AE103)+receitasvariáveisconsolidadomai[[#This Row],[26]]</f>
        <v>0</v>
      </c>
      <c r="AF104" s="156" t="n">
        <f aca="false">SUM(AF96:AF103)+receitasvariáveisconsolidadomai[[#This Row],[27]]</f>
        <v>0</v>
      </c>
      <c r="AG104" s="156" t="n">
        <f aca="false">SUM(AG96:AG103)+receitasvariáveisconsolidadomai[[#This Row],[28]]</f>
        <v>0</v>
      </c>
      <c r="AH104" s="156" t="n">
        <f aca="false">SUM(AH96:AH103)+receitasvariáveisconsolidadomai[[#This Row],[29]]</f>
        <v>0</v>
      </c>
      <c r="AI104" s="223" t="n">
        <f aca="false">SUM(AI96:AI103)+receitasvariáveisconsolidadomai[[#This Row],[30]]</f>
        <v>0</v>
      </c>
      <c r="AJ104" s="157" t="n">
        <f aca="false">receitasvariáveisconsolidadomai[[#This Row],[31]]</f>
        <v>0</v>
      </c>
      <c r="AK104" s="158"/>
    </row>
    <row r="105" customFormat="false" ht="6.75" hidden="false" customHeight="true" outlineLevel="0" collapsed="false">
      <c r="B105" s="97"/>
      <c r="C105" s="162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233"/>
      <c r="AJ105" s="164"/>
      <c r="AK105" s="244"/>
    </row>
    <row r="106" s="78" customFormat="true" ht="12.75" hidden="false" customHeight="false" outlineLevel="0" collapsed="false">
      <c r="E106" s="100"/>
    </row>
    <row r="107" s="78" customFormat="true" ht="12" hidden="false" customHeight="false" outlineLevel="0" collapsed="false"/>
    <row r="108" s="78" customFormat="true" ht="12" hidden="false" customHeight="false" outlineLevel="0" collapsed="false"/>
    <row r="109" customFormat="false" ht="39.75" hidden="false" customHeight="true" outlineLevel="0" collapsed="false">
      <c r="C109" s="101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3" t="s">
        <v>2</v>
      </c>
    </row>
    <row r="110" s="78" customFormat="true" ht="12.75" hidden="false" customHeight="false" outlineLevel="0" collapsed="false">
      <c r="B110" s="161"/>
      <c r="AJ110" s="106" t="s">
        <v>64</v>
      </c>
    </row>
    <row r="111" customFormat="false" ht="6.75" hidden="false" customHeight="true" outlineLevel="0" collapsed="false">
      <c r="B111" s="86"/>
      <c r="C111" s="162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233"/>
      <c r="AK111" s="139"/>
    </row>
    <row r="112" customFormat="false" ht="13.5" hidden="true" customHeight="false" outlineLevel="0" collapsed="false">
      <c r="B112" s="86"/>
      <c r="C112" s="109" t="s">
        <v>68</v>
      </c>
      <c r="D112" s="110" t="s">
        <v>69</v>
      </c>
      <c r="E112" s="110" t="s">
        <v>30</v>
      </c>
      <c r="F112" s="110" t="s">
        <v>31</v>
      </c>
      <c r="G112" s="110" t="s">
        <v>32</v>
      </c>
      <c r="H112" s="110" t="s">
        <v>33</v>
      </c>
      <c r="I112" s="110" t="s">
        <v>34</v>
      </c>
      <c r="J112" s="110" t="s">
        <v>35</v>
      </c>
      <c r="K112" s="110" t="s">
        <v>36</v>
      </c>
      <c r="L112" s="110" t="s">
        <v>37</v>
      </c>
      <c r="M112" s="110" t="s">
        <v>38</v>
      </c>
      <c r="N112" s="110" t="s">
        <v>39</v>
      </c>
      <c r="O112" s="110" t="s">
        <v>40</v>
      </c>
      <c r="P112" s="110" t="s">
        <v>41</v>
      </c>
      <c r="Q112" s="110" t="s">
        <v>81</v>
      </c>
      <c r="R112" s="110" t="s">
        <v>82</v>
      </c>
      <c r="S112" s="110" t="s">
        <v>83</v>
      </c>
      <c r="T112" s="110" t="s">
        <v>84</v>
      </c>
      <c r="U112" s="110" t="s">
        <v>85</v>
      </c>
      <c r="V112" s="110" t="s">
        <v>86</v>
      </c>
      <c r="W112" s="110" t="s">
        <v>87</v>
      </c>
      <c r="X112" s="110" t="s">
        <v>88</v>
      </c>
      <c r="Y112" s="110" t="s">
        <v>89</v>
      </c>
      <c r="Z112" s="110" t="s">
        <v>90</v>
      </c>
      <c r="AA112" s="110" t="s">
        <v>91</v>
      </c>
      <c r="AB112" s="110" t="s">
        <v>92</v>
      </c>
      <c r="AC112" s="110" t="s">
        <v>93</v>
      </c>
      <c r="AD112" s="110" t="s">
        <v>94</v>
      </c>
      <c r="AE112" s="110" t="s">
        <v>95</v>
      </c>
      <c r="AF112" s="110" t="s">
        <v>96</v>
      </c>
      <c r="AG112" s="110" t="s">
        <v>97</v>
      </c>
      <c r="AH112" s="110" t="s">
        <v>98</v>
      </c>
      <c r="AI112" s="110" t="s">
        <v>99</v>
      </c>
      <c r="AJ112" s="111" t="s">
        <v>70</v>
      </c>
      <c r="AK112" s="86"/>
    </row>
    <row r="113" customFormat="false" ht="19.5" hidden="false" customHeight="true" outlineLevel="0" collapsed="false">
      <c r="B113" s="143"/>
      <c r="C113" s="144" t="str">
        <f aca="false">DADOS!$AD$3</f>
        <v>📝 CDB</v>
      </c>
      <c r="D113" s="145" t="str">
        <f aca="false">IF(investirrendafixaconsolidadomai[[#This Row],[TOTAL (R$)]]=0,"",IF(OR(investirrendafixaconsolidadomai[[#This Row],[TOTAL (R$)]]=LARGE($AJ$113:$AJ$122,1),investirrendafixaconsolidadomai[[#This Row],[TOTAL (R$)]]=LARGE($AJ$113:$AJ$122,2)),DADOS!$I$10,""))</f>
        <v/>
      </c>
      <c r="E113" s="148" t="n">
        <f aca="false">SUMIFS(tabela_registros[VALOR],tabela_registros[MÊS],$AE$1,tabela_registros[DIA],investirrendafixaconsolidadomai[[#Headers],[1]],tabela_registros[REGISTRO],DADOS!$N$5,tabela_registros[TIPO],DADOS!$AB$3,tabela_registros[CATEGORIA],investirrendafixaconsolidadomai[[#This Row],[ATUAL]])</f>
        <v>0</v>
      </c>
      <c r="F113" s="119" t="n">
        <f aca="false">SUMIFS(tabela_registros[VALOR],tabela_registros[MÊS],$AE$1,tabela_registros[DIA],investirrendafixaconsolidadomai[[#Headers],[2]],tabela_registros[REGISTRO],DADOS!$N$5,tabela_registros[TIPO],DADOS!$AB$3,tabela_registros[CATEGORIA],investirrendafixaconsolidadomai[[#This Row],[ATUAL]])</f>
        <v>0</v>
      </c>
      <c r="G113" s="119" t="n">
        <f aca="false">SUMIFS(tabela_registros[VALOR],tabela_registros[MÊS],$AE$1,tabela_registros[DIA],investirrendafixaconsolidadomai[[#Headers],[3]],tabela_registros[REGISTRO],DADOS!$N$5,tabela_registros[TIPO],DADOS!$AB$3,tabela_registros[CATEGORIA],investirrendafixaconsolidadomai[[#This Row],[ATUAL]])</f>
        <v>0</v>
      </c>
      <c r="H113" s="119" t="n">
        <f aca="false">SUMIFS(tabela_registros[VALOR],tabela_registros[MÊS],$AE$1,tabela_registros[DIA],investirrendafixaconsolidadomai[[#Headers],[4]],tabela_registros[REGISTRO],DADOS!$N$5,tabela_registros[TIPO],DADOS!$AB$3,tabela_registros[CATEGORIA],investirrendafixaconsolidadomai[[#This Row],[ATUAL]])</f>
        <v>0</v>
      </c>
      <c r="I113" s="119" t="n">
        <f aca="false">SUMIFS(tabela_registros[VALOR],tabela_registros[MÊS],$AE$1,tabela_registros[DIA],investirrendafixaconsolidadomai[[#Headers],[5]],tabela_registros[REGISTRO],DADOS!$N$5,tabela_registros[TIPO],DADOS!$AB$3,tabela_registros[CATEGORIA],investirrendafixaconsolidadomai[[#This Row],[ATUAL]])</f>
        <v>0</v>
      </c>
      <c r="J113" s="119" t="n">
        <f aca="false">SUMIFS(tabela_registros[VALOR],tabela_registros[MÊS],$AE$1,tabela_registros[DIA],investirrendafixaconsolidadomai[[#Headers],[6]],tabela_registros[REGISTRO],DADOS!$N$5,tabela_registros[TIPO],DADOS!$AB$3,tabela_registros[CATEGORIA],investirrendafixaconsolidadomai[[#This Row],[ATUAL]])</f>
        <v>0</v>
      </c>
      <c r="K113" s="119" t="n">
        <f aca="false">SUMIFS(tabela_registros[VALOR],tabela_registros[MÊS],$AE$1,tabela_registros[DIA],investirrendafixaconsolidadomai[[#Headers],[7]],tabela_registros[REGISTRO],DADOS!$N$5,tabela_registros[TIPO],DADOS!$AB$3,tabela_registros[CATEGORIA],investirrendafixaconsolidadomai[[#This Row],[ATUAL]])</f>
        <v>0</v>
      </c>
      <c r="L113" s="119" t="n">
        <f aca="false">SUMIFS(tabela_registros[VALOR],tabela_registros[MÊS],$AE$1,tabela_registros[DIA],investirrendafixaconsolidadomai[[#Headers],[8]],tabela_registros[REGISTRO],DADOS!$N$5,tabela_registros[TIPO],DADOS!$AB$3,tabela_registros[CATEGORIA],investirrendafixaconsolidadomai[[#This Row],[ATUAL]])</f>
        <v>0</v>
      </c>
      <c r="M113" s="119" t="n">
        <f aca="false">SUMIFS(tabela_registros[VALOR],tabela_registros[MÊS],$AE$1,tabela_registros[DIA],investirrendafixaconsolidadomai[[#Headers],[9]],tabela_registros[REGISTRO],DADOS!$N$5,tabela_registros[TIPO],DADOS!$AB$3,tabela_registros[CATEGORIA],investirrendafixaconsolidadomai[[#This Row],[ATUAL]])</f>
        <v>0</v>
      </c>
      <c r="N113" s="119" t="n">
        <f aca="false">SUMIFS(tabela_registros[VALOR],tabela_registros[MÊS],$AE$1,tabela_registros[DIA],investirrendafixaconsolidadomai[[#Headers],[10]],tabela_registros[REGISTRO],DADOS!$N$5,tabela_registros[TIPO],DADOS!$AB$3,tabela_registros[CATEGORIA],investirrendafixaconsolidadomai[[#This Row],[ATUAL]])</f>
        <v>0</v>
      </c>
      <c r="O113" s="119" t="n">
        <f aca="false">SUMIFS(tabela_registros[VALOR],tabela_registros[MÊS],$AE$1,tabela_registros[DIA],investirrendafixaconsolidadomai[[#Headers],[11]],tabela_registros[REGISTRO],DADOS!$N$5,tabela_registros[TIPO],DADOS!$AB$3,tabela_registros[CATEGORIA],investirrendafixaconsolidadomai[[#This Row],[ATUAL]])</f>
        <v>0</v>
      </c>
      <c r="P113" s="119" t="n">
        <f aca="false">SUMIFS(tabela_registros[VALOR],tabela_registros[MÊS],$AE$1,tabela_registros[DIA],investirrendafixaconsolidadomai[[#Headers],[12]],tabela_registros[REGISTRO],DADOS!$N$5,tabela_registros[TIPO],DADOS!$AB$3,tabela_registros[CATEGORIA],investirrendafixaconsolidadomai[[#This Row],[ATUAL]])</f>
        <v>0</v>
      </c>
      <c r="Q113" s="119" t="n">
        <f aca="false">SUMIFS(tabela_registros[VALOR],tabela_registros[MÊS],$AE$1,tabela_registros[DIA],investirrendafixaconsolidadomai[[#Headers],[13]],tabela_registros[REGISTRO],DADOS!$N$5,tabela_registros[TIPO],DADOS!$AB$3,tabela_registros[CATEGORIA],investirrendafixaconsolidadomai[[#This Row],[ATUAL]])</f>
        <v>0</v>
      </c>
      <c r="R113" s="119" t="n">
        <f aca="false">SUMIFS(tabela_registros[VALOR],tabela_registros[MÊS],$AE$1,tabela_registros[DIA],investirrendafixaconsolidadomai[[#Headers],[14]],tabela_registros[REGISTRO],DADOS!$N$5,tabela_registros[TIPO],DADOS!$AB$3,tabela_registros[CATEGORIA],investirrendafixaconsolidadomai[[#This Row],[ATUAL]])</f>
        <v>0</v>
      </c>
      <c r="S113" s="119" t="n">
        <f aca="false">SUMIFS(tabela_registros[VALOR],tabela_registros[MÊS],$AE$1,tabela_registros[DIA],investirrendafixaconsolidadomai[[#Headers],[15]],tabela_registros[REGISTRO],DADOS!$N$5,tabela_registros[TIPO],DADOS!$AB$3,tabela_registros[CATEGORIA],investirrendafixaconsolidadomai[[#This Row],[ATUAL]])</f>
        <v>0</v>
      </c>
      <c r="T113" s="119" t="n">
        <f aca="false">SUMIFS(tabela_registros[VALOR],tabela_registros[MÊS],$AE$1,tabela_registros[DIA],investirrendafixaconsolidadomai[[#Headers],[16]],tabela_registros[REGISTRO],DADOS!$N$5,tabela_registros[TIPO],DADOS!$AB$3,tabela_registros[CATEGORIA],investirrendafixaconsolidadomai[[#This Row],[ATUAL]])</f>
        <v>0</v>
      </c>
      <c r="U113" s="119" t="n">
        <f aca="false">SUMIFS(tabela_registros[VALOR],tabela_registros[MÊS],$AE$1,tabela_registros[DIA],investirrendafixaconsolidadomai[[#Headers],[17]],tabela_registros[REGISTRO],DADOS!$N$5,tabela_registros[TIPO],DADOS!$AB$3,tabela_registros[CATEGORIA],investirrendafixaconsolidadomai[[#This Row],[ATUAL]])</f>
        <v>0</v>
      </c>
      <c r="V113" s="119" t="n">
        <f aca="false">SUMIFS(tabela_registros[VALOR],tabela_registros[MÊS],$AE$1,tabela_registros[DIA],investirrendafixaconsolidadomai[[#Headers],[18]],tabela_registros[REGISTRO],DADOS!$N$5,tabela_registros[TIPO],DADOS!$AB$3,tabela_registros[CATEGORIA],investirrendafixaconsolidadomai[[#This Row],[ATUAL]])</f>
        <v>0</v>
      </c>
      <c r="W113" s="119" t="n">
        <f aca="false">SUMIFS(tabela_registros[VALOR],tabela_registros[MÊS],$AE$1,tabela_registros[DIA],investirrendafixaconsolidadomai[[#Headers],[19]],tabela_registros[REGISTRO],DADOS!$N$5,tabela_registros[TIPO],DADOS!$AB$3,tabela_registros[CATEGORIA],investirrendafixaconsolidadomai[[#This Row],[ATUAL]])</f>
        <v>0</v>
      </c>
      <c r="X113" s="119" t="n">
        <f aca="false">SUMIFS(tabela_registros[VALOR],tabela_registros[MÊS],$AE$1,tabela_registros[DIA],investirrendafixaconsolidadomai[[#Headers],[20]],tabela_registros[REGISTRO],DADOS!$N$5,tabela_registros[TIPO],DADOS!$AB$3,tabela_registros[CATEGORIA],investirrendafixaconsolidadomai[[#This Row],[ATUAL]])</f>
        <v>0</v>
      </c>
      <c r="Y113" s="119" t="n">
        <f aca="false">SUMIFS(tabela_registros[VALOR],tabela_registros[MÊS],$AE$1,tabela_registros[DIA],investirrendafixaconsolidadomai[[#Headers],[21]],tabela_registros[REGISTRO],DADOS!$N$5,tabela_registros[TIPO],DADOS!$AB$3,tabela_registros[CATEGORIA],investirrendafixaconsolidadomai[[#This Row],[ATUAL]])</f>
        <v>0</v>
      </c>
      <c r="Z113" s="119" t="n">
        <f aca="false">SUMIFS(tabela_registros[VALOR],tabela_registros[MÊS],$AE$1,tabela_registros[DIA],investirrendafixaconsolidadomai[[#Headers],[22]],tabela_registros[REGISTRO],DADOS!$N$5,tabela_registros[TIPO],DADOS!$AB$3,tabela_registros[CATEGORIA],investirrendafixaconsolidadomai[[#This Row],[ATUAL]])</f>
        <v>0</v>
      </c>
      <c r="AA113" s="119" t="n">
        <f aca="false">SUMIFS(tabela_registros[VALOR],tabela_registros[MÊS],$AE$1,tabela_registros[DIA],investirrendafixaconsolidadomai[[#Headers],[23]],tabela_registros[REGISTRO],DADOS!$N$5,tabela_registros[TIPO],DADOS!$AB$3,tabela_registros[CATEGORIA],investirrendafixaconsolidadomai[[#This Row],[ATUAL]])</f>
        <v>0</v>
      </c>
      <c r="AB113" s="119" t="n">
        <f aca="false">SUMIFS(tabela_registros[VALOR],tabela_registros[MÊS],$AE$1,tabela_registros[DIA],investirrendafixaconsolidadomai[[#Headers],[24]],tabela_registros[REGISTRO],DADOS!$N$5,tabela_registros[TIPO],DADOS!$AB$3,tabela_registros[CATEGORIA],investirrendafixaconsolidadomai[[#This Row],[ATUAL]])</f>
        <v>0</v>
      </c>
      <c r="AC113" s="119" t="n">
        <f aca="false">SUMIFS(tabela_registros[VALOR],tabela_registros[MÊS],$AE$1,tabela_registros[DIA],investirrendafixaconsolidadomai[[#Headers],[25]],tabela_registros[REGISTRO],DADOS!$N$5,tabela_registros[TIPO],DADOS!$AB$3,tabela_registros[CATEGORIA],investirrendafixaconsolidadomai[[#This Row],[ATUAL]])</f>
        <v>0</v>
      </c>
      <c r="AD113" s="119" t="n">
        <f aca="false">SUMIFS(tabela_registros[VALOR],tabela_registros[MÊS],$AE$1,tabela_registros[DIA],investirrendafixaconsolidadomai[[#Headers],[26]],tabela_registros[REGISTRO],DADOS!$N$5,tabela_registros[TIPO],DADOS!$AB$3,tabela_registros[CATEGORIA],investirrendafixaconsolidadomai[[#This Row],[ATUAL]])</f>
        <v>0</v>
      </c>
      <c r="AE113" s="119" t="n">
        <f aca="false">SUMIFS(tabela_registros[VALOR],tabela_registros[MÊS],$AE$1,tabela_registros[DIA],investirrendafixaconsolidadomai[[#Headers],[27]],tabela_registros[REGISTRO],DADOS!$N$5,tabela_registros[TIPO],DADOS!$AB$3,tabela_registros[CATEGORIA],investirrendafixaconsolidadomai[[#This Row],[ATUAL]])</f>
        <v>0</v>
      </c>
      <c r="AF113" s="119" t="n">
        <f aca="false">SUMIFS(tabela_registros[VALOR],tabela_registros[MÊS],$AE$1,tabela_registros[DIA],investirrendafixaconsolidadomai[[#Headers],[28]],tabela_registros[REGISTRO],DADOS!$N$5,tabela_registros[TIPO],DADOS!$AB$3,tabela_registros[CATEGORIA],investirrendafixaconsolidadomai[[#This Row],[ATUAL]])</f>
        <v>0</v>
      </c>
      <c r="AG113" s="119" t="n">
        <f aca="false">SUMIFS(tabela_registros[VALOR],tabela_registros[MÊS],$AE$1,tabela_registros[DIA],investirrendafixaconsolidadomai[[#Headers],[29]],tabela_registros[REGISTRO],DADOS!$N$5,tabela_registros[TIPO],DADOS!$AB$3,tabela_registros[CATEGORIA],investirrendafixaconsolidadomai[[#This Row],[ATUAL]])</f>
        <v>0</v>
      </c>
      <c r="AH113" s="119" t="n">
        <f aca="false">SUMIFS(tabela_registros[VALOR],tabela_registros[MÊS],$AE$1,tabela_registros[DIA],investirrendafixaconsolidadomai[[#Headers],[30]],tabela_registros[REGISTRO],DADOS!$N$5,tabela_registros[TIPO],DADOS!$AB$3,tabela_registros[CATEGORIA],investirrendafixaconsolidadomai[[#This Row],[ATUAL]])</f>
        <v>0</v>
      </c>
      <c r="AI113" s="217" t="n">
        <f aca="false">SUMIFS(tabela_registros[VALOR],tabela_registros[MÊS],$AE$1,tabela_registros[DIA],investirrendafixaconsolidadomai[[#Headers],[31]],tabela_registros[REGISTRO],DADOS!$N$5,tabela_registros[TIPO],DADOS!$AB$3,tabela_registros[CATEGORIA],investirrendafixaconsolidadomai[[#This Row],[ATUAL]])</f>
        <v>0</v>
      </c>
      <c r="AJ113" s="149" t="n">
        <f aca="false">SUM(investirrendafixaconsolidadomai[[#This Row],[1]:[31]])</f>
        <v>0</v>
      </c>
      <c r="AK113" s="165"/>
    </row>
    <row r="114" customFormat="false" ht="19.5" hidden="false" customHeight="true" outlineLevel="0" collapsed="false">
      <c r="B114" s="143"/>
      <c r="C114" s="144" t="str">
        <f aca="false">DADOS!$AD$4</f>
        <v>📝 CRA</v>
      </c>
      <c r="D114" s="145" t="str">
        <f aca="false">IF(investirrendafixaconsolidadomai[[#This Row],[TOTAL (R$)]]=0,"",IF(OR(investirrendafixaconsolidadomai[[#This Row],[TOTAL (R$)]]=LARGE($AJ$113:$AJ$122,1),investirrendafixaconsolidadomai[[#This Row],[TOTAL (R$)]]=LARGE($AJ$113:$AJ$122,2)),DADOS!$I$10,""))</f>
        <v/>
      </c>
      <c r="E114" s="148" t="n">
        <f aca="false">SUMIFS(tabela_registros[VALOR],tabela_registros[MÊS],$AE$1,tabela_registros[DIA],investirrendafixaconsolidadomai[[#Headers],[1]],tabela_registros[REGISTRO],DADOS!$N$5,tabela_registros[TIPO],DADOS!$AB$3,tabela_registros[CATEGORIA],investirrendafixaconsolidadomai[[#This Row],[ATUAL]])</f>
        <v>0</v>
      </c>
      <c r="F114" s="119" t="n">
        <f aca="false">SUMIFS(tabela_registros[VALOR],tabela_registros[MÊS],$AE$1,tabela_registros[DIA],investirrendafixaconsolidadomai[[#Headers],[2]],tabela_registros[REGISTRO],DADOS!$N$5,tabela_registros[TIPO],DADOS!$AB$3,tabela_registros[CATEGORIA],investirrendafixaconsolidadomai[[#This Row],[ATUAL]])</f>
        <v>0</v>
      </c>
      <c r="G114" s="119" t="n">
        <f aca="false">SUMIFS(tabela_registros[VALOR],tabela_registros[MÊS],$AE$1,tabela_registros[DIA],investirrendafixaconsolidadomai[[#Headers],[3]],tabela_registros[REGISTRO],DADOS!$N$5,tabela_registros[TIPO],DADOS!$AB$3,tabela_registros[CATEGORIA],investirrendafixaconsolidadomai[[#This Row],[ATUAL]])</f>
        <v>0</v>
      </c>
      <c r="H114" s="119" t="n">
        <f aca="false">SUMIFS(tabela_registros[VALOR],tabela_registros[MÊS],$AE$1,tabela_registros[DIA],investirrendafixaconsolidadomai[[#Headers],[4]],tabela_registros[REGISTRO],DADOS!$N$5,tabela_registros[TIPO],DADOS!$AB$3,tabela_registros[CATEGORIA],investirrendafixaconsolidadomai[[#This Row],[ATUAL]])</f>
        <v>0</v>
      </c>
      <c r="I114" s="119" t="n">
        <f aca="false">SUMIFS(tabela_registros[VALOR],tabela_registros[MÊS],$AE$1,tabela_registros[DIA],investirrendafixaconsolidadomai[[#Headers],[5]],tabela_registros[REGISTRO],DADOS!$N$5,tabela_registros[TIPO],DADOS!$AB$3,tabela_registros[CATEGORIA],investirrendafixaconsolidadomai[[#This Row],[ATUAL]])</f>
        <v>0</v>
      </c>
      <c r="J114" s="119" t="n">
        <f aca="false">SUMIFS(tabela_registros[VALOR],tabela_registros[MÊS],$AE$1,tabela_registros[DIA],investirrendafixaconsolidadomai[[#Headers],[6]],tabela_registros[REGISTRO],DADOS!$N$5,tabela_registros[TIPO],DADOS!$AB$3,tabela_registros[CATEGORIA],investirrendafixaconsolidadomai[[#This Row],[ATUAL]])</f>
        <v>0</v>
      </c>
      <c r="K114" s="119" t="n">
        <f aca="false">SUMIFS(tabela_registros[VALOR],tabela_registros[MÊS],$AE$1,tabela_registros[DIA],investirrendafixaconsolidadomai[[#Headers],[7]],tabela_registros[REGISTRO],DADOS!$N$5,tabela_registros[TIPO],DADOS!$AB$3,tabela_registros[CATEGORIA],investirrendafixaconsolidadomai[[#This Row],[ATUAL]])</f>
        <v>0</v>
      </c>
      <c r="L114" s="119" t="n">
        <f aca="false">SUMIFS(tabela_registros[VALOR],tabela_registros[MÊS],$AE$1,tabela_registros[DIA],investirrendafixaconsolidadomai[[#Headers],[8]],tabela_registros[REGISTRO],DADOS!$N$5,tabela_registros[TIPO],DADOS!$AB$3,tabela_registros[CATEGORIA],investirrendafixaconsolidadomai[[#This Row],[ATUAL]])</f>
        <v>0</v>
      </c>
      <c r="M114" s="119" t="n">
        <f aca="false">SUMIFS(tabela_registros[VALOR],tabela_registros[MÊS],$AE$1,tabela_registros[DIA],investirrendafixaconsolidadomai[[#Headers],[9]],tabela_registros[REGISTRO],DADOS!$N$5,tabela_registros[TIPO],DADOS!$AB$3,tabela_registros[CATEGORIA],investirrendafixaconsolidadomai[[#This Row],[ATUAL]])</f>
        <v>0</v>
      </c>
      <c r="N114" s="119" t="n">
        <f aca="false">SUMIFS(tabela_registros[VALOR],tabela_registros[MÊS],$AE$1,tabela_registros[DIA],investirrendafixaconsolidadomai[[#Headers],[10]],tabela_registros[REGISTRO],DADOS!$N$5,tabela_registros[TIPO],DADOS!$AB$3,tabela_registros[CATEGORIA],investirrendafixaconsolidadomai[[#This Row],[ATUAL]])</f>
        <v>0</v>
      </c>
      <c r="O114" s="119" t="n">
        <f aca="false">SUMIFS(tabela_registros[VALOR],tabela_registros[MÊS],$AE$1,tabela_registros[DIA],investirrendafixaconsolidadomai[[#Headers],[11]],tabela_registros[REGISTRO],DADOS!$N$5,tabela_registros[TIPO],DADOS!$AB$3,tabela_registros[CATEGORIA],investirrendafixaconsolidadomai[[#This Row],[ATUAL]])</f>
        <v>0</v>
      </c>
      <c r="P114" s="119" t="n">
        <f aca="false">SUMIFS(tabela_registros[VALOR],tabela_registros[MÊS],$AE$1,tabela_registros[DIA],investirrendafixaconsolidadomai[[#Headers],[12]],tabela_registros[REGISTRO],DADOS!$N$5,tabela_registros[TIPO],DADOS!$AB$3,tabela_registros[CATEGORIA],investirrendafixaconsolidadomai[[#This Row],[ATUAL]])</f>
        <v>0</v>
      </c>
      <c r="Q114" s="119" t="n">
        <f aca="false">SUMIFS(tabela_registros[VALOR],tabela_registros[MÊS],$AE$1,tabela_registros[DIA],investirrendafixaconsolidadomai[[#Headers],[13]],tabela_registros[REGISTRO],DADOS!$N$5,tabela_registros[TIPO],DADOS!$AB$3,tabela_registros[CATEGORIA],investirrendafixaconsolidadomai[[#This Row],[ATUAL]])</f>
        <v>0</v>
      </c>
      <c r="R114" s="119" t="n">
        <f aca="false">SUMIFS(tabela_registros[VALOR],tabela_registros[MÊS],$AE$1,tabela_registros[DIA],investirrendafixaconsolidadomai[[#Headers],[14]],tabela_registros[REGISTRO],DADOS!$N$5,tabela_registros[TIPO],DADOS!$AB$3,tabela_registros[CATEGORIA],investirrendafixaconsolidadomai[[#This Row],[ATUAL]])</f>
        <v>0</v>
      </c>
      <c r="S114" s="119" t="n">
        <f aca="false">SUMIFS(tabela_registros[VALOR],tabela_registros[MÊS],$AE$1,tabela_registros[DIA],investirrendafixaconsolidadomai[[#Headers],[15]],tabela_registros[REGISTRO],DADOS!$N$5,tabela_registros[TIPO],DADOS!$AB$3,tabela_registros[CATEGORIA],investirrendafixaconsolidadomai[[#This Row],[ATUAL]])</f>
        <v>0</v>
      </c>
      <c r="T114" s="119" t="n">
        <f aca="false">SUMIFS(tabela_registros[VALOR],tabela_registros[MÊS],$AE$1,tabela_registros[DIA],investirrendafixaconsolidadomai[[#Headers],[16]],tabela_registros[REGISTRO],DADOS!$N$5,tabela_registros[TIPO],DADOS!$AB$3,tabela_registros[CATEGORIA],investirrendafixaconsolidadomai[[#This Row],[ATUAL]])</f>
        <v>0</v>
      </c>
      <c r="U114" s="119" t="n">
        <f aca="false">SUMIFS(tabela_registros[VALOR],tabela_registros[MÊS],$AE$1,tabela_registros[DIA],investirrendafixaconsolidadomai[[#Headers],[17]],tabela_registros[REGISTRO],DADOS!$N$5,tabela_registros[TIPO],DADOS!$AB$3,tabela_registros[CATEGORIA],investirrendafixaconsolidadomai[[#This Row],[ATUAL]])</f>
        <v>0</v>
      </c>
      <c r="V114" s="119" t="n">
        <f aca="false">SUMIFS(tabela_registros[VALOR],tabela_registros[MÊS],$AE$1,tabela_registros[DIA],investirrendafixaconsolidadomai[[#Headers],[18]],tabela_registros[REGISTRO],DADOS!$N$5,tabela_registros[TIPO],DADOS!$AB$3,tabela_registros[CATEGORIA],investirrendafixaconsolidadomai[[#This Row],[ATUAL]])</f>
        <v>0</v>
      </c>
      <c r="W114" s="119" t="n">
        <f aca="false">SUMIFS(tabela_registros[VALOR],tabela_registros[MÊS],$AE$1,tabela_registros[DIA],investirrendafixaconsolidadomai[[#Headers],[19]],tabela_registros[REGISTRO],DADOS!$N$5,tabela_registros[TIPO],DADOS!$AB$3,tabela_registros[CATEGORIA],investirrendafixaconsolidadomai[[#This Row],[ATUAL]])</f>
        <v>0</v>
      </c>
      <c r="X114" s="119" t="n">
        <f aca="false">SUMIFS(tabela_registros[VALOR],tabela_registros[MÊS],$AE$1,tabela_registros[DIA],investirrendafixaconsolidadomai[[#Headers],[20]],tabela_registros[REGISTRO],DADOS!$N$5,tabela_registros[TIPO],DADOS!$AB$3,tabela_registros[CATEGORIA],investirrendafixaconsolidadomai[[#This Row],[ATUAL]])</f>
        <v>0</v>
      </c>
      <c r="Y114" s="119" t="n">
        <f aca="false">SUMIFS(tabela_registros[VALOR],tabela_registros[MÊS],$AE$1,tabela_registros[DIA],investirrendafixaconsolidadomai[[#Headers],[21]],tabela_registros[REGISTRO],DADOS!$N$5,tabela_registros[TIPO],DADOS!$AB$3,tabela_registros[CATEGORIA],investirrendafixaconsolidadomai[[#This Row],[ATUAL]])</f>
        <v>0</v>
      </c>
      <c r="Z114" s="119" t="n">
        <f aca="false">SUMIFS(tabela_registros[VALOR],tabela_registros[MÊS],$AE$1,tabela_registros[DIA],investirrendafixaconsolidadomai[[#Headers],[22]],tabela_registros[REGISTRO],DADOS!$N$5,tabela_registros[TIPO],DADOS!$AB$3,tabela_registros[CATEGORIA],investirrendafixaconsolidadomai[[#This Row],[ATUAL]])</f>
        <v>0</v>
      </c>
      <c r="AA114" s="119" t="n">
        <f aca="false">SUMIFS(tabela_registros[VALOR],tabela_registros[MÊS],$AE$1,tabela_registros[DIA],investirrendafixaconsolidadomai[[#Headers],[23]],tabela_registros[REGISTRO],DADOS!$N$5,tabela_registros[TIPO],DADOS!$AB$3,tabela_registros[CATEGORIA],investirrendafixaconsolidadomai[[#This Row],[ATUAL]])</f>
        <v>0</v>
      </c>
      <c r="AB114" s="119" t="n">
        <f aca="false">SUMIFS(tabela_registros[VALOR],tabela_registros[MÊS],$AE$1,tabela_registros[DIA],investirrendafixaconsolidadomai[[#Headers],[24]],tabela_registros[REGISTRO],DADOS!$N$5,tabela_registros[TIPO],DADOS!$AB$3,tabela_registros[CATEGORIA],investirrendafixaconsolidadomai[[#This Row],[ATUAL]])</f>
        <v>0</v>
      </c>
      <c r="AC114" s="119" t="n">
        <f aca="false">SUMIFS(tabela_registros[VALOR],tabela_registros[MÊS],$AE$1,tabela_registros[DIA],investirrendafixaconsolidadomai[[#Headers],[25]],tabela_registros[REGISTRO],DADOS!$N$5,tabela_registros[TIPO],DADOS!$AB$3,tabela_registros[CATEGORIA],investirrendafixaconsolidadomai[[#This Row],[ATUAL]])</f>
        <v>0</v>
      </c>
      <c r="AD114" s="119" t="n">
        <f aca="false">SUMIFS(tabela_registros[VALOR],tabela_registros[MÊS],$AE$1,tabela_registros[DIA],investirrendafixaconsolidadomai[[#Headers],[26]],tabela_registros[REGISTRO],DADOS!$N$5,tabela_registros[TIPO],DADOS!$AB$3,tabela_registros[CATEGORIA],investirrendafixaconsolidadomai[[#This Row],[ATUAL]])</f>
        <v>0</v>
      </c>
      <c r="AE114" s="119" t="n">
        <f aca="false">SUMIFS(tabela_registros[VALOR],tabela_registros[MÊS],$AE$1,tabela_registros[DIA],investirrendafixaconsolidadomai[[#Headers],[27]],tabela_registros[REGISTRO],DADOS!$N$5,tabela_registros[TIPO],DADOS!$AB$3,tabela_registros[CATEGORIA],investirrendafixaconsolidadomai[[#This Row],[ATUAL]])</f>
        <v>0</v>
      </c>
      <c r="AF114" s="119" t="n">
        <f aca="false">SUMIFS(tabela_registros[VALOR],tabela_registros[MÊS],$AE$1,tabela_registros[DIA],investirrendafixaconsolidadomai[[#Headers],[28]],tabela_registros[REGISTRO],DADOS!$N$5,tabela_registros[TIPO],DADOS!$AB$3,tabela_registros[CATEGORIA],investirrendafixaconsolidadomai[[#This Row],[ATUAL]])</f>
        <v>0</v>
      </c>
      <c r="AG114" s="119" t="n">
        <f aca="false">SUMIFS(tabela_registros[VALOR],tabela_registros[MÊS],$AE$1,tabela_registros[DIA],investirrendafixaconsolidadomai[[#Headers],[29]],tabela_registros[REGISTRO],DADOS!$N$5,tabela_registros[TIPO],DADOS!$AB$3,tabela_registros[CATEGORIA],investirrendafixaconsolidadomai[[#This Row],[ATUAL]])</f>
        <v>0</v>
      </c>
      <c r="AH114" s="119" t="n">
        <f aca="false">SUMIFS(tabela_registros[VALOR],tabela_registros[MÊS],$AE$1,tabela_registros[DIA],investirrendafixaconsolidadomai[[#Headers],[30]],tabela_registros[REGISTRO],DADOS!$N$5,tabela_registros[TIPO],DADOS!$AB$3,tabela_registros[CATEGORIA],investirrendafixaconsolidadomai[[#This Row],[ATUAL]])</f>
        <v>0</v>
      </c>
      <c r="AI114" s="217" t="n">
        <f aca="false">SUMIFS(tabela_registros[VALOR],tabela_registros[MÊS],$AE$1,tabela_registros[DIA],investirrendafixaconsolidadomai[[#Headers],[31]],tabela_registros[REGISTRO],DADOS!$N$5,tabela_registros[TIPO],DADOS!$AB$3,tabela_registros[CATEGORIA],investirrendafixaconsolidadomai[[#This Row],[ATUAL]])</f>
        <v>0</v>
      </c>
      <c r="AJ114" s="149" t="n">
        <f aca="false">SUM(investirrendafixaconsolidadomai[[#This Row],[1]:[31]])</f>
        <v>0</v>
      </c>
      <c r="AK114" s="165"/>
    </row>
    <row r="115" customFormat="false" ht="19.5" hidden="false" customHeight="true" outlineLevel="0" collapsed="false">
      <c r="B115" s="143"/>
      <c r="C115" s="144" t="str">
        <f aca="false">DADOS!$AD$5</f>
        <v>📝 CRI</v>
      </c>
      <c r="D115" s="145" t="str">
        <f aca="false">IF(investirrendafixaconsolidadomai[[#This Row],[TOTAL (R$)]]=0,"",IF(OR(investirrendafixaconsolidadomai[[#This Row],[TOTAL (R$)]]=LARGE($AJ$113:$AJ$122,1),investirrendafixaconsolidadomai[[#This Row],[TOTAL (R$)]]=LARGE($AJ$113:$AJ$122,2)),DADOS!$I$10,""))</f>
        <v/>
      </c>
      <c r="E115" s="148" t="n">
        <f aca="false">SUMIFS(tabela_registros[VALOR],tabela_registros[MÊS],$AE$1,tabela_registros[DIA],investirrendafixaconsolidadomai[[#Headers],[1]],tabela_registros[REGISTRO],DADOS!$N$5,tabela_registros[TIPO],DADOS!$AB$3,tabela_registros[CATEGORIA],investirrendafixaconsolidadomai[[#This Row],[ATUAL]])</f>
        <v>0</v>
      </c>
      <c r="F115" s="119" t="n">
        <f aca="false">SUMIFS(tabela_registros[VALOR],tabela_registros[MÊS],$AE$1,tabela_registros[DIA],investirrendafixaconsolidadomai[[#Headers],[2]],tabela_registros[REGISTRO],DADOS!$N$5,tabela_registros[TIPO],DADOS!$AB$3,tabela_registros[CATEGORIA],investirrendafixaconsolidadomai[[#This Row],[ATUAL]])</f>
        <v>0</v>
      </c>
      <c r="G115" s="119" t="n">
        <f aca="false">SUMIFS(tabela_registros[VALOR],tabela_registros[MÊS],$AE$1,tabela_registros[DIA],investirrendafixaconsolidadomai[[#Headers],[3]],tabela_registros[REGISTRO],DADOS!$N$5,tabela_registros[TIPO],DADOS!$AB$3,tabela_registros[CATEGORIA],investirrendafixaconsolidadomai[[#This Row],[ATUAL]])</f>
        <v>0</v>
      </c>
      <c r="H115" s="119" t="n">
        <f aca="false">SUMIFS(tabela_registros[VALOR],tabela_registros[MÊS],$AE$1,tabela_registros[DIA],investirrendafixaconsolidadomai[[#Headers],[4]],tabela_registros[REGISTRO],DADOS!$N$5,tabela_registros[TIPO],DADOS!$AB$3,tabela_registros[CATEGORIA],investirrendafixaconsolidadomai[[#This Row],[ATUAL]])</f>
        <v>0</v>
      </c>
      <c r="I115" s="119" t="n">
        <f aca="false">SUMIFS(tabela_registros[VALOR],tabela_registros[MÊS],$AE$1,tabela_registros[DIA],investirrendafixaconsolidadomai[[#Headers],[5]],tabela_registros[REGISTRO],DADOS!$N$5,tabela_registros[TIPO],DADOS!$AB$3,tabela_registros[CATEGORIA],investirrendafixaconsolidadomai[[#This Row],[ATUAL]])</f>
        <v>0</v>
      </c>
      <c r="J115" s="119" t="n">
        <f aca="false">SUMIFS(tabela_registros[VALOR],tabela_registros[MÊS],$AE$1,tabela_registros[DIA],investirrendafixaconsolidadomai[[#Headers],[6]],tabela_registros[REGISTRO],DADOS!$N$5,tabela_registros[TIPO],DADOS!$AB$3,tabela_registros[CATEGORIA],investirrendafixaconsolidadomai[[#This Row],[ATUAL]])</f>
        <v>0</v>
      </c>
      <c r="K115" s="119" t="n">
        <f aca="false">SUMIFS(tabela_registros[VALOR],tabela_registros[MÊS],$AE$1,tabela_registros[DIA],investirrendafixaconsolidadomai[[#Headers],[7]],tabela_registros[REGISTRO],DADOS!$N$5,tabela_registros[TIPO],DADOS!$AB$3,tabela_registros[CATEGORIA],investirrendafixaconsolidadomai[[#This Row],[ATUAL]])</f>
        <v>0</v>
      </c>
      <c r="L115" s="119" t="n">
        <f aca="false">SUMIFS(tabela_registros[VALOR],tabela_registros[MÊS],$AE$1,tabela_registros[DIA],investirrendafixaconsolidadomai[[#Headers],[8]],tabela_registros[REGISTRO],DADOS!$N$5,tabela_registros[TIPO],DADOS!$AB$3,tabela_registros[CATEGORIA],investirrendafixaconsolidadomai[[#This Row],[ATUAL]])</f>
        <v>0</v>
      </c>
      <c r="M115" s="119" t="n">
        <f aca="false">SUMIFS(tabela_registros[VALOR],tabela_registros[MÊS],$AE$1,tabela_registros[DIA],investirrendafixaconsolidadomai[[#Headers],[9]],tabela_registros[REGISTRO],DADOS!$N$5,tabela_registros[TIPO],DADOS!$AB$3,tabela_registros[CATEGORIA],investirrendafixaconsolidadomai[[#This Row],[ATUAL]])</f>
        <v>0</v>
      </c>
      <c r="N115" s="119" t="n">
        <f aca="false">SUMIFS(tabela_registros[VALOR],tabela_registros[MÊS],$AE$1,tabela_registros[DIA],investirrendafixaconsolidadomai[[#Headers],[10]],tabela_registros[REGISTRO],DADOS!$N$5,tabela_registros[TIPO],DADOS!$AB$3,tabela_registros[CATEGORIA],investirrendafixaconsolidadomai[[#This Row],[ATUAL]])</f>
        <v>0</v>
      </c>
      <c r="O115" s="119" t="n">
        <f aca="false">SUMIFS(tabela_registros[VALOR],tabela_registros[MÊS],$AE$1,tabela_registros[DIA],investirrendafixaconsolidadomai[[#Headers],[11]],tabela_registros[REGISTRO],DADOS!$N$5,tabela_registros[TIPO],DADOS!$AB$3,tabela_registros[CATEGORIA],investirrendafixaconsolidadomai[[#This Row],[ATUAL]])</f>
        <v>0</v>
      </c>
      <c r="P115" s="119" t="n">
        <f aca="false">SUMIFS(tabela_registros[VALOR],tabela_registros[MÊS],$AE$1,tabela_registros[DIA],investirrendafixaconsolidadomai[[#Headers],[12]],tabela_registros[REGISTRO],DADOS!$N$5,tabela_registros[TIPO],DADOS!$AB$3,tabela_registros[CATEGORIA],investirrendafixaconsolidadomai[[#This Row],[ATUAL]])</f>
        <v>0</v>
      </c>
      <c r="Q115" s="119" t="n">
        <f aca="false">SUMIFS(tabela_registros[VALOR],tabela_registros[MÊS],$AE$1,tabela_registros[DIA],investirrendafixaconsolidadomai[[#Headers],[13]],tabela_registros[REGISTRO],DADOS!$N$5,tabela_registros[TIPO],DADOS!$AB$3,tabela_registros[CATEGORIA],investirrendafixaconsolidadomai[[#This Row],[ATUAL]])</f>
        <v>0</v>
      </c>
      <c r="R115" s="119" t="n">
        <f aca="false">SUMIFS(tabela_registros[VALOR],tabela_registros[MÊS],$AE$1,tabela_registros[DIA],investirrendafixaconsolidadomai[[#Headers],[14]],tabela_registros[REGISTRO],DADOS!$N$5,tabela_registros[TIPO],DADOS!$AB$3,tabela_registros[CATEGORIA],investirrendafixaconsolidadomai[[#This Row],[ATUAL]])</f>
        <v>0</v>
      </c>
      <c r="S115" s="119" t="n">
        <f aca="false">SUMIFS(tabela_registros[VALOR],tabela_registros[MÊS],$AE$1,tabela_registros[DIA],investirrendafixaconsolidadomai[[#Headers],[15]],tabela_registros[REGISTRO],DADOS!$N$5,tabela_registros[TIPO],DADOS!$AB$3,tabela_registros[CATEGORIA],investirrendafixaconsolidadomai[[#This Row],[ATUAL]])</f>
        <v>0</v>
      </c>
      <c r="T115" s="119" t="n">
        <f aca="false">SUMIFS(tabela_registros[VALOR],tabela_registros[MÊS],$AE$1,tabela_registros[DIA],investirrendafixaconsolidadomai[[#Headers],[16]],tabela_registros[REGISTRO],DADOS!$N$5,tabela_registros[TIPO],DADOS!$AB$3,tabela_registros[CATEGORIA],investirrendafixaconsolidadomai[[#This Row],[ATUAL]])</f>
        <v>0</v>
      </c>
      <c r="U115" s="119" t="n">
        <f aca="false">SUMIFS(tabela_registros[VALOR],tabela_registros[MÊS],$AE$1,tabela_registros[DIA],investirrendafixaconsolidadomai[[#Headers],[17]],tabela_registros[REGISTRO],DADOS!$N$5,tabela_registros[TIPO],DADOS!$AB$3,tabela_registros[CATEGORIA],investirrendafixaconsolidadomai[[#This Row],[ATUAL]])</f>
        <v>0</v>
      </c>
      <c r="V115" s="119" t="n">
        <f aca="false">SUMIFS(tabela_registros[VALOR],tabela_registros[MÊS],$AE$1,tabela_registros[DIA],investirrendafixaconsolidadomai[[#Headers],[18]],tabela_registros[REGISTRO],DADOS!$N$5,tabela_registros[TIPO],DADOS!$AB$3,tabela_registros[CATEGORIA],investirrendafixaconsolidadomai[[#This Row],[ATUAL]])</f>
        <v>0</v>
      </c>
      <c r="W115" s="119" t="n">
        <f aca="false">SUMIFS(tabela_registros[VALOR],tabela_registros[MÊS],$AE$1,tabela_registros[DIA],investirrendafixaconsolidadomai[[#Headers],[19]],tabela_registros[REGISTRO],DADOS!$N$5,tabela_registros[TIPO],DADOS!$AB$3,tabela_registros[CATEGORIA],investirrendafixaconsolidadomai[[#This Row],[ATUAL]])</f>
        <v>0</v>
      </c>
      <c r="X115" s="119" t="n">
        <f aca="false">SUMIFS(tabela_registros[VALOR],tabela_registros[MÊS],$AE$1,tabela_registros[DIA],investirrendafixaconsolidadomai[[#Headers],[20]],tabela_registros[REGISTRO],DADOS!$N$5,tabela_registros[TIPO],DADOS!$AB$3,tabela_registros[CATEGORIA],investirrendafixaconsolidadomai[[#This Row],[ATUAL]])</f>
        <v>0</v>
      </c>
      <c r="Y115" s="119" t="n">
        <f aca="false">SUMIFS(tabela_registros[VALOR],tabela_registros[MÊS],$AE$1,tabela_registros[DIA],investirrendafixaconsolidadomai[[#Headers],[21]],tabela_registros[REGISTRO],DADOS!$N$5,tabela_registros[TIPO],DADOS!$AB$3,tabela_registros[CATEGORIA],investirrendafixaconsolidadomai[[#This Row],[ATUAL]])</f>
        <v>0</v>
      </c>
      <c r="Z115" s="119" t="n">
        <f aca="false">SUMIFS(tabela_registros[VALOR],tabela_registros[MÊS],$AE$1,tabela_registros[DIA],investirrendafixaconsolidadomai[[#Headers],[22]],tabela_registros[REGISTRO],DADOS!$N$5,tabela_registros[TIPO],DADOS!$AB$3,tabela_registros[CATEGORIA],investirrendafixaconsolidadomai[[#This Row],[ATUAL]])</f>
        <v>0</v>
      </c>
      <c r="AA115" s="119" t="n">
        <f aca="false">SUMIFS(tabela_registros[VALOR],tabela_registros[MÊS],$AE$1,tabela_registros[DIA],investirrendafixaconsolidadomai[[#Headers],[23]],tabela_registros[REGISTRO],DADOS!$N$5,tabela_registros[TIPO],DADOS!$AB$3,tabela_registros[CATEGORIA],investirrendafixaconsolidadomai[[#This Row],[ATUAL]])</f>
        <v>0</v>
      </c>
      <c r="AB115" s="119" t="n">
        <f aca="false">SUMIFS(tabela_registros[VALOR],tabela_registros[MÊS],$AE$1,tabela_registros[DIA],investirrendafixaconsolidadomai[[#Headers],[24]],tabela_registros[REGISTRO],DADOS!$N$5,tabela_registros[TIPO],DADOS!$AB$3,tabela_registros[CATEGORIA],investirrendafixaconsolidadomai[[#This Row],[ATUAL]])</f>
        <v>0</v>
      </c>
      <c r="AC115" s="119" t="n">
        <f aca="false">SUMIFS(tabela_registros[VALOR],tabela_registros[MÊS],$AE$1,tabela_registros[DIA],investirrendafixaconsolidadomai[[#Headers],[25]],tabela_registros[REGISTRO],DADOS!$N$5,tabela_registros[TIPO],DADOS!$AB$3,tabela_registros[CATEGORIA],investirrendafixaconsolidadomai[[#This Row],[ATUAL]])</f>
        <v>0</v>
      </c>
      <c r="AD115" s="119" t="n">
        <f aca="false">SUMIFS(tabela_registros[VALOR],tabela_registros[MÊS],$AE$1,tabela_registros[DIA],investirrendafixaconsolidadomai[[#Headers],[26]],tabela_registros[REGISTRO],DADOS!$N$5,tabela_registros[TIPO],DADOS!$AB$3,tabela_registros[CATEGORIA],investirrendafixaconsolidadomai[[#This Row],[ATUAL]])</f>
        <v>0</v>
      </c>
      <c r="AE115" s="119" t="n">
        <f aca="false">SUMIFS(tabela_registros[VALOR],tabela_registros[MÊS],$AE$1,tabela_registros[DIA],investirrendafixaconsolidadomai[[#Headers],[27]],tabela_registros[REGISTRO],DADOS!$N$5,tabela_registros[TIPO],DADOS!$AB$3,tabela_registros[CATEGORIA],investirrendafixaconsolidadomai[[#This Row],[ATUAL]])</f>
        <v>0</v>
      </c>
      <c r="AF115" s="119" t="n">
        <f aca="false">SUMIFS(tabela_registros[VALOR],tabela_registros[MÊS],$AE$1,tabela_registros[DIA],investirrendafixaconsolidadomai[[#Headers],[28]],tabela_registros[REGISTRO],DADOS!$N$5,tabela_registros[TIPO],DADOS!$AB$3,tabela_registros[CATEGORIA],investirrendafixaconsolidadomai[[#This Row],[ATUAL]])</f>
        <v>0</v>
      </c>
      <c r="AG115" s="119" t="n">
        <f aca="false">SUMIFS(tabela_registros[VALOR],tabela_registros[MÊS],$AE$1,tabela_registros[DIA],investirrendafixaconsolidadomai[[#Headers],[29]],tabela_registros[REGISTRO],DADOS!$N$5,tabela_registros[TIPO],DADOS!$AB$3,tabela_registros[CATEGORIA],investirrendafixaconsolidadomai[[#This Row],[ATUAL]])</f>
        <v>0</v>
      </c>
      <c r="AH115" s="119" t="n">
        <f aca="false">SUMIFS(tabela_registros[VALOR],tabela_registros[MÊS],$AE$1,tabela_registros[DIA],investirrendafixaconsolidadomai[[#Headers],[30]],tabela_registros[REGISTRO],DADOS!$N$5,tabela_registros[TIPO],DADOS!$AB$3,tabela_registros[CATEGORIA],investirrendafixaconsolidadomai[[#This Row],[ATUAL]])</f>
        <v>0</v>
      </c>
      <c r="AI115" s="217" t="n">
        <f aca="false">SUMIFS(tabela_registros[VALOR],tabela_registros[MÊS],$AE$1,tabela_registros[DIA],investirrendafixaconsolidadomai[[#Headers],[31]],tabela_registros[REGISTRO],DADOS!$N$5,tabela_registros[TIPO],DADOS!$AB$3,tabela_registros[CATEGORIA],investirrendafixaconsolidadomai[[#This Row],[ATUAL]])</f>
        <v>0</v>
      </c>
      <c r="AJ115" s="149" t="n">
        <f aca="false">SUM(investirrendafixaconsolidadomai[[#This Row],[1]:[31]])</f>
        <v>0</v>
      </c>
      <c r="AK115" s="165"/>
    </row>
    <row r="116" customFormat="false" ht="19.5" hidden="false" customHeight="true" outlineLevel="0" collapsed="false">
      <c r="B116" s="143"/>
      <c r="C116" s="144" t="str">
        <f aca="false">DADOS!$AD$6</f>
        <v>📝 DEBÊNTURE</v>
      </c>
      <c r="D116" s="145" t="str">
        <f aca="false">IF(investirrendafixaconsolidadomai[[#This Row],[TOTAL (R$)]]=0,"",IF(OR(investirrendafixaconsolidadomai[[#This Row],[TOTAL (R$)]]=LARGE($AJ$113:$AJ$122,1),investirrendafixaconsolidadomai[[#This Row],[TOTAL (R$)]]=LARGE($AJ$113:$AJ$122,2)),DADOS!$I$10,""))</f>
        <v/>
      </c>
      <c r="E116" s="148" t="n">
        <f aca="false">SUMIFS(tabela_registros[VALOR],tabela_registros[MÊS],$AE$1,tabela_registros[DIA],investirrendafixaconsolidadomai[[#Headers],[1]],tabela_registros[REGISTRO],DADOS!$N$5,tabela_registros[TIPO],DADOS!$AB$3,tabela_registros[CATEGORIA],investirrendafixaconsolidadomai[[#This Row],[ATUAL]])</f>
        <v>0</v>
      </c>
      <c r="F116" s="119" t="n">
        <f aca="false">SUMIFS(tabela_registros[VALOR],tabela_registros[MÊS],$AE$1,tabela_registros[DIA],investirrendafixaconsolidadomai[[#Headers],[2]],tabela_registros[REGISTRO],DADOS!$N$5,tabela_registros[TIPO],DADOS!$AB$3,tabela_registros[CATEGORIA],investirrendafixaconsolidadomai[[#This Row],[ATUAL]])</f>
        <v>0</v>
      </c>
      <c r="G116" s="119" t="n">
        <f aca="false">SUMIFS(tabela_registros[VALOR],tabela_registros[MÊS],$AE$1,tabela_registros[DIA],investirrendafixaconsolidadomai[[#Headers],[3]],tabela_registros[REGISTRO],DADOS!$N$5,tabela_registros[TIPO],DADOS!$AB$3,tabela_registros[CATEGORIA],investirrendafixaconsolidadomai[[#This Row],[ATUAL]])</f>
        <v>0</v>
      </c>
      <c r="H116" s="119" t="n">
        <f aca="false">SUMIFS(tabela_registros[VALOR],tabela_registros[MÊS],$AE$1,tabela_registros[DIA],investirrendafixaconsolidadomai[[#Headers],[4]],tabela_registros[REGISTRO],DADOS!$N$5,tabela_registros[TIPO],DADOS!$AB$3,tabela_registros[CATEGORIA],investirrendafixaconsolidadomai[[#This Row],[ATUAL]])</f>
        <v>0</v>
      </c>
      <c r="I116" s="119" t="n">
        <f aca="false">SUMIFS(tabela_registros[VALOR],tabela_registros[MÊS],$AE$1,tabela_registros[DIA],investirrendafixaconsolidadomai[[#Headers],[5]],tabela_registros[REGISTRO],DADOS!$N$5,tabela_registros[TIPO],DADOS!$AB$3,tabela_registros[CATEGORIA],investirrendafixaconsolidadomai[[#This Row],[ATUAL]])</f>
        <v>0</v>
      </c>
      <c r="J116" s="119" t="n">
        <f aca="false">SUMIFS(tabela_registros[VALOR],tabela_registros[MÊS],$AE$1,tabela_registros[DIA],investirrendafixaconsolidadomai[[#Headers],[6]],tabela_registros[REGISTRO],DADOS!$N$5,tabela_registros[TIPO],DADOS!$AB$3,tabela_registros[CATEGORIA],investirrendafixaconsolidadomai[[#This Row],[ATUAL]])</f>
        <v>0</v>
      </c>
      <c r="K116" s="119" t="n">
        <f aca="false">SUMIFS(tabela_registros[VALOR],tabela_registros[MÊS],$AE$1,tabela_registros[DIA],investirrendafixaconsolidadomai[[#Headers],[7]],tabela_registros[REGISTRO],DADOS!$N$5,tabela_registros[TIPO],DADOS!$AB$3,tabela_registros[CATEGORIA],investirrendafixaconsolidadomai[[#This Row],[ATUAL]])</f>
        <v>0</v>
      </c>
      <c r="L116" s="119" t="n">
        <f aca="false">SUMIFS(tabela_registros[VALOR],tabela_registros[MÊS],$AE$1,tabela_registros[DIA],investirrendafixaconsolidadomai[[#Headers],[8]],tabela_registros[REGISTRO],DADOS!$N$5,tabela_registros[TIPO],DADOS!$AB$3,tabela_registros[CATEGORIA],investirrendafixaconsolidadomai[[#This Row],[ATUAL]])</f>
        <v>0</v>
      </c>
      <c r="M116" s="119" t="n">
        <f aca="false">SUMIFS(tabela_registros[VALOR],tabela_registros[MÊS],$AE$1,tabela_registros[DIA],investirrendafixaconsolidadomai[[#Headers],[9]],tabela_registros[REGISTRO],DADOS!$N$5,tabela_registros[TIPO],DADOS!$AB$3,tabela_registros[CATEGORIA],investirrendafixaconsolidadomai[[#This Row],[ATUAL]])</f>
        <v>0</v>
      </c>
      <c r="N116" s="119" t="n">
        <f aca="false">SUMIFS(tabela_registros[VALOR],tabela_registros[MÊS],$AE$1,tabela_registros[DIA],investirrendafixaconsolidadomai[[#Headers],[10]],tabela_registros[REGISTRO],DADOS!$N$5,tabela_registros[TIPO],DADOS!$AB$3,tabela_registros[CATEGORIA],investirrendafixaconsolidadomai[[#This Row],[ATUAL]])</f>
        <v>0</v>
      </c>
      <c r="O116" s="119" t="n">
        <f aca="false">SUMIFS(tabela_registros[VALOR],tabela_registros[MÊS],$AE$1,tabela_registros[DIA],investirrendafixaconsolidadomai[[#Headers],[11]],tabela_registros[REGISTRO],DADOS!$N$5,tabela_registros[TIPO],DADOS!$AB$3,tabela_registros[CATEGORIA],investirrendafixaconsolidadomai[[#This Row],[ATUAL]])</f>
        <v>0</v>
      </c>
      <c r="P116" s="119" t="n">
        <f aca="false">SUMIFS(tabela_registros[VALOR],tabela_registros[MÊS],$AE$1,tabela_registros[DIA],investirrendafixaconsolidadomai[[#Headers],[12]],tabela_registros[REGISTRO],DADOS!$N$5,tabela_registros[TIPO],DADOS!$AB$3,tabela_registros[CATEGORIA],investirrendafixaconsolidadomai[[#This Row],[ATUAL]])</f>
        <v>0</v>
      </c>
      <c r="Q116" s="119" t="n">
        <f aca="false">SUMIFS(tabela_registros[VALOR],tabela_registros[MÊS],$AE$1,tabela_registros[DIA],investirrendafixaconsolidadomai[[#Headers],[13]],tabela_registros[REGISTRO],DADOS!$N$5,tabela_registros[TIPO],DADOS!$AB$3,tabela_registros[CATEGORIA],investirrendafixaconsolidadomai[[#This Row],[ATUAL]])</f>
        <v>0</v>
      </c>
      <c r="R116" s="119" t="n">
        <f aca="false">SUMIFS(tabela_registros[VALOR],tabela_registros[MÊS],$AE$1,tabela_registros[DIA],investirrendafixaconsolidadomai[[#Headers],[14]],tabela_registros[REGISTRO],DADOS!$N$5,tabela_registros[TIPO],DADOS!$AB$3,tabela_registros[CATEGORIA],investirrendafixaconsolidadomai[[#This Row],[ATUAL]])</f>
        <v>0</v>
      </c>
      <c r="S116" s="119" t="n">
        <f aca="false">SUMIFS(tabela_registros[VALOR],tabela_registros[MÊS],$AE$1,tabela_registros[DIA],investirrendafixaconsolidadomai[[#Headers],[15]],tabela_registros[REGISTRO],DADOS!$N$5,tabela_registros[TIPO],DADOS!$AB$3,tabela_registros[CATEGORIA],investirrendafixaconsolidadomai[[#This Row],[ATUAL]])</f>
        <v>0</v>
      </c>
      <c r="T116" s="119" t="n">
        <f aca="false">SUMIFS(tabela_registros[VALOR],tabela_registros[MÊS],$AE$1,tabela_registros[DIA],investirrendafixaconsolidadomai[[#Headers],[16]],tabela_registros[REGISTRO],DADOS!$N$5,tabela_registros[TIPO],DADOS!$AB$3,tabela_registros[CATEGORIA],investirrendafixaconsolidadomai[[#This Row],[ATUAL]])</f>
        <v>0</v>
      </c>
      <c r="U116" s="119" t="n">
        <f aca="false">SUMIFS(tabela_registros[VALOR],tabela_registros[MÊS],$AE$1,tabela_registros[DIA],investirrendafixaconsolidadomai[[#Headers],[17]],tabela_registros[REGISTRO],DADOS!$N$5,tabela_registros[TIPO],DADOS!$AB$3,tabela_registros[CATEGORIA],investirrendafixaconsolidadomai[[#This Row],[ATUAL]])</f>
        <v>0</v>
      </c>
      <c r="V116" s="119" t="n">
        <f aca="false">SUMIFS(tabela_registros[VALOR],tabela_registros[MÊS],$AE$1,tabela_registros[DIA],investirrendafixaconsolidadomai[[#Headers],[18]],tabela_registros[REGISTRO],DADOS!$N$5,tabela_registros[TIPO],DADOS!$AB$3,tabela_registros[CATEGORIA],investirrendafixaconsolidadomai[[#This Row],[ATUAL]])</f>
        <v>0</v>
      </c>
      <c r="W116" s="119" t="n">
        <f aca="false">SUMIFS(tabela_registros[VALOR],tabela_registros[MÊS],$AE$1,tabela_registros[DIA],investirrendafixaconsolidadomai[[#Headers],[19]],tabela_registros[REGISTRO],DADOS!$N$5,tabela_registros[TIPO],DADOS!$AB$3,tabela_registros[CATEGORIA],investirrendafixaconsolidadomai[[#This Row],[ATUAL]])</f>
        <v>0</v>
      </c>
      <c r="X116" s="119" t="n">
        <f aca="false">SUMIFS(tabela_registros[VALOR],tabela_registros[MÊS],$AE$1,tabela_registros[DIA],investirrendafixaconsolidadomai[[#Headers],[20]],tabela_registros[REGISTRO],DADOS!$N$5,tabela_registros[TIPO],DADOS!$AB$3,tabela_registros[CATEGORIA],investirrendafixaconsolidadomai[[#This Row],[ATUAL]])</f>
        <v>0</v>
      </c>
      <c r="Y116" s="119" t="n">
        <f aca="false">SUMIFS(tabela_registros[VALOR],tabela_registros[MÊS],$AE$1,tabela_registros[DIA],investirrendafixaconsolidadomai[[#Headers],[21]],tabela_registros[REGISTRO],DADOS!$N$5,tabela_registros[TIPO],DADOS!$AB$3,tabela_registros[CATEGORIA],investirrendafixaconsolidadomai[[#This Row],[ATUAL]])</f>
        <v>0</v>
      </c>
      <c r="Z116" s="119" t="n">
        <f aca="false">SUMIFS(tabela_registros[VALOR],tabela_registros[MÊS],$AE$1,tabela_registros[DIA],investirrendafixaconsolidadomai[[#Headers],[22]],tabela_registros[REGISTRO],DADOS!$N$5,tabela_registros[TIPO],DADOS!$AB$3,tabela_registros[CATEGORIA],investirrendafixaconsolidadomai[[#This Row],[ATUAL]])</f>
        <v>0</v>
      </c>
      <c r="AA116" s="119" t="n">
        <f aca="false">SUMIFS(tabela_registros[VALOR],tabela_registros[MÊS],$AE$1,tabela_registros[DIA],investirrendafixaconsolidadomai[[#Headers],[23]],tabela_registros[REGISTRO],DADOS!$N$5,tabela_registros[TIPO],DADOS!$AB$3,tabela_registros[CATEGORIA],investirrendafixaconsolidadomai[[#This Row],[ATUAL]])</f>
        <v>0</v>
      </c>
      <c r="AB116" s="119" t="n">
        <f aca="false">SUMIFS(tabela_registros[VALOR],tabela_registros[MÊS],$AE$1,tabela_registros[DIA],investirrendafixaconsolidadomai[[#Headers],[24]],tabela_registros[REGISTRO],DADOS!$N$5,tabela_registros[TIPO],DADOS!$AB$3,tabela_registros[CATEGORIA],investirrendafixaconsolidadomai[[#This Row],[ATUAL]])</f>
        <v>0</v>
      </c>
      <c r="AC116" s="119" t="n">
        <f aca="false">SUMIFS(tabela_registros[VALOR],tabela_registros[MÊS],$AE$1,tabela_registros[DIA],investirrendafixaconsolidadomai[[#Headers],[25]],tabela_registros[REGISTRO],DADOS!$N$5,tabela_registros[TIPO],DADOS!$AB$3,tabela_registros[CATEGORIA],investirrendafixaconsolidadomai[[#This Row],[ATUAL]])</f>
        <v>0</v>
      </c>
      <c r="AD116" s="119" t="n">
        <f aca="false">SUMIFS(tabela_registros[VALOR],tabela_registros[MÊS],$AE$1,tabela_registros[DIA],investirrendafixaconsolidadomai[[#Headers],[26]],tabela_registros[REGISTRO],DADOS!$N$5,tabela_registros[TIPO],DADOS!$AB$3,tabela_registros[CATEGORIA],investirrendafixaconsolidadomai[[#This Row],[ATUAL]])</f>
        <v>0</v>
      </c>
      <c r="AE116" s="119" t="n">
        <f aca="false">SUMIFS(tabela_registros[VALOR],tabela_registros[MÊS],$AE$1,tabela_registros[DIA],investirrendafixaconsolidadomai[[#Headers],[27]],tabela_registros[REGISTRO],DADOS!$N$5,tabela_registros[TIPO],DADOS!$AB$3,tabela_registros[CATEGORIA],investirrendafixaconsolidadomai[[#This Row],[ATUAL]])</f>
        <v>0</v>
      </c>
      <c r="AF116" s="119" t="n">
        <f aca="false">SUMIFS(tabela_registros[VALOR],tabela_registros[MÊS],$AE$1,tabela_registros[DIA],investirrendafixaconsolidadomai[[#Headers],[28]],tabela_registros[REGISTRO],DADOS!$N$5,tabela_registros[TIPO],DADOS!$AB$3,tabela_registros[CATEGORIA],investirrendafixaconsolidadomai[[#This Row],[ATUAL]])</f>
        <v>0</v>
      </c>
      <c r="AG116" s="119" t="n">
        <f aca="false">SUMIFS(tabela_registros[VALOR],tabela_registros[MÊS],$AE$1,tabela_registros[DIA],investirrendafixaconsolidadomai[[#Headers],[29]],tabela_registros[REGISTRO],DADOS!$N$5,tabela_registros[TIPO],DADOS!$AB$3,tabela_registros[CATEGORIA],investirrendafixaconsolidadomai[[#This Row],[ATUAL]])</f>
        <v>0</v>
      </c>
      <c r="AH116" s="119" t="n">
        <f aca="false">SUMIFS(tabela_registros[VALOR],tabela_registros[MÊS],$AE$1,tabela_registros[DIA],investirrendafixaconsolidadomai[[#Headers],[30]],tabela_registros[REGISTRO],DADOS!$N$5,tabela_registros[TIPO],DADOS!$AB$3,tabela_registros[CATEGORIA],investirrendafixaconsolidadomai[[#This Row],[ATUAL]])</f>
        <v>0</v>
      </c>
      <c r="AI116" s="217" t="n">
        <f aca="false">SUMIFS(tabela_registros[VALOR],tabela_registros[MÊS],$AE$1,tabela_registros[DIA],investirrendafixaconsolidadomai[[#Headers],[31]],tabela_registros[REGISTRO],DADOS!$N$5,tabela_registros[TIPO],DADOS!$AB$3,tabela_registros[CATEGORIA],investirrendafixaconsolidadomai[[#This Row],[ATUAL]])</f>
        <v>0</v>
      </c>
      <c r="AJ116" s="149" t="n">
        <f aca="false">SUM(investirrendafixaconsolidadomai[[#This Row],[1]:[31]])</f>
        <v>0</v>
      </c>
      <c r="AK116" s="165"/>
    </row>
    <row r="117" customFormat="false" ht="19.5" hidden="false" customHeight="true" outlineLevel="0" collapsed="false">
      <c r="B117" s="143"/>
      <c r="C117" s="144" t="str">
        <f aca="false">DADOS!$AD$7</f>
        <v>📝 EXTERIOR</v>
      </c>
      <c r="D117" s="145" t="str">
        <f aca="false">IF(investirrendafixaconsolidadomai[[#This Row],[TOTAL (R$)]]=0,"",IF(OR(investirrendafixaconsolidadomai[[#This Row],[TOTAL (R$)]]=LARGE($AJ$113:$AJ$122,1),investirrendafixaconsolidadomai[[#This Row],[TOTAL (R$)]]=LARGE($AJ$113:$AJ$122,2)),DADOS!$I$10,""))</f>
        <v/>
      </c>
      <c r="E117" s="148" t="n">
        <f aca="false">SUMIFS(tabela_registros[VALOR],tabela_registros[MÊS],$AE$1,tabela_registros[DIA],investirrendafixaconsolidadomai[[#Headers],[1]],tabela_registros[REGISTRO],DADOS!$N$5,tabela_registros[TIPO],DADOS!$AB$3,tabela_registros[CATEGORIA],investirrendafixaconsolidadomai[[#This Row],[ATUAL]])</f>
        <v>0</v>
      </c>
      <c r="F117" s="119" t="n">
        <f aca="false">SUMIFS(tabela_registros[VALOR],tabela_registros[MÊS],$AE$1,tabela_registros[DIA],investirrendafixaconsolidadomai[[#Headers],[2]],tabela_registros[REGISTRO],DADOS!$N$5,tabela_registros[TIPO],DADOS!$AB$3,tabela_registros[CATEGORIA],investirrendafixaconsolidadomai[[#This Row],[ATUAL]])</f>
        <v>0</v>
      </c>
      <c r="G117" s="119" t="n">
        <f aca="false">SUMIFS(tabela_registros[VALOR],tabela_registros[MÊS],$AE$1,tabela_registros[DIA],investirrendafixaconsolidadomai[[#Headers],[3]],tabela_registros[REGISTRO],DADOS!$N$5,tabela_registros[TIPO],DADOS!$AB$3,tabela_registros[CATEGORIA],investirrendafixaconsolidadomai[[#This Row],[ATUAL]])</f>
        <v>0</v>
      </c>
      <c r="H117" s="119" t="n">
        <f aca="false">SUMIFS(tabela_registros[VALOR],tabela_registros[MÊS],$AE$1,tabela_registros[DIA],investirrendafixaconsolidadomai[[#Headers],[4]],tabela_registros[REGISTRO],DADOS!$N$5,tabela_registros[TIPO],DADOS!$AB$3,tabela_registros[CATEGORIA],investirrendafixaconsolidadomai[[#This Row],[ATUAL]])</f>
        <v>0</v>
      </c>
      <c r="I117" s="119" t="n">
        <f aca="false">SUMIFS(tabela_registros[VALOR],tabela_registros[MÊS],$AE$1,tabela_registros[DIA],investirrendafixaconsolidadomai[[#Headers],[5]],tabela_registros[REGISTRO],DADOS!$N$5,tabela_registros[TIPO],DADOS!$AB$3,tabela_registros[CATEGORIA],investirrendafixaconsolidadomai[[#This Row],[ATUAL]])</f>
        <v>0</v>
      </c>
      <c r="J117" s="119" t="n">
        <f aca="false">SUMIFS(tabela_registros[VALOR],tabela_registros[MÊS],$AE$1,tabela_registros[DIA],investirrendafixaconsolidadomai[[#Headers],[6]],tabela_registros[REGISTRO],DADOS!$N$5,tabela_registros[TIPO],DADOS!$AB$3,tabela_registros[CATEGORIA],investirrendafixaconsolidadomai[[#This Row],[ATUAL]])</f>
        <v>0</v>
      </c>
      <c r="K117" s="119" t="n">
        <f aca="false">SUMIFS(tabela_registros[VALOR],tabela_registros[MÊS],$AE$1,tabela_registros[DIA],investirrendafixaconsolidadomai[[#Headers],[7]],tabela_registros[REGISTRO],DADOS!$N$5,tabela_registros[TIPO],DADOS!$AB$3,tabela_registros[CATEGORIA],investirrendafixaconsolidadomai[[#This Row],[ATUAL]])</f>
        <v>0</v>
      </c>
      <c r="L117" s="119" t="n">
        <f aca="false">SUMIFS(tabela_registros[VALOR],tabela_registros[MÊS],$AE$1,tabela_registros[DIA],investirrendafixaconsolidadomai[[#Headers],[8]],tabela_registros[REGISTRO],DADOS!$N$5,tabela_registros[TIPO],DADOS!$AB$3,tabela_registros[CATEGORIA],investirrendafixaconsolidadomai[[#This Row],[ATUAL]])</f>
        <v>0</v>
      </c>
      <c r="M117" s="119" t="n">
        <f aca="false">SUMIFS(tabela_registros[VALOR],tabela_registros[MÊS],$AE$1,tabela_registros[DIA],investirrendafixaconsolidadomai[[#Headers],[9]],tabela_registros[REGISTRO],DADOS!$N$5,tabela_registros[TIPO],DADOS!$AB$3,tabela_registros[CATEGORIA],investirrendafixaconsolidadomai[[#This Row],[ATUAL]])</f>
        <v>0</v>
      </c>
      <c r="N117" s="119" t="n">
        <f aca="false">SUMIFS(tabela_registros[VALOR],tabela_registros[MÊS],$AE$1,tabela_registros[DIA],investirrendafixaconsolidadomai[[#Headers],[10]],tabela_registros[REGISTRO],DADOS!$N$5,tabela_registros[TIPO],DADOS!$AB$3,tabela_registros[CATEGORIA],investirrendafixaconsolidadomai[[#This Row],[ATUAL]])</f>
        <v>0</v>
      </c>
      <c r="O117" s="119" t="n">
        <f aca="false">SUMIFS(tabela_registros[VALOR],tabela_registros[MÊS],$AE$1,tabela_registros[DIA],investirrendafixaconsolidadomai[[#Headers],[11]],tabela_registros[REGISTRO],DADOS!$N$5,tabela_registros[TIPO],DADOS!$AB$3,tabela_registros[CATEGORIA],investirrendafixaconsolidadomai[[#This Row],[ATUAL]])</f>
        <v>0</v>
      </c>
      <c r="P117" s="119" t="n">
        <f aca="false">SUMIFS(tabela_registros[VALOR],tabela_registros[MÊS],$AE$1,tabela_registros[DIA],investirrendafixaconsolidadomai[[#Headers],[12]],tabela_registros[REGISTRO],DADOS!$N$5,tabela_registros[TIPO],DADOS!$AB$3,tabela_registros[CATEGORIA],investirrendafixaconsolidadomai[[#This Row],[ATUAL]])</f>
        <v>0</v>
      </c>
      <c r="Q117" s="119" t="n">
        <f aca="false">SUMIFS(tabela_registros[VALOR],tabela_registros[MÊS],$AE$1,tabela_registros[DIA],investirrendafixaconsolidadomai[[#Headers],[13]],tabela_registros[REGISTRO],DADOS!$N$5,tabela_registros[TIPO],DADOS!$AB$3,tabela_registros[CATEGORIA],investirrendafixaconsolidadomai[[#This Row],[ATUAL]])</f>
        <v>0</v>
      </c>
      <c r="R117" s="119" t="n">
        <f aca="false">SUMIFS(tabela_registros[VALOR],tabela_registros[MÊS],$AE$1,tabela_registros[DIA],investirrendafixaconsolidadomai[[#Headers],[14]],tabela_registros[REGISTRO],DADOS!$N$5,tabela_registros[TIPO],DADOS!$AB$3,tabela_registros[CATEGORIA],investirrendafixaconsolidadomai[[#This Row],[ATUAL]])</f>
        <v>0</v>
      </c>
      <c r="S117" s="119" t="n">
        <f aca="false">SUMIFS(tabela_registros[VALOR],tabela_registros[MÊS],$AE$1,tabela_registros[DIA],investirrendafixaconsolidadomai[[#Headers],[15]],tabela_registros[REGISTRO],DADOS!$N$5,tabela_registros[TIPO],DADOS!$AB$3,tabela_registros[CATEGORIA],investirrendafixaconsolidadomai[[#This Row],[ATUAL]])</f>
        <v>0</v>
      </c>
      <c r="T117" s="119" t="n">
        <f aca="false">SUMIFS(tabela_registros[VALOR],tabela_registros[MÊS],$AE$1,tabela_registros[DIA],investirrendafixaconsolidadomai[[#Headers],[16]],tabela_registros[REGISTRO],DADOS!$N$5,tabela_registros[TIPO],DADOS!$AB$3,tabela_registros[CATEGORIA],investirrendafixaconsolidadomai[[#This Row],[ATUAL]])</f>
        <v>0</v>
      </c>
      <c r="U117" s="119" t="n">
        <f aca="false">SUMIFS(tabela_registros[VALOR],tabela_registros[MÊS],$AE$1,tabela_registros[DIA],investirrendafixaconsolidadomai[[#Headers],[17]],tabela_registros[REGISTRO],DADOS!$N$5,tabela_registros[TIPO],DADOS!$AB$3,tabela_registros[CATEGORIA],investirrendafixaconsolidadomai[[#This Row],[ATUAL]])</f>
        <v>0</v>
      </c>
      <c r="V117" s="119" t="n">
        <f aca="false">SUMIFS(tabela_registros[VALOR],tabela_registros[MÊS],$AE$1,tabela_registros[DIA],investirrendafixaconsolidadomai[[#Headers],[18]],tabela_registros[REGISTRO],DADOS!$N$5,tabela_registros[TIPO],DADOS!$AB$3,tabela_registros[CATEGORIA],investirrendafixaconsolidadomai[[#This Row],[ATUAL]])</f>
        <v>0</v>
      </c>
      <c r="W117" s="119" t="n">
        <f aca="false">SUMIFS(tabela_registros[VALOR],tabela_registros[MÊS],$AE$1,tabela_registros[DIA],investirrendafixaconsolidadomai[[#Headers],[19]],tabela_registros[REGISTRO],DADOS!$N$5,tabela_registros[TIPO],DADOS!$AB$3,tabela_registros[CATEGORIA],investirrendafixaconsolidadomai[[#This Row],[ATUAL]])</f>
        <v>0</v>
      </c>
      <c r="X117" s="119" t="n">
        <f aca="false">SUMIFS(tabela_registros[VALOR],tabela_registros[MÊS],$AE$1,tabela_registros[DIA],investirrendafixaconsolidadomai[[#Headers],[20]],tabela_registros[REGISTRO],DADOS!$N$5,tabela_registros[TIPO],DADOS!$AB$3,tabela_registros[CATEGORIA],investirrendafixaconsolidadomai[[#This Row],[ATUAL]])</f>
        <v>0</v>
      </c>
      <c r="Y117" s="119" t="n">
        <f aca="false">SUMIFS(tabela_registros[VALOR],tabela_registros[MÊS],$AE$1,tabela_registros[DIA],investirrendafixaconsolidadomai[[#Headers],[21]],tabela_registros[REGISTRO],DADOS!$N$5,tabela_registros[TIPO],DADOS!$AB$3,tabela_registros[CATEGORIA],investirrendafixaconsolidadomai[[#This Row],[ATUAL]])</f>
        <v>0</v>
      </c>
      <c r="Z117" s="119" t="n">
        <f aca="false">SUMIFS(tabela_registros[VALOR],tabela_registros[MÊS],$AE$1,tabela_registros[DIA],investirrendafixaconsolidadomai[[#Headers],[22]],tabela_registros[REGISTRO],DADOS!$N$5,tabela_registros[TIPO],DADOS!$AB$3,tabela_registros[CATEGORIA],investirrendafixaconsolidadomai[[#This Row],[ATUAL]])</f>
        <v>0</v>
      </c>
      <c r="AA117" s="119" t="n">
        <f aca="false">SUMIFS(tabela_registros[VALOR],tabela_registros[MÊS],$AE$1,tabela_registros[DIA],investirrendafixaconsolidadomai[[#Headers],[23]],tabela_registros[REGISTRO],DADOS!$N$5,tabela_registros[TIPO],DADOS!$AB$3,tabela_registros[CATEGORIA],investirrendafixaconsolidadomai[[#This Row],[ATUAL]])</f>
        <v>0</v>
      </c>
      <c r="AB117" s="119" t="n">
        <f aca="false">SUMIFS(tabela_registros[VALOR],tabela_registros[MÊS],$AE$1,tabela_registros[DIA],investirrendafixaconsolidadomai[[#Headers],[24]],tabela_registros[REGISTRO],DADOS!$N$5,tabela_registros[TIPO],DADOS!$AB$3,tabela_registros[CATEGORIA],investirrendafixaconsolidadomai[[#This Row],[ATUAL]])</f>
        <v>0</v>
      </c>
      <c r="AC117" s="119" t="n">
        <f aca="false">SUMIFS(tabela_registros[VALOR],tabela_registros[MÊS],$AE$1,tabela_registros[DIA],investirrendafixaconsolidadomai[[#Headers],[25]],tabela_registros[REGISTRO],DADOS!$N$5,tabela_registros[TIPO],DADOS!$AB$3,tabela_registros[CATEGORIA],investirrendafixaconsolidadomai[[#This Row],[ATUAL]])</f>
        <v>0</v>
      </c>
      <c r="AD117" s="119" t="n">
        <f aca="false">SUMIFS(tabela_registros[VALOR],tabela_registros[MÊS],$AE$1,tabela_registros[DIA],investirrendafixaconsolidadomai[[#Headers],[26]],tabela_registros[REGISTRO],DADOS!$N$5,tabela_registros[TIPO],DADOS!$AB$3,tabela_registros[CATEGORIA],investirrendafixaconsolidadomai[[#This Row],[ATUAL]])</f>
        <v>0</v>
      </c>
      <c r="AE117" s="119" t="n">
        <f aca="false">SUMIFS(tabela_registros[VALOR],tabela_registros[MÊS],$AE$1,tabela_registros[DIA],investirrendafixaconsolidadomai[[#Headers],[27]],tabela_registros[REGISTRO],DADOS!$N$5,tabela_registros[TIPO],DADOS!$AB$3,tabela_registros[CATEGORIA],investirrendafixaconsolidadomai[[#This Row],[ATUAL]])</f>
        <v>0</v>
      </c>
      <c r="AF117" s="119" t="n">
        <f aca="false">SUMIFS(tabela_registros[VALOR],tabela_registros[MÊS],$AE$1,tabela_registros[DIA],investirrendafixaconsolidadomai[[#Headers],[28]],tabela_registros[REGISTRO],DADOS!$N$5,tabela_registros[TIPO],DADOS!$AB$3,tabela_registros[CATEGORIA],investirrendafixaconsolidadomai[[#This Row],[ATUAL]])</f>
        <v>0</v>
      </c>
      <c r="AG117" s="119" t="n">
        <f aca="false">SUMIFS(tabela_registros[VALOR],tabela_registros[MÊS],$AE$1,tabela_registros[DIA],investirrendafixaconsolidadomai[[#Headers],[29]],tabela_registros[REGISTRO],DADOS!$N$5,tabela_registros[TIPO],DADOS!$AB$3,tabela_registros[CATEGORIA],investirrendafixaconsolidadomai[[#This Row],[ATUAL]])</f>
        <v>0</v>
      </c>
      <c r="AH117" s="119" t="n">
        <f aca="false">SUMIFS(tabela_registros[VALOR],tabela_registros[MÊS],$AE$1,tabela_registros[DIA],investirrendafixaconsolidadomai[[#Headers],[30]],tabela_registros[REGISTRO],DADOS!$N$5,tabela_registros[TIPO],DADOS!$AB$3,tabela_registros[CATEGORIA],investirrendafixaconsolidadomai[[#This Row],[ATUAL]])</f>
        <v>0</v>
      </c>
      <c r="AI117" s="217" t="n">
        <f aca="false">SUMIFS(tabela_registros[VALOR],tabela_registros[MÊS],$AE$1,tabela_registros[DIA],investirrendafixaconsolidadomai[[#Headers],[31]],tabela_registros[REGISTRO],DADOS!$N$5,tabela_registros[TIPO],DADOS!$AB$3,tabela_registros[CATEGORIA],investirrendafixaconsolidadomai[[#This Row],[ATUAL]])</f>
        <v>0</v>
      </c>
      <c r="AJ117" s="149" t="n">
        <f aca="false">SUM(investirrendafixaconsolidadomai[[#This Row],[1]:[31]])</f>
        <v>0</v>
      </c>
      <c r="AK117" s="165"/>
    </row>
    <row r="118" customFormat="false" ht="19.5" hidden="false" customHeight="true" outlineLevel="0" collapsed="false">
      <c r="B118" s="143"/>
      <c r="C118" s="144" t="str">
        <f aca="false">DADOS!$AD$8</f>
        <v>📝 LC</v>
      </c>
      <c r="D118" s="145" t="str">
        <f aca="false">IF(investirrendafixaconsolidadomai[[#This Row],[TOTAL (R$)]]=0,"",IF(OR(investirrendafixaconsolidadomai[[#This Row],[TOTAL (R$)]]=LARGE($AJ$113:$AJ$122,1),investirrendafixaconsolidadomai[[#This Row],[TOTAL (R$)]]=LARGE($AJ$113:$AJ$122,2)),DADOS!$I$10,""))</f>
        <v/>
      </c>
      <c r="E118" s="148" t="n">
        <f aca="false">SUMIFS(tabela_registros[VALOR],tabela_registros[MÊS],$AE$1,tabela_registros[DIA],investirrendafixaconsolidadomai[[#Headers],[1]],tabela_registros[REGISTRO],DADOS!$N$5,tabela_registros[TIPO],DADOS!$AB$3,tabela_registros[CATEGORIA],investirrendafixaconsolidadomai[[#This Row],[ATUAL]])</f>
        <v>0</v>
      </c>
      <c r="F118" s="119" t="n">
        <f aca="false">SUMIFS(tabela_registros[VALOR],tabela_registros[MÊS],$AE$1,tabela_registros[DIA],investirrendafixaconsolidadomai[[#Headers],[2]],tabela_registros[REGISTRO],DADOS!$N$5,tabela_registros[TIPO],DADOS!$AB$3,tabela_registros[CATEGORIA],investirrendafixaconsolidadomai[[#This Row],[ATUAL]])</f>
        <v>0</v>
      </c>
      <c r="G118" s="119" t="n">
        <f aca="false">SUMIFS(tabela_registros[VALOR],tabela_registros[MÊS],$AE$1,tabela_registros[DIA],investirrendafixaconsolidadomai[[#Headers],[3]],tabela_registros[REGISTRO],DADOS!$N$5,tabela_registros[TIPO],DADOS!$AB$3,tabela_registros[CATEGORIA],investirrendafixaconsolidadomai[[#This Row],[ATUAL]])</f>
        <v>0</v>
      </c>
      <c r="H118" s="119" t="n">
        <f aca="false">SUMIFS(tabela_registros[VALOR],tabela_registros[MÊS],$AE$1,tabela_registros[DIA],investirrendafixaconsolidadomai[[#Headers],[4]],tabela_registros[REGISTRO],DADOS!$N$5,tabela_registros[TIPO],DADOS!$AB$3,tabela_registros[CATEGORIA],investirrendafixaconsolidadomai[[#This Row],[ATUAL]])</f>
        <v>0</v>
      </c>
      <c r="I118" s="119" t="n">
        <f aca="false">SUMIFS(tabela_registros[VALOR],tabela_registros[MÊS],$AE$1,tabela_registros[DIA],investirrendafixaconsolidadomai[[#Headers],[5]],tabela_registros[REGISTRO],DADOS!$N$5,tabela_registros[TIPO],DADOS!$AB$3,tabela_registros[CATEGORIA],investirrendafixaconsolidadomai[[#This Row],[ATUAL]])</f>
        <v>0</v>
      </c>
      <c r="J118" s="119" t="n">
        <f aca="false">SUMIFS(tabela_registros[VALOR],tabela_registros[MÊS],$AE$1,tabela_registros[DIA],investirrendafixaconsolidadomai[[#Headers],[6]],tabela_registros[REGISTRO],DADOS!$N$5,tabela_registros[TIPO],DADOS!$AB$3,tabela_registros[CATEGORIA],investirrendafixaconsolidadomai[[#This Row],[ATUAL]])</f>
        <v>0</v>
      </c>
      <c r="K118" s="119" t="n">
        <f aca="false">SUMIFS(tabela_registros[VALOR],tabela_registros[MÊS],$AE$1,tabela_registros[DIA],investirrendafixaconsolidadomai[[#Headers],[7]],tabela_registros[REGISTRO],DADOS!$N$5,tabela_registros[TIPO],DADOS!$AB$3,tabela_registros[CATEGORIA],investirrendafixaconsolidadomai[[#This Row],[ATUAL]])</f>
        <v>0</v>
      </c>
      <c r="L118" s="119" t="n">
        <f aca="false">SUMIFS(tabela_registros[VALOR],tabela_registros[MÊS],$AE$1,tabela_registros[DIA],investirrendafixaconsolidadomai[[#Headers],[8]],tabela_registros[REGISTRO],DADOS!$N$5,tabela_registros[TIPO],DADOS!$AB$3,tabela_registros[CATEGORIA],investirrendafixaconsolidadomai[[#This Row],[ATUAL]])</f>
        <v>0</v>
      </c>
      <c r="M118" s="119" t="n">
        <f aca="false">SUMIFS(tabela_registros[VALOR],tabela_registros[MÊS],$AE$1,tabela_registros[DIA],investirrendafixaconsolidadomai[[#Headers],[9]],tabela_registros[REGISTRO],DADOS!$N$5,tabela_registros[TIPO],DADOS!$AB$3,tabela_registros[CATEGORIA],investirrendafixaconsolidadomai[[#This Row],[ATUAL]])</f>
        <v>0</v>
      </c>
      <c r="N118" s="119" t="n">
        <f aca="false">SUMIFS(tabela_registros[VALOR],tabela_registros[MÊS],$AE$1,tabela_registros[DIA],investirrendafixaconsolidadomai[[#Headers],[10]],tabela_registros[REGISTRO],DADOS!$N$5,tabela_registros[TIPO],DADOS!$AB$3,tabela_registros[CATEGORIA],investirrendafixaconsolidadomai[[#This Row],[ATUAL]])</f>
        <v>0</v>
      </c>
      <c r="O118" s="119" t="n">
        <f aca="false">SUMIFS(tabela_registros[VALOR],tabela_registros[MÊS],$AE$1,tabela_registros[DIA],investirrendafixaconsolidadomai[[#Headers],[11]],tabela_registros[REGISTRO],DADOS!$N$5,tabela_registros[TIPO],DADOS!$AB$3,tabela_registros[CATEGORIA],investirrendafixaconsolidadomai[[#This Row],[ATUAL]])</f>
        <v>0</v>
      </c>
      <c r="P118" s="119" t="n">
        <f aca="false">SUMIFS(tabela_registros[VALOR],tabela_registros[MÊS],$AE$1,tabela_registros[DIA],investirrendafixaconsolidadomai[[#Headers],[12]],tabela_registros[REGISTRO],DADOS!$N$5,tabela_registros[TIPO],DADOS!$AB$3,tabela_registros[CATEGORIA],investirrendafixaconsolidadomai[[#This Row],[ATUAL]])</f>
        <v>0</v>
      </c>
      <c r="Q118" s="119" t="n">
        <f aca="false">SUMIFS(tabela_registros[VALOR],tabela_registros[MÊS],$AE$1,tabela_registros[DIA],investirrendafixaconsolidadomai[[#Headers],[13]],tabela_registros[REGISTRO],DADOS!$N$5,tabela_registros[TIPO],DADOS!$AB$3,tabela_registros[CATEGORIA],investirrendafixaconsolidadomai[[#This Row],[ATUAL]])</f>
        <v>0</v>
      </c>
      <c r="R118" s="119" t="n">
        <f aca="false">SUMIFS(tabela_registros[VALOR],tabela_registros[MÊS],$AE$1,tabela_registros[DIA],investirrendafixaconsolidadomai[[#Headers],[14]],tabela_registros[REGISTRO],DADOS!$N$5,tabela_registros[TIPO],DADOS!$AB$3,tabela_registros[CATEGORIA],investirrendafixaconsolidadomai[[#This Row],[ATUAL]])</f>
        <v>0</v>
      </c>
      <c r="S118" s="119" t="n">
        <f aca="false">SUMIFS(tabela_registros[VALOR],tabela_registros[MÊS],$AE$1,tabela_registros[DIA],investirrendafixaconsolidadomai[[#Headers],[15]],tabela_registros[REGISTRO],DADOS!$N$5,tabela_registros[TIPO],DADOS!$AB$3,tabela_registros[CATEGORIA],investirrendafixaconsolidadomai[[#This Row],[ATUAL]])</f>
        <v>0</v>
      </c>
      <c r="T118" s="119" t="n">
        <f aca="false">SUMIFS(tabela_registros[VALOR],tabela_registros[MÊS],$AE$1,tabela_registros[DIA],investirrendafixaconsolidadomai[[#Headers],[16]],tabela_registros[REGISTRO],DADOS!$N$5,tabela_registros[TIPO],DADOS!$AB$3,tabela_registros[CATEGORIA],investirrendafixaconsolidadomai[[#This Row],[ATUAL]])</f>
        <v>0</v>
      </c>
      <c r="U118" s="119" t="n">
        <f aca="false">SUMIFS(tabela_registros[VALOR],tabela_registros[MÊS],$AE$1,tabela_registros[DIA],investirrendafixaconsolidadomai[[#Headers],[17]],tabela_registros[REGISTRO],DADOS!$N$5,tabela_registros[TIPO],DADOS!$AB$3,tabela_registros[CATEGORIA],investirrendafixaconsolidadomai[[#This Row],[ATUAL]])</f>
        <v>0</v>
      </c>
      <c r="V118" s="119" t="n">
        <f aca="false">SUMIFS(tabela_registros[VALOR],tabela_registros[MÊS],$AE$1,tabela_registros[DIA],investirrendafixaconsolidadomai[[#Headers],[18]],tabela_registros[REGISTRO],DADOS!$N$5,tabela_registros[TIPO],DADOS!$AB$3,tabela_registros[CATEGORIA],investirrendafixaconsolidadomai[[#This Row],[ATUAL]])</f>
        <v>0</v>
      </c>
      <c r="W118" s="119" t="n">
        <f aca="false">SUMIFS(tabela_registros[VALOR],tabela_registros[MÊS],$AE$1,tabela_registros[DIA],investirrendafixaconsolidadomai[[#Headers],[19]],tabela_registros[REGISTRO],DADOS!$N$5,tabela_registros[TIPO],DADOS!$AB$3,tabela_registros[CATEGORIA],investirrendafixaconsolidadomai[[#This Row],[ATUAL]])</f>
        <v>0</v>
      </c>
      <c r="X118" s="119" t="n">
        <f aca="false">SUMIFS(tabela_registros[VALOR],tabela_registros[MÊS],$AE$1,tabela_registros[DIA],investirrendafixaconsolidadomai[[#Headers],[20]],tabela_registros[REGISTRO],DADOS!$N$5,tabela_registros[TIPO],DADOS!$AB$3,tabela_registros[CATEGORIA],investirrendafixaconsolidadomai[[#This Row],[ATUAL]])</f>
        <v>0</v>
      </c>
      <c r="Y118" s="119" t="n">
        <f aca="false">SUMIFS(tabela_registros[VALOR],tabela_registros[MÊS],$AE$1,tabela_registros[DIA],investirrendafixaconsolidadomai[[#Headers],[21]],tabela_registros[REGISTRO],DADOS!$N$5,tabela_registros[TIPO],DADOS!$AB$3,tabela_registros[CATEGORIA],investirrendafixaconsolidadomai[[#This Row],[ATUAL]])</f>
        <v>0</v>
      </c>
      <c r="Z118" s="119" t="n">
        <f aca="false">SUMIFS(tabela_registros[VALOR],tabela_registros[MÊS],$AE$1,tabela_registros[DIA],investirrendafixaconsolidadomai[[#Headers],[22]],tabela_registros[REGISTRO],DADOS!$N$5,tabela_registros[TIPO],DADOS!$AB$3,tabela_registros[CATEGORIA],investirrendafixaconsolidadomai[[#This Row],[ATUAL]])</f>
        <v>0</v>
      </c>
      <c r="AA118" s="119" t="n">
        <f aca="false">SUMIFS(tabela_registros[VALOR],tabela_registros[MÊS],$AE$1,tabela_registros[DIA],investirrendafixaconsolidadomai[[#Headers],[23]],tabela_registros[REGISTRO],DADOS!$N$5,tabela_registros[TIPO],DADOS!$AB$3,tabela_registros[CATEGORIA],investirrendafixaconsolidadomai[[#This Row],[ATUAL]])</f>
        <v>0</v>
      </c>
      <c r="AB118" s="119" t="n">
        <f aca="false">SUMIFS(tabela_registros[VALOR],tabela_registros[MÊS],$AE$1,tabela_registros[DIA],investirrendafixaconsolidadomai[[#Headers],[24]],tabela_registros[REGISTRO],DADOS!$N$5,tabela_registros[TIPO],DADOS!$AB$3,tabela_registros[CATEGORIA],investirrendafixaconsolidadomai[[#This Row],[ATUAL]])</f>
        <v>0</v>
      </c>
      <c r="AC118" s="119" t="n">
        <f aca="false">SUMIFS(tabela_registros[VALOR],tabela_registros[MÊS],$AE$1,tabela_registros[DIA],investirrendafixaconsolidadomai[[#Headers],[25]],tabela_registros[REGISTRO],DADOS!$N$5,tabela_registros[TIPO],DADOS!$AB$3,tabela_registros[CATEGORIA],investirrendafixaconsolidadomai[[#This Row],[ATUAL]])</f>
        <v>0</v>
      </c>
      <c r="AD118" s="119" t="n">
        <f aca="false">SUMIFS(tabela_registros[VALOR],tabela_registros[MÊS],$AE$1,tabela_registros[DIA],investirrendafixaconsolidadomai[[#Headers],[26]],tabela_registros[REGISTRO],DADOS!$N$5,tabela_registros[TIPO],DADOS!$AB$3,tabela_registros[CATEGORIA],investirrendafixaconsolidadomai[[#This Row],[ATUAL]])</f>
        <v>0</v>
      </c>
      <c r="AE118" s="119" t="n">
        <f aca="false">SUMIFS(tabela_registros[VALOR],tabela_registros[MÊS],$AE$1,tabela_registros[DIA],investirrendafixaconsolidadomai[[#Headers],[27]],tabela_registros[REGISTRO],DADOS!$N$5,tabela_registros[TIPO],DADOS!$AB$3,tabela_registros[CATEGORIA],investirrendafixaconsolidadomai[[#This Row],[ATUAL]])</f>
        <v>0</v>
      </c>
      <c r="AF118" s="119" t="n">
        <f aca="false">SUMIFS(tabela_registros[VALOR],tabela_registros[MÊS],$AE$1,tabela_registros[DIA],investirrendafixaconsolidadomai[[#Headers],[28]],tabela_registros[REGISTRO],DADOS!$N$5,tabela_registros[TIPO],DADOS!$AB$3,tabela_registros[CATEGORIA],investirrendafixaconsolidadomai[[#This Row],[ATUAL]])</f>
        <v>0</v>
      </c>
      <c r="AG118" s="119" t="n">
        <f aca="false">SUMIFS(tabela_registros[VALOR],tabela_registros[MÊS],$AE$1,tabela_registros[DIA],investirrendafixaconsolidadomai[[#Headers],[29]],tabela_registros[REGISTRO],DADOS!$N$5,tabela_registros[TIPO],DADOS!$AB$3,tabela_registros[CATEGORIA],investirrendafixaconsolidadomai[[#This Row],[ATUAL]])</f>
        <v>0</v>
      </c>
      <c r="AH118" s="119" t="n">
        <f aca="false">SUMIFS(tabela_registros[VALOR],tabela_registros[MÊS],$AE$1,tabela_registros[DIA],investirrendafixaconsolidadomai[[#Headers],[30]],tabela_registros[REGISTRO],DADOS!$N$5,tabela_registros[TIPO],DADOS!$AB$3,tabela_registros[CATEGORIA],investirrendafixaconsolidadomai[[#This Row],[ATUAL]])</f>
        <v>0</v>
      </c>
      <c r="AI118" s="217" t="n">
        <f aca="false">SUMIFS(tabela_registros[VALOR],tabela_registros[MÊS],$AE$1,tabela_registros[DIA],investirrendafixaconsolidadomai[[#Headers],[31]],tabela_registros[REGISTRO],DADOS!$N$5,tabela_registros[TIPO],DADOS!$AB$3,tabela_registros[CATEGORIA],investirrendafixaconsolidadomai[[#This Row],[ATUAL]])</f>
        <v>0</v>
      </c>
      <c r="AJ118" s="149" t="n">
        <f aca="false">SUM(investirrendafixaconsolidadomai[[#This Row],[1]:[31]])</f>
        <v>0</v>
      </c>
      <c r="AK118" s="165"/>
    </row>
    <row r="119" customFormat="false" ht="19.5" hidden="false" customHeight="true" outlineLevel="0" collapsed="false">
      <c r="B119" s="143"/>
      <c r="C119" s="144" t="str">
        <f aca="false">DADOS!$AD$9</f>
        <v>📝 LCA</v>
      </c>
      <c r="D119" s="145" t="str">
        <f aca="false">IF(investirrendafixaconsolidadomai[[#This Row],[TOTAL (R$)]]=0,"",IF(OR(investirrendafixaconsolidadomai[[#This Row],[TOTAL (R$)]]=LARGE($AJ$113:$AJ$122,1),investirrendafixaconsolidadomai[[#This Row],[TOTAL (R$)]]=LARGE($AJ$113:$AJ$122,2)),DADOS!$I$10,""))</f>
        <v/>
      </c>
      <c r="E119" s="148" t="n">
        <f aca="false">SUMIFS(tabela_registros[VALOR],tabela_registros[MÊS],$AE$1,tabela_registros[DIA],investirrendafixaconsolidadomai[[#Headers],[1]],tabela_registros[REGISTRO],DADOS!$N$5,tabela_registros[TIPO],DADOS!$AB$3,tabela_registros[CATEGORIA],investirrendafixaconsolidadomai[[#This Row],[ATUAL]])</f>
        <v>0</v>
      </c>
      <c r="F119" s="119" t="n">
        <f aca="false">SUMIFS(tabela_registros[VALOR],tabela_registros[MÊS],$AE$1,tabela_registros[DIA],investirrendafixaconsolidadomai[[#Headers],[2]],tabela_registros[REGISTRO],DADOS!$N$5,tabela_registros[TIPO],DADOS!$AB$3,tabela_registros[CATEGORIA],investirrendafixaconsolidadomai[[#This Row],[ATUAL]])</f>
        <v>0</v>
      </c>
      <c r="G119" s="119" t="n">
        <f aca="false">SUMIFS(tabela_registros[VALOR],tabela_registros[MÊS],$AE$1,tabela_registros[DIA],investirrendafixaconsolidadomai[[#Headers],[3]],tabela_registros[REGISTRO],DADOS!$N$5,tabela_registros[TIPO],DADOS!$AB$3,tabela_registros[CATEGORIA],investirrendafixaconsolidadomai[[#This Row],[ATUAL]])</f>
        <v>0</v>
      </c>
      <c r="H119" s="119" t="n">
        <f aca="false">SUMIFS(tabela_registros[VALOR],tabela_registros[MÊS],$AE$1,tabela_registros[DIA],investirrendafixaconsolidadomai[[#Headers],[4]],tabela_registros[REGISTRO],DADOS!$N$5,tabela_registros[TIPO],DADOS!$AB$3,tabela_registros[CATEGORIA],investirrendafixaconsolidadomai[[#This Row],[ATUAL]])</f>
        <v>0</v>
      </c>
      <c r="I119" s="119" t="n">
        <f aca="false">SUMIFS(tabela_registros[VALOR],tabela_registros[MÊS],$AE$1,tabela_registros[DIA],investirrendafixaconsolidadomai[[#Headers],[5]],tabela_registros[REGISTRO],DADOS!$N$5,tabela_registros[TIPO],DADOS!$AB$3,tabela_registros[CATEGORIA],investirrendafixaconsolidadomai[[#This Row],[ATUAL]])</f>
        <v>0</v>
      </c>
      <c r="J119" s="119" t="n">
        <f aca="false">SUMIFS(tabela_registros[VALOR],tabela_registros[MÊS],$AE$1,tabela_registros[DIA],investirrendafixaconsolidadomai[[#Headers],[6]],tabela_registros[REGISTRO],DADOS!$N$5,tabela_registros[TIPO],DADOS!$AB$3,tabela_registros[CATEGORIA],investirrendafixaconsolidadomai[[#This Row],[ATUAL]])</f>
        <v>0</v>
      </c>
      <c r="K119" s="119" t="n">
        <f aca="false">SUMIFS(tabela_registros[VALOR],tabela_registros[MÊS],$AE$1,tabela_registros[DIA],investirrendafixaconsolidadomai[[#Headers],[7]],tabela_registros[REGISTRO],DADOS!$N$5,tabela_registros[TIPO],DADOS!$AB$3,tabela_registros[CATEGORIA],investirrendafixaconsolidadomai[[#This Row],[ATUAL]])</f>
        <v>0</v>
      </c>
      <c r="L119" s="119" t="n">
        <f aca="false">SUMIFS(tabela_registros[VALOR],tabela_registros[MÊS],$AE$1,tabela_registros[DIA],investirrendafixaconsolidadomai[[#Headers],[8]],tabela_registros[REGISTRO],DADOS!$N$5,tabela_registros[TIPO],DADOS!$AB$3,tabela_registros[CATEGORIA],investirrendafixaconsolidadomai[[#This Row],[ATUAL]])</f>
        <v>0</v>
      </c>
      <c r="M119" s="119" t="n">
        <f aca="false">SUMIFS(tabela_registros[VALOR],tabela_registros[MÊS],$AE$1,tabela_registros[DIA],investirrendafixaconsolidadomai[[#Headers],[9]],tabela_registros[REGISTRO],DADOS!$N$5,tabela_registros[TIPO],DADOS!$AB$3,tabela_registros[CATEGORIA],investirrendafixaconsolidadomai[[#This Row],[ATUAL]])</f>
        <v>0</v>
      </c>
      <c r="N119" s="119" t="n">
        <f aca="false">SUMIFS(tabela_registros[VALOR],tabela_registros[MÊS],$AE$1,tabela_registros[DIA],investirrendafixaconsolidadomai[[#Headers],[10]],tabela_registros[REGISTRO],DADOS!$N$5,tabela_registros[TIPO],DADOS!$AB$3,tabela_registros[CATEGORIA],investirrendafixaconsolidadomai[[#This Row],[ATUAL]])</f>
        <v>0</v>
      </c>
      <c r="O119" s="119" t="n">
        <f aca="false">SUMIFS(tabela_registros[VALOR],tabela_registros[MÊS],$AE$1,tabela_registros[DIA],investirrendafixaconsolidadomai[[#Headers],[11]],tabela_registros[REGISTRO],DADOS!$N$5,tabela_registros[TIPO],DADOS!$AB$3,tabela_registros[CATEGORIA],investirrendafixaconsolidadomai[[#This Row],[ATUAL]])</f>
        <v>0</v>
      </c>
      <c r="P119" s="119" t="n">
        <f aca="false">SUMIFS(tabela_registros[VALOR],tabela_registros[MÊS],$AE$1,tabela_registros[DIA],investirrendafixaconsolidadomai[[#Headers],[12]],tabela_registros[REGISTRO],DADOS!$N$5,tabela_registros[TIPO],DADOS!$AB$3,tabela_registros[CATEGORIA],investirrendafixaconsolidadomai[[#This Row],[ATUAL]])</f>
        <v>0</v>
      </c>
      <c r="Q119" s="119" t="n">
        <f aca="false">SUMIFS(tabela_registros[VALOR],tabela_registros[MÊS],$AE$1,tabela_registros[DIA],investirrendafixaconsolidadomai[[#Headers],[13]],tabela_registros[REGISTRO],DADOS!$N$5,tabela_registros[TIPO],DADOS!$AB$3,tabela_registros[CATEGORIA],investirrendafixaconsolidadomai[[#This Row],[ATUAL]])</f>
        <v>0</v>
      </c>
      <c r="R119" s="119" t="n">
        <f aca="false">SUMIFS(tabela_registros[VALOR],tabela_registros[MÊS],$AE$1,tabela_registros[DIA],investirrendafixaconsolidadomai[[#Headers],[14]],tabela_registros[REGISTRO],DADOS!$N$5,tabela_registros[TIPO],DADOS!$AB$3,tabela_registros[CATEGORIA],investirrendafixaconsolidadomai[[#This Row],[ATUAL]])</f>
        <v>0</v>
      </c>
      <c r="S119" s="119" t="n">
        <f aca="false">SUMIFS(tabela_registros[VALOR],tabela_registros[MÊS],$AE$1,tabela_registros[DIA],investirrendafixaconsolidadomai[[#Headers],[15]],tabela_registros[REGISTRO],DADOS!$N$5,tabela_registros[TIPO],DADOS!$AB$3,tabela_registros[CATEGORIA],investirrendafixaconsolidadomai[[#This Row],[ATUAL]])</f>
        <v>0</v>
      </c>
      <c r="T119" s="119" t="n">
        <f aca="false">SUMIFS(tabela_registros[VALOR],tabela_registros[MÊS],$AE$1,tabela_registros[DIA],investirrendafixaconsolidadomai[[#Headers],[16]],tabela_registros[REGISTRO],DADOS!$N$5,tabela_registros[TIPO],DADOS!$AB$3,tabela_registros[CATEGORIA],investirrendafixaconsolidadomai[[#This Row],[ATUAL]])</f>
        <v>0</v>
      </c>
      <c r="U119" s="119" t="n">
        <f aca="false">SUMIFS(tabela_registros[VALOR],tabela_registros[MÊS],$AE$1,tabela_registros[DIA],investirrendafixaconsolidadomai[[#Headers],[17]],tabela_registros[REGISTRO],DADOS!$N$5,tabela_registros[TIPO],DADOS!$AB$3,tabela_registros[CATEGORIA],investirrendafixaconsolidadomai[[#This Row],[ATUAL]])</f>
        <v>0</v>
      </c>
      <c r="V119" s="119" t="n">
        <f aca="false">SUMIFS(tabela_registros[VALOR],tabela_registros[MÊS],$AE$1,tabela_registros[DIA],investirrendafixaconsolidadomai[[#Headers],[18]],tabela_registros[REGISTRO],DADOS!$N$5,tabela_registros[TIPO],DADOS!$AB$3,tabela_registros[CATEGORIA],investirrendafixaconsolidadomai[[#This Row],[ATUAL]])</f>
        <v>0</v>
      </c>
      <c r="W119" s="119" t="n">
        <f aca="false">SUMIFS(tabela_registros[VALOR],tabela_registros[MÊS],$AE$1,tabela_registros[DIA],investirrendafixaconsolidadomai[[#Headers],[19]],tabela_registros[REGISTRO],DADOS!$N$5,tabela_registros[TIPO],DADOS!$AB$3,tabela_registros[CATEGORIA],investirrendafixaconsolidadomai[[#This Row],[ATUAL]])</f>
        <v>0</v>
      </c>
      <c r="X119" s="119" t="n">
        <f aca="false">SUMIFS(tabela_registros[VALOR],tabela_registros[MÊS],$AE$1,tabela_registros[DIA],investirrendafixaconsolidadomai[[#Headers],[20]],tabela_registros[REGISTRO],DADOS!$N$5,tabela_registros[TIPO],DADOS!$AB$3,tabela_registros[CATEGORIA],investirrendafixaconsolidadomai[[#This Row],[ATUAL]])</f>
        <v>0</v>
      </c>
      <c r="Y119" s="119" t="n">
        <f aca="false">SUMIFS(tabela_registros[VALOR],tabela_registros[MÊS],$AE$1,tabela_registros[DIA],investirrendafixaconsolidadomai[[#Headers],[21]],tabela_registros[REGISTRO],DADOS!$N$5,tabela_registros[TIPO],DADOS!$AB$3,tabela_registros[CATEGORIA],investirrendafixaconsolidadomai[[#This Row],[ATUAL]])</f>
        <v>0</v>
      </c>
      <c r="Z119" s="119" t="n">
        <f aca="false">SUMIFS(tabela_registros[VALOR],tabela_registros[MÊS],$AE$1,tabela_registros[DIA],investirrendafixaconsolidadomai[[#Headers],[22]],tabela_registros[REGISTRO],DADOS!$N$5,tabela_registros[TIPO],DADOS!$AB$3,tabela_registros[CATEGORIA],investirrendafixaconsolidadomai[[#This Row],[ATUAL]])</f>
        <v>0</v>
      </c>
      <c r="AA119" s="119" t="n">
        <f aca="false">SUMIFS(tabela_registros[VALOR],tabela_registros[MÊS],$AE$1,tabela_registros[DIA],investirrendafixaconsolidadomai[[#Headers],[23]],tabela_registros[REGISTRO],DADOS!$N$5,tabela_registros[TIPO],DADOS!$AB$3,tabela_registros[CATEGORIA],investirrendafixaconsolidadomai[[#This Row],[ATUAL]])</f>
        <v>0</v>
      </c>
      <c r="AB119" s="119" t="n">
        <f aca="false">SUMIFS(tabela_registros[VALOR],tabela_registros[MÊS],$AE$1,tabela_registros[DIA],investirrendafixaconsolidadomai[[#Headers],[24]],tabela_registros[REGISTRO],DADOS!$N$5,tabela_registros[TIPO],DADOS!$AB$3,tabela_registros[CATEGORIA],investirrendafixaconsolidadomai[[#This Row],[ATUAL]])</f>
        <v>0</v>
      </c>
      <c r="AC119" s="119" t="n">
        <f aca="false">SUMIFS(tabela_registros[VALOR],tabela_registros[MÊS],$AE$1,tabela_registros[DIA],investirrendafixaconsolidadomai[[#Headers],[25]],tabela_registros[REGISTRO],DADOS!$N$5,tabela_registros[TIPO],DADOS!$AB$3,tabela_registros[CATEGORIA],investirrendafixaconsolidadomai[[#This Row],[ATUAL]])</f>
        <v>0</v>
      </c>
      <c r="AD119" s="119" t="n">
        <f aca="false">SUMIFS(tabela_registros[VALOR],tabela_registros[MÊS],$AE$1,tabela_registros[DIA],investirrendafixaconsolidadomai[[#Headers],[26]],tabela_registros[REGISTRO],DADOS!$N$5,tabela_registros[TIPO],DADOS!$AB$3,tabela_registros[CATEGORIA],investirrendafixaconsolidadomai[[#This Row],[ATUAL]])</f>
        <v>0</v>
      </c>
      <c r="AE119" s="119" t="n">
        <f aca="false">SUMIFS(tabela_registros[VALOR],tabela_registros[MÊS],$AE$1,tabela_registros[DIA],investirrendafixaconsolidadomai[[#Headers],[27]],tabela_registros[REGISTRO],DADOS!$N$5,tabela_registros[TIPO],DADOS!$AB$3,tabela_registros[CATEGORIA],investirrendafixaconsolidadomai[[#This Row],[ATUAL]])</f>
        <v>0</v>
      </c>
      <c r="AF119" s="119" t="n">
        <f aca="false">SUMIFS(tabela_registros[VALOR],tabela_registros[MÊS],$AE$1,tabela_registros[DIA],investirrendafixaconsolidadomai[[#Headers],[28]],tabela_registros[REGISTRO],DADOS!$N$5,tabela_registros[TIPO],DADOS!$AB$3,tabela_registros[CATEGORIA],investirrendafixaconsolidadomai[[#This Row],[ATUAL]])</f>
        <v>0</v>
      </c>
      <c r="AG119" s="119" t="n">
        <f aca="false">SUMIFS(tabela_registros[VALOR],tabela_registros[MÊS],$AE$1,tabela_registros[DIA],investirrendafixaconsolidadomai[[#Headers],[29]],tabela_registros[REGISTRO],DADOS!$N$5,tabela_registros[TIPO],DADOS!$AB$3,tabela_registros[CATEGORIA],investirrendafixaconsolidadomai[[#This Row],[ATUAL]])</f>
        <v>0</v>
      </c>
      <c r="AH119" s="119" t="n">
        <f aca="false">SUMIFS(tabela_registros[VALOR],tabela_registros[MÊS],$AE$1,tabela_registros[DIA],investirrendafixaconsolidadomai[[#Headers],[30]],tabela_registros[REGISTRO],DADOS!$N$5,tabela_registros[TIPO],DADOS!$AB$3,tabela_registros[CATEGORIA],investirrendafixaconsolidadomai[[#This Row],[ATUAL]])</f>
        <v>0</v>
      </c>
      <c r="AI119" s="217" t="n">
        <f aca="false">SUMIFS(tabela_registros[VALOR],tabela_registros[MÊS],$AE$1,tabela_registros[DIA],investirrendafixaconsolidadomai[[#Headers],[31]],tabela_registros[REGISTRO],DADOS!$N$5,tabela_registros[TIPO],DADOS!$AB$3,tabela_registros[CATEGORIA],investirrendafixaconsolidadomai[[#This Row],[ATUAL]])</f>
        <v>0</v>
      </c>
      <c r="AJ119" s="149" t="n">
        <f aca="false">SUM(investirrendafixaconsolidadomai[[#This Row],[1]:[31]])</f>
        <v>0</v>
      </c>
      <c r="AK119" s="165"/>
    </row>
    <row r="120" customFormat="false" ht="19.5" hidden="false" customHeight="true" outlineLevel="0" collapsed="false">
      <c r="B120" s="143"/>
      <c r="C120" s="144" t="str">
        <f aca="false">DADOS!$AD$10</f>
        <v>📝 LCI</v>
      </c>
      <c r="D120" s="145" t="str">
        <f aca="false">IF(investirrendafixaconsolidadomai[[#This Row],[TOTAL (R$)]]=0,"",IF(OR(investirrendafixaconsolidadomai[[#This Row],[TOTAL (R$)]]=LARGE($AJ$113:$AJ$122,1),investirrendafixaconsolidadomai[[#This Row],[TOTAL (R$)]]=LARGE($AJ$113:$AJ$122,2)),DADOS!$I$10,""))</f>
        <v/>
      </c>
      <c r="E120" s="148" t="n">
        <f aca="false">SUMIFS(tabela_registros[VALOR],tabela_registros[MÊS],$AE$1,tabela_registros[DIA],investirrendafixaconsolidadomai[[#Headers],[1]],tabela_registros[REGISTRO],DADOS!$N$5,tabela_registros[TIPO],DADOS!$AB$3,tabela_registros[CATEGORIA],investirrendafixaconsolidadomai[[#This Row],[ATUAL]])</f>
        <v>0</v>
      </c>
      <c r="F120" s="119" t="n">
        <f aca="false">SUMIFS(tabela_registros[VALOR],tabela_registros[MÊS],$AE$1,tabela_registros[DIA],investirrendafixaconsolidadomai[[#Headers],[2]],tabela_registros[REGISTRO],DADOS!$N$5,tabela_registros[TIPO],DADOS!$AB$3,tabela_registros[CATEGORIA],investirrendafixaconsolidadomai[[#This Row],[ATUAL]])</f>
        <v>0</v>
      </c>
      <c r="G120" s="119" t="n">
        <f aca="false">SUMIFS(tabela_registros[VALOR],tabela_registros[MÊS],$AE$1,tabela_registros[DIA],investirrendafixaconsolidadomai[[#Headers],[3]],tabela_registros[REGISTRO],DADOS!$N$5,tabela_registros[TIPO],DADOS!$AB$3,tabela_registros[CATEGORIA],investirrendafixaconsolidadomai[[#This Row],[ATUAL]])</f>
        <v>0</v>
      </c>
      <c r="H120" s="119" t="n">
        <f aca="false">SUMIFS(tabela_registros[VALOR],tabela_registros[MÊS],$AE$1,tabela_registros[DIA],investirrendafixaconsolidadomai[[#Headers],[4]],tabela_registros[REGISTRO],DADOS!$N$5,tabela_registros[TIPO],DADOS!$AB$3,tabela_registros[CATEGORIA],investirrendafixaconsolidadomai[[#This Row],[ATUAL]])</f>
        <v>0</v>
      </c>
      <c r="I120" s="119" t="n">
        <f aca="false">SUMIFS(tabela_registros[VALOR],tabela_registros[MÊS],$AE$1,tabela_registros[DIA],investirrendafixaconsolidadomai[[#Headers],[5]],tabela_registros[REGISTRO],DADOS!$N$5,tabela_registros[TIPO],DADOS!$AB$3,tabela_registros[CATEGORIA],investirrendafixaconsolidadomai[[#This Row],[ATUAL]])</f>
        <v>0</v>
      </c>
      <c r="J120" s="119" t="n">
        <f aca="false">SUMIFS(tabela_registros[VALOR],tabela_registros[MÊS],$AE$1,tabela_registros[DIA],investirrendafixaconsolidadomai[[#Headers],[6]],tabela_registros[REGISTRO],DADOS!$N$5,tabela_registros[TIPO],DADOS!$AB$3,tabela_registros[CATEGORIA],investirrendafixaconsolidadomai[[#This Row],[ATUAL]])</f>
        <v>0</v>
      </c>
      <c r="K120" s="119" t="n">
        <f aca="false">SUMIFS(tabela_registros[VALOR],tabela_registros[MÊS],$AE$1,tabela_registros[DIA],investirrendafixaconsolidadomai[[#Headers],[7]],tabela_registros[REGISTRO],DADOS!$N$5,tabela_registros[TIPO],DADOS!$AB$3,tabela_registros[CATEGORIA],investirrendafixaconsolidadomai[[#This Row],[ATUAL]])</f>
        <v>0</v>
      </c>
      <c r="L120" s="119" t="n">
        <f aca="false">SUMIFS(tabela_registros[VALOR],tabela_registros[MÊS],$AE$1,tabela_registros[DIA],investirrendafixaconsolidadomai[[#Headers],[8]],tabela_registros[REGISTRO],DADOS!$N$5,tabela_registros[TIPO],DADOS!$AB$3,tabela_registros[CATEGORIA],investirrendafixaconsolidadomai[[#This Row],[ATUAL]])</f>
        <v>0</v>
      </c>
      <c r="M120" s="119" t="n">
        <f aca="false">SUMIFS(tabela_registros[VALOR],tabela_registros[MÊS],$AE$1,tabela_registros[DIA],investirrendafixaconsolidadomai[[#Headers],[9]],tabela_registros[REGISTRO],DADOS!$N$5,tabela_registros[TIPO],DADOS!$AB$3,tabela_registros[CATEGORIA],investirrendafixaconsolidadomai[[#This Row],[ATUAL]])</f>
        <v>0</v>
      </c>
      <c r="N120" s="119" t="n">
        <f aca="false">SUMIFS(tabela_registros[VALOR],tabela_registros[MÊS],$AE$1,tabela_registros[DIA],investirrendafixaconsolidadomai[[#Headers],[10]],tabela_registros[REGISTRO],DADOS!$N$5,tabela_registros[TIPO],DADOS!$AB$3,tabela_registros[CATEGORIA],investirrendafixaconsolidadomai[[#This Row],[ATUAL]])</f>
        <v>0</v>
      </c>
      <c r="O120" s="119" t="n">
        <f aca="false">SUMIFS(tabela_registros[VALOR],tabela_registros[MÊS],$AE$1,tabela_registros[DIA],investirrendafixaconsolidadomai[[#Headers],[11]],tabela_registros[REGISTRO],DADOS!$N$5,tabela_registros[TIPO],DADOS!$AB$3,tabela_registros[CATEGORIA],investirrendafixaconsolidadomai[[#This Row],[ATUAL]])</f>
        <v>0</v>
      </c>
      <c r="P120" s="119" t="n">
        <f aca="false">SUMIFS(tabela_registros[VALOR],tabela_registros[MÊS],$AE$1,tabela_registros[DIA],investirrendafixaconsolidadomai[[#Headers],[12]],tabela_registros[REGISTRO],DADOS!$N$5,tabela_registros[TIPO],DADOS!$AB$3,tabela_registros[CATEGORIA],investirrendafixaconsolidadomai[[#This Row],[ATUAL]])</f>
        <v>0</v>
      </c>
      <c r="Q120" s="119" t="n">
        <f aca="false">SUMIFS(tabela_registros[VALOR],tabela_registros[MÊS],$AE$1,tabela_registros[DIA],investirrendafixaconsolidadomai[[#Headers],[13]],tabela_registros[REGISTRO],DADOS!$N$5,tabela_registros[TIPO],DADOS!$AB$3,tabela_registros[CATEGORIA],investirrendafixaconsolidadomai[[#This Row],[ATUAL]])</f>
        <v>0</v>
      </c>
      <c r="R120" s="119" t="n">
        <f aca="false">SUMIFS(tabela_registros[VALOR],tabela_registros[MÊS],$AE$1,tabela_registros[DIA],investirrendafixaconsolidadomai[[#Headers],[14]],tabela_registros[REGISTRO],DADOS!$N$5,tabela_registros[TIPO],DADOS!$AB$3,tabela_registros[CATEGORIA],investirrendafixaconsolidadomai[[#This Row],[ATUAL]])</f>
        <v>0</v>
      </c>
      <c r="S120" s="119" t="n">
        <f aca="false">SUMIFS(tabela_registros[VALOR],tabela_registros[MÊS],$AE$1,tabela_registros[DIA],investirrendafixaconsolidadomai[[#Headers],[15]],tabela_registros[REGISTRO],DADOS!$N$5,tabela_registros[TIPO],DADOS!$AB$3,tabela_registros[CATEGORIA],investirrendafixaconsolidadomai[[#This Row],[ATUAL]])</f>
        <v>0</v>
      </c>
      <c r="T120" s="119" t="n">
        <f aca="false">SUMIFS(tabela_registros[VALOR],tabela_registros[MÊS],$AE$1,tabela_registros[DIA],investirrendafixaconsolidadomai[[#Headers],[16]],tabela_registros[REGISTRO],DADOS!$N$5,tabela_registros[TIPO],DADOS!$AB$3,tabela_registros[CATEGORIA],investirrendafixaconsolidadomai[[#This Row],[ATUAL]])</f>
        <v>0</v>
      </c>
      <c r="U120" s="119" t="n">
        <f aca="false">SUMIFS(tabela_registros[VALOR],tabela_registros[MÊS],$AE$1,tabela_registros[DIA],investirrendafixaconsolidadomai[[#Headers],[17]],tabela_registros[REGISTRO],DADOS!$N$5,tabela_registros[TIPO],DADOS!$AB$3,tabela_registros[CATEGORIA],investirrendafixaconsolidadomai[[#This Row],[ATUAL]])</f>
        <v>0</v>
      </c>
      <c r="V120" s="119" t="n">
        <f aca="false">SUMIFS(tabela_registros[VALOR],tabela_registros[MÊS],$AE$1,tabela_registros[DIA],investirrendafixaconsolidadomai[[#Headers],[18]],tabela_registros[REGISTRO],DADOS!$N$5,tabela_registros[TIPO],DADOS!$AB$3,tabela_registros[CATEGORIA],investirrendafixaconsolidadomai[[#This Row],[ATUAL]])</f>
        <v>0</v>
      </c>
      <c r="W120" s="119" t="n">
        <f aca="false">SUMIFS(tabela_registros[VALOR],tabela_registros[MÊS],$AE$1,tabela_registros[DIA],investirrendafixaconsolidadomai[[#Headers],[19]],tabela_registros[REGISTRO],DADOS!$N$5,tabela_registros[TIPO],DADOS!$AB$3,tabela_registros[CATEGORIA],investirrendafixaconsolidadomai[[#This Row],[ATUAL]])</f>
        <v>0</v>
      </c>
      <c r="X120" s="119" t="n">
        <f aca="false">SUMIFS(tabela_registros[VALOR],tabela_registros[MÊS],$AE$1,tabela_registros[DIA],investirrendafixaconsolidadomai[[#Headers],[20]],tabela_registros[REGISTRO],DADOS!$N$5,tabela_registros[TIPO],DADOS!$AB$3,tabela_registros[CATEGORIA],investirrendafixaconsolidadomai[[#This Row],[ATUAL]])</f>
        <v>0</v>
      </c>
      <c r="Y120" s="119" t="n">
        <f aca="false">SUMIFS(tabela_registros[VALOR],tabela_registros[MÊS],$AE$1,tabela_registros[DIA],investirrendafixaconsolidadomai[[#Headers],[21]],tabela_registros[REGISTRO],DADOS!$N$5,tabela_registros[TIPO],DADOS!$AB$3,tabela_registros[CATEGORIA],investirrendafixaconsolidadomai[[#This Row],[ATUAL]])</f>
        <v>0</v>
      </c>
      <c r="Z120" s="119" t="n">
        <f aca="false">SUMIFS(tabela_registros[VALOR],tabela_registros[MÊS],$AE$1,tabela_registros[DIA],investirrendafixaconsolidadomai[[#Headers],[22]],tabela_registros[REGISTRO],DADOS!$N$5,tabela_registros[TIPO],DADOS!$AB$3,tabela_registros[CATEGORIA],investirrendafixaconsolidadomai[[#This Row],[ATUAL]])</f>
        <v>0</v>
      </c>
      <c r="AA120" s="119" t="n">
        <f aca="false">SUMIFS(tabela_registros[VALOR],tabela_registros[MÊS],$AE$1,tabela_registros[DIA],investirrendafixaconsolidadomai[[#Headers],[23]],tabela_registros[REGISTRO],DADOS!$N$5,tabela_registros[TIPO],DADOS!$AB$3,tabela_registros[CATEGORIA],investirrendafixaconsolidadomai[[#This Row],[ATUAL]])</f>
        <v>0</v>
      </c>
      <c r="AB120" s="119" t="n">
        <f aca="false">SUMIFS(tabela_registros[VALOR],tabela_registros[MÊS],$AE$1,tabela_registros[DIA],investirrendafixaconsolidadomai[[#Headers],[24]],tabela_registros[REGISTRO],DADOS!$N$5,tabela_registros[TIPO],DADOS!$AB$3,tabela_registros[CATEGORIA],investirrendafixaconsolidadomai[[#This Row],[ATUAL]])</f>
        <v>0</v>
      </c>
      <c r="AC120" s="119" t="n">
        <f aca="false">SUMIFS(tabela_registros[VALOR],tabela_registros[MÊS],$AE$1,tabela_registros[DIA],investirrendafixaconsolidadomai[[#Headers],[25]],tabela_registros[REGISTRO],DADOS!$N$5,tabela_registros[TIPO],DADOS!$AB$3,tabela_registros[CATEGORIA],investirrendafixaconsolidadomai[[#This Row],[ATUAL]])</f>
        <v>0</v>
      </c>
      <c r="AD120" s="119" t="n">
        <f aca="false">SUMIFS(tabela_registros[VALOR],tabela_registros[MÊS],$AE$1,tabela_registros[DIA],investirrendafixaconsolidadomai[[#Headers],[26]],tabela_registros[REGISTRO],DADOS!$N$5,tabela_registros[TIPO],DADOS!$AB$3,tabela_registros[CATEGORIA],investirrendafixaconsolidadomai[[#This Row],[ATUAL]])</f>
        <v>0</v>
      </c>
      <c r="AE120" s="119" t="n">
        <f aca="false">SUMIFS(tabela_registros[VALOR],tabela_registros[MÊS],$AE$1,tabela_registros[DIA],investirrendafixaconsolidadomai[[#Headers],[27]],tabela_registros[REGISTRO],DADOS!$N$5,tabela_registros[TIPO],DADOS!$AB$3,tabela_registros[CATEGORIA],investirrendafixaconsolidadomai[[#This Row],[ATUAL]])</f>
        <v>0</v>
      </c>
      <c r="AF120" s="119" t="n">
        <f aca="false">SUMIFS(tabela_registros[VALOR],tabela_registros[MÊS],$AE$1,tabela_registros[DIA],investirrendafixaconsolidadomai[[#Headers],[28]],tabela_registros[REGISTRO],DADOS!$N$5,tabela_registros[TIPO],DADOS!$AB$3,tabela_registros[CATEGORIA],investirrendafixaconsolidadomai[[#This Row],[ATUAL]])</f>
        <v>0</v>
      </c>
      <c r="AG120" s="119" t="n">
        <f aca="false">SUMIFS(tabela_registros[VALOR],tabela_registros[MÊS],$AE$1,tabela_registros[DIA],investirrendafixaconsolidadomai[[#Headers],[29]],tabela_registros[REGISTRO],DADOS!$N$5,tabela_registros[TIPO],DADOS!$AB$3,tabela_registros[CATEGORIA],investirrendafixaconsolidadomai[[#This Row],[ATUAL]])</f>
        <v>0</v>
      </c>
      <c r="AH120" s="119" t="n">
        <f aca="false">SUMIFS(tabela_registros[VALOR],tabela_registros[MÊS],$AE$1,tabela_registros[DIA],investirrendafixaconsolidadomai[[#Headers],[30]],tabela_registros[REGISTRO],DADOS!$N$5,tabela_registros[TIPO],DADOS!$AB$3,tabela_registros[CATEGORIA],investirrendafixaconsolidadomai[[#This Row],[ATUAL]])</f>
        <v>0</v>
      </c>
      <c r="AI120" s="217" t="n">
        <f aca="false">SUMIFS(tabela_registros[VALOR],tabela_registros[MÊS],$AE$1,tabela_registros[DIA],investirrendafixaconsolidadomai[[#Headers],[31]],tabela_registros[REGISTRO],DADOS!$N$5,tabela_registros[TIPO],DADOS!$AB$3,tabela_registros[CATEGORIA],investirrendafixaconsolidadomai[[#This Row],[ATUAL]])</f>
        <v>0</v>
      </c>
      <c r="AJ120" s="149" t="n">
        <f aca="false">SUM(investirrendafixaconsolidadomai[[#This Row],[1]:[31]])</f>
        <v>0</v>
      </c>
      <c r="AK120" s="165"/>
    </row>
    <row r="121" customFormat="false" ht="19.5" hidden="false" customHeight="true" outlineLevel="0" collapsed="false">
      <c r="B121" s="143"/>
      <c r="C121" s="144" t="str">
        <f aca="false">DADOS!$AD$11</f>
        <v>📝 TESOURO DIRETO</v>
      </c>
      <c r="D121" s="145" t="str">
        <f aca="false">IF(investirrendafixaconsolidadomai[[#This Row],[TOTAL (R$)]]=0,"",IF(OR(investirrendafixaconsolidadomai[[#This Row],[TOTAL (R$)]]=LARGE($AJ$113:$AJ$122,1),investirrendafixaconsolidadomai[[#This Row],[TOTAL (R$)]]=LARGE($AJ$113:$AJ$122,2)),DADOS!$I$10,""))</f>
        <v/>
      </c>
      <c r="E121" s="148" t="n">
        <f aca="false">SUMIFS(tabela_registros[VALOR],tabela_registros[MÊS],$AE$1,tabela_registros[DIA],investirrendafixaconsolidadomai[[#Headers],[1]],tabela_registros[REGISTRO],DADOS!$N$5,tabela_registros[TIPO],DADOS!$AB$3,tabela_registros[CATEGORIA],investirrendafixaconsolidadomai[[#This Row],[ATUAL]])</f>
        <v>0</v>
      </c>
      <c r="F121" s="119" t="n">
        <f aca="false">SUMIFS(tabela_registros[VALOR],tabela_registros[MÊS],$AE$1,tabela_registros[DIA],investirrendafixaconsolidadomai[[#Headers],[2]],tabela_registros[REGISTRO],DADOS!$N$5,tabela_registros[TIPO],DADOS!$AB$3,tabela_registros[CATEGORIA],investirrendafixaconsolidadomai[[#This Row],[ATUAL]])</f>
        <v>0</v>
      </c>
      <c r="G121" s="119" t="n">
        <f aca="false">SUMIFS(tabela_registros[VALOR],tabela_registros[MÊS],$AE$1,tabela_registros[DIA],investirrendafixaconsolidadomai[[#Headers],[3]],tabela_registros[REGISTRO],DADOS!$N$5,tabela_registros[TIPO],DADOS!$AB$3,tabela_registros[CATEGORIA],investirrendafixaconsolidadomai[[#This Row],[ATUAL]])</f>
        <v>0</v>
      </c>
      <c r="H121" s="119" t="n">
        <f aca="false">SUMIFS(tabela_registros[VALOR],tabela_registros[MÊS],$AE$1,tabela_registros[DIA],investirrendafixaconsolidadomai[[#Headers],[4]],tabela_registros[REGISTRO],DADOS!$N$5,tabela_registros[TIPO],DADOS!$AB$3,tabela_registros[CATEGORIA],investirrendafixaconsolidadomai[[#This Row],[ATUAL]])</f>
        <v>0</v>
      </c>
      <c r="I121" s="119" t="n">
        <f aca="false">SUMIFS(tabela_registros[VALOR],tabela_registros[MÊS],$AE$1,tabela_registros[DIA],investirrendafixaconsolidadomai[[#Headers],[5]],tabela_registros[REGISTRO],DADOS!$N$5,tabela_registros[TIPO],DADOS!$AB$3,tabela_registros[CATEGORIA],investirrendafixaconsolidadomai[[#This Row],[ATUAL]])</f>
        <v>0</v>
      </c>
      <c r="J121" s="119" t="n">
        <f aca="false">SUMIFS(tabela_registros[VALOR],tabela_registros[MÊS],$AE$1,tabela_registros[DIA],investirrendafixaconsolidadomai[[#Headers],[6]],tabela_registros[REGISTRO],DADOS!$N$5,tabela_registros[TIPO],DADOS!$AB$3,tabela_registros[CATEGORIA],investirrendafixaconsolidadomai[[#This Row],[ATUAL]])</f>
        <v>0</v>
      </c>
      <c r="K121" s="119" t="n">
        <f aca="false">SUMIFS(tabela_registros[VALOR],tabela_registros[MÊS],$AE$1,tabela_registros[DIA],investirrendafixaconsolidadomai[[#Headers],[7]],tabela_registros[REGISTRO],DADOS!$N$5,tabela_registros[TIPO],DADOS!$AB$3,tabela_registros[CATEGORIA],investirrendafixaconsolidadomai[[#This Row],[ATUAL]])</f>
        <v>0</v>
      </c>
      <c r="L121" s="119" t="n">
        <f aca="false">SUMIFS(tabela_registros[VALOR],tabela_registros[MÊS],$AE$1,tabela_registros[DIA],investirrendafixaconsolidadomai[[#Headers],[8]],tabela_registros[REGISTRO],DADOS!$N$5,tabela_registros[TIPO],DADOS!$AB$3,tabela_registros[CATEGORIA],investirrendafixaconsolidadomai[[#This Row],[ATUAL]])</f>
        <v>0</v>
      </c>
      <c r="M121" s="119" t="n">
        <f aca="false">SUMIFS(tabela_registros[VALOR],tabela_registros[MÊS],$AE$1,tabela_registros[DIA],investirrendafixaconsolidadomai[[#Headers],[9]],tabela_registros[REGISTRO],DADOS!$N$5,tabela_registros[TIPO],DADOS!$AB$3,tabela_registros[CATEGORIA],investirrendafixaconsolidadomai[[#This Row],[ATUAL]])</f>
        <v>0</v>
      </c>
      <c r="N121" s="119" t="n">
        <f aca="false">SUMIFS(tabela_registros[VALOR],tabela_registros[MÊS],$AE$1,tabela_registros[DIA],investirrendafixaconsolidadomai[[#Headers],[10]],tabela_registros[REGISTRO],DADOS!$N$5,tabela_registros[TIPO],DADOS!$AB$3,tabela_registros[CATEGORIA],investirrendafixaconsolidadomai[[#This Row],[ATUAL]])</f>
        <v>0</v>
      </c>
      <c r="O121" s="119" t="n">
        <f aca="false">SUMIFS(tabela_registros[VALOR],tabela_registros[MÊS],$AE$1,tabela_registros[DIA],investirrendafixaconsolidadomai[[#Headers],[11]],tabela_registros[REGISTRO],DADOS!$N$5,tabela_registros[TIPO],DADOS!$AB$3,tabela_registros[CATEGORIA],investirrendafixaconsolidadomai[[#This Row],[ATUAL]])</f>
        <v>0</v>
      </c>
      <c r="P121" s="119" t="n">
        <f aca="false">SUMIFS(tabela_registros[VALOR],tabela_registros[MÊS],$AE$1,tabela_registros[DIA],investirrendafixaconsolidadomai[[#Headers],[12]],tabela_registros[REGISTRO],DADOS!$N$5,tabela_registros[TIPO],DADOS!$AB$3,tabela_registros[CATEGORIA],investirrendafixaconsolidadomai[[#This Row],[ATUAL]])</f>
        <v>0</v>
      </c>
      <c r="Q121" s="119" t="n">
        <f aca="false">SUMIFS(tabela_registros[VALOR],tabela_registros[MÊS],$AE$1,tabela_registros[DIA],investirrendafixaconsolidadomai[[#Headers],[13]],tabela_registros[REGISTRO],DADOS!$N$5,tabela_registros[TIPO],DADOS!$AB$3,tabela_registros[CATEGORIA],investirrendafixaconsolidadomai[[#This Row],[ATUAL]])</f>
        <v>0</v>
      </c>
      <c r="R121" s="119" t="n">
        <f aca="false">SUMIFS(tabela_registros[VALOR],tabela_registros[MÊS],$AE$1,tabela_registros[DIA],investirrendafixaconsolidadomai[[#Headers],[14]],tabela_registros[REGISTRO],DADOS!$N$5,tabela_registros[TIPO],DADOS!$AB$3,tabela_registros[CATEGORIA],investirrendafixaconsolidadomai[[#This Row],[ATUAL]])</f>
        <v>0</v>
      </c>
      <c r="S121" s="119" t="n">
        <f aca="false">SUMIFS(tabela_registros[VALOR],tabela_registros[MÊS],$AE$1,tabela_registros[DIA],investirrendafixaconsolidadomai[[#Headers],[15]],tabela_registros[REGISTRO],DADOS!$N$5,tabela_registros[TIPO],DADOS!$AB$3,tabela_registros[CATEGORIA],investirrendafixaconsolidadomai[[#This Row],[ATUAL]])</f>
        <v>0</v>
      </c>
      <c r="T121" s="119" t="n">
        <f aca="false">SUMIFS(tabela_registros[VALOR],tabela_registros[MÊS],$AE$1,tabela_registros[DIA],investirrendafixaconsolidadomai[[#Headers],[16]],tabela_registros[REGISTRO],DADOS!$N$5,tabela_registros[TIPO],DADOS!$AB$3,tabela_registros[CATEGORIA],investirrendafixaconsolidadomai[[#This Row],[ATUAL]])</f>
        <v>0</v>
      </c>
      <c r="U121" s="119" t="n">
        <f aca="false">SUMIFS(tabela_registros[VALOR],tabela_registros[MÊS],$AE$1,tabela_registros[DIA],investirrendafixaconsolidadomai[[#Headers],[17]],tabela_registros[REGISTRO],DADOS!$N$5,tabela_registros[TIPO],DADOS!$AB$3,tabela_registros[CATEGORIA],investirrendafixaconsolidadomai[[#This Row],[ATUAL]])</f>
        <v>0</v>
      </c>
      <c r="V121" s="119" t="n">
        <f aca="false">SUMIFS(tabela_registros[VALOR],tabela_registros[MÊS],$AE$1,tabela_registros[DIA],investirrendafixaconsolidadomai[[#Headers],[18]],tabela_registros[REGISTRO],DADOS!$N$5,tabela_registros[TIPO],DADOS!$AB$3,tabela_registros[CATEGORIA],investirrendafixaconsolidadomai[[#This Row],[ATUAL]])</f>
        <v>0</v>
      </c>
      <c r="W121" s="119" t="n">
        <f aca="false">SUMIFS(tabela_registros[VALOR],tabela_registros[MÊS],$AE$1,tabela_registros[DIA],investirrendafixaconsolidadomai[[#Headers],[19]],tabela_registros[REGISTRO],DADOS!$N$5,tabela_registros[TIPO],DADOS!$AB$3,tabela_registros[CATEGORIA],investirrendafixaconsolidadomai[[#This Row],[ATUAL]])</f>
        <v>0</v>
      </c>
      <c r="X121" s="119" t="n">
        <f aca="false">SUMIFS(tabela_registros[VALOR],tabela_registros[MÊS],$AE$1,tabela_registros[DIA],investirrendafixaconsolidadomai[[#Headers],[20]],tabela_registros[REGISTRO],DADOS!$N$5,tabela_registros[TIPO],DADOS!$AB$3,tabela_registros[CATEGORIA],investirrendafixaconsolidadomai[[#This Row],[ATUAL]])</f>
        <v>0</v>
      </c>
      <c r="Y121" s="119" t="n">
        <f aca="false">SUMIFS(tabela_registros[VALOR],tabela_registros[MÊS],$AE$1,tabela_registros[DIA],investirrendafixaconsolidadomai[[#Headers],[21]],tabela_registros[REGISTRO],DADOS!$N$5,tabela_registros[TIPO],DADOS!$AB$3,tabela_registros[CATEGORIA],investirrendafixaconsolidadomai[[#This Row],[ATUAL]])</f>
        <v>0</v>
      </c>
      <c r="Z121" s="119" t="n">
        <f aca="false">SUMIFS(tabela_registros[VALOR],tabela_registros[MÊS],$AE$1,tabela_registros[DIA],investirrendafixaconsolidadomai[[#Headers],[22]],tabela_registros[REGISTRO],DADOS!$N$5,tabela_registros[TIPO],DADOS!$AB$3,tabela_registros[CATEGORIA],investirrendafixaconsolidadomai[[#This Row],[ATUAL]])</f>
        <v>0</v>
      </c>
      <c r="AA121" s="119" t="n">
        <f aca="false">SUMIFS(tabela_registros[VALOR],tabela_registros[MÊS],$AE$1,tabela_registros[DIA],investirrendafixaconsolidadomai[[#Headers],[23]],tabela_registros[REGISTRO],DADOS!$N$5,tabela_registros[TIPO],DADOS!$AB$3,tabela_registros[CATEGORIA],investirrendafixaconsolidadomai[[#This Row],[ATUAL]])</f>
        <v>0</v>
      </c>
      <c r="AB121" s="119" t="n">
        <f aca="false">SUMIFS(tabela_registros[VALOR],tabela_registros[MÊS],$AE$1,tabela_registros[DIA],investirrendafixaconsolidadomai[[#Headers],[24]],tabela_registros[REGISTRO],DADOS!$N$5,tabela_registros[TIPO],DADOS!$AB$3,tabela_registros[CATEGORIA],investirrendafixaconsolidadomai[[#This Row],[ATUAL]])</f>
        <v>0</v>
      </c>
      <c r="AC121" s="119" t="n">
        <f aca="false">SUMIFS(tabela_registros[VALOR],tabela_registros[MÊS],$AE$1,tabela_registros[DIA],investirrendafixaconsolidadomai[[#Headers],[25]],tabela_registros[REGISTRO],DADOS!$N$5,tabela_registros[TIPO],DADOS!$AB$3,tabela_registros[CATEGORIA],investirrendafixaconsolidadomai[[#This Row],[ATUAL]])</f>
        <v>0</v>
      </c>
      <c r="AD121" s="119" t="n">
        <f aca="false">SUMIFS(tabela_registros[VALOR],tabela_registros[MÊS],$AE$1,tabela_registros[DIA],investirrendafixaconsolidadomai[[#Headers],[26]],tabela_registros[REGISTRO],DADOS!$N$5,tabela_registros[TIPO],DADOS!$AB$3,tabela_registros[CATEGORIA],investirrendafixaconsolidadomai[[#This Row],[ATUAL]])</f>
        <v>0</v>
      </c>
      <c r="AE121" s="119" t="n">
        <f aca="false">SUMIFS(tabela_registros[VALOR],tabela_registros[MÊS],$AE$1,tabela_registros[DIA],investirrendafixaconsolidadomai[[#Headers],[27]],tabela_registros[REGISTRO],DADOS!$N$5,tabela_registros[TIPO],DADOS!$AB$3,tabela_registros[CATEGORIA],investirrendafixaconsolidadomai[[#This Row],[ATUAL]])</f>
        <v>0</v>
      </c>
      <c r="AF121" s="119" t="n">
        <f aca="false">SUMIFS(tabela_registros[VALOR],tabela_registros[MÊS],$AE$1,tabela_registros[DIA],investirrendafixaconsolidadomai[[#Headers],[28]],tabela_registros[REGISTRO],DADOS!$N$5,tabela_registros[TIPO],DADOS!$AB$3,tabela_registros[CATEGORIA],investirrendafixaconsolidadomai[[#This Row],[ATUAL]])</f>
        <v>0</v>
      </c>
      <c r="AG121" s="119" t="n">
        <f aca="false">SUMIFS(tabela_registros[VALOR],tabela_registros[MÊS],$AE$1,tabela_registros[DIA],investirrendafixaconsolidadomai[[#Headers],[29]],tabela_registros[REGISTRO],DADOS!$N$5,tabela_registros[TIPO],DADOS!$AB$3,tabela_registros[CATEGORIA],investirrendafixaconsolidadomai[[#This Row],[ATUAL]])</f>
        <v>0</v>
      </c>
      <c r="AH121" s="119" t="n">
        <f aca="false">SUMIFS(tabela_registros[VALOR],tabela_registros[MÊS],$AE$1,tabela_registros[DIA],investirrendafixaconsolidadomai[[#Headers],[30]],tabela_registros[REGISTRO],DADOS!$N$5,tabela_registros[TIPO],DADOS!$AB$3,tabela_registros[CATEGORIA],investirrendafixaconsolidadomai[[#This Row],[ATUAL]])</f>
        <v>0</v>
      </c>
      <c r="AI121" s="217" t="n">
        <f aca="false">SUMIFS(tabela_registros[VALOR],tabela_registros[MÊS],$AE$1,tabela_registros[DIA],investirrendafixaconsolidadomai[[#Headers],[31]],tabela_registros[REGISTRO],DADOS!$N$5,tabela_registros[TIPO],DADOS!$AB$3,tabela_registros[CATEGORIA],investirrendafixaconsolidadomai[[#This Row],[ATUAL]])</f>
        <v>0</v>
      </c>
      <c r="AJ121" s="149" t="n">
        <f aca="false">SUM(investirrendafixaconsolidadomai[[#This Row],[1]:[31]])</f>
        <v>0</v>
      </c>
      <c r="AK121" s="165"/>
    </row>
    <row r="122" customFormat="false" ht="19.5" hidden="false" customHeight="true" outlineLevel="0" collapsed="false">
      <c r="B122" s="143"/>
      <c r="C122" s="144" t="str">
        <f aca="false">DADOS!$AD$12</f>
        <v>📎 OUTROS</v>
      </c>
      <c r="D122" s="145" t="str">
        <f aca="false">IF(investirrendafixaconsolidadomai[[#This Row],[TOTAL (R$)]]=0,"",IF(OR(investirrendafixaconsolidadomai[[#This Row],[TOTAL (R$)]]=LARGE($AJ$113:$AJ$122,1),investirrendafixaconsolidadomai[[#This Row],[TOTAL (R$)]]=LARGE($AJ$113:$AJ$122,2)),DADOS!$I$10,""))</f>
        <v/>
      </c>
      <c r="E122" s="148" t="n">
        <f aca="false">SUMIFS(tabela_registros[VALOR],tabela_registros[MÊS],$AE$1,tabela_registros[DIA],investirrendafixaconsolidadomai[[#Headers],[1]],tabela_registros[REGISTRO],DADOS!$N$5,tabela_registros[TIPO],DADOS!$AB$3,tabela_registros[CATEGORIA],investirrendafixaconsolidadomai[[#This Row],[ATUAL]])</f>
        <v>0</v>
      </c>
      <c r="F122" s="119" t="n">
        <f aca="false">SUMIFS(tabela_registros[VALOR],tabela_registros[MÊS],$AE$1,tabela_registros[DIA],investirrendafixaconsolidadomai[[#Headers],[2]],tabela_registros[REGISTRO],DADOS!$N$5,tabela_registros[TIPO],DADOS!$AB$3,tabela_registros[CATEGORIA],investirrendafixaconsolidadomai[[#This Row],[ATUAL]])</f>
        <v>0</v>
      </c>
      <c r="G122" s="119" t="n">
        <f aca="false">SUMIFS(tabela_registros[VALOR],tabela_registros[MÊS],$AE$1,tabela_registros[DIA],investirrendafixaconsolidadomai[[#Headers],[3]],tabela_registros[REGISTRO],DADOS!$N$5,tabela_registros[TIPO],DADOS!$AB$3,tabela_registros[CATEGORIA],investirrendafixaconsolidadomai[[#This Row],[ATUAL]])</f>
        <v>0</v>
      </c>
      <c r="H122" s="119" t="n">
        <f aca="false">SUMIFS(tabela_registros[VALOR],tabela_registros[MÊS],$AE$1,tabela_registros[DIA],investirrendafixaconsolidadomai[[#Headers],[4]],tabela_registros[REGISTRO],DADOS!$N$5,tabela_registros[TIPO],DADOS!$AB$3,tabela_registros[CATEGORIA],investirrendafixaconsolidadomai[[#This Row],[ATUAL]])</f>
        <v>0</v>
      </c>
      <c r="I122" s="119" t="n">
        <f aca="false">SUMIFS(tabela_registros[VALOR],tabela_registros[MÊS],$AE$1,tabela_registros[DIA],investirrendafixaconsolidadomai[[#Headers],[5]],tabela_registros[REGISTRO],DADOS!$N$5,tabela_registros[TIPO],DADOS!$AB$3,tabela_registros[CATEGORIA],investirrendafixaconsolidadomai[[#This Row],[ATUAL]])</f>
        <v>0</v>
      </c>
      <c r="J122" s="119" t="n">
        <f aca="false">SUMIFS(tabela_registros[VALOR],tabela_registros[MÊS],$AE$1,tabela_registros[DIA],investirrendafixaconsolidadomai[[#Headers],[6]],tabela_registros[REGISTRO],DADOS!$N$5,tabela_registros[TIPO],DADOS!$AB$3,tabela_registros[CATEGORIA],investirrendafixaconsolidadomai[[#This Row],[ATUAL]])</f>
        <v>0</v>
      </c>
      <c r="K122" s="119" t="n">
        <f aca="false">SUMIFS(tabela_registros[VALOR],tabela_registros[MÊS],$AE$1,tabela_registros[DIA],investirrendafixaconsolidadomai[[#Headers],[7]],tabela_registros[REGISTRO],DADOS!$N$5,tabela_registros[TIPO],DADOS!$AB$3,tabela_registros[CATEGORIA],investirrendafixaconsolidadomai[[#This Row],[ATUAL]])</f>
        <v>0</v>
      </c>
      <c r="L122" s="119" t="n">
        <f aca="false">SUMIFS(tabela_registros[VALOR],tabela_registros[MÊS],$AE$1,tabela_registros[DIA],investirrendafixaconsolidadomai[[#Headers],[8]],tabela_registros[REGISTRO],DADOS!$N$5,tabela_registros[TIPO],DADOS!$AB$3,tabela_registros[CATEGORIA],investirrendafixaconsolidadomai[[#This Row],[ATUAL]])</f>
        <v>0</v>
      </c>
      <c r="M122" s="119" t="n">
        <f aca="false">SUMIFS(tabela_registros[VALOR],tabela_registros[MÊS],$AE$1,tabela_registros[DIA],investirrendafixaconsolidadomai[[#Headers],[9]],tabela_registros[REGISTRO],DADOS!$N$5,tabela_registros[TIPO],DADOS!$AB$3,tabela_registros[CATEGORIA],investirrendafixaconsolidadomai[[#This Row],[ATUAL]])</f>
        <v>0</v>
      </c>
      <c r="N122" s="119" t="n">
        <f aca="false">SUMIFS(tabela_registros[VALOR],tabela_registros[MÊS],$AE$1,tabela_registros[DIA],investirrendafixaconsolidadomai[[#Headers],[10]],tabela_registros[REGISTRO],DADOS!$N$5,tabela_registros[TIPO],DADOS!$AB$3,tabela_registros[CATEGORIA],investirrendafixaconsolidadomai[[#This Row],[ATUAL]])</f>
        <v>0</v>
      </c>
      <c r="O122" s="119" t="n">
        <f aca="false">SUMIFS(tabela_registros[VALOR],tabela_registros[MÊS],$AE$1,tabela_registros[DIA],investirrendafixaconsolidadomai[[#Headers],[11]],tabela_registros[REGISTRO],DADOS!$N$5,tabela_registros[TIPO],DADOS!$AB$3,tabela_registros[CATEGORIA],investirrendafixaconsolidadomai[[#This Row],[ATUAL]])</f>
        <v>0</v>
      </c>
      <c r="P122" s="119" t="n">
        <f aca="false">SUMIFS(tabela_registros[VALOR],tabela_registros[MÊS],$AE$1,tabela_registros[DIA],investirrendafixaconsolidadomai[[#Headers],[12]],tabela_registros[REGISTRO],DADOS!$N$5,tabela_registros[TIPO],DADOS!$AB$3,tabela_registros[CATEGORIA],investirrendafixaconsolidadomai[[#This Row],[ATUAL]])</f>
        <v>0</v>
      </c>
      <c r="Q122" s="119" t="n">
        <f aca="false">SUMIFS(tabela_registros[VALOR],tabela_registros[MÊS],$AE$1,tabela_registros[DIA],investirrendafixaconsolidadomai[[#Headers],[13]],tabela_registros[REGISTRO],DADOS!$N$5,tabela_registros[TIPO],DADOS!$AB$3,tabela_registros[CATEGORIA],investirrendafixaconsolidadomai[[#This Row],[ATUAL]])</f>
        <v>0</v>
      </c>
      <c r="R122" s="119" t="n">
        <f aca="false">SUMIFS(tabela_registros[VALOR],tabela_registros[MÊS],$AE$1,tabela_registros[DIA],investirrendafixaconsolidadomai[[#Headers],[14]],tabela_registros[REGISTRO],DADOS!$N$5,tabela_registros[TIPO],DADOS!$AB$3,tabela_registros[CATEGORIA],investirrendafixaconsolidadomai[[#This Row],[ATUAL]])</f>
        <v>0</v>
      </c>
      <c r="S122" s="119" t="n">
        <f aca="false">SUMIFS(tabela_registros[VALOR],tabela_registros[MÊS],$AE$1,tabela_registros[DIA],investirrendafixaconsolidadomai[[#Headers],[15]],tabela_registros[REGISTRO],DADOS!$N$5,tabela_registros[TIPO],DADOS!$AB$3,tabela_registros[CATEGORIA],investirrendafixaconsolidadomai[[#This Row],[ATUAL]])</f>
        <v>0</v>
      </c>
      <c r="T122" s="119" t="n">
        <f aca="false">SUMIFS(tabela_registros[VALOR],tabela_registros[MÊS],$AE$1,tabela_registros[DIA],investirrendafixaconsolidadomai[[#Headers],[16]],tabela_registros[REGISTRO],DADOS!$N$5,tabela_registros[TIPO],DADOS!$AB$3,tabela_registros[CATEGORIA],investirrendafixaconsolidadomai[[#This Row],[ATUAL]])</f>
        <v>0</v>
      </c>
      <c r="U122" s="119" t="n">
        <f aca="false">SUMIFS(tabela_registros[VALOR],tabela_registros[MÊS],$AE$1,tabela_registros[DIA],investirrendafixaconsolidadomai[[#Headers],[17]],tabela_registros[REGISTRO],DADOS!$N$5,tabela_registros[TIPO],DADOS!$AB$3,tabela_registros[CATEGORIA],investirrendafixaconsolidadomai[[#This Row],[ATUAL]])</f>
        <v>0</v>
      </c>
      <c r="V122" s="119" t="n">
        <f aca="false">SUMIFS(tabela_registros[VALOR],tabela_registros[MÊS],$AE$1,tabela_registros[DIA],investirrendafixaconsolidadomai[[#Headers],[18]],tabela_registros[REGISTRO],DADOS!$N$5,tabela_registros[TIPO],DADOS!$AB$3,tabela_registros[CATEGORIA],investirrendafixaconsolidadomai[[#This Row],[ATUAL]])</f>
        <v>0</v>
      </c>
      <c r="W122" s="119" t="n">
        <f aca="false">SUMIFS(tabela_registros[VALOR],tabela_registros[MÊS],$AE$1,tabela_registros[DIA],investirrendafixaconsolidadomai[[#Headers],[19]],tabela_registros[REGISTRO],DADOS!$N$5,tabela_registros[TIPO],DADOS!$AB$3,tabela_registros[CATEGORIA],investirrendafixaconsolidadomai[[#This Row],[ATUAL]])</f>
        <v>0</v>
      </c>
      <c r="X122" s="119" t="n">
        <f aca="false">SUMIFS(tabela_registros[VALOR],tabela_registros[MÊS],$AE$1,tabela_registros[DIA],investirrendafixaconsolidadomai[[#Headers],[20]],tabela_registros[REGISTRO],DADOS!$N$5,tabela_registros[TIPO],DADOS!$AB$3,tabela_registros[CATEGORIA],investirrendafixaconsolidadomai[[#This Row],[ATUAL]])</f>
        <v>0</v>
      </c>
      <c r="Y122" s="119" t="n">
        <f aca="false">SUMIFS(tabela_registros[VALOR],tabela_registros[MÊS],$AE$1,tabela_registros[DIA],investirrendafixaconsolidadomai[[#Headers],[21]],tabela_registros[REGISTRO],DADOS!$N$5,tabela_registros[TIPO],DADOS!$AB$3,tabela_registros[CATEGORIA],investirrendafixaconsolidadomai[[#This Row],[ATUAL]])</f>
        <v>0</v>
      </c>
      <c r="Z122" s="119" t="n">
        <f aca="false">SUMIFS(tabela_registros[VALOR],tabela_registros[MÊS],$AE$1,tabela_registros[DIA],investirrendafixaconsolidadomai[[#Headers],[22]],tabela_registros[REGISTRO],DADOS!$N$5,tabela_registros[TIPO],DADOS!$AB$3,tabela_registros[CATEGORIA],investirrendafixaconsolidadomai[[#This Row],[ATUAL]])</f>
        <v>0</v>
      </c>
      <c r="AA122" s="119" t="n">
        <f aca="false">SUMIFS(tabela_registros[VALOR],tabela_registros[MÊS],$AE$1,tabela_registros[DIA],investirrendafixaconsolidadomai[[#Headers],[23]],tabela_registros[REGISTRO],DADOS!$N$5,tabela_registros[TIPO],DADOS!$AB$3,tabela_registros[CATEGORIA],investirrendafixaconsolidadomai[[#This Row],[ATUAL]])</f>
        <v>0</v>
      </c>
      <c r="AB122" s="119" t="n">
        <f aca="false">SUMIFS(tabela_registros[VALOR],tabela_registros[MÊS],$AE$1,tabela_registros[DIA],investirrendafixaconsolidadomai[[#Headers],[24]],tabela_registros[REGISTRO],DADOS!$N$5,tabela_registros[TIPO],DADOS!$AB$3,tabela_registros[CATEGORIA],investirrendafixaconsolidadomai[[#This Row],[ATUAL]])</f>
        <v>0</v>
      </c>
      <c r="AC122" s="119" t="n">
        <f aca="false">SUMIFS(tabela_registros[VALOR],tabela_registros[MÊS],$AE$1,tabela_registros[DIA],investirrendafixaconsolidadomai[[#Headers],[25]],tabela_registros[REGISTRO],DADOS!$N$5,tabela_registros[TIPO],DADOS!$AB$3,tabela_registros[CATEGORIA],investirrendafixaconsolidadomai[[#This Row],[ATUAL]])</f>
        <v>0</v>
      </c>
      <c r="AD122" s="119" t="n">
        <f aca="false">SUMIFS(tabela_registros[VALOR],tabela_registros[MÊS],$AE$1,tabela_registros[DIA],investirrendafixaconsolidadomai[[#Headers],[26]],tabela_registros[REGISTRO],DADOS!$N$5,tabela_registros[TIPO],DADOS!$AB$3,tabela_registros[CATEGORIA],investirrendafixaconsolidadomai[[#This Row],[ATUAL]])</f>
        <v>0</v>
      </c>
      <c r="AE122" s="119" t="n">
        <f aca="false">SUMIFS(tabela_registros[VALOR],tabela_registros[MÊS],$AE$1,tabela_registros[DIA],investirrendafixaconsolidadomai[[#Headers],[27]],tabela_registros[REGISTRO],DADOS!$N$5,tabela_registros[TIPO],DADOS!$AB$3,tabela_registros[CATEGORIA],investirrendafixaconsolidadomai[[#This Row],[ATUAL]])</f>
        <v>0</v>
      </c>
      <c r="AF122" s="119" t="n">
        <f aca="false">SUMIFS(tabela_registros[VALOR],tabela_registros[MÊS],$AE$1,tabela_registros[DIA],investirrendafixaconsolidadomai[[#Headers],[28]],tabela_registros[REGISTRO],DADOS!$N$5,tabela_registros[TIPO],DADOS!$AB$3,tabela_registros[CATEGORIA],investirrendafixaconsolidadomai[[#This Row],[ATUAL]])</f>
        <v>0</v>
      </c>
      <c r="AG122" s="119" t="n">
        <f aca="false">SUMIFS(tabela_registros[VALOR],tabela_registros[MÊS],$AE$1,tabela_registros[DIA],investirrendafixaconsolidadomai[[#Headers],[29]],tabela_registros[REGISTRO],DADOS!$N$5,tabela_registros[TIPO],DADOS!$AB$3,tabela_registros[CATEGORIA],investirrendafixaconsolidadomai[[#This Row],[ATUAL]])</f>
        <v>0</v>
      </c>
      <c r="AH122" s="119" t="n">
        <f aca="false">SUMIFS(tabela_registros[VALOR],tabela_registros[MÊS],$AE$1,tabela_registros[DIA],investirrendafixaconsolidadomai[[#Headers],[30]],tabela_registros[REGISTRO],DADOS!$N$5,tabela_registros[TIPO],DADOS!$AB$3,tabela_registros[CATEGORIA],investirrendafixaconsolidadomai[[#This Row],[ATUAL]])</f>
        <v>0</v>
      </c>
      <c r="AI122" s="218" t="n">
        <f aca="false">SUMIFS(tabela_registros[VALOR],tabela_registros[MÊS],$AE$1,tabela_registros[DIA],investirrendafixaconsolidadomai[[#Headers],[31]],tabela_registros[REGISTRO],DADOS!$N$5,tabela_registros[TIPO],DADOS!$AB$3,tabela_registros[CATEGORIA],investirrendafixaconsolidadomai[[#This Row],[ATUAL]])</f>
        <v>0</v>
      </c>
      <c r="AJ122" s="149" t="n">
        <f aca="false">SUM(investirrendafixaconsolidadomai[[#This Row],[1]:[31]])</f>
        <v>0</v>
      </c>
      <c r="AK122" s="165"/>
    </row>
    <row r="123" s="122" customFormat="true" ht="21" hidden="false" customHeight="true" outlineLevel="0" collapsed="false">
      <c r="B123" s="152"/>
      <c r="C123" s="153" t="s">
        <v>2</v>
      </c>
      <c r="D123" s="166"/>
      <c r="E123" s="155" t="n">
        <f aca="false">SUM(E113:E122)</f>
        <v>0</v>
      </c>
      <c r="F123" s="156" t="n">
        <f aca="false">SUM(F113:F122)+investirrendafixaconsolidadomai[[#This Row],[1]]</f>
        <v>0</v>
      </c>
      <c r="G123" s="156" t="n">
        <f aca="false">SUM(G113:G122)+investirrendafixaconsolidadomai[[#This Row],[2]]</f>
        <v>0</v>
      </c>
      <c r="H123" s="156" t="n">
        <f aca="false">SUM(H113:H122)+investirrendafixaconsolidadomai[[#This Row],[3]]</f>
        <v>0</v>
      </c>
      <c r="I123" s="156" t="n">
        <f aca="false">SUM(I113:I122)+investirrendafixaconsolidadomai[[#This Row],[4]]</f>
        <v>0</v>
      </c>
      <c r="J123" s="156" t="n">
        <f aca="false">SUM(J113:J122)+investirrendafixaconsolidadomai[[#This Row],[5]]</f>
        <v>0</v>
      </c>
      <c r="K123" s="156" t="n">
        <f aca="false">SUM(K113:K122)+investirrendafixaconsolidadomai[[#This Row],[6]]</f>
        <v>0</v>
      </c>
      <c r="L123" s="156" t="n">
        <f aca="false">SUM(L113:L122)+investirrendafixaconsolidadomai[[#This Row],[7]]</f>
        <v>0</v>
      </c>
      <c r="M123" s="156" t="n">
        <f aca="false">SUM(M113:M122)+investirrendafixaconsolidadomai[[#This Row],[8]]</f>
        <v>0</v>
      </c>
      <c r="N123" s="156" t="n">
        <f aca="false">SUM(N113:N122)+investirrendafixaconsolidadomai[[#This Row],[9]]</f>
        <v>0</v>
      </c>
      <c r="O123" s="156" t="n">
        <f aca="false">SUM(O113:O122)+investirrendafixaconsolidadomai[[#This Row],[10]]</f>
        <v>0</v>
      </c>
      <c r="P123" s="156" t="n">
        <f aca="false">SUM(P113:P122)+investirrendafixaconsolidadomai[[#This Row],[11]]</f>
        <v>0</v>
      </c>
      <c r="Q123" s="156" t="n">
        <f aca="false">SUM(Q113:Q122)+investirrendafixaconsolidadomai[[#This Row],[12]]</f>
        <v>0</v>
      </c>
      <c r="R123" s="156" t="n">
        <f aca="false">SUM(R113:R122)+investirrendafixaconsolidadomai[[#This Row],[13]]</f>
        <v>0</v>
      </c>
      <c r="S123" s="156" t="n">
        <f aca="false">SUM(S113:S122)+investirrendafixaconsolidadomai[[#This Row],[14]]</f>
        <v>0</v>
      </c>
      <c r="T123" s="156" t="n">
        <f aca="false">SUM(T113:T122)+investirrendafixaconsolidadomai[[#This Row],[15]]</f>
        <v>0</v>
      </c>
      <c r="U123" s="156" t="n">
        <f aca="false">SUM(U113:U122)+investirrendafixaconsolidadomai[[#This Row],[16]]</f>
        <v>0</v>
      </c>
      <c r="V123" s="156" t="n">
        <f aca="false">SUM(V113:V122)+investirrendafixaconsolidadomai[[#This Row],[17]]</f>
        <v>0</v>
      </c>
      <c r="W123" s="156" t="n">
        <f aca="false">SUM(W113:W122)+investirrendafixaconsolidadomai[[#This Row],[18]]</f>
        <v>0</v>
      </c>
      <c r="X123" s="156" t="n">
        <f aca="false">SUM(X113:X122)+investirrendafixaconsolidadomai[[#This Row],[19]]</f>
        <v>0</v>
      </c>
      <c r="Y123" s="156" t="n">
        <f aca="false">SUM(Y113:Y122)+investirrendafixaconsolidadomai[[#This Row],[20]]</f>
        <v>0</v>
      </c>
      <c r="Z123" s="156" t="n">
        <f aca="false">SUM(Z113:Z122)+investirrendafixaconsolidadomai[[#This Row],[21]]</f>
        <v>0</v>
      </c>
      <c r="AA123" s="156" t="n">
        <f aca="false">SUM(AA113:AA122)+investirrendafixaconsolidadomai[[#This Row],[22]]</f>
        <v>0</v>
      </c>
      <c r="AB123" s="156" t="n">
        <f aca="false">SUM(AB113:AB122)+investirrendafixaconsolidadomai[[#This Row],[23]]</f>
        <v>0</v>
      </c>
      <c r="AC123" s="156" t="n">
        <f aca="false">SUM(AC113:AC122)+investirrendafixaconsolidadomai[[#This Row],[24]]</f>
        <v>0</v>
      </c>
      <c r="AD123" s="156" t="n">
        <f aca="false">SUM(AD113:AD122)+investirrendafixaconsolidadomai[[#This Row],[25]]</f>
        <v>0</v>
      </c>
      <c r="AE123" s="156" t="n">
        <f aca="false">SUM(AE113:AE122)+investirrendafixaconsolidadomai[[#This Row],[26]]</f>
        <v>0</v>
      </c>
      <c r="AF123" s="156" t="n">
        <f aca="false">SUM(AF113:AF122)+investirrendafixaconsolidadomai[[#This Row],[27]]</f>
        <v>0</v>
      </c>
      <c r="AG123" s="156" t="n">
        <f aca="false">SUM(AG113:AG122)+investirrendafixaconsolidadomai[[#This Row],[28]]</f>
        <v>0</v>
      </c>
      <c r="AH123" s="156" t="n">
        <f aca="false">SUM(AH113:AH122)+investirrendafixaconsolidadomai[[#This Row],[29]]</f>
        <v>0</v>
      </c>
      <c r="AI123" s="223" t="n">
        <f aca="false">SUM(AI113:AI122)+investirrendafixaconsolidadomai[[#This Row],[30]]</f>
        <v>0</v>
      </c>
      <c r="AJ123" s="157" t="n">
        <f aca="false">investirrendafixaconsolidadomai[[#This Row],[31]]</f>
        <v>0</v>
      </c>
      <c r="AK123" s="158"/>
    </row>
    <row r="124" customFormat="false" ht="6.75" hidden="false" customHeight="true" outlineLevel="0" collapsed="false">
      <c r="B124" s="97"/>
      <c r="C124" s="162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233"/>
      <c r="AJ124" s="164"/>
      <c r="AK124" s="244"/>
    </row>
    <row r="125" s="78" customFormat="true" ht="12.75" hidden="false" customHeight="false" outlineLevel="0" collapsed="false">
      <c r="E125" s="100"/>
    </row>
    <row r="126" s="78" customFormat="true" ht="12" hidden="false" customHeight="false" outlineLevel="0" collapsed="false"/>
    <row r="127" s="78" customFormat="true" ht="12" hidden="false" customHeight="false" outlineLevel="0" collapsed="false"/>
    <row r="128" customFormat="false" ht="39.75" hidden="false" customHeight="true" outlineLevel="0" collapsed="false">
      <c r="C128" s="101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3" t="s">
        <v>2</v>
      </c>
    </row>
    <row r="129" s="78" customFormat="true" ht="12.75" hidden="false" customHeight="false" outlineLevel="0" collapsed="false">
      <c r="B129" s="161"/>
      <c r="AJ129" s="106" t="s">
        <v>64</v>
      </c>
    </row>
    <row r="130" customFormat="false" ht="6.75" hidden="false" customHeight="true" outlineLevel="0" collapsed="false">
      <c r="B130" s="86"/>
      <c r="C130" s="162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233"/>
      <c r="AK130" s="139"/>
    </row>
    <row r="131" customFormat="false" ht="13.5" hidden="true" customHeight="false" outlineLevel="0" collapsed="false">
      <c r="B131" s="86"/>
      <c r="C131" s="109" t="s">
        <v>68</v>
      </c>
      <c r="D131" s="110" t="s">
        <v>69</v>
      </c>
      <c r="E131" s="110" t="s">
        <v>30</v>
      </c>
      <c r="F131" s="110" t="s">
        <v>31</v>
      </c>
      <c r="G131" s="110" t="s">
        <v>32</v>
      </c>
      <c r="H131" s="110" t="s">
        <v>33</v>
      </c>
      <c r="I131" s="110" t="s">
        <v>34</v>
      </c>
      <c r="J131" s="110" t="s">
        <v>35</v>
      </c>
      <c r="K131" s="110" t="s">
        <v>36</v>
      </c>
      <c r="L131" s="110" t="s">
        <v>37</v>
      </c>
      <c r="M131" s="110" t="s">
        <v>38</v>
      </c>
      <c r="N131" s="110" t="s">
        <v>39</v>
      </c>
      <c r="O131" s="110" t="s">
        <v>40</v>
      </c>
      <c r="P131" s="110" t="s">
        <v>41</v>
      </c>
      <c r="Q131" s="110" t="s">
        <v>81</v>
      </c>
      <c r="R131" s="110" t="s">
        <v>82</v>
      </c>
      <c r="S131" s="110" t="s">
        <v>83</v>
      </c>
      <c r="T131" s="110" t="s">
        <v>84</v>
      </c>
      <c r="U131" s="110" t="s">
        <v>85</v>
      </c>
      <c r="V131" s="110" t="s">
        <v>86</v>
      </c>
      <c r="W131" s="110" t="s">
        <v>87</v>
      </c>
      <c r="X131" s="110" t="s">
        <v>88</v>
      </c>
      <c r="Y131" s="110" t="s">
        <v>89</v>
      </c>
      <c r="Z131" s="110" t="s">
        <v>90</v>
      </c>
      <c r="AA131" s="110" t="s">
        <v>91</v>
      </c>
      <c r="AB131" s="110" t="s">
        <v>92</v>
      </c>
      <c r="AC131" s="110" t="s">
        <v>93</v>
      </c>
      <c r="AD131" s="110" t="s">
        <v>94</v>
      </c>
      <c r="AE131" s="110" t="s">
        <v>95</v>
      </c>
      <c r="AF131" s="110" t="s">
        <v>96</v>
      </c>
      <c r="AG131" s="110" t="s">
        <v>97</v>
      </c>
      <c r="AH131" s="110" t="s">
        <v>98</v>
      </c>
      <c r="AI131" s="110" t="s">
        <v>99</v>
      </c>
      <c r="AJ131" s="111" t="s">
        <v>70</v>
      </c>
      <c r="AK131" s="86"/>
    </row>
    <row r="132" customFormat="false" ht="19.5" hidden="false" customHeight="true" outlineLevel="0" collapsed="false">
      <c r="B132" s="143"/>
      <c r="C132" s="144" t="str">
        <f aca="false">DADOS!$AF$3</f>
        <v>📝 AÇÃO</v>
      </c>
      <c r="D132" s="145" t="str">
        <f aca="false">IF(investirrendavariávelconsolidadomai[[#This Row],[TOTAL (R$)]]=0,"",IF(OR(investirrendavariávelconsolidadomai[[#This Row],[TOTAL (R$)]]=LARGE($AJ$132:$AJ$141,1),investirrendavariávelconsolidadomai[[#This Row],[TOTAL (R$)]]=LARGE($AJ$132:$AJ$141,2)),DADOS!$I$10,""))</f>
        <v/>
      </c>
      <c r="E132" s="148" t="n">
        <f aca="false">SUMIFS(tabela_registros[VALOR],tabela_registros[MÊS],$AE$1,tabela_registros[DIA],investirrendavariávelconsolidadomai[[#Headers],[1]],tabela_registros[REGISTRO],DADOS!$N$5,tabela_registros[TIPO],DADOS!$AB$4,tabela_registros[CATEGORIA],investirrendavariávelconsolidadomai[[#This Row],[ATUAL]])</f>
        <v>0</v>
      </c>
      <c r="F132" s="119" t="n">
        <f aca="false">SUMIFS(tabela_registros[VALOR],tabela_registros[MÊS],$AE$1,tabela_registros[DIA],investirrendavariávelconsolidadomai[[#Headers],[2]],tabela_registros[REGISTRO],DADOS!$N$5,tabela_registros[TIPO],DADOS!$AB$4,tabela_registros[CATEGORIA],investirrendavariávelconsolidadomai[[#This Row],[ATUAL]])</f>
        <v>0</v>
      </c>
      <c r="G132" s="119" t="n">
        <f aca="false">SUMIFS(tabela_registros[VALOR],tabela_registros[MÊS],$AE$1,tabela_registros[DIA],investirrendavariávelconsolidadomai[[#Headers],[3]],tabela_registros[REGISTRO],DADOS!$N$5,tabela_registros[TIPO],DADOS!$AB$4,tabela_registros[CATEGORIA],investirrendavariávelconsolidadomai[[#This Row],[ATUAL]])</f>
        <v>0</v>
      </c>
      <c r="H132" s="119" t="n">
        <f aca="false">SUMIFS(tabela_registros[VALOR],tabela_registros[MÊS],$AE$1,tabela_registros[DIA],investirrendavariávelconsolidadomai[[#Headers],[4]],tabela_registros[REGISTRO],DADOS!$N$5,tabela_registros[TIPO],DADOS!$AB$4,tabela_registros[CATEGORIA],investirrendavariávelconsolidadomai[[#This Row],[ATUAL]])</f>
        <v>0</v>
      </c>
      <c r="I132" s="119" t="n">
        <f aca="false">SUMIFS(tabela_registros[VALOR],tabela_registros[MÊS],$AE$1,tabela_registros[DIA],investirrendavariávelconsolidadomai[[#Headers],[5]],tabela_registros[REGISTRO],DADOS!$N$5,tabela_registros[TIPO],DADOS!$AB$4,tabela_registros[CATEGORIA],investirrendavariávelconsolidadomai[[#This Row],[ATUAL]])</f>
        <v>0</v>
      </c>
      <c r="J132" s="119" t="n">
        <f aca="false">SUMIFS(tabela_registros[VALOR],tabela_registros[MÊS],$AE$1,tabela_registros[DIA],investirrendavariávelconsolidadomai[[#Headers],[6]],tabela_registros[REGISTRO],DADOS!$N$5,tabela_registros[TIPO],DADOS!$AB$4,tabela_registros[CATEGORIA],investirrendavariávelconsolidadomai[[#This Row],[ATUAL]])</f>
        <v>0</v>
      </c>
      <c r="K132" s="119" t="n">
        <f aca="false">SUMIFS(tabela_registros[VALOR],tabela_registros[MÊS],$AE$1,tabela_registros[DIA],investirrendavariávelconsolidadomai[[#Headers],[7]],tabela_registros[REGISTRO],DADOS!$N$5,tabela_registros[TIPO],DADOS!$AB$4,tabela_registros[CATEGORIA],investirrendavariávelconsolidadomai[[#This Row],[ATUAL]])</f>
        <v>0</v>
      </c>
      <c r="L132" s="119" t="n">
        <f aca="false">SUMIFS(tabela_registros[VALOR],tabela_registros[MÊS],$AE$1,tabela_registros[DIA],investirrendavariávelconsolidadomai[[#Headers],[8]],tabela_registros[REGISTRO],DADOS!$N$5,tabela_registros[TIPO],DADOS!$AB$4,tabela_registros[CATEGORIA],investirrendavariávelconsolidadomai[[#This Row],[ATUAL]])</f>
        <v>0</v>
      </c>
      <c r="M132" s="119" t="n">
        <f aca="false">SUMIFS(tabela_registros[VALOR],tabela_registros[MÊS],$AE$1,tabela_registros[DIA],investirrendavariávelconsolidadomai[[#Headers],[9]],tabela_registros[REGISTRO],DADOS!$N$5,tabela_registros[TIPO],DADOS!$AB$4,tabela_registros[CATEGORIA],investirrendavariávelconsolidadomai[[#This Row],[ATUAL]])</f>
        <v>0</v>
      </c>
      <c r="N132" s="119" t="n">
        <f aca="false">SUMIFS(tabela_registros[VALOR],tabela_registros[MÊS],$AE$1,tabela_registros[DIA],investirrendavariávelconsolidadomai[[#Headers],[10]],tabela_registros[REGISTRO],DADOS!$N$5,tabela_registros[TIPO],DADOS!$AB$4,tabela_registros[CATEGORIA],investirrendavariávelconsolidadomai[[#This Row],[ATUAL]])</f>
        <v>0</v>
      </c>
      <c r="O132" s="119" t="n">
        <f aca="false">SUMIFS(tabela_registros[VALOR],tabela_registros[MÊS],$AE$1,tabela_registros[DIA],investirrendavariávelconsolidadomai[[#Headers],[11]],tabela_registros[REGISTRO],DADOS!$N$5,tabela_registros[TIPO],DADOS!$AB$4,tabela_registros[CATEGORIA],investirrendavariávelconsolidadomai[[#This Row],[ATUAL]])</f>
        <v>0</v>
      </c>
      <c r="P132" s="119" t="n">
        <f aca="false">SUMIFS(tabela_registros[VALOR],tabela_registros[MÊS],$AE$1,tabela_registros[DIA],investirrendavariávelconsolidadomai[[#Headers],[12]],tabela_registros[REGISTRO],DADOS!$N$5,tabela_registros[TIPO],DADOS!$AB$4,tabela_registros[CATEGORIA],investirrendavariávelconsolidadomai[[#This Row],[ATUAL]])</f>
        <v>0</v>
      </c>
      <c r="Q132" s="119" t="n">
        <f aca="false">SUMIFS(tabela_registros[VALOR],tabela_registros[MÊS],$AE$1,tabela_registros[DIA],investirrendavariávelconsolidadomai[[#Headers],[13]],tabela_registros[REGISTRO],DADOS!$N$5,tabela_registros[TIPO],DADOS!$AB$4,tabela_registros[CATEGORIA],investirrendavariávelconsolidadomai[[#This Row],[ATUAL]])</f>
        <v>0</v>
      </c>
      <c r="R132" s="119" t="n">
        <f aca="false">SUMIFS(tabela_registros[VALOR],tabela_registros[MÊS],$AE$1,tabela_registros[DIA],investirrendavariávelconsolidadomai[[#Headers],[14]],tabela_registros[REGISTRO],DADOS!$N$5,tabela_registros[TIPO],DADOS!$AB$4,tabela_registros[CATEGORIA],investirrendavariávelconsolidadomai[[#This Row],[ATUAL]])</f>
        <v>0</v>
      </c>
      <c r="S132" s="119" t="n">
        <f aca="false">SUMIFS(tabela_registros[VALOR],tabela_registros[MÊS],$AE$1,tabela_registros[DIA],investirrendavariávelconsolidadomai[[#Headers],[15]],tabela_registros[REGISTRO],DADOS!$N$5,tabela_registros[TIPO],DADOS!$AB$4,tabela_registros[CATEGORIA],investirrendavariávelconsolidadomai[[#This Row],[ATUAL]])</f>
        <v>0</v>
      </c>
      <c r="T132" s="119" t="n">
        <f aca="false">SUMIFS(tabela_registros[VALOR],tabela_registros[MÊS],$AE$1,tabela_registros[DIA],investirrendavariávelconsolidadomai[[#Headers],[16]],tabela_registros[REGISTRO],DADOS!$N$5,tabela_registros[TIPO],DADOS!$AB$4,tabela_registros[CATEGORIA],investirrendavariávelconsolidadomai[[#This Row],[ATUAL]])</f>
        <v>0</v>
      </c>
      <c r="U132" s="119" t="n">
        <f aca="false">SUMIFS(tabela_registros[VALOR],tabela_registros[MÊS],$AE$1,tabela_registros[DIA],investirrendavariávelconsolidadomai[[#Headers],[17]],tabela_registros[REGISTRO],DADOS!$N$5,tabela_registros[TIPO],DADOS!$AB$4,tabela_registros[CATEGORIA],investirrendavariávelconsolidadomai[[#This Row],[ATUAL]])</f>
        <v>0</v>
      </c>
      <c r="V132" s="119" t="n">
        <f aca="false">SUMIFS(tabela_registros[VALOR],tabela_registros[MÊS],$AE$1,tabela_registros[DIA],investirrendavariávelconsolidadomai[[#Headers],[18]],tabela_registros[REGISTRO],DADOS!$N$5,tabela_registros[TIPO],DADOS!$AB$4,tabela_registros[CATEGORIA],investirrendavariávelconsolidadomai[[#This Row],[ATUAL]])</f>
        <v>0</v>
      </c>
      <c r="W132" s="119" t="n">
        <f aca="false">SUMIFS(tabela_registros[VALOR],tabela_registros[MÊS],$AE$1,tabela_registros[DIA],investirrendavariávelconsolidadomai[[#Headers],[19]],tabela_registros[REGISTRO],DADOS!$N$5,tabela_registros[TIPO],DADOS!$AB$4,tabela_registros[CATEGORIA],investirrendavariávelconsolidadomai[[#This Row],[ATUAL]])</f>
        <v>0</v>
      </c>
      <c r="X132" s="119" t="n">
        <f aca="false">SUMIFS(tabela_registros[VALOR],tabela_registros[MÊS],$AE$1,tabela_registros[DIA],investirrendavariávelconsolidadomai[[#Headers],[20]],tabela_registros[REGISTRO],DADOS!$N$5,tabela_registros[TIPO],DADOS!$AB$4,tabela_registros[CATEGORIA],investirrendavariávelconsolidadomai[[#This Row],[ATUAL]])</f>
        <v>0</v>
      </c>
      <c r="Y132" s="119" t="n">
        <f aca="false">SUMIFS(tabela_registros[VALOR],tabela_registros[MÊS],$AE$1,tabela_registros[DIA],investirrendavariávelconsolidadomai[[#Headers],[21]],tabela_registros[REGISTRO],DADOS!$N$5,tabela_registros[TIPO],DADOS!$AB$4,tabela_registros[CATEGORIA],investirrendavariávelconsolidadomai[[#This Row],[ATUAL]])</f>
        <v>0</v>
      </c>
      <c r="Z132" s="119" t="n">
        <f aca="false">SUMIFS(tabela_registros[VALOR],tabela_registros[MÊS],$AE$1,tabela_registros[DIA],investirrendavariávelconsolidadomai[[#Headers],[22]],tabela_registros[REGISTRO],DADOS!$N$5,tabela_registros[TIPO],DADOS!$AB$4,tabela_registros[CATEGORIA],investirrendavariávelconsolidadomai[[#This Row],[ATUAL]])</f>
        <v>0</v>
      </c>
      <c r="AA132" s="119" t="n">
        <f aca="false">SUMIFS(tabela_registros[VALOR],tabela_registros[MÊS],$AE$1,tabela_registros[DIA],investirrendavariávelconsolidadomai[[#Headers],[23]],tabela_registros[REGISTRO],DADOS!$N$5,tabela_registros[TIPO],DADOS!$AB$4,tabela_registros[CATEGORIA],investirrendavariávelconsolidadomai[[#This Row],[ATUAL]])</f>
        <v>0</v>
      </c>
      <c r="AB132" s="119" t="n">
        <f aca="false">SUMIFS(tabela_registros[VALOR],tabela_registros[MÊS],$AE$1,tabela_registros[DIA],investirrendavariávelconsolidadomai[[#Headers],[24]],tabela_registros[REGISTRO],DADOS!$N$5,tabela_registros[TIPO],DADOS!$AB$4,tabela_registros[CATEGORIA],investirrendavariávelconsolidadomai[[#This Row],[ATUAL]])</f>
        <v>0</v>
      </c>
      <c r="AC132" s="119" t="n">
        <f aca="false">SUMIFS(tabela_registros[VALOR],tabela_registros[MÊS],$AE$1,tabela_registros[DIA],investirrendavariávelconsolidadomai[[#Headers],[25]],tabela_registros[REGISTRO],DADOS!$N$5,tabela_registros[TIPO],DADOS!$AB$4,tabela_registros[CATEGORIA],investirrendavariávelconsolidadomai[[#This Row],[ATUAL]])</f>
        <v>0</v>
      </c>
      <c r="AD132" s="119" t="n">
        <f aca="false">SUMIFS(tabela_registros[VALOR],tabela_registros[MÊS],$AE$1,tabela_registros[DIA],investirrendavariávelconsolidadomai[[#Headers],[26]],tabela_registros[REGISTRO],DADOS!$N$5,tabela_registros[TIPO],DADOS!$AB$4,tabela_registros[CATEGORIA],investirrendavariávelconsolidadomai[[#This Row],[ATUAL]])</f>
        <v>0</v>
      </c>
      <c r="AE132" s="119" t="n">
        <f aca="false">SUMIFS(tabela_registros[VALOR],tabela_registros[MÊS],$AE$1,tabela_registros[DIA],investirrendavariávelconsolidadomai[[#Headers],[27]],tabela_registros[REGISTRO],DADOS!$N$5,tabela_registros[TIPO],DADOS!$AB$4,tabela_registros[CATEGORIA],investirrendavariávelconsolidadomai[[#This Row],[ATUAL]])</f>
        <v>0</v>
      </c>
      <c r="AF132" s="119" t="n">
        <f aca="false">SUMIFS(tabela_registros[VALOR],tabela_registros[MÊS],$AE$1,tabela_registros[DIA],investirrendavariávelconsolidadomai[[#Headers],[28]],tabela_registros[REGISTRO],DADOS!$N$5,tabela_registros[TIPO],DADOS!$AB$4,tabela_registros[CATEGORIA],investirrendavariávelconsolidadomai[[#This Row],[ATUAL]])</f>
        <v>0</v>
      </c>
      <c r="AG132" s="119" t="n">
        <f aca="false">SUMIFS(tabela_registros[VALOR],tabela_registros[MÊS],$AE$1,tabela_registros[DIA],investirrendavariávelconsolidadomai[[#Headers],[29]],tabela_registros[REGISTRO],DADOS!$N$5,tabela_registros[TIPO],DADOS!$AB$4,tabela_registros[CATEGORIA],investirrendavariávelconsolidadomai[[#This Row],[ATUAL]])</f>
        <v>0</v>
      </c>
      <c r="AH132" s="119" t="n">
        <f aca="false">SUMIFS(tabela_registros[VALOR],tabela_registros[MÊS],$AE$1,tabela_registros[DIA],investirrendavariávelconsolidadomai[[#Headers],[30]],tabela_registros[REGISTRO],DADOS!$N$5,tabela_registros[TIPO],DADOS!$AB$4,tabela_registros[CATEGORIA],investirrendavariávelconsolidadomai[[#This Row],[ATUAL]])</f>
        <v>0</v>
      </c>
      <c r="AI132" s="217" t="n">
        <f aca="false">SUMIFS(tabela_registros[VALOR],tabela_registros[MÊS],$AE$1,tabela_registros[DIA],investirrendavariávelconsolidadomai[[#Headers],[31]],tabela_registros[REGISTRO],DADOS!$N$5,tabela_registros[TIPO],DADOS!$AB$4,tabela_registros[CATEGORIA],investirrendavariávelconsolidadomai[[#This Row],[ATUAL]])</f>
        <v>0</v>
      </c>
      <c r="AJ132" s="149" t="n">
        <f aca="false">SUM(investirrendavariávelconsolidadomai[[#This Row],[1]:[31]])</f>
        <v>0</v>
      </c>
      <c r="AK132" s="165"/>
    </row>
    <row r="133" customFormat="false" ht="19.5" hidden="false" customHeight="true" outlineLevel="0" collapsed="false">
      <c r="B133" s="143"/>
      <c r="C133" s="144" t="str">
        <f aca="false">DADOS!$AF$4</f>
        <v>📝 COMÓDITE</v>
      </c>
      <c r="D133" s="145" t="str">
        <f aca="false">IF(investirrendavariávelconsolidadomai[[#This Row],[TOTAL (R$)]]=0,"",IF(OR(investirrendavariávelconsolidadomai[[#This Row],[TOTAL (R$)]]=LARGE($AJ$132:$AJ$141,1),investirrendavariávelconsolidadomai[[#This Row],[TOTAL (R$)]]=LARGE($AJ$132:$AJ$141,2)),DADOS!$I$10,""))</f>
        <v/>
      </c>
      <c r="E133" s="148" t="n">
        <f aca="false">SUMIFS(tabela_registros[VALOR],tabela_registros[MÊS],$AE$1,tabela_registros[DIA],investirrendavariávelconsolidadomai[[#Headers],[1]],tabela_registros[REGISTRO],DADOS!$N$5,tabela_registros[TIPO],DADOS!$AB$4,tabela_registros[CATEGORIA],investirrendavariávelconsolidadomai[[#This Row],[ATUAL]])</f>
        <v>0</v>
      </c>
      <c r="F133" s="119" t="n">
        <f aca="false">SUMIFS(tabela_registros[VALOR],tabela_registros[MÊS],$AE$1,tabela_registros[DIA],investirrendavariávelconsolidadomai[[#Headers],[2]],tabela_registros[REGISTRO],DADOS!$N$5,tabela_registros[TIPO],DADOS!$AB$4,tabela_registros[CATEGORIA],investirrendavariávelconsolidadomai[[#This Row],[ATUAL]])</f>
        <v>0</v>
      </c>
      <c r="G133" s="119" t="n">
        <f aca="false">SUMIFS(tabela_registros[VALOR],tabela_registros[MÊS],$AE$1,tabela_registros[DIA],investirrendavariávelconsolidadomai[[#Headers],[3]],tabela_registros[REGISTRO],DADOS!$N$5,tabela_registros[TIPO],DADOS!$AB$4,tabela_registros[CATEGORIA],investirrendavariávelconsolidadomai[[#This Row],[ATUAL]])</f>
        <v>0</v>
      </c>
      <c r="H133" s="119" t="n">
        <f aca="false">SUMIFS(tabela_registros[VALOR],tabela_registros[MÊS],$AE$1,tabela_registros[DIA],investirrendavariávelconsolidadomai[[#Headers],[4]],tabela_registros[REGISTRO],DADOS!$N$5,tabela_registros[TIPO],DADOS!$AB$4,tabela_registros[CATEGORIA],investirrendavariávelconsolidadomai[[#This Row],[ATUAL]])</f>
        <v>0</v>
      </c>
      <c r="I133" s="119" t="n">
        <f aca="false">SUMIFS(tabela_registros[VALOR],tabela_registros[MÊS],$AE$1,tabela_registros[DIA],investirrendavariávelconsolidadomai[[#Headers],[5]],tabela_registros[REGISTRO],DADOS!$N$5,tabela_registros[TIPO],DADOS!$AB$4,tabela_registros[CATEGORIA],investirrendavariávelconsolidadomai[[#This Row],[ATUAL]])</f>
        <v>0</v>
      </c>
      <c r="J133" s="119" t="n">
        <f aca="false">SUMIFS(tabela_registros[VALOR],tabela_registros[MÊS],$AE$1,tabela_registros[DIA],investirrendavariávelconsolidadomai[[#Headers],[6]],tabela_registros[REGISTRO],DADOS!$N$5,tabela_registros[TIPO],DADOS!$AB$4,tabela_registros[CATEGORIA],investirrendavariávelconsolidadomai[[#This Row],[ATUAL]])</f>
        <v>0</v>
      </c>
      <c r="K133" s="119" t="n">
        <f aca="false">SUMIFS(tabela_registros[VALOR],tabela_registros[MÊS],$AE$1,tabela_registros[DIA],investirrendavariávelconsolidadomai[[#Headers],[7]],tabela_registros[REGISTRO],DADOS!$N$5,tabela_registros[TIPO],DADOS!$AB$4,tabela_registros[CATEGORIA],investirrendavariávelconsolidadomai[[#This Row],[ATUAL]])</f>
        <v>0</v>
      </c>
      <c r="L133" s="119" t="n">
        <f aca="false">SUMIFS(tabela_registros[VALOR],tabela_registros[MÊS],$AE$1,tabela_registros[DIA],investirrendavariávelconsolidadomai[[#Headers],[8]],tabela_registros[REGISTRO],DADOS!$N$5,tabela_registros[TIPO],DADOS!$AB$4,tabela_registros[CATEGORIA],investirrendavariávelconsolidadomai[[#This Row],[ATUAL]])</f>
        <v>0</v>
      </c>
      <c r="M133" s="119" t="n">
        <f aca="false">SUMIFS(tabela_registros[VALOR],tabela_registros[MÊS],$AE$1,tabela_registros[DIA],investirrendavariávelconsolidadomai[[#Headers],[9]],tabela_registros[REGISTRO],DADOS!$N$5,tabela_registros[TIPO],DADOS!$AB$4,tabela_registros[CATEGORIA],investirrendavariávelconsolidadomai[[#This Row],[ATUAL]])</f>
        <v>0</v>
      </c>
      <c r="N133" s="119" t="n">
        <f aca="false">SUMIFS(tabela_registros[VALOR],tabela_registros[MÊS],$AE$1,tabela_registros[DIA],investirrendavariávelconsolidadomai[[#Headers],[10]],tabela_registros[REGISTRO],DADOS!$N$5,tabela_registros[TIPO],DADOS!$AB$4,tabela_registros[CATEGORIA],investirrendavariávelconsolidadomai[[#This Row],[ATUAL]])</f>
        <v>0</v>
      </c>
      <c r="O133" s="119" t="n">
        <f aca="false">SUMIFS(tabela_registros[VALOR],tabela_registros[MÊS],$AE$1,tabela_registros[DIA],investirrendavariávelconsolidadomai[[#Headers],[11]],tabela_registros[REGISTRO],DADOS!$N$5,tabela_registros[TIPO],DADOS!$AB$4,tabela_registros[CATEGORIA],investirrendavariávelconsolidadomai[[#This Row],[ATUAL]])</f>
        <v>0</v>
      </c>
      <c r="P133" s="119" t="n">
        <f aca="false">SUMIFS(tabela_registros[VALOR],tabela_registros[MÊS],$AE$1,tabela_registros[DIA],investirrendavariávelconsolidadomai[[#Headers],[12]],tabela_registros[REGISTRO],DADOS!$N$5,tabela_registros[TIPO],DADOS!$AB$4,tabela_registros[CATEGORIA],investirrendavariávelconsolidadomai[[#This Row],[ATUAL]])</f>
        <v>0</v>
      </c>
      <c r="Q133" s="119" t="n">
        <f aca="false">SUMIFS(tabela_registros[VALOR],tabela_registros[MÊS],$AE$1,tabela_registros[DIA],investirrendavariávelconsolidadomai[[#Headers],[13]],tabela_registros[REGISTRO],DADOS!$N$5,tabela_registros[TIPO],DADOS!$AB$4,tabela_registros[CATEGORIA],investirrendavariávelconsolidadomai[[#This Row],[ATUAL]])</f>
        <v>0</v>
      </c>
      <c r="R133" s="119" t="n">
        <f aca="false">SUMIFS(tabela_registros[VALOR],tabela_registros[MÊS],$AE$1,tabela_registros[DIA],investirrendavariávelconsolidadomai[[#Headers],[14]],tabela_registros[REGISTRO],DADOS!$N$5,tabela_registros[TIPO],DADOS!$AB$4,tabela_registros[CATEGORIA],investirrendavariávelconsolidadomai[[#This Row],[ATUAL]])</f>
        <v>0</v>
      </c>
      <c r="S133" s="119" t="n">
        <f aca="false">SUMIFS(tabela_registros[VALOR],tabela_registros[MÊS],$AE$1,tabela_registros[DIA],investirrendavariávelconsolidadomai[[#Headers],[15]],tabela_registros[REGISTRO],DADOS!$N$5,tabela_registros[TIPO],DADOS!$AB$4,tabela_registros[CATEGORIA],investirrendavariávelconsolidadomai[[#This Row],[ATUAL]])</f>
        <v>0</v>
      </c>
      <c r="T133" s="119" t="n">
        <f aca="false">SUMIFS(tabela_registros[VALOR],tabela_registros[MÊS],$AE$1,tabela_registros[DIA],investirrendavariávelconsolidadomai[[#Headers],[16]],tabela_registros[REGISTRO],DADOS!$N$5,tabela_registros[TIPO],DADOS!$AB$4,tabela_registros[CATEGORIA],investirrendavariávelconsolidadomai[[#This Row],[ATUAL]])</f>
        <v>0</v>
      </c>
      <c r="U133" s="119" t="n">
        <f aca="false">SUMIFS(tabela_registros[VALOR],tabela_registros[MÊS],$AE$1,tabela_registros[DIA],investirrendavariávelconsolidadomai[[#Headers],[17]],tabela_registros[REGISTRO],DADOS!$N$5,tabela_registros[TIPO],DADOS!$AB$4,tabela_registros[CATEGORIA],investirrendavariávelconsolidadomai[[#This Row],[ATUAL]])</f>
        <v>0</v>
      </c>
      <c r="V133" s="119" t="n">
        <f aca="false">SUMIFS(tabela_registros[VALOR],tabela_registros[MÊS],$AE$1,tabela_registros[DIA],investirrendavariávelconsolidadomai[[#Headers],[18]],tabela_registros[REGISTRO],DADOS!$N$5,tabela_registros[TIPO],DADOS!$AB$4,tabela_registros[CATEGORIA],investirrendavariávelconsolidadomai[[#This Row],[ATUAL]])</f>
        <v>0</v>
      </c>
      <c r="W133" s="119" t="n">
        <f aca="false">SUMIFS(tabela_registros[VALOR],tabela_registros[MÊS],$AE$1,tabela_registros[DIA],investirrendavariávelconsolidadomai[[#Headers],[19]],tabela_registros[REGISTRO],DADOS!$N$5,tabela_registros[TIPO],DADOS!$AB$4,tabela_registros[CATEGORIA],investirrendavariávelconsolidadomai[[#This Row],[ATUAL]])</f>
        <v>0</v>
      </c>
      <c r="X133" s="119" t="n">
        <f aca="false">SUMIFS(tabela_registros[VALOR],tabela_registros[MÊS],$AE$1,tabela_registros[DIA],investirrendavariávelconsolidadomai[[#Headers],[20]],tabela_registros[REGISTRO],DADOS!$N$5,tabela_registros[TIPO],DADOS!$AB$4,tabela_registros[CATEGORIA],investirrendavariávelconsolidadomai[[#This Row],[ATUAL]])</f>
        <v>0</v>
      </c>
      <c r="Y133" s="119" t="n">
        <f aca="false">SUMIFS(tabela_registros[VALOR],tabela_registros[MÊS],$AE$1,tabela_registros[DIA],investirrendavariávelconsolidadomai[[#Headers],[21]],tabela_registros[REGISTRO],DADOS!$N$5,tabela_registros[TIPO],DADOS!$AB$4,tabela_registros[CATEGORIA],investirrendavariávelconsolidadomai[[#This Row],[ATUAL]])</f>
        <v>0</v>
      </c>
      <c r="Z133" s="119" t="n">
        <f aca="false">SUMIFS(tabela_registros[VALOR],tabela_registros[MÊS],$AE$1,tabela_registros[DIA],investirrendavariávelconsolidadomai[[#Headers],[22]],tabela_registros[REGISTRO],DADOS!$N$5,tabela_registros[TIPO],DADOS!$AB$4,tabela_registros[CATEGORIA],investirrendavariávelconsolidadomai[[#This Row],[ATUAL]])</f>
        <v>0</v>
      </c>
      <c r="AA133" s="119" t="n">
        <f aca="false">SUMIFS(tabela_registros[VALOR],tabela_registros[MÊS],$AE$1,tabela_registros[DIA],investirrendavariávelconsolidadomai[[#Headers],[23]],tabela_registros[REGISTRO],DADOS!$N$5,tabela_registros[TIPO],DADOS!$AB$4,tabela_registros[CATEGORIA],investirrendavariávelconsolidadomai[[#This Row],[ATUAL]])</f>
        <v>0</v>
      </c>
      <c r="AB133" s="119" t="n">
        <f aca="false">SUMIFS(tabela_registros[VALOR],tabela_registros[MÊS],$AE$1,tabela_registros[DIA],investirrendavariávelconsolidadomai[[#Headers],[24]],tabela_registros[REGISTRO],DADOS!$N$5,tabela_registros[TIPO],DADOS!$AB$4,tabela_registros[CATEGORIA],investirrendavariávelconsolidadomai[[#This Row],[ATUAL]])</f>
        <v>0</v>
      </c>
      <c r="AC133" s="119" t="n">
        <f aca="false">SUMIFS(tabela_registros[VALOR],tabela_registros[MÊS],$AE$1,tabela_registros[DIA],investirrendavariávelconsolidadomai[[#Headers],[25]],tabela_registros[REGISTRO],DADOS!$N$5,tabela_registros[TIPO],DADOS!$AB$4,tabela_registros[CATEGORIA],investirrendavariávelconsolidadomai[[#This Row],[ATUAL]])</f>
        <v>0</v>
      </c>
      <c r="AD133" s="119" t="n">
        <f aca="false">SUMIFS(tabela_registros[VALOR],tabela_registros[MÊS],$AE$1,tabela_registros[DIA],investirrendavariávelconsolidadomai[[#Headers],[26]],tabela_registros[REGISTRO],DADOS!$N$5,tabela_registros[TIPO],DADOS!$AB$4,tabela_registros[CATEGORIA],investirrendavariávelconsolidadomai[[#This Row],[ATUAL]])</f>
        <v>0</v>
      </c>
      <c r="AE133" s="119" t="n">
        <f aca="false">SUMIFS(tabela_registros[VALOR],tabela_registros[MÊS],$AE$1,tabela_registros[DIA],investirrendavariávelconsolidadomai[[#Headers],[27]],tabela_registros[REGISTRO],DADOS!$N$5,tabela_registros[TIPO],DADOS!$AB$4,tabela_registros[CATEGORIA],investirrendavariávelconsolidadomai[[#This Row],[ATUAL]])</f>
        <v>0</v>
      </c>
      <c r="AF133" s="119" t="n">
        <f aca="false">SUMIFS(tabela_registros[VALOR],tabela_registros[MÊS],$AE$1,tabela_registros[DIA],investirrendavariávelconsolidadomai[[#Headers],[28]],tabela_registros[REGISTRO],DADOS!$N$5,tabela_registros[TIPO],DADOS!$AB$4,tabela_registros[CATEGORIA],investirrendavariávelconsolidadomai[[#This Row],[ATUAL]])</f>
        <v>0</v>
      </c>
      <c r="AG133" s="119" t="n">
        <f aca="false">SUMIFS(tabela_registros[VALOR],tabela_registros[MÊS],$AE$1,tabela_registros[DIA],investirrendavariávelconsolidadomai[[#Headers],[29]],tabela_registros[REGISTRO],DADOS!$N$5,tabela_registros[TIPO],DADOS!$AB$4,tabela_registros[CATEGORIA],investirrendavariávelconsolidadomai[[#This Row],[ATUAL]])</f>
        <v>0</v>
      </c>
      <c r="AH133" s="119" t="n">
        <f aca="false">SUMIFS(tabela_registros[VALOR],tabela_registros[MÊS],$AE$1,tabela_registros[DIA],investirrendavariávelconsolidadomai[[#Headers],[30]],tabela_registros[REGISTRO],DADOS!$N$5,tabela_registros[TIPO],DADOS!$AB$4,tabela_registros[CATEGORIA],investirrendavariávelconsolidadomai[[#This Row],[ATUAL]])</f>
        <v>0</v>
      </c>
      <c r="AI133" s="217" t="n">
        <f aca="false">SUMIFS(tabela_registros[VALOR],tabela_registros[MÊS],$AE$1,tabela_registros[DIA],investirrendavariávelconsolidadomai[[#Headers],[31]],tabela_registros[REGISTRO],DADOS!$N$5,tabela_registros[TIPO],DADOS!$AB$4,tabela_registros[CATEGORIA],investirrendavariávelconsolidadomai[[#This Row],[ATUAL]])</f>
        <v>0</v>
      </c>
      <c r="AJ133" s="149" t="n">
        <f aca="false">SUM(investirrendavariávelconsolidadomai[[#This Row],[1]:[31]])</f>
        <v>0</v>
      </c>
      <c r="AK133" s="165"/>
    </row>
    <row r="134" customFormat="false" ht="19.5" hidden="false" customHeight="true" outlineLevel="0" collapsed="false">
      <c r="B134" s="143"/>
      <c r="C134" s="144" t="str">
        <f aca="false">DADOS!$AF$5</f>
        <v>📝 CONTRATO DE FUTUROS</v>
      </c>
      <c r="D134" s="145" t="str">
        <f aca="false">IF(investirrendavariávelconsolidadomai[[#This Row],[TOTAL (R$)]]=0,"",IF(OR(investirrendavariávelconsolidadomai[[#This Row],[TOTAL (R$)]]=LARGE($AJ$132:$AJ$141,1),investirrendavariávelconsolidadomai[[#This Row],[TOTAL (R$)]]=LARGE($AJ$132:$AJ$141,2)),DADOS!$I$10,""))</f>
        <v/>
      </c>
      <c r="E134" s="148" t="n">
        <f aca="false">SUMIFS(tabela_registros[VALOR],tabela_registros[MÊS],$AE$1,tabela_registros[DIA],investirrendavariávelconsolidadomai[[#Headers],[1]],tabela_registros[REGISTRO],DADOS!$N$5,tabela_registros[TIPO],DADOS!$AB$4,tabela_registros[CATEGORIA],investirrendavariávelconsolidadomai[[#This Row],[ATUAL]])</f>
        <v>0</v>
      </c>
      <c r="F134" s="119" t="n">
        <f aca="false">SUMIFS(tabela_registros[VALOR],tabela_registros[MÊS],$AE$1,tabela_registros[DIA],investirrendavariávelconsolidadomai[[#Headers],[2]],tabela_registros[REGISTRO],DADOS!$N$5,tabela_registros[TIPO],DADOS!$AB$4,tabela_registros[CATEGORIA],investirrendavariávelconsolidadomai[[#This Row],[ATUAL]])</f>
        <v>0</v>
      </c>
      <c r="G134" s="119" t="n">
        <f aca="false">SUMIFS(tabela_registros[VALOR],tabela_registros[MÊS],$AE$1,tabela_registros[DIA],investirrendavariávelconsolidadomai[[#Headers],[3]],tabela_registros[REGISTRO],DADOS!$N$5,tabela_registros[TIPO],DADOS!$AB$4,tabela_registros[CATEGORIA],investirrendavariávelconsolidadomai[[#This Row],[ATUAL]])</f>
        <v>0</v>
      </c>
      <c r="H134" s="119" t="n">
        <f aca="false">SUMIFS(tabela_registros[VALOR],tabela_registros[MÊS],$AE$1,tabela_registros[DIA],investirrendavariávelconsolidadomai[[#Headers],[4]],tabela_registros[REGISTRO],DADOS!$N$5,tabela_registros[TIPO],DADOS!$AB$4,tabela_registros[CATEGORIA],investirrendavariávelconsolidadomai[[#This Row],[ATUAL]])</f>
        <v>0</v>
      </c>
      <c r="I134" s="119" t="n">
        <f aca="false">SUMIFS(tabela_registros[VALOR],tabela_registros[MÊS],$AE$1,tabela_registros[DIA],investirrendavariávelconsolidadomai[[#Headers],[5]],tabela_registros[REGISTRO],DADOS!$N$5,tabela_registros[TIPO],DADOS!$AB$4,tabela_registros[CATEGORIA],investirrendavariávelconsolidadomai[[#This Row],[ATUAL]])</f>
        <v>0</v>
      </c>
      <c r="J134" s="119" t="n">
        <f aca="false">SUMIFS(tabela_registros[VALOR],tabela_registros[MÊS],$AE$1,tabela_registros[DIA],investirrendavariávelconsolidadomai[[#Headers],[6]],tabela_registros[REGISTRO],DADOS!$N$5,tabela_registros[TIPO],DADOS!$AB$4,tabela_registros[CATEGORIA],investirrendavariávelconsolidadomai[[#This Row],[ATUAL]])</f>
        <v>0</v>
      </c>
      <c r="K134" s="119" t="n">
        <f aca="false">SUMIFS(tabela_registros[VALOR],tabela_registros[MÊS],$AE$1,tabela_registros[DIA],investirrendavariávelconsolidadomai[[#Headers],[7]],tabela_registros[REGISTRO],DADOS!$N$5,tabela_registros[TIPO],DADOS!$AB$4,tabela_registros[CATEGORIA],investirrendavariávelconsolidadomai[[#This Row],[ATUAL]])</f>
        <v>0</v>
      </c>
      <c r="L134" s="119" t="n">
        <f aca="false">SUMIFS(tabela_registros[VALOR],tabela_registros[MÊS],$AE$1,tabela_registros[DIA],investirrendavariávelconsolidadomai[[#Headers],[8]],tabela_registros[REGISTRO],DADOS!$N$5,tabela_registros[TIPO],DADOS!$AB$4,tabela_registros[CATEGORIA],investirrendavariávelconsolidadomai[[#This Row],[ATUAL]])</f>
        <v>0</v>
      </c>
      <c r="M134" s="119" t="n">
        <f aca="false">SUMIFS(tabela_registros[VALOR],tabela_registros[MÊS],$AE$1,tabela_registros[DIA],investirrendavariávelconsolidadomai[[#Headers],[9]],tabela_registros[REGISTRO],DADOS!$N$5,tabela_registros[TIPO],DADOS!$AB$4,tabela_registros[CATEGORIA],investirrendavariávelconsolidadomai[[#This Row],[ATUAL]])</f>
        <v>0</v>
      </c>
      <c r="N134" s="119" t="n">
        <f aca="false">SUMIFS(tabela_registros[VALOR],tabela_registros[MÊS],$AE$1,tabela_registros[DIA],investirrendavariávelconsolidadomai[[#Headers],[10]],tabela_registros[REGISTRO],DADOS!$N$5,tabela_registros[TIPO],DADOS!$AB$4,tabela_registros[CATEGORIA],investirrendavariávelconsolidadomai[[#This Row],[ATUAL]])</f>
        <v>0</v>
      </c>
      <c r="O134" s="119" t="n">
        <f aca="false">SUMIFS(tabela_registros[VALOR],tabela_registros[MÊS],$AE$1,tabela_registros[DIA],investirrendavariávelconsolidadomai[[#Headers],[11]],tabela_registros[REGISTRO],DADOS!$N$5,tabela_registros[TIPO],DADOS!$AB$4,tabela_registros[CATEGORIA],investirrendavariávelconsolidadomai[[#This Row],[ATUAL]])</f>
        <v>0</v>
      </c>
      <c r="P134" s="119" t="n">
        <f aca="false">SUMIFS(tabela_registros[VALOR],tabela_registros[MÊS],$AE$1,tabela_registros[DIA],investirrendavariávelconsolidadomai[[#Headers],[12]],tabela_registros[REGISTRO],DADOS!$N$5,tabela_registros[TIPO],DADOS!$AB$4,tabela_registros[CATEGORIA],investirrendavariávelconsolidadomai[[#This Row],[ATUAL]])</f>
        <v>0</v>
      </c>
      <c r="Q134" s="119" t="n">
        <f aca="false">SUMIFS(tabela_registros[VALOR],tabela_registros[MÊS],$AE$1,tabela_registros[DIA],investirrendavariávelconsolidadomai[[#Headers],[13]],tabela_registros[REGISTRO],DADOS!$N$5,tabela_registros[TIPO],DADOS!$AB$4,tabela_registros[CATEGORIA],investirrendavariávelconsolidadomai[[#This Row],[ATUAL]])</f>
        <v>0</v>
      </c>
      <c r="R134" s="119" t="n">
        <f aca="false">SUMIFS(tabela_registros[VALOR],tabela_registros[MÊS],$AE$1,tabela_registros[DIA],investirrendavariávelconsolidadomai[[#Headers],[14]],tabela_registros[REGISTRO],DADOS!$N$5,tabela_registros[TIPO],DADOS!$AB$4,tabela_registros[CATEGORIA],investirrendavariávelconsolidadomai[[#This Row],[ATUAL]])</f>
        <v>0</v>
      </c>
      <c r="S134" s="119" t="n">
        <f aca="false">SUMIFS(tabela_registros[VALOR],tabela_registros[MÊS],$AE$1,tabela_registros[DIA],investirrendavariávelconsolidadomai[[#Headers],[15]],tabela_registros[REGISTRO],DADOS!$N$5,tabela_registros[TIPO],DADOS!$AB$4,tabela_registros[CATEGORIA],investirrendavariávelconsolidadomai[[#This Row],[ATUAL]])</f>
        <v>0</v>
      </c>
      <c r="T134" s="119" t="n">
        <f aca="false">SUMIFS(tabela_registros[VALOR],tabela_registros[MÊS],$AE$1,tabela_registros[DIA],investirrendavariávelconsolidadomai[[#Headers],[16]],tabela_registros[REGISTRO],DADOS!$N$5,tabela_registros[TIPO],DADOS!$AB$4,tabela_registros[CATEGORIA],investirrendavariávelconsolidadomai[[#This Row],[ATUAL]])</f>
        <v>0</v>
      </c>
      <c r="U134" s="119" t="n">
        <f aca="false">SUMIFS(tabela_registros[VALOR],tabela_registros[MÊS],$AE$1,tabela_registros[DIA],investirrendavariávelconsolidadomai[[#Headers],[17]],tabela_registros[REGISTRO],DADOS!$N$5,tabela_registros[TIPO],DADOS!$AB$4,tabela_registros[CATEGORIA],investirrendavariávelconsolidadomai[[#This Row],[ATUAL]])</f>
        <v>0</v>
      </c>
      <c r="V134" s="119" t="n">
        <f aca="false">SUMIFS(tabela_registros[VALOR],tabela_registros[MÊS],$AE$1,tabela_registros[DIA],investirrendavariávelconsolidadomai[[#Headers],[18]],tabela_registros[REGISTRO],DADOS!$N$5,tabela_registros[TIPO],DADOS!$AB$4,tabela_registros[CATEGORIA],investirrendavariávelconsolidadomai[[#This Row],[ATUAL]])</f>
        <v>0</v>
      </c>
      <c r="W134" s="119" t="n">
        <f aca="false">SUMIFS(tabela_registros[VALOR],tabela_registros[MÊS],$AE$1,tabela_registros[DIA],investirrendavariávelconsolidadomai[[#Headers],[19]],tabela_registros[REGISTRO],DADOS!$N$5,tabela_registros[TIPO],DADOS!$AB$4,tabela_registros[CATEGORIA],investirrendavariávelconsolidadomai[[#This Row],[ATUAL]])</f>
        <v>0</v>
      </c>
      <c r="X134" s="119" t="n">
        <f aca="false">SUMIFS(tabela_registros[VALOR],tabela_registros[MÊS],$AE$1,tabela_registros[DIA],investirrendavariávelconsolidadomai[[#Headers],[20]],tabela_registros[REGISTRO],DADOS!$N$5,tabela_registros[TIPO],DADOS!$AB$4,tabela_registros[CATEGORIA],investirrendavariávelconsolidadomai[[#This Row],[ATUAL]])</f>
        <v>0</v>
      </c>
      <c r="Y134" s="119" t="n">
        <f aca="false">SUMIFS(tabela_registros[VALOR],tabela_registros[MÊS],$AE$1,tabela_registros[DIA],investirrendavariávelconsolidadomai[[#Headers],[21]],tabela_registros[REGISTRO],DADOS!$N$5,tabela_registros[TIPO],DADOS!$AB$4,tabela_registros[CATEGORIA],investirrendavariávelconsolidadomai[[#This Row],[ATUAL]])</f>
        <v>0</v>
      </c>
      <c r="Z134" s="119" t="n">
        <f aca="false">SUMIFS(tabela_registros[VALOR],tabela_registros[MÊS],$AE$1,tabela_registros[DIA],investirrendavariávelconsolidadomai[[#Headers],[22]],tabela_registros[REGISTRO],DADOS!$N$5,tabela_registros[TIPO],DADOS!$AB$4,tabela_registros[CATEGORIA],investirrendavariávelconsolidadomai[[#This Row],[ATUAL]])</f>
        <v>0</v>
      </c>
      <c r="AA134" s="119" t="n">
        <f aca="false">SUMIFS(tabela_registros[VALOR],tabela_registros[MÊS],$AE$1,tabela_registros[DIA],investirrendavariávelconsolidadomai[[#Headers],[23]],tabela_registros[REGISTRO],DADOS!$N$5,tabela_registros[TIPO],DADOS!$AB$4,tabela_registros[CATEGORIA],investirrendavariávelconsolidadomai[[#This Row],[ATUAL]])</f>
        <v>0</v>
      </c>
      <c r="AB134" s="119" t="n">
        <f aca="false">SUMIFS(tabela_registros[VALOR],tabela_registros[MÊS],$AE$1,tabela_registros[DIA],investirrendavariávelconsolidadomai[[#Headers],[24]],tabela_registros[REGISTRO],DADOS!$N$5,tabela_registros[TIPO],DADOS!$AB$4,tabela_registros[CATEGORIA],investirrendavariávelconsolidadomai[[#This Row],[ATUAL]])</f>
        <v>0</v>
      </c>
      <c r="AC134" s="119" t="n">
        <f aca="false">SUMIFS(tabela_registros[VALOR],tabela_registros[MÊS],$AE$1,tabela_registros[DIA],investirrendavariávelconsolidadomai[[#Headers],[25]],tabela_registros[REGISTRO],DADOS!$N$5,tabela_registros[TIPO],DADOS!$AB$4,tabela_registros[CATEGORIA],investirrendavariávelconsolidadomai[[#This Row],[ATUAL]])</f>
        <v>0</v>
      </c>
      <c r="AD134" s="119" t="n">
        <f aca="false">SUMIFS(tabela_registros[VALOR],tabela_registros[MÊS],$AE$1,tabela_registros[DIA],investirrendavariávelconsolidadomai[[#Headers],[26]],tabela_registros[REGISTRO],DADOS!$N$5,tabela_registros[TIPO],DADOS!$AB$4,tabela_registros[CATEGORIA],investirrendavariávelconsolidadomai[[#This Row],[ATUAL]])</f>
        <v>0</v>
      </c>
      <c r="AE134" s="119" t="n">
        <f aca="false">SUMIFS(tabela_registros[VALOR],tabela_registros[MÊS],$AE$1,tabela_registros[DIA],investirrendavariávelconsolidadomai[[#Headers],[27]],tabela_registros[REGISTRO],DADOS!$N$5,tabela_registros[TIPO],DADOS!$AB$4,tabela_registros[CATEGORIA],investirrendavariávelconsolidadomai[[#This Row],[ATUAL]])</f>
        <v>0</v>
      </c>
      <c r="AF134" s="119" t="n">
        <f aca="false">SUMIFS(tabela_registros[VALOR],tabela_registros[MÊS],$AE$1,tabela_registros[DIA],investirrendavariávelconsolidadomai[[#Headers],[28]],tabela_registros[REGISTRO],DADOS!$N$5,tabela_registros[TIPO],DADOS!$AB$4,tabela_registros[CATEGORIA],investirrendavariávelconsolidadomai[[#This Row],[ATUAL]])</f>
        <v>0</v>
      </c>
      <c r="AG134" s="119" t="n">
        <f aca="false">SUMIFS(tabela_registros[VALOR],tabela_registros[MÊS],$AE$1,tabela_registros[DIA],investirrendavariávelconsolidadomai[[#Headers],[29]],tabela_registros[REGISTRO],DADOS!$N$5,tabela_registros[TIPO],DADOS!$AB$4,tabela_registros[CATEGORIA],investirrendavariávelconsolidadomai[[#This Row],[ATUAL]])</f>
        <v>0</v>
      </c>
      <c r="AH134" s="119" t="n">
        <f aca="false">SUMIFS(tabela_registros[VALOR],tabela_registros[MÊS],$AE$1,tabela_registros[DIA],investirrendavariávelconsolidadomai[[#Headers],[30]],tabela_registros[REGISTRO],DADOS!$N$5,tabela_registros[TIPO],DADOS!$AB$4,tabela_registros[CATEGORIA],investirrendavariávelconsolidadomai[[#This Row],[ATUAL]])</f>
        <v>0</v>
      </c>
      <c r="AI134" s="217" t="n">
        <f aca="false">SUMIFS(tabela_registros[VALOR],tabela_registros[MÊS],$AE$1,tabela_registros[DIA],investirrendavariávelconsolidadomai[[#Headers],[31]],tabela_registros[REGISTRO],DADOS!$N$5,tabela_registros[TIPO],DADOS!$AB$4,tabela_registros[CATEGORIA],investirrendavariávelconsolidadomai[[#This Row],[ATUAL]])</f>
        <v>0</v>
      </c>
      <c r="AJ134" s="149" t="n">
        <f aca="false">SUM(investirrendavariávelconsolidadomai[[#This Row],[1]:[31]])</f>
        <v>0</v>
      </c>
      <c r="AK134" s="165"/>
    </row>
    <row r="135" customFormat="false" ht="19.5" hidden="false" customHeight="true" outlineLevel="0" collapsed="false">
      <c r="B135" s="143"/>
      <c r="C135" s="144" t="str">
        <f aca="false">DADOS!$AF$6</f>
        <v>📝 CONTRATO DE OPÇÕES</v>
      </c>
      <c r="D135" s="145" t="str">
        <f aca="false">IF(investirrendavariávelconsolidadomai[[#This Row],[TOTAL (R$)]]=0,"",IF(OR(investirrendavariávelconsolidadomai[[#This Row],[TOTAL (R$)]]=LARGE($AJ$132:$AJ$141,1),investirrendavariávelconsolidadomai[[#This Row],[TOTAL (R$)]]=LARGE($AJ$132:$AJ$141,2)),DADOS!$I$10,""))</f>
        <v/>
      </c>
      <c r="E135" s="148" t="n">
        <f aca="false">SUMIFS(tabela_registros[VALOR],tabela_registros[MÊS],$AE$1,tabela_registros[DIA],investirrendavariávelconsolidadomai[[#Headers],[1]],tabela_registros[REGISTRO],DADOS!$N$5,tabela_registros[TIPO],DADOS!$AB$4,tabela_registros[CATEGORIA],investirrendavariávelconsolidadomai[[#This Row],[ATUAL]])</f>
        <v>0</v>
      </c>
      <c r="F135" s="119" t="n">
        <f aca="false">SUMIFS(tabela_registros[VALOR],tabela_registros[MÊS],$AE$1,tabela_registros[DIA],investirrendavariávelconsolidadomai[[#Headers],[2]],tabela_registros[REGISTRO],DADOS!$N$5,tabela_registros[TIPO],DADOS!$AB$4,tabela_registros[CATEGORIA],investirrendavariávelconsolidadomai[[#This Row],[ATUAL]])</f>
        <v>0</v>
      </c>
      <c r="G135" s="119" t="n">
        <f aca="false">SUMIFS(tabela_registros[VALOR],tabela_registros[MÊS],$AE$1,tabela_registros[DIA],investirrendavariávelconsolidadomai[[#Headers],[3]],tabela_registros[REGISTRO],DADOS!$N$5,tabela_registros[TIPO],DADOS!$AB$4,tabela_registros[CATEGORIA],investirrendavariávelconsolidadomai[[#This Row],[ATUAL]])</f>
        <v>0</v>
      </c>
      <c r="H135" s="119" t="n">
        <f aca="false">SUMIFS(tabela_registros[VALOR],tabela_registros[MÊS],$AE$1,tabela_registros[DIA],investirrendavariávelconsolidadomai[[#Headers],[4]],tabela_registros[REGISTRO],DADOS!$N$5,tabela_registros[TIPO],DADOS!$AB$4,tabela_registros[CATEGORIA],investirrendavariávelconsolidadomai[[#This Row],[ATUAL]])</f>
        <v>0</v>
      </c>
      <c r="I135" s="119" t="n">
        <f aca="false">SUMIFS(tabela_registros[VALOR],tabela_registros[MÊS],$AE$1,tabela_registros[DIA],investirrendavariávelconsolidadomai[[#Headers],[5]],tabela_registros[REGISTRO],DADOS!$N$5,tabela_registros[TIPO],DADOS!$AB$4,tabela_registros[CATEGORIA],investirrendavariávelconsolidadomai[[#This Row],[ATUAL]])</f>
        <v>0</v>
      </c>
      <c r="J135" s="119" t="n">
        <f aca="false">SUMIFS(tabela_registros[VALOR],tabela_registros[MÊS],$AE$1,tabela_registros[DIA],investirrendavariávelconsolidadomai[[#Headers],[6]],tabela_registros[REGISTRO],DADOS!$N$5,tabela_registros[TIPO],DADOS!$AB$4,tabela_registros[CATEGORIA],investirrendavariávelconsolidadomai[[#This Row],[ATUAL]])</f>
        <v>0</v>
      </c>
      <c r="K135" s="119" t="n">
        <f aca="false">SUMIFS(tabela_registros[VALOR],tabela_registros[MÊS],$AE$1,tabela_registros[DIA],investirrendavariávelconsolidadomai[[#Headers],[7]],tabela_registros[REGISTRO],DADOS!$N$5,tabela_registros[TIPO],DADOS!$AB$4,tabela_registros[CATEGORIA],investirrendavariávelconsolidadomai[[#This Row],[ATUAL]])</f>
        <v>0</v>
      </c>
      <c r="L135" s="119" t="n">
        <f aca="false">SUMIFS(tabela_registros[VALOR],tabela_registros[MÊS],$AE$1,tabela_registros[DIA],investirrendavariávelconsolidadomai[[#Headers],[8]],tabela_registros[REGISTRO],DADOS!$N$5,tabela_registros[TIPO],DADOS!$AB$4,tabela_registros[CATEGORIA],investirrendavariávelconsolidadomai[[#This Row],[ATUAL]])</f>
        <v>0</v>
      </c>
      <c r="M135" s="119" t="n">
        <f aca="false">SUMIFS(tabela_registros[VALOR],tabela_registros[MÊS],$AE$1,tabela_registros[DIA],investirrendavariávelconsolidadomai[[#Headers],[9]],tabela_registros[REGISTRO],DADOS!$N$5,tabela_registros[TIPO],DADOS!$AB$4,tabela_registros[CATEGORIA],investirrendavariávelconsolidadomai[[#This Row],[ATUAL]])</f>
        <v>0</v>
      </c>
      <c r="N135" s="119" t="n">
        <f aca="false">SUMIFS(tabela_registros[VALOR],tabela_registros[MÊS],$AE$1,tabela_registros[DIA],investirrendavariávelconsolidadomai[[#Headers],[10]],tabela_registros[REGISTRO],DADOS!$N$5,tabela_registros[TIPO],DADOS!$AB$4,tabela_registros[CATEGORIA],investirrendavariávelconsolidadomai[[#This Row],[ATUAL]])</f>
        <v>0</v>
      </c>
      <c r="O135" s="119" t="n">
        <f aca="false">SUMIFS(tabela_registros[VALOR],tabela_registros[MÊS],$AE$1,tabela_registros[DIA],investirrendavariávelconsolidadomai[[#Headers],[11]],tabela_registros[REGISTRO],DADOS!$N$5,tabela_registros[TIPO],DADOS!$AB$4,tabela_registros[CATEGORIA],investirrendavariávelconsolidadomai[[#This Row],[ATUAL]])</f>
        <v>0</v>
      </c>
      <c r="P135" s="119" t="n">
        <f aca="false">SUMIFS(tabela_registros[VALOR],tabela_registros[MÊS],$AE$1,tabela_registros[DIA],investirrendavariávelconsolidadomai[[#Headers],[12]],tabela_registros[REGISTRO],DADOS!$N$5,tabela_registros[TIPO],DADOS!$AB$4,tabela_registros[CATEGORIA],investirrendavariávelconsolidadomai[[#This Row],[ATUAL]])</f>
        <v>0</v>
      </c>
      <c r="Q135" s="119" t="n">
        <f aca="false">SUMIFS(tabela_registros[VALOR],tabela_registros[MÊS],$AE$1,tabela_registros[DIA],investirrendavariávelconsolidadomai[[#Headers],[13]],tabela_registros[REGISTRO],DADOS!$N$5,tabela_registros[TIPO],DADOS!$AB$4,tabela_registros[CATEGORIA],investirrendavariávelconsolidadomai[[#This Row],[ATUAL]])</f>
        <v>0</v>
      </c>
      <c r="R135" s="119" t="n">
        <f aca="false">SUMIFS(tabela_registros[VALOR],tabela_registros[MÊS],$AE$1,tabela_registros[DIA],investirrendavariávelconsolidadomai[[#Headers],[14]],tabela_registros[REGISTRO],DADOS!$N$5,tabela_registros[TIPO],DADOS!$AB$4,tabela_registros[CATEGORIA],investirrendavariávelconsolidadomai[[#This Row],[ATUAL]])</f>
        <v>0</v>
      </c>
      <c r="S135" s="119" t="n">
        <f aca="false">SUMIFS(tabela_registros[VALOR],tabela_registros[MÊS],$AE$1,tabela_registros[DIA],investirrendavariávelconsolidadomai[[#Headers],[15]],tabela_registros[REGISTRO],DADOS!$N$5,tabela_registros[TIPO],DADOS!$AB$4,tabela_registros[CATEGORIA],investirrendavariávelconsolidadomai[[#This Row],[ATUAL]])</f>
        <v>0</v>
      </c>
      <c r="T135" s="119" t="n">
        <f aca="false">SUMIFS(tabela_registros[VALOR],tabela_registros[MÊS],$AE$1,tabela_registros[DIA],investirrendavariávelconsolidadomai[[#Headers],[16]],tabela_registros[REGISTRO],DADOS!$N$5,tabela_registros[TIPO],DADOS!$AB$4,tabela_registros[CATEGORIA],investirrendavariávelconsolidadomai[[#This Row],[ATUAL]])</f>
        <v>0</v>
      </c>
      <c r="U135" s="119" t="n">
        <f aca="false">SUMIFS(tabela_registros[VALOR],tabela_registros[MÊS],$AE$1,tabela_registros[DIA],investirrendavariávelconsolidadomai[[#Headers],[17]],tabela_registros[REGISTRO],DADOS!$N$5,tabela_registros[TIPO],DADOS!$AB$4,tabela_registros[CATEGORIA],investirrendavariávelconsolidadomai[[#This Row],[ATUAL]])</f>
        <v>0</v>
      </c>
      <c r="V135" s="119" t="n">
        <f aca="false">SUMIFS(tabela_registros[VALOR],tabela_registros[MÊS],$AE$1,tabela_registros[DIA],investirrendavariávelconsolidadomai[[#Headers],[18]],tabela_registros[REGISTRO],DADOS!$N$5,tabela_registros[TIPO],DADOS!$AB$4,tabela_registros[CATEGORIA],investirrendavariávelconsolidadomai[[#This Row],[ATUAL]])</f>
        <v>0</v>
      </c>
      <c r="W135" s="119" t="n">
        <f aca="false">SUMIFS(tabela_registros[VALOR],tabela_registros[MÊS],$AE$1,tabela_registros[DIA],investirrendavariávelconsolidadomai[[#Headers],[19]],tabela_registros[REGISTRO],DADOS!$N$5,tabela_registros[TIPO],DADOS!$AB$4,tabela_registros[CATEGORIA],investirrendavariávelconsolidadomai[[#This Row],[ATUAL]])</f>
        <v>0</v>
      </c>
      <c r="X135" s="119" t="n">
        <f aca="false">SUMIFS(tabela_registros[VALOR],tabela_registros[MÊS],$AE$1,tabela_registros[DIA],investirrendavariávelconsolidadomai[[#Headers],[20]],tabela_registros[REGISTRO],DADOS!$N$5,tabela_registros[TIPO],DADOS!$AB$4,tabela_registros[CATEGORIA],investirrendavariávelconsolidadomai[[#This Row],[ATUAL]])</f>
        <v>0</v>
      </c>
      <c r="Y135" s="119" t="n">
        <f aca="false">SUMIFS(tabela_registros[VALOR],tabela_registros[MÊS],$AE$1,tabela_registros[DIA],investirrendavariávelconsolidadomai[[#Headers],[21]],tabela_registros[REGISTRO],DADOS!$N$5,tabela_registros[TIPO],DADOS!$AB$4,tabela_registros[CATEGORIA],investirrendavariávelconsolidadomai[[#This Row],[ATUAL]])</f>
        <v>0</v>
      </c>
      <c r="Z135" s="119" t="n">
        <f aca="false">SUMIFS(tabela_registros[VALOR],tabela_registros[MÊS],$AE$1,tabela_registros[DIA],investirrendavariávelconsolidadomai[[#Headers],[22]],tabela_registros[REGISTRO],DADOS!$N$5,tabela_registros[TIPO],DADOS!$AB$4,tabela_registros[CATEGORIA],investirrendavariávelconsolidadomai[[#This Row],[ATUAL]])</f>
        <v>0</v>
      </c>
      <c r="AA135" s="119" t="n">
        <f aca="false">SUMIFS(tabela_registros[VALOR],tabela_registros[MÊS],$AE$1,tabela_registros[DIA],investirrendavariávelconsolidadomai[[#Headers],[23]],tabela_registros[REGISTRO],DADOS!$N$5,tabela_registros[TIPO],DADOS!$AB$4,tabela_registros[CATEGORIA],investirrendavariávelconsolidadomai[[#This Row],[ATUAL]])</f>
        <v>0</v>
      </c>
      <c r="AB135" s="119" t="n">
        <f aca="false">SUMIFS(tabela_registros[VALOR],tabela_registros[MÊS],$AE$1,tabela_registros[DIA],investirrendavariávelconsolidadomai[[#Headers],[24]],tabela_registros[REGISTRO],DADOS!$N$5,tabela_registros[TIPO],DADOS!$AB$4,tabela_registros[CATEGORIA],investirrendavariávelconsolidadomai[[#This Row],[ATUAL]])</f>
        <v>0</v>
      </c>
      <c r="AC135" s="119" t="n">
        <f aca="false">SUMIFS(tabela_registros[VALOR],tabela_registros[MÊS],$AE$1,tabela_registros[DIA],investirrendavariávelconsolidadomai[[#Headers],[25]],tabela_registros[REGISTRO],DADOS!$N$5,tabela_registros[TIPO],DADOS!$AB$4,tabela_registros[CATEGORIA],investirrendavariávelconsolidadomai[[#This Row],[ATUAL]])</f>
        <v>0</v>
      </c>
      <c r="AD135" s="119" t="n">
        <f aca="false">SUMIFS(tabela_registros[VALOR],tabela_registros[MÊS],$AE$1,tabela_registros[DIA],investirrendavariávelconsolidadomai[[#Headers],[26]],tabela_registros[REGISTRO],DADOS!$N$5,tabela_registros[TIPO],DADOS!$AB$4,tabela_registros[CATEGORIA],investirrendavariávelconsolidadomai[[#This Row],[ATUAL]])</f>
        <v>0</v>
      </c>
      <c r="AE135" s="119" t="n">
        <f aca="false">SUMIFS(tabela_registros[VALOR],tabela_registros[MÊS],$AE$1,tabela_registros[DIA],investirrendavariávelconsolidadomai[[#Headers],[27]],tabela_registros[REGISTRO],DADOS!$N$5,tabela_registros[TIPO],DADOS!$AB$4,tabela_registros[CATEGORIA],investirrendavariávelconsolidadomai[[#This Row],[ATUAL]])</f>
        <v>0</v>
      </c>
      <c r="AF135" s="119" t="n">
        <f aca="false">SUMIFS(tabela_registros[VALOR],tabela_registros[MÊS],$AE$1,tabela_registros[DIA],investirrendavariávelconsolidadomai[[#Headers],[28]],tabela_registros[REGISTRO],DADOS!$N$5,tabela_registros[TIPO],DADOS!$AB$4,tabela_registros[CATEGORIA],investirrendavariávelconsolidadomai[[#This Row],[ATUAL]])</f>
        <v>0</v>
      </c>
      <c r="AG135" s="119" t="n">
        <f aca="false">SUMIFS(tabela_registros[VALOR],tabela_registros[MÊS],$AE$1,tabela_registros[DIA],investirrendavariávelconsolidadomai[[#Headers],[29]],tabela_registros[REGISTRO],DADOS!$N$5,tabela_registros[TIPO],DADOS!$AB$4,tabela_registros[CATEGORIA],investirrendavariávelconsolidadomai[[#This Row],[ATUAL]])</f>
        <v>0</v>
      </c>
      <c r="AH135" s="119" t="n">
        <f aca="false">SUMIFS(tabela_registros[VALOR],tabela_registros[MÊS],$AE$1,tabela_registros[DIA],investirrendavariávelconsolidadomai[[#Headers],[30]],tabela_registros[REGISTRO],DADOS!$N$5,tabela_registros[TIPO],DADOS!$AB$4,tabela_registros[CATEGORIA],investirrendavariávelconsolidadomai[[#This Row],[ATUAL]])</f>
        <v>0</v>
      </c>
      <c r="AI135" s="217" t="n">
        <f aca="false">SUMIFS(tabela_registros[VALOR],tabela_registros[MÊS],$AE$1,tabela_registros[DIA],investirrendavariávelconsolidadomai[[#Headers],[31]],tabela_registros[REGISTRO],DADOS!$N$5,tabela_registros[TIPO],DADOS!$AB$4,tabela_registros[CATEGORIA],investirrendavariávelconsolidadomai[[#This Row],[ATUAL]])</f>
        <v>0</v>
      </c>
      <c r="AJ135" s="149" t="n">
        <f aca="false">SUM(investirrendavariávelconsolidadomai[[#This Row],[1]:[31]])</f>
        <v>0</v>
      </c>
      <c r="AK135" s="165"/>
    </row>
    <row r="136" customFormat="false" ht="19.5" hidden="false" customHeight="true" outlineLevel="0" collapsed="false">
      <c r="B136" s="143"/>
      <c r="C136" s="144" t="str">
        <f aca="false">DADOS!$AF$7</f>
        <v>📝 CRIPTOMOEDA</v>
      </c>
      <c r="D136" s="145" t="str">
        <f aca="false">IF(investirrendavariávelconsolidadomai[[#This Row],[TOTAL (R$)]]=0,"",IF(OR(investirrendavariávelconsolidadomai[[#This Row],[TOTAL (R$)]]=LARGE($AJ$132:$AJ$141,1),investirrendavariávelconsolidadomai[[#This Row],[TOTAL (R$)]]=LARGE($AJ$132:$AJ$141,2)),DADOS!$I$10,""))</f>
        <v/>
      </c>
      <c r="E136" s="148" t="n">
        <f aca="false">SUMIFS(tabela_registros[VALOR],tabela_registros[MÊS],$AE$1,tabela_registros[DIA],investirrendavariávelconsolidadomai[[#Headers],[1]],tabela_registros[REGISTRO],DADOS!$N$5,tabela_registros[TIPO],DADOS!$AB$4,tabela_registros[CATEGORIA],investirrendavariávelconsolidadomai[[#This Row],[ATUAL]])</f>
        <v>0</v>
      </c>
      <c r="F136" s="119" t="n">
        <f aca="false">SUMIFS(tabela_registros[VALOR],tabela_registros[MÊS],$AE$1,tabela_registros[DIA],investirrendavariávelconsolidadomai[[#Headers],[2]],tabela_registros[REGISTRO],DADOS!$N$5,tabela_registros[TIPO],DADOS!$AB$4,tabela_registros[CATEGORIA],investirrendavariávelconsolidadomai[[#This Row],[ATUAL]])</f>
        <v>0</v>
      </c>
      <c r="G136" s="119" t="n">
        <f aca="false">SUMIFS(tabela_registros[VALOR],tabela_registros[MÊS],$AE$1,tabela_registros[DIA],investirrendavariávelconsolidadomai[[#Headers],[3]],tabela_registros[REGISTRO],DADOS!$N$5,tabela_registros[TIPO],DADOS!$AB$4,tabela_registros[CATEGORIA],investirrendavariávelconsolidadomai[[#This Row],[ATUAL]])</f>
        <v>0</v>
      </c>
      <c r="H136" s="119" t="n">
        <f aca="false">SUMIFS(tabela_registros[VALOR],tabela_registros[MÊS],$AE$1,tabela_registros[DIA],investirrendavariávelconsolidadomai[[#Headers],[4]],tabela_registros[REGISTRO],DADOS!$N$5,tabela_registros[TIPO],DADOS!$AB$4,tabela_registros[CATEGORIA],investirrendavariávelconsolidadomai[[#This Row],[ATUAL]])</f>
        <v>0</v>
      </c>
      <c r="I136" s="119" t="n">
        <f aca="false">SUMIFS(tabela_registros[VALOR],tabela_registros[MÊS],$AE$1,tabela_registros[DIA],investirrendavariávelconsolidadomai[[#Headers],[5]],tabela_registros[REGISTRO],DADOS!$N$5,tabela_registros[TIPO],DADOS!$AB$4,tabela_registros[CATEGORIA],investirrendavariávelconsolidadomai[[#This Row],[ATUAL]])</f>
        <v>0</v>
      </c>
      <c r="J136" s="119" t="n">
        <f aca="false">SUMIFS(tabela_registros[VALOR],tabela_registros[MÊS],$AE$1,tabela_registros[DIA],investirrendavariávelconsolidadomai[[#Headers],[6]],tabela_registros[REGISTRO],DADOS!$N$5,tabela_registros[TIPO],DADOS!$AB$4,tabela_registros[CATEGORIA],investirrendavariávelconsolidadomai[[#This Row],[ATUAL]])</f>
        <v>0</v>
      </c>
      <c r="K136" s="119" t="n">
        <f aca="false">SUMIFS(tabela_registros[VALOR],tabela_registros[MÊS],$AE$1,tabela_registros[DIA],investirrendavariávelconsolidadomai[[#Headers],[7]],tabela_registros[REGISTRO],DADOS!$N$5,tabela_registros[TIPO],DADOS!$AB$4,tabela_registros[CATEGORIA],investirrendavariávelconsolidadomai[[#This Row],[ATUAL]])</f>
        <v>0</v>
      </c>
      <c r="L136" s="119" t="n">
        <f aca="false">SUMIFS(tabela_registros[VALOR],tabela_registros[MÊS],$AE$1,tabela_registros[DIA],investirrendavariávelconsolidadomai[[#Headers],[8]],tabela_registros[REGISTRO],DADOS!$N$5,tabela_registros[TIPO],DADOS!$AB$4,tabela_registros[CATEGORIA],investirrendavariávelconsolidadomai[[#This Row],[ATUAL]])</f>
        <v>0</v>
      </c>
      <c r="M136" s="119" t="n">
        <f aca="false">SUMIFS(tabela_registros[VALOR],tabela_registros[MÊS],$AE$1,tabela_registros[DIA],investirrendavariávelconsolidadomai[[#Headers],[9]],tabela_registros[REGISTRO],DADOS!$N$5,tabela_registros[TIPO],DADOS!$AB$4,tabela_registros[CATEGORIA],investirrendavariávelconsolidadomai[[#This Row],[ATUAL]])</f>
        <v>0</v>
      </c>
      <c r="N136" s="119" t="n">
        <f aca="false">SUMIFS(tabela_registros[VALOR],tabela_registros[MÊS],$AE$1,tabela_registros[DIA],investirrendavariávelconsolidadomai[[#Headers],[10]],tabela_registros[REGISTRO],DADOS!$N$5,tabela_registros[TIPO],DADOS!$AB$4,tabela_registros[CATEGORIA],investirrendavariávelconsolidadomai[[#This Row],[ATUAL]])</f>
        <v>0</v>
      </c>
      <c r="O136" s="119" t="n">
        <f aca="false">SUMIFS(tabela_registros[VALOR],tabela_registros[MÊS],$AE$1,tabela_registros[DIA],investirrendavariávelconsolidadomai[[#Headers],[11]],tabela_registros[REGISTRO],DADOS!$N$5,tabela_registros[TIPO],DADOS!$AB$4,tabela_registros[CATEGORIA],investirrendavariávelconsolidadomai[[#This Row],[ATUAL]])</f>
        <v>0</v>
      </c>
      <c r="P136" s="119" t="n">
        <f aca="false">SUMIFS(tabela_registros[VALOR],tabela_registros[MÊS],$AE$1,tabela_registros[DIA],investirrendavariávelconsolidadomai[[#Headers],[12]],tabela_registros[REGISTRO],DADOS!$N$5,tabela_registros[TIPO],DADOS!$AB$4,tabela_registros[CATEGORIA],investirrendavariávelconsolidadomai[[#This Row],[ATUAL]])</f>
        <v>0</v>
      </c>
      <c r="Q136" s="119" t="n">
        <f aca="false">SUMIFS(tabela_registros[VALOR],tabela_registros[MÊS],$AE$1,tabela_registros[DIA],investirrendavariávelconsolidadomai[[#Headers],[13]],tabela_registros[REGISTRO],DADOS!$N$5,tabela_registros[TIPO],DADOS!$AB$4,tabela_registros[CATEGORIA],investirrendavariávelconsolidadomai[[#This Row],[ATUAL]])</f>
        <v>0</v>
      </c>
      <c r="R136" s="119" t="n">
        <f aca="false">SUMIFS(tabela_registros[VALOR],tabela_registros[MÊS],$AE$1,tabela_registros[DIA],investirrendavariávelconsolidadomai[[#Headers],[14]],tabela_registros[REGISTRO],DADOS!$N$5,tabela_registros[TIPO],DADOS!$AB$4,tabela_registros[CATEGORIA],investirrendavariávelconsolidadomai[[#This Row],[ATUAL]])</f>
        <v>0</v>
      </c>
      <c r="S136" s="119" t="n">
        <f aca="false">SUMIFS(tabela_registros[VALOR],tabela_registros[MÊS],$AE$1,tabela_registros[DIA],investirrendavariávelconsolidadomai[[#Headers],[15]],tabela_registros[REGISTRO],DADOS!$N$5,tabela_registros[TIPO],DADOS!$AB$4,tabela_registros[CATEGORIA],investirrendavariávelconsolidadomai[[#This Row],[ATUAL]])</f>
        <v>0</v>
      </c>
      <c r="T136" s="119" t="n">
        <f aca="false">SUMIFS(tabela_registros[VALOR],tabela_registros[MÊS],$AE$1,tabela_registros[DIA],investirrendavariávelconsolidadomai[[#Headers],[16]],tabela_registros[REGISTRO],DADOS!$N$5,tabela_registros[TIPO],DADOS!$AB$4,tabela_registros[CATEGORIA],investirrendavariávelconsolidadomai[[#This Row],[ATUAL]])</f>
        <v>0</v>
      </c>
      <c r="U136" s="119" t="n">
        <f aca="false">SUMIFS(tabela_registros[VALOR],tabela_registros[MÊS],$AE$1,tabela_registros[DIA],investirrendavariávelconsolidadomai[[#Headers],[17]],tabela_registros[REGISTRO],DADOS!$N$5,tabela_registros[TIPO],DADOS!$AB$4,tabela_registros[CATEGORIA],investirrendavariávelconsolidadomai[[#This Row],[ATUAL]])</f>
        <v>0</v>
      </c>
      <c r="V136" s="119" t="n">
        <f aca="false">SUMIFS(tabela_registros[VALOR],tabela_registros[MÊS],$AE$1,tabela_registros[DIA],investirrendavariávelconsolidadomai[[#Headers],[18]],tabela_registros[REGISTRO],DADOS!$N$5,tabela_registros[TIPO],DADOS!$AB$4,tabela_registros[CATEGORIA],investirrendavariávelconsolidadomai[[#This Row],[ATUAL]])</f>
        <v>0</v>
      </c>
      <c r="W136" s="119" t="n">
        <f aca="false">SUMIFS(tabela_registros[VALOR],tabela_registros[MÊS],$AE$1,tabela_registros[DIA],investirrendavariávelconsolidadomai[[#Headers],[19]],tabela_registros[REGISTRO],DADOS!$N$5,tabela_registros[TIPO],DADOS!$AB$4,tabela_registros[CATEGORIA],investirrendavariávelconsolidadomai[[#This Row],[ATUAL]])</f>
        <v>0</v>
      </c>
      <c r="X136" s="119" t="n">
        <f aca="false">SUMIFS(tabela_registros[VALOR],tabela_registros[MÊS],$AE$1,tabela_registros[DIA],investirrendavariávelconsolidadomai[[#Headers],[20]],tabela_registros[REGISTRO],DADOS!$N$5,tabela_registros[TIPO],DADOS!$AB$4,tabela_registros[CATEGORIA],investirrendavariávelconsolidadomai[[#This Row],[ATUAL]])</f>
        <v>0</v>
      </c>
      <c r="Y136" s="119" t="n">
        <f aca="false">SUMIFS(tabela_registros[VALOR],tabela_registros[MÊS],$AE$1,tabela_registros[DIA],investirrendavariávelconsolidadomai[[#Headers],[21]],tabela_registros[REGISTRO],DADOS!$N$5,tabela_registros[TIPO],DADOS!$AB$4,tabela_registros[CATEGORIA],investirrendavariávelconsolidadomai[[#This Row],[ATUAL]])</f>
        <v>0</v>
      </c>
      <c r="Z136" s="119" t="n">
        <f aca="false">SUMIFS(tabela_registros[VALOR],tabela_registros[MÊS],$AE$1,tabela_registros[DIA],investirrendavariávelconsolidadomai[[#Headers],[22]],tabela_registros[REGISTRO],DADOS!$N$5,tabela_registros[TIPO],DADOS!$AB$4,tabela_registros[CATEGORIA],investirrendavariávelconsolidadomai[[#This Row],[ATUAL]])</f>
        <v>0</v>
      </c>
      <c r="AA136" s="119" t="n">
        <f aca="false">SUMIFS(tabela_registros[VALOR],tabela_registros[MÊS],$AE$1,tabela_registros[DIA],investirrendavariávelconsolidadomai[[#Headers],[23]],tabela_registros[REGISTRO],DADOS!$N$5,tabela_registros[TIPO],DADOS!$AB$4,tabela_registros[CATEGORIA],investirrendavariávelconsolidadomai[[#This Row],[ATUAL]])</f>
        <v>0</v>
      </c>
      <c r="AB136" s="119" t="n">
        <f aca="false">SUMIFS(tabela_registros[VALOR],tabela_registros[MÊS],$AE$1,tabela_registros[DIA],investirrendavariávelconsolidadomai[[#Headers],[24]],tabela_registros[REGISTRO],DADOS!$N$5,tabela_registros[TIPO],DADOS!$AB$4,tabela_registros[CATEGORIA],investirrendavariávelconsolidadomai[[#This Row],[ATUAL]])</f>
        <v>0</v>
      </c>
      <c r="AC136" s="119" t="n">
        <f aca="false">SUMIFS(tabela_registros[VALOR],tabela_registros[MÊS],$AE$1,tabela_registros[DIA],investirrendavariávelconsolidadomai[[#Headers],[25]],tabela_registros[REGISTRO],DADOS!$N$5,tabela_registros[TIPO],DADOS!$AB$4,tabela_registros[CATEGORIA],investirrendavariávelconsolidadomai[[#This Row],[ATUAL]])</f>
        <v>0</v>
      </c>
      <c r="AD136" s="119" t="n">
        <f aca="false">SUMIFS(tabela_registros[VALOR],tabela_registros[MÊS],$AE$1,tabela_registros[DIA],investirrendavariávelconsolidadomai[[#Headers],[26]],tabela_registros[REGISTRO],DADOS!$N$5,tabela_registros[TIPO],DADOS!$AB$4,tabela_registros[CATEGORIA],investirrendavariávelconsolidadomai[[#This Row],[ATUAL]])</f>
        <v>0</v>
      </c>
      <c r="AE136" s="119" t="n">
        <f aca="false">SUMIFS(tabela_registros[VALOR],tabela_registros[MÊS],$AE$1,tabela_registros[DIA],investirrendavariávelconsolidadomai[[#Headers],[27]],tabela_registros[REGISTRO],DADOS!$N$5,tabela_registros[TIPO],DADOS!$AB$4,tabela_registros[CATEGORIA],investirrendavariávelconsolidadomai[[#This Row],[ATUAL]])</f>
        <v>0</v>
      </c>
      <c r="AF136" s="119" t="n">
        <f aca="false">SUMIFS(tabela_registros[VALOR],tabela_registros[MÊS],$AE$1,tabela_registros[DIA],investirrendavariávelconsolidadomai[[#Headers],[28]],tabela_registros[REGISTRO],DADOS!$N$5,tabela_registros[TIPO],DADOS!$AB$4,tabela_registros[CATEGORIA],investirrendavariávelconsolidadomai[[#This Row],[ATUAL]])</f>
        <v>0</v>
      </c>
      <c r="AG136" s="119" t="n">
        <f aca="false">SUMIFS(tabela_registros[VALOR],tabela_registros[MÊS],$AE$1,tabela_registros[DIA],investirrendavariávelconsolidadomai[[#Headers],[29]],tabela_registros[REGISTRO],DADOS!$N$5,tabela_registros[TIPO],DADOS!$AB$4,tabela_registros[CATEGORIA],investirrendavariávelconsolidadomai[[#This Row],[ATUAL]])</f>
        <v>0</v>
      </c>
      <c r="AH136" s="119" t="n">
        <f aca="false">SUMIFS(tabela_registros[VALOR],tabela_registros[MÊS],$AE$1,tabela_registros[DIA],investirrendavariávelconsolidadomai[[#Headers],[30]],tabela_registros[REGISTRO],DADOS!$N$5,tabela_registros[TIPO],DADOS!$AB$4,tabela_registros[CATEGORIA],investirrendavariávelconsolidadomai[[#This Row],[ATUAL]])</f>
        <v>0</v>
      </c>
      <c r="AI136" s="217" t="n">
        <f aca="false">SUMIFS(tabela_registros[VALOR],tabela_registros[MÊS],$AE$1,tabela_registros[DIA],investirrendavariávelconsolidadomai[[#Headers],[31]],tabela_registros[REGISTRO],DADOS!$N$5,tabela_registros[TIPO],DADOS!$AB$4,tabela_registros[CATEGORIA],investirrendavariávelconsolidadomai[[#This Row],[ATUAL]])</f>
        <v>0</v>
      </c>
      <c r="AJ136" s="237" t="n">
        <f aca="false">SUM(investirrendavariávelconsolidadomai[[#This Row],[1]:[31]])</f>
        <v>0</v>
      </c>
      <c r="AK136" s="165"/>
    </row>
    <row r="137" customFormat="false" ht="19.5" hidden="false" customHeight="true" outlineLevel="0" collapsed="false">
      <c r="B137" s="143"/>
      <c r="C137" s="144" t="str">
        <f aca="false">DADOS!$AF$8</f>
        <v>📝 ETF</v>
      </c>
      <c r="D137" s="145" t="str">
        <f aca="false">IF(investirrendavariávelconsolidadomai[[#This Row],[TOTAL (R$)]]=0,"",IF(OR(investirrendavariávelconsolidadomai[[#This Row],[TOTAL (R$)]]=LARGE($AJ$132:$AJ$141,1),investirrendavariávelconsolidadomai[[#This Row],[TOTAL (R$)]]=LARGE($AJ$132:$AJ$141,2)),DADOS!$I$10,""))</f>
        <v/>
      </c>
      <c r="E137" s="148" t="n">
        <f aca="false">SUMIFS(tabela_registros[VALOR],tabela_registros[MÊS],$AE$1,tabela_registros[DIA],investirrendavariávelconsolidadomai[[#Headers],[1]],tabela_registros[REGISTRO],DADOS!$N$5,tabela_registros[TIPO],DADOS!$AB$4,tabela_registros[CATEGORIA],investirrendavariávelconsolidadomai[[#This Row],[ATUAL]])</f>
        <v>0</v>
      </c>
      <c r="F137" s="119" t="n">
        <f aca="false">SUMIFS(tabela_registros[VALOR],tabela_registros[MÊS],$AE$1,tabela_registros[DIA],investirrendavariávelconsolidadomai[[#Headers],[2]],tabela_registros[REGISTRO],DADOS!$N$5,tabela_registros[TIPO],DADOS!$AB$4,tabela_registros[CATEGORIA],investirrendavariávelconsolidadomai[[#This Row],[ATUAL]])</f>
        <v>0</v>
      </c>
      <c r="G137" s="119" t="n">
        <f aca="false">SUMIFS(tabela_registros[VALOR],tabela_registros[MÊS],$AE$1,tabela_registros[DIA],investirrendavariávelconsolidadomai[[#Headers],[3]],tabela_registros[REGISTRO],DADOS!$N$5,tabela_registros[TIPO],DADOS!$AB$4,tabela_registros[CATEGORIA],investirrendavariávelconsolidadomai[[#This Row],[ATUAL]])</f>
        <v>0</v>
      </c>
      <c r="H137" s="119" t="n">
        <f aca="false">SUMIFS(tabela_registros[VALOR],tabela_registros[MÊS],$AE$1,tabela_registros[DIA],investirrendavariávelconsolidadomai[[#Headers],[4]],tabela_registros[REGISTRO],DADOS!$N$5,tabela_registros[TIPO],DADOS!$AB$4,tabela_registros[CATEGORIA],investirrendavariávelconsolidadomai[[#This Row],[ATUAL]])</f>
        <v>0</v>
      </c>
      <c r="I137" s="119" t="n">
        <f aca="false">SUMIFS(tabela_registros[VALOR],tabela_registros[MÊS],$AE$1,tabela_registros[DIA],investirrendavariávelconsolidadomai[[#Headers],[5]],tabela_registros[REGISTRO],DADOS!$N$5,tabela_registros[TIPO],DADOS!$AB$4,tabela_registros[CATEGORIA],investirrendavariávelconsolidadomai[[#This Row],[ATUAL]])</f>
        <v>0</v>
      </c>
      <c r="J137" s="119" t="n">
        <f aca="false">SUMIFS(tabela_registros[VALOR],tabela_registros[MÊS],$AE$1,tabela_registros[DIA],investirrendavariávelconsolidadomai[[#Headers],[6]],tabela_registros[REGISTRO],DADOS!$N$5,tabela_registros[TIPO],DADOS!$AB$4,tabela_registros[CATEGORIA],investirrendavariávelconsolidadomai[[#This Row],[ATUAL]])</f>
        <v>0</v>
      </c>
      <c r="K137" s="119" t="n">
        <f aca="false">SUMIFS(tabela_registros[VALOR],tabela_registros[MÊS],$AE$1,tabela_registros[DIA],investirrendavariávelconsolidadomai[[#Headers],[7]],tabela_registros[REGISTRO],DADOS!$N$5,tabela_registros[TIPO],DADOS!$AB$4,tabela_registros[CATEGORIA],investirrendavariávelconsolidadomai[[#This Row],[ATUAL]])</f>
        <v>0</v>
      </c>
      <c r="L137" s="119" t="n">
        <f aca="false">SUMIFS(tabela_registros[VALOR],tabela_registros[MÊS],$AE$1,tabela_registros[DIA],investirrendavariávelconsolidadomai[[#Headers],[8]],tabela_registros[REGISTRO],DADOS!$N$5,tabela_registros[TIPO],DADOS!$AB$4,tabela_registros[CATEGORIA],investirrendavariávelconsolidadomai[[#This Row],[ATUAL]])</f>
        <v>0</v>
      </c>
      <c r="M137" s="119" t="n">
        <f aca="false">SUMIFS(tabela_registros[VALOR],tabela_registros[MÊS],$AE$1,tabela_registros[DIA],investirrendavariávelconsolidadomai[[#Headers],[9]],tabela_registros[REGISTRO],DADOS!$N$5,tabela_registros[TIPO],DADOS!$AB$4,tabela_registros[CATEGORIA],investirrendavariávelconsolidadomai[[#This Row],[ATUAL]])</f>
        <v>0</v>
      </c>
      <c r="N137" s="119" t="n">
        <f aca="false">SUMIFS(tabela_registros[VALOR],tabela_registros[MÊS],$AE$1,tabela_registros[DIA],investirrendavariávelconsolidadomai[[#Headers],[10]],tabela_registros[REGISTRO],DADOS!$N$5,tabela_registros[TIPO],DADOS!$AB$4,tabela_registros[CATEGORIA],investirrendavariávelconsolidadomai[[#This Row],[ATUAL]])</f>
        <v>0</v>
      </c>
      <c r="O137" s="119" t="n">
        <f aca="false">SUMIFS(tabela_registros[VALOR],tabela_registros[MÊS],$AE$1,tabela_registros[DIA],investirrendavariávelconsolidadomai[[#Headers],[11]],tabela_registros[REGISTRO],DADOS!$N$5,tabela_registros[TIPO],DADOS!$AB$4,tabela_registros[CATEGORIA],investirrendavariávelconsolidadomai[[#This Row],[ATUAL]])</f>
        <v>0</v>
      </c>
      <c r="P137" s="119" t="n">
        <f aca="false">SUMIFS(tabela_registros[VALOR],tabela_registros[MÊS],$AE$1,tabela_registros[DIA],investirrendavariávelconsolidadomai[[#Headers],[12]],tabela_registros[REGISTRO],DADOS!$N$5,tabela_registros[TIPO],DADOS!$AB$4,tabela_registros[CATEGORIA],investirrendavariávelconsolidadomai[[#This Row],[ATUAL]])</f>
        <v>0</v>
      </c>
      <c r="Q137" s="119" t="n">
        <f aca="false">SUMIFS(tabela_registros[VALOR],tabela_registros[MÊS],$AE$1,tabela_registros[DIA],investirrendavariávelconsolidadomai[[#Headers],[13]],tabela_registros[REGISTRO],DADOS!$N$5,tabela_registros[TIPO],DADOS!$AB$4,tabela_registros[CATEGORIA],investirrendavariávelconsolidadomai[[#This Row],[ATUAL]])</f>
        <v>0</v>
      </c>
      <c r="R137" s="119" t="n">
        <f aca="false">SUMIFS(tabela_registros[VALOR],tabela_registros[MÊS],$AE$1,tabela_registros[DIA],investirrendavariávelconsolidadomai[[#Headers],[14]],tabela_registros[REGISTRO],DADOS!$N$5,tabela_registros[TIPO],DADOS!$AB$4,tabela_registros[CATEGORIA],investirrendavariávelconsolidadomai[[#This Row],[ATUAL]])</f>
        <v>0</v>
      </c>
      <c r="S137" s="119" t="n">
        <f aca="false">SUMIFS(tabela_registros[VALOR],tabela_registros[MÊS],$AE$1,tabela_registros[DIA],investirrendavariávelconsolidadomai[[#Headers],[15]],tabela_registros[REGISTRO],DADOS!$N$5,tabela_registros[TIPO],DADOS!$AB$4,tabela_registros[CATEGORIA],investirrendavariávelconsolidadomai[[#This Row],[ATUAL]])</f>
        <v>0</v>
      </c>
      <c r="T137" s="119" t="n">
        <f aca="false">SUMIFS(tabela_registros[VALOR],tabela_registros[MÊS],$AE$1,tabela_registros[DIA],investirrendavariávelconsolidadomai[[#Headers],[16]],tabela_registros[REGISTRO],DADOS!$N$5,tabela_registros[TIPO],DADOS!$AB$4,tabela_registros[CATEGORIA],investirrendavariávelconsolidadomai[[#This Row],[ATUAL]])</f>
        <v>0</v>
      </c>
      <c r="U137" s="119" t="n">
        <f aca="false">SUMIFS(tabela_registros[VALOR],tabela_registros[MÊS],$AE$1,tabela_registros[DIA],investirrendavariávelconsolidadomai[[#Headers],[17]],tabela_registros[REGISTRO],DADOS!$N$5,tabela_registros[TIPO],DADOS!$AB$4,tabela_registros[CATEGORIA],investirrendavariávelconsolidadomai[[#This Row],[ATUAL]])</f>
        <v>0</v>
      </c>
      <c r="V137" s="119" t="n">
        <f aca="false">SUMIFS(tabela_registros[VALOR],tabela_registros[MÊS],$AE$1,tabela_registros[DIA],investirrendavariávelconsolidadomai[[#Headers],[18]],tabela_registros[REGISTRO],DADOS!$N$5,tabela_registros[TIPO],DADOS!$AB$4,tabela_registros[CATEGORIA],investirrendavariávelconsolidadomai[[#This Row],[ATUAL]])</f>
        <v>0</v>
      </c>
      <c r="W137" s="119" t="n">
        <f aca="false">SUMIFS(tabela_registros[VALOR],tabela_registros[MÊS],$AE$1,tabela_registros[DIA],investirrendavariávelconsolidadomai[[#Headers],[19]],tabela_registros[REGISTRO],DADOS!$N$5,tabela_registros[TIPO],DADOS!$AB$4,tabela_registros[CATEGORIA],investirrendavariávelconsolidadomai[[#This Row],[ATUAL]])</f>
        <v>0</v>
      </c>
      <c r="X137" s="119" t="n">
        <f aca="false">SUMIFS(tabela_registros[VALOR],tabela_registros[MÊS],$AE$1,tabela_registros[DIA],investirrendavariávelconsolidadomai[[#Headers],[20]],tabela_registros[REGISTRO],DADOS!$N$5,tabela_registros[TIPO],DADOS!$AB$4,tabela_registros[CATEGORIA],investirrendavariávelconsolidadomai[[#This Row],[ATUAL]])</f>
        <v>0</v>
      </c>
      <c r="Y137" s="119" t="n">
        <f aca="false">SUMIFS(tabela_registros[VALOR],tabela_registros[MÊS],$AE$1,tabela_registros[DIA],investirrendavariávelconsolidadomai[[#Headers],[21]],tabela_registros[REGISTRO],DADOS!$N$5,tabela_registros[TIPO],DADOS!$AB$4,tabela_registros[CATEGORIA],investirrendavariávelconsolidadomai[[#This Row],[ATUAL]])</f>
        <v>0</v>
      </c>
      <c r="Z137" s="119" t="n">
        <f aca="false">SUMIFS(tabela_registros[VALOR],tabela_registros[MÊS],$AE$1,tabela_registros[DIA],investirrendavariávelconsolidadomai[[#Headers],[22]],tabela_registros[REGISTRO],DADOS!$N$5,tabela_registros[TIPO],DADOS!$AB$4,tabela_registros[CATEGORIA],investirrendavariávelconsolidadomai[[#This Row],[ATUAL]])</f>
        <v>0</v>
      </c>
      <c r="AA137" s="119" t="n">
        <f aca="false">SUMIFS(tabela_registros[VALOR],tabela_registros[MÊS],$AE$1,tabela_registros[DIA],investirrendavariávelconsolidadomai[[#Headers],[23]],tabela_registros[REGISTRO],DADOS!$N$5,tabela_registros[TIPO],DADOS!$AB$4,tabela_registros[CATEGORIA],investirrendavariávelconsolidadomai[[#This Row],[ATUAL]])</f>
        <v>0</v>
      </c>
      <c r="AB137" s="119" t="n">
        <f aca="false">SUMIFS(tabela_registros[VALOR],tabela_registros[MÊS],$AE$1,tabela_registros[DIA],investirrendavariávelconsolidadomai[[#Headers],[24]],tabela_registros[REGISTRO],DADOS!$N$5,tabela_registros[TIPO],DADOS!$AB$4,tabela_registros[CATEGORIA],investirrendavariávelconsolidadomai[[#This Row],[ATUAL]])</f>
        <v>0</v>
      </c>
      <c r="AC137" s="119" t="n">
        <f aca="false">SUMIFS(tabela_registros[VALOR],tabela_registros[MÊS],$AE$1,tabela_registros[DIA],investirrendavariávelconsolidadomai[[#Headers],[25]],tabela_registros[REGISTRO],DADOS!$N$5,tabela_registros[TIPO],DADOS!$AB$4,tabela_registros[CATEGORIA],investirrendavariávelconsolidadomai[[#This Row],[ATUAL]])</f>
        <v>0</v>
      </c>
      <c r="AD137" s="119" t="n">
        <f aca="false">SUMIFS(tabela_registros[VALOR],tabela_registros[MÊS],$AE$1,tabela_registros[DIA],investirrendavariávelconsolidadomai[[#Headers],[26]],tabela_registros[REGISTRO],DADOS!$N$5,tabela_registros[TIPO],DADOS!$AB$4,tabela_registros[CATEGORIA],investirrendavariávelconsolidadomai[[#This Row],[ATUAL]])</f>
        <v>0</v>
      </c>
      <c r="AE137" s="119" t="n">
        <f aca="false">SUMIFS(tabela_registros[VALOR],tabela_registros[MÊS],$AE$1,tabela_registros[DIA],investirrendavariávelconsolidadomai[[#Headers],[27]],tabela_registros[REGISTRO],DADOS!$N$5,tabela_registros[TIPO],DADOS!$AB$4,tabela_registros[CATEGORIA],investirrendavariávelconsolidadomai[[#This Row],[ATUAL]])</f>
        <v>0</v>
      </c>
      <c r="AF137" s="119" t="n">
        <f aca="false">SUMIFS(tabela_registros[VALOR],tabela_registros[MÊS],$AE$1,tabela_registros[DIA],investirrendavariávelconsolidadomai[[#Headers],[28]],tabela_registros[REGISTRO],DADOS!$N$5,tabela_registros[TIPO],DADOS!$AB$4,tabela_registros[CATEGORIA],investirrendavariávelconsolidadomai[[#This Row],[ATUAL]])</f>
        <v>0</v>
      </c>
      <c r="AG137" s="119" t="n">
        <f aca="false">SUMIFS(tabela_registros[VALOR],tabela_registros[MÊS],$AE$1,tabela_registros[DIA],investirrendavariávelconsolidadomai[[#Headers],[29]],tabela_registros[REGISTRO],DADOS!$N$5,tabela_registros[TIPO],DADOS!$AB$4,tabela_registros[CATEGORIA],investirrendavariávelconsolidadomai[[#This Row],[ATUAL]])</f>
        <v>0</v>
      </c>
      <c r="AH137" s="119" t="n">
        <f aca="false">SUMIFS(tabela_registros[VALOR],tabela_registros[MÊS],$AE$1,tabela_registros[DIA],investirrendavariávelconsolidadomai[[#Headers],[30]],tabela_registros[REGISTRO],DADOS!$N$5,tabela_registros[TIPO],DADOS!$AB$4,tabela_registros[CATEGORIA],investirrendavariávelconsolidadomai[[#This Row],[ATUAL]])</f>
        <v>0</v>
      </c>
      <c r="AI137" s="217" t="n">
        <f aca="false">SUMIFS(tabela_registros[VALOR],tabela_registros[MÊS],$AE$1,tabela_registros[DIA],investirrendavariávelconsolidadomai[[#Headers],[31]],tabela_registros[REGISTRO],DADOS!$N$5,tabela_registros[TIPO],DADOS!$AB$4,tabela_registros[CATEGORIA],investirrendavariávelconsolidadomai[[#This Row],[ATUAL]])</f>
        <v>0</v>
      </c>
      <c r="AJ137" s="237" t="n">
        <f aca="false">SUM(investirrendavariávelconsolidadomai[[#This Row],[1]:[31]])</f>
        <v>0</v>
      </c>
      <c r="AK137" s="165"/>
    </row>
    <row r="138" customFormat="false" ht="19.5" hidden="false" customHeight="true" outlineLevel="0" collapsed="false">
      <c r="B138" s="143"/>
      <c r="C138" s="144" t="str">
        <f aca="false">DADOS!$AF$9</f>
        <v>📝 EXTERIOR</v>
      </c>
      <c r="D138" s="145" t="str">
        <f aca="false">IF(investirrendavariávelconsolidadomai[[#This Row],[TOTAL (R$)]]=0,"",IF(OR(investirrendavariávelconsolidadomai[[#This Row],[TOTAL (R$)]]=LARGE($AJ$132:$AJ$141,1),investirrendavariávelconsolidadomai[[#This Row],[TOTAL (R$)]]=LARGE($AJ$132:$AJ$141,2)),DADOS!$I$10,""))</f>
        <v/>
      </c>
      <c r="E138" s="148" t="n">
        <f aca="false">SUMIFS(tabela_registros[VALOR],tabela_registros[MÊS],$AE$1,tabela_registros[DIA],investirrendavariávelconsolidadomai[[#Headers],[1]],tabela_registros[REGISTRO],DADOS!$N$5,tabela_registros[TIPO],DADOS!$AB$4,tabela_registros[CATEGORIA],investirrendavariávelconsolidadomai[[#This Row],[ATUAL]])</f>
        <v>0</v>
      </c>
      <c r="F138" s="119" t="n">
        <f aca="false">SUMIFS(tabela_registros[VALOR],tabela_registros[MÊS],$AE$1,tabela_registros[DIA],investirrendavariávelconsolidadomai[[#Headers],[2]],tabela_registros[REGISTRO],DADOS!$N$5,tabela_registros[TIPO],DADOS!$AB$4,tabela_registros[CATEGORIA],investirrendavariávelconsolidadomai[[#This Row],[ATUAL]])</f>
        <v>0</v>
      </c>
      <c r="G138" s="119" t="n">
        <f aca="false">SUMIFS(tabela_registros[VALOR],tabela_registros[MÊS],$AE$1,tabela_registros[DIA],investirrendavariávelconsolidadomai[[#Headers],[3]],tabela_registros[REGISTRO],DADOS!$N$5,tabela_registros[TIPO],DADOS!$AB$4,tabela_registros[CATEGORIA],investirrendavariávelconsolidadomai[[#This Row],[ATUAL]])</f>
        <v>0</v>
      </c>
      <c r="H138" s="119" t="n">
        <f aca="false">SUMIFS(tabela_registros[VALOR],tabela_registros[MÊS],$AE$1,tabela_registros[DIA],investirrendavariávelconsolidadomai[[#Headers],[4]],tabela_registros[REGISTRO],DADOS!$N$5,tabela_registros[TIPO],DADOS!$AB$4,tabela_registros[CATEGORIA],investirrendavariávelconsolidadomai[[#This Row],[ATUAL]])</f>
        <v>0</v>
      </c>
      <c r="I138" s="119" t="n">
        <f aca="false">SUMIFS(tabela_registros[VALOR],tabela_registros[MÊS],$AE$1,tabela_registros[DIA],investirrendavariávelconsolidadomai[[#Headers],[5]],tabela_registros[REGISTRO],DADOS!$N$5,tabela_registros[TIPO],DADOS!$AB$4,tabela_registros[CATEGORIA],investirrendavariávelconsolidadomai[[#This Row],[ATUAL]])</f>
        <v>0</v>
      </c>
      <c r="J138" s="119" t="n">
        <f aca="false">SUMIFS(tabela_registros[VALOR],tabela_registros[MÊS],$AE$1,tabela_registros[DIA],investirrendavariávelconsolidadomai[[#Headers],[6]],tabela_registros[REGISTRO],DADOS!$N$5,tabela_registros[TIPO],DADOS!$AB$4,tabela_registros[CATEGORIA],investirrendavariávelconsolidadomai[[#This Row],[ATUAL]])</f>
        <v>0</v>
      </c>
      <c r="K138" s="119" t="n">
        <f aca="false">SUMIFS(tabela_registros[VALOR],tabela_registros[MÊS],$AE$1,tabela_registros[DIA],investirrendavariávelconsolidadomai[[#Headers],[7]],tabela_registros[REGISTRO],DADOS!$N$5,tabela_registros[TIPO],DADOS!$AB$4,tabela_registros[CATEGORIA],investirrendavariávelconsolidadomai[[#This Row],[ATUAL]])</f>
        <v>0</v>
      </c>
      <c r="L138" s="119" t="n">
        <f aca="false">SUMIFS(tabela_registros[VALOR],tabela_registros[MÊS],$AE$1,tabela_registros[DIA],investirrendavariávelconsolidadomai[[#Headers],[8]],tabela_registros[REGISTRO],DADOS!$N$5,tabela_registros[TIPO],DADOS!$AB$4,tabela_registros[CATEGORIA],investirrendavariávelconsolidadomai[[#This Row],[ATUAL]])</f>
        <v>0</v>
      </c>
      <c r="M138" s="119" t="n">
        <f aca="false">SUMIFS(tabela_registros[VALOR],tabela_registros[MÊS],$AE$1,tabela_registros[DIA],investirrendavariávelconsolidadomai[[#Headers],[9]],tabela_registros[REGISTRO],DADOS!$N$5,tabela_registros[TIPO],DADOS!$AB$4,tabela_registros[CATEGORIA],investirrendavariávelconsolidadomai[[#This Row],[ATUAL]])</f>
        <v>0</v>
      </c>
      <c r="N138" s="119" t="n">
        <f aca="false">SUMIFS(tabela_registros[VALOR],tabela_registros[MÊS],$AE$1,tabela_registros[DIA],investirrendavariávelconsolidadomai[[#Headers],[10]],tabela_registros[REGISTRO],DADOS!$N$5,tabela_registros[TIPO],DADOS!$AB$4,tabela_registros[CATEGORIA],investirrendavariávelconsolidadomai[[#This Row],[ATUAL]])</f>
        <v>0</v>
      </c>
      <c r="O138" s="119" t="n">
        <f aca="false">SUMIFS(tabela_registros[VALOR],tabela_registros[MÊS],$AE$1,tabela_registros[DIA],investirrendavariávelconsolidadomai[[#Headers],[11]],tabela_registros[REGISTRO],DADOS!$N$5,tabela_registros[TIPO],DADOS!$AB$4,tabela_registros[CATEGORIA],investirrendavariávelconsolidadomai[[#This Row],[ATUAL]])</f>
        <v>0</v>
      </c>
      <c r="P138" s="119" t="n">
        <f aca="false">SUMIFS(tabela_registros[VALOR],tabela_registros[MÊS],$AE$1,tabela_registros[DIA],investirrendavariávelconsolidadomai[[#Headers],[12]],tabela_registros[REGISTRO],DADOS!$N$5,tabela_registros[TIPO],DADOS!$AB$4,tabela_registros[CATEGORIA],investirrendavariávelconsolidadomai[[#This Row],[ATUAL]])</f>
        <v>0</v>
      </c>
      <c r="Q138" s="119" t="n">
        <f aca="false">SUMIFS(tabela_registros[VALOR],tabela_registros[MÊS],$AE$1,tabela_registros[DIA],investirrendavariávelconsolidadomai[[#Headers],[13]],tabela_registros[REGISTRO],DADOS!$N$5,tabela_registros[TIPO],DADOS!$AB$4,tabela_registros[CATEGORIA],investirrendavariávelconsolidadomai[[#This Row],[ATUAL]])</f>
        <v>0</v>
      </c>
      <c r="R138" s="119" t="n">
        <f aca="false">SUMIFS(tabela_registros[VALOR],tabela_registros[MÊS],$AE$1,tabela_registros[DIA],investirrendavariávelconsolidadomai[[#Headers],[14]],tabela_registros[REGISTRO],DADOS!$N$5,tabela_registros[TIPO],DADOS!$AB$4,tabela_registros[CATEGORIA],investirrendavariávelconsolidadomai[[#This Row],[ATUAL]])</f>
        <v>0</v>
      </c>
      <c r="S138" s="119" t="n">
        <f aca="false">SUMIFS(tabela_registros[VALOR],tabela_registros[MÊS],$AE$1,tabela_registros[DIA],investirrendavariávelconsolidadomai[[#Headers],[15]],tabela_registros[REGISTRO],DADOS!$N$5,tabela_registros[TIPO],DADOS!$AB$4,tabela_registros[CATEGORIA],investirrendavariávelconsolidadomai[[#This Row],[ATUAL]])</f>
        <v>0</v>
      </c>
      <c r="T138" s="119" t="n">
        <f aca="false">SUMIFS(tabela_registros[VALOR],tabela_registros[MÊS],$AE$1,tabela_registros[DIA],investirrendavariávelconsolidadomai[[#Headers],[16]],tabela_registros[REGISTRO],DADOS!$N$5,tabela_registros[TIPO],DADOS!$AB$4,tabela_registros[CATEGORIA],investirrendavariávelconsolidadomai[[#This Row],[ATUAL]])</f>
        <v>0</v>
      </c>
      <c r="U138" s="119" t="n">
        <f aca="false">SUMIFS(tabela_registros[VALOR],tabela_registros[MÊS],$AE$1,tabela_registros[DIA],investirrendavariávelconsolidadomai[[#Headers],[17]],tabela_registros[REGISTRO],DADOS!$N$5,tabela_registros[TIPO],DADOS!$AB$4,tabela_registros[CATEGORIA],investirrendavariávelconsolidadomai[[#This Row],[ATUAL]])</f>
        <v>0</v>
      </c>
      <c r="V138" s="119" t="n">
        <f aca="false">SUMIFS(tabela_registros[VALOR],tabela_registros[MÊS],$AE$1,tabela_registros[DIA],investirrendavariávelconsolidadomai[[#Headers],[18]],tabela_registros[REGISTRO],DADOS!$N$5,tabela_registros[TIPO],DADOS!$AB$4,tabela_registros[CATEGORIA],investirrendavariávelconsolidadomai[[#This Row],[ATUAL]])</f>
        <v>0</v>
      </c>
      <c r="W138" s="119" t="n">
        <f aca="false">SUMIFS(tabela_registros[VALOR],tabela_registros[MÊS],$AE$1,tabela_registros[DIA],investirrendavariávelconsolidadomai[[#Headers],[19]],tabela_registros[REGISTRO],DADOS!$N$5,tabela_registros[TIPO],DADOS!$AB$4,tabela_registros[CATEGORIA],investirrendavariávelconsolidadomai[[#This Row],[ATUAL]])</f>
        <v>0</v>
      </c>
      <c r="X138" s="119" t="n">
        <f aca="false">SUMIFS(tabela_registros[VALOR],tabela_registros[MÊS],$AE$1,tabela_registros[DIA],investirrendavariávelconsolidadomai[[#Headers],[20]],tabela_registros[REGISTRO],DADOS!$N$5,tabela_registros[TIPO],DADOS!$AB$4,tabela_registros[CATEGORIA],investirrendavariávelconsolidadomai[[#This Row],[ATUAL]])</f>
        <v>0</v>
      </c>
      <c r="Y138" s="119" t="n">
        <f aca="false">SUMIFS(tabela_registros[VALOR],tabela_registros[MÊS],$AE$1,tabela_registros[DIA],investirrendavariávelconsolidadomai[[#Headers],[21]],tabela_registros[REGISTRO],DADOS!$N$5,tabela_registros[TIPO],DADOS!$AB$4,tabela_registros[CATEGORIA],investirrendavariávelconsolidadomai[[#This Row],[ATUAL]])</f>
        <v>0</v>
      </c>
      <c r="Z138" s="119" t="n">
        <f aca="false">SUMIFS(tabela_registros[VALOR],tabela_registros[MÊS],$AE$1,tabela_registros[DIA],investirrendavariávelconsolidadomai[[#Headers],[22]],tabela_registros[REGISTRO],DADOS!$N$5,tabela_registros[TIPO],DADOS!$AB$4,tabela_registros[CATEGORIA],investirrendavariávelconsolidadomai[[#This Row],[ATUAL]])</f>
        <v>0</v>
      </c>
      <c r="AA138" s="119" t="n">
        <f aca="false">SUMIFS(tabela_registros[VALOR],tabela_registros[MÊS],$AE$1,tabela_registros[DIA],investirrendavariávelconsolidadomai[[#Headers],[23]],tabela_registros[REGISTRO],DADOS!$N$5,tabela_registros[TIPO],DADOS!$AB$4,tabela_registros[CATEGORIA],investirrendavariávelconsolidadomai[[#This Row],[ATUAL]])</f>
        <v>0</v>
      </c>
      <c r="AB138" s="119" t="n">
        <f aca="false">SUMIFS(tabela_registros[VALOR],tabela_registros[MÊS],$AE$1,tabela_registros[DIA],investirrendavariávelconsolidadomai[[#Headers],[24]],tabela_registros[REGISTRO],DADOS!$N$5,tabela_registros[TIPO],DADOS!$AB$4,tabela_registros[CATEGORIA],investirrendavariávelconsolidadomai[[#This Row],[ATUAL]])</f>
        <v>0</v>
      </c>
      <c r="AC138" s="119" t="n">
        <f aca="false">SUMIFS(tabela_registros[VALOR],tabela_registros[MÊS],$AE$1,tabela_registros[DIA],investirrendavariávelconsolidadomai[[#Headers],[25]],tabela_registros[REGISTRO],DADOS!$N$5,tabela_registros[TIPO],DADOS!$AB$4,tabela_registros[CATEGORIA],investirrendavariávelconsolidadomai[[#This Row],[ATUAL]])</f>
        <v>0</v>
      </c>
      <c r="AD138" s="119" t="n">
        <f aca="false">SUMIFS(tabela_registros[VALOR],tabela_registros[MÊS],$AE$1,tabela_registros[DIA],investirrendavariávelconsolidadomai[[#Headers],[26]],tabela_registros[REGISTRO],DADOS!$N$5,tabela_registros[TIPO],DADOS!$AB$4,tabela_registros[CATEGORIA],investirrendavariávelconsolidadomai[[#This Row],[ATUAL]])</f>
        <v>0</v>
      </c>
      <c r="AE138" s="119" t="n">
        <f aca="false">SUMIFS(tabela_registros[VALOR],tabela_registros[MÊS],$AE$1,tabela_registros[DIA],investirrendavariávelconsolidadomai[[#Headers],[27]],tabela_registros[REGISTRO],DADOS!$N$5,tabela_registros[TIPO],DADOS!$AB$4,tabela_registros[CATEGORIA],investirrendavariávelconsolidadomai[[#This Row],[ATUAL]])</f>
        <v>0</v>
      </c>
      <c r="AF138" s="119" t="n">
        <f aca="false">SUMIFS(tabela_registros[VALOR],tabela_registros[MÊS],$AE$1,tabela_registros[DIA],investirrendavariávelconsolidadomai[[#Headers],[28]],tabela_registros[REGISTRO],DADOS!$N$5,tabela_registros[TIPO],DADOS!$AB$4,tabela_registros[CATEGORIA],investirrendavariávelconsolidadomai[[#This Row],[ATUAL]])</f>
        <v>0</v>
      </c>
      <c r="AG138" s="119" t="n">
        <f aca="false">SUMIFS(tabela_registros[VALOR],tabela_registros[MÊS],$AE$1,tabela_registros[DIA],investirrendavariávelconsolidadomai[[#Headers],[29]],tabela_registros[REGISTRO],DADOS!$N$5,tabela_registros[TIPO],DADOS!$AB$4,tabela_registros[CATEGORIA],investirrendavariávelconsolidadomai[[#This Row],[ATUAL]])</f>
        <v>0</v>
      </c>
      <c r="AH138" s="119" t="n">
        <f aca="false">SUMIFS(tabela_registros[VALOR],tabela_registros[MÊS],$AE$1,tabela_registros[DIA],investirrendavariávelconsolidadomai[[#Headers],[30]],tabela_registros[REGISTRO],DADOS!$N$5,tabela_registros[TIPO],DADOS!$AB$4,tabela_registros[CATEGORIA],investirrendavariávelconsolidadomai[[#This Row],[ATUAL]])</f>
        <v>0</v>
      </c>
      <c r="AI138" s="217" t="n">
        <f aca="false">SUMIFS(tabela_registros[VALOR],tabela_registros[MÊS],$AE$1,tabela_registros[DIA],investirrendavariávelconsolidadomai[[#Headers],[31]],tabela_registros[REGISTRO],DADOS!$N$5,tabela_registros[TIPO],DADOS!$AB$4,tabela_registros[CATEGORIA],investirrendavariávelconsolidadomai[[#This Row],[ATUAL]])</f>
        <v>0</v>
      </c>
      <c r="AJ138" s="237" t="n">
        <f aca="false">SUM(investirrendavariávelconsolidadomai[[#This Row],[1]:[31]])</f>
        <v>0</v>
      </c>
      <c r="AK138" s="165"/>
    </row>
    <row r="139" customFormat="false" ht="19.5" hidden="false" customHeight="true" outlineLevel="0" collapsed="false">
      <c r="B139" s="143"/>
      <c r="C139" s="144" t="str">
        <f aca="false">DADOS!$AF$10</f>
        <v>📝 FII</v>
      </c>
      <c r="D139" s="145" t="str">
        <f aca="false">IF(investirrendavariávelconsolidadomai[[#This Row],[TOTAL (R$)]]=0,"",IF(OR(investirrendavariávelconsolidadomai[[#This Row],[TOTAL (R$)]]=LARGE($AJ$132:$AJ$141,1),investirrendavariávelconsolidadomai[[#This Row],[TOTAL (R$)]]=LARGE($AJ$132:$AJ$141,2)),DADOS!$I$10,""))</f>
        <v/>
      </c>
      <c r="E139" s="148" t="n">
        <f aca="false">SUMIFS(tabela_registros[VALOR],tabela_registros[MÊS],$AE$1,tabela_registros[DIA],investirrendavariávelconsolidadomai[[#Headers],[1]],tabela_registros[REGISTRO],DADOS!$N$5,tabela_registros[TIPO],DADOS!$AB$4,tabela_registros[CATEGORIA],investirrendavariávelconsolidadomai[[#This Row],[ATUAL]])</f>
        <v>0</v>
      </c>
      <c r="F139" s="119" t="n">
        <f aca="false">SUMIFS(tabela_registros[VALOR],tabela_registros[MÊS],$AE$1,tabela_registros[DIA],investirrendavariávelconsolidadomai[[#Headers],[2]],tabela_registros[REGISTRO],DADOS!$N$5,tabela_registros[TIPO],DADOS!$AB$4,tabela_registros[CATEGORIA],investirrendavariávelconsolidadomai[[#This Row],[ATUAL]])</f>
        <v>0</v>
      </c>
      <c r="G139" s="119" t="n">
        <f aca="false">SUMIFS(tabela_registros[VALOR],tabela_registros[MÊS],$AE$1,tabela_registros[DIA],investirrendavariávelconsolidadomai[[#Headers],[3]],tabela_registros[REGISTRO],DADOS!$N$5,tabela_registros[TIPO],DADOS!$AB$4,tabela_registros[CATEGORIA],investirrendavariávelconsolidadomai[[#This Row],[ATUAL]])</f>
        <v>0</v>
      </c>
      <c r="H139" s="119" t="n">
        <f aca="false">SUMIFS(tabela_registros[VALOR],tabela_registros[MÊS],$AE$1,tabela_registros[DIA],investirrendavariávelconsolidadomai[[#Headers],[4]],tabela_registros[REGISTRO],DADOS!$N$5,tabela_registros[TIPO],DADOS!$AB$4,tabela_registros[CATEGORIA],investirrendavariávelconsolidadomai[[#This Row],[ATUAL]])</f>
        <v>0</v>
      </c>
      <c r="I139" s="119" t="n">
        <f aca="false">SUMIFS(tabela_registros[VALOR],tabela_registros[MÊS],$AE$1,tabela_registros[DIA],investirrendavariávelconsolidadomai[[#Headers],[5]],tabela_registros[REGISTRO],DADOS!$N$5,tabela_registros[TIPO],DADOS!$AB$4,tabela_registros[CATEGORIA],investirrendavariávelconsolidadomai[[#This Row],[ATUAL]])</f>
        <v>0</v>
      </c>
      <c r="J139" s="119" t="n">
        <f aca="false">SUMIFS(tabela_registros[VALOR],tabela_registros[MÊS],$AE$1,tabela_registros[DIA],investirrendavariávelconsolidadomai[[#Headers],[6]],tabela_registros[REGISTRO],DADOS!$N$5,tabela_registros[TIPO],DADOS!$AB$4,tabela_registros[CATEGORIA],investirrendavariávelconsolidadomai[[#This Row],[ATUAL]])</f>
        <v>0</v>
      </c>
      <c r="K139" s="119" t="n">
        <f aca="false">SUMIFS(tabela_registros[VALOR],tabela_registros[MÊS],$AE$1,tabela_registros[DIA],investirrendavariávelconsolidadomai[[#Headers],[7]],tabela_registros[REGISTRO],DADOS!$N$5,tabela_registros[TIPO],DADOS!$AB$4,tabela_registros[CATEGORIA],investirrendavariávelconsolidadomai[[#This Row],[ATUAL]])</f>
        <v>0</v>
      </c>
      <c r="L139" s="119" t="n">
        <f aca="false">SUMIFS(tabela_registros[VALOR],tabela_registros[MÊS],$AE$1,tabela_registros[DIA],investirrendavariávelconsolidadomai[[#Headers],[8]],tabela_registros[REGISTRO],DADOS!$N$5,tabela_registros[TIPO],DADOS!$AB$4,tabela_registros[CATEGORIA],investirrendavariávelconsolidadomai[[#This Row],[ATUAL]])</f>
        <v>0</v>
      </c>
      <c r="M139" s="119" t="n">
        <f aca="false">SUMIFS(tabela_registros[VALOR],tabela_registros[MÊS],$AE$1,tabela_registros[DIA],investirrendavariávelconsolidadomai[[#Headers],[9]],tabela_registros[REGISTRO],DADOS!$N$5,tabela_registros[TIPO],DADOS!$AB$4,tabela_registros[CATEGORIA],investirrendavariávelconsolidadomai[[#This Row],[ATUAL]])</f>
        <v>0</v>
      </c>
      <c r="N139" s="119" t="n">
        <f aca="false">SUMIFS(tabela_registros[VALOR],tabela_registros[MÊS],$AE$1,tabela_registros[DIA],investirrendavariávelconsolidadomai[[#Headers],[10]],tabela_registros[REGISTRO],DADOS!$N$5,tabela_registros[TIPO],DADOS!$AB$4,tabela_registros[CATEGORIA],investirrendavariávelconsolidadomai[[#This Row],[ATUAL]])</f>
        <v>0</v>
      </c>
      <c r="O139" s="119" t="n">
        <f aca="false">SUMIFS(tabela_registros[VALOR],tabela_registros[MÊS],$AE$1,tabela_registros[DIA],investirrendavariávelconsolidadomai[[#Headers],[11]],tabela_registros[REGISTRO],DADOS!$N$5,tabela_registros[TIPO],DADOS!$AB$4,tabela_registros[CATEGORIA],investirrendavariávelconsolidadomai[[#This Row],[ATUAL]])</f>
        <v>0</v>
      </c>
      <c r="P139" s="119" t="n">
        <f aca="false">SUMIFS(tabela_registros[VALOR],tabela_registros[MÊS],$AE$1,tabela_registros[DIA],investirrendavariávelconsolidadomai[[#Headers],[12]],tabela_registros[REGISTRO],DADOS!$N$5,tabela_registros[TIPO],DADOS!$AB$4,tabela_registros[CATEGORIA],investirrendavariávelconsolidadomai[[#This Row],[ATUAL]])</f>
        <v>0</v>
      </c>
      <c r="Q139" s="119" t="n">
        <f aca="false">SUMIFS(tabela_registros[VALOR],tabela_registros[MÊS],$AE$1,tabela_registros[DIA],investirrendavariávelconsolidadomai[[#Headers],[13]],tabela_registros[REGISTRO],DADOS!$N$5,tabela_registros[TIPO],DADOS!$AB$4,tabela_registros[CATEGORIA],investirrendavariávelconsolidadomai[[#This Row],[ATUAL]])</f>
        <v>0</v>
      </c>
      <c r="R139" s="119" t="n">
        <f aca="false">SUMIFS(tabela_registros[VALOR],tabela_registros[MÊS],$AE$1,tabela_registros[DIA],investirrendavariávelconsolidadomai[[#Headers],[14]],tabela_registros[REGISTRO],DADOS!$N$5,tabela_registros[TIPO],DADOS!$AB$4,tabela_registros[CATEGORIA],investirrendavariávelconsolidadomai[[#This Row],[ATUAL]])</f>
        <v>0</v>
      </c>
      <c r="S139" s="119" t="n">
        <f aca="false">SUMIFS(tabela_registros[VALOR],tabela_registros[MÊS],$AE$1,tabela_registros[DIA],investirrendavariávelconsolidadomai[[#Headers],[15]],tabela_registros[REGISTRO],DADOS!$N$5,tabela_registros[TIPO],DADOS!$AB$4,tabela_registros[CATEGORIA],investirrendavariávelconsolidadomai[[#This Row],[ATUAL]])</f>
        <v>0</v>
      </c>
      <c r="T139" s="119" t="n">
        <f aca="false">SUMIFS(tabela_registros[VALOR],tabela_registros[MÊS],$AE$1,tabela_registros[DIA],investirrendavariávelconsolidadomai[[#Headers],[16]],tabela_registros[REGISTRO],DADOS!$N$5,tabela_registros[TIPO],DADOS!$AB$4,tabela_registros[CATEGORIA],investirrendavariávelconsolidadomai[[#This Row],[ATUAL]])</f>
        <v>0</v>
      </c>
      <c r="U139" s="119" t="n">
        <f aca="false">SUMIFS(tabela_registros[VALOR],tabela_registros[MÊS],$AE$1,tabela_registros[DIA],investirrendavariávelconsolidadomai[[#Headers],[17]],tabela_registros[REGISTRO],DADOS!$N$5,tabela_registros[TIPO],DADOS!$AB$4,tabela_registros[CATEGORIA],investirrendavariávelconsolidadomai[[#This Row],[ATUAL]])</f>
        <v>0</v>
      </c>
      <c r="V139" s="119" t="n">
        <f aca="false">SUMIFS(tabela_registros[VALOR],tabela_registros[MÊS],$AE$1,tabela_registros[DIA],investirrendavariávelconsolidadomai[[#Headers],[18]],tabela_registros[REGISTRO],DADOS!$N$5,tabela_registros[TIPO],DADOS!$AB$4,tabela_registros[CATEGORIA],investirrendavariávelconsolidadomai[[#This Row],[ATUAL]])</f>
        <v>0</v>
      </c>
      <c r="W139" s="119" t="n">
        <f aca="false">SUMIFS(tabela_registros[VALOR],tabela_registros[MÊS],$AE$1,tabela_registros[DIA],investirrendavariávelconsolidadomai[[#Headers],[19]],tabela_registros[REGISTRO],DADOS!$N$5,tabela_registros[TIPO],DADOS!$AB$4,tabela_registros[CATEGORIA],investirrendavariávelconsolidadomai[[#This Row],[ATUAL]])</f>
        <v>0</v>
      </c>
      <c r="X139" s="119" t="n">
        <f aca="false">SUMIFS(tabela_registros[VALOR],tabela_registros[MÊS],$AE$1,tabela_registros[DIA],investirrendavariávelconsolidadomai[[#Headers],[20]],tabela_registros[REGISTRO],DADOS!$N$5,tabela_registros[TIPO],DADOS!$AB$4,tabela_registros[CATEGORIA],investirrendavariávelconsolidadomai[[#This Row],[ATUAL]])</f>
        <v>0</v>
      </c>
      <c r="Y139" s="119" t="n">
        <f aca="false">SUMIFS(tabela_registros[VALOR],tabela_registros[MÊS],$AE$1,tabela_registros[DIA],investirrendavariávelconsolidadomai[[#Headers],[21]],tabela_registros[REGISTRO],DADOS!$N$5,tabela_registros[TIPO],DADOS!$AB$4,tabela_registros[CATEGORIA],investirrendavariávelconsolidadomai[[#This Row],[ATUAL]])</f>
        <v>0</v>
      </c>
      <c r="Z139" s="119" t="n">
        <f aca="false">SUMIFS(tabela_registros[VALOR],tabela_registros[MÊS],$AE$1,tabela_registros[DIA],investirrendavariávelconsolidadomai[[#Headers],[22]],tabela_registros[REGISTRO],DADOS!$N$5,tabela_registros[TIPO],DADOS!$AB$4,tabela_registros[CATEGORIA],investirrendavariávelconsolidadomai[[#This Row],[ATUAL]])</f>
        <v>0</v>
      </c>
      <c r="AA139" s="119" t="n">
        <f aca="false">SUMIFS(tabela_registros[VALOR],tabela_registros[MÊS],$AE$1,tabela_registros[DIA],investirrendavariávelconsolidadomai[[#Headers],[23]],tabela_registros[REGISTRO],DADOS!$N$5,tabela_registros[TIPO],DADOS!$AB$4,tabela_registros[CATEGORIA],investirrendavariávelconsolidadomai[[#This Row],[ATUAL]])</f>
        <v>0</v>
      </c>
      <c r="AB139" s="119" t="n">
        <f aca="false">SUMIFS(tabela_registros[VALOR],tabela_registros[MÊS],$AE$1,tabela_registros[DIA],investirrendavariávelconsolidadomai[[#Headers],[24]],tabela_registros[REGISTRO],DADOS!$N$5,tabela_registros[TIPO],DADOS!$AB$4,tabela_registros[CATEGORIA],investirrendavariávelconsolidadomai[[#This Row],[ATUAL]])</f>
        <v>0</v>
      </c>
      <c r="AC139" s="119" t="n">
        <f aca="false">SUMIFS(tabela_registros[VALOR],tabela_registros[MÊS],$AE$1,tabela_registros[DIA],investirrendavariávelconsolidadomai[[#Headers],[25]],tabela_registros[REGISTRO],DADOS!$N$5,tabela_registros[TIPO],DADOS!$AB$4,tabela_registros[CATEGORIA],investirrendavariávelconsolidadomai[[#This Row],[ATUAL]])</f>
        <v>0</v>
      </c>
      <c r="AD139" s="119" t="n">
        <f aca="false">SUMIFS(tabela_registros[VALOR],tabela_registros[MÊS],$AE$1,tabela_registros[DIA],investirrendavariávelconsolidadomai[[#Headers],[26]],tabela_registros[REGISTRO],DADOS!$N$5,tabela_registros[TIPO],DADOS!$AB$4,tabela_registros[CATEGORIA],investirrendavariávelconsolidadomai[[#This Row],[ATUAL]])</f>
        <v>0</v>
      </c>
      <c r="AE139" s="119" t="n">
        <f aca="false">SUMIFS(tabela_registros[VALOR],tabela_registros[MÊS],$AE$1,tabela_registros[DIA],investirrendavariávelconsolidadomai[[#Headers],[27]],tabela_registros[REGISTRO],DADOS!$N$5,tabela_registros[TIPO],DADOS!$AB$4,tabela_registros[CATEGORIA],investirrendavariávelconsolidadomai[[#This Row],[ATUAL]])</f>
        <v>0</v>
      </c>
      <c r="AF139" s="119" t="n">
        <f aca="false">SUMIFS(tabela_registros[VALOR],tabela_registros[MÊS],$AE$1,tabela_registros[DIA],investirrendavariávelconsolidadomai[[#Headers],[28]],tabela_registros[REGISTRO],DADOS!$N$5,tabela_registros[TIPO],DADOS!$AB$4,tabela_registros[CATEGORIA],investirrendavariávelconsolidadomai[[#This Row],[ATUAL]])</f>
        <v>0</v>
      </c>
      <c r="AG139" s="119" t="n">
        <f aca="false">SUMIFS(tabela_registros[VALOR],tabela_registros[MÊS],$AE$1,tabela_registros[DIA],investirrendavariávelconsolidadomai[[#Headers],[29]],tabela_registros[REGISTRO],DADOS!$N$5,tabela_registros[TIPO],DADOS!$AB$4,tabela_registros[CATEGORIA],investirrendavariávelconsolidadomai[[#This Row],[ATUAL]])</f>
        <v>0</v>
      </c>
      <c r="AH139" s="119" t="n">
        <f aca="false">SUMIFS(tabela_registros[VALOR],tabela_registros[MÊS],$AE$1,tabela_registros[DIA],investirrendavariávelconsolidadomai[[#Headers],[30]],tabela_registros[REGISTRO],DADOS!$N$5,tabela_registros[TIPO],DADOS!$AB$4,tabela_registros[CATEGORIA],investirrendavariávelconsolidadomai[[#This Row],[ATUAL]])</f>
        <v>0</v>
      </c>
      <c r="AI139" s="217" t="n">
        <f aca="false">SUMIFS(tabela_registros[VALOR],tabela_registros[MÊS],$AE$1,tabela_registros[DIA],investirrendavariávelconsolidadomai[[#Headers],[31]],tabela_registros[REGISTRO],DADOS!$N$5,tabela_registros[TIPO],DADOS!$AB$4,tabela_registros[CATEGORIA],investirrendavariávelconsolidadomai[[#This Row],[ATUAL]])</f>
        <v>0</v>
      </c>
      <c r="AJ139" s="237" t="n">
        <f aca="false">SUM(investirrendavariávelconsolidadomai[[#This Row],[1]:[31]])</f>
        <v>0</v>
      </c>
      <c r="AK139" s="165"/>
    </row>
    <row r="140" customFormat="false" ht="19.5" hidden="false" customHeight="true" outlineLevel="0" collapsed="false">
      <c r="B140" s="143"/>
      <c r="C140" s="144" t="str">
        <f aca="false">DADOS!$AF$11</f>
        <v>📝 MOEDA</v>
      </c>
      <c r="D140" s="145" t="str">
        <f aca="false">IF(investirrendavariávelconsolidadomai[[#This Row],[TOTAL (R$)]]=0,"",IF(OR(investirrendavariávelconsolidadomai[[#This Row],[TOTAL (R$)]]=LARGE($AJ$132:$AJ$141,1),investirrendavariávelconsolidadomai[[#This Row],[TOTAL (R$)]]=LARGE($AJ$132:$AJ$141,2)),DADOS!$I$10,""))</f>
        <v/>
      </c>
      <c r="E140" s="148" t="n">
        <f aca="false">SUMIFS(tabela_registros[VALOR],tabela_registros[MÊS],$AE$1,tabela_registros[DIA],investirrendavariávelconsolidadomai[[#Headers],[1]],tabela_registros[REGISTRO],DADOS!$N$5,tabela_registros[TIPO],DADOS!$AB$4,tabela_registros[CATEGORIA],investirrendavariávelconsolidadomai[[#This Row],[ATUAL]])</f>
        <v>0</v>
      </c>
      <c r="F140" s="119" t="n">
        <f aca="false">SUMIFS(tabela_registros[VALOR],tabela_registros[MÊS],$AE$1,tabela_registros[DIA],investirrendavariávelconsolidadomai[[#Headers],[2]],tabela_registros[REGISTRO],DADOS!$N$5,tabela_registros[TIPO],DADOS!$AB$4,tabela_registros[CATEGORIA],investirrendavariávelconsolidadomai[[#This Row],[ATUAL]])</f>
        <v>0</v>
      </c>
      <c r="G140" s="119" t="n">
        <f aca="false">SUMIFS(tabela_registros[VALOR],tabela_registros[MÊS],$AE$1,tabela_registros[DIA],investirrendavariávelconsolidadomai[[#Headers],[3]],tabela_registros[REGISTRO],DADOS!$N$5,tabela_registros[TIPO],DADOS!$AB$4,tabela_registros[CATEGORIA],investirrendavariávelconsolidadomai[[#This Row],[ATUAL]])</f>
        <v>0</v>
      </c>
      <c r="H140" s="119" t="n">
        <f aca="false">SUMIFS(tabela_registros[VALOR],tabela_registros[MÊS],$AE$1,tabela_registros[DIA],investirrendavariávelconsolidadomai[[#Headers],[4]],tabela_registros[REGISTRO],DADOS!$N$5,tabela_registros[TIPO],DADOS!$AB$4,tabela_registros[CATEGORIA],investirrendavariávelconsolidadomai[[#This Row],[ATUAL]])</f>
        <v>0</v>
      </c>
      <c r="I140" s="119" t="n">
        <f aca="false">SUMIFS(tabela_registros[VALOR],tabela_registros[MÊS],$AE$1,tabela_registros[DIA],investirrendavariávelconsolidadomai[[#Headers],[5]],tabela_registros[REGISTRO],DADOS!$N$5,tabela_registros[TIPO],DADOS!$AB$4,tabela_registros[CATEGORIA],investirrendavariávelconsolidadomai[[#This Row],[ATUAL]])</f>
        <v>0</v>
      </c>
      <c r="J140" s="119" t="n">
        <f aca="false">SUMIFS(tabela_registros[VALOR],tabela_registros[MÊS],$AE$1,tabela_registros[DIA],investirrendavariávelconsolidadomai[[#Headers],[6]],tabela_registros[REGISTRO],DADOS!$N$5,tabela_registros[TIPO],DADOS!$AB$4,tabela_registros[CATEGORIA],investirrendavariávelconsolidadomai[[#This Row],[ATUAL]])</f>
        <v>0</v>
      </c>
      <c r="K140" s="119" t="n">
        <f aca="false">SUMIFS(tabela_registros[VALOR],tabela_registros[MÊS],$AE$1,tabela_registros[DIA],investirrendavariávelconsolidadomai[[#Headers],[7]],tabela_registros[REGISTRO],DADOS!$N$5,tabela_registros[TIPO],DADOS!$AB$4,tabela_registros[CATEGORIA],investirrendavariávelconsolidadomai[[#This Row],[ATUAL]])</f>
        <v>0</v>
      </c>
      <c r="L140" s="119" t="n">
        <f aca="false">SUMIFS(tabela_registros[VALOR],tabela_registros[MÊS],$AE$1,tabela_registros[DIA],investirrendavariávelconsolidadomai[[#Headers],[8]],tabela_registros[REGISTRO],DADOS!$N$5,tabela_registros[TIPO],DADOS!$AB$4,tabela_registros[CATEGORIA],investirrendavariávelconsolidadomai[[#This Row],[ATUAL]])</f>
        <v>0</v>
      </c>
      <c r="M140" s="119" t="n">
        <f aca="false">SUMIFS(tabela_registros[VALOR],tabela_registros[MÊS],$AE$1,tabela_registros[DIA],investirrendavariávelconsolidadomai[[#Headers],[9]],tabela_registros[REGISTRO],DADOS!$N$5,tabela_registros[TIPO],DADOS!$AB$4,tabela_registros[CATEGORIA],investirrendavariávelconsolidadomai[[#This Row],[ATUAL]])</f>
        <v>0</v>
      </c>
      <c r="N140" s="119" t="n">
        <f aca="false">SUMIFS(tabela_registros[VALOR],tabela_registros[MÊS],$AE$1,tabela_registros[DIA],investirrendavariávelconsolidadomai[[#Headers],[10]],tabela_registros[REGISTRO],DADOS!$N$5,tabela_registros[TIPO],DADOS!$AB$4,tabela_registros[CATEGORIA],investirrendavariávelconsolidadomai[[#This Row],[ATUAL]])</f>
        <v>0</v>
      </c>
      <c r="O140" s="119" t="n">
        <f aca="false">SUMIFS(tabela_registros[VALOR],tabela_registros[MÊS],$AE$1,tabela_registros[DIA],investirrendavariávelconsolidadomai[[#Headers],[11]],tabela_registros[REGISTRO],DADOS!$N$5,tabela_registros[TIPO],DADOS!$AB$4,tabela_registros[CATEGORIA],investirrendavariávelconsolidadomai[[#This Row],[ATUAL]])</f>
        <v>0</v>
      </c>
      <c r="P140" s="119" t="n">
        <f aca="false">SUMIFS(tabela_registros[VALOR],tabela_registros[MÊS],$AE$1,tabela_registros[DIA],investirrendavariávelconsolidadomai[[#Headers],[12]],tabela_registros[REGISTRO],DADOS!$N$5,tabela_registros[TIPO],DADOS!$AB$4,tabela_registros[CATEGORIA],investirrendavariávelconsolidadomai[[#This Row],[ATUAL]])</f>
        <v>0</v>
      </c>
      <c r="Q140" s="119" t="n">
        <f aca="false">SUMIFS(tabela_registros[VALOR],tabela_registros[MÊS],$AE$1,tabela_registros[DIA],investirrendavariávelconsolidadomai[[#Headers],[13]],tabela_registros[REGISTRO],DADOS!$N$5,tabela_registros[TIPO],DADOS!$AB$4,tabela_registros[CATEGORIA],investirrendavariávelconsolidadomai[[#This Row],[ATUAL]])</f>
        <v>0</v>
      </c>
      <c r="R140" s="119" t="n">
        <f aca="false">SUMIFS(tabela_registros[VALOR],tabela_registros[MÊS],$AE$1,tabela_registros[DIA],investirrendavariávelconsolidadomai[[#Headers],[14]],tabela_registros[REGISTRO],DADOS!$N$5,tabela_registros[TIPO],DADOS!$AB$4,tabela_registros[CATEGORIA],investirrendavariávelconsolidadomai[[#This Row],[ATUAL]])</f>
        <v>0</v>
      </c>
      <c r="S140" s="119" t="n">
        <f aca="false">SUMIFS(tabela_registros[VALOR],tabela_registros[MÊS],$AE$1,tabela_registros[DIA],investirrendavariávelconsolidadomai[[#Headers],[15]],tabela_registros[REGISTRO],DADOS!$N$5,tabela_registros[TIPO],DADOS!$AB$4,tabela_registros[CATEGORIA],investirrendavariávelconsolidadomai[[#This Row],[ATUAL]])</f>
        <v>0</v>
      </c>
      <c r="T140" s="119" t="n">
        <f aca="false">SUMIFS(tabela_registros[VALOR],tabela_registros[MÊS],$AE$1,tabela_registros[DIA],investirrendavariávelconsolidadomai[[#Headers],[16]],tabela_registros[REGISTRO],DADOS!$N$5,tabela_registros[TIPO],DADOS!$AB$4,tabela_registros[CATEGORIA],investirrendavariávelconsolidadomai[[#This Row],[ATUAL]])</f>
        <v>0</v>
      </c>
      <c r="U140" s="119" t="n">
        <f aca="false">SUMIFS(tabela_registros[VALOR],tabela_registros[MÊS],$AE$1,tabela_registros[DIA],investirrendavariávelconsolidadomai[[#Headers],[17]],tabela_registros[REGISTRO],DADOS!$N$5,tabela_registros[TIPO],DADOS!$AB$4,tabela_registros[CATEGORIA],investirrendavariávelconsolidadomai[[#This Row],[ATUAL]])</f>
        <v>0</v>
      </c>
      <c r="V140" s="119" t="n">
        <f aca="false">SUMIFS(tabela_registros[VALOR],tabela_registros[MÊS],$AE$1,tabela_registros[DIA],investirrendavariávelconsolidadomai[[#Headers],[18]],tabela_registros[REGISTRO],DADOS!$N$5,tabela_registros[TIPO],DADOS!$AB$4,tabela_registros[CATEGORIA],investirrendavariávelconsolidadomai[[#This Row],[ATUAL]])</f>
        <v>0</v>
      </c>
      <c r="W140" s="119" t="n">
        <f aca="false">SUMIFS(tabela_registros[VALOR],tabela_registros[MÊS],$AE$1,tabela_registros[DIA],investirrendavariávelconsolidadomai[[#Headers],[19]],tabela_registros[REGISTRO],DADOS!$N$5,tabela_registros[TIPO],DADOS!$AB$4,tabela_registros[CATEGORIA],investirrendavariávelconsolidadomai[[#This Row],[ATUAL]])</f>
        <v>0</v>
      </c>
      <c r="X140" s="119" t="n">
        <f aca="false">SUMIFS(tabela_registros[VALOR],tabela_registros[MÊS],$AE$1,tabela_registros[DIA],investirrendavariávelconsolidadomai[[#Headers],[20]],tabela_registros[REGISTRO],DADOS!$N$5,tabela_registros[TIPO],DADOS!$AB$4,tabela_registros[CATEGORIA],investirrendavariávelconsolidadomai[[#This Row],[ATUAL]])</f>
        <v>0</v>
      </c>
      <c r="Y140" s="119" t="n">
        <f aca="false">SUMIFS(tabela_registros[VALOR],tabela_registros[MÊS],$AE$1,tabela_registros[DIA],investirrendavariávelconsolidadomai[[#Headers],[21]],tabela_registros[REGISTRO],DADOS!$N$5,tabela_registros[TIPO],DADOS!$AB$4,tabela_registros[CATEGORIA],investirrendavariávelconsolidadomai[[#This Row],[ATUAL]])</f>
        <v>0</v>
      </c>
      <c r="Z140" s="119" t="n">
        <f aca="false">SUMIFS(tabela_registros[VALOR],tabela_registros[MÊS],$AE$1,tabela_registros[DIA],investirrendavariávelconsolidadomai[[#Headers],[22]],tabela_registros[REGISTRO],DADOS!$N$5,tabela_registros[TIPO],DADOS!$AB$4,tabela_registros[CATEGORIA],investirrendavariávelconsolidadomai[[#This Row],[ATUAL]])</f>
        <v>0</v>
      </c>
      <c r="AA140" s="119" t="n">
        <f aca="false">SUMIFS(tabela_registros[VALOR],tabela_registros[MÊS],$AE$1,tabela_registros[DIA],investirrendavariávelconsolidadomai[[#Headers],[23]],tabela_registros[REGISTRO],DADOS!$N$5,tabela_registros[TIPO],DADOS!$AB$4,tabela_registros[CATEGORIA],investirrendavariávelconsolidadomai[[#This Row],[ATUAL]])</f>
        <v>0</v>
      </c>
      <c r="AB140" s="119" t="n">
        <f aca="false">SUMIFS(tabela_registros[VALOR],tabela_registros[MÊS],$AE$1,tabela_registros[DIA],investirrendavariávelconsolidadomai[[#Headers],[24]],tabela_registros[REGISTRO],DADOS!$N$5,tabela_registros[TIPO],DADOS!$AB$4,tabela_registros[CATEGORIA],investirrendavariávelconsolidadomai[[#This Row],[ATUAL]])</f>
        <v>0</v>
      </c>
      <c r="AC140" s="119" t="n">
        <f aca="false">SUMIFS(tabela_registros[VALOR],tabela_registros[MÊS],$AE$1,tabela_registros[DIA],investirrendavariávelconsolidadomai[[#Headers],[25]],tabela_registros[REGISTRO],DADOS!$N$5,tabela_registros[TIPO],DADOS!$AB$4,tabela_registros[CATEGORIA],investirrendavariávelconsolidadomai[[#This Row],[ATUAL]])</f>
        <v>0</v>
      </c>
      <c r="AD140" s="119" t="n">
        <f aca="false">SUMIFS(tabela_registros[VALOR],tabela_registros[MÊS],$AE$1,tabela_registros[DIA],investirrendavariávelconsolidadomai[[#Headers],[26]],tabela_registros[REGISTRO],DADOS!$N$5,tabela_registros[TIPO],DADOS!$AB$4,tabela_registros[CATEGORIA],investirrendavariávelconsolidadomai[[#This Row],[ATUAL]])</f>
        <v>0</v>
      </c>
      <c r="AE140" s="119" t="n">
        <f aca="false">SUMIFS(tabela_registros[VALOR],tabela_registros[MÊS],$AE$1,tabela_registros[DIA],investirrendavariávelconsolidadomai[[#Headers],[27]],tabela_registros[REGISTRO],DADOS!$N$5,tabela_registros[TIPO],DADOS!$AB$4,tabela_registros[CATEGORIA],investirrendavariávelconsolidadomai[[#This Row],[ATUAL]])</f>
        <v>0</v>
      </c>
      <c r="AF140" s="119" t="n">
        <f aca="false">SUMIFS(tabela_registros[VALOR],tabela_registros[MÊS],$AE$1,tabela_registros[DIA],investirrendavariávelconsolidadomai[[#Headers],[28]],tabela_registros[REGISTRO],DADOS!$N$5,tabela_registros[TIPO],DADOS!$AB$4,tabela_registros[CATEGORIA],investirrendavariávelconsolidadomai[[#This Row],[ATUAL]])</f>
        <v>0</v>
      </c>
      <c r="AG140" s="119" t="n">
        <f aca="false">SUMIFS(tabela_registros[VALOR],tabela_registros[MÊS],$AE$1,tabela_registros[DIA],investirrendavariávelconsolidadomai[[#Headers],[29]],tabela_registros[REGISTRO],DADOS!$N$5,tabela_registros[TIPO],DADOS!$AB$4,tabela_registros[CATEGORIA],investirrendavariávelconsolidadomai[[#This Row],[ATUAL]])</f>
        <v>0</v>
      </c>
      <c r="AH140" s="119" t="n">
        <f aca="false">SUMIFS(tabela_registros[VALOR],tabela_registros[MÊS],$AE$1,tabela_registros[DIA],investirrendavariávelconsolidadomai[[#Headers],[30]],tabela_registros[REGISTRO],DADOS!$N$5,tabela_registros[TIPO],DADOS!$AB$4,tabela_registros[CATEGORIA],investirrendavariávelconsolidadomai[[#This Row],[ATUAL]])</f>
        <v>0</v>
      </c>
      <c r="AI140" s="217" t="n">
        <f aca="false">SUMIFS(tabela_registros[VALOR],tabela_registros[MÊS],$AE$1,tabela_registros[DIA],investirrendavariávelconsolidadomai[[#Headers],[31]],tabela_registros[REGISTRO],DADOS!$N$5,tabela_registros[TIPO],DADOS!$AB$4,tabela_registros[CATEGORIA],investirrendavariávelconsolidadomai[[#This Row],[ATUAL]])</f>
        <v>0</v>
      </c>
      <c r="AJ140" s="237" t="n">
        <f aca="false">SUM(investirrendavariávelconsolidadomai[[#This Row],[1]:[31]])</f>
        <v>0</v>
      </c>
      <c r="AK140" s="165"/>
    </row>
    <row r="141" customFormat="false" ht="19.5" hidden="false" customHeight="true" outlineLevel="0" collapsed="false">
      <c r="B141" s="143"/>
      <c r="C141" s="144" t="str">
        <f aca="false">DADOS!$AF$12</f>
        <v>📎 OUTROS</v>
      </c>
      <c r="D141" s="145" t="str">
        <f aca="false">IF(investirrendavariávelconsolidadomai[[#This Row],[TOTAL (R$)]]=0,"",IF(OR(investirrendavariávelconsolidadomai[[#This Row],[TOTAL (R$)]]=LARGE($AJ$132:$AJ$141,1),investirrendavariávelconsolidadomai[[#This Row],[TOTAL (R$)]]=LARGE($AJ$132:$AJ$141,2)),DADOS!$I$10,""))</f>
        <v/>
      </c>
      <c r="E141" s="148" t="n">
        <f aca="false">SUMIFS(tabela_registros[VALOR],tabela_registros[MÊS],$AE$1,tabela_registros[DIA],investirrendavariávelconsolidadomai[[#Headers],[1]],tabela_registros[REGISTRO],DADOS!$N$5,tabela_registros[TIPO],DADOS!$AB$4,tabela_registros[CATEGORIA],investirrendavariávelconsolidadomai[[#This Row],[ATUAL]])</f>
        <v>0</v>
      </c>
      <c r="F141" s="119" t="n">
        <f aca="false">SUMIFS(tabela_registros[VALOR],tabela_registros[MÊS],$AE$1,tabela_registros[DIA],investirrendavariávelconsolidadomai[[#Headers],[2]],tabela_registros[REGISTRO],DADOS!$N$5,tabela_registros[TIPO],DADOS!$AB$4,tabela_registros[CATEGORIA],investirrendavariávelconsolidadomai[[#This Row],[ATUAL]])</f>
        <v>0</v>
      </c>
      <c r="G141" s="119" t="n">
        <f aca="false">SUMIFS(tabela_registros[VALOR],tabela_registros[MÊS],$AE$1,tabela_registros[DIA],investirrendavariávelconsolidadomai[[#Headers],[3]],tabela_registros[REGISTRO],DADOS!$N$5,tabela_registros[TIPO],DADOS!$AB$4,tabela_registros[CATEGORIA],investirrendavariávelconsolidadomai[[#This Row],[ATUAL]])</f>
        <v>0</v>
      </c>
      <c r="H141" s="119" t="n">
        <f aca="false">SUMIFS(tabela_registros[VALOR],tabela_registros[MÊS],$AE$1,tabela_registros[DIA],investirrendavariávelconsolidadomai[[#Headers],[4]],tabela_registros[REGISTRO],DADOS!$N$5,tabela_registros[TIPO],DADOS!$AB$4,tabela_registros[CATEGORIA],investirrendavariávelconsolidadomai[[#This Row],[ATUAL]])</f>
        <v>0</v>
      </c>
      <c r="I141" s="119" t="n">
        <f aca="false">SUMIFS(tabela_registros[VALOR],tabela_registros[MÊS],$AE$1,tabela_registros[DIA],investirrendavariávelconsolidadomai[[#Headers],[5]],tabela_registros[REGISTRO],DADOS!$N$5,tabela_registros[TIPO],DADOS!$AB$4,tabela_registros[CATEGORIA],investirrendavariávelconsolidadomai[[#This Row],[ATUAL]])</f>
        <v>0</v>
      </c>
      <c r="J141" s="119" t="n">
        <f aca="false">SUMIFS(tabela_registros[VALOR],tabela_registros[MÊS],$AE$1,tabela_registros[DIA],investirrendavariávelconsolidadomai[[#Headers],[6]],tabela_registros[REGISTRO],DADOS!$N$5,tabela_registros[TIPO],DADOS!$AB$4,tabela_registros[CATEGORIA],investirrendavariávelconsolidadomai[[#This Row],[ATUAL]])</f>
        <v>0</v>
      </c>
      <c r="K141" s="119" t="n">
        <f aca="false">SUMIFS(tabela_registros[VALOR],tabela_registros[MÊS],$AE$1,tabela_registros[DIA],investirrendavariávelconsolidadomai[[#Headers],[7]],tabela_registros[REGISTRO],DADOS!$N$5,tabela_registros[TIPO],DADOS!$AB$4,tabela_registros[CATEGORIA],investirrendavariávelconsolidadomai[[#This Row],[ATUAL]])</f>
        <v>0</v>
      </c>
      <c r="L141" s="119" t="n">
        <f aca="false">SUMIFS(tabela_registros[VALOR],tabela_registros[MÊS],$AE$1,tabela_registros[DIA],investirrendavariávelconsolidadomai[[#Headers],[8]],tabela_registros[REGISTRO],DADOS!$N$5,tabela_registros[TIPO],DADOS!$AB$4,tabela_registros[CATEGORIA],investirrendavariávelconsolidadomai[[#This Row],[ATUAL]])</f>
        <v>0</v>
      </c>
      <c r="M141" s="119" t="n">
        <f aca="false">SUMIFS(tabela_registros[VALOR],tabela_registros[MÊS],$AE$1,tabela_registros[DIA],investirrendavariávelconsolidadomai[[#Headers],[9]],tabela_registros[REGISTRO],DADOS!$N$5,tabela_registros[TIPO],DADOS!$AB$4,tabela_registros[CATEGORIA],investirrendavariávelconsolidadomai[[#This Row],[ATUAL]])</f>
        <v>0</v>
      </c>
      <c r="N141" s="119" t="n">
        <f aca="false">SUMIFS(tabela_registros[VALOR],tabela_registros[MÊS],$AE$1,tabela_registros[DIA],investirrendavariávelconsolidadomai[[#Headers],[10]],tabela_registros[REGISTRO],DADOS!$N$5,tabela_registros[TIPO],DADOS!$AB$4,tabela_registros[CATEGORIA],investirrendavariávelconsolidadomai[[#This Row],[ATUAL]])</f>
        <v>0</v>
      </c>
      <c r="O141" s="119" t="n">
        <f aca="false">SUMIFS(tabela_registros[VALOR],tabela_registros[MÊS],$AE$1,tabela_registros[DIA],investirrendavariávelconsolidadomai[[#Headers],[11]],tabela_registros[REGISTRO],DADOS!$N$5,tabela_registros[TIPO],DADOS!$AB$4,tabela_registros[CATEGORIA],investirrendavariávelconsolidadomai[[#This Row],[ATUAL]])</f>
        <v>0</v>
      </c>
      <c r="P141" s="119" t="n">
        <f aca="false">SUMIFS(tabela_registros[VALOR],tabela_registros[MÊS],$AE$1,tabela_registros[DIA],investirrendavariávelconsolidadomai[[#Headers],[12]],tabela_registros[REGISTRO],DADOS!$N$5,tabela_registros[TIPO],DADOS!$AB$4,tabela_registros[CATEGORIA],investirrendavariávelconsolidadomai[[#This Row],[ATUAL]])</f>
        <v>0</v>
      </c>
      <c r="Q141" s="119" t="n">
        <f aca="false">SUMIFS(tabela_registros[VALOR],tabela_registros[MÊS],$AE$1,tabela_registros[DIA],investirrendavariávelconsolidadomai[[#Headers],[13]],tabela_registros[REGISTRO],DADOS!$N$5,tabela_registros[TIPO],DADOS!$AB$4,tabela_registros[CATEGORIA],investirrendavariávelconsolidadomai[[#This Row],[ATUAL]])</f>
        <v>0</v>
      </c>
      <c r="R141" s="119" t="n">
        <f aca="false">SUMIFS(tabela_registros[VALOR],tabela_registros[MÊS],$AE$1,tabela_registros[DIA],investirrendavariávelconsolidadomai[[#Headers],[14]],tabela_registros[REGISTRO],DADOS!$N$5,tabela_registros[TIPO],DADOS!$AB$4,tabela_registros[CATEGORIA],investirrendavariávelconsolidadomai[[#This Row],[ATUAL]])</f>
        <v>0</v>
      </c>
      <c r="S141" s="119" t="n">
        <f aca="false">SUMIFS(tabela_registros[VALOR],tabela_registros[MÊS],$AE$1,tabela_registros[DIA],investirrendavariávelconsolidadomai[[#Headers],[15]],tabela_registros[REGISTRO],DADOS!$N$5,tabela_registros[TIPO],DADOS!$AB$4,tabela_registros[CATEGORIA],investirrendavariávelconsolidadomai[[#This Row],[ATUAL]])</f>
        <v>0</v>
      </c>
      <c r="T141" s="119" t="n">
        <f aca="false">SUMIFS(tabela_registros[VALOR],tabela_registros[MÊS],$AE$1,tabela_registros[DIA],investirrendavariávelconsolidadomai[[#Headers],[16]],tabela_registros[REGISTRO],DADOS!$N$5,tabela_registros[TIPO],DADOS!$AB$4,tabela_registros[CATEGORIA],investirrendavariávelconsolidadomai[[#This Row],[ATUAL]])</f>
        <v>0</v>
      </c>
      <c r="U141" s="119" t="n">
        <f aca="false">SUMIFS(tabela_registros[VALOR],tabela_registros[MÊS],$AE$1,tabela_registros[DIA],investirrendavariávelconsolidadomai[[#Headers],[17]],tabela_registros[REGISTRO],DADOS!$N$5,tabela_registros[TIPO],DADOS!$AB$4,tabela_registros[CATEGORIA],investirrendavariávelconsolidadomai[[#This Row],[ATUAL]])</f>
        <v>0</v>
      </c>
      <c r="V141" s="119" t="n">
        <f aca="false">SUMIFS(tabela_registros[VALOR],tabela_registros[MÊS],$AE$1,tabela_registros[DIA],investirrendavariávelconsolidadomai[[#Headers],[18]],tabela_registros[REGISTRO],DADOS!$N$5,tabela_registros[TIPO],DADOS!$AB$4,tabela_registros[CATEGORIA],investirrendavariávelconsolidadomai[[#This Row],[ATUAL]])</f>
        <v>0</v>
      </c>
      <c r="W141" s="119" t="n">
        <f aca="false">SUMIFS(tabela_registros[VALOR],tabela_registros[MÊS],$AE$1,tabela_registros[DIA],investirrendavariávelconsolidadomai[[#Headers],[19]],tabela_registros[REGISTRO],DADOS!$N$5,tabela_registros[TIPO],DADOS!$AB$4,tabela_registros[CATEGORIA],investirrendavariávelconsolidadomai[[#This Row],[ATUAL]])</f>
        <v>0</v>
      </c>
      <c r="X141" s="119" t="n">
        <f aca="false">SUMIFS(tabela_registros[VALOR],tabela_registros[MÊS],$AE$1,tabela_registros[DIA],investirrendavariávelconsolidadomai[[#Headers],[20]],tabela_registros[REGISTRO],DADOS!$N$5,tabela_registros[TIPO],DADOS!$AB$4,tabela_registros[CATEGORIA],investirrendavariávelconsolidadomai[[#This Row],[ATUAL]])</f>
        <v>0</v>
      </c>
      <c r="Y141" s="119" t="n">
        <f aca="false">SUMIFS(tabela_registros[VALOR],tabela_registros[MÊS],$AE$1,tabela_registros[DIA],investirrendavariávelconsolidadomai[[#Headers],[21]],tabela_registros[REGISTRO],DADOS!$N$5,tabela_registros[TIPO],DADOS!$AB$4,tabela_registros[CATEGORIA],investirrendavariávelconsolidadomai[[#This Row],[ATUAL]])</f>
        <v>0</v>
      </c>
      <c r="Z141" s="119" t="n">
        <f aca="false">SUMIFS(tabela_registros[VALOR],tabela_registros[MÊS],$AE$1,tabela_registros[DIA],investirrendavariávelconsolidadomai[[#Headers],[22]],tabela_registros[REGISTRO],DADOS!$N$5,tabela_registros[TIPO],DADOS!$AB$4,tabela_registros[CATEGORIA],investirrendavariávelconsolidadomai[[#This Row],[ATUAL]])</f>
        <v>0</v>
      </c>
      <c r="AA141" s="119" t="n">
        <f aca="false">SUMIFS(tabela_registros[VALOR],tabela_registros[MÊS],$AE$1,tabela_registros[DIA],investirrendavariávelconsolidadomai[[#Headers],[23]],tabela_registros[REGISTRO],DADOS!$N$5,tabela_registros[TIPO],DADOS!$AB$4,tabela_registros[CATEGORIA],investirrendavariávelconsolidadomai[[#This Row],[ATUAL]])</f>
        <v>0</v>
      </c>
      <c r="AB141" s="119" t="n">
        <f aca="false">SUMIFS(tabela_registros[VALOR],tabela_registros[MÊS],$AE$1,tabela_registros[DIA],investirrendavariávelconsolidadomai[[#Headers],[24]],tabela_registros[REGISTRO],DADOS!$N$5,tabela_registros[TIPO],DADOS!$AB$4,tabela_registros[CATEGORIA],investirrendavariávelconsolidadomai[[#This Row],[ATUAL]])</f>
        <v>0</v>
      </c>
      <c r="AC141" s="119" t="n">
        <f aca="false">SUMIFS(tabela_registros[VALOR],tabela_registros[MÊS],$AE$1,tabela_registros[DIA],investirrendavariávelconsolidadomai[[#Headers],[25]],tabela_registros[REGISTRO],DADOS!$N$5,tabela_registros[TIPO],DADOS!$AB$4,tabela_registros[CATEGORIA],investirrendavariávelconsolidadomai[[#This Row],[ATUAL]])</f>
        <v>0</v>
      </c>
      <c r="AD141" s="119" t="n">
        <f aca="false">SUMIFS(tabela_registros[VALOR],tabela_registros[MÊS],$AE$1,tabela_registros[DIA],investirrendavariávelconsolidadomai[[#Headers],[26]],tabela_registros[REGISTRO],DADOS!$N$5,tabela_registros[TIPO],DADOS!$AB$4,tabela_registros[CATEGORIA],investirrendavariávelconsolidadomai[[#This Row],[ATUAL]])</f>
        <v>0</v>
      </c>
      <c r="AE141" s="119" t="n">
        <f aca="false">SUMIFS(tabela_registros[VALOR],tabela_registros[MÊS],$AE$1,tabela_registros[DIA],investirrendavariávelconsolidadomai[[#Headers],[27]],tabela_registros[REGISTRO],DADOS!$N$5,tabela_registros[TIPO],DADOS!$AB$4,tabela_registros[CATEGORIA],investirrendavariávelconsolidadomai[[#This Row],[ATUAL]])</f>
        <v>0</v>
      </c>
      <c r="AF141" s="119" t="n">
        <f aca="false">SUMIFS(tabela_registros[VALOR],tabela_registros[MÊS],$AE$1,tabela_registros[DIA],investirrendavariávelconsolidadomai[[#Headers],[28]],tabela_registros[REGISTRO],DADOS!$N$5,tabela_registros[TIPO],DADOS!$AB$4,tabela_registros[CATEGORIA],investirrendavariávelconsolidadomai[[#This Row],[ATUAL]])</f>
        <v>0</v>
      </c>
      <c r="AG141" s="119" t="n">
        <f aca="false">SUMIFS(tabela_registros[VALOR],tabela_registros[MÊS],$AE$1,tabela_registros[DIA],investirrendavariávelconsolidadomai[[#Headers],[29]],tabela_registros[REGISTRO],DADOS!$N$5,tabela_registros[TIPO],DADOS!$AB$4,tabela_registros[CATEGORIA],investirrendavariávelconsolidadomai[[#This Row],[ATUAL]])</f>
        <v>0</v>
      </c>
      <c r="AH141" s="119" t="n">
        <f aca="false">SUMIFS(tabela_registros[VALOR],tabela_registros[MÊS],$AE$1,tabela_registros[DIA],investirrendavariávelconsolidadomai[[#Headers],[30]],tabela_registros[REGISTRO],DADOS!$N$5,tabela_registros[TIPO],DADOS!$AB$4,tabela_registros[CATEGORIA],investirrendavariávelconsolidadomai[[#This Row],[ATUAL]])</f>
        <v>0</v>
      </c>
      <c r="AI141" s="218" t="n">
        <f aca="false">SUMIFS(tabela_registros[VALOR],tabela_registros[MÊS],$AE$1,tabela_registros[DIA],investirrendavariávelconsolidadomai[[#Headers],[31]],tabela_registros[REGISTRO],DADOS!$N$5,tabela_registros[TIPO],DADOS!$AB$4,tabela_registros[CATEGORIA],investirrendavariávelconsolidadomai[[#This Row],[ATUAL]])</f>
        <v>0</v>
      </c>
      <c r="AJ141" s="149" t="n">
        <f aca="false">SUM(investirrendavariávelconsolidadomai[[#This Row],[1]:[31]])</f>
        <v>0</v>
      </c>
      <c r="AK141" s="165"/>
    </row>
    <row r="142" s="122" customFormat="true" ht="21" hidden="false" customHeight="true" outlineLevel="0" collapsed="false">
      <c r="B142" s="152"/>
      <c r="C142" s="153" t="s">
        <v>2</v>
      </c>
      <c r="D142" s="166"/>
      <c r="E142" s="155" t="n">
        <f aca="false">SUM(E132:E141)</f>
        <v>0</v>
      </c>
      <c r="F142" s="156" t="n">
        <f aca="false">SUM(F132:F141)+investirrendavariávelconsolidadomai[[#This Row],[1]]</f>
        <v>0</v>
      </c>
      <c r="G142" s="156" t="n">
        <f aca="false">SUM(G132:G141)+investirrendavariávelconsolidadomai[[#This Row],[2]]</f>
        <v>0</v>
      </c>
      <c r="H142" s="156" t="n">
        <f aca="false">SUM(H132:H141)+investirrendavariávelconsolidadomai[[#This Row],[3]]</f>
        <v>0</v>
      </c>
      <c r="I142" s="156" t="n">
        <f aca="false">SUM(I132:I141)+investirrendavariávelconsolidadomai[[#This Row],[4]]</f>
        <v>0</v>
      </c>
      <c r="J142" s="156" t="n">
        <f aca="false">SUM(J132:J141)+investirrendavariávelconsolidadomai[[#This Row],[5]]</f>
        <v>0</v>
      </c>
      <c r="K142" s="156" t="n">
        <f aca="false">SUM(K132:K141)+investirrendavariávelconsolidadomai[[#This Row],[6]]</f>
        <v>0</v>
      </c>
      <c r="L142" s="156" t="n">
        <f aca="false">SUM(L132:L141)+investirrendavariávelconsolidadomai[[#This Row],[7]]</f>
        <v>0</v>
      </c>
      <c r="M142" s="156" t="n">
        <f aca="false">SUM(M132:M141)+investirrendavariávelconsolidadomai[[#This Row],[8]]</f>
        <v>0</v>
      </c>
      <c r="N142" s="156" t="n">
        <f aca="false">SUM(N132:N141)+investirrendavariávelconsolidadomai[[#This Row],[9]]</f>
        <v>0</v>
      </c>
      <c r="O142" s="156" t="n">
        <f aca="false">SUM(O132:O141)+investirrendavariávelconsolidadomai[[#This Row],[10]]</f>
        <v>0</v>
      </c>
      <c r="P142" s="156" t="n">
        <f aca="false">SUM(P132:P141)+investirrendavariávelconsolidadomai[[#This Row],[11]]</f>
        <v>0</v>
      </c>
      <c r="Q142" s="156" t="n">
        <f aca="false">SUM(Q132:Q141)+investirrendavariávelconsolidadomai[[#This Row],[12]]</f>
        <v>0</v>
      </c>
      <c r="R142" s="156" t="n">
        <f aca="false">SUM(R132:R141)+investirrendavariávelconsolidadomai[[#This Row],[13]]</f>
        <v>0</v>
      </c>
      <c r="S142" s="156" t="n">
        <f aca="false">SUM(S132:S141)+investirrendavariávelconsolidadomai[[#This Row],[14]]</f>
        <v>0</v>
      </c>
      <c r="T142" s="156" t="n">
        <f aca="false">SUM(T132:T141)+investirrendavariávelconsolidadomai[[#This Row],[15]]</f>
        <v>0</v>
      </c>
      <c r="U142" s="156" t="n">
        <f aca="false">SUM(U132:U141)+investirrendavariávelconsolidadomai[[#This Row],[16]]</f>
        <v>0</v>
      </c>
      <c r="V142" s="156" t="n">
        <f aca="false">SUM(V132:V141)+investirrendavariávelconsolidadomai[[#This Row],[17]]</f>
        <v>0</v>
      </c>
      <c r="W142" s="156" t="n">
        <f aca="false">SUM(W132:W141)+investirrendavariávelconsolidadomai[[#This Row],[18]]</f>
        <v>0</v>
      </c>
      <c r="X142" s="156" t="n">
        <f aca="false">SUM(X132:X141)+investirrendavariávelconsolidadomai[[#This Row],[19]]</f>
        <v>0</v>
      </c>
      <c r="Y142" s="156" t="n">
        <f aca="false">SUM(Y132:Y141)+investirrendavariávelconsolidadomai[[#This Row],[20]]</f>
        <v>0</v>
      </c>
      <c r="Z142" s="156" t="n">
        <f aca="false">SUM(Z132:Z141)+investirrendavariávelconsolidadomai[[#This Row],[21]]</f>
        <v>0</v>
      </c>
      <c r="AA142" s="156" t="n">
        <f aca="false">SUM(AA132:AA141)+investirrendavariávelconsolidadomai[[#This Row],[22]]</f>
        <v>0</v>
      </c>
      <c r="AB142" s="156" t="n">
        <f aca="false">SUM(AB132:AB141)+investirrendavariávelconsolidadomai[[#This Row],[23]]</f>
        <v>0</v>
      </c>
      <c r="AC142" s="156" t="n">
        <f aca="false">SUM(AC132:AC141)+investirrendavariávelconsolidadomai[[#This Row],[24]]</f>
        <v>0</v>
      </c>
      <c r="AD142" s="156" t="n">
        <f aca="false">SUM(AD132:AD141)+investirrendavariávelconsolidadomai[[#This Row],[25]]</f>
        <v>0</v>
      </c>
      <c r="AE142" s="156" t="n">
        <f aca="false">SUM(AE132:AE141)+investirrendavariávelconsolidadomai[[#This Row],[26]]</f>
        <v>0</v>
      </c>
      <c r="AF142" s="156" t="n">
        <f aca="false">SUM(AF132:AF141)+investirrendavariávelconsolidadomai[[#This Row],[27]]</f>
        <v>0</v>
      </c>
      <c r="AG142" s="156" t="n">
        <f aca="false">SUM(AG132:AG141)+investirrendavariávelconsolidadomai[[#This Row],[28]]</f>
        <v>0</v>
      </c>
      <c r="AH142" s="156" t="n">
        <f aca="false">SUM(AH132:AH141)+investirrendavariávelconsolidadomai[[#This Row],[29]]</f>
        <v>0</v>
      </c>
      <c r="AI142" s="223" t="n">
        <f aca="false">SUM(AI132:AI141)+investirrendavariávelconsolidadomai[[#This Row],[30]]</f>
        <v>0</v>
      </c>
      <c r="AJ142" s="157" t="n">
        <f aca="false">investirrendavariávelconsolidadomai[[#This Row],[31]]</f>
        <v>0</v>
      </c>
      <c r="AK142" s="158"/>
    </row>
    <row r="143" customFormat="false" ht="6.75" hidden="false" customHeight="true" outlineLevel="0" collapsed="false">
      <c r="B143" s="97"/>
      <c r="C143" s="162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233"/>
      <c r="AJ143" s="164"/>
      <c r="AK143" s="244"/>
    </row>
    <row r="144" s="78" customFormat="true" ht="12.75" hidden="false" customHeight="false" outlineLevel="0" collapsed="false">
      <c r="E144" s="100"/>
    </row>
    <row r="145" s="78" customFormat="true" ht="12" hidden="false" customHeight="false" outlineLevel="0" collapsed="false"/>
    <row r="146" s="78" customFormat="true" ht="12" hidden="false" customHeight="false" outlineLevel="0" collapsed="false"/>
    <row r="147" customFormat="false" ht="39.75" hidden="false" customHeight="true" outlineLevel="0" collapsed="false">
      <c r="C147" s="101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3" t="s">
        <v>2</v>
      </c>
    </row>
    <row r="148" s="78" customFormat="true" ht="12.75" hidden="false" customHeight="false" outlineLevel="0" collapsed="false">
      <c r="B148" s="161"/>
      <c r="AJ148" s="106" t="s">
        <v>64</v>
      </c>
    </row>
    <row r="149" customFormat="false" ht="6.75" hidden="false" customHeight="true" outlineLevel="0" collapsed="false">
      <c r="B149" s="86"/>
      <c r="C149" s="162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233"/>
      <c r="AK149" s="139"/>
    </row>
    <row r="150" customFormat="false" ht="13.5" hidden="true" customHeight="false" outlineLevel="0" collapsed="false">
      <c r="B150" s="86"/>
      <c r="C150" s="109" t="s">
        <v>68</v>
      </c>
      <c r="D150" s="110" t="s">
        <v>69</v>
      </c>
      <c r="E150" s="110" t="s">
        <v>30</v>
      </c>
      <c r="F150" s="110" t="s">
        <v>31</v>
      </c>
      <c r="G150" s="110" t="s">
        <v>32</v>
      </c>
      <c r="H150" s="110" t="s">
        <v>33</v>
      </c>
      <c r="I150" s="110" t="s">
        <v>34</v>
      </c>
      <c r="J150" s="110" t="s">
        <v>35</v>
      </c>
      <c r="K150" s="110" t="s">
        <v>36</v>
      </c>
      <c r="L150" s="110" t="s">
        <v>37</v>
      </c>
      <c r="M150" s="110" t="s">
        <v>38</v>
      </c>
      <c r="N150" s="110" t="s">
        <v>39</v>
      </c>
      <c r="O150" s="110" t="s">
        <v>40</v>
      </c>
      <c r="P150" s="110" t="s">
        <v>41</v>
      </c>
      <c r="Q150" s="110" t="s">
        <v>81</v>
      </c>
      <c r="R150" s="110" t="s">
        <v>82</v>
      </c>
      <c r="S150" s="110" t="s">
        <v>83</v>
      </c>
      <c r="T150" s="110" t="s">
        <v>84</v>
      </c>
      <c r="U150" s="110" t="s">
        <v>85</v>
      </c>
      <c r="V150" s="110" t="s">
        <v>86</v>
      </c>
      <c r="W150" s="110" t="s">
        <v>87</v>
      </c>
      <c r="X150" s="110" t="s">
        <v>88</v>
      </c>
      <c r="Y150" s="110" t="s">
        <v>89</v>
      </c>
      <c r="Z150" s="110" t="s">
        <v>90</v>
      </c>
      <c r="AA150" s="110" t="s">
        <v>91</v>
      </c>
      <c r="AB150" s="110" t="s">
        <v>92</v>
      </c>
      <c r="AC150" s="110" t="s">
        <v>93</v>
      </c>
      <c r="AD150" s="110" t="s">
        <v>94</v>
      </c>
      <c r="AE150" s="110" t="s">
        <v>95</v>
      </c>
      <c r="AF150" s="110" t="s">
        <v>96</v>
      </c>
      <c r="AG150" s="110" t="s">
        <v>97</v>
      </c>
      <c r="AH150" s="110" t="s">
        <v>98</v>
      </c>
      <c r="AI150" s="110" t="s">
        <v>99</v>
      </c>
      <c r="AJ150" s="111" t="s">
        <v>70</v>
      </c>
      <c r="AK150" s="86"/>
    </row>
    <row r="151" customFormat="false" ht="19.5" hidden="false" customHeight="true" outlineLevel="0" collapsed="false">
      <c r="B151" s="143"/>
      <c r="C151" s="144" t="str">
        <f aca="false">DADOS!$AH$3</f>
        <v>📝 COE</v>
      </c>
      <c r="D151" s="145" t="str">
        <f aca="false">IF(investiroutrosconsolidadomai[[#This Row],[TOTAL (R$)]]=0,"",IF(OR(investiroutrosconsolidadomai[[#This Row],[TOTAL (R$)]]=LARGE($AJ$151:$AJ$158,1),investiroutrosconsolidadomai[[#This Row],[TOTAL (R$)]]=LARGE($AJ$151:$AJ$158,2)),DADOS!$I$10,""))</f>
        <v/>
      </c>
      <c r="E151" s="148" t="n">
        <f aca="false">SUMIFS(tabela_registros[VALOR],tabela_registros[MÊS],$AE$1,tabela_registros[DIA],investiroutrosconsolidadomai[[#Headers],[1]],tabela_registros[REGISTRO],DADOS!$N$5,tabela_registros[TIPO],DADOS!$AB$5,tabela_registros[CATEGORIA],investiroutrosconsolidadomai[[#This Row],[ATUAL]])</f>
        <v>0</v>
      </c>
      <c r="F151" s="119" t="n">
        <f aca="false">SUMIFS(tabela_registros[VALOR],tabela_registros[MÊS],$AE$1,tabela_registros[DIA],investiroutrosconsolidadomai[[#Headers],[2]],tabela_registros[REGISTRO],DADOS!$N$5,tabela_registros[TIPO],DADOS!$AB$5,tabela_registros[CATEGORIA],investiroutrosconsolidadomai[[#This Row],[ATUAL]])</f>
        <v>0</v>
      </c>
      <c r="G151" s="119" t="n">
        <f aca="false">SUMIFS(tabela_registros[VALOR],tabela_registros[MÊS],$AE$1,tabela_registros[DIA],investiroutrosconsolidadomai[[#Headers],[3]],tabela_registros[REGISTRO],DADOS!$N$5,tabela_registros[TIPO],DADOS!$AB$5,tabela_registros[CATEGORIA],investiroutrosconsolidadomai[[#This Row],[ATUAL]])</f>
        <v>0</v>
      </c>
      <c r="H151" s="119" t="n">
        <f aca="false">SUMIFS(tabela_registros[VALOR],tabela_registros[MÊS],$AE$1,tabela_registros[DIA],investiroutrosconsolidadomai[[#Headers],[4]],tabela_registros[REGISTRO],DADOS!$N$5,tabela_registros[TIPO],DADOS!$AB$5,tabela_registros[CATEGORIA],investiroutrosconsolidadomai[[#This Row],[ATUAL]])</f>
        <v>0</v>
      </c>
      <c r="I151" s="119" t="n">
        <f aca="false">SUMIFS(tabela_registros[VALOR],tabela_registros[MÊS],$AE$1,tabela_registros[DIA],investiroutrosconsolidadomai[[#Headers],[5]],tabela_registros[REGISTRO],DADOS!$N$5,tabela_registros[TIPO],DADOS!$AB$5,tabela_registros[CATEGORIA],investiroutrosconsolidadomai[[#This Row],[ATUAL]])</f>
        <v>0</v>
      </c>
      <c r="J151" s="119" t="n">
        <f aca="false">SUMIFS(tabela_registros[VALOR],tabela_registros[MÊS],$AE$1,tabela_registros[DIA],investiroutrosconsolidadomai[[#Headers],[6]],tabela_registros[REGISTRO],DADOS!$N$5,tabela_registros[TIPO],DADOS!$AB$5,tabela_registros[CATEGORIA],investiroutrosconsolidadomai[[#This Row],[ATUAL]])</f>
        <v>0</v>
      </c>
      <c r="K151" s="119" t="n">
        <f aca="false">SUMIFS(tabela_registros[VALOR],tabela_registros[MÊS],$AE$1,tabela_registros[DIA],investiroutrosconsolidadomai[[#Headers],[7]],tabela_registros[REGISTRO],DADOS!$N$5,tabela_registros[TIPO],DADOS!$AB$5,tabela_registros[CATEGORIA],investiroutrosconsolidadomai[[#This Row],[ATUAL]])</f>
        <v>0</v>
      </c>
      <c r="L151" s="119" t="n">
        <f aca="false">SUMIFS(tabela_registros[VALOR],tabela_registros[MÊS],$AE$1,tabela_registros[DIA],investiroutrosconsolidadomai[[#Headers],[8]],tabela_registros[REGISTRO],DADOS!$N$5,tabela_registros[TIPO],DADOS!$AB$5,tabela_registros[CATEGORIA],investiroutrosconsolidadomai[[#This Row],[ATUAL]])</f>
        <v>0</v>
      </c>
      <c r="M151" s="119" t="n">
        <f aca="false">SUMIFS(tabela_registros[VALOR],tabela_registros[MÊS],$AE$1,tabela_registros[DIA],investiroutrosconsolidadomai[[#Headers],[9]],tabela_registros[REGISTRO],DADOS!$N$5,tabela_registros[TIPO],DADOS!$AB$5,tabela_registros[CATEGORIA],investiroutrosconsolidadomai[[#This Row],[ATUAL]])</f>
        <v>0</v>
      </c>
      <c r="N151" s="119" t="n">
        <f aca="false">SUMIFS(tabela_registros[VALOR],tabela_registros[MÊS],$AE$1,tabela_registros[DIA],investiroutrosconsolidadomai[[#Headers],[10]],tabela_registros[REGISTRO],DADOS!$N$5,tabela_registros[TIPO],DADOS!$AB$5,tabela_registros[CATEGORIA],investiroutrosconsolidadomai[[#This Row],[ATUAL]])</f>
        <v>0</v>
      </c>
      <c r="O151" s="119" t="n">
        <f aca="false">SUMIFS(tabela_registros[VALOR],tabela_registros[MÊS],$AE$1,tabela_registros[DIA],investiroutrosconsolidadomai[[#Headers],[11]],tabela_registros[REGISTRO],DADOS!$N$5,tabela_registros[TIPO],DADOS!$AB$5,tabela_registros[CATEGORIA],investiroutrosconsolidadomai[[#This Row],[ATUAL]])</f>
        <v>0</v>
      </c>
      <c r="P151" s="119" t="n">
        <f aca="false">SUMIFS(tabela_registros[VALOR],tabela_registros[MÊS],$AE$1,tabela_registros[DIA],investiroutrosconsolidadomai[[#Headers],[12]],tabela_registros[REGISTRO],DADOS!$N$5,tabela_registros[TIPO],DADOS!$AB$5,tabela_registros[CATEGORIA],investiroutrosconsolidadomai[[#This Row],[ATUAL]])</f>
        <v>0</v>
      </c>
      <c r="Q151" s="119" t="n">
        <f aca="false">SUMIFS(tabela_registros[VALOR],tabela_registros[MÊS],$AE$1,tabela_registros[DIA],investiroutrosconsolidadomai[[#Headers],[13]],tabela_registros[REGISTRO],DADOS!$N$5,tabela_registros[TIPO],DADOS!$AB$5,tabela_registros[CATEGORIA],investiroutrosconsolidadomai[[#This Row],[ATUAL]])</f>
        <v>0</v>
      </c>
      <c r="R151" s="119" t="n">
        <f aca="false">SUMIFS(tabela_registros[VALOR],tabela_registros[MÊS],$AE$1,tabela_registros[DIA],investiroutrosconsolidadomai[[#Headers],[14]],tabela_registros[REGISTRO],DADOS!$N$5,tabela_registros[TIPO],DADOS!$AB$5,tabela_registros[CATEGORIA],investiroutrosconsolidadomai[[#This Row],[ATUAL]])</f>
        <v>0</v>
      </c>
      <c r="S151" s="119" t="n">
        <f aca="false">SUMIFS(tabela_registros[VALOR],tabela_registros[MÊS],$AE$1,tabela_registros[DIA],investiroutrosconsolidadomai[[#Headers],[15]],tabela_registros[REGISTRO],DADOS!$N$5,tabela_registros[TIPO],DADOS!$AB$5,tabela_registros[CATEGORIA],investiroutrosconsolidadomai[[#This Row],[ATUAL]])</f>
        <v>0</v>
      </c>
      <c r="T151" s="119" t="n">
        <f aca="false">SUMIFS(tabela_registros[VALOR],tabela_registros[MÊS],$AE$1,tabela_registros[DIA],investiroutrosconsolidadomai[[#Headers],[16]],tabela_registros[REGISTRO],DADOS!$N$5,tabela_registros[TIPO],DADOS!$AB$5,tabela_registros[CATEGORIA],investiroutrosconsolidadomai[[#This Row],[ATUAL]])</f>
        <v>0</v>
      </c>
      <c r="U151" s="119" t="n">
        <f aca="false">SUMIFS(tabela_registros[VALOR],tabela_registros[MÊS],$AE$1,tabela_registros[DIA],investiroutrosconsolidadomai[[#Headers],[17]],tabela_registros[REGISTRO],DADOS!$N$5,tabela_registros[TIPO],DADOS!$AB$5,tabela_registros[CATEGORIA],investiroutrosconsolidadomai[[#This Row],[ATUAL]])</f>
        <v>0</v>
      </c>
      <c r="V151" s="119" t="n">
        <f aca="false">SUMIFS(tabela_registros[VALOR],tabela_registros[MÊS],$AE$1,tabela_registros[DIA],investiroutrosconsolidadomai[[#Headers],[18]],tabela_registros[REGISTRO],DADOS!$N$5,tabela_registros[TIPO],DADOS!$AB$5,tabela_registros[CATEGORIA],investiroutrosconsolidadomai[[#This Row],[ATUAL]])</f>
        <v>0</v>
      </c>
      <c r="W151" s="119" t="n">
        <f aca="false">SUMIFS(tabela_registros[VALOR],tabela_registros[MÊS],$AE$1,tabela_registros[DIA],investiroutrosconsolidadomai[[#Headers],[19]],tabela_registros[REGISTRO],DADOS!$N$5,tabela_registros[TIPO],DADOS!$AB$5,tabela_registros[CATEGORIA],investiroutrosconsolidadomai[[#This Row],[ATUAL]])</f>
        <v>0</v>
      </c>
      <c r="X151" s="119" t="n">
        <f aca="false">SUMIFS(tabela_registros[VALOR],tabela_registros[MÊS],$AE$1,tabela_registros[DIA],investiroutrosconsolidadomai[[#Headers],[20]],tabela_registros[REGISTRO],DADOS!$N$5,tabela_registros[TIPO],DADOS!$AB$5,tabela_registros[CATEGORIA],investiroutrosconsolidadomai[[#This Row],[ATUAL]])</f>
        <v>0</v>
      </c>
      <c r="Y151" s="119" t="n">
        <f aca="false">SUMIFS(tabela_registros[VALOR],tabela_registros[MÊS],$AE$1,tabela_registros[DIA],investiroutrosconsolidadomai[[#Headers],[21]],tabela_registros[REGISTRO],DADOS!$N$5,tabela_registros[TIPO],DADOS!$AB$5,tabela_registros[CATEGORIA],investiroutrosconsolidadomai[[#This Row],[ATUAL]])</f>
        <v>0</v>
      </c>
      <c r="Z151" s="119" t="n">
        <f aca="false">SUMIFS(tabela_registros[VALOR],tabela_registros[MÊS],$AE$1,tabela_registros[DIA],investiroutrosconsolidadomai[[#Headers],[22]],tabela_registros[REGISTRO],DADOS!$N$5,tabela_registros[TIPO],DADOS!$AB$5,tabela_registros[CATEGORIA],investiroutrosconsolidadomai[[#This Row],[ATUAL]])</f>
        <v>0</v>
      </c>
      <c r="AA151" s="119" t="n">
        <f aca="false">SUMIFS(tabela_registros[VALOR],tabela_registros[MÊS],$AE$1,tabela_registros[DIA],investiroutrosconsolidadomai[[#Headers],[23]],tabela_registros[REGISTRO],DADOS!$N$5,tabela_registros[TIPO],DADOS!$AB$5,tabela_registros[CATEGORIA],investiroutrosconsolidadomai[[#This Row],[ATUAL]])</f>
        <v>0</v>
      </c>
      <c r="AB151" s="119" t="n">
        <f aca="false">SUMIFS(tabela_registros[VALOR],tabela_registros[MÊS],$AE$1,tabela_registros[DIA],investiroutrosconsolidadomai[[#Headers],[24]],tabela_registros[REGISTRO],DADOS!$N$5,tabela_registros[TIPO],DADOS!$AB$5,tabela_registros[CATEGORIA],investiroutrosconsolidadomai[[#This Row],[ATUAL]])</f>
        <v>0</v>
      </c>
      <c r="AC151" s="119" t="n">
        <f aca="false">SUMIFS(tabela_registros[VALOR],tabela_registros[MÊS],$AE$1,tabela_registros[DIA],investiroutrosconsolidadomai[[#Headers],[25]],tabela_registros[REGISTRO],DADOS!$N$5,tabela_registros[TIPO],DADOS!$AB$5,tabela_registros[CATEGORIA],investiroutrosconsolidadomai[[#This Row],[ATUAL]])</f>
        <v>0</v>
      </c>
      <c r="AD151" s="119" t="n">
        <f aca="false">SUMIFS(tabela_registros[VALOR],tabela_registros[MÊS],$AE$1,tabela_registros[DIA],investiroutrosconsolidadomai[[#Headers],[26]],tabela_registros[REGISTRO],DADOS!$N$5,tabela_registros[TIPO],DADOS!$AB$5,tabela_registros[CATEGORIA],investiroutrosconsolidadomai[[#This Row],[ATUAL]])</f>
        <v>0</v>
      </c>
      <c r="AE151" s="119" t="n">
        <f aca="false">SUMIFS(tabela_registros[VALOR],tabela_registros[MÊS],$AE$1,tabela_registros[DIA],investiroutrosconsolidadomai[[#Headers],[27]],tabela_registros[REGISTRO],DADOS!$N$5,tabela_registros[TIPO],DADOS!$AB$5,tabela_registros[CATEGORIA],investiroutrosconsolidadomai[[#This Row],[ATUAL]])</f>
        <v>0</v>
      </c>
      <c r="AF151" s="119" t="n">
        <f aca="false">SUMIFS(tabela_registros[VALOR],tabela_registros[MÊS],$AE$1,tabela_registros[DIA],investiroutrosconsolidadomai[[#Headers],[28]],tabela_registros[REGISTRO],DADOS!$N$5,tabela_registros[TIPO],DADOS!$AB$5,tabela_registros[CATEGORIA],investiroutrosconsolidadomai[[#This Row],[ATUAL]])</f>
        <v>0</v>
      </c>
      <c r="AG151" s="119" t="n">
        <f aca="false">SUMIFS(tabela_registros[VALOR],tabela_registros[MÊS],$AE$1,tabela_registros[DIA],investiroutrosconsolidadomai[[#Headers],[29]],tabela_registros[REGISTRO],DADOS!$N$5,tabela_registros[TIPO],DADOS!$AB$5,tabela_registros[CATEGORIA],investiroutrosconsolidadomai[[#This Row],[ATUAL]])</f>
        <v>0</v>
      </c>
      <c r="AH151" s="119" t="n">
        <f aca="false">SUMIFS(tabela_registros[VALOR],tabela_registros[MÊS],$AE$1,tabela_registros[DIA],investiroutrosconsolidadomai[[#Headers],[30]],tabela_registros[REGISTRO],DADOS!$N$5,tabela_registros[TIPO],DADOS!$AB$5,tabela_registros[CATEGORIA],investiroutrosconsolidadomai[[#This Row],[ATUAL]])</f>
        <v>0</v>
      </c>
      <c r="AI151" s="217" t="n">
        <f aca="false">SUMIFS(tabela_registros[VALOR],tabela_registros[MÊS],$AE$1,tabela_registros[DIA],investiroutrosconsolidadomai[[#Headers],[31]],tabela_registros[REGISTRO],DADOS!$N$5,tabela_registros[TIPO],DADOS!$AB$5,tabela_registros[CATEGORIA],investiroutrosconsolidadomai[[#This Row],[ATUAL]])</f>
        <v>0</v>
      </c>
      <c r="AJ151" s="149" t="n">
        <f aca="false">SUM(investiroutrosconsolidadomai[[#This Row],[1]:[31]])</f>
        <v>0</v>
      </c>
      <c r="AK151" s="165"/>
    </row>
    <row r="152" customFormat="false" ht="19.5" hidden="false" customHeight="true" outlineLevel="0" collapsed="false">
      <c r="B152" s="143"/>
      <c r="C152" s="144" t="str">
        <f aca="false">DADOS!$AH$4</f>
        <v>📝 FOREX</v>
      </c>
      <c r="D152" s="145" t="str">
        <f aca="false">IF(investiroutrosconsolidadomai[[#This Row],[TOTAL (R$)]]=0,"",IF(OR(investiroutrosconsolidadomai[[#This Row],[TOTAL (R$)]]=LARGE($AJ$151:$AJ$158,1),investiroutrosconsolidadomai[[#This Row],[TOTAL (R$)]]=LARGE($AJ$151:$AJ$158,2)),DADOS!$I$10,""))</f>
        <v/>
      </c>
      <c r="E152" s="148" t="n">
        <f aca="false">SUMIFS(tabela_registros[VALOR],tabela_registros[MÊS],$AE$1,tabela_registros[DIA],investiroutrosconsolidadomai[[#Headers],[1]],tabela_registros[REGISTRO],DADOS!$N$5,tabela_registros[TIPO],DADOS!$AB$5,tabela_registros[CATEGORIA],investiroutrosconsolidadomai[[#This Row],[ATUAL]])</f>
        <v>0</v>
      </c>
      <c r="F152" s="119" t="n">
        <f aca="false">SUMIFS(tabela_registros[VALOR],tabela_registros[MÊS],$AE$1,tabela_registros[DIA],investiroutrosconsolidadomai[[#Headers],[2]],tabela_registros[REGISTRO],DADOS!$N$5,tabela_registros[TIPO],DADOS!$AB$5,tabela_registros[CATEGORIA],investiroutrosconsolidadomai[[#This Row],[ATUAL]])</f>
        <v>0</v>
      </c>
      <c r="G152" s="119" t="n">
        <f aca="false">SUMIFS(tabela_registros[VALOR],tabela_registros[MÊS],$AE$1,tabela_registros[DIA],investiroutrosconsolidadomai[[#Headers],[3]],tabela_registros[REGISTRO],DADOS!$N$5,tabela_registros[TIPO],DADOS!$AB$5,tabela_registros[CATEGORIA],investiroutrosconsolidadomai[[#This Row],[ATUAL]])</f>
        <v>0</v>
      </c>
      <c r="H152" s="119" t="n">
        <f aca="false">SUMIFS(tabela_registros[VALOR],tabela_registros[MÊS],$AE$1,tabela_registros[DIA],investiroutrosconsolidadomai[[#Headers],[4]],tabela_registros[REGISTRO],DADOS!$N$5,tabela_registros[TIPO],DADOS!$AB$5,tabela_registros[CATEGORIA],investiroutrosconsolidadomai[[#This Row],[ATUAL]])</f>
        <v>0</v>
      </c>
      <c r="I152" s="119" t="n">
        <f aca="false">SUMIFS(tabela_registros[VALOR],tabela_registros[MÊS],$AE$1,tabela_registros[DIA],investiroutrosconsolidadomai[[#Headers],[5]],tabela_registros[REGISTRO],DADOS!$N$5,tabela_registros[TIPO],DADOS!$AB$5,tabela_registros[CATEGORIA],investiroutrosconsolidadomai[[#This Row],[ATUAL]])</f>
        <v>0</v>
      </c>
      <c r="J152" s="119" t="n">
        <f aca="false">SUMIFS(tabela_registros[VALOR],tabela_registros[MÊS],$AE$1,tabela_registros[DIA],investiroutrosconsolidadomai[[#Headers],[6]],tabela_registros[REGISTRO],DADOS!$N$5,tabela_registros[TIPO],DADOS!$AB$5,tabela_registros[CATEGORIA],investiroutrosconsolidadomai[[#This Row],[ATUAL]])</f>
        <v>0</v>
      </c>
      <c r="K152" s="119" t="n">
        <f aca="false">SUMIFS(tabela_registros[VALOR],tabela_registros[MÊS],$AE$1,tabela_registros[DIA],investiroutrosconsolidadomai[[#Headers],[7]],tabela_registros[REGISTRO],DADOS!$N$5,tabela_registros[TIPO],DADOS!$AB$5,tabela_registros[CATEGORIA],investiroutrosconsolidadomai[[#This Row],[ATUAL]])</f>
        <v>0</v>
      </c>
      <c r="L152" s="119" t="n">
        <f aca="false">SUMIFS(tabela_registros[VALOR],tabela_registros[MÊS],$AE$1,tabela_registros[DIA],investiroutrosconsolidadomai[[#Headers],[8]],tabela_registros[REGISTRO],DADOS!$N$5,tabela_registros[TIPO],DADOS!$AB$5,tabela_registros[CATEGORIA],investiroutrosconsolidadomai[[#This Row],[ATUAL]])</f>
        <v>0</v>
      </c>
      <c r="M152" s="119" t="n">
        <f aca="false">SUMIFS(tabela_registros[VALOR],tabela_registros[MÊS],$AE$1,tabela_registros[DIA],investiroutrosconsolidadomai[[#Headers],[9]],tabela_registros[REGISTRO],DADOS!$N$5,tabela_registros[TIPO],DADOS!$AB$5,tabela_registros[CATEGORIA],investiroutrosconsolidadomai[[#This Row],[ATUAL]])</f>
        <v>0</v>
      </c>
      <c r="N152" s="119" t="n">
        <f aca="false">SUMIFS(tabela_registros[VALOR],tabela_registros[MÊS],$AE$1,tabela_registros[DIA],investiroutrosconsolidadomai[[#Headers],[10]],tabela_registros[REGISTRO],DADOS!$N$5,tabela_registros[TIPO],DADOS!$AB$5,tabela_registros[CATEGORIA],investiroutrosconsolidadomai[[#This Row],[ATUAL]])</f>
        <v>0</v>
      </c>
      <c r="O152" s="119" t="n">
        <f aca="false">SUMIFS(tabela_registros[VALOR],tabela_registros[MÊS],$AE$1,tabela_registros[DIA],investiroutrosconsolidadomai[[#Headers],[11]],tabela_registros[REGISTRO],DADOS!$N$5,tabela_registros[TIPO],DADOS!$AB$5,tabela_registros[CATEGORIA],investiroutrosconsolidadomai[[#This Row],[ATUAL]])</f>
        <v>0</v>
      </c>
      <c r="P152" s="119" t="n">
        <f aca="false">SUMIFS(tabela_registros[VALOR],tabela_registros[MÊS],$AE$1,tabela_registros[DIA],investiroutrosconsolidadomai[[#Headers],[12]],tabela_registros[REGISTRO],DADOS!$N$5,tabela_registros[TIPO],DADOS!$AB$5,tabela_registros[CATEGORIA],investiroutrosconsolidadomai[[#This Row],[ATUAL]])</f>
        <v>0</v>
      </c>
      <c r="Q152" s="119" t="n">
        <f aca="false">SUMIFS(tabela_registros[VALOR],tabela_registros[MÊS],$AE$1,tabela_registros[DIA],investiroutrosconsolidadomai[[#Headers],[13]],tabela_registros[REGISTRO],DADOS!$N$5,tabela_registros[TIPO],DADOS!$AB$5,tabela_registros[CATEGORIA],investiroutrosconsolidadomai[[#This Row],[ATUAL]])</f>
        <v>0</v>
      </c>
      <c r="R152" s="119" t="n">
        <f aca="false">SUMIFS(tabela_registros[VALOR],tabela_registros[MÊS],$AE$1,tabela_registros[DIA],investiroutrosconsolidadomai[[#Headers],[14]],tabela_registros[REGISTRO],DADOS!$N$5,tabela_registros[TIPO],DADOS!$AB$5,tabela_registros[CATEGORIA],investiroutrosconsolidadomai[[#This Row],[ATUAL]])</f>
        <v>0</v>
      </c>
      <c r="S152" s="119" t="n">
        <f aca="false">SUMIFS(tabela_registros[VALOR],tabela_registros[MÊS],$AE$1,tabela_registros[DIA],investiroutrosconsolidadomai[[#Headers],[15]],tabela_registros[REGISTRO],DADOS!$N$5,tabela_registros[TIPO],DADOS!$AB$5,tabela_registros[CATEGORIA],investiroutrosconsolidadomai[[#This Row],[ATUAL]])</f>
        <v>0</v>
      </c>
      <c r="T152" s="119" t="n">
        <f aca="false">SUMIFS(tabela_registros[VALOR],tabela_registros[MÊS],$AE$1,tabela_registros[DIA],investiroutrosconsolidadomai[[#Headers],[16]],tabela_registros[REGISTRO],DADOS!$N$5,tabela_registros[TIPO],DADOS!$AB$5,tabela_registros[CATEGORIA],investiroutrosconsolidadomai[[#This Row],[ATUAL]])</f>
        <v>0</v>
      </c>
      <c r="U152" s="119" t="n">
        <f aca="false">SUMIFS(tabela_registros[VALOR],tabela_registros[MÊS],$AE$1,tabela_registros[DIA],investiroutrosconsolidadomai[[#Headers],[17]],tabela_registros[REGISTRO],DADOS!$N$5,tabela_registros[TIPO],DADOS!$AB$5,tabela_registros[CATEGORIA],investiroutrosconsolidadomai[[#This Row],[ATUAL]])</f>
        <v>0</v>
      </c>
      <c r="V152" s="119" t="n">
        <f aca="false">SUMIFS(tabela_registros[VALOR],tabela_registros[MÊS],$AE$1,tabela_registros[DIA],investiroutrosconsolidadomai[[#Headers],[18]],tabela_registros[REGISTRO],DADOS!$N$5,tabela_registros[TIPO],DADOS!$AB$5,tabela_registros[CATEGORIA],investiroutrosconsolidadomai[[#This Row],[ATUAL]])</f>
        <v>0</v>
      </c>
      <c r="W152" s="119" t="n">
        <f aca="false">SUMIFS(tabela_registros[VALOR],tabela_registros[MÊS],$AE$1,tabela_registros[DIA],investiroutrosconsolidadomai[[#Headers],[19]],tabela_registros[REGISTRO],DADOS!$N$5,tabela_registros[TIPO],DADOS!$AB$5,tabela_registros[CATEGORIA],investiroutrosconsolidadomai[[#This Row],[ATUAL]])</f>
        <v>0</v>
      </c>
      <c r="X152" s="119" t="n">
        <f aca="false">SUMIFS(tabela_registros[VALOR],tabela_registros[MÊS],$AE$1,tabela_registros[DIA],investiroutrosconsolidadomai[[#Headers],[20]],tabela_registros[REGISTRO],DADOS!$N$5,tabela_registros[TIPO],DADOS!$AB$5,tabela_registros[CATEGORIA],investiroutrosconsolidadomai[[#This Row],[ATUAL]])</f>
        <v>0</v>
      </c>
      <c r="Y152" s="119" t="n">
        <f aca="false">SUMIFS(tabela_registros[VALOR],tabela_registros[MÊS],$AE$1,tabela_registros[DIA],investiroutrosconsolidadomai[[#Headers],[21]],tabela_registros[REGISTRO],DADOS!$N$5,tabela_registros[TIPO],DADOS!$AB$5,tabela_registros[CATEGORIA],investiroutrosconsolidadomai[[#This Row],[ATUAL]])</f>
        <v>0</v>
      </c>
      <c r="Z152" s="119" t="n">
        <f aca="false">SUMIFS(tabela_registros[VALOR],tabela_registros[MÊS],$AE$1,tabela_registros[DIA],investiroutrosconsolidadomai[[#Headers],[22]],tabela_registros[REGISTRO],DADOS!$N$5,tabela_registros[TIPO],DADOS!$AB$5,tabela_registros[CATEGORIA],investiroutrosconsolidadomai[[#This Row],[ATUAL]])</f>
        <v>0</v>
      </c>
      <c r="AA152" s="119" t="n">
        <f aca="false">SUMIFS(tabela_registros[VALOR],tabela_registros[MÊS],$AE$1,tabela_registros[DIA],investiroutrosconsolidadomai[[#Headers],[23]],tabela_registros[REGISTRO],DADOS!$N$5,tabela_registros[TIPO],DADOS!$AB$5,tabela_registros[CATEGORIA],investiroutrosconsolidadomai[[#This Row],[ATUAL]])</f>
        <v>0</v>
      </c>
      <c r="AB152" s="119" t="n">
        <f aca="false">SUMIFS(tabela_registros[VALOR],tabela_registros[MÊS],$AE$1,tabela_registros[DIA],investiroutrosconsolidadomai[[#Headers],[24]],tabela_registros[REGISTRO],DADOS!$N$5,tabela_registros[TIPO],DADOS!$AB$5,tabela_registros[CATEGORIA],investiroutrosconsolidadomai[[#This Row],[ATUAL]])</f>
        <v>0</v>
      </c>
      <c r="AC152" s="119" t="n">
        <f aca="false">SUMIFS(tabela_registros[VALOR],tabela_registros[MÊS],$AE$1,tabela_registros[DIA],investiroutrosconsolidadomai[[#Headers],[25]],tabela_registros[REGISTRO],DADOS!$N$5,tabela_registros[TIPO],DADOS!$AB$5,tabela_registros[CATEGORIA],investiroutrosconsolidadomai[[#This Row],[ATUAL]])</f>
        <v>0</v>
      </c>
      <c r="AD152" s="119" t="n">
        <f aca="false">SUMIFS(tabela_registros[VALOR],tabela_registros[MÊS],$AE$1,tabela_registros[DIA],investiroutrosconsolidadomai[[#Headers],[26]],tabela_registros[REGISTRO],DADOS!$N$5,tabela_registros[TIPO],DADOS!$AB$5,tabela_registros[CATEGORIA],investiroutrosconsolidadomai[[#This Row],[ATUAL]])</f>
        <v>0</v>
      </c>
      <c r="AE152" s="119" t="n">
        <f aca="false">SUMIFS(tabela_registros[VALOR],tabela_registros[MÊS],$AE$1,tabela_registros[DIA],investiroutrosconsolidadomai[[#Headers],[27]],tabela_registros[REGISTRO],DADOS!$N$5,tabela_registros[TIPO],DADOS!$AB$5,tabela_registros[CATEGORIA],investiroutrosconsolidadomai[[#This Row],[ATUAL]])</f>
        <v>0</v>
      </c>
      <c r="AF152" s="119" t="n">
        <f aca="false">SUMIFS(tabela_registros[VALOR],tabela_registros[MÊS],$AE$1,tabela_registros[DIA],investiroutrosconsolidadomai[[#Headers],[28]],tabela_registros[REGISTRO],DADOS!$N$5,tabela_registros[TIPO],DADOS!$AB$5,tabela_registros[CATEGORIA],investiroutrosconsolidadomai[[#This Row],[ATUAL]])</f>
        <v>0</v>
      </c>
      <c r="AG152" s="119" t="n">
        <f aca="false">SUMIFS(tabela_registros[VALOR],tabela_registros[MÊS],$AE$1,tabela_registros[DIA],investiroutrosconsolidadomai[[#Headers],[29]],tabela_registros[REGISTRO],DADOS!$N$5,tabela_registros[TIPO],DADOS!$AB$5,tabela_registros[CATEGORIA],investiroutrosconsolidadomai[[#This Row],[ATUAL]])</f>
        <v>0</v>
      </c>
      <c r="AH152" s="119" t="n">
        <f aca="false">SUMIFS(tabela_registros[VALOR],tabela_registros[MÊS],$AE$1,tabela_registros[DIA],investiroutrosconsolidadomai[[#Headers],[30]],tabela_registros[REGISTRO],DADOS!$N$5,tabela_registros[TIPO],DADOS!$AB$5,tabela_registros[CATEGORIA],investiroutrosconsolidadomai[[#This Row],[ATUAL]])</f>
        <v>0</v>
      </c>
      <c r="AI152" s="217" t="n">
        <f aca="false">SUMIFS(tabela_registros[VALOR],tabela_registros[MÊS],$AE$1,tabela_registros[DIA],investiroutrosconsolidadomai[[#Headers],[31]],tabela_registros[REGISTRO],DADOS!$N$5,tabela_registros[TIPO],DADOS!$AB$5,tabela_registros[CATEGORIA],investiroutrosconsolidadomai[[#This Row],[ATUAL]])</f>
        <v>0</v>
      </c>
      <c r="AJ152" s="149" t="n">
        <f aca="false">SUM(investiroutrosconsolidadomai[[#This Row],[1]:[31]])</f>
        <v>0</v>
      </c>
      <c r="AK152" s="165"/>
    </row>
    <row r="153" customFormat="false" ht="19.5" hidden="false" customHeight="true" outlineLevel="0" collapsed="false">
      <c r="B153" s="143"/>
      <c r="C153" s="144" t="str">
        <f aca="false">DADOS!$AH$5</f>
        <v>📝 FUNDO DE INVESTIMENTO</v>
      </c>
      <c r="D153" s="145" t="str">
        <f aca="false">IF(investiroutrosconsolidadomai[[#This Row],[TOTAL (R$)]]=0,"",IF(OR(investiroutrosconsolidadomai[[#This Row],[TOTAL (R$)]]=LARGE($AJ$151:$AJ$158,1),investiroutrosconsolidadomai[[#This Row],[TOTAL (R$)]]=LARGE($AJ$151:$AJ$158,2)),DADOS!$I$10,""))</f>
        <v/>
      </c>
      <c r="E153" s="148" t="n">
        <f aca="false">SUMIFS(tabela_registros[VALOR],tabela_registros[MÊS],$AE$1,tabela_registros[DIA],investiroutrosconsolidadomai[[#Headers],[1]],tabela_registros[REGISTRO],DADOS!$N$5,tabela_registros[TIPO],DADOS!$AB$5,tabela_registros[CATEGORIA],investiroutrosconsolidadomai[[#This Row],[ATUAL]])</f>
        <v>0</v>
      </c>
      <c r="F153" s="119" t="n">
        <f aca="false">SUMIFS(tabela_registros[VALOR],tabela_registros[MÊS],$AE$1,tabela_registros[DIA],investiroutrosconsolidadomai[[#Headers],[2]],tabela_registros[REGISTRO],DADOS!$N$5,tabela_registros[TIPO],DADOS!$AB$5,tabela_registros[CATEGORIA],investiroutrosconsolidadomai[[#This Row],[ATUAL]])</f>
        <v>0</v>
      </c>
      <c r="G153" s="119" t="n">
        <f aca="false">SUMIFS(tabela_registros[VALOR],tabela_registros[MÊS],$AE$1,tabela_registros[DIA],investiroutrosconsolidadomai[[#Headers],[3]],tabela_registros[REGISTRO],DADOS!$N$5,tabela_registros[TIPO],DADOS!$AB$5,tabela_registros[CATEGORIA],investiroutrosconsolidadomai[[#This Row],[ATUAL]])</f>
        <v>0</v>
      </c>
      <c r="H153" s="119" t="n">
        <f aca="false">SUMIFS(tabela_registros[VALOR],tabela_registros[MÊS],$AE$1,tabela_registros[DIA],investiroutrosconsolidadomai[[#Headers],[4]],tabela_registros[REGISTRO],DADOS!$N$5,tabela_registros[TIPO],DADOS!$AB$5,tabela_registros[CATEGORIA],investiroutrosconsolidadomai[[#This Row],[ATUAL]])</f>
        <v>0</v>
      </c>
      <c r="I153" s="119" t="n">
        <f aca="false">SUMIFS(tabela_registros[VALOR],tabela_registros[MÊS],$AE$1,tabela_registros[DIA],investiroutrosconsolidadomai[[#Headers],[5]],tabela_registros[REGISTRO],DADOS!$N$5,tabela_registros[TIPO],DADOS!$AB$5,tabela_registros[CATEGORIA],investiroutrosconsolidadomai[[#This Row],[ATUAL]])</f>
        <v>0</v>
      </c>
      <c r="J153" s="119" t="n">
        <f aca="false">SUMIFS(tabela_registros[VALOR],tabela_registros[MÊS],$AE$1,tabela_registros[DIA],investiroutrosconsolidadomai[[#Headers],[6]],tabela_registros[REGISTRO],DADOS!$N$5,tabela_registros[TIPO],DADOS!$AB$5,tabela_registros[CATEGORIA],investiroutrosconsolidadomai[[#This Row],[ATUAL]])</f>
        <v>0</v>
      </c>
      <c r="K153" s="119" t="n">
        <f aca="false">SUMIFS(tabela_registros[VALOR],tabela_registros[MÊS],$AE$1,tabela_registros[DIA],investiroutrosconsolidadomai[[#Headers],[7]],tabela_registros[REGISTRO],DADOS!$N$5,tabela_registros[TIPO],DADOS!$AB$5,tabela_registros[CATEGORIA],investiroutrosconsolidadomai[[#This Row],[ATUAL]])</f>
        <v>0</v>
      </c>
      <c r="L153" s="119" t="n">
        <f aca="false">SUMIFS(tabela_registros[VALOR],tabela_registros[MÊS],$AE$1,tabela_registros[DIA],investiroutrosconsolidadomai[[#Headers],[8]],tabela_registros[REGISTRO],DADOS!$N$5,tabela_registros[TIPO],DADOS!$AB$5,tabela_registros[CATEGORIA],investiroutrosconsolidadomai[[#This Row],[ATUAL]])</f>
        <v>0</v>
      </c>
      <c r="M153" s="119" t="n">
        <f aca="false">SUMIFS(tabela_registros[VALOR],tabela_registros[MÊS],$AE$1,tabela_registros[DIA],investiroutrosconsolidadomai[[#Headers],[9]],tabela_registros[REGISTRO],DADOS!$N$5,tabela_registros[TIPO],DADOS!$AB$5,tabela_registros[CATEGORIA],investiroutrosconsolidadomai[[#This Row],[ATUAL]])</f>
        <v>0</v>
      </c>
      <c r="N153" s="119" t="n">
        <f aca="false">SUMIFS(tabela_registros[VALOR],tabela_registros[MÊS],$AE$1,tabela_registros[DIA],investiroutrosconsolidadomai[[#Headers],[10]],tabela_registros[REGISTRO],DADOS!$N$5,tabela_registros[TIPO],DADOS!$AB$5,tabela_registros[CATEGORIA],investiroutrosconsolidadomai[[#This Row],[ATUAL]])</f>
        <v>0</v>
      </c>
      <c r="O153" s="119" t="n">
        <f aca="false">SUMIFS(tabela_registros[VALOR],tabela_registros[MÊS],$AE$1,tabela_registros[DIA],investiroutrosconsolidadomai[[#Headers],[11]],tabela_registros[REGISTRO],DADOS!$N$5,tabela_registros[TIPO],DADOS!$AB$5,tabela_registros[CATEGORIA],investiroutrosconsolidadomai[[#This Row],[ATUAL]])</f>
        <v>0</v>
      </c>
      <c r="P153" s="119" t="n">
        <f aca="false">SUMIFS(tabela_registros[VALOR],tabela_registros[MÊS],$AE$1,tabela_registros[DIA],investiroutrosconsolidadomai[[#Headers],[12]],tabela_registros[REGISTRO],DADOS!$N$5,tabela_registros[TIPO],DADOS!$AB$5,tabela_registros[CATEGORIA],investiroutrosconsolidadomai[[#This Row],[ATUAL]])</f>
        <v>0</v>
      </c>
      <c r="Q153" s="119" t="n">
        <f aca="false">SUMIFS(tabela_registros[VALOR],tabela_registros[MÊS],$AE$1,tabela_registros[DIA],investiroutrosconsolidadomai[[#Headers],[13]],tabela_registros[REGISTRO],DADOS!$N$5,tabela_registros[TIPO],DADOS!$AB$5,tabela_registros[CATEGORIA],investiroutrosconsolidadomai[[#This Row],[ATUAL]])</f>
        <v>0</v>
      </c>
      <c r="R153" s="119" t="n">
        <f aca="false">SUMIFS(tabela_registros[VALOR],tabela_registros[MÊS],$AE$1,tabela_registros[DIA],investiroutrosconsolidadomai[[#Headers],[14]],tabela_registros[REGISTRO],DADOS!$N$5,tabela_registros[TIPO],DADOS!$AB$5,tabela_registros[CATEGORIA],investiroutrosconsolidadomai[[#This Row],[ATUAL]])</f>
        <v>0</v>
      </c>
      <c r="S153" s="119" t="n">
        <f aca="false">SUMIFS(tabela_registros[VALOR],tabela_registros[MÊS],$AE$1,tabela_registros[DIA],investiroutrosconsolidadomai[[#Headers],[15]],tabela_registros[REGISTRO],DADOS!$N$5,tabela_registros[TIPO],DADOS!$AB$5,tabela_registros[CATEGORIA],investiroutrosconsolidadomai[[#This Row],[ATUAL]])</f>
        <v>0</v>
      </c>
      <c r="T153" s="119" t="n">
        <f aca="false">SUMIFS(tabela_registros[VALOR],tabela_registros[MÊS],$AE$1,tabela_registros[DIA],investiroutrosconsolidadomai[[#Headers],[16]],tabela_registros[REGISTRO],DADOS!$N$5,tabela_registros[TIPO],DADOS!$AB$5,tabela_registros[CATEGORIA],investiroutrosconsolidadomai[[#This Row],[ATUAL]])</f>
        <v>0</v>
      </c>
      <c r="U153" s="119" t="n">
        <f aca="false">SUMIFS(tabela_registros[VALOR],tabela_registros[MÊS],$AE$1,tabela_registros[DIA],investiroutrosconsolidadomai[[#Headers],[17]],tabela_registros[REGISTRO],DADOS!$N$5,tabela_registros[TIPO],DADOS!$AB$5,tabela_registros[CATEGORIA],investiroutrosconsolidadomai[[#This Row],[ATUAL]])</f>
        <v>0</v>
      </c>
      <c r="V153" s="119" t="n">
        <f aca="false">SUMIFS(tabela_registros[VALOR],tabela_registros[MÊS],$AE$1,tabela_registros[DIA],investiroutrosconsolidadomai[[#Headers],[18]],tabela_registros[REGISTRO],DADOS!$N$5,tabela_registros[TIPO],DADOS!$AB$5,tabela_registros[CATEGORIA],investiroutrosconsolidadomai[[#This Row],[ATUAL]])</f>
        <v>0</v>
      </c>
      <c r="W153" s="119" t="n">
        <f aca="false">SUMIFS(tabela_registros[VALOR],tabela_registros[MÊS],$AE$1,tabela_registros[DIA],investiroutrosconsolidadomai[[#Headers],[19]],tabela_registros[REGISTRO],DADOS!$N$5,tabela_registros[TIPO],DADOS!$AB$5,tabela_registros[CATEGORIA],investiroutrosconsolidadomai[[#This Row],[ATUAL]])</f>
        <v>0</v>
      </c>
      <c r="X153" s="119" t="n">
        <f aca="false">SUMIFS(tabela_registros[VALOR],tabela_registros[MÊS],$AE$1,tabela_registros[DIA],investiroutrosconsolidadomai[[#Headers],[20]],tabela_registros[REGISTRO],DADOS!$N$5,tabela_registros[TIPO],DADOS!$AB$5,tabela_registros[CATEGORIA],investiroutrosconsolidadomai[[#This Row],[ATUAL]])</f>
        <v>0</v>
      </c>
      <c r="Y153" s="119" t="n">
        <f aca="false">SUMIFS(tabela_registros[VALOR],tabela_registros[MÊS],$AE$1,tabela_registros[DIA],investiroutrosconsolidadomai[[#Headers],[21]],tabela_registros[REGISTRO],DADOS!$N$5,tabela_registros[TIPO],DADOS!$AB$5,tabela_registros[CATEGORIA],investiroutrosconsolidadomai[[#This Row],[ATUAL]])</f>
        <v>0</v>
      </c>
      <c r="Z153" s="119" t="n">
        <f aca="false">SUMIFS(tabela_registros[VALOR],tabela_registros[MÊS],$AE$1,tabela_registros[DIA],investiroutrosconsolidadomai[[#Headers],[22]],tabela_registros[REGISTRO],DADOS!$N$5,tabela_registros[TIPO],DADOS!$AB$5,tabela_registros[CATEGORIA],investiroutrosconsolidadomai[[#This Row],[ATUAL]])</f>
        <v>0</v>
      </c>
      <c r="AA153" s="119" t="n">
        <f aca="false">SUMIFS(tabela_registros[VALOR],tabela_registros[MÊS],$AE$1,tabela_registros[DIA],investiroutrosconsolidadomai[[#Headers],[23]],tabela_registros[REGISTRO],DADOS!$N$5,tabela_registros[TIPO],DADOS!$AB$5,tabela_registros[CATEGORIA],investiroutrosconsolidadomai[[#This Row],[ATUAL]])</f>
        <v>0</v>
      </c>
      <c r="AB153" s="119" t="n">
        <f aca="false">SUMIFS(tabela_registros[VALOR],tabela_registros[MÊS],$AE$1,tabela_registros[DIA],investiroutrosconsolidadomai[[#Headers],[24]],tabela_registros[REGISTRO],DADOS!$N$5,tabela_registros[TIPO],DADOS!$AB$5,tabela_registros[CATEGORIA],investiroutrosconsolidadomai[[#This Row],[ATUAL]])</f>
        <v>0</v>
      </c>
      <c r="AC153" s="119" t="n">
        <f aca="false">SUMIFS(tabela_registros[VALOR],tabela_registros[MÊS],$AE$1,tabela_registros[DIA],investiroutrosconsolidadomai[[#Headers],[25]],tabela_registros[REGISTRO],DADOS!$N$5,tabela_registros[TIPO],DADOS!$AB$5,tabela_registros[CATEGORIA],investiroutrosconsolidadomai[[#This Row],[ATUAL]])</f>
        <v>0</v>
      </c>
      <c r="AD153" s="119" t="n">
        <f aca="false">SUMIFS(tabela_registros[VALOR],tabela_registros[MÊS],$AE$1,tabela_registros[DIA],investiroutrosconsolidadomai[[#Headers],[26]],tabela_registros[REGISTRO],DADOS!$N$5,tabela_registros[TIPO],DADOS!$AB$5,tabela_registros[CATEGORIA],investiroutrosconsolidadomai[[#This Row],[ATUAL]])</f>
        <v>0</v>
      </c>
      <c r="AE153" s="119" t="n">
        <f aca="false">SUMIFS(tabela_registros[VALOR],tabela_registros[MÊS],$AE$1,tabela_registros[DIA],investiroutrosconsolidadomai[[#Headers],[27]],tabela_registros[REGISTRO],DADOS!$N$5,tabela_registros[TIPO],DADOS!$AB$5,tabela_registros[CATEGORIA],investiroutrosconsolidadomai[[#This Row],[ATUAL]])</f>
        <v>0</v>
      </c>
      <c r="AF153" s="119" t="n">
        <f aca="false">SUMIFS(tabela_registros[VALOR],tabela_registros[MÊS],$AE$1,tabela_registros[DIA],investiroutrosconsolidadomai[[#Headers],[28]],tabela_registros[REGISTRO],DADOS!$N$5,tabela_registros[TIPO],DADOS!$AB$5,tabela_registros[CATEGORIA],investiroutrosconsolidadomai[[#This Row],[ATUAL]])</f>
        <v>0</v>
      </c>
      <c r="AG153" s="119" t="n">
        <f aca="false">SUMIFS(tabela_registros[VALOR],tabela_registros[MÊS],$AE$1,tabela_registros[DIA],investiroutrosconsolidadomai[[#Headers],[29]],tabela_registros[REGISTRO],DADOS!$N$5,tabela_registros[TIPO],DADOS!$AB$5,tabela_registros[CATEGORIA],investiroutrosconsolidadomai[[#This Row],[ATUAL]])</f>
        <v>0</v>
      </c>
      <c r="AH153" s="119" t="n">
        <f aca="false">SUMIFS(tabela_registros[VALOR],tabela_registros[MÊS],$AE$1,tabela_registros[DIA],investiroutrosconsolidadomai[[#Headers],[30]],tabela_registros[REGISTRO],DADOS!$N$5,tabela_registros[TIPO],DADOS!$AB$5,tabela_registros[CATEGORIA],investiroutrosconsolidadomai[[#This Row],[ATUAL]])</f>
        <v>0</v>
      </c>
      <c r="AI153" s="217" t="n">
        <f aca="false">SUMIFS(tabela_registros[VALOR],tabela_registros[MÊS],$AE$1,tabela_registros[DIA],investiroutrosconsolidadomai[[#Headers],[31]],tabela_registros[REGISTRO],DADOS!$N$5,tabela_registros[TIPO],DADOS!$AB$5,tabela_registros[CATEGORIA],investiroutrosconsolidadomai[[#This Row],[ATUAL]])</f>
        <v>0</v>
      </c>
      <c r="AJ153" s="149" t="n">
        <f aca="false">SUM(investiroutrosconsolidadomai[[#This Row],[1]:[31]])</f>
        <v>0</v>
      </c>
      <c r="AK153" s="165"/>
    </row>
    <row r="154" customFormat="false" ht="19.5" hidden="false" customHeight="true" outlineLevel="0" collapsed="false">
      <c r="B154" s="143"/>
      <c r="C154" s="144" t="str">
        <f aca="false">DADOS!$AH$6</f>
        <v>📝 NOVA EMPRESA</v>
      </c>
      <c r="D154" s="145" t="str">
        <f aca="false">IF(investiroutrosconsolidadomai[[#This Row],[TOTAL (R$)]]=0,"",IF(OR(investiroutrosconsolidadomai[[#This Row],[TOTAL (R$)]]=LARGE($AJ$151:$AJ$158,1),investiroutrosconsolidadomai[[#This Row],[TOTAL (R$)]]=LARGE($AJ$151:$AJ$158,2)),DADOS!$I$10,""))</f>
        <v/>
      </c>
      <c r="E154" s="148" t="n">
        <f aca="false">SUMIFS(tabela_registros[VALOR],tabela_registros[MÊS],$AE$1,tabela_registros[DIA],investiroutrosconsolidadomai[[#Headers],[1]],tabela_registros[REGISTRO],DADOS!$N$5,tabela_registros[TIPO],DADOS!$AB$5,tabela_registros[CATEGORIA],investiroutrosconsolidadomai[[#This Row],[ATUAL]])</f>
        <v>0</v>
      </c>
      <c r="F154" s="119" t="n">
        <f aca="false">SUMIFS(tabela_registros[VALOR],tabela_registros[MÊS],$AE$1,tabela_registros[DIA],investiroutrosconsolidadomai[[#Headers],[2]],tabela_registros[REGISTRO],DADOS!$N$5,tabela_registros[TIPO],DADOS!$AB$5,tabela_registros[CATEGORIA],investiroutrosconsolidadomai[[#This Row],[ATUAL]])</f>
        <v>0</v>
      </c>
      <c r="G154" s="119" t="n">
        <f aca="false">SUMIFS(tabela_registros[VALOR],tabela_registros[MÊS],$AE$1,tabela_registros[DIA],investiroutrosconsolidadomai[[#Headers],[3]],tabela_registros[REGISTRO],DADOS!$N$5,tabela_registros[TIPO],DADOS!$AB$5,tabela_registros[CATEGORIA],investiroutrosconsolidadomai[[#This Row],[ATUAL]])</f>
        <v>0</v>
      </c>
      <c r="H154" s="119" t="n">
        <f aca="false">SUMIFS(tabela_registros[VALOR],tabela_registros[MÊS],$AE$1,tabela_registros[DIA],investiroutrosconsolidadomai[[#Headers],[4]],tabela_registros[REGISTRO],DADOS!$N$5,tabela_registros[TIPO],DADOS!$AB$5,tabela_registros[CATEGORIA],investiroutrosconsolidadomai[[#This Row],[ATUAL]])</f>
        <v>0</v>
      </c>
      <c r="I154" s="119" t="n">
        <f aca="false">SUMIFS(tabela_registros[VALOR],tabela_registros[MÊS],$AE$1,tabela_registros[DIA],investiroutrosconsolidadomai[[#Headers],[5]],tabela_registros[REGISTRO],DADOS!$N$5,tabela_registros[TIPO],DADOS!$AB$5,tabela_registros[CATEGORIA],investiroutrosconsolidadomai[[#This Row],[ATUAL]])</f>
        <v>0</v>
      </c>
      <c r="J154" s="119" t="n">
        <f aca="false">SUMIFS(tabela_registros[VALOR],tabela_registros[MÊS],$AE$1,tabela_registros[DIA],investiroutrosconsolidadomai[[#Headers],[6]],tabela_registros[REGISTRO],DADOS!$N$5,tabela_registros[TIPO],DADOS!$AB$5,tabela_registros[CATEGORIA],investiroutrosconsolidadomai[[#This Row],[ATUAL]])</f>
        <v>0</v>
      </c>
      <c r="K154" s="119" t="n">
        <f aca="false">SUMIFS(tabela_registros[VALOR],tabela_registros[MÊS],$AE$1,tabela_registros[DIA],investiroutrosconsolidadomai[[#Headers],[7]],tabela_registros[REGISTRO],DADOS!$N$5,tabela_registros[TIPO],DADOS!$AB$5,tabela_registros[CATEGORIA],investiroutrosconsolidadomai[[#This Row],[ATUAL]])</f>
        <v>0</v>
      </c>
      <c r="L154" s="119" t="n">
        <f aca="false">SUMIFS(tabela_registros[VALOR],tabela_registros[MÊS],$AE$1,tabela_registros[DIA],investiroutrosconsolidadomai[[#Headers],[8]],tabela_registros[REGISTRO],DADOS!$N$5,tabela_registros[TIPO],DADOS!$AB$5,tabela_registros[CATEGORIA],investiroutrosconsolidadomai[[#This Row],[ATUAL]])</f>
        <v>0</v>
      </c>
      <c r="M154" s="119" t="n">
        <f aca="false">SUMIFS(tabela_registros[VALOR],tabela_registros[MÊS],$AE$1,tabela_registros[DIA],investiroutrosconsolidadomai[[#Headers],[9]],tabela_registros[REGISTRO],DADOS!$N$5,tabela_registros[TIPO],DADOS!$AB$5,tabela_registros[CATEGORIA],investiroutrosconsolidadomai[[#This Row],[ATUAL]])</f>
        <v>0</v>
      </c>
      <c r="N154" s="119" t="n">
        <f aca="false">SUMIFS(tabela_registros[VALOR],tabela_registros[MÊS],$AE$1,tabela_registros[DIA],investiroutrosconsolidadomai[[#Headers],[10]],tabela_registros[REGISTRO],DADOS!$N$5,tabela_registros[TIPO],DADOS!$AB$5,tabela_registros[CATEGORIA],investiroutrosconsolidadomai[[#This Row],[ATUAL]])</f>
        <v>0</v>
      </c>
      <c r="O154" s="119" t="n">
        <f aca="false">SUMIFS(tabela_registros[VALOR],tabela_registros[MÊS],$AE$1,tabela_registros[DIA],investiroutrosconsolidadomai[[#Headers],[11]],tabela_registros[REGISTRO],DADOS!$N$5,tabela_registros[TIPO],DADOS!$AB$5,tabela_registros[CATEGORIA],investiroutrosconsolidadomai[[#This Row],[ATUAL]])</f>
        <v>0</v>
      </c>
      <c r="P154" s="119" t="n">
        <f aca="false">SUMIFS(tabela_registros[VALOR],tabela_registros[MÊS],$AE$1,tabela_registros[DIA],investiroutrosconsolidadomai[[#Headers],[12]],tabela_registros[REGISTRO],DADOS!$N$5,tabela_registros[TIPO],DADOS!$AB$5,tabela_registros[CATEGORIA],investiroutrosconsolidadomai[[#This Row],[ATUAL]])</f>
        <v>0</v>
      </c>
      <c r="Q154" s="119" t="n">
        <f aca="false">SUMIFS(tabela_registros[VALOR],tabela_registros[MÊS],$AE$1,tabela_registros[DIA],investiroutrosconsolidadomai[[#Headers],[13]],tabela_registros[REGISTRO],DADOS!$N$5,tabela_registros[TIPO],DADOS!$AB$5,tabela_registros[CATEGORIA],investiroutrosconsolidadomai[[#This Row],[ATUAL]])</f>
        <v>0</v>
      </c>
      <c r="R154" s="119" t="n">
        <f aca="false">SUMIFS(tabela_registros[VALOR],tabela_registros[MÊS],$AE$1,tabela_registros[DIA],investiroutrosconsolidadomai[[#Headers],[14]],tabela_registros[REGISTRO],DADOS!$N$5,tabela_registros[TIPO],DADOS!$AB$5,tabela_registros[CATEGORIA],investiroutrosconsolidadomai[[#This Row],[ATUAL]])</f>
        <v>0</v>
      </c>
      <c r="S154" s="119" t="n">
        <f aca="false">SUMIFS(tabela_registros[VALOR],tabela_registros[MÊS],$AE$1,tabela_registros[DIA],investiroutrosconsolidadomai[[#Headers],[15]],tabela_registros[REGISTRO],DADOS!$N$5,tabela_registros[TIPO],DADOS!$AB$5,tabela_registros[CATEGORIA],investiroutrosconsolidadomai[[#This Row],[ATUAL]])</f>
        <v>0</v>
      </c>
      <c r="T154" s="119" t="n">
        <f aca="false">SUMIFS(tabela_registros[VALOR],tabela_registros[MÊS],$AE$1,tabela_registros[DIA],investiroutrosconsolidadomai[[#Headers],[16]],tabela_registros[REGISTRO],DADOS!$N$5,tabela_registros[TIPO],DADOS!$AB$5,tabela_registros[CATEGORIA],investiroutrosconsolidadomai[[#This Row],[ATUAL]])</f>
        <v>0</v>
      </c>
      <c r="U154" s="119" t="n">
        <f aca="false">SUMIFS(tabela_registros[VALOR],tabela_registros[MÊS],$AE$1,tabela_registros[DIA],investiroutrosconsolidadomai[[#Headers],[17]],tabela_registros[REGISTRO],DADOS!$N$5,tabela_registros[TIPO],DADOS!$AB$5,tabela_registros[CATEGORIA],investiroutrosconsolidadomai[[#This Row],[ATUAL]])</f>
        <v>0</v>
      </c>
      <c r="V154" s="119" t="n">
        <f aca="false">SUMIFS(tabela_registros[VALOR],tabela_registros[MÊS],$AE$1,tabela_registros[DIA],investiroutrosconsolidadomai[[#Headers],[18]],tabela_registros[REGISTRO],DADOS!$N$5,tabela_registros[TIPO],DADOS!$AB$5,tabela_registros[CATEGORIA],investiroutrosconsolidadomai[[#This Row],[ATUAL]])</f>
        <v>0</v>
      </c>
      <c r="W154" s="119" t="n">
        <f aca="false">SUMIFS(tabela_registros[VALOR],tabela_registros[MÊS],$AE$1,tabela_registros[DIA],investiroutrosconsolidadomai[[#Headers],[19]],tabela_registros[REGISTRO],DADOS!$N$5,tabela_registros[TIPO],DADOS!$AB$5,tabela_registros[CATEGORIA],investiroutrosconsolidadomai[[#This Row],[ATUAL]])</f>
        <v>0</v>
      </c>
      <c r="X154" s="119" t="n">
        <f aca="false">SUMIFS(tabela_registros[VALOR],tabela_registros[MÊS],$AE$1,tabela_registros[DIA],investiroutrosconsolidadomai[[#Headers],[20]],tabela_registros[REGISTRO],DADOS!$N$5,tabela_registros[TIPO],DADOS!$AB$5,tabela_registros[CATEGORIA],investiroutrosconsolidadomai[[#This Row],[ATUAL]])</f>
        <v>0</v>
      </c>
      <c r="Y154" s="119" t="n">
        <f aca="false">SUMIFS(tabela_registros[VALOR],tabela_registros[MÊS],$AE$1,tabela_registros[DIA],investiroutrosconsolidadomai[[#Headers],[21]],tabela_registros[REGISTRO],DADOS!$N$5,tabela_registros[TIPO],DADOS!$AB$5,tabela_registros[CATEGORIA],investiroutrosconsolidadomai[[#This Row],[ATUAL]])</f>
        <v>0</v>
      </c>
      <c r="Z154" s="119" t="n">
        <f aca="false">SUMIFS(tabela_registros[VALOR],tabela_registros[MÊS],$AE$1,tabela_registros[DIA],investiroutrosconsolidadomai[[#Headers],[22]],tabela_registros[REGISTRO],DADOS!$N$5,tabela_registros[TIPO],DADOS!$AB$5,tabela_registros[CATEGORIA],investiroutrosconsolidadomai[[#This Row],[ATUAL]])</f>
        <v>0</v>
      </c>
      <c r="AA154" s="119" t="n">
        <f aca="false">SUMIFS(tabela_registros[VALOR],tabela_registros[MÊS],$AE$1,tabela_registros[DIA],investiroutrosconsolidadomai[[#Headers],[23]],tabela_registros[REGISTRO],DADOS!$N$5,tabela_registros[TIPO],DADOS!$AB$5,tabela_registros[CATEGORIA],investiroutrosconsolidadomai[[#This Row],[ATUAL]])</f>
        <v>0</v>
      </c>
      <c r="AB154" s="119" t="n">
        <f aca="false">SUMIFS(tabela_registros[VALOR],tabela_registros[MÊS],$AE$1,tabela_registros[DIA],investiroutrosconsolidadomai[[#Headers],[24]],tabela_registros[REGISTRO],DADOS!$N$5,tabela_registros[TIPO],DADOS!$AB$5,tabela_registros[CATEGORIA],investiroutrosconsolidadomai[[#This Row],[ATUAL]])</f>
        <v>0</v>
      </c>
      <c r="AC154" s="119" t="n">
        <f aca="false">SUMIFS(tabela_registros[VALOR],tabela_registros[MÊS],$AE$1,tabela_registros[DIA],investiroutrosconsolidadomai[[#Headers],[25]],tabela_registros[REGISTRO],DADOS!$N$5,tabela_registros[TIPO],DADOS!$AB$5,tabela_registros[CATEGORIA],investiroutrosconsolidadomai[[#This Row],[ATUAL]])</f>
        <v>0</v>
      </c>
      <c r="AD154" s="119" t="n">
        <f aca="false">SUMIFS(tabela_registros[VALOR],tabela_registros[MÊS],$AE$1,tabela_registros[DIA],investiroutrosconsolidadomai[[#Headers],[26]],tabela_registros[REGISTRO],DADOS!$N$5,tabela_registros[TIPO],DADOS!$AB$5,tabela_registros[CATEGORIA],investiroutrosconsolidadomai[[#This Row],[ATUAL]])</f>
        <v>0</v>
      </c>
      <c r="AE154" s="119" t="n">
        <f aca="false">SUMIFS(tabela_registros[VALOR],tabela_registros[MÊS],$AE$1,tabela_registros[DIA],investiroutrosconsolidadomai[[#Headers],[27]],tabela_registros[REGISTRO],DADOS!$N$5,tabela_registros[TIPO],DADOS!$AB$5,tabela_registros[CATEGORIA],investiroutrosconsolidadomai[[#This Row],[ATUAL]])</f>
        <v>0</v>
      </c>
      <c r="AF154" s="119" t="n">
        <f aca="false">SUMIFS(tabela_registros[VALOR],tabela_registros[MÊS],$AE$1,tabela_registros[DIA],investiroutrosconsolidadomai[[#Headers],[28]],tabela_registros[REGISTRO],DADOS!$N$5,tabela_registros[TIPO],DADOS!$AB$5,tabela_registros[CATEGORIA],investiroutrosconsolidadomai[[#This Row],[ATUAL]])</f>
        <v>0</v>
      </c>
      <c r="AG154" s="119" t="n">
        <f aca="false">SUMIFS(tabela_registros[VALOR],tabela_registros[MÊS],$AE$1,tabela_registros[DIA],investiroutrosconsolidadomai[[#Headers],[29]],tabela_registros[REGISTRO],DADOS!$N$5,tabela_registros[TIPO],DADOS!$AB$5,tabela_registros[CATEGORIA],investiroutrosconsolidadomai[[#This Row],[ATUAL]])</f>
        <v>0</v>
      </c>
      <c r="AH154" s="119" t="n">
        <f aca="false">SUMIFS(tabela_registros[VALOR],tabela_registros[MÊS],$AE$1,tabela_registros[DIA],investiroutrosconsolidadomai[[#Headers],[30]],tabela_registros[REGISTRO],DADOS!$N$5,tabela_registros[TIPO],DADOS!$AB$5,tabela_registros[CATEGORIA],investiroutrosconsolidadomai[[#This Row],[ATUAL]])</f>
        <v>0</v>
      </c>
      <c r="AI154" s="217" t="n">
        <f aca="false">SUMIFS(tabela_registros[VALOR],tabela_registros[MÊS],$AE$1,tabela_registros[DIA],investiroutrosconsolidadomai[[#Headers],[31]],tabela_registros[REGISTRO],DADOS!$N$5,tabela_registros[TIPO],DADOS!$AB$5,tabela_registros[CATEGORIA],investiroutrosconsolidadomai[[#This Row],[ATUAL]])</f>
        <v>0</v>
      </c>
      <c r="AJ154" s="149" t="n">
        <f aca="false">SUM(investiroutrosconsolidadomai[[#This Row],[1]:[31]])</f>
        <v>0</v>
      </c>
      <c r="AK154" s="165"/>
    </row>
    <row r="155" customFormat="false" ht="19.5" hidden="false" customHeight="true" outlineLevel="0" collapsed="false">
      <c r="B155" s="143"/>
      <c r="C155" s="144" t="str">
        <f aca="false">DADOS!$AH$7</f>
        <v>📝 PEER TO COMPANY</v>
      </c>
      <c r="D155" s="145" t="str">
        <f aca="false">IF(investiroutrosconsolidadomai[[#This Row],[TOTAL (R$)]]=0,"",IF(OR(investiroutrosconsolidadomai[[#This Row],[TOTAL (R$)]]=LARGE($AJ$151:$AJ$158,1),investiroutrosconsolidadomai[[#This Row],[TOTAL (R$)]]=LARGE($AJ$151:$AJ$158,2)),DADOS!$I$10,""))</f>
        <v/>
      </c>
      <c r="E155" s="148" t="n">
        <f aca="false">SUMIFS(tabela_registros[VALOR],tabela_registros[MÊS],$AE$1,tabela_registros[DIA],investiroutrosconsolidadomai[[#Headers],[1]],tabela_registros[REGISTRO],DADOS!$N$5,tabela_registros[TIPO],DADOS!$AB$5,tabela_registros[CATEGORIA],investiroutrosconsolidadomai[[#This Row],[ATUAL]])</f>
        <v>0</v>
      </c>
      <c r="F155" s="119" t="n">
        <f aca="false">SUMIFS(tabela_registros[VALOR],tabela_registros[MÊS],$AE$1,tabela_registros[DIA],investiroutrosconsolidadomai[[#Headers],[2]],tabela_registros[REGISTRO],DADOS!$N$5,tabela_registros[TIPO],DADOS!$AB$5,tabela_registros[CATEGORIA],investiroutrosconsolidadomai[[#This Row],[ATUAL]])</f>
        <v>0</v>
      </c>
      <c r="G155" s="119" t="n">
        <f aca="false">SUMIFS(tabela_registros[VALOR],tabela_registros[MÊS],$AE$1,tabela_registros[DIA],investiroutrosconsolidadomai[[#Headers],[3]],tabela_registros[REGISTRO],DADOS!$N$5,tabela_registros[TIPO],DADOS!$AB$5,tabela_registros[CATEGORIA],investiroutrosconsolidadomai[[#This Row],[ATUAL]])</f>
        <v>0</v>
      </c>
      <c r="H155" s="119" t="n">
        <f aca="false">SUMIFS(tabela_registros[VALOR],tabela_registros[MÊS],$AE$1,tabela_registros[DIA],investiroutrosconsolidadomai[[#Headers],[4]],tabela_registros[REGISTRO],DADOS!$N$5,tabela_registros[TIPO],DADOS!$AB$5,tabela_registros[CATEGORIA],investiroutrosconsolidadomai[[#This Row],[ATUAL]])</f>
        <v>0</v>
      </c>
      <c r="I155" s="119" t="n">
        <f aca="false">SUMIFS(tabela_registros[VALOR],tabela_registros[MÊS],$AE$1,tabela_registros[DIA],investiroutrosconsolidadomai[[#Headers],[5]],tabela_registros[REGISTRO],DADOS!$N$5,tabela_registros[TIPO],DADOS!$AB$5,tabela_registros[CATEGORIA],investiroutrosconsolidadomai[[#This Row],[ATUAL]])</f>
        <v>0</v>
      </c>
      <c r="J155" s="119" t="n">
        <f aca="false">SUMIFS(tabela_registros[VALOR],tabela_registros[MÊS],$AE$1,tabela_registros[DIA],investiroutrosconsolidadomai[[#Headers],[6]],tabela_registros[REGISTRO],DADOS!$N$5,tabela_registros[TIPO],DADOS!$AB$5,tabela_registros[CATEGORIA],investiroutrosconsolidadomai[[#This Row],[ATUAL]])</f>
        <v>0</v>
      </c>
      <c r="K155" s="119" t="n">
        <f aca="false">SUMIFS(tabela_registros[VALOR],tabela_registros[MÊS],$AE$1,tabela_registros[DIA],investiroutrosconsolidadomai[[#Headers],[7]],tabela_registros[REGISTRO],DADOS!$N$5,tabela_registros[TIPO],DADOS!$AB$5,tabela_registros[CATEGORIA],investiroutrosconsolidadomai[[#This Row],[ATUAL]])</f>
        <v>0</v>
      </c>
      <c r="L155" s="119" t="n">
        <f aca="false">SUMIFS(tabela_registros[VALOR],tabela_registros[MÊS],$AE$1,tabela_registros[DIA],investiroutrosconsolidadomai[[#Headers],[8]],tabela_registros[REGISTRO],DADOS!$N$5,tabela_registros[TIPO],DADOS!$AB$5,tabela_registros[CATEGORIA],investiroutrosconsolidadomai[[#This Row],[ATUAL]])</f>
        <v>0</v>
      </c>
      <c r="M155" s="119" t="n">
        <f aca="false">SUMIFS(tabela_registros[VALOR],tabela_registros[MÊS],$AE$1,tabela_registros[DIA],investiroutrosconsolidadomai[[#Headers],[9]],tabela_registros[REGISTRO],DADOS!$N$5,tabela_registros[TIPO],DADOS!$AB$5,tabela_registros[CATEGORIA],investiroutrosconsolidadomai[[#This Row],[ATUAL]])</f>
        <v>0</v>
      </c>
      <c r="N155" s="119" t="n">
        <f aca="false">SUMIFS(tabela_registros[VALOR],tabela_registros[MÊS],$AE$1,tabela_registros[DIA],investiroutrosconsolidadomai[[#Headers],[10]],tabela_registros[REGISTRO],DADOS!$N$5,tabela_registros[TIPO],DADOS!$AB$5,tabela_registros[CATEGORIA],investiroutrosconsolidadomai[[#This Row],[ATUAL]])</f>
        <v>0</v>
      </c>
      <c r="O155" s="119" t="n">
        <f aca="false">SUMIFS(tabela_registros[VALOR],tabela_registros[MÊS],$AE$1,tabela_registros[DIA],investiroutrosconsolidadomai[[#Headers],[11]],tabela_registros[REGISTRO],DADOS!$N$5,tabela_registros[TIPO],DADOS!$AB$5,tabela_registros[CATEGORIA],investiroutrosconsolidadomai[[#This Row],[ATUAL]])</f>
        <v>0</v>
      </c>
      <c r="P155" s="119" t="n">
        <f aca="false">SUMIFS(tabela_registros[VALOR],tabela_registros[MÊS],$AE$1,tabela_registros[DIA],investiroutrosconsolidadomai[[#Headers],[12]],tabela_registros[REGISTRO],DADOS!$N$5,tabela_registros[TIPO],DADOS!$AB$5,tabela_registros[CATEGORIA],investiroutrosconsolidadomai[[#This Row],[ATUAL]])</f>
        <v>0</v>
      </c>
      <c r="Q155" s="119" t="n">
        <f aca="false">SUMIFS(tabela_registros[VALOR],tabela_registros[MÊS],$AE$1,tabela_registros[DIA],investiroutrosconsolidadomai[[#Headers],[13]],tabela_registros[REGISTRO],DADOS!$N$5,tabela_registros[TIPO],DADOS!$AB$5,tabela_registros[CATEGORIA],investiroutrosconsolidadomai[[#This Row],[ATUAL]])</f>
        <v>0</v>
      </c>
      <c r="R155" s="119" t="n">
        <f aca="false">SUMIFS(tabela_registros[VALOR],tabela_registros[MÊS],$AE$1,tabela_registros[DIA],investiroutrosconsolidadomai[[#Headers],[14]],tabela_registros[REGISTRO],DADOS!$N$5,tabela_registros[TIPO],DADOS!$AB$5,tabela_registros[CATEGORIA],investiroutrosconsolidadomai[[#This Row],[ATUAL]])</f>
        <v>0</v>
      </c>
      <c r="S155" s="119" t="n">
        <f aca="false">SUMIFS(tabela_registros[VALOR],tabela_registros[MÊS],$AE$1,tabela_registros[DIA],investiroutrosconsolidadomai[[#Headers],[15]],tabela_registros[REGISTRO],DADOS!$N$5,tabela_registros[TIPO],DADOS!$AB$5,tabela_registros[CATEGORIA],investiroutrosconsolidadomai[[#This Row],[ATUAL]])</f>
        <v>0</v>
      </c>
      <c r="T155" s="119" t="n">
        <f aca="false">SUMIFS(tabela_registros[VALOR],tabela_registros[MÊS],$AE$1,tabela_registros[DIA],investiroutrosconsolidadomai[[#Headers],[16]],tabela_registros[REGISTRO],DADOS!$N$5,tabela_registros[TIPO],DADOS!$AB$5,tabela_registros[CATEGORIA],investiroutrosconsolidadomai[[#This Row],[ATUAL]])</f>
        <v>0</v>
      </c>
      <c r="U155" s="119" t="n">
        <f aca="false">SUMIFS(tabela_registros[VALOR],tabela_registros[MÊS],$AE$1,tabela_registros[DIA],investiroutrosconsolidadomai[[#Headers],[17]],tabela_registros[REGISTRO],DADOS!$N$5,tabela_registros[TIPO],DADOS!$AB$5,tabela_registros[CATEGORIA],investiroutrosconsolidadomai[[#This Row],[ATUAL]])</f>
        <v>0</v>
      </c>
      <c r="V155" s="119" t="n">
        <f aca="false">SUMIFS(tabela_registros[VALOR],tabela_registros[MÊS],$AE$1,tabela_registros[DIA],investiroutrosconsolidadomai[[#Headers],[18]],tabela_registros[REGISTRO],DADOS!$N$5,tabela_registros[TIPO],DADOS!$AB$5,tabela_registros[CATEGORIA],investiroutrosconsolidadomai[[#This Row],[ATUAL]])</f>
        <v>0</v>
      </c>
      <c r="W155" s="119" t="n">
        <f aca="false">SUMIFS(tabela_registros[VALOR],tabela_registros[MÊS],$AE$1,tabela_registros[DIA],investiroutrosconsolidadomai[[#Headers],[19]],tabela_registros[REGISTRO],DADOS!$N$5,tabela_registros[TIPO],DADOS!$AB$5,tabela_registros[CATEGORIA],investiroutrosconsolidadomai[[#This Row],[ATUAL]])</f>
        <v>0</v>
      </c>
      <c r="X155" s="119" t="n">
        <f aca="false">SUMIFS(tabela_registros[VALOR],tabela_registros[MÊS],$AE$1,tabela_registros[DIA],investiroutrosconsolidadomai[[#Headers],[20]],tabela_registros[REGISTRO],DADOS!$N$5,tabela_registros[TIPO],DADOS!$AB$5,tabela_registros[CATEGORIA],investiroutrosconsolidadomai[[#This Row],[ATUAL]])</f>
        <v>0</v>
      </c>
      <c r="Y155" s="119" t="n">
        <f aca="false">SUMIFS(tabela_registros[VALOR],tabela_registros[MÊS],$AE$1,tabela_registros[DIA],investiroutrosconsolidadomai[[#Headers],[21]],tabela_registros[REGISTRO],DADOS!$N$5,tabela_registros[TIPO],DADOS!$AB$5,tabela_registros[CATEGORIA],investiroutrosconsolidadomai[[#This Row],[ATUAL]])</f>
        <v>0</v>
      </c>
      <c r="Z155" s="119" t="n">
        <f aca="false">SUMIFS(tabela_registros[VALOR],tabela_registros[MÊS],$AE$1,tabela_registros[DIA],investiroutrosconsolidadomai[[#Headers],[22]],tabela_registros[REGISTRO],DADOS!$N$5,tabela_registros[TIPO],DADOS!$AB$5,tabela_registros[CATEGORIA],investiroutrosconsolidadomai[[#This Row],[ATUAL]])</f>
        <v>0</v>
      </c>
      <c r="AA155" s="119" t="n">
        <f aca="false">SUMIFS(tabela_registros[VALOR],tabela_registros[MÊS],$AE$1,tabela_registros[DIA],investiroutrosconsolidadomai[[#Headers],[23]],tabela_registros[REGISTRO],DADOS!$N$5,tabela_registros[TIPO],DADOS!$AB$5,tabela_registros[CATEGORIA],investiroutrosconsolidadomai[[#This Row],[ATUAL]])</f>
        <v>0</v>
      </c>
      <c r="AB155" s="119" t="n">
        <f aca="false">SUMIFS(tabela_registros[VALOR],tabela_registros[MÊS],$AE$1,tabela_registros[DIA],investiroutrosconsolidadomai[[#Headers],[24]],tabela_registros[REGISTRO],DADOS!$N$5,tabela_registros[TIPO],DADOS!$AB$5,tabela_registros[CATEGORIA],investiroutrosconsolidadomai[[#This Row],[ATUAL]])</f>
        <v>0</v>
      </c>
      <c r="AC155" s="119" t="n">
        <f aca="false">SUMIFS(tabela_registros[VALOR],tabela_registros[MÊS],$AE$1,tabela_registros[DIA],investiroutrosconsolidadomai[[#Headers],[25]],tabela_registros[REGISTRO],DADOS!$N$5,tabela_registros[TIPO],DADOS!$AB$5,tabela_registros[CATEGORIA],investiroutrosconsolidadomai[[#This Row],[ATUAL]])</f>
        <v>0</v>
      </c>
      <c r="AD155" s="119" t="n">
        <f aca="false">SUMIFS(tabela_registros[VALOR],tabela_registros[MÊS],$AE$1,tabela_registros[DIA],investiroutrosconsolidadomai[[#Headers],[26]],tabela_registros[REGISTRO],DADOS!$N$5,tabela_registros[TIPO],DADOS!$AB$5,tabela_registros[CATEGORIA],investiroutrosconsolidadomai[[#This Row],[ATUAL]])</f>
        <v>0</v>
      </c>
      <c r="AE155" s="119" t="n">
        <f aca="false">SUMIFS(tabela_registros[VALOR],tabela_registros[MÊS],$AE$1,tabela_registros[DIA],investiroutrosconsolidadomai[[#Headers],[27]],tabela_registros[REGISTRO],DADOS!$N$5,tabela_registros[TIPO],DADOS!$AB$5,tabela_registros[CATEGORIA],investiroutrosconsolidadomai[[#This Row],[ATUAL]])</f>
        <v>0</v>
      </c>
      <c r="AF155" s="119" t="n">
        <f aca="false">SUMIFS(tabela_registros[VALOR],tabela_registros[MÊS],$AE$1,tabela_registros[DIA],investiroutrosconsolidadomai[[#Headers],[28]],tabela_registros[REGISTRO],DADOS!$N$5,tabela_registros[TIPO],DADOS!$AB$5,tabela_registros[CATEGORIA],investiroutrosconsolidadomai[[#This Row],[ATUAL]])</f>
        <v>0</v>
      </c>
      <c r="AG155" s="119" t="n">
        <f aca="false">SUMIFS(tabela_registros[VALOR],tabela_registros[MÊS],$AE$1,tabela_registros[DIA],investiroutrosconsolidadomai[[#Headers],[29]],tabela_registros[REGISTRO],DADOS!$N$5,tabela_registros[TIPO],DADOS!$AB$5,tabela_registros[CATEGORIA],investiroutrosconsolidadomai[[#This Row],[ATUAL]])</f>
        <v>0</v>
      </c>
      <c r="AH155" s="119" t="n">
        <f aca="false">SUMIFS(tabela_registros[VALOR],tabela_registros[MÊS],$AE$1,tabela_registros[DIA],investiroutrosconsolidadomai[[#Headers],[30]],tabela_registros[REGISTRO],DADOS!$N$5,tabela_registros[TIPO],DADOS!$AB$5,tabela_registros[CATEGORIA],investiroutrosconsolidadomai[[#This Row],[ATUAL]])</f>
        <v>0</v>
      </c>
      <c r="AI155" s="217" t="n">
        <f aca="false">SUMIFS(tabela_registros[VALOR],tabela_registros[MÊS],$AE$1,tabela_registros[DIA],investiroutrosconsolidadomai[[#Headers],[31]],tabela_registros[REGISTRO],DADOS!$N$5,tabela_registros[TIPO],DADOS!$AB$5,tabela_registros[CATEGORIA],investiroutrosconsolidadomai[[#This Row],[ATUAL]])</f>
        <v>0</v>
      </c>
      <c r="AJ155" s="149" t="n">
        <f aca="false">SUM(investiroutrosconsolidadomai[[#This Row],[1]:[31]])</f>
        <v>0</v>
      </c>
      <c r="AK155" s="165"/>
    </row>
    <row r="156" customFormat="false" ht="19.5" hidden="false" customHeight="true" outlineLevel="0" collapsed="false">
      <c r="B156" s="143"/>
      <c r="C156" s="144" t="str">
        <f aca="false">DADOS!$AH$8</f>
        <v>📝 PEER TO PEER</v>
      </c>
      <c r="D156" s="145" t="str">
        <f aca="false">IF(investiroutrosconsolidadomai[[#This Row],[TOTAL (R$)]]=0,"",IF(OR(investiroutrosconsolidadomai[[#This Row],[TOTAL (R$)]]=LARGE($AJ$151:$AJ$158,1),investiroutrosconsolidadomai[[#This Row],[TOTAL (R$)]]=LARGE($AJ$151:$AJ$158,2)),DADOS!$I$10,""))</f>
        <v/>
      </c>
      <c r="E156" s="148" t="n">
        <f aca="false">SUMIFS(tabela_registros[VALOR],tabela_registros[MÊS],$AE$1,tabela_registros[DIA],investiroutrosconsolidadomai[[#Headers],[1]],tabela_registros[REGISTRO],DADOS!$N$5,tabela_registros[TIPO],DADOS!$AB$5,tabela_registros[CATEGORIA],investiroutrosconsolidadomai[[#This Row],[ATUAL]])</f>
        <v>0</v>
      </c>
      <c r="F156" s="119" t="n">
        <f aca="false">SUMIFS(tabela_registros[VALOR],tabela_registros[MÊS],$AE$1,tabela_registros[DIA],investiroutrosconsolidadomai[[#Headers],[2]],tabela_registros[REGISTRO],DADOS!$N$5,tabela_registros[TIPO],DADOS!$AB$5,tabela_registros[CATEGORIA],investiroutrosconsolidadomai[[#This Row],[ATUAL]])</f>
        <v>0</v>
      </c>
      <c r="G156" s="119" t="n">
        <f aca="false">SUMIFS(tabela_registros[VALOR],tabela_registros[MÊS],$AE$1,tabela_registros[DIA],investiroutrosconsolidadomai[[#Headers],[3]],tabela_registros[REGISTRO],DADOS!$N$5,tabela_registros[TIPO],DADOS!$AB$5,tabela_registros[CATEGORIA],investiroutrosconsolidadomai[[#This Row],[ATUAL]])</f>
        <v>0</v>
      </c>
      <c r="H156" s="119" t="n">
        <f aca="false">SUMIFS(tabela_registros[VALOR],tabela_registros[MÊS],$AE$1,tabela_registros[DIA],investiroutrosconsolidadomai[[#Headers],[4]],tabela_registros[REGISTRO],DADOS!$N$5,tabela_registros[TIPO],DADOS!$AB$5,tabela_registros[CATEGORIA],investiroutrosconsolidadomai[[#This Row],[ATUAL]])</f>
        <v>0</v>
      </c>
      <c r="I156" s="119" t="n">
        <f aca="false">SUMIFS(tabela_registros[VALOR],tabela_registros[MÊS],$AE$1,tabela_registros[DIA],investiroutrosconsolidadomai[[#Headers],[5]],tabela_registros[REGISTRO],DADOS!$N$5,tabela_registros[TIPO],DADOS!$AB$5,tabela_registros[CATEGORIA],investiroutrosconsolidadomai[[#This Row],[ATUAL]])</f>
        <v>0</v>
      </c>
      <c r="J156" s="119" t="n">
        <f aca="false">SUMIFS(tabela_registros[VALOR],tabela_registros[MÊS],$AE$1,tabela_registros[DIA],investiroutrosconsolidadomai[[#Headers],[6]],tabela_registros[REGISTRO],DADOS!$N$5,tabela_registros[TIPO],DADOS!$AB$5,tabela_registros[CATEGORIA],investiroutrosconsolidadomai[[#This Row],[ATUAL]])</f>
        <v>0</v>
      </c>
      <c r="K156" s="119" t="n">
        <f aca="false">SUMIFS(tabela_registros[VALOR],tabela_registros[MÊS],$AE$1,tabela_registros[DIA],investiroutrosconsolidadomai[[#Headers],[7]],tabela_registros[REGISTRO],DADOS!$N$5,tabela_registros[TIPO],DADOS!$AB$5,tabela_registros[CATEGORIA],investiroutrosconsolidadomai[[#This Row],[ATUAL]])</f>
        <v>0</v>
      </c>
      <c r="L156" s="119" t="n">
        <f aca="false">SUMIFS(tabela_registros[VALOR],tabela_registros[MÊS],$AE$1,tabela_registros[DIA],investiroutrosconsolidadomai[[#Headers],[8]],tabela_registros[REGISTRO],DADOS!$N$5,tabela_registros[TIPO],DADOS!$AB$5,tabela_registros[CATEGORIA],investiroutrosconsolidadomai[[#This Row],[ATUAL]])</f>
        <v>0</v>
      </c>
      <c r="M156" s="119" t="n">
        <f aca="false">SUMIFS(tabela_registros[VALOR],tabela_registros[MÊS],$AE$1,tabela_registros[DIA],investiroutrosconsolidadomai[[#Headers],[9]],tabela_registros[REGISTRO],DADOS!$N$5,tabela_registros[TIPO],DADOS!$AB$5,tabela_registros[CATEGORIA],investiroutrosconsolidadomai[[#This Row],[ATUAL]])</f>
        <v>0</v>
      </c>
      <c r="N156" s="119" t="n">
        <f aca="false">SUMIFS(tabela_registros[VALOR],tabela_registros[MÊS],$AE$1,tabela_registros[DIA],investiroutrosconsolidadomai[[#Headers],[10]],tabela_registros[REGISTRO],DADOS!$N$5,tabela_registros[TIPO],DADOS!$AB$5,tabela_registros[CATEGORIA],investiroutrosconsolidadomai[[#This Row],[ATUAL]])</f>
        <v>0</v>
      </c>
      <c r="O156" s="119" t="n">
        <f aca="false">SUMIFS(tabela_registros[VALOR],tabela_registros[MÊS],$AE$1,tabela_registros[DIA],investiroutrosconsolidadomai[[#Headers],[11]],tabela_registros[REGISTRO],DADOS!$N$5,tabela_registros[TIPO],DADOS!$AB$5,tabela_registros[CATEGORIA],investiroutrosconsolidadomai[[#This Row],[ATUAL]])</f>
        <v>0</v>
      </c>
      <c r="P156" s="119" t="n">
        <f aca="false">SUMIFS(tabela_registros[VALOR],tabela_registros[MÊS],$AE$1,tabela_registros[DIA],investiroutrosconsolidadomai[[#Headers],[12]],tabela_registros[REGISTRO],DADOS!$N$5,tabela_registros[TIPO],DADOS!$AB$5,tabela_registros[CATEGORIA],investiroutrosconsolidadomai[[#This Row],[ATUAL]])</f>
        <v>0</v>
      </c>
      <c r="Q156" s="119" t="n">
        <f aca="false">SUMIFS(tabela_registros[VALOR],tabela_registros[MÊS],$AE$1,tabela_registros[DIA],investiroutrosconsolidadomai[[#Headers],[13]],tabela_registros[REGISTRO],DADOS!$N$5,tabela_registros[TIPO],DADOS!$AB$5,tabela_registros[CATEGORIA],investiroutrosconsolidadomai[[#This Row],[ATUAL]])</f>
        <v>0</v>
      </c>
      <c r="R156" s="119" t="n">
        <f aca="false">SUMIFS(tabela_registros[VALOR],tabela_registros[MÊS],$AE$1,tabela_registros[DIA],investiroutrosconsolidadomai[[#Headers],[14]],tabela_registros[REGISTRO],DADOS!$N$5,tabela_registros[TIPO],DADOS!$AB$5,tabela_registros[CATEGORIA],investiroutrosconsolidadomai[[#This Row],[ATUAL]])</f>
        <v>0</v>
      </c>
      <c r="S156" s="119" t="n">
        <f aca="false">SUMIFS(tabela_registros[VALOR],tabela_registros[MÊS],$AE$1,tabela_registros[DIA],investiroutrosconsolidadomai[[#Headers],[15]],tabela_registros[REGISTRO],DADOS!$N$5,tabela_registros[TIPO],DADOS!$AB$5,tabela_registros[CATEGORIA],investiroutrosconsolidadomai[[#This Row],[ATUAL]])</f>
        <v>0</v>
      </c>
      <c r="T156" s="119" t="n">
        <f aca="false">SUMIFS(tabela_registros[VALOR],tabela_registros[MÊS],$AE$1,tabela_registros[DIA],investiroutrosconsolidadomai[[#Headers],[16]],tabela_registros[REGISTRO],DADOS!$N$5,tabela_registros[TIPO],DADOS!$AB$5,tabela_registros[CATEGORIA],investiroutrosconsolidadomai[[#This Row],[ATUAL]])</f>
        <v>0</v>
      </c>
      <c r="U156" s="119" t="n">
        <f aca="false">SUMIFS(tabela_registros[VALOR],tabela_registros[MÊS],$AE$1,tabela_registros[DIA],investiroutrosconsolidadomai[[#Headers],[17]],tabela_registros[REGISTRO],DADOS!$N$5,tabela_registros[TIPO],DADOS!$AB$5,tabela_registros[CATEGORIA],investiroutrosconsolidadomai[[#This Row],[ATUAL]])</f>
        <v>0</v>
      </c>
      <c r="V156" s="119" t="n">
        <f aca="false">SUMIFS(tabela_registros[VALOR],tabela_registros[MÊS],$AE$1,tabela_registros[DIA],investiroutrosconsolidadomai[[#Headers],[18]],tabela_registros[REGISTRO],DADOS!$N$5,tabela_registros[TIPO],DADOS!$AB$5,tabela_registros[CATEGORIA],investiroutrosconsolidadomai[[#This Row],[ATUAL]])</f>
        <v>0</v>
      </c>
      <c r="W156" s="119" t="n">
        <f aca="false">SUMIFS(tabela_registros[VALOR],tabela_registros[MÊS],$AE$1,tabela_registros[DIA],investiroutrosconsolidadomai[[#Headers],[19]],tabela_registros[REGISTRO],DADOS!$N$5,tabela_registros[TIPO],DADOS!$AB$5,tabela_registros[CATEGORIA],investiroutrosconsolidadomai[[#This Row],[ATUAL]])</f>
        <v>0</v>
      </c>
      <c r="X156" s="119" t="n">
        <f aca="false">SUMIFS(tabela_registros[VALOR],tabela_registros[MÊS],$AE$1,tabela_registros[DIA],investiroutrosconsolidadomai[[#Headers],[20]],tabela_registros[REGISTRO],DADOS!$N$5,tabela_registros[TIPO],DADOS!$AB$5,tabela_registros[CATEGORIA],investiroutrosconsolidadomai[[#This Row],[ATUAL]])</f>
        <v>0</v>
      </c>
      <c r="Y156" s="119" t="n">
        <f aca="false">SUMIFS(tabela_registros[VALOR],tabela_registros[MÊS],$AE$1,tabela_registros[DIA],investiroutrosconsolidadomai[[#Headers],[21]],tabela_registros[REGISTRO],DADOS!$N$5,tabela_registros[TIPO],DADOS!$AB$5,tabela_registros[CATEGORIA],investiroutrosconsolidadomai[[#This Row],[ATUAL]])</f>
        <v>0</v>
      </c>
      <c r="Z156" s="119" t="n">
        <f aca="false">SUMIFS(tabela_registros[VALOR],tabela_registros[MÊS],$AE$1,tabela_registros[DIA],investiroutrosconsolidadomai[[#Headers],[22]],tabela_registros[REGISTRO],DADOS!$N$5,tabela_registros[TIPO],DADOS!$AB$5,tabela_registros[CATEGORIA],investiroutrosconsolidadomai[[#This Row],[ATUAL]])</f>
        <v>0</v>
      </c>
      <c r="AA156" s="119" t="n">
        <f aca="false">SUMIFS(tabela_registros[VALOR],tabela_registros[MÊS],$AE$1,tabela_registros[DIA],investiroutrosconsolidadomai[[#Headers],[23]],tabela_registros[REGISTRO],DADOS!$N$5,tabela_registros[TIPO],DADOS!$AB$5,tabela_registros[CATEGORIA],investiroutrosconsolidadomai[[#This Row],[ATUAL]])</f>
        <v>0</v>
      </c>
      <c r="AB156" s="119" t="n">
        <f aca="false">SUMIFS(tabela_registros[VALOR],tabela_registros[MÊS],$AE$1,tabela_registros[DIA],investiroutrosconsolidadomai[[#Headers],[24]],tabela_registros[REGISTRO],DADOS!$N$5,tabela_registros[TIPO],DADOS!$AB$5,tabela_registros[CATEGORIA],investiroutrosconsolidadomai[[#This Row],[ATUAL]])</f>
        <v>0</v>
      </c>
      <c r="AC156" s="119" t="n">
        <f aca="false">SUMIFS(tabela_registros[VALOR],tabela_registros[MÊS],$AE$1,tabela_registros[DIA],investiroutrosconsolidadomai[[#Headers],[25]],tabela_registros[REGISTRO],DADOS!$N$5,tabela_registros[TIPO],DADOS!$AB$5,tabela_registros[CATEGORIA],investiroutrosconsolidadomai[[#This Row],[ATUAL]])</f>
        <v>0</v>
      </c>
      <c r="AD156" s="119" t="n">
        <f aca="false">SUMIFS(tabela_registros[VALOR],tabela_registros[MÊS],$AE$1,tabela_registros[DIA],investiroutrosconsolidadomai[[#Headers],[26]],tabela_registros[REGISTRO],DADOS!$N$5,tabela_registros[TIPO],DADOS!$AB$5,tabela_registros[CATEGORIA],investiroutrosconsolidadomai[[#This Row],[ATUAL]])</f>
        <v>0</v>
      </c>
      <c r="AE156" s="119" t="n">
        <f aca="false">SUMIFS(tabela_registros[VALOR],tabela_registros[MÊS],$AE$1,tabela_registros[DIA],investiroutrosconsolidadomai[[#Headers],[27]],tabela_registros[REGISTRO],DADOS!$N$5,tabela_registros[TIPO],DADOS!$AB$5,tabela_registros[CATEGORIA],investiroutrosconsolidadomai[[#This Row],[ATUAL]])</f>
        <v>0</v>
      </c>
      <c r="AF156" s="119" t="n">
        <f aca="false">SUMIFS(tabela_registros[VALOR],tabela_registros[MÊS],$AE$1,tabela_registros[DIA],investiroutrosconsolidadomai[[#Headers],[28]],tabela_registros[REGISTRO],DADOS!$N$5,tabela_registros[TIPO],DADOS!$AB$5,tabela_registros[CATEGORIA],investiroutrosconsolidadomai[[#This Row],[ATUAL]])</f>
        <v>0</v>
      </c>
      <c r="AG156" s="119" t="n">
        <f aca="false">SUMIFS(tabela_registros[VALOR],tabela_registros[MÊS],$AE$1,tabela_registros[DIA],investiroutrosconsolidadomai[[#Headers],[29]],tabela_registros[REGISTRO],DADOS!$N$5,tabela_registros[TIPO],DADOS!$AB$5,tabela_registros[CATEGORIA],investiroutrosconsolidadomai[[#This Row],[ATUAL]])</f>
        <v>0</v>
      </c>
      <c r="AH156" s="119" t="n">
        <f aca="false">SUMIFS(tabela_registros[VALOR],tabela_registros[MÊS],$AE$1,tabela_registros[DIA],investiroutrosconsolidadomai[[#Headers],[30]],tabela_registros[REGISTRO],DADOS!$N$5,tabela_registros[TIPO],DADOS!$AB$5,tabela_registros[CATEGORIA],investiroutrosconsolidadomai[[#This Row],[ATUAL]])</f>
        <v>0</v>
      </c>
      <c r="AI156" s="217" t="n">
        <f aca="false">SUMIFS(tabela_registros[VALOR],tabela_registros[MÊS],$AE$1,tabela_registros[DIA],investiroutrosconsolidadomai[[#Headers],[31]],tabela_registros[REGISTRO],DADOS!$N$5,tabela_registros[TIPO],DADOS!$AB$5,tabela_registros[CATEGORIA],investiroutrosconsolidadomai[[#This Row],[ATUAL]])</f>
        <v>0</v>
      </c>
      <c r="AJ156" s="149" t="n">
        <f aca="false">SUM(investiroutrosconsolidadomai[[#This Row],[1]:[31]])</f>
        <v>0</v>
      </c>
      <c r="AK156" s="165"/>
    </row>
    <row r="157" customFormat="false" ht="19.5" hidden="false" customHeight="true" outlineLevel="0" collapsed="false">
      <c r="B157" s="143"/>
      <c r="C157" s="144" t="str">
        <f aca="false">DADOS!$AH$9</f>
        <v>📝 PREVIDÊNCIA PRIVADA</v>
      </c>
      <c r="D157" s="145" t="str">
        <f aca="false">IF(investiroutrosconsolidadomai[[#This Row],[TOTAL (R$)]]=0,"",IF(OR(investiroutrosconsolidadomai[[#This Row],[TOTAL (R$)]]=LARGE($AJ$151:$AJ$158,1),investiroutrosconsolidadomai[[#This Row],[TOTAL (R$)]]=LARGE($AJ$151:$AJ$158,2)),DADOS!$I$10,""))</f>
        <v/>
      </c>
      <c r="E157" s="148" t="n">
        <f aca="false">SUMIFS(tabela_registros[VALOR],tabela_registros[MÊS],$AE$1,tabela_registros[DIA],investiroutrosconsolidadomai[[#Headers],[1]],tabela_registros[REGISTRO],DADOS!$N$5,tabela_registros[TIPO],DADOS!$AB$5,tabela_registros[CATEGORIA],investiroutrosconsolidadomai[[#This Row],[ATUAL]])</f>
        <v>0</v>
      </c>
      <c r="F157" s="119" t="n">
        <f aca="false">SUMIFS(tabela_registros[VALOR],tabela_registros[MÊS],$AE$1,tabela_registros[DIA],investiroutrosconsolidadomai[[#Headers],[2]],tabela_registros[REGISTRO],DADOS!$N$5,tabela_registros[TIPO],DADOS!$AB$5,tabela_registros[CATEGORIA],investiroutrosconsolidadomai[[#This Row],[ATUAL]])</f>
        <v>0</v>
      </c>
      <c r="G157" s="119" t="n">
        <f aca="false">SUMIFS(tabela_registros[VALOR],tabela_registros[MÊS],$AE$1,tabela_registros[DIA],investiroutrosconsolidadomai[[#Headers],[3]],tabela_registros[REGISTRO],DADOS!$N$5,tabela_registros[TIPO],DADOS!$AB$5,tabela_registros[CATEGORIA],investiroutrosconsolidadomai[[#This Row],[ATUAL]])</f>
        <v>0</v>
      </c>
      <c r="H157" s="119" t="n">
        <f aca="false">SUMIFS(tabela_registros[VALOR],tabela_registros[MÊS],$AE$1,tabela_registros[DIA],investiroutrosconsolidadomai[[#Headers],[4]],tabela_registros[REGISTRO],DADOS!$N$5,tabela_registros[TIPO],DADOS!$AB$5,tabela_registros[CATEGORIA],investiroutrosconsolidadomai[[#This Row],[ATUAL]])</f>
        <v>0</v>
      </c>
      <c r="I157" s="119" t="n">
        <f aca="false">SUMIFS(tabela_registros[VALOR],tabela_registros[MÊS],$AE$1,tabela_registros[DIA],investiroutrosconsolidadomai[[#Headers],[5]],tabela_registros[REGISTRO],DADOS!$N$5,tabela_registros[TIPO],DADOS!$AB$5,tabela_registros[CATEGORIA],investiroutrosconsolidadomai[[#This Row],[ATUAL]])</f>
        <v>0</v>
      </c>
      <c r="J157" s="119" t="n">
        <f aca="false">SUMIFS(tabela_registros[VALOR],tabela_registros[MÊS],$AE$1,tabela_registros[DIA],investiroutrosconsolidadomai[[#Headers],[6]],tabela_registros[REGISTRO],DADOS!$N$5,tabela_registros[TIPO],DADOS!$AB$5,tabela_registros[CATEGORIA],investiroutrosconsolidadomai[[#This Row],[ATUAL]])</f>
        <v>0</v>
      </c>
      <c r="K157" s="119" t="n">
        <f aca="false">SUMIFS(tabela_registros[VALOR],tabela_registros[MÊS],$AE$1,tabela_registros[DIA],investiroutrosconsolidadomai[[#Headers],[7]],tabela_registros[REGISTRO],DADOS!$N$5,tabela_registros[TIPO],DADOS!$AB$5,tabela_registros[CATEGORIA],investiroutrosconsolidadomai[[#This Row],[ATUAL]])</f>
        <v>0</v>
      </c>
      <c r="L157" s="119" t="n">
        <f aca="false">SUMIFS(tabela_registros[VALOR],tabela_registros[MÊS],$AE$1,tabela_registros[DIA],investiroutrosconsolidadomai[[#Headers],[8]],tabela_registros[REGISTRO],DADOS!$N$5,tabela_registros[TIPO],DADOS!$AB$5,tabela_registros[CATEGORIA],investiroutrosconsolidadomai[[#This Row],[ATUAL]])</f>
        <v>0</v>
      </c>
      <c r="M157" s="119" t="n">
        <f aca="false">SUMIFS(tabela_registros[VALOR],tabela_registros[MÊS],$AE$1,tabela_registros[DIA],investiroutrosconsolidadomai[[#Headers],[9]],tabela_registros[REGISTRO],DADOS!$N$5,tabela_registros[TIPO],DADOS!$AB$5,tabela_registros[CATEGORIA],investiroutrosconsolidadomai[[#This Row],[ATUAL]])</f>
        <v>0</v>
      </c>
      <c r="N157" s="119" t="n">
        <f aca="false">SUMIFS(tabela_registros[VALOR],tabela_registros[MÊS],$AE$1,tabela_registros[DIA],investiroutrosconsolidadomai[[#Headers],[10]],tabela_registros[REGISTRO],DADOS!$N$5,tabela_registros[TIPO],DADOS!$AB$5,tabela_registros[CATEGORIA],investiroutrosconsolidadomai[[#This Row],[ATUAL]])</f>
        <v>0</v>
      </c>
      <c r="O157" s="119" t="n">
        <f aca="false">SUMIFS(tabela_registros[VALOR],tabela_registros[MÊS],$AE$1,tabela_registros[DIA],investiroutrosconsolidadomai[[#Headers],[11]],tabela_registros[REGISTRO],DADOS!$N$5,tabela_registros[TIPO],DADOS!$AB$5,tabela_registros[CATEGORIA],investiroutrosconsolidadomai[[#This Row],[ATUAL]])</f>
        <v>0</v>
      </c>
      <c r="P157" s="119" t="n">
        <f aca="false">SUMIFS(tabela_registros[VALOR],tabela_registros[MÊS],$AE$1,tabela_registros[DIA],investiroutrosconsolidadomai[[#Headers],[12]],tabela_registros[REGISTRO],DADOS!$N$5,tabela_registros[TIPO],DADOS!$AB$5,tabela_registros[CATEGORIA],investiroutrosconsolidadomai[[#This Row],[ATUAL]])</f>
        <v>0</v>
      </c>
      <c r="Q157" s="119" t="n">
        <f aca="false">SUMIFS(tabela_registros[VALOR],tabela_registros[MÊS],$AE$1,tabela_registros[DIA],investiroutrosconsolidadomai[[#Headers],[13]],tabela_registros[REGISTRO],DADOS!$N$5,tabela_registros[TIPO],DADOS!$AB$5,tabela_registros[CATEGORIA],investiroutrosconsolidadomai[[#This Row],[ATUAL]])</f>
        <v>0</v>
      </c>
      <c r="R157" s="119" t="n">
        <f aca="false">SUMIFS(tabela_registros[VALOR],tabela_registros[MÊS],$AE$1,tabela_registros[DIA],investiroutrosconsolidadomai[[#Headers],[14]],tabela_registros[REGISTRO],DADOS!$N$5,tabela_registros[TIPO],DADOS!$AB$5,tabela_registros[CATEGORIA],investiroutrosconsolidadomai[[#This Row],[ATUAL]])</f>
        <v>0</v>
      </c>
      <c r="S157" s="119" t="n">
        <f aca="false">SUMIFS(tabela_registros[VALOR],tabela_registros[MÊS],$AE$1,tabela_registros[DIA],investiroutrosconsolidadomai[[#Headers],[15]],tabela_registros[REGISTRO],DADOS!$N$5,tabela_registros[TIPO],DADOS!$AB$5,tabela_registros[CATEGORIA],investiroutrosconsolidadomai[[#This Row],[ATUAL]])</f>
        <v>0</v>
      </c>
      <c r="T157" s="119" t="n">
        <f aca="false">SUMIFS(tabela_registros[VALOR],tabela_registros[MÊS],$AE$1,tabela_registros[DIA],investiroutrosconsolidadomai[[#Headers],[16]],tabela_registros[REGISTRO],DADOS!$N$5,tabela_registros[TIPO],DADOS!$AB$5,tabela_registros[CATEGORIA],investiroutrosconsolidadomai[[#This Row],[ATUAL]])</f>
        <v>0</v>
      </c>
      <c r="U157" s="119" t="n">
        <f aca="false">SUMIFS(tabela_registros[VALOR],tabela_registros[MÊS],$AE$1,tabela_registros[DIA],investiroutrosconsolidadomai[[#Headers],[17]],tabela_registros[REGISTRO],DADOS!$N$5,tabela_registros[TIPO],DADOS!$AB$5,tabela_registros[CATEGORIA],investiroutrosconsolidadomai[[#This Row],[ATUAL]])</f>
        <v>0</v>
      </c>
      <c r="V157" s="119" t="n">
        <f aca="false">SUMIFS(tabela_registros[VALOR],tabela_registros[MÊS],$AE$1,tabela_registros[DIA],investiroutrosconsolidadomai[[#Headers],[18]],tabela_registros[REGISTRO],DADOS!$N$5,tabela_registros[TIPO],DADOS!$AB$5,tabela_registros[CATEGORIA],investiroutrosconsolidadomai[[#This Row],[ATUAL]])</f>
        <v>0</v>
      </c>
      <c r="W157" s="119" t="n">
        <f aca="false">SUMIFS(tabela_registros[VALOR],tabela_registros[MÊS],$AE$1,tabela_registros[DIA],investiroutrosconsolidadomai[[#Headers],[19]],tabela_registros[REGISTRO],DADOS!$N$5,tabela_registros[TIPO],DADOS!$AB$5,tabela_registros[CATEGORIA],investiroutrosconsolidadomai[[#This Row],[ATUAL]])</f>
        <v>0</v>
      </c>
      <c r="X157" s="119" t="n">
        <f aca="false">SUMIFS(tabela_registros[VALOR],tabela_registros[MÊS],$AE$1,tabela_registros[DIA],investiroutrosconsolidadomai[[#Headers],[20]],tabela_registros[REGISTRO],DADOS!$N$5,tabela_registros[TIPO],DADOS!$AB$5,tabela_registros[CATEGORIA],investiroutrosconsolidadomai[[#This Row],[ATUAL]])</f>
        <v>0</v>
      </c>
      <c r="Y157" s="119" t="n">
        <f aca="false">SUMIFS(tabela_registros[VALOR],tabela_registros[MÊS],$AE$1,tabela_registros[DIA],investiroutrosconsolidadomai[[#Headers],[21]],tabela_registros[REGISTRO],DADOS!$N$5,tabela_registros[TIPO],DADOS!$AB$5,tabela_registros[CATEGORIA],investiroutrosconsolidadomai[[#This Row],[ATUAL]])</f>
        <v>0</v>
      </c>
      <c r="Z157" s="119" t="n">
        <f aca="false">SUMIFS(tabela_registros[VALOR],tabela_registros[MÊS],$AE$1,tabela_registros[DIA],investiroutrosconsolidadomai[[#Headers],[22]],tabela_registros[REGISTRO],DADOS!$N$5,tabela_registros[TIPO],DADOS!$AB$5,tabela_registros[CATEGORIA],investiroutrosconsolidadomai[[#This Row],[ATUAL]])</f>
        <v>0</v>
      </c>
      <c r="AA157" s="119" t="n">
        <f aca="false">SUMIFS(tabela_registros[VALOR],tabela_registros[MÊS],$AE$1,tabela_registros[DIA],investiroutrosconsolidadomai[[#Headers],[23]],tabela_registros[REGISTRO],DADOS!$N$5,tabela_registros[TIPO],DADOS!$AB$5,tabela_registros[CATEGORIA],investiroutrosconsolidadomai[[#This Row],[ATUAL]])</f>
        <v>0</v>
      </c>
      <c r="AB157" s="119" t="n">
        <f aca="false">SUMIFS(tabela_registros[VALOR],tabela_registros[MÊS],$AE$1,tabela_registros[DIA],investiroutrosconsolidadomai[[#Headers],[24]],tabela_registros[REGISTRO],DADOS!$N$5,tabela_registros[TIPO],DADOS!$AB$5,tabela_registros[CATEGORIA],investiroutrosconsolidadomai[[#This Row],[ATUAL]])</f>
        <v>0</v>
      </c>
      <c r="AC157" s="119" t="n">
        <f aca="false">SUMIFS(tabela_registros[VALOR],tabela_registros[MÊS],$AE$1,tabela_registros[DIA],investiroutrosconsolidadomai[[#Headers],[25]],tabela_registros[REGISTRO],DADOS!$N$5,tabela_registros[TIPO],DADOS!$AB$5,tabela_registros[CATEGORIA],investiroutrosconsolidadomai[[#This Row],[ATUAL]])</f>
        <v>0</v>
      </c>
      <c r="AD157" s="119" t="n">
        <f aca="false">SUMIFS(tabela_registros[VALOR],tabela_registros[MÊS],$AE$1,tabela_registros[DIA],investiroutrosconsolidadomai[[#Headers],[26]],tabela_registros[REGISTRO],DADOS!$N$5,tabela_registros[TIPO],DADOS!$AB$5,tabela_registros[CATEGORIA],investiroutrosconsolidadomai[[#This Row],[ATUAL]])</f>
        <v>0</v>
      </c>
      <c r="AE157" s="119" t="n">
        <f aca="false">SUMIFS(tabela_registros[VALOR],tabela_registros[MÊS],$AE$1,tabela_registros[DIA],investiroutrosconsolidadomai[[#Headers],[27]],tabela_registros[REGISTRO],DADOS!$N$5,tabela_registros[TIPO],DADOS!$AB$5,tabela_registros[CATEGORIA],investiroutrosconsolidadomai[[#This Row],[ATUAL]])</f>
        <v>0</v>
      </c>
      <c r="AF157" s="119" t="n">
        <f aca="false">SUMIFS(tabela_registros[VALOR],tabela_registros[MÊS],$AE$1,tabela_registros[DIA],investiroutrosconsolidadomai[[#Headers],[28]],tabela_registros[REGISTRO],DADOS!$N$5,tabela_registros[TIPO],DADOS!$AB$5,tabela_registros[CATEGORIA],investiroutrosconsolidadomai[[#This Row],[ATUAL]])</f>
        <v>0</v>
      </c>
      <c r="AG157" s="119" t="n">
        <f aca="false">SUMIFS(tabela_registros[VALOR],tabela_registros[MÊS],$AE$1,tabela_registros[DIA],investiroutrosconsolidadomai[[#Headers],[29]],tabela_registros[REGISTRO],DADOS!$N$5,tabela_registros[TIPO],DADOS!$AB$5,tabela_registros[CATEGORIA],investiroutrosconsolidadomai[[#This Row],[ATUAL]])</f>
        <v>0</v>
      </c>
      <c r="AH157" s="119" t="n">
        <f aca="false">SUMIFS(tabela_registros[VALOR],tabela_registros[MÊS],$AE$1,tabela_registros[DIA],investiroutrosconsolidadomai[[#Headers],[30]],tabela_registros[REGISTRO],DADOS!$N$5,tabela_registros[TIPO],DADOS!$AB$5,tabela_registros[CATEGORIA],investiroutrosconsolidadomai[[#This Row],[ATUAL]])</f>
        <v>0</v>
      </c>
      <c r="AI157" s="217" t="n">
        <f aca="false">SUMIFS(tabela_registros[VALOR],tabela_registros[MÊS],$AE$1,tabela_registros[DIA],investiroutrosconsolidadomai[[#Headers],[31]],tabela_registros[REGISTRO],DADOS!$N$5,tabela_registros[TIPO],DADOS!$AB$5,tabela_registros[CATEGORIA],investiroutrosconsolidadomai[[#This Row],[ATUAL]])</f>
        <v>0</v>
      </c>
      <c r="AJ157" s="149" t="n">
        <f aca="false">SUM(investiroutrosconsolidadomai[[#This Row],[1]:[31]])</f>
        <v>0</v>
      </c>
      <c r="AK157" s="165"/>
    </row>
    <row r="158" customFormat="false" ht="19.5" hidden="false" customHeight="true" outlineLevel="0" collapsed="false">
      <c r="B158" s="143"/>
      <c r="C158" s="144" t="str">
        <f aca="false">DADOS!$AH$10</f>
        <v>📎 OUTROS</v>
      </c>
      <c r="D158" s="145" t="str">
        <f aca="false">IF(investiroutrosconsolidadomai[[#This Row],[TOTAL (R$)]]=0,"",IF(OR(investiroutrosconsolidadomai[[#This Row],[TOTAL (R$)]]=LARGE($AJ$151:$AJ$158,1),investiroutrosconsolidadomai[[#This Row],[TOTAL (R$)]]=LARGE($AJ$151:$AJ$158,2)),DADOS!$I$10,""))</f>
        <v/>
      </c>
      <c r="E158" s="148" t="n">
        <f aca="false">SUMIFS(tabela_registros[VALOR],tabela_registros[MÊS],$AE$1,tabela_registros[DIA],investiroutrosconsolidadomai[[#Headers],[1]],tabela_registros[REGISTRO],DADOS!$N$5,tabela_registros[TIPO],DADOS!$AB$5,tabela_registros[CATEGORIA],investiroutrosconsolidadomai[[#This Row],[ATUAL]])</f>
        <v>0</v>
      </c>
      <c r="F158" s="119" t="n">
        <f aca="false">SUMIFS(tabela_registros[VALOR],tabela_registros[MÊS],$AE$1,tabela_registros[DIA],investiroutrosconsolidadomai[[#Headers],[2]],tabela_registros[REGISTRO],DADOS!$N$5,tabela_registros[TIPO],DADOS!$AB$5,tabela_registros[CATEGORIA],investiroutrosconsolidadomai[[#This Row],[ATUAL]])</f>
        <v>0</v>
      </c>
      <c r="G158" s="119" t="n">
        <f aca="false">SUMIFS(tabela_registros[VALOR],tabela_registros[MÊS],$AE$1,tabela_registros[DIA],investiroutrosconsolidadomai[[#Headers],[3]],tabela_registros[REGISTRO],DADOS!$N$5,tabela_registros[TIPO],DADOS!$AB$5,tabela_registros[CATEGORIA],investiroutrosconsolidadomai[[#This Row],[ATUAL]])</f>
        <v>0</v>
      </c>
      <c r="H158" s="119" t="n">
        <f aca="false">SUMIFS(tabela_registros[VALOR],tabela_registros[MÊS],$AE$1,tabela_registros[DIA],investiroutrosconsolidadomai[[#Headers],[4]],tabela_registros[REGISTRO],DADOS!$N$5,tabela_registros[TIPO],DADOS!$AB$5,tabela_registros[CATEGORIA],investiroutrosconsolidadomai[[#This Row],[ATUAL]])</f>
        <v>0</v>
      </c>
      <c r="I158" s="119" t="n">
        <f aca="false">SUMIFS(tabela_registros[VALOR],tabela_registros[MÊS],$AE$1,tabela_registros[DIA],investiroutrosconsolidadomai[[#Headers],[5]],tabela_registros[REGISTRO],DADOS!$N$5,tabela_registros[TIPO],DADOS!$AB$5,tabela_registros[CATEGORIA],investiroutrosconsolidadomai[[#This Row],[ATUAL]])</f>
        <v>0</v>
      </c>
      <c r="J158" s="119" t="n">
        <f aca="false">SUMIFS(tabela_registros[VALOR],tabela_registros[MÊS],$AE$1,tabela_registros[DIA],investiroutrosconsolidadomai[[#Headers],[6]],tabela_registros[REGISTRO],DADOS!$N$5,tabela_registros[TIPO],DADOS!$AB$5,tabela_registros[CATEGORIA],investiroutrosconsolidadomai[[#This Row],[ATUAL]])</f>
        <v>0</v>
      </c>
      <c r="K158" s="119" t="n">
        <f aca="false">SUMIFS(tabela_registros[VALOR],tabela_registros[MÊS],$AE$1,tabela_registros[DIA],investiroutrosconsolidadomai[[#Headers],[7]],tabela_registros[REGISTRO],DADOS!$N$5,tabela_registros[TIPO],DADOS!$AB$5,tabela_registros[CATEGORIA],investiroutrosconsolidadomai[[#This Row],[ATUAL]])</f>
        <v>0</v>
      </c>
      <c r="L158" s="119" t="n">
        <f aca="false">SUMIFS(tabela_registros[VALOR],tabela_registros[MÊS],$AE$1,tabela_registros[DIA],investiroutrosconsolidadomai[[#Headers],[8]],tabela_registros[REGISTRO],DADOS!$N$5,tabela_registros[TIPO],DADOS!$AB$5,tabela_registros[CATEGORIA],investiroutrosconsolidadomai[[#This Row],[ATUAL]])</f>
        <v>0</v>
      </c>
      <c r="M158" s="119" t="n">
        <f aca="false">SUMIFS(tabela_registros[VALOR],tabela_registros[MÊS],$AE$1,tabela_registros[DIA],investiroutrosconsolidadomai[[#Headers],[9]],tabela_registros[REGISTRO],DADOS!$N$5,tabela_registros[TIPO],DADOS!$AB$5,tabela_registros[CATEGORIA],investiroutrosconsolidadomai[[#This Row],[ATUAL]])</f>
        <v>0</v>
      </c>
      <c r="N158" s="119" t="n">
        <f aca="false">SUMIFS(tabela_registros[VALOR],tabela_registros[MÊS],$AE$1,tabela_registros[DIA],investiroutrosconsolidadomai[[#Headers],[10]],tabela_registros[REGISTRO],DADOS!$N$5,tabela_registros[TIPO],DADOS!$AB$5,tabela_registros[CATEGORIA],investiroutrosconsolidadomai[[#This Row],[ATUAL]])</f>
        <v>0</v>
      </c>
      <c r="O158" s="119" t="n">
        <f aca="false">SUMIFS(tabela_registros[VALOR],tabela_registros[MÊS],$AE$1,tabela_registros[DIA],investiroutrosconsolidadomai[[#Headers],[11]],tabela_registros[REGISTRO],DADOS!$N$5,tabela_registros[TIPO],DADOS!$AB$5,tabela_registros[CATEGORIA],investiroutrosconsolidadomai[[#This Row],[ATUAL]])</f>
        <v>0</v>
      </c>
      <c r="P158" s="119" t="n">
        <f aca="false">SUMIFS(tabela_registros[VALOR],tabela_registros[MÊS],$AE$1,tabela_registros[DIA],investiroutrosconsolidadomai[[#Headers],[12]],tabela_registros[REGISTRO],DADOS!$N$5,tabela_registros[TIPO],DADOS!$AB$5,tabela_registros[CATEGORIA],investiroutrosconsolidadomai[[#This Row],[ATUAL]])</f>
        <v>0</v>
      </c>
      <c r="Q158" s="119" t="n">
        <f aca="false">SUMIFS(tabela_registros[VALOR],tabela_registros[MÊS],$AE$1,tabela_registros[DIA],investiroutrosconsolidadomai[[#Headers],[13]],tabela_registros[REGISTRO],DADOS!$N$5,tabela_registros[TIPO],DADOS!$AB$5,tabela_registros[CATEGORIA],investiroutrosconsolidadomai[[#This Row],[ATUAL]])</f>
        <v>0</v>
      </c>
      <c r="R158" s="119" t="n">
        <f aca="false">SUMIFS(tabela_registros[VALOR],tabela_registros[MÊS],$AE$1,tabela_registros[DIA],investiroutrosconsolidadomai[[#Headers],[14]],tabela_registros[REGISTRO],DADOS!$N$5,tabela_registros[TIPO],DADOS!$AB$5,tabela_registros[CATEGORIA],investiroutrosconsolidadomai[[#This Row],[ATUAL]])</f>
        <v>0</v>
      </c>
      <c r="S158" s="119" t="n">
        <f aca="false">SUMIFS(tabela_registros[VALOR],tabela_registros[MÊS],$AE$1,tabela_registros[DIA],investiroutrosconsolidadomai[[#Headers],[15]],tabela_registros[REGISTRO],DADOS!$N$5,tabela_registros[TIPO],DADOS!$AB$5,tabela_registros[CATEGORIA],investiroutrosconsolidadomai[[#This Row],[ATUAL]])</f>
        <v>0</v>
      </c>
      <c r="T158" s="119" t="n">
        <f aca="false">SUMIFS(tabela_registros[VALOR],tabela_registros[MÊS],$AE$1,tabela_registros[DIA],investiroutrosconsolidadomai[[#Headers],[16]],tabela_registros[REGISTRO],DADOS!$N$5,tabela_registros[TIPO],DADOS!$AB$5,tabela_registros[CATEGORIA],investiroutrosconsolidadomai[[#This Row],[ATUAL]])</f>
        <v>0</v>
      </c>
      <c r="U158" s="119" t="n">
        <f aca="false">SUMIFS(tabela_registros[VALOR],tabela_registros[MÊS],$AE$1,tabela_registros[DIA],investiroutrosconsolidadomai[[#Headers],[17]],tabela_registros[REGISTRO],DADOS!$N$5,tabela_registros[TIPO],DADOS!$AB$5,tabela_registros[CATEGORIA],investiroutrosconsolidadomai[[#This Row],[ATUAL]])</f>
        <v>0</v>
      </c>
      <c r="V158" s="119" t="n">
        <f aca="false">SUMIFS(tabela_registros[VALOR],tabela_registros[MÊS],$AE$1,tabela_registros[DIA],investiroutrosconsolidadomai[[#Headers],[18]],tabela_registros[REGISTRO],DADOS!$N$5,tabela_registros[TIPO],DADOS!$AB$5,tabela_registros[CATEGORIA],investiroutrosconsolidadomai[[#This Row],[ATUAL]])</f>
        <v>0</v>
      </c>
      <c r="W158" s="119" t="n">
        <f aca="false">SUMIFS(tabela_registros[VALOR],tabela_registros[MÊS],$AE$1,tabela_registros[DIA],investiroutrosconsolidadomai[[#Headers],[19]],tabela_registros[REGISTRO],DADOS!$N$5,tabela_registros[TIPO],DADOS!$AB$5,tabela_registros[CATEGORIA],investiroutrosconsolidadomai[[#This Row],[ATUAL]])</f>
        <v>0</v>
      </c>
      <c r="X158" s="119" t="n">
        <f aca="false">SUMIFS(tabela_registros[VALOR],tabela_registros[MÊS],$AE$1,tabela_registros[DIA],investiroutrosconsolidadomai[[#Headers],[20]],tabela_registros[REGISTRO],DADOS!$N$5,tabela_registros[TIPO],DADOS!$AB$5,tabela_registros[CATEGORIA],investiroutrosconsolidadomai[[#This Row],[ATUAL]])</f>
        <v>0</v>
      </c>
      <c r="Y158" s="119" t="n">
        <f aca="false">SUMIFS(tabela_registros[VALOR],tabela_registros[MÊS],$AE$1,tabela_registros[DIA],investiroutrosconsolidadomai[[#Headers],[21]],tabela_registros[REGISTRO],DADOS!$N$5,tabela_registros[TIPO],DADOS!$AB$5,tabela_registros[CATEGORIA],investiroutrosconsolidadomai[[#This Row],[ATUAL]])</f>
        <v>0</v>
      </c>
      <c r="Z158" s="119" t="n">
        <f aca="false">SUMIFS(tabela_registros[VALOR],tabela_registros[MÊS],$AE$1,tabela_registros[DIA],investiroutrosconsolidadomai[[#Headers],[22]],tabela_registros[REGISTRO],DADOS!$N$5,tabela_registros[TIPO],DADOS!$AB$5,tabela_registros[CATEGORIA],investiroutrosconsolidadomai[[#This Row],[ATUAL]])</f>
        <v>0</v>
      </c>
      <c r="AA158" s="119" t="n">
        <f aca="false">SUMIFS(tabela_registros[VALOR],tabela_registros[MÊS],$AE$1,tabela_registros[DIA],investiroutrosconsolidadomai[[#Headers],[23]],tabela_registros[REGISTRO],DADOS!$N$5,tabela_registros[TIPO],DADOS!$AB$5,tabela_registros[CATEGORIA],investiroutrosconsolidadomai[[#This Row],[ATUAL]])</f>
        <v>0</v>
      </c>
      <c r="AB158" s="119" t="n">
        <f aca="false">SUMIFS(tabela_registros[VALOR],tabela_registros[MÊS],$AE$1,tabela_registros[DIA],investiroutrosconsolidadomai[[#Headers],[24]],tabela_registros[REGISTRO],DADOS!$N$5,tabela_registros[TIPO],DADOS!$AB$5,tabela_registros[CATEGORIA],investiroutrosconsolidadomai[[#This Row],[ATUAL]])</f>
        <v>0</v>
      </c>
      <c r="AC158" s="119" t="n">
        <f aca="false">SUMIFS(tabela_registros[VALOR],tabela_registros[MÊS],$AE$1,tabela_registros[DIA],investiroutrosconsolidadomai[[#Headers],[25]],tabela_registros[REGISTRO],DADOS!$N$5,tabela_registros[TIPO],DADOS!$AB$5,tabela_registros[CATEGORIA],investiroutrosconsolidadomai[[#This Row],[ATUAL]])</f>
        <v>0</v>
      </c>
      <c r="AD158" s="119" t="n">
        <f aca="false">SUMIFS(tabela_registros[VALOR],tabela_registros[MÊS],$AE$1,tabela_registros[DIA],investiroutrosconsolidadomai[[#Headers],[26]],tabela_registros[REGISTRO],DADOS!$N$5,tabela_registros[TIPO],DADOS!$AB$5,tabela_registros[CATEGORIA],investiroutrosconsolidadomai[[#This Row],[ATUAL]])</f>
        <v>0</v>
      </c>
      <c r="AE158" s="119" t="n">
        <f aca="false">SUMIFS(tabela_registros[VALOR],tabela_registros[MÊS],$AE$1,tabela_registros[DIA],investiroutrosconsolidadomai[[#Headers],[27]],tabela_registros[REGISTRO],DADOS!$N$5,tabela_registros[TIPO],DADOS!$AB$5,tabela_registros[CATEGORIA],investiroutrosconsolidadomai[[#This Row],[ATUAL]])</f>
        <v>0</v>
      </c>
      <c r="AF158" s="119" t="n">
        <f aca="false">SUMIFS(tabela_registros[VALOR],tabela_registros[MÊS],$AE$1,tabela_registros[DIA],investiroutrosconsolidadomai[[#Headers],[28]],tabela_registros[REGISTRO],DADOS!$N$5,tabela_registros[TIPO],DADOS!$AB$5,tabela_registros[CATEGORIA],investiroutrosconsolidadomai[[#This Row],[ATUAL]])</f>
        <v>0</v>
      </c>
      <c r="AG158" s="119" t="n">
        <f aca="false">SUMIFS(tabela_registros[VALOR],tabela_registros[MÊS],$AE$1,tabela_registros[DIA],investiroutrosconsolidadomai[[#Headers],[29]],tabela_registros[REGISTRO],DADOS!$N$5,tabela_registros[TIPO],DADOS!$AB$5,tabela_registros[CATEGORIA],investiroutrosconsolidadomai[[#This Row],[ATUAL]])</f>
        <v>0</v>
      </c>
      <c r="AH158" s="119" t="n">
        <f aca="false">SUMIFS(tabela_registros[VALOR],tabela_registros[MÊS],$AE$1,tabela_registros[DIA],investiroutrosconsolidadomai[[#Headers],[30]],tabela_registros[REGISTRO],DADOS!$N$5,tabela_registros[TIPO],DADOS!$AB$5,tabela_registros[CATEGORIA],investiroutrosconsolidadomai[[#This Row],[ATUAL]])</f>
        <v>0</v>
      </c>
      <c r="AI158" s="218" t="n">
        <f aca="false">SUMIFS(tabela_registros[VALOR],tabela_registros[MÊS],$AE$1,tabela_registros[DIA],investiroutrosconsolidadomai[[#Headers],[31]],tabela_registros[REGISTRO],DADOS!$N$5,tabela_registros[TIPO],DADOS!$AB$5,tabela_registros[CATEGORIA],investiroutrosconsolidadomai[[#This Row],[ATUAL]])</f>
        <v>0</v>
      </c>
      <c r="AJ158" s="149" t="n">
        <f aca="false">SUM(investiroutrosconsolidadomai[[#This Row],[1]:[31]])</f>
        <v>0</v>
      </c>
      <c r="AK158" s="165"/>
    </row>
    <row r="159" s="122" customFormat="true" ht="21" hidden="false" customHeight="true" outlineLevel="0" collapsed="false">
      <c r="B159" s="152"/>
      <c r="C159" s="153" t="s">
        <v>2</v>
      </c>
      <c r="D159" s="166"/>
      <c r="E159" s="155" t="n">
        <f aca="false">SUM(E151:E158)</f>
        <v>0</v>
      </c>
      <c r="F159" s="156" t="n">
        <f aca="false">SUM(F151:F158)+investiroutrosconsolidadomai[[#This Row],[1]]</f>
        <v>0</v>
      </c>
      <c r="G159" s="156" t="n">
        <f aca="false">SUM(G151:G158)+investiroutrosconsolidadomai[[#This Row],[2]]</f>
        <v>0</v>
      </c>
      <c r="H159" s="156" t="n">
        <f aca="false">SUM(H151:H158)+investiroutrosconsolidadomai[[#This Row],[3]]</f>
        <v>0</v>
      </c>
      <c r="I159" s="156" t="n">
        <f aca="false">SUM(I151:I158)+investiroutrosconsolidadomai[[#This Row],[4]]</f>
        <v>0</v>
      </c>
      <c r="J159" s="156" t="n">
        <f aca="false">SUM(J151:J158)+investiroutrosconsolidadomai[[#This Row],[5]]</f>
        <v>0</v>
      </c>
      <c r="K159" s="156" t="n">
        <f aca="false">SUM(K151:K158)+investiroutrosconsolidadomai[[#This Row],[6]]</f>
        <v>0</v>
      </c>
      <c r="L159" s="156" t="n">
        <f aca="false">SUM(L151:L158)+investiroutrosconsolidadomai[[#This Row],[7]]</f>
        <v>0</v>
      </c>
      <c r="M159" s="156" t="n">
        <f aca="false">SUM(M151:M158)+investiroutrosconsolidadomai[[#This Row],[8]]</f>
        <v>0</v>
      </c>
      <c r="N159" s="156" t="n">
        <f aca="false">SUM(N151:N158)+investiroutrosconsolidadomai[[#This Row],[9]]</f>
        <v>0</v>
      </c>
      <c r="O159" s="156" t="n">
        <f aca="false">SUM(O151:O158)+investiroutrosconsolidadomai[[#This Row],[10]]</f>
        <v>0</v>
      </c>
      <c r="P159" s="156" t="n">
        <f aca="false">SUM(P151:P158)+investiroutrosconsolidadomai[[#This Row],[11]]</f>
        <v>0</v>
      </c>
      <c r="Q159" s="156" t="n">
        <f aca="false">SUM(Q151:Q158)+investiroutrosconsolidadomai[[#This Row],[12]]</f>
        <v>0</v>
      </c>
      <c r="R159" s="156" t="n">
        <f aca="false">SUM(R151:R158)+investiroutrosconsolidadomai[[#This Row],[13]]</f>
        <v>0</v>
      </c>
      <c r="S159" s="156" t="n">
        <f aca="false">SUM(S151:S158)+investiroutrosconsolidadomai[[#This Row],[14]]</f>
        <v>0</v>
      </c>
      <c r="T159" s="156" t="n">
        <f aca="false">SUM(T151:T158)+investiroutrosconsolidadomai[[#This Row],[15]]</f>
        <v>0</v>
      </c>
      <c r="U159" s="156" t="n">
        <f aca="false">SUM(U151:U158)+investiroutrosconsolidadomai[[#This Row],[16]]</f>
        <v>0</v>
      </c>
      <c r="V159" s="156" t="n">
        <f aca="false">SUM(V151:V158)+investiroutrosconsolidadomai[[#This Row],[17]]</f>
        <v>0</v>
      </c>
      <c r="W159" s="156" t="n">
        <f aca="false">SUM(W151:W158)+investiroutrosconsolidadomai[[#This Row],[18]]</f>
        <v>0</v>
      </c>
      <c r="X159" s="156" t="n">
        <f aca="false">SUM(X151:X158)+investiroutrosconsolidadomai[[#This Row],[19]]</f>
        <v>0</v>
      </c>
      <c r="Y159" s="156" t="n">
        <f aca="false">SUM(Y151:Y158)+investiroutrosconsolidadomai[[#This Row],[20]]</f>
        <v>0</v>
      </c>
      <c r="Z159" s="156" t="n">
        <f aca="false">SUM(Z151:Z158)+investiroutrosconsolidadomai[[#This Row],[21]]</f>
        <v>0</v>
      </c>
      <c r="AA159" s="156" t="n">
        <f aca="false">SUM(AA151:AA158)+investiroutrosconsolidadomai[[#This Row],[22]]</f>
        <v>0</v>
      </c>
      <c r="AB159" s="156" t="n">
        <f aca="false">SUM(AB151:AB158)+investiroutrosconsolidadomai[[#This Row],[23]]</f>
        <v>0</v>
      </c>
      <c r="AC159" s="156" t="n">
        <f aca="false">SUM(AC151:AC158)+investiroutrosconsolidadomai[[#This Row],[24]]</f>
        <v>0</v>
      </c>
      <c r="AD159" s="156" t="n">
        <f aca="false">SUM(AD151:AD158)+investiroutrosconsolidadomai[[#This Row],[25]]</f>
        <v>0</v>
      </c>
      <c r="AE159" s="156" t="n">
        <f aca="false">SUM(AE151:AE158)+investiroutrosconsolidadomai[[#This Row],[26]]</f>
        <v>0</v>
      </c>
      <c r="AF159" s="156" t="n">
        <f aca="false">SUM(AF151:AF158)+investiroutrosconsolidadomai[[#This Row],[27]]</f>
        <v>0</v>
      </c>
      <c r="AG159" s="156" t="n">
        <f aca="false">SUM(AG151:AG158)+investiroutrosconsolidadomai[[#This Row],[28]]</f>
        <v>0</v>
      </c>
      <c r="AH159" s="156" t="n">
        <f aca="false">SUM(AH151:AH158)+investiroutrosconsolidadomai[[#This Row],[29]]</f>
        <v>0</v>
      </c>
      <c r="AI159" s="223" t="n">
        <f aca="false">SUM(AI151:AI158)+investiroutrosconsolidadomai[[#This Row],[30]]</f>
        <v>0</v>
      </c>
      <c r="AJ159" s="157" t="n">
        <f aca="false">investiroutrosconsolidadomai[[#This Row],[31]]</f>
        <v>0</v>
      </c>
      <c r="AK159" s="158"/>
    </row>
    <row r="160" customFormat="false" ht="6.75" hidden="false" customHeight="true" outlineLevel="0" collapsed="false">
      <c r="B160" s="97"/>
      <c r="C160" s="162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233"/>
      <c r="AJ160" s="164"/>
      <c r="AK160" s="244"/>
    </row>
    <row r="161" s="78" customFormat="true" ht="12.75" hidden="false" customHeight="false" outlineLevel="0" collapsed="false">
      <c r="E161" s="100"/>
    </row>
    <row r="162" s="78" customFormat="true" ht="12" hidden="false" customHeight="false" outlineLevel="0" collapsed="false"/>
    <row r="163" s="78" customFormat="true" ht="12" hidden="false" customHeight="false" outlineLevel="0" collapsed="false"/>
    <row r="164" customFormat="false" ht="39.75" hidden="false" customHeight="true" outlineLevel="0" collapsed="false">
      <c r="C164" s="101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3" t="s">
        <v>2</v>
      </c>
    </row>
    <row r="165" s="78" customFormat="true" ht="12.75" hidden="false" customHeight="false" outlineLevel="0" collapsed="false">
      <c r="B165" s="161"/>
      <c r="AJ165" s="106" t="s">
        <v>64</v>
      </c>
    </row>
    <row r="166" customFormat="false" ht="6.75" hidden="false" customHeight="true" outlineLevel="0" collapsed="false">
      <c r="B166" s="86"/>
      <c r="C166" s="162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233"/>
      <c r="AK166" s="139"/>
    </row>
    <row r="167" customFormat="false" ht="13.5" hidden="true" customHeight="false" outlineLevel="0" collapsed="false">
      <c r="B167" s="86"/>
      <c r="C167" s="109" t="s">
        <v>68</v>
      </c>
      <c r="D167" s="110" t="s">
        <v>69</v>
      </c>
      <c r="E167" s="110" t="s">
        <v>30</v>
      </c>
      <c r="F167" s="110" t="s">
        <v>31</v>
      </c>
      <c r="G167" s="110" t="s">
        <v>32</v>
      </c>
      <c r="H167" s="110" t="s">
        <v>33</v>
      </c>
      <c r="I167" s="110" t="s">
        <v>34</v>
      </c>
      <c r="J167" s="110" t="s">
        <v>35</v>
      </c>
      <c r="K167" s="110" t="s">
        <v>36</v>
      </c>
      <c r="L167" s="110" t="s">
        <v>37</v>
      </c>
      <c r="M167" s="110" t="s">
        <v>38</v>
      </c>
      <c r="N167" s="110" t="s">
        <v>39</v>
      </c>
      <c r="O167" s="110" t="s">
        <v>40</v>
      </c>
      <c r="P167" s="110" t="s">
        <v>41</v>
      </c>
      <c r="Q167" s="110" t="s">
        <v>81</v>
      </c>
      <c r="R167" s="110" t="s">
        <v>82</v>
      </c>
      <c r="S167" s="110" t="s">
        <v>83</v>
      </c>
      <c r="T167" s="110" t="s">
        <v>84</v>
      </c>
      <c r="U167" s="110" t="s">
        <v>85</v>
      </c>
      <c r="V167" s="110" t="s">
        <v>86</v>
      </c>
      <c r="W167" s="110" t="s">
        <v>87</v>
      </c>
      <c r="X167" s="110" t="s">
        <v>88</v>
      </c>
      <c r="Y167" s="110" t="s">
        <v>89</v>
      </c>
      <c r="Z167" s="110" t="s">
        <v>90</v>
      </c>
      <c r="AA167" s="110" t="s">
        <v>91</v>
      </c>
      <c r="AB167" s="110" t="s">
        <v>92</v>
      </c>
      <c r="AC167" s="110" t="s">
        <v>93</v>
      </c>
      <c r="AD167" s="110" t="s">
        <v>94</v>
      </c>
      <c r="AE167" s="110" t="s">
        <v>95</v>
      </c>
      <c r="AF167" s="110" t="s">
        <v>96</v>
      </c>
      <c r="AG167" s="110" t="s">
        <v>97</v>
      </c>
      <c r="AH167" s="110" t="s">
        <v>98</v>
      </c>
      <c r="AI167" s="110" t="s">
        <v>99</v>
      </c>
      <c r="AJ167" s="111" t="s">
        <v>70</v>
      </c>
      <c r="AK167" s="86"/>
    </row>
    <row r="168" customFormat="false" ht="19.5" hidden="false" customHeight="true" outlineLevel="0" collapsed="false">
      <c r="B168" s="143"/>
      <c r="C168" s="144" t="str">
        <f aca="false">DADOS!$AL$3</f>
        <v>📝 CDB</v>
      </c>
      <c r="D168" s="145" t="str">
        <f aca="false">IF(reservafixaconsolidadomai[[#This Row],[TOTAL (R$)]]=0,"",IF(OR(reservafixaconsolidadomai[[#This Row],[TOTAL (R$)]]=LARGE($AJ$168:$AJ$177,1),reservafixaconsolidadomai[[#This Row],[TOTAL (R$)]]=LARGE($AJ$168:$AJ$177,2)),DADOS!$I$11,""))</f>
        <v/>
      </c>
      <c r="E168" s="148" t="n">
        <f aca="false">SUMIFS(tabela_registros[VALOR],tabela_registros[MÊS],$AE$1,tabela_registros[DIA],reservafixaconsolidadomai[[#Headers],[1]],tabela_registros[REGISTRO],DADOS!$N$6,tabela_registros[TIPO],DADOS!$AJ$3,tabela_registros[CATEGORIA],reservafixaconsolidadomai[[#This Row],[ATUAL]])</f>
        <v>0</v>
      </c>
      <c r="F168" s="119" t="n">
        <f aca="false">SUMIFS(tabela_registros[VALOR],tabela_registros[MÊS],$AE$1,tabela_registros[DIA],reservafixaconsolidadomai[[#Headers],[2]],tabela_registros[REGISTRO],DADOS!$N$6,tabela_registros[TIPO],DADOS!$AJ$3,tabela_registros[CATEGORIA],reservafixaconsolidadomai[[#This Row],[ATUAL]])</f>
        <v>0</v>
      </c>
      <c r="G168" s="119" t="n">
        <f aca="false">SUMIFS(tabela_registros[VALOR],tabela_registros[MÊS],$AE$1,tabela_registros[DIA],reservafixaconsolidadomai[[#Headers],[3]],tabela_registros[REGISTRO],DADOS!$N$6,tabela_registros[TIPO],DADOS!$AJ$3,tabela_registros[CATEGORIA],reservafixaconsolidadomai[[#This Row],[ATUAL]])</f>
        <v>0</v>
      </c>
      <c r="H168" s="119" t="n">
        <f aca="false">SUMIFS(tabela_registros[VALOR],tabela_registros[MÊS],$AE$1,tabela_registros[DIA],reservafixaconsolidadomai[[#Headers],[4]],tabela_registros[REGISTRO],DADOS!$N$6,tabela_registros[TIPO],DADOS!$AJ$3,tabela_registros[CATEGORIA],reservafixaconsolidadomai[[#This Row],[ATUAL]])</f>
        <v>0</v>
      </c>
      <c r="I168" s="119" t="n">
        <f aca="false">SUMIFS(tabela_registros[VALOR],tabela_registros[MÊS],$AE$1,tabela_registros[DIA],reservafixaconsolidadomai[[#Headers],[5]],tabela_registros[REGISTRO],DADOS!$N$6,tabela_registros[TIPO],DADOS!$AJ$3,tabela_registros[CATEGORIA],reservafixaconsolidadomai[[#This Row],[ATUAL]])</f>
        <v>0</v>
      </c>
      <c r="J168" s="119" t="n">
        <f aca="false">SUMIFS(tabela_registros[VALOR],tabela_registros[MÊS],$AE$1,tabela_registros[DIA],reservafixaconsolidadomai[[#Headers],[6]],tabela_registros[REGISTRO],DADOS!$N$6,tabela_registros[TIPO],DADOS!$AJ$3,tabela_registros[CATEGORIA],reservafixaconsolidadomai[[#This Row],[ATUAL]])</f>
        <v>0</v>
      </c>
      <c r="K168" s="119" t="n">
        <f aca="false">SUMIFS(tabela_registros[VALOR],tabela_registros[MÊS],$AE$1,tabela_registros[DIA],reservafixaconsolidadomai[[#Headers],[7]],tabela_registros[REGISTRO],DADOS!$N$6,tabela_registros[TIPO],DADOS!$AJ$3,tabela_registros[CATEGORIA],reservafixaconsolidadomai[[#This Row],[ATUAL]])</f>
        <v>0</v>
      </c>
      <c r="L168" s="119" t="n">
        <f aca="false">SUMIFS(tabela_registros[VALOR],tabela_registros[MÊS],$AE$1,tabela_registros[DIA],reservafixaconsolidadomai[[#Headers],[8]],tabela_registros[REGISTRO],DADOS!$N$6,tabela_registros[TIPO],DADOS!$AJ$3,tabela_registros[CATEGORIA],reservafixaconsolidadomai[[#This Row],[ATUAL]])</f>
        <v>0</v>
      </c>
      <c r="M168" s="119" t="n">
        <f aca="false">SUMIFS(tabela_registros[VALOR],tabela_registros[MÊS],$AE$1,tabela_registros[DIA],reservafixaconsolidadomai[[#Headers],[9]],tabela_registros[REGISTRO],DADOS!$N$6,tabela_registros[TIPO],DADOS!$AJ$3,tabela_registros[CATEGORIA],reservafixaconsolidadomai[[#This Row],[ATUAL]])</f>
        <v>0</v>
      </c>
      <c r="N168" s="119" t="n">
        <f aca="false">SUMIFS(tabela_registros[VALOR],tabela_registros[MÊS],$AE$1,tabela_registros[DIA],reservafixaconsolidadomai[[#Headers],[10]],tabela_registros[REGISTRO],DADOS!$N$6,tabela_registros[TIPO],DADOS!$AJ$3,tabela_registros[CATEGORIA],reservafixaconsolidadomai[[#This Row],[ATUAL]])</f>
        <v>0</v>
      </c>
      <c r="O168" s="119" t="n">
        <f aca="false">SUMIFS(tabela_registros[VALOR],tabela_registros[MÊS],$AE$1,tabela_registros[DIA],reservafixaconsolidadomai[[#Headers],[11]],tabela_registros[REGISTRO],DADOS!$N$6,tabela_registros[TIPO],DADOS!$AJ$3,tabela_registros[CATEGORIA],reservafixaconsolidadomai[[#This Row],[ATUAL]])</f>
        <v>0</v>
      </c>
      <c r="P168" s="119" t="n">
        <f aca="false">SUMIFS(tabela_registros[VALOR],tabela_registros[MÊS],$AE$1,tabela_registros[DIA],reservafixaconsolidadomai[[#Headers],[12]],tabela_registros[REGISTRO],DADOS!$N$6,tabela_registros[TIPO],DADOS!$AJ$3,tabela_registros[CATEGORIA],reservafixaconsolidadomai[[#This Row],[ATUAL]])</f>
        <v>0</v>
      </c>
      <c r="Q168" s="119" t="n">
        <f aca="false">SUMIFS(tabela_registros[VALOR],tabela_registros[MÊS],$AE$1,tabela_registros[DIA],reservafixaconsolidadomai[[#Headers],[13]],tabela_registros[REGISTRO],DADOS!$N$6,tabela_registros[TIPO],DADOS!$AJ$3,tabela_registros[CATEGORIA],reservafixaconsolidadomai[[#This Row],[ATUAL]])</f>
        <v>0</v>
      </c>
      <c r="R168" s="119" t="n">
        <f aca="false">SUMIFS(tabela_registros[VALOR],tabela_registros[MÊS],$AE$1,tabela_registros[DIA],reservafixaconsolidadomai[[#Headers],[14]],tabela_registros[REGISTRO],DADOS!$N$6,tabela_registros[TIPO],DADOS!$AJ$3,tabela_registros[CATEGORIA],reservafixaconsolidadomai[[#This Row],[ATUAL]])</f>
        <v>0</v>
      </c>
      <c r="S168" s="119" t="n">
        <f aca="false">SUMIFS(tabela_registros[VALOR],tabela_registros[MÊS],$AE$1,tabela_registros[DIA],reservafixaconsolidadomai[[#Headers],[15]],tabela_registros[REGISTRO],DADOS!$N$6,tabela_registros[TIPO],DADOS!$AJ$3,tabela_registros[CATEGORIA],reservafixaconsolidadomai[[#This Row],[ATUAL]])</f>
        <v>0</v>
      </c>
      <c r="T168" s="119" t="n">
        <f aca="false">SUMIFS(tabela_registros[VALOR],tabela_registros[MÊS],$AE$1,tabela_registros[DIA],reservafixaconsolidadomai[[#Headers],[16]],tabela_registros[REGISTRO],DADOS!$N$6,tabela_registros[TIPO],DADOS!$AJ$3,tabela_registros[CATEGORIA],reservafixaconsolidadomai[[#This Row],[ATUAL]])</f>
        <v>0</v>
      </c>
      <c r="U168" s="119" t="n">
        <f aca="false">SUMIFS(tabela_registros[VALOR],tabela_registros[MÊS],$AE$1,tabela_registros[DIA],reservafixaconsolidadomai[[#Headers],[17]],tabela_registros[REGISTRO],DADOS!$N$6,tabela_registros[TIPO],DADOS!$AJ$3,tabela_registros[CATEGORIA],reservafixaconsolidadomai[[#This Row],[ATUAL]])</f>
        <v>0</v>
      </c>
      <c r="V168" s="119" t="n">
        <f aca="false">SUMIFS(tabela_registros[VALOR],tabela_registros[MÊS],$AE$1,tabela_registros[DIA],reservafixaconsolidadomai[[#Headers],[18]],tabela_registros[REGISTRO],DADOS!$N$6,tabela_registros[TIPO],DADOS!$AJ$3,tabela_registros[CATEGORIA],reservafixaconsolidadomai[[#This Row],[ATUAL]])</f>
        <v>0</v>
      </c>
      <c r="W168" s="119" t="n">
        <f aca="false">SUMIFS(tabela_registros[VALOR],tabela_registros[MÊS],$AE$1,tabela_registros[DIA],reservafixaconsolidadomai[[#Headers],[19]],tabela_registros[REGISTRO],DADOS!$N$6,tabela_registros[TIPO],DADOS!$AJ$3,tabela_registros[CATEGORIA],reservafixaconsolidadomai[[#This Row],[ATUAL]])</f>
        <v>0</v>
      </c>
      <c r="X168" s="119" t="n">
        <f aca="false">SUMIFS(tabela_registros[VALOR],tabela_registros[MÊS],$AE$1,tabela_registros[DIA],reservafixaconsolidadomai[[#Headers],[20]],tabela_registros[REGISTRO],DADOS!$N$6,tabela_registros[TIPO],DADOS!$AJ$3,tabela_registros[CATEGORIA],reservafixaconsolidadomai[[#This Row],[ATUAL]])</f>
        <v>0</v>
      </c>
      <c r="Y168" s="119" t="n">
        <f aca="false">SUMIFS(tabela_registros[VALOR],tabela_registros[MÊS],$AE$1,tabela_registros[DIA],reservafixaconsolidadomai[[#Headers],[21]],tabela_registros[REGISTRO],DADOS!$N$6,tabela_registros[TIPO],DADOS!$AJ$3,tabela_registros[CATEGORIA],reservafixaconsolidadomai[[#This Row],[ATUAL]])</f>
        <v>0</v>
      </c>
      <c r="Z168" s="119" t="n">
        <f aca="false">SUMIFS(tabela_registros[VALOR],tabela_registros[MÊS],$AE$1,tabela_registros[DIA],reservafixaconsolidadomai[[#Headers],[22]],tabela_registros[REGISTRO],DADOS!$N$6,tabela_registros[TIPO],DADOS!$AJ$3,tabela_registros[CATEGORIA],reservafixaconsolidadomai[[#This Row],[ATUAL]])</f>
        <v>0</v>
      </c>
      <c r="AA168" s="119" t="n">
        <f aca="false">SUMIFS(tabela_registros[VALOR],tabela_registros[MÊS],$AE$1,tabela_registros[DIA],reservafixaconsolidadomai[[#Headers],[23]],tabela_registros[REGISTRO],DADOS!$N$6,tabela_registros[TIPO],DADOS!$AJ$3,tabela_registros[CATEGORIA],reservafixaconsolidadomai[[#This Row],[ATUAL]])</f>
        <v>0</v>
      </c>
      <c r="AB168" s="119" t="n">
        <f aca="false">SUMIFS(tabela_registros[VALOR],tabela_registros[MÊS],$AE$1,tabela_registros[DIA],reservafixaconsolidadomai[[#Headers],[24]],tabela_registros[REGISTRO],DADOS!$N$6,tabela_registros[TIPO],DADOS!$AJ$3,tabela_registros[CATEGORIA],reservafixaconsolidadomai[[#This Row],[ATUAL]])</f>
        <v>0</v>
      </c>
      <c r="AC168" s="119" t="n">
        <f aca="false">SUMIFS(tabela_registros[VALOR],tabela_registros[MÊS],$AE$1,tabela_registros[DIA],reservafixaconsolidadomai[[#Headers],[25]],tabela_registros[REGISTRO],DADOS!$N$6,tabela_registros[TIPO],DADOS!$AJ$3,tabela_registros[CATEGORIA],reservafixaconsolidadomai[[#This Row],[ATUAL]])</f>
        <v>0</v>
      </c>
      <c r="AD168" s="119" t="n">
        <f aca="false">SUMIFS(tabela_registros[VALOR],tabela_registros[MÊS],$AE$1,tabela_registros[DIA],reservafixaconsolidadomai[[#Headers],[26]],tabela_registros[REGISTRO],DADOS!$N$6,tabela_registros[TIPO],DADOS!$AJ$3,tabela_registros[CATEGORIA],reservafixaconsolidadomai[[#This Row],[ATUAL]])</f>
        <v>0</v>
      </c>
      <c r="AE168" s="119" t="n">
        <f aca="false">SUMIFS(tabela_registros[VALOR],tabela_registros[MÊS],$AE$1,tabela_registros[DIA],reservafixaconsolidadomai[[#Headers],[27]],tabela_registros[REGISTRO],DADOS!$N$6,tabela_registros[TIPO],DADOS!$AJ$3,tabela_registros[CATEGORIA],reservafixaconsolidadomai[[#This Row],[ATUAL]])</f>
        <v>0</v>
      </c>
      <c r="AF168" s="119" t="n">
        <f aca="false">SUMIFS(tabela_registros[VALOR],tabela_registros[MÊS],$AE$1,tabela_registros[DIA],reservafixaconsolidadomai[[#Headers],[28]],tabela_registros[REGISTRO],DADOS!$N$6,tabela_registros[TIPO],DADOS!$AJ$3,tabela_registros[CATEGORIA],reservafixaconsolidadomai[[#This Row],[ATUAL]])</f>
        <v>0</v>
      </c>
      <c r="AG168" s="119" t="n">
        <f aca="false">SUMIFS(tabela_registros[VALOR],tabela_registros[MÊS],$AE$1,tabela_registros[DIA],reservafixaconsolidadomai[[#Headers],[29]],tabela_registros[REGISTRO],DADOS!$N$6,tabela_registros[TIPO],DADOS!$AJ$3,tabela_registros[CATEGORIA],reservafixaconsolidadomai[[#This Row],[ATUAL]])</f>
        <v>0</v>
      </c>
      <c r="AH168" s="119" t="n">
        <f aca="false">SUMIFS(tabela_registros[VALOR],tabela_registros[MÊS],$AE$1,tabela_registros[DIA],reservafixaconsolidadomai[[#Headers],[30]],tabela_registros[REGISTRO],DADOS!$N$6,tabela_registros[TIPO],DADOS!$AJ$3,tabela_registros[CATEGORIA],reservafixaconsolidadomai[[#This Row],[ATUAL]])</f>
        <v>0</v>
      </c>
      <c r="AI168" s="217" t="n">
        <f aca="false">SUMIFS(tabela_registros[VALOR],tabela_registros[MÊS],$AE$1,tabela_registros[DIA],reservafixaconsolidadomai[[#Headers],[31]],tabela_registros[REGISTRO],DADOS!$N$6,tabela_registros[TIPO],DADOS!$AJ$3,tabela_registros[CATEGORIA],reservafixaconsolidadomai[[#This Row],[ATUAL]])</f>
        <v>0</v>
      </c>
      <c r="AJ168" s="149" t="n">
        <f aca="false">SUM(reservafixaconsolidadomai[[#This Row],[1]:[31]])</f>
        <v>0</v>
      </c>
      <c r="AK168" s="165"/>
    </row>
    <row r="169" customFormat="false" ht="19.5" hidden="false" customHeight="true" outlineLevel="0" collapsed="false">
      <c r="B169" s="143"/>
      <c r="C169" s="144" t="str">
        <f aca="false">DADOS!$AL$4</f>
        <v>📝 CRA</v>
      </c>
      <c r="D169" s="145" t="str">
        <f aca="false">IF(reservafixaconsolidadomai[[#This Row],[TOTAL (R$)]]=0,"",IF(OR(reservafixaconsolidadomai[[#This Row],[TOTAL (R$)]]=LARGE($AJ$168:$AJ$177,1),reservafixaconsolidadomai[[#This Row],[TOTAL (R$)]]=LARGE($AJ$168:$AJ$177,2)),DADOS!$I$11,""))</f>
        <v/>
      </c>
      <c r="E169" s="148" t="n">
        <f aca="false">SUMIFS(tabela_registros[VALOR],tabela_registros[MÊS],$AE$1,tabela_registros[DIA],reservafixaconsolidadomai[[#Headers],[1]],tabela_registros[REGISTRO],DADOS!$N$6,tabela_registros[TIPO],DADOS!$AJ$3,tabela_registros[CATEGORIA],reservafixaconsolidadomai[[#This Row],[ATUAL]])</f>
        <v>0</v>
      </c>
      <c r="F169" s="119" t="n">
        <f aca="false">SUMIFS(tabela_registros[VALOR],tabela_registros[MÊS],$AE$1,tabela_registros[DIA],reservafixaconsolidadomai[[#Headers],[2]],tabela_registros[REGISTRO],DADOS!$N$6,tabela_registros[TIPO],DADOS!$AJ$3,tabela_registros[CATEGORIA],reservafixaconsolidadomai[[#This Row],[ATUAL]])</f>
        <v>0</v>
      </c>
      <c r="G169" s="119" t="n">
        <f aca="false">SUMIFS(tabela_registros[VALOR],tabela_registros[MÊS],$AE$1,tabela_registros[DIA],reservafixaconsolidadomai[[#Headers],[3]],tabela_registros[REGISTRO],DADOS!$N$6,tabela_registros[TIPO],DADOS!$AJ$3,tabela_registros[CATEGORIA],reservafixaconsolidadomai[[#This Row],[ATUAL]])</f>
        <v>0</v>
      </c>
      <c r="H169" s="119" t="n">
        <f aca="false">SUMIFS(tabela_registros[VALOR],tabela_registros[MÊS],$AE$1,tabela_registros[DIA],reservafixaconsolidadomai[[#Headers],[4]],tabela_registros[REGISTRO],DADOS!$N$6,tabela_registros[TIPO],DADOS!$AJ$3,tabela_registros[CATEGORIA],reservafixaconsolidadomai[[#This Row],[ATUAL]])</f>
        <v>0</v>
      </c>
      <c r="I169" s="119" t="n">
        <f aca="false">SUMIFS(tabela_registros[VALOR],tabela_registros[MÊS],$AE$1,tabela_registros[DIA],reservafixaconsolidadomai[[#Headers],[5]],tabela_registros[REGISTRO],DADOS!$N$6,tabela_registros[TIPO],DADOS!$AJ$3,tabela_registros[CATEGORIA],reservafixaconsolidadomai[[#This Row],[ATUAL]])</f>
        <v>0</v>
      </c>
      <c r="J169" s="119" t="n">
        <f aca="false">SUMIFS(tabela_registros[VALOR],tabela_registros[MÊS],$AE$1,tabela_registros[DIA],reservafixaconsolidadomai[[#Headers],[6]],tabela_registros[REGISTRO],DADOS!$N$6,tabela_registros[TIPO],DADOS!$AJ$3,tabela_registros[CATEGORIA],reservafixaconsolidadomai[[#This Row],[ATUAL]])</f>
        <v>0</v>
      </c>
      <c r="K169" s="119" t="n">
        <f aca="false">SUMIFS(tabela_registros[VALOR],tabela_registros[MÊS],$AE$1,tabela_registros[DIA],reservafixaconsolidadomai[[#Headers],[7]],tabela_registros[REGISTRO],DADOS!$N$6,tabela_registros[TIPO],DADOS!$AJ$3,tabela_registros[CATEGORIA],reservafixaconsolidadomai[[#This Row],[ATUAL]])</f>
        <v>0</v>
      </c>
      <c r="L169" s="119" t="n">
        <f aca="false">SUMIFS(tabela_registros[VALOR],tabela_registros[MÊS],$AE$1,tabela_registros[DIA],reservafixaconsolidadomai[[#Headers],[8]],tabela_registros[REGISTRO],DADOS!$N$6,tabela_registros[TIPO],DADOS!$AJ$3,tabela_registros[CATEGORIA],reservafixaconsolidadomai[[#This Row],[ATUAL]])</f>
        <v>0</v>
      </c>
      <c r="M169" s="119" t="n">
        <f aca="false">SUMIFS(tabela_registros[VALOR],tabela_registros[MÊS],$AE$1,tabela_registros[DIA],reservafixaconsolidadomai[[#Headers],[9]],tabela_registros[REGISTRO],DADOS!$N$6,tabela_registros[TIPO],DADOS!$AJ$3,tabela_registros[CATEGORIA],reservafixaconsolidadomai[[#This Row],[ATUAL]])</f>
        <v>0</v>
      </c>
      <c r="N169" s="119" t="n">
        <f aca="false">SUMIFS(tabela_registros[VALOR],tabela_registros[MÊS],$AE$1,tabela_registros[DIA],reservafixaconsolidadomai[[#Headers],[10]],tabela_registros[REGISTRO],DADOS!$N$6,tabela_registros[TIPO],DADOS!$AJ$3,tabela_registros[CATEGORIA],reservafixaconsolidadomai[[#This Row],[ATUAL]])</f>
        <v>0</v>
      </c>
      <c r="O169" s="119" t="n">
        <f aca="false">SUMIFS(tabela_registros[VALOR],tabela_registros[MÊS],$AE$1,tabela_registros[DIA],reservafixaconsolidadomai[[#Headers],[11]],tabela_registros[REGISTRO],DADOS!$N$6,tabela_registros[TIPO],DADOS!$AJ$3,tabela_registros[CATEGORIA],reservafixaconsolidadomai[[#This Row],[ATUAL]])</f>
        <v>0</v>
      </c>
      <c r="P169" s="119" t="n">
        <f aca="false">SUMIFS(tabela_registros[VALOR],tabela_registros[MÊS],$AE$1,tabela_registros[DIA],reservafixaconsolidadomai[[#Headers],[12]],tabela_registros[REGISTRO],DADOS!$N$6,tabela_registros[TIPO],DADOS!$AJ$3,tabela_registros[CATEGORIA],reservafixaconsolidadomai[[#This Row],[ATUAL]])</f>
        <v>0</v>
      </c>
      <c r="Q169" s="119" t="n">
        <f aca="false">SUMIFS(tabela_registros[VALOR],tabela_registros[MÊS],$AE$1,tabela_registros[DIA],reservafixaconsolidadomai[[#Headers],[13]],tabela_registros[REGISTRO],DADOS!$N$6,tabela_registros[TIPO],DADOS!$AJ$3,tabela_registros[CATEGORIA],reservafixaconsolidadomai[[#This Row],[ATUAL]])</f>
        <v>0</v>
      </c>
      <c r="R169" s="119" t="n">
        <f aca="false">SUMIFS(tabela_registros[VALOR],tabela_registros[MÊS],$AE$1,tabela_registros[DIA],reservafixaconsolidadomai[[#Headers],[14]],tabela_registros[REGISTRO],DADOS!$N$6,tabela_registros[TIPO],DADOS!$AJ$3,tabela_registros[CATEGORIA],reservafixaconsolidadomai[[#This Row],[ATUAL]])</f>
        <v>0</v>
      </c>
      <c r="S169" s="119" t="n">
        <f aca="false">SUMIFS(tabela_registros[VALOR],tabela_registros[MÊS],$AE$1,tabela_registros[DIA],reservafixaconsolidadomai[[#Headers],[15]],tabela_registros[REGISTRO],DADOS!$N$6,tabela_registros[TIPO],DADOS!$AJ$3,tabela_registros[CATEGORIA],reservafixaconsolidadomai[[#This Row],[ATUAL]])</f>
        <v>0</v>
      </c>
      <c r="T169" s="119" t="n">
        <f aca="false">SUMIFS(tabela_registros[VALOR],tabela_registros[MÊS],$AE$1,tabela_registros[DIA],reservafixaconsolidadomai[[#Headers],[16]],tabela_registros[REGISTRO],DADOS!$N$6,tabela_registros[TIPO],DADOS!$AJ$3,tabela_registros[CATEGORIA],reservafixaconsolidadomai[[#This Row],[ATUAL]])</f>
        <v>0</v>
      </c>
      <c r="U169" s="119" t="n">
        <f aca="false">SUMIFS(tabela_registros[VALOR],tabela_registros[MÊS],$AE$1,tabela_registros[DIA],reservafixaconsolidadomai[[#Headers],[17]],tabela_registros[REGISTRO],DADOS!$N$6,tabela_registros[TIPO],DADOS!$AJ$3,tabela_registros[CATEGORIA],reservafixaconsolidadomai[[#This Row],[ATUAL]])</f>
        <v>0</v>
      </c>
      <c r="V169" s="119" t="n">
        <f aca="false">SUMIFS(tabela_registros[VALOR],tabela_registros[MÊS],$AE$1,tabela_registros[DIA],reservafixaconsolidadomai[[#Headers],[18]],tabela_registros[REGISTRO],DADOS!$N$6,tabela_registros[TIPO],DADOS!$AJ$3,tabela_registros[CATEGORIA],reservafixaconsolidadomai[[#This Row],[ATUAL]])</f>
        <v>0</v>
      </c>
      <c r="W169" s="119" t="n">
        <f aca="false">SUMIFS(tabela_registros[VALOR],tabela_registros[MÊS],$AE$1,tabela_registros[DIA],reservafixaconsolidadomai[[#Headers],[19]],tabela_registros[REGISTRO],DADOS!$N$6,tabela_registros[TIPO],DADOS!$AJ$3,tabela_registros[CATEGORIA],reservafixaconsolidadomai[[#This Row],[ATUAL]])</f>
        <v>0</v>
      </c>
      <c r="X169" s="119" t="n">
        <f aca="false">SUMIFS(tabela_registros[VALOR],tabela_registros[MÊS],$AE$1,tabela_registros[DIA],reservafixaconsolidadomai[[#Headers],[20]],tabela_registros[REGISTRO],DADOS!$N$6,tabela_registros[TIPO],DADOS!$AJ$3,tabela_registros[CATEGORIA],reservafixaconsolidadomai[[#This Row],[ATUAL]])</f>
        <v>0</v>
      </c>
      <c r="Y169" s="119" t="n">
        <f aca="false">SUMIFS(tabela_registros[VALOR],tabela_registros[MÊS],$AE$1,tabela_registros[DIA],reservafixaconsolidadomai[[#Headers],[21]],tabela_registros[REGISTRO],DADOS!$N$6,tabela_registros[TIPO],DADOS!$AJ$3,tabela_registros[CATEGORIA],reservafixaconsolidadomai[[#This Row],[ATUAL]])</f>
        <v>0</v>
      </c>
      <c r="Z169" s="119" t="n">
        <f aca="false">SUMIFS(tabela_registros[VALOR],tabela_registros[MÊS],$AE$1,tabela_registros[DIA],reservafixaconsolidadomai[[#Headers],[22]],tabela_registros[REGISTRO],DADOS!$N$6,tabela_registros[TIPO],DADOS!$AJ$3,tabela_registros[CATEGORIA],reservafixaconsolidadomai[[#This Row],[ATUAL]])</f>
        <v>0</v>
      </c>
      <c r="AA169" s="119" t="n">
        <f aca="false">SUMIFS(tabela_registros[VALOR],tabela_registros[MÊS],$AE$1,tabela_registros[DIA],reservafixaconsolidadomai[[#Headers],[23]],tabela_registros[REGISTRO],DADOS!$N$6,tabela_registros[TIPO],DADOS!$AJ$3,tabela_registros[CATEGORIA],reservafixaconsolidadomai[[#This Row],[ATUAL]])</f>
        <v>0</v>
      </c>
      <c r="AB169" s="119" t="n">
        <f aca="false">SUMIFS(tabela_registros[VALOR],tabela_registros[MÊS],$AE$1,tabela_registros[DIA],reservafixaconsolidadomai[[#Headers],[24]],tabela_registros[REGISTRO],DADOS!$N$6,tabela_registros[TIPO],DADOS!$AJ$3,tabela_registros[CATEGORIA],reservafixaconsolidadomai[[#This Row],[ATUAL]])</f>
        <v>0</v>
      </c>
      <c r="AC169" s="119" t="n">
        <f aca="false">SUMIFS(tabela_registros[VALOR],tabela_registros[MÊS],$AE$1,tabela_registros[DIA],reservafixaconsolidadomai[[#Headers],[25]],tabela_registros[REGISTRO],DADOS!$N$6,tabela_registros[TIPO],DADOS!$AJ$3,tabela_registros[CATEGORIA],reservafixaconsolidadomai[[#This Row],[ATUAL]])</f>
        <v>0</v>
      </c>
      <c r="AD169" s="119" t="n">
        <f aca="false">SUMIFS(tabela_registros[VALOR],tabela_registros[MÊS],$AE$1,tabela_registros[DIA],reservafixaconsolidadomai[[#Headers],[26]],tabela_registros[REGISTRO],DADOS!$N$6,tabela_registros[TIPO],DADOS!$AJ$3,tabela_registros[CATEGORIA],reservafixaconsolidadomai[[#This Row],[ATUAL]])</f>
        <v>0</v>
      </c>
      <c r="AE169" s="119" t="n">
        <f aca="false">SUMIFS(tabela_registros[VALOR],tabela_registros[MÊS],$AE$1,tabela_registros[DIA],reservafixaconsolidadomai[[#Headers],[27]],tabela_registros[REGISTRO],DADOS!$N$6,tabela_registros[TIPO],DADOS!$AJ$3,tabela_registros[CATEGORIA],reservafixaconsolidadomai[[#This Row],[ATUAL]])</f>
        <v>0</v>
      </c>
      <c r="AF169" s="119" t="n">
        <f aca="false">SUMIFS(tabela_registros[VALOR],tabela_registros[MÊS],$AE$1,tabela_registros[DIA],reservafixaconsolidadomai[[#Headers],[28]],tabela_registros[REGISTRO],DADOS!$N$6,tabela_registros[TIPO],DADOS!$AJ$3,tabela_registros[CATEGORIA],reservafixaconsolidadomai[[#This Row],[ATUAL]])</f>
        <v>0</v>
      </c>
      <c r="AG169" s="119" t="n">
        <f aca="false">SUMIFS(tabela_registros[VALOR],tabela_registros[MÊS],$AE$1,tabela_registros[DIA],reservafixaconsolidadomai[[#Headers],[29]],tabela_registros[REGISTRO],DADOS!$N$6,tabela_registros[TIPO],DADOS!$AJ$3,tabela_registros[CATEGORIA],reservafixaconsolidadomai[[#This Row],[ATUAL]])</f>
        <v>0</v>
      </c>
      <c r="AH169" s="119" t="n">
        <f aca="false">SUMIFS(tabela_registros[VALOR],tabela_registros[MÊS],$AE$1,tabela_registros[DIA],reservafixaconsolidadomai[[#Headers],[30]],tabela_registros[REGISTRO],DADOS!$N$6,tabela_registros[TIPO],DADOS!$AJ$3,tabela_registros[CATEGORIA],reservafixaconsolidadomai[[#This Row],[ATUAL]])</f>
        <v>0</v>
      </c>
      <c r="AI169" s="217" t="n">
        <f aca="false">SUMIFS(tabela_registros[VALOR],tabela_registros[MÊS],$AE$1,tabela_registros[DIA],reservafixaconsolidadomai[[#Headers],[31]],tabela_registros[REGISTRO],DADOS!$N$6,tabela_registros[TIPO],DADOS!$AJ$3,tabela_registros[CATEGORIA],reservafixaconsolidadomai[[#This Row],[ATUAL]])</f>
        <v>0</v>
      </c>
      <c r="AJ169" s="149" t="n">
        <f aca="false">SUM(reservafixaconsolidadomai[[#This Row],[1]:[31]])</f>
        <v>0</v>
      </c>
      <c r="AK169" s="165"/>
    </row>
    <row r="170" customFormat="false" ht="19.5" hidden="false" customHeight="true" outlineLevel="0" collapsed="false">
      <c r="B170" s="143"/>
      <c r="C170" s="144" t="str">
        <f aca="false">DADOS!$AL$5</f>
        <v>📝 CRI</v>
      </c>
      <c r="D170" s="145" t="str">
        <f aca="false">IF(reservafixaconsolidadomai[[#This Row],[TOTAL (R$)]]=0,"",IF(OR(reservafixaconsolidadomai[[#This Row],[TOTAL (R$)]]=LARGE($AJ$168:$AJ$177,1),reservafixaconsolidadomai[[#This Row],[TOTAL (R$)]]=LARGE($AJ$168:$AJ$177,2)),DADOS!$I$11,""))</f>
        <v/>
      </c>
      <c r="E170" s="148" t="n">
        <f aca="false">SUMIFS(tabela_registros[VALOR],tabela_registros[MÊS],$AE$1,tabela_registros[DIA],reservafixaconsolidadomai[[#Headers],[1]],tabela_registros[REGISTRO],DADOS!$N$6,tabela_registros[TIPO],DADOS!$AJ$3,tabela_registros[CATEGORIA],reservafixaconsolidadomai[[#This Row],[ATUAL]])</f>
        <v>0</v>
      </c>
      <c r="F170" s="119" t="n">
        <f aca="false">SUMIFS(tabela_registros[VALOR],tabela_registros[MÊS],$AE$1,tabela_registros[DIA],reservafixaconsolidadomai[[#Headers],[2]],tabela_registros[REGISTRO],DADOS!$N$6,tabela_registros[TIPO],DADOS!$AJ$3,tabela_registros[CATEGORIA],reservafixaconsolidadomai[[#This Row],[ATUAL]])</f>
        <v>0</v>
      </c>
      <c r="G170" s="119" t="n">
        <f aca="false">SUMIFS(tabela_registros[VALOR],tabela_registros[MÊS],$AE$1,tabela_registros[DIA],reservafixaconsolidadomai[[#Headers],[3]],tabela_registros[REGISTRO],DADOS!$N$6,tabela_registros[TIPO],DADOS!$AJ$3,tabela_registros[CATEGORIA],reservafixaconsolidadomai[[#This Row],[ATUAL]])</f>
        <v>0</v>
      </c>
      <c r="H170" s="119" t="n">
        <f aca="false">SUMIFS(tabela_registros[VALOR],tabela_registros[MÊS],$AE$1,tabela_registros[DIA],reservafixaconsolidadomai[[#Headers],[4]],tabela_registros[REGISTRO],DADOS!$N$6,tabela_registros[TIPO],DADOS!$AJ$3,tabela_registros[CATEGORIA],reservafixaconsolidadomai[[#This Row],[ATUAL]])</f>
        <v>0</v>
      </c>
      <c r="I170" s="119" t="n">
        <f aca="false">SUMIFS(tabela_registros[VALOR],tabela_registros[MÊS],$AE$1,tabela_registros[DIA],reservafixaconsolidadomai[[#Headers],[5]],tabela_registros[REGISTRO],DADOS!$N$6,tabela_registros[TIPO],DADOS!$AJ$3,tabela_registros[CATEGORIA],reservafixaconsolidadomai[[#This Row],[ATUAL]])</f>
        <v>0</v>
      </c>
      <c r="J170" s="119" t="n">
        <f aca="false">SUMIFS(tabela_registros[VALOR],tabela_registros[MÊS],$AE$1,tabela_registros[DIA],reservafixaconsolidadomai[[#Headers],[6]],tabela_registros[REGISTRO],DADOS!$N$6,tabela_registros[TIPO],DADOS!$AJ$3,tabela_registros[CATEGORIA],reservafixaconsolidadomai[[#This Row],[ATUAL]])</f>
        <v>0</v>
      </c>
      <c r="K170" s="119" t="n">
        <f aca="false">SUMIFS(tabela_registros[VALOR],tabela_registros[MÊS],$AE$1,tabela_registros[DIA],reservafixaconsolidadomai[[#Headers],[7]],tabela_registros[REGISTRO],DADOS!$N$6,tabela_registros[TIPO],DADOS!$AJ$3,tabela_registros[CATEGORIA],reservafixaconsolidadomai[[#This Row],[ATUAL]])</f>
        <v>0</v>
      </c>
      <c r="L170" s="119" t="n">
        <f aca="false">SUMIFS(tabela_registros[VALOR],tabela_registros[MÊS],$AE$1,tabela_registros[DIA],reservafixaconsolidadomai[[#Headers],[8]],tabela_registros[REGISTRO],DADOS!$N$6,tabela_registros[TIPO],DADOS!$AJ$3,tabela_registros[CATEGORIA],reservafixaconsolidadomai[[#This Row],[ATUAL]])</f>
        <v>0</v>
      </c>
      <c r="M170" s="119" t="n">
        <f aca="false">SUMIFS(tabela_registros[VALOR],tabela_registros[MÊS],$AE$1,tabela_registros[DIA],reservafixaconsolidadomai[[#Headers],[9]],tabela_registros[REGISTRO],DADOS!$N$6,tabela_registros[TIPO],DADOS!$AJ$3,tabela_registros[CATEGORIA],reservafixaconsolidadomai[[#This Row],[ATUAL]])</f>
        <v>0</v>
      </c>
      <c r="N170" s="119" t="n">
        <f aca="false">SUMIFS(tabela_registros[VALOR],tabela_registros[MÊS],$AE$1,tabela_registros[DIA],reservafixaconsolidadomai[[#Headers],[10]],tabela_registros[REGISTRO],DADOS!$N$6,tabela_registros[TIPO],DADOS!$AJ$3,tabela_registros[CATEGORIA],reservafixaconsolidadomai[[#This Row],[ATUAL]])</f>
        <v>0</v>
      </c>
      <c r="O170" s="119" t="n">
        <f aca="false">SUMIFS(tabela_registros[VALOR],tabela_registros[MÊS],$AE$1,tabela_registros[DIA],reservafixaconsolidadomai[[#Headers],[11]],tabela_registros[REGISTRO],DADOS!$N$6,tabela_registros[TIPO],DADOS!$AJ$3,tabela_registros[CATEGORIA],reservafixaconsolidadomai[[#This Row],[ATUAL]])</f>
        <v>0</v>
      </c>
      <c r="P170" s="119" t="n">
        <f aca="false">SUMIFS(tabela_registros[VALOR],tabela_registros[MÊS],$AE$1,tabela_registros[DIA],reservafixaconsolidadomai[[#Headers],[12]],tabela_registros[REGISTRO],DADOS!$N$6,tabela_registros[TIPO],DADOS!$AJ$3,tabela_registros[CATEGORIA],reservafixaconsolidadomai[[#This Row],[ATUAL]])</f>
        <v>0</v>
      </c>
      <c r="Q170" s="119" t="n">
        <f aca="false">SUMIFS(tabela_registros[VALOR],tabela_registros[MÊS],$AE$1,tabela_registros[DIA],reservafixaconsolidadomai[[#Headers],[13]],tabela_registros[REGISTRO],DADOS!$N$6,tabela_registros[TIPO],DADOS!$AJ$3,tabela_registros[CATEGORIA],reservafixaconsolidadomai[[#This Row],[ATUAL]])</f>
        <v>0</v>
      </c>
      <c r="R170" s="119" t="n">
        <f aca="false">SUMIFS(tabela_registros[VALOR],tabela_registros[MÊS],$AE$1,tabela_registros[DIA],reservafixaconsolidadomai[[#Headers],[14]],tabela_registros[REGISTRO],DADOS!$N$6,tabela_registros[TIPO],DADOS!$AJ$3,tabela_registros[CATEGORIA],reservafixaconsolidadomai[[#This Row],[ATUAL]])</f>
        <v>0</v>
      </c>
      <c r="S170" s="119" t="n">
        <f aca="false">SUMIFS(tabela_registros[VALOR],tabela_registros[MÊS],$AE$1,tabela_registros[DIA],reservafixaconsolidadomai[[#Headers],[15]],tabela_registros[REGISTRO],DADOS!$N$6,tabela_registros[TIPO],DADOS!$AJ$3,tabela_registros[CATEGORIA],reservafixaconsolidadomai[[#This Row],[ATUAL]])</f>
        <v>0</v>
      </c>
      <c r="T170" s="119" t="n">
        <f aca="false">SUMIFS(tabela_registros[VALOR],tabela_registros[MÊS],$AE$1,tabela_registros[DIA],reservafixaconsolidadomai[[#Headers],[16]],tabela_registros[REGISTRO],DADOS!$N$6,tabela_registros[TIPO],DADOS!$AJ$3,tabela_registros[CATEGORIA],reservafixaconsolidadomai[[#This Row],[ATUAL]])</f>
        <v>0</v>
      </c>
      <c r="U170" s="119" t="n">
        <f aca="false">SUMIFS(tabela_registros[VALOR],tabela_registros[MÊS],$AE$1,tabela_registros[DIA],reservafixaconsolidadomai[[#Headers],[17]],tabela_registros[REGISTRO],DADOS!$N$6,tabela_registros[TIPO],DADOS!$AJ$3,tabela_registros[CATEGORIA],reservafixaconsolidadomai[[#This Row],[ATUAL]])</f>
        <v>0</v>
      </c>
      <c r="V170" s="119" t="n">
        <f aca="false">SUMIFS(tabela_registros[VALOR],tabela_registros[MÊS],$AE$1,tabela_registros[DIA],reservafixaconsolidadomai[[#Headers],[18]],tabela_registros[REGISTRO],DADOS!$N$6,tabela_registros[TIPO],DADOS!$AJ$3,tabela_registros[CATEGORIA],reservafixaconsolidadomai[[#This Row],[ATUAL]])</f>
        <v>0</v>
      </c>
      <c r="W170" s="119" t="n">
        <f aca="false">SUMIFS(tabela_registros[VALOR],tabela_registros[MÊS],$AE$1,tabela_registros[DIA],reservafixaconsolidadomai[[#Headers],[19]],tabela_registros[REGISTRO],DADOS!$N$6,tabela_registros[TIPO],DADOS!$AJ$3,tabela_registros[CATEGORIA],reservafixaconsolidadomai[[#This Row],[ATUAL]])</f>
        <v>0</v>
      </c>
      <c r="X170" s="119" t="n">
        <f aca="false">SUMIFS(tabela_registros[VALOR],tabela_registros[MÊS],$AE$1,tabela_registros[DIA],reservafixaconsolidadomai[[#Headers],[20]],tabela_registros[REGISTRO],DADOS!$N$6,tabela_registros[TIPO],DADOS!$AJ$3,tabela_registros[CATEGORIA],reservafixaconsolidadomai[[#This Row],[ATUAL]])</f>
        <v>0</v>
      </c>
      <c r="Y170" s="119" t="n">
        <f aca="false">SUMIFS(tabela_registros[VALOR],tabela_registros[MÊS],$AE$1,tabela_registros[DIA],reservafixaconsolidadomai[[#Headers],[21]],tabela_registros[REGISTRO],DADOS!$N$6,tabela_registros[TIPO],DADOS!$AJ$3,tabela_registros[CATEGORIA],reservafixaconsolidadomai[[#This Row],[ATUAL]])</f>
        <v>0</v>
      </c>
      <c r="Z170" s="119" t="n">
        <f aca="false">SUMIFS(tabela_registros[VALOR],tabela_registros[MÊS],$AE$1,tabela_registros[DIA],reservafixaconsolidadomai[[#Headers],[22]],tabela_registros[REGISTRO],DADOS!$N$6,tabela_registros[TIPO],DADOS!$AJ$3,tabela_registros[CATEGORIA],reservafixaconsolidadomai[[#This Row],[ATUAL]])</f>
        <v>0</v>
      </c>
      <c r="AA170" s="119" t="n">
        <f aca="false">SUMIFS(tabela_registros[VALOR],tabela_registros[MÊS],$AE$1,tabela_registros[DIA],reservafixaconsolidadomai[[#Headers],[23]],tabela_registros[REGISTRO],DADOS!$N$6,tabela_registros[TIPO],DADOS!$AJ$3,tabela_registros[CATEGORIA],reservafixaconsolidadomai[[#This Row],[ATUAL]])</f>
        <v>0</v>
      </c>
      <c r="AB170" s="119" t="n">
        <f aca="false">SUMIFS(tabela_registros[VALOR],tabela_registros[MÊS],$AE$1,tabela_registros[DIA],reservafixaconsolidadomai[[#Headers],[24]],tabela_registros[REGISTRO],DADOS!$N$6,tabela_registros[TIPO],DADOS!$AJ$3,tabela_registros[CATEGORIA],reservafixaconsolidadomai[[#This Row],[ATUAL]])</f>
        <v>0</v>
      </c>
      <c r="AC170" s="119" t="n">
        <f aca="false">SUMIFS(tabela_registros[VALOR],tabela_registros[MÊS],$AE$1,tabela_registros[DIA],reservafixaconsolidadomai[[#Headers],[25]],tabela_registros[REGISTRO],DADOS!$N$6,tabela_registros[TIPO],DADOS!$AJ$3,tabela_registros[CATEGORIA],reservafixaconsolidadomai[[#This Row],[ATUAL]])</f>
        <v>0</v>
      </c>
      <c r="AD170" s="119" t="n">
        <f aca="false">SUMIFS(tabela_registros[VALOR],tabela_registros[MÊS],$AE$1,tabela_registros[DIA],reservafixaconsolidadomai[[#Headers],[26]],tabela_registros[REGISTRO],DADOS!$N$6,tabela_registros[TIPO],DADOS!$AJ$3,tabela_registros[CATEGORIA],reservafixaconsolidadomai[[#This Row],[ATUAL]])</f>
        <v>0</v>
      </c>
      <c r="AE170" s="119" t="n">
        <f aca="false">SUMIFS(tabela_registros[VALOR],tabela_registros[MÊS],$AE$1,tabela_registros[DIA],reservafixaconsolidadomai[[#Headers],[27]],tabela_registros[REGISTRO],DADOS!$N$6,tabela_registros[TIPO],DADOS!$AJ$3,tabela_registros[CATEGORIA],reservafixaconsolidadomai[[#This Row],[ATUAL]])</f>
        <v>0</v>
      </c>
      <c r="AF170" s="119" t="n">
        <f aca="false">SUMIFS(tabela_registros[VALOR],tabela_registros[MÊS],$AE$1,tabela_registros[DIA],reservafixaconsolidadomai[[#Headers],[28]],tabela_registros[REGISTRO],DADOS!$N$6,tabela_registros[TIPO],DADOS!$AJ$3,tabela_registros[CATEGORIA],reservafixaconsolidadomai[[#This Row],[ATUAL]])</f>
        <v>0</v>
      </c>
      <c r="AG170" s="119" t="n">
        <f aca="false">SUMIFS(tabela_registros[VALOR],tabela_registros[MÊS],$AE$1,tabela_registros[DIA],reservafixaconsolidadomai[[#Headers],[29]],tabela_registros[REGISTRO],DADOS!$N$6,tabela_registros[TIPO],DADOS!$AJ$3,tabela_registros[CATEGORIA],reservafixaconsolidadomai[[#This Row],[ATUAL]])</f>
        <v>0</v>
      </c>
      <c r="AH170" s="119" t="n">
        <f aca="false">SUMIFS(tabela_registros[VALOR],tabela_registros[MÊS],$AE$1,tabela_registros[DIA],reservafixaconsolidadomai[[#Headers],[30]],tabela_registros[REGISTRO],DADOS!$N$6,tabela_registros[TIPO],DADOS!$AJ$3,tabela_registros[CATEGORIA],reservafixaconsolidadomai[[#This Row],[ATUAL]])</f>
        <v>0</v>
      </c>
      <c r="AI170" s="217" t="n">
        <f aca="false">SUMIFS(tabela_registros[VALOR],tabela_registros[MÊS],$AE$1,tabela_registros[DIA],reservafixaconsolidadomai[[#Headers],[31]],tabela_registros[REGISTRO],DADOS!$N$6,tabela_registros[TIPO],DADOS!$AJ$3,tabela_registros[CATEGORIA],reservafixaconsolidadomai[[#This Row],[ATUAL]])</f>
        <v>0</v>
      </c>
      <c r="AJ170" s="149" t="n">
        <f aca="false">SUM(reservafixaconsolidadomai[[#This Row],[1]:[31]])</f>
        <v>0</v>
      </c>
      <c r="AK170" s="165"/>
    </row>
    <row r="171" customFormat="false" ht="19.5" hidden="false" customHeight="true" outlineLevel="0" collapsed="false">
      <c r="B171" s="143"/>
      <c r="C171" s="144" t="str">
        <f aca="false">DADOS!$AL$6</f>
        <v>📝 DEBÊNTURE</v>
      </c>
      <c r="D171" s="145" t="str">
        <f aca="false">IF(reservafixaconsolidadomai[[#This Row],[TOTAL (R$)]]=0,"",IF(OR(reservafixaconsolidadomai[[#This Row],[TOTAL (R$)]]=LARGE($AJ$168:$AJ$177,1),reservafixaconsolidadomai[[#This Row],[TOTAL (R$)]]=LARGE($AJ$168:$AJ$177,2)),DADOS!$I$11,""))</f>
        <v/>
      </c>
      <c r="E171" s="148" t="n">
        <f aca="false">SUMIFS(tabela_registros[VALOR],tabela_registros[MÊS],$AE$1,tabela_registros[DIA],reservafixaconsolidadomai[[#Headers],[1]],tabela_registros[REGISTRO],DADOS!$N$6,tabela_registros[TIPO],DADOS!$AJ$3,tabela_registros[CATEGORIA],reservafixaconsolidadomai[[#This Row],[ATUAL]])</f>
        <v>0</v>
      </c>
      <c r="F171" s="119" t="n">
        <f aca="false">SUMIFS(tabela_registros[VALOR],tabela_registros[MÊS],$AE$1,tabela_registros[DIA],reservafixaconsolidadomai[[#Headers],[2]],tabela_registros[REGISTRO],DADOS!$N$6,tabela_registros[TIPO],DADOS!$AJ$3,tabela_registros[CATEGORIA],reservafixaconsolidadomai[[#This Row],[ATUAL]])</f>
        <v>0</v>
      </c>
      <c r="G171" s="119" t="n">
        <f aca="false">SUMIFS(tabela_registros[VALOR],tabela_registros[MÊS],$AE$1,tabela_registros[DIA],reservafixaconsolidadomai[[#Headers],[3]],tabela_registros[REGISTRO],DADOS!$N$6,tabela_registros[TIPO],DADOS!$AJ$3,tabela_registros[CATEGORIA],reservafixaconsolidadomai[[#This Row],[ATUAL]])</f>
        <v>0</v>
      </c>
      <c r="H171" s="119" t="n">
        <f aca="false">SUMIFS(tabela_registros[VALOR],tabela_registros[MÊS],$AE$1,tabela_registros[DIA],reservafixaconsolidadomai[[#Headers],[4]],tabela_registros[REGISTRO],DADOS!$N$6,tabela_registros[TIPO],DADOS!$AJ$3,tabela_registros[CATEGORIA],reservafixaconsolidadomai[[#This Row],[ATUAL]])</f>
        <v>0</v>
      </c>
      <c r="I171" s="119" t="n">
        <f aca="false">SUMIFS(tabela_registros[VALOR],tabela_registros[MÊS],$AE$1,tabela_registros[DIA],reservafixaconsolidadomai[[#Headers],[5]],tabela_registros[REGISTRO],DADOS!$N$6,tabela_registros[TIPO],DADOS!$AJ$3,tabela_registros[CATEGORIA],reservafixaconsolidadomai[[#This Row],[ATUAL]])</f>
        <v>0</v>
      </c>
      <c r="J171" s="119" t="n">
        <f aca="false">SUMIFS(tabela_registros[VALOR],tabela_registros[MÊS],$AE$1,tabela_registros[DIA],reservafixaconsolidadomai[[#Headers],[6]],tabela_registros[REGISTRO],DADOS!$N$6,tabela_registros[TIPO],DADOS!$AJ$3,tabela_registros[CATEGORIA],reservafixaconsolidadomai[[#This Row],[ATUAL]])</f>
        <v>0</v>
      </c>
      <c r="K171" s="119" t="n">
        <f aca="false">SUMIFS(tabela_registros[VALOR],tabela_registros[MÊS],$AE$1,tabela_registros[DIA],reservafixaconsolidadomai[[#Headers],[7]],tabela_registros[REGISTRO],DADOS!$N$6,tabela_registros[TIPO],DADOS!$AJ$3,tabela_registros[CATEGORIA],reservafixaconsolidadomai[[#This Row],[ATUAL]])</f>
        <v>0</v>
      </c>
      <c r="L171" s="119" t="n">
        <f aca="false">SUMIFS(tabela_registros[VALOR],tabela_registros[MÊS],$AE$1,tabela_registros[DIA],reservafixaconsolidadomai[[#Headers],[8]],tabela_registros[REGISTRO],DADOS!$N$6,tabela_registros[TIPO],DADOS!$AJ$3,tabela_registros[CATEGORIA],reservafixaconsolidadomai[[#This Row],[ATUAL]])</f>
        <v>0</v>
      </c>
      <c r="M171" s="119" t="n">
        <f aca="false">SUMIFS(tabela_registros[VALOR],tabela_registros[MÊS],$AE$1,tabela_registros[DIA],reservafixaconsolidadomai[[#Headers],[9]],tabela_registros[REGISTRO],DADOS!$N$6,tabela_registros[TIPO],DADOS!$AJ$3,tabela_registros[CATEGORIA],reservafixaconsolidadomai[[#This Row],[ATUAL]])</f>
        <v>0</v>
      </c>
      <c r="N171" s="119" t="n">
        <f aca="false">SUMIFS(tabela_registros[VALOR],tabela_registros[MÊS],$AE$1,tabela_registros[DIA],reservafixaconsolidadomai[[#Headers],[10]],tabela_registros[REGISTRO],DADOS!$N$6,tabela_registros[TIPO],DADOS!$AJ$3,tabela_registros[CATEGORIA],reservafixaconsolidadomai[[#This Row],[ATUAL]])</f>
        <v>0</v>
      </c>
      <c r="O171" s="119" t="n">
        <f aca="false">SUMIFS(tabela_registros[VALOR],tabela_registros[MÊS],$AE$1,tabela_registros[DIA],reservafixaconsolidadomai[[#Headers],[11]],tabela_registros[REGISTRO],DADOS!$N$6,tabela_registros[TIPO],DADOS!$AJ$3,tabela_registros[CATEGORIA],reservafixaconsolidadomai[[#This Row],[ATUAL]])</f>
        <v>0</v>
      </c>
      <c r="P171" s="119" t="n">
        <f aca="false">SUMIFS(tabela_registros[VALOR],tabela_registros[MÊS],$AE$1,tabela_registros[DIA],reservafixaconsolidadomai[[#Headers],[12]],tabela_registros[REGISTRO],DADOS!$N$6,tabela_registros[TIPO],DADOS!$AJ$3,tabela_registros[CATEGORIA],reservafixaconsolidadomai[[#This Row],[ATUAL]])</f>
        <v>0</v>
      </c>
      <c r="Q171" s="119" t="n">
        <f aca="false">SUMIFS(tabela_registros[VALOR],tabela_registros[MÊS],$AE$1,tabela_registros[DIA],reservafixaconsolidadomai[[#Headers],[13]],tabela_registros[REGISTRO],DADOS!$N$6,tabela_registros[TIPO],DADOS!$AJ$3,tabela_registros[CATEGORIA],reservafixaconsolidadomai[[#This Row],[ATUAL]])</f>
        <v>0</v>
      </c>
      <c r="R171" s="119" t="n">
        <f aca="false">SUMIFS(tabela_registros[VALOR],tabela_registros[MÊS],$AE$1,tabela_registros[DIA],reservafixaconsolidadomai[[#Headers],[14]],tabela_registros[REGISTRO],DADOS!$N$6,tabela_registros[TIPO],DADOS!$AJ$3,tabela_registros[CATEGORIA],reservafixaconsolidadomai[[#This Row],[ATUAL]])</f>
        <v>0</v>
      </c>
      <c r="S171" s="119" t="n">
        <f aca="false">SUMIFS(tabela_registros[VALOR],tabela_registros[MÊS],$AE$1,tabela_registros[DIA],reservafixaconsolidadomai[[#Headers],[15]],tabela_registros[REGISTRO],DADOS!$N$6,tabela_registros[TIPO],DADOS!$AJ$3,tabela_registros[CATEGORIA],reservafixaconsolidadomai[[#This Row],[ATUAL]])</f>
        <v>0</v>
      </c>
      <c r="T171" s="119" t="n">
        <f aca="false">SUMIFS(tabela_registros[VALOR],tabela_registros[MÊS],$AE$1,tabela_registros[DIA],reservafixaconsolidadomai[[#Headers],[16]],tabela_registros[REGISTRO],DADOS!$N$6,tabela_registros[TIPO],DADOS!$AJ$3,tabela_registros[CATEGORIA],reservafixaconsolidadomai[[#This Row],[ATUAL]])</f>
        <v>0</v>
      </c>
      <c r="U171" s="119" t="n">
        <f aca="false">SUMIFS(tabela_registros[VALOR],tabela_registros[MÊS],$AE$1,tabela_registros[DIA],reservafixaconsolidadomai[[#Headers],[17]],tabela_registros[REGISTRO],DADOS!$N$6,tabela_registros[TIPO],DADOS!$AJ$3,tabela_registros[CATEGORIA],reservafixaconsolidadomai[[#This Row],[ATUAL]])</f>
        <v>0</v>
      </c>
      <c r="V171" s="119" t="n">
        <f aca="false">SUMIFS(tabela_registros[VALOR],tabela_registros[MÊS],$AE$1,tabela_registros[DIA],reservafixaconsolidadomai[[#Headers],[18]],tabela_registros[REGISTRO],DADOS!$N$6,tabela_registros[TIPO],DADOS!$AJ$3,tabela_registros[CATEGORIA],reservafixaconsolidadomai[[#This Row],[ATUAL]])</f>
        <v>0</v>
      </c>
      <c r="W171" s="119" t="n">
        <f aca="false">SUMIFS(tabela_registros[VALOR],tabela_registros[MÊS],$AE$1,tabela_registros[DIA],reservafixaconsolidadomai[[#Headers],[19]],tabela_registros[REGISTRO],DADOS!$N$6,tabela_registros[TIPO],DADOS!$AJ$3,tabela_registros[CATEGORIA],reservafixaconsolidadomai[[#This Row],[ATUAL]])</f>
        <v>0</v>
      </c>
      <c r="X171" s="119" t="n">
        <f aca="false">SUMIFS(tabela_registros[VALOR],tabela_registros[MÊS],$AE$1,tabela_registros[DIA],reservafixaconsolidadomai[[#Headers],[20]],tabela_registros[REGISTRO],DADOS!$N$6,tabela_registros[TIPO],DADOS!$AJ$3,tabela_registros[CATEGORIA],reservafixaconsolidadomai[[#This Row],[ATUAL]])</f>
        <v>0</v>
      </c>
      <c r="Y171" s="119" t="n">
        <f aca="false">SUMIFS(tabela_registros[VALOR],tabela_registros[MÊS],$AE$1,tabela_registros[DIA],reservafixaconsolidadomai[[#Headers],[21]],tabela_registros[REGISTRO],DADOS!$N$6,tabela_registros[TIPO],DADOS!$AJ$3,tabela_registros[CATEGORIA],reservafixaconsolidadomai[[#This Row],[ATUAL]])</f>
        <v>0</v>
      </c>
      <c r="Z171" s="119" t="n">
        <f aca="false">SUMIFS(tabela_registros[VALOR],tabela_registros[MÊS],$AE$1,tabela_registros[DIA],reservafixaconsolidadomai[[#Headers],[22]],tabela_registros[REGISTRO],DADOS!$N$6,tabela_registros[TIPO],DADOS!$AJ$3,tabela_registros[CATEGORIA],reservafixaconsolidadomai[[#This Row],[ATUAL]])</f>
        <v>0</v>
      </c>
      <c r="AA171" s="119" t="n">
        <f aca="false">SUMIFS(tabela_registros[VALOR],tabela_registros[MÊS],$AE$1,tabela_registros[DIA],reservafixaconsolidadomai[[#Headers],[23]],tabela_registros[REGISTRO],DADOS!$N$6,tabela_registros[TIPO],DADOS!$AJ$3,tabela_registros[CATEGORIA],reservafixaconsolidadomai[[#This Row],[ATUAL]])</f>
        <v>0</v>
      </c>
      <c r="AB171" s="119" t="n">
        <f aca="false">SUMIFS(tabela_registros[VALOR],tabela_registros[MÊS],$AE$1,tabela_registros[DIA],reservafixaconsolidadomai[[#Headers],[24]],tabela_registros[REGISTRO],DADOS!$N$6,tabela_registros[TIPO],DADOS!$AJ$3,tabela_registros[CATEGORIA],reservafixaconsolidadomai[[#This Row],[ATUAL]])</f>
        <v>0</v>
      </c>
      <c r="AC171" s="119" t="n">
        <f aca="false">SUMIFS(tabela_registros[VALOR],tabela_registros[MÊS],$AE$1,tabela_registros[DIA],reservafixaconsolidadomai[[#Headers],[25]],tabela_registros[REGISTRO],DADOS!$N$6,tabela_registros[TIPO],DADOS!$AJ$3,tabela_registros[CATEGORIA],reservafixaconsolidadomai[[#This Row],[ATUAL]])</f>
        <v>0</v>
      </c>
      <c r="AD171" s="119" t="n">
        <f aca="false">SUMIFS(tabela_registros[VALOR],tabela_registros[MÊS],$AE$1,tabela_registros[DIA],reservafixaconsolidadomai[[#Headers],[26]],tabela_registros[REGISTRO],DADOS!$N$6,tabela_registros[TIPO],DADOS!$AJ$3,tabela_registros[CATEGORIA],reservafixaconsolidadomai[[#This Row],[ATUAL]])</f>
        <v>0</v>
      </c>
      <c r="AE171" s="119" t="n">
        <f aca="false">SUMIFS(tabela_registros[VALOR],tabela_registros[MÊS],$AE$1,tabela_registros[DIA],reservafixaconsolidadomai[[#Headers],[27]],tabela_registros[REGISTRO],DADOS!$N$6,tabela_registros[TIPO],DADOS!$AJ$3,tabela_registros[CATEGORIA],reservafixaconsolidadomai[[#This Row],[ATUAL]])</f>
        <v>0</v>
      </c>
      <c r="AF171" s="119" t="n">
        <f aca="false">SUMIFS(tabela_registros[VALOR],tabela_registros[MÊS],$AE$1,tabela_registros[DIA],reservafixaconsolidadomai[[#Headers],[28]],tabela_registros[REGISTRO],DADOS!$N$6,tabela_registros[TIPO],DADOS!$AJ$3,tabela_registros[CATEGORIA],reservafixaconsolidadomai[[#This Row],[ATUAL]])</f>
        <v>0</v>
      </c>
      <c r="AG171" s="119" t="n">
        <f aca="false">SUMIFS(tabela_registros[VALOR],tabela_registros[MÊS],$AE$1,tabela_registros[DIA],reservafixaconsolidadomai[[#Headers],[29]],tabela_registros[REGISTRO],DADOS!$N$6,tabela_registros[TIPO],DADOS!$AJ$3,tabela_registros[CATEGORIA],reservafixaconsolidadomai[[#This Row],[ATUAL]])</f>
        <v>0</v>
      </c>
      <c r="AH171" s="119" t="n">
        <f aca="false">SUMIFS(tabela_registros[VALOR],tabela_registros[MÊS],$AE$1,tabela_registros[DIA],reservafixaconsolidadomai[[#Headers],[30]],tabela_registros[REGISTRO],DADOS!$N$6,tabela_registros[TIPO],DADOS!$AJ$3,tabela_registros[CATEGORIA],reservafixaconsolidadomai[[#This Row],[ATUAL]])</f>
        <v>0</v>
      </c>
      <c r="AI171" s="217" t="n">
        <f aca="false">SUMIFS(tabela_registros[VALOR],tabela_registros[MÊS],$AE$1,tabela_registros[DIA],reservafixaconsolidadomai[[#Headers],[31]],tabela_registros[REGISTRO],DADOS!$N$6,tabela_registros[TIPO],DADOS!$AJ$3,tabela_registros[CATEGORIA],reservafixaconsolidadomai[[#This Row],[ATUAL]])</f>
        <v>0</v>
      </c>
      <c r="AJ171" s="149" t="n">
        <f aca="false">SUM(reservafixaconsolidadomai[[#This Row],[1]:[31]])</f>
        <v>0</v>
      </c>
      <c r="AK171" s="165"/>
    </row>
    <row r="172" customFormat="false" ht="19.5" hidden="false" customHeight="true" outlineLevel="0" collapsed="false">
      <c r="B172" s="143"/>
      <c r="C172" s="144" t="str">
        <f aca="false">DADOS!$AL$7</f>
        <v>📝 EXTERIOR</v>
      </c>
      <c r="D172" s="145" t="str">
        <f aca="false">IF(reservafixaconsolidadomai[[#This Row],[TOTAL (R$)]]=0,"",IF(OR(reservafixaconsolidadomai[[#This Row],[TOTAL (R$)]]=LARGE($AJ$168:$AJ$177,1),reservafixaconsolidadomai[[#This Row],[TOTAL (R$)]]=LARGE($AJ$168:$AJ$177,2)),DADOS!$I$11,""))</f>
        <v/>
      </c>
      <c r="E172" s="148" t="n">
        <f aca="false">SUMIFS(tabela_registros[VALOR],tabela_registros[MÊS],$AE$1,tabela_registros[DIA],reservafixaconsolidadomai[[#Headers],[1]],tabela_registros[REGISTRO],DADOS!$N$6,tabela_registros[TIPO],DADOS!$AJ$3,tabela_registros[CATEGORIA],reservafixaconsolidadomai[[#This Row],[ATUAL]])</f>
        <v>0</v>
      </c>
      <c r="F172" s="119" t="n">
        <f aca="false">SUMIFS(tabela_registros[VALOR],tabela_registros[MÊS],$AE$1,tabela_registros[DIA],reservafixaconsolidadomai[[#Headers],[2]],tabela_registros[REGISTRO],DADOS!$N$6,tabela_registros[TIPO],DADOS!$AJ$3,tabela_registros[CATEGORIA],reservafixaconsolidadomai[[#This Row],[ATUAL]])</f>
        <v>0</v>
      </c>
      <c r="G172" s="119" t="n">
        <f aca="false">SUMIFS(tabela_registros[VALOR],tabela_registros[MÊS],$AE$1,tabela_registros[DIA],reservafixaconsolidadomai[[#Headers],[3]],tabela_registros[REGISTRO],DADOS!$N$6,tabela_registros[TIPO],DADOS!$AJ$3,tabela_registros[CATEGORIA],reservafixaconsolidadomai[[#This Row],[ATUAL]])</f>
        <v>0</v>
      </c>
      <c r="H172" s="119" t="n">
        <f aca="false">SUMIFS(tabela_registros[VALOR],tabela_registros[MÊS],$AE$1,tabela_registros[DIA],reservafixaconsolidadomai[[#Headers],[4]],tabela_registros[REGISTRO],DADOS!$N$6,tabela_registros[TIPO],DADOS!$AJ$3,tabela_registros[CATEGORIA],reservafixaconsolidadomai[[#This Row],[ATUAL]])</f>
        <v>0</v>
      </c>
      <c r="I172" s="119" t="n">
        <f aca="false">SUMIFS(tabela_registros[VALOR],tabela_registros[MÊS],$AE$1,tabela_registros[DIA],reservafixaconsolidadomai[[#Headers],[5]],tabela_registros[REGISTRO],DADOS!$N$6,tabela_registros[TIPO],DADOS!$AJ$3,tabela_registros[CATEGORIA],reservafixaconsolidadomai[[#This Row],[ATUAL]])</f>
        <v>0</v>
      </c>
      <c r="J172" s="119" t="n">
        <f aca="false">SUMIFS(tabela_registros[VALOR],tabela_registros[MÊS],$AE$1,tabela_registros[DIA],reservafixaconsolidadomai[[#Headers],[6]],tabela_registros[REGISTRO],DADOS!$N$6,tabela_registros[TIPO],DADOS!$AJ$3,tabela_registros[CATEGORIA],reservafixaconsolidadomai[[#This Row],[ATUAL]])</f>
        <v>0</v>
      </c>
      <c r="K172" s="119" t="n">
        <f aca="false">SUMIFS(tabela_registros[VALOR],tabela_registros[MÊS],$AE$1,tabela_registros[DIA],reservafixaconsolidadomai[[#Headers],[7]],tabela_registros[REGISTRO],DADOS!$N$6,tabela_registros[TIPO],DADOS!$AJ$3,tabela_registros[CATEGORIA],reservafixaconsolidadomai[[#This Row],[ATUAL]])</f>
        <v>0</v>
      </c>
      <c r="L172" s="119" t="n">
        <f aca="false">SUMIFS(tabela_registros[VALOR],tabela_registros[MÊS],$AE$1,tabela_registros[DIA],reservafixaconsolidadomai[[#Headers],[8]],tabela_registros[REGISTRO],DADOS!$N$6,tabela_registros[TIPO],DADOS!$AJ$3,tabela_registros[CATEGORIA],reservafixaconsolidadomai[[#This Row],[ATUAL]])</f>
        <v>0</v>
      </c>
      <c r="M172" s="119" t="n">
        <f aca="false">SUMIFS(tabela_registros[VALOR],tabela_registros[MÊS],$AE$1,tabela_registros[DIA],reservafixaconsolidadomai[[#Headers],[9]],tabela_registros[REGISTRO],DADOS!$N$6,tabela_registros[TIPO],DADOS!$AJ$3,tabela_registros[CATEGORIA],reservafixaconsolidadomai[[#This Row],[ATUAL]])</f>
        <v>0</v>
      </c>
      <c r="N172" s="119" t="n">
        <f aca="false">SUMIFS(tabela_registros[VALOR],tabela_registros[MÊS],$AE$1,tabela_registros[DIA],reservafixaconsolidadomai[[#Headers],[10]],tabela_registros[REGISTRO],DADOS!$N$6,tabela_registros[TIPO],DADOS!$AJ$3,tabela_registros[CATEGORIA],reservafixaconsolidadomai[[#This Row],[ATUAL]])</f>
        <v>0</v>
      </c>
      <c r="O172" s="119" t="n">
        <f aca="false">SUMIFS(tabela_registros[VALOR],tabela_registros[MÊS],$AE$1,tabela_registros[DIA],reservafixaconsolidadomai[[#Headers],[11]],tabela_registros[REGISTRO],DADOS!$N$6,tabela_registros[TIPO],DADOS!$AJ$3,tabela_registros[CATEGORIA],reservafixaconsolidadomai[[#This Row],[ATUAL]])</f>
        <v>0</v>
      </c>
      <c r="P172" s="119" t="n">
        <f aca="false">SUMIFS(tabela_registros[VALOR],tabela_registros[MÊS],$AE$1,tabela_registros[DIA],reservafixaconsolidadomai[[#Headers],[12]],tabela_registros[REGISTRO],DADOS!$N$6,tabela_registros[TIPO],DADOS!$AJ$3,tabela_registros[CATEGORIA],reservafixaconsolidadomai[[#This Row],[ATUAL]])</f>
        <v>0</v>
      </c>
      <c r="Q172" s="119" t="n">
        <f aca="false">SUMIFS(tabela_registros[VALOR],tabela_registros[MÊS],$AE$1,tabela_registros[DIA],reservafixaconsolidadomai[[#Headers],[13]],tabela_registros[REGISTRO],DADOS!$N$6,tabela_registros[TIPO],DADOS!$AJ$3,tabela_registros[CATEGORIA],reservafixaconsolidadomai[[#This Row],[ATUAL]])</f>
        <v>0</v>
      </c>
      <c r="R172" s="119" t="n">
        <f aca="false">SUMIFS(tabela_registros[VALOR],tabela_registros[MÊS],$AE$1,tabela_registros[DIA],reservafixaconsolidadomai[[#Headers],[14]],tabela_registros[REGISTRO],DADOS!$N$6,tabela_registros[TIPO],DADOS!$AJ$3,tabela_registros[CATEGORIA],reservafixaconsolidadomai[[#This Row],[ATUAL]])</f>
        <v>0</v>
      </c>
      <c r="S172" s="119" t="n">
        <f aca="false">SUMIFS(tabela_registros[VALOR],tabela_registros[MÊS],$AE$1,tabela_registros[DIA],reservafixaconsolidadomai[[#Headers],[15]],tabela_registros[REGISTRO],DADOS!$N$6,tabela_registros[TIPO],DADOS!$AJ$3,tabela_registros[CATEGORIA],reservafixaconsolidadomai[[#This Row],[ATUAL]])</f>
        <v>0</v>
      </c>
      <c r="T172" s="119" t="n">
        <f aca="false">SUMIFS(tabela_registros[VALOR],tabela_registros[MÊS],$AE$1,tabela_registros[DIA],reservafixaconsolidadomai[[#Headers],[16]],tabela_registros[REGISTRO],DADOS!$N$6,tabela_registros[TIPO],DADOS!$AJ$3,tabela_registros[CATEGORIA],reservafixaconsolidadomai[[#This Row],[ATUAL]])</f>
        <v>0</v>
      </c>
      <c r="U172" s="119" t="n">
        <f aca="false">SUMIFS(tabela_registros[VALOR],tabela_registros[MÊS],$AE$1,tabela_registros[DIA],reservafixaconsolidadomai[[#Headers],[17]],tabela_registros[REGISTRO],DADOS!$N$6,tabela_registros[TIPO],DADOS!$AJ$3,tabela_registros[CATEGORIA],reservafixaconsolidadomai[[#This Row],[ATUAL]])</f>
        <v>0</v>
      </c>
      <c r="V172" s="119" t="n">
        <f aca="false">SUMIFS(tabela_registros[VALOR],tabela_registros[MÊS],$AE$1,tabela_registros[DIA],reservafixaconsolidadomai[[#Headers],[18]],tabela_registros[REGISTRO],DADOS!$N$6,tabela_registros[TIPO],DADOS!$AJ$3,tabela_registros[CATEGORIA],reservafixaconsolidadomai[[#This Row],[ATUAL]])</f>
        <v>0</v>
      </c>
      <c r="W172" s="119" t="n">
        <f aca="false">SUMIFS(tabela_registros[VALOR],tabela_registros[MÊS],$AE$1,tabela_registros[DIA],reservafixaconsolidadomai[[#Headers],[19]],tabela_registros[REGISTRO],DADOS!$N$6,tabela_registros[TIPO],DADOS!$AJ$3,tabela_registros[CATEGORIA],reservafixaconsolidadomai[[#This Row],[ATUAL]])</f>
        <v>0</v>
      </c>
      <c r="X172" s="119" t="n">
        <f aca="false">SUMIFS(tabela_registros[VALOR],tabela_registros[MÊS],$AE$1,tabela_registros[DIA],reservafixaconsolidadomai[[#Headers],[20]],tabela_registros[REGISTRO],DADOS!$N$6,tabela_registros[TIPO],DADOS!$AJ$3,tabela_registros[CATEGORIA],reservafixaconsolidadomai[[#This Row],[ATUAL]])</f>
        <v>0</v>
      </c>
      <c r="Y172" s="119" t="n">
        <f aca="false">SUMIFS(tabela_registros[VALOR],tabela_registros[MÊS],$AE$1,tabela_registros[DIA],reservafixaconsolidadomai[[#Headers],[21]],tabela_registros[REGISTRO],DADOS!$N$6,tabela_registros[TIPO],DADOS!$AJ$3,tabela_registros[CATEGORIA],reservafixaconsolidadomai[[#This Row],[ATUAL]])</f>
        <v>0</v>
      </c>
      <c r="Z172" s="119" t="n">
        <f aca="false">SUMIFS(tabela_registros[VALOR],tabela_registros[MÊS],$AE$1,tabela_registros[DIA],reservafixaconsolidadomai[[#Headers],[22]],tabela_registros[REGISTRO],DADOS!$N$6,tabela_registros[TIPO],DADOS!$AJ$3,tabela_registros[CATEGORIA],reservafixaconsolidadomai[[#This Row],[ATUAL]])</f>
        <v>0</v>
      </c>
      <c r="AA172" s="119" t="n">
        <f aca="false">SUMIFS(tabela_registros[VALOR],tabela_registros[MÊS],$AE$1,tabela_registros[DIA],reservafixaconsolidadomai[[#Headers],[23]],tabela_registros[REGISTRO],DADOS!$N$6,tabela_registros[TIPO],DADOS!$AJ$3,tabela_registros[CATEGORIA],reservafixaconsolidadomai[[#This Row],[ATUAL]])</f>
        <v>0</v>
      </c>
      <c r="AB172" s="119" t="n">
        <f aca="false">SUMIFS(tabela_registros[VALOR],tabela_registros[MÊS],$AE$1,tabela_registros[DIA],reservafixaconsolidadomai[[#Headers],[24]],tabela_registros[REGISTRO],DADOS!$N$6,tabela_registros[TIPO],DADOS!$AJ$3,tabela_registros[CATEGORIA],reservafixaconsolidadomai[[#This Row],[ATUAL]])</f>
        <v>0</v>
      </c>
      <c r="AC172" s="119" t="n">
        <f aca="false">SUMIFS(tabela_registros[VALOR],tabela_registros[MÊS],$AE$1,tabela_registros[DIA],reservafixaconsolidadomai[[#Headers],[25]],tabela_registros[REGISTRO],DADOS!$N$6,tabela_registros[TIPO],DADOS!$AJ$3,tabela_registros[CATEGORIA],reservafixaconsolidadomai[[#This Row],[ATUAL]])</f>
        <v>0</v>
      </c>
      <c r="AD172" s="119" t="n">
        <f aca="false">SUMIFS(tabela_registros[VALOR],tabela_registros[MÊS],$AE$1,tabela_registros[DIA],reservafixaconsolidadomai[[#Headers],[26]],tabela_registros[REGISTRO],DADOS!$N$6,tabela_registros[TIPO],DADOS!$AJ$3,tabela_registros[CATEGORIA],reservafixaconsolidadomai[[#This Row],[ATUAL]])</f>
        <v>0</v>
      </c>
      <c r="AE172" s="119" t="n">
        <f aca="false">SUMIFS(tabela_registros[VALOR],tabela_registros[MÊS],$AE$1,tabela_registros[DIA],reservafixaconsolidadomai[[#Headers],[27]],tabela_registros[REGISTRO],DADOS!$N$6,tabela_registros[TIPO],DADOS!$AJ$3,tabela_registros[CATEGORIA],reservafixaconsolidadomai[[#This Row],[ATUAL]])</f>
        <v>0</v>
      </c>
      <c r="AF172" s="119" t="n">
        <f aca="false">SUMIFS(tabela_registros[VALOR],tabela_registros[MÊS],$AE$1,tabela_registros[DIA],reservafixaconsolidadomai[[#Headers],[28]],tabela_registros[REGISTRO],DADOS!$N$6,tabela_registros[TIPO],DADOS!$AJ$3,tabela_registros[CATEGORIA],reservafixaconsolidadomai[[#This Row],[ATUAL]])</f>
        <v>0</v>
      </c>
      <c r="AG172" s="119" t="n">
        <f aca="false">SUMIFS(tabela_registros[VALOR],tabela_registros[MÊS],$AE$1,tabela_registros[DIA],reservafixaconsolidadomai[[#Headers],[29]],tabela_registros[REGISTRO],DADOS!$N$6,tabela_registros[TIPO],DADOS!$AJ$3,tabela_registros[CATEGORIA],reservafixaconsolidadomai[[#This Row],[ATUAL]])</f>
        <v>0</v>
      </c>
      <c r="AH172" s="119" t="n">
        <f aca="false">SUMIFS(tabela_registros[VALOR],tabela_registros[MÊS],$AE$1,tabela_registros[DIA],reservafixaconsolidadomai[[#Headers],[30]],tabela_registros[REGISTRO],DADOS!$N$6,tabela_registros[TIPO],DADOS!$AJ$3,tabela_registros[CATEGORIA],reservafixaconsolidadomai[[#This Row],[ATUAL]])</f>
        <v>0</v>
      </c>
      <c r="AI172" s="217" t="n">
        <f aca="false">SUMIFS(tabela_registros[VALOR],tabela_registros[MÊS],$AE$1,tabela_registros[DIA],reservafixaconsolidadomai[[#Headers],[31]],tabela_registros[REGISTRO],DADOS!$N$6,tabela_registros[TIPO],DADOS!$AJ$3,tabela_registros[CATEGORIA],reservafixaconsolidadomai[[#This Row],[ATUAL]])</f>
        <v>0</v>
      </c>
      <c r="AJ172" s="149" t="n">
        <f aca="false">SUM(reservafixaconsolidadomai[[#This Row],[1]:[31]])</f>
        <v>0</v>
      </c>
      <c r="AK172" s="165"/>
    </row>
    <row r="173" customFormat="false" ht="19.5" hidden="false" customHeight="true" outlineLevel="0" collapsed="false">
      <c r="B173" s="143"/>
      <c r="C173" s="144" t="str">
        <f aca="false">DADOS!$AL$8</f>
        <v>📝 LC</v>
      </c>
      <c r="D173" s="145" t="str">
        <f aca="false">IF(reservafixaconsolidadomai[[#This Row],[TOTAL (R$)]]=0,"",IF(OR(reservafixaconsolidadomai[[#This Row],[TOTAL (R$)]]=LARGE($AJ$168:$AJ$177,1),reservafixaconsolidadomai[[#This Row],[TOTAL (R$)]]=LARGE($AJ$168:$AJ$177,2)),DADOS!$I$11,""))</f>
        <v/>
      </c>
      <c r="E173" s="148" t="n">
        <f aca="false">SUMIFS(tabela_registros[VALOR],tabela_registros[MÊS],$AE$1,tabela_registros[DIA],reservafixaconsolidadomai[[#Headers],[1]],tabela_registros[REGISTRO],DADOS!$N$6,tabela_registros[TIPO],DADOS!$AJ$3,tabela_registros[CATEGORIA],reservafixaconsolidadomai[[#This Row],[ATUAL]])</f>
        <v>0</v>
      </c>
      <c r="F173" s="119" t="n">
        <f aca="false">SUMIFS(tabela_registros[VALOR],tabela_registros[MÊS],$AE$1,tabela_registros[DIA],reservafixaconsolidadomai[[#Headers],[2]],tabela_registros[REGISTRO],DADOS!$N$6,tabela_registros[TIPO],DADOS!$AJ$3,tabela_registros[CATEGORIA],reservafixaconsolidadomai[[#This Row],[ATUAL]])</f>
        <v>0</v>
      </c>
      <c r="G173" s="119" t="n">
        <f aca="false">SUMIFS(tabela_registros[VALOR],tabela_registros[MÊS],$AE$1,tabela_registros[DIA],reservafixaconsolidadomai[[#Headers],[3]],tabela_registros[REGISTRO],DADOS!$N$6,tabela_registros[TIPO],DADOS!$AJ$3,tabela_registros[CATEGORIA],reservafixaconsolidadomai[[#This Row],[ATUAL]])</f>
        <v>0</v>
      </c>
      <c r="H173" s="119" t="n">
        <f aca="false">SUMIFS(tabela_registros[VALOR],tabela_registros[MÊS],$AE$1,tabela_registros[DIA],reservafixaconsolidadomai[[#Headers],[4]],tabela_registros[REGISTRO],DADOS!$N$6,tabela_registros[TIPO],DADOS!$AJ$3,tabela_registros[CATEGORIA],reservafixaconsolidadomai[[#This Row],[ATUAL]])</f>
        <v>0</v>
      </c>
      <c r="I173" s="119" t="n">
        <f aca="false">SUMIFS(tabela_registros[VALOR],tabela_registros[MÊS],$AE$1,tabela_registros[DIA],reservafixaconsolidadomai[[#Headers],[5]],tabela_registros[REGISTRO],DADOS!$N$6,tabela_registros[TIPO],DADOS!$AJ$3,tabela_registros[CATEGORIA],reservafixaconsolidadomai[[#This Row],[ATUAL]])</f>
        <v>0</v>
      </c>
      <c r="J173" s="119" t="n">
        <f aca="false">SUMIFS(tabela_registros[VALOR],tabela_registros[MÊS],$AE$1,tabela_registros[DIA],reservafixaconsolidadomai[[#Headers],[6]],tabela_registros[REGISTRO],DADOS!$N$6,tabela_registros[TIPO],DADOS!$AJ$3,tabela_registros[CATEGORIA],reservafixaconsolidadomai[[#This Row],[ATUAL]])</f>
        <v>0</v>
      </c>
      <c r="K173" s="119" t="n">
        <f aca="false">SUMIFS(tabela_registros[VALOR],tabela_registros[MÊS],$AE$1,tabela_registros[DIA],reservafixaconsolidadomai[[#Headers],[7]],tabela_registros[REGISTRO],DADOS!$N$6,tabela_registros[TIPO],DADOS!$AJ$3,tabela_registros[CATEGORIA],reservafixaconsolidadomai[[#This Row],[ATUAL]])</f>
        <v>0</v>
      </c>
      <c r="L173" s="119" t="n">
        <f aca="false">SUMIFS(tabela_registros[VALOR],tabela_registros[MÊS],$AE$1,tabela_registros[DIA],reservafixaconsolidadomai[[#Headers],[8]],tabela_registros[REGISTRO],DADOS!$N$6,tabela_registros[TIPO],DADOS!$AJ$3,tabela_registros[CATEGORIA],reservafixaconsolidadomai[[#This Row],[ATUAL]])</f>
        <v>0</v>
      </c>
      <c r="M173" s="119" t="n">
        <f aca="false">SUMIFS(tabela_registros[VALOR],tabela_registros[MÊS],$AE$1,tabela_registros[DIA],reservafixaconsolidadomai[[#Headers],[9]],tabela_registros[REGISTRO],DADOS!$N$6,tabela_registros[TIPO],DADOS!$AJ$3,tabela_registros[CATEGORIA],reservafixaconsolidadomai[[#This Row],[ATUAL]])</f>
        <v>0</v>
      </c>
      <c r="N173" s="119" t="n">
        <f aca="false">SUMIFS(tabela_registros[VALOR],tabela_registros[MÊS],$AE$1,tabela_registros[DIA],reservafixaconsolidadomai[[#Headers],[10]],tabela_registros[REGISTRO],DADOS!$N$6,tabela_registros[TIPO],DADOS!$AJ$3,tabela_registros[CATEGORIA],reservafixaconsolidadomai[[#This Row],[ATUAL]])</f>
        <v>0</v>
      </c>
      <c r="O173" s="119" t="n">
        <f aca="false">SUMIFS(tabela_registros[VALOR],tabela_registros[MÊS],$AE$1,tabela_registros[DIA],reservafixaconsolidadomai[[#Headers],[11]],tabela_registros[REGISTRO],DADOS!$N$6,tabela_registros[TIPO],DADOS!$AJ$3,tabela_registros[CATEGORIA],reservafixaconsolidadomai[[#This Row],[ATUAL]])</f>
        <v>0</v>
      </c>
      <c r="P173" s="119" t="n">
        <f aca="false">SUMIFS(tabela_registros[VALOR],tabela_registros[MÊS],$AE$1,tabela_registros[DIA],reservafixaconsolidadomai[[#Headers],[12]],tabela_registros[REGISTRO],DADOS!$N$6,tabela_registros[TIPO],DADOS!$AJ$3,tabela_registros[CATEGORIA],reservafixaconsolidadomai[[#This Row],[ATUAL]])</f>
        <v>0</v>
      </c>
      <c r="Q173" s="119" t="n">
        <f aca="false">SUMIFS(tabela_registros[VALOR],tabela_registros[MÊS],$AE$1,tabela_registros[DIA],reservafixaconsolidadomai[[#Headers],[13]],tabela_registros[REGISTRO],DADOS!$N$6,tabela_registros[TIPO],DADOS!$AJ$3,tabela_registros[CATEGORIA],reservafixaconsolidadomai[[#This Row],[ATUAL]])</f>
        <v>0</v>
      </c>
      <c r="R173" s="119" t="n">
        <f aca="false">SUMIFS(tabela_registros[VALOR],tabela_registros[MÊS],$AE$1,tabela_registros[DIA],reservafixaconsolidadomai[[#Headers],[14]],tabela_registros[REGISTRO],DADOS!$N$6,tabela_registros[TIPO],DADOS!$AJ$3,tabela_registros[CATEGORIA],reservafixaconsolidadomai[[#This Row],[ATUAL]])</f>
        <v>0</v>
      </c>
      <c r="S173" s="119" t="n">
        <f aca="false">SUMIFS(tabela_registros[VALOR],tabela_registros[MÊS],$AE$1,tabela_registros[DIA],reservafixaconsolidadomai[[#Headers],[15]],tabela_registros[REGISTRO],DADOS!$N$6,tabela_registros[TIPO],DADOS!$AJ$3,tabela_registros[CATEGORIA],reservafixaconsolidadomai[[#This Row],[ATUAL]])</f>
        <v>0</v>
      </c>
      <c r="T173" s="119" t="n">
        <f aca="false">SUMIFS(tabela_registros[VALOR],tabela_registros[MÊS],$AE$1,tabela_registros[DIA],reservafixaconsolidadomai[[#Headers],[16]],tabela_registros[REGISTRO],DADOS!$N$6,tabela_registros[TIPO],DADOS!$AJ$3,tabela_registros[CATEGORIA],reservafixaconsolidadomai[[#This Row],[ATUAL]])</f>
        <v>0</v>
      </c>
      <c r="U173" s="119" t="n">
        <f aca="false">SUMIFS(tabela_registros[VALOR],tabela_registros[MÊS],$AE$1,tabela_registros[DIA],reservafixaconsolidadomai[[#Headers],[17]],tabela_registros[REGISTRO],DADOS!$N$6,tabela_registros[TIPO],DADOS!$AJ$3,tabela_registros[CATEGORIA],reservafixaconsolidadomai[[#This Row],[ATUAL]])</f>
        <v>0</v>
      </c>
      <c r="V173" s="119" t="n">
        <f aca="false">SUMIFS(tabela_registros[VALOR],tabela_registros[MÊS],$AE$1,tabela_registros[DIA],reservafixaconsolidadomai[[#Headers],[18]],tabela_registros[REGISTRO],DADOS!$N$6,tabela_registros[TIPO],DADOS!$AJ$3,tabela_registros[CATEGORIA],reservafixaconsolidadomai[[#This Row],[ATUAL]])</f>
        <v>0</v>
      </c>
      <c r="W173" s="119" t="n">
        <f aca="false">SUMIFS(tabela_registros[VALOR],tabela_registros[MÊS],$AE$1,tabela_registros[DIA],reservafixaconsolidadomai[[#Headers],[19]],tabela_registros[REGISTRO],DADOS!$N$6,tabela_registros[TIPO],DADOS!$AJ$3,tabela_registros[CATEGORIA],reservafixaconsolidadomai[[#This Row],[ATUAL]])</f>
        <v>0</v>
      </c>
      <c r="X173" s="119" t="n">
        <f aca="false">SUMIFS(tabela_registros[VALOR],tabela_registros[MÊS],$AE$1,tabela_registros[DIA],reservafixaconsolidadomai[[#Headers],[20]],tabela_registros[REGISTRO],DADOS!$N$6,tabela_registros[TIPO],DADOS!$AJ$3,tabela_registros[CATEGORIA],reservafixaconsolidadomai[[#This Row],[ATUAL]])</f>
        <v>0</v>
      </c>
      <c r="Y173" s="119" t="n">
        <f aca="false">SUMIFS(tabela_registros[VALOR],tabela_registros[MÊS],$AE$1,tabela_registros[DIA],reservafixaconsolidadomai[[#Headers],[21]],tabela_registros[REGISTRO],DADOS!$N$6,tabela_registros[TIPO],DADOS!$AJ$3,tabela_registros[CATEGORIA],reservafixaconsolidadomai[[#This Row],[ATUAL]])</f>
        <v>0</v>
      </c>
      <c r="Z173" s="119" t="n">
        <f aca="false">SUMIFS(tabela_registros[VALOR],tabela_registros[MÊS],$AE$1,tabela_registros[DIA],reservafixaconsolidadomai[[#Headers],[22]],tabela_registros[REGISTRO],DADOS!$N$6,tabela_registros[TIPO],DADOS!$AJ$3,tabela_registros[CATEGORIA],reservafixaconsolidadomai[[#This Row],[ATUAL]])</f>
        <v>0</v>
      </c>
      <c r="AA173" s="119" t="n">
        <f aca="false">SUMIFS(tabela_registros[VALOR],tabela_registros[MÊS],$AE$1,tabela_registros[DIA],reservafixaconsolidadomai[[#Headers],[23]],tabela_registros[REGISTRO],DADOS!$N$6,tabela_registros[TIPO],DADOS!$AJ$3,tabela_registros[CATEGORIA],reservafixaconsolidadomai[[#This Row],[ATUAL]])</f>
        <v>0</v>
      </c>
      <c r="AB173" s="119" t="n">
        <f aca="false">SUMIFS(tabela_registros[VALOR],tabela_registros[MÊS],$AE$1,tabela_registros[DIA],reservafixaconsolidadomai[[#Headers],[24]],tabela_registros[REGISTRO],DADOS!$N$6,tabela_registros[TIPO],DADOS!$AJ$3,tabela_registros[CATEGORIA],reservafixaconsolidadomai[[#This Row],[ATUAL]])</f>
        <v>0</v>
      </c>
      <c r="AC173" s="119" t="n">
        <f aca="false">SUMIFS(tabela_registros[VALOR],tabela_registros[MÊS],$AE$1,tabela_registros[DIA],reservafixaconsolidadomai[[#Headers],[25]],tabela_registros[REGISTRO],DADOS!$N$6,tabela_registros[TIPO],DADOS!$AJ$3,tabela_registros[CATEGORIA],reservafixaconsolidadomai[[#This Row],[ATUAL]])</f>
        <v>0</v>
      </c>
      <c r="AD173" s="119" t="n">
        <f aca="false">SUMIFS(tabela_registros[VALOR],tabela_registros[MÊS],$AE$1,tabela_registros[DIA],reservafixaconsolidadomai[[#Headers],[26]],tabela_registros[REGISTRO],DADOS!$N$6,tabela_registros[TIPO],DADOS!$AJ$3,tabela_registros[CATEGORIA],reservafixaconsolidadomai[[#This Row],[ATUAL]])</f>
        <v>0</v>
      </c>
      <c r="AE173" s="119" t="n">
        <f aca="false">SUMIFS(tabela_registros[VALOR],tabela_registros[MÊS],$AE$1,tabela_registros[DIA],reservafixaconsolidadomai[[#Headers],[27]],tabela_registros[REGISTRO],DADOS!$N$6,tabela_registros[TIPO],DADOS!$AJ$3,tabela_registros[CATEGORIA],reservafixaconsolidadomai[[#This Row],[ATUAL]])</f>
        <v>0</v>
      </c>
      <c r="AF173" s="119" t="n">
        <f aca="false">SUMIFS(tabela_registros[VALOR],tabela_registros[MÊS],$AE$1,tabela_registros[DIA],reservafixaconsolidadomai[[#Headers],[28]],tabela_registros[REGISTRO],DADOS!$N$6,tabela_registros[TIPO],DADOS!$AJ$3,tabela_registros[CATEGORIA],reservafixaconsolidadomai[[#This Row],[ATUAL]])</f>
        <v>0</v>
      </c>
      <c r="AG173" s="119" t="n">
        <f aca="false">SUMIFS(tabela_registros[VALOR],tabela_registros[MÊS],$AE$1,tabela_registros[DIA],reservafixaconsolidadomai[[#Headers],[29]],tabela_registros[REGISTRO],DADOS!$N$6,tabela_registros[TIPO],DADOS!$AJ$3,tabela_registros[CATEGORIA],reservafixaconsolidadomai[[#This Row],[ATUAL]])</f>
        <v>0</v>
      </c>
      <c r="AH173" s="119" t="n">
        <f aca="false">SUMIFS(tabela_registros[VALOR],tabela_registros[MÊS],$AE$1,tabela_registros[DIA],reservafixaconsolidadomai[[#Headers],[30]],tabela_registros[REGISTRO],DADOS!$N$6,tabela_registros[TIPO],DADOS!$AJ$3,tabela_registros[CATEGORIA],reservafixaconsolidadomai[[#This Row],[ATUAL]])</f>
        <v>0</v>
      </c>
      <c r="AI173" s="217" t="n">
        <f aca="false">SUMIFS(tabela_registros[VALOR],tabela_registros[MÊS],$AE$1,tabela_registros[DIA],reservafixaconsolidadomai[[#Headers],[31]],tabela_registros[REGISTRO],DADOS!$N$6,tabela_registros[TIPO],DADOS!$AJ$3,tabela_registros[CATEGORIA],reservafixaconsolidadomai[[#This Row],[ATUAL]])</f>
        <v>0</v>
      </c>
      <c r="AJ173" s="149" t="n">
        <f aca="false">SUM(reservafixaconsolidadomai[[#This Row],[1]:[31]])</f>
        <v>0</v>
      </c>
      <c r="AK173" s="165"/>
    </row>
    <row r="174" customFormat="false" ht="19.5" hidden="false" customHeight="true" outlineLevel="0" collapsed="false">
      <c r="B174" s="143"/>
      <c r="C174" s="144" t="str">
        <f aca="false">DADOS!$AL$9</f>
        <v>📝 LCA</v>
      </c>
      <c r="D174" s="145" t="str">
        <f aca="false">IF(reservafixaconsolidadomai[[#This Row],[TOTAL (R$)]]=0,"",IF(OR(reservafixaconsolidadomai[[#This Row],[TOTAL (R$)]]=LARGE($AJ$168:$AJ$177,1),reservafixaconsolidadomai[[#This Row],[TOTAL (R$)]]=LARGE($AJ$168:$AJ$177,2)),DADOS!$I$11,""))</f>
        <v/>
      </c>
      <c r="E174" s="148" t="n">
        <f aca="false">SUMIFS(tabela_registros[VALOR],tabela_registros[MÊS],$AE$1,tabela_registros[DIA],reservafixaconsolidadomai[[#Headers],[1]],tabela_registros[REGISTRO],DADOS!$N$6,tabela_registros[TIPO],DADOS!$AJ$3,tabela_registros[CATEGORIA],reservafixaconsolidadomai[[#This Row],[ATUAL]])</f>
        <v>0</v>
      </c>
      <c r="F174" s="119" t="n">
        <f aca="false">SUMIFS(tabela_registros[VALOR],tabela_registros[MÊS],$AE$1,tabela_registros[DIA],reservafixaconsolidadomai[[#Headers],[2]],tabela_registros[REGISTRO],DADOS!$N$6,tabela_registros[TIPO],DADOS!$AJ$3,tabela_registros[CATEGORIA],reservafixaconsolidadomai[[#This Row],[ATUAL]])</f>
        <v>0</v>
      </c>
      <c r="G174" s="119" t="n">
        <f aca="false">SUMIFS(tabela_registros[VALOR],tabela_registros[MÊS],$AE$1,tabela_registros[DIA],reservafixaconsolidadomai[[#Headers],[3]],tabela_registros[REGISTRO],DADOS!$N$6,tabela_registros[TIPO],DADOS!$AJ$3,tabela_registros[CATEGORIA],reservafixaconsolidadomai[[#This Row],[ATUAL]])</f>
        <v>0</v>
      </c>
      <c r="H174" s="119" t="n">
        <f aca="false">SUMIFS(tabela_registros[VALOR],tabela_registros[MÊS],$AE$1,tabela_registros[DIA],reservafixaconsolidadomai[[#Headers],[4]],tabela_registros[REGISTRO],DADOS!$N$6,tabela_registros[TIPO],DADOS!$AJ$3,tabela_registros[CATEGORIA],reservafixaconsolidadomai[[#This Row],[ATUAL]])</f>
        <v>0</v>
      </c>
      <c r="I174" s="119" t="n">
        <f aca="false">SUMIFS(tabela_registros[VALOR],tabela_registros[MÊS],$AE$1,tabela_registros[DIA],reservafixaconsolidadomai[[#Headers],[5]],tabela_registros[REGISTRO],DADOS!$N$6,tabela_registros[TIPO],DADOS!$AJ$3,tabela_registros[CATEGORIA],reservafixaconsolidadomai[[#This Row],[ATUAL]])</f>
        <v>0</v>
      </c>
      <c r="J174" s="119" t="n">
        <f aca="false">SUMIFS(tabela_registros[VALOR],tabela_registros[MÊS],$AE$1,tabela_registros[DIA],reservafixaconsolidadomai[[#Headers],[6]],tabela_registros[REGISTRO],DADOS!$N$6,tabela_registros[TIPO],DADOS!$AJ$3,tabela_registros[CATEGORIA],reservafixaconsolidadomai[[#This Row],[ATUAL]])</f>
        <v>0</v>
      </c>
      <c r="K174" s="119" t="n">
        <f aca="false">SUMIFS(tabela_registros[VALOR],tabela_registros[MÊS],$AE$1,tabela_registros[DIA],reservafixaconsolidadomai[[#Headers],[7]],tabela_registros[REGISTRO],DADOS!$N$6,tabela_registros[TIPO],DADOS!$AJ$3,tabela_registros[CATEGORIA],reservafixaconsolidadomai[[#This Row],[ATUAL]])</f>
        <v>0</v>
      </c>
      <c r="L174" s="119" t="n">
        <f aca="false">SUMIFS(tabela_registros[VALOR],tabela_registros[MÊS],$AE$1,tabela_registros[DIA],reservafixaconsolidadomai[[#Headers],[8]],tabela_registros[REGISTRO],DADOS!$N$6,tabela_registros[TIPO],DADOS!$AJ$3,tabela_registros[CATEGORIA],reservafixaconsolidadomai[[#This Row],[ATUAL]])</f>
        <v>0</v>
      </c>
      <c r="M174" s="119" t="n">
        <f aca="false">SUMIFS(tabela_registros[VALOR],tabela_registros[MÊS],$AE$1,tabela_registros[DIA],reservafixaconsolidadomai[[#Headers],[9]],tabela_registros[REGISTRO],DADOS!$N$6,tabela_registros[TIPO],DADOS!$AJ$3,tabela_registros[CATEGORIA],reservafixaconsolidadomai[[#This Row],[ATUAL]])</f>
        <v>0</v>
      </c>
      <c r="N174" s="119" t="n">
        <f aca="false">SUMIFS(tabela_registros[VALOR],tabela_registros[MÊS],$AE$1,tabela_registros[DIA],reservafixaconsolidadomai[[#Headers],[10]],tabela_registros[REGISTRO],DADOS!$N$6,tabela_registros[TIPO],DADOS!$AJ$3,tabela_registros[CATEGORIA],reservafixaconsolidadomai[[#This Row],[ATUAL]])</f>
        <v>0</v>
      </c>
      <c r="O174" s="119" t="n">
        <f aca="false">SUMIFS(tabela_registros[VALOR],tabela_registros[MÊS],$AE$1,tabela_registros[DIA],reservafixaconsolidadomai[[#Headers],[11]],tabela_registros[REGISTRO],DADOS!$N$6,tabela_registros[TIPO],DADOS!$AJ$3,tabela_registros[CATEGORIA],reservafixaconsolidadomai[[#This Row],[ATUAL]])</f>
        <v>0</v>
      </c>
      <c r="P174" s="119" t="n">
        <f aca="false">SUMIFS(tabela_registros[VALOR],tabela_registros[MÊS],$AE$1,tabela_registros[DIA],reservafixaconsolidadomai[[#Headers],[12]],tabela_registros[REGISTRO],DADOS!$N$6,tabela_registros[TIPO],DADOS!$AJ$3,tabela_registros[CATEGORIA],reservafixaconsolidadomai[[#This Row],[ATUAL]])</f>
        <v>0</v>
      </c>
      <c r="Q174" s="119" t="n">
        <f aca="false">SUMIFS(tabela_registros[VALOR],tabela_registros[MÊS],$AE$1,tabela_registros[DIA],reservafixaconsolidadomai[[#Headers],[13]],tabela_registros[REGISTRO],DADOS!$N$6,tabela_registros[TIPO],DADOS!$AJ$3,tabela_registros[CATEGORIA],reservafixaconsolidadomai[[#This Row],[ATUAL]])</f>
        <v>0</v>
      </c>
      <c r="R174" s="119" t="n">
        <f aca="false">SUMIFS(tabela_registros[VALOR],tabela_registros[MÊS],$AE$1,tabela_registros[DIA],reservafixaconsolidadomai[[#Headers],[14]],tabela_registros[REGISTRO],DADOS!$N$6,tabela_registros[TIPO],DADOS!$AJ$3,tabela_registros[CATEGORIA],reservafixaconsolidadomai[[#This Row],[ATUAL]])</f>
        <v>0</v>
      </c>
      <c r="S174" s="119" t="n">
        <f aca="false">SUMIFS(tabela_registros[VALOR],tabela_registros[MÊS],$AE$1,tabela_registros[DIA],reservafixaconsolidadomai[[#Headers],[15]],tabela_registros[REGISTRO],DADOS!$N$6,tabela_registros[TIPO],DADOS!$AJ$3,tabela_registros[CATEGORIA],reservafixaconsolidadomai[[#This Row],[ATUAL]])</f>
        <v>0</v>
      </c>
      <c r="T174" s="119" t="n">
        <f aca="false">SUMIFS(tabela_registros[VALOR],tabela_registros[MÊS],$AE$1,tabela_registros[DIA],reservafixaconsolidadomai[[#Headers],[16]],tabela_registros[REGISTRO],DADOS!$N$6,tabela_registros[TIPO],DADOS!$AJ$3,tabela_registros[CATEGORIA],reservafixaconsolidadomai[[#This Row],[ATUAL]])</f>
        <v>0</v>
      </c>
      <c r="U174" s="119" t="n">
        <f aca="false">SUMIFS(tabela_registros[VALOR],tabela_registros[MÊS],$AE$1,tabela_registros[DIA],reservafixaconsolidadomai[[#Headers],[17]],tabela_registros[REGISTRO],DADOS!$N$6,tabela_registros[TIPO],DADOS!$AJ$3,tabela_registros[CATEGORIA],reservafixaconsolidadomai[[#This Row],[ATUAL]])</f>
        <v>0</v>
      </c>
      <c r="V174" s="119" t="n">
        <f aca="false">SUMIFS(tabela_registros[VALOR],tabela_registros[MÊS],$AE$1,tabela_registros[DIA],reservafixaconsolidadomai[[#Headers],[18]],tabela_registros[REGISTRO],DADOS!$N$6,tabela_registros[TIPO],DADOS!$AJ$3,tabela_registros[CATEGORIA],reservafixaconsolidadomai[[#This Row],[ATUAL]])</f>
        <v>0</v>
      </c>
      <c r="W174" s="119" t="n">
        <f aca="false">SUMIFS(tabela_registros[VALOR],tabela_registros[MÊS],$AE$1,tabela_registros[DIA],reservafixaconsolidadomai[[#Headers],[19]],tabela_registros[REGISTRO],DADOS!$N$6,tabela_registros[TIPO],DADOS!$AJ$3,tabela_registros[CATEGORIA],reservafixaconsolidadomai[[#This Row],[ATUAL]])</f>
        <v>0</v>
      </c>
      <c r="X174" s="119" t="n">
        <f aca="false">SUMIFS(tabela_registros[VALOR],tabela_registros[MÊS],$AE$1,tabela_registros[DIA],reservafixaconsolidadomai[[#Headers],[20]],tabela_registros[REGISTRO],DADOS!$N$6,tabela_registros[TIPO],DADOS!$AJ$3,tabela_registros[CATEGORIA],reservafixaconsolidadomai[[#This Row],[ATUAL]])</f>
        <v>0</v>
      </c>
      <c r="Y174" s="119" t="n">
        <f aca="false">SUMIFS(tabela_registros[VALOR],tabela_registros[MÊS],$AE$1,tabela_registros[DIA],reservafixaconsolidadomai[[#Headers],[21]],tabela_registros[REGISTRO],DADOS!$N$6,tabela_registros[TIPO],DADOS!$AJ$3,tabela_registros[CATEGORIA],reservafixaconsolidadomai[[#This Row],[ATUAL]])</f>
        <v>0</v>
      </c>
      <c r="Z174" s="119" t="n">
        <f aca="false">SUMIFS(tabela_registros[VALOR],tabela_registros[MÊS],$AE$1,tabela_registros[DIA],reservafixaconsolidadomai[[#Headers],[22]],tabela_registros[REGISTRO],DADOS!$N$6,tabela_registros[TIPO],DADOS!$AJ$3,tabela_registros[CATEGORIA],reservafixaconsolidadomai[[#This Row],[ATUAL]])</f>
        <v>0</v>
      </c>
      <c r="AA174" s="119" t="n">
        <f aca="false">SUMIFS(tabela_registros[VALOR],tabela_registros[MÊS],$AE$1,tabela_registros[DIA],reservafixaconsolidadomai[[#Headers],[23]],tabela_registros[REGISTRO],DADOS!$N$6,tabela_registros[TIPO],DADOS!$AJ$3,tabela_registros[CATEGORIA],reservafixaconsolidadomai[[#This Row],[ATUAL]])</f>
        <v>0</v>
      </c>
      <c r="AB174" s="119" t="n">
        <f aca="false">SUMIFS(tabela_registros[VALOR],tabela_registros[MÊS],$AE$1,tabela_registros[DIA],reservafixaconsolidadomai[[#Headers],[24]],tabela_registros[REGISTRO],DADOS!$N$6,tabela_registros[TIPO],DADOS!$AJ$3,tabela_registros[CATEGORIA],reservafixaconsolidadomai[[#This Row],[ATUAL]])</f>
        <v>0</v>
      </c>
      <c r="AC174" s="119" t="n">
        <f aca="false">SUMIFS(tabela_registros[VALOR],tabela_registros[MÊS],$AE$1,tabela_registros[DIA],reservafixaconsolidadomai[[#Headers],[25]],tabela_registros[REGISTRO],DADOS!$N$6,tabela_registros[TIPO],DADOS!$AJ$3,tabela_registros[CATEGORIA],reservafixaconsolidadomai[[#This Row],[ATUAL]])</f>
        <v>0</v>
      </c>
      <c r="AD174" s="119" t="n">
        <f aca="false">SUMIFS(tabela_registros[VALOR],tabela_registros[MÊS],$AE$1,tabela_registros[DIA],reservafixaconsolidadomai[[#Headers],[26]],tabela_registros[REGISTRO],DADOS!$N$6,tabela_registros[TIPO],DADOS!$AJ$3,tabela_registros[CATEGORIA],reservafixaconsolidadomai[[#This Row],[ATUAL]])</f>
        <v>0</v>
      </c>
      <c r="AE174" s="119" t="n">
        <f aca="false">SUMIFS(tabela_registros[VALOR],tabela_registros[MÊS],$AE$1,tabela_registros[DIA],reservafixaconsolidadomai[[#Headers],[27]],tabela_registros[REGISTRO],DADOS!$N$6,tabela_registros[TIPO],DADOS!$AJ$3,tabela_registros[CATEGORIA],reservafixaconsolidadomai[[#This Row],[ATUAL]])</f>
        <v>0</v>
      </c>
      <c r="AF174" s="119" t="n">
        <f aca="false">SUMIFS(tabela_registros[VALOR],tabela_registros[MÊS],$AE$1,tabela_registros[DIA],reservafixaconsolidadomai[[#Headers],[28]],tabela_registros[REGISTRO],DADOS!$N$6,tabela_registros[TIPO],DADOS!$AJ$3,tabela_registros[CATEGORIA],reservafixaconsolidadomai[[#This Row],[ATUAL]])</f>
        <v>0</v>
      </c>
      <c r="AG174" s="119" t="n">
        <f aca="false">SUMIFS(tabela_registros[VALOR],tabela_registros[MÊS],$AE$1,tabela_registros[DIA],reservafixaconsolidadomai[[#Headers],[29]],tabela_registros[REGISTRO],DADOS!$N$6,tabela_registros[TIPO],DADOS!$AJ$3,tabela_registros[CATEGORIA],reservafixaconsolidadomai[[#This Row],[ATUAL]])</f>
        <v>0</v>
      </c>
      <c r="AH174" s="119" t="n">
        <f aca="false">SUMIFS(tabela_registros[VALOR],tabela_registros[MÊS],$AE$1,tabela_registros[DIA],reservafixaconsolidadomai[[#Headers],[30]],tabela_registros[REGISTRO],DADOS!$N$6,tabela_registros[TIPO],DADOS!$AJ$3,tabela_registros[CATEGORIA],reservafixaconsolidadomai[[#This Row],[ATUAL]])</f>
        <v>0</v>
      </c>
      <c r="AI174" s="217" t="n">
        <f aca="false">SUMIFS(tabela_registros[VALOR],tabela_registros[MÊS],$AE$1,tabela_registros[DIA],reservafixaconsolidadomai[[#Headers],[31]],tabela_registros[REGISTRO],DADOS!$N$6,tabela_registros[TIPO],DADOS!$AJ$3,tabela_registros[CATEGORIA],reservafixaconsolidadomai[[#This Row],[ATUAL]])</f>
        <v>0</v>
      </c>
      <c r="AJ174" s="149" t="n">
        <f aca="false">SUM(reservafixaconsolidadomai[[#This Row],[1]:[31]])</f>
        <v>0</v>
      </c>
      <c r="AK174" s="165"/>
    </row>
    <row r="175" customFormat="false" ht="19.5" hidden="false" customHeight="true" outlineLevel="0" collapsed="false">
      <c r="B175" s="143"/>
      <c r="C175" s="144" t="str">
        <f aca="false">DADOS!$AL$10</f>
        <v>📝 LCI</v>
      </c>
      <c r="D175" s="145" t="str">
        <f aca="false">IF(reservafixaconsolidadomai[[#This Row],[TOTAL (R$)]]=0,"",IF(OR(reservafixaconsolidadomai[[#This Row],[TOTAL (R$)]]=LARGE($AJ$168:$AJ$177,1),reservafixaconsolidadomai[[#This Row],[TOTAL (R$)]]=LARGE($AJ$168:$AJ$177,2)),DADOS!$I$11,""))</f>
        <v/>
      </c>
      <c r="E175" s="148" t="n">
        <f aca="false">SUMIFS(tabela_registros[VALOR],tabela_registros[MÊS],$AE$1,tabela_registros[DIA],reservafixaconsolidadomai[[#Headers],[1]],tabela_registros[REGISTRO],DADOS!$N$6,tabela_registros[TIPO],DADOS!$AJ$3,tabela_registros[CATEGORIA],reservafixaconsolidadomai[[#This Row],[ATUAL]])</f>
        <v>0</v>
      </c>
      <c r="F175" s="119" t="n">
        <f aca="false">SUMIFS(tabela_registros[VALOR],tabela_registros[MÊS],$AE$1,tabela_registros[DIA],reservafixaconsolidadomai[[#Headers],[2]],tabela_registros[REGISTRO],DADOS!$N$6,tabela_registros[TIPO],DADOS!$AJ$3,tabela_registros[CATEGORIA],reservafixaconsolidadomai[[#This Row],[ATUAL]])</f>
        <v>0</v>
      </c>
      <c r="G175" s="119" t="n">
        <f aca="false">SUMIFS(tabela_registros[VALOR],tabela_registros[MÊS],$AE$1,tabela_registros[DIA],reservafixaconsolidadomai[[#Headers],[3]],tabela_registros[REGISTRO],DADOS!$N$6,tabela_registros[TIPO],DADOS!$AJ$3,tabela_registros[CATEGORIA],reservafixaconsolidadomai[[#This Row],[ATUAL]])</f>
        <v>0</v>
      </c>
      <c r="H175" s="119" t="n">
        <f aca="false">SUMIFS(tabela_registros[VALOR],tabela_registros[MÊS],$AE$1,tabela_registros[DIA],reservafixaconsolidadomai[[#Headers],[4]],tabela_registros[REGISTRO],DADOS!$N$6,tabela_registros[TIPO],DADOS!$AJ$3,tabela_registros[CATEGORIA],reservafixaconsolidadomai[[#This Row],[ATUAL]])</f>
        <v>0</v>
      </c>
      <c r="I175" s="119" t="n">
        <f aca="false">SUMIFS(tabela_registros[VALOR],tabela_registros[MÊS],$AE$1,tabela_registros[DIA],reservafixaconsolidadomai[[#Headers],[5]],tabela_registros[REGISTRO],DADOS!$N$6,tabela_registros[TIPO],DADOS!$AJ$3,tabela_registros[CATEGORIA],reservafixaconsolidadomai[[#This Row],[ATUAL]])</f>
        <v>0</v>
      </c>
      <c r="J175" s="119" t="n">
        <f aca="false">SUMIFS(tabela_registros[VALOR],tabela_registros[MÊS],$AE$1,tabela_registros[DIA],reservafixaconsolidadomai[[#Headers],[6]],tabela_registros[REGISTRO],DADOS!$N$6,tabela_registros[TIPO],DADOS!$AJ$3,tabela_registros[CATEGORIA],reservafixaconsolidadomai[[#This Row],[ATUAL]])</f>
        <v>0</v>
      </c>
      <c r="K175" s="119" t="n">
        <f aca="false">SUMIFS(tabela_registros[VALOR],tabela_registros[MÊS],$AE$1,tabela_registros[DIA],reservafixaconsolidadomai[[#Headers],[7]],tabela_registros[REGISTRO],DADOS!$N$6,tabela_registros[TIPO],DADOS!$AJ$3,tabela_registros[CATEGORIA],reservafixaconsolidadomai[[#This Row],[ATUAL]])</f>
        <v>0</v>
      </c>
      <c r="L175" s="119" t="n">
        <f aca="false">SUMIFS(tabela_registros[VALOR],tabela_registros[MÊS],$AE$1,tabela_registros[DIA],reservafixaconsolidadomai[[#Headers],[8]],tabela_registros[REGISTRO],DADOS!$N$6,tabela_registros[TIPO],DADOS!$AJ$3,tabela_registros[CATEGORIA],reservafixaconsolidadomai[[#This Row],[ATUAL]])</f>
        <v>0</v>
      </c>
      <c r="M175" s="119" t="n">
        <f aca="false">SUMIFS(tabela_registros[VALOR],tabela_registros[MÊS],$AE$1,tabela_registros[DIA],reservafixaconsolidadomai[[#Headers],[9]],tabela_registros[REGISTRO],DADOS!$N$6,tabela_registros[TIPO],DADOS!$AJ$3,tabela_registros[CATEGORIA],reservafixaconsolidadomai[[#This Row],[ATUAL]])</f>
        <v>0</v>
      </c>
      <c r="N175" s="119" t="n">
        <f aca="false">SUMIFS(tabela_registros[VALOR],tabela_registros[MÊS],$AE$1,tabela_registros[DIA],reservafixaconsolidadomai[[#Headers],[10]],tabela_registros[REGISTRO],DADOS!$N$6,tabela_registros[TIPO],DADOS!$AJ$3,tabela_registros[CATEGORIA],reservafixaconsolidadomai[[#This Row],[ATUAL]])</f>
        <v>0</v>
      </c>
      <c r="O175" s="119" t="n">
        <f aca="false">SUMIFS(tabela_registros[VALOR],tabela_registros[MÊS],$AE$1,tabela_registros[DIA],reservafixaconsolidadomai[[#Headers],[11]],tabela_registros[REGISTRO],DADOS!$N$6,tabela_registros[TIPO],DADOS!$AJ$3,tabela_registros[CATEGORIA],reservafixaconsolidadomai[[#This Row],[ATUAL]])</f>
        <v>0</v>
      </c>
      <c r="P175" s="119" t="n">
        <f aca="false">SUMIFS(tabela_registros[VALOR],tabela_registros[MÊS],$AE$1,tabela_registros[DIA],reservafixaconsolidadomai[[#Headers],[12]],tabela_registros[REGISTRO],DADOS!$N$6,tabela_registros[TIPO],DADOS!$AJ$3,tabela_registros[CATEGORIA],reservafixaconsolidadomai[[#This Row],[ATUAL]])</f>
        <v>0</v>
      </c>
      <c r="Q175" s="119" t="n">
        <f aca="false">SUMIFS(tabela_registros[VALOR],tabela_registros[MÊS],$AE$1,tabela_registros[DIA],reservafixaconsolidadomai[[#Headers],[13]],tabela_registros[REGISTRO],DADOS!$N$6,tabela_registros[TIPO],DADOS!$AJ$3,tabela_registros[CATEGORIA],reservafixaconsolidadomai[[#This Row],[ATUAL]])</f>
        <v>0</v>
      </c>
      <c r="R175" s="119" t="n">
        <f aca="false">SUMIFS(tabela_registros[VALOR],tabela_registros[MÊS],$AE$1,tabela_registros[DIA],reservafixaconsolidadomai[[#Headers],[14]],tabela_registros[REGISTRO],DADOS!$N$6,tabela_registros[TIPO],DADOS!$AJ$3,tabela_registros[CATEGORIA],reservafixaconsolidadomai[[#This Row],[ATUAL]])</f>
        <v>0</v>
      </c>
      <c r="S175" s="119" t="n">
        <f aca="false">SUMIFS(tabela_registros[VALOR],tabela_registros[MÊS],$AE$1,tabela_registros[DIA],reservafixaconsolidadomai[[#Headers],[15]],tabela_registros[REGISTRO],DADOS!$N$6,tabela_registros[TIPO],DADOS!$AJ$3,tabela_registros[CATEGORIA],reservafixaconsolidadomai[[#This Row],[ATUAL]])</f>
        <v>0</v>
      </c>
      <c r="T175" s="119" t="n">
        <f aca="false">SUMIFS(tabela_registros[VALOR],tabela_registros[MÊS],$AE$1,tabela_registros[DIA],reservafixaconsolidadomai[[#Headers],[16]],tabela_registros[REGISTRO],DADOS!$N$6,tabela_registros[TIPO],DADOS!$AJ$3,tabela_registros[CATEGORIA],reservafixaconsolidadomai[[#This Row],[ATUAL]])</f>
        <v>0</v>
      </c>
      <c r="U175" s="119" t="n">
        <f aca="false">SUMIFS(tabela_registros[VALOR],tabela_registros[MÊS],$AE$1,tabela_registros[DIA],reservafixaconsolidadomai[[#Headers],[17]],tabela_registros[REGISTRO],DADOS!$N$6,tabela_registros[TIPO],DADOS!$AJ$3,tabela_registros[CATEGORIA],reservafixaconsolidadomai[[#This Row],[ATUAL]])</f>
        <v>0</v>
      </c>
      <c r="V175" s="119" t="n">
        <f aca="false">SUMIFS(tabela_registros[VALOR],tabela_registros[MÊS],$AE$1,tabela_registros[DIA],reservafixaconsolidadomai[[#Headers],[18]],tabela_registros[REGISTRO],DADOS!$N$6,tabela_registros[TIPO],DADOS!$AJ$3,tabela_registros[CATEGORIA],reservafixaconsolidadomai[[#This Row],[ATUAL]])</f>
        <v>0</v>
      </c>
      <c r="W175" s="119" t="n">
        <f aca="false">SUMIFS(tabela_registros[VALOR],tabela_registros[MÊS],$AE$1,tabela_registros[DIA],reservafixaconsolidadomai[[#Headers],[19]],tabela_registros[REGISTRO],DADOS!$N$6,tabela_registros[TIPO],DADOS!$AJ$3,tabela_registros[CATEGORIA],reservafixaconsolidadomai[[#This Row],[ATUAL]])</f>
        <v>0</v>
      </c>
      <c r="X175" s="119" t="n">
        <f aca="false">SUMIFS(tabela_registros[VALOR],tabela_registros[MÊS],$AE$1,tabela_registros[DIA],reservafixaconsolidadomai[[#Headers],[20]],tabela_registros[REGISTRO],DADOS!$N$6,tabela_registros[TIPO],DADOS!$AJ$3,tabela_registros[CATEGORIA],reservafixaconsolidadomai[[#This Row],[ATUAL]])</f>
        <v>0</v>
      </c>
      <c r="Y175" s="119" t="n">
        <f aca="false">SUMIFS(tabela_registros[VALOR],tabela_registros[MÊS],$AE$1,tabela_registros[DIA],reservafixaconsolidadomai[[#Headers],[21]],tabela_registros[REGISTRO],DADOS!$N$6,tabela_registros[TIPO],DADOS!$AJ$3,tabela_registros[CATEGORIA],reservafixaconsolidadomai[[#This Row],[ATUAL]])</f>
        <v>0</v>
      </c>
      <c r="Z175" s="119" t="n">
        <f aca="false">SUMIFS(tabela_registros[VALOR],tabela_registros[MÊS],$AE$1,tabela_registros[DIA],reservafixaconsolidadomai[[#Headers],[22]],tabela_registros[REGISTRO],DADOS!$N$6,tabela_registros[TIPO],DADOS!$AJ$3,tabela_registros[CATEGORIA],reservafixaconsolidadomai[[#This Row],[ATUAL]])</f>
        <v>0</v>
      </c>
      <c r="AA175" s="119" t="n">
        <f aca="false">SUMIFS(tabela_registros[VALOR],tabela_registros[MÊS],$AE$1,tabela_registros[DIA],reservafixaconsolidadomai[[#Headers],[23]],tabela_registros[REGISTRO],DADOS!$N$6,tabela_registros[TIPO],DADOS!$AJ$3,tabela_registros[CATEGORIA],reservafixaconsolidadomai[[#This Row],[ATUAL]])</f>
        <v>0</v>
      </c>
      <c r="AB175" s="119" t="n">
        <f aca="false">SUMIFS(tabela_registros[VALOR],tabela_registros[MÊS],$AE$1,tabela_registros[DIA],reservafixaconsolidadomai[[#Headers],[24]],tabela_registros[REGISTRO],DADOS!$N$6,tabela_registros[TIPO],DADOS!$AJ$3,tabela_registros[CATEGORIA],reservafixaconsolidadomai[[#This Row],[ATUAL]])</f>
        <v>0</v>
      </c>
      <c r="AC175" s="119" t="n">
        <f aca="false">SUMIFS(tabela_registros[VALOR],tabela_registros[MÊS],$AE$1,tabela_registros[DIA],reservafixaconsolidadomai[[#Headers],[25]],tabela_registros[REGISTRO],DADOS!$N$6,tabela_registros[TIPO],DADOS!$AJ$3,tabela_registros[CATEGORIA],reservafixaconsolidadomai[[#This Row],[ATUAL]])</f>
        <v>0</v>
      </c>
      <c r="AD175" s="119" t="n">
        <f aca="false">SUMIFS(tabela_registros[VALOR],tabela_registros[MÊS],$AE$1,tabela_registros[DIA],reservafixaconsolidadomai[[#Headers],[26]],tabela_registros[REGISTRO],DADOS!$N$6,tabela_registros[TIPO],DADOS!$AJ$3,tabela_registros[CATEGORIA],reservafixaconsolidadomai[[#This Row],[ATUAL]])</f>
        <v>0</v>
      </c>
      <c r="AE175" s="119" t="n">
        <f aca="false">SUMIFS(tabela_registros[VALOR],tabela_registros[MÊS],$AE$1,tabela_registros[DIA],reservafixaconsolidadomai[[#Headers],[27]],tabela_registros[REGISTRO],DADOS!$N$6,tabela_registros[TIPO],DADOS!$AJ$3,tabela_registros[CATEGORIA],reservafixaconsolidadomai[[#This Row],[ATUAL]])</f>
        <v>0</v>
      </c>
      <c r="AF175" s="119" t="n">
        <f aca="false">SUMIFS(tabela_registros[VALOR],tabela_registros[MÊS],$AE$1,tabela_registros[DIA],reservafixaconsolidadomai[[#Headers],[28]],tabela_registros[REGISTRO],DADOS!$N$6,tabela_registros[TIPO],DADOS!$AJ$3,tabela_registros[CATEGORIA],reservafixaconsolidadomai[[#This Row],[ATUAL]])</f>
        <v>0</v>
      </c>
      <c r="AG175" s="119" t="n">
        <f aca="false">SUMIFS(tabela_registros[VALOR],tabela_registros[MÊS],$AE$1,tabela_registros[DIA],reservafixaconsolidadomai[[#Headers],[29]],tabela_registros[REGISTRO],DADOS!$N$6,tabela_registros[TIPO],DADOS!$AJ$3,tabela_registros[CATEGORIA],reservafixaconsolidadomai[[#This Row],[ATUAL]])</f>
        <v>0</v>
      </c>
      <c r="AH175" s="119" t="n">
        <f aca="false">SUMIFS(tabela_registros[VALOR],tabela_registros[MÊS],$AE$1,tabela_registros[DIA],reservafixaconsolidadomai[[#Headers],[30]],tabela_registros[REGISTRO],DADOS!$N$6,tabela_registros[TIPO],DADOS!$AJ$3,tabela_registros[CATEGORIA],reservafixaconsolidadomai[[#This Row],[ATUAL]])</f>
        <v>0</v>
      </c>
      <c r="AI175" s="217" t="n">
        <f aca="false">SUMIFS(tabela_registros[VALOR],tabela_registros[MÊS],$AE$1,tabela_registros[DIA],reservafixaconsolidadomai[[#Headers],[31]],tabela_registros[REGISTRO],DADOS!$N$6,tabela_registros[TIPO],DADOS!$AJ$3,tabela_registros[CATEGORIA],reservafixaconsolidadomai[[#This Row],[ATUAL]])</f>
        <v>0</v>
      </c>
      <c r="AJ175" s="149" t="n">
        <f aca="false">SUM(reservafixaconsolidadomai[[#This Row],[1]:[31]])</f>
        <v>0</v>
      </c>
      <c r="AK175" s="165"/>
    </row>
    <row r="176" customFormat="false" ht="19.5" hidden="false" customHeight="true" outlineLevel="0" collapsed="false">
      <c r="B176" s="143"/>
      <c r="C176" s="144" t="str">
        <f aca="false">DADOS!$AL$11</f>
        <v>📝 TESOURO DIRETO</v>
      </c>
      <c r="D176" s="145" t="str">
        <f aca="false">IF(reservafixaconsolidadomai[[#This Row],[TOTAL (R$)]]=0,"",IF(OR(reservafixaconsolidadomai[[#This Row],[TOTAL (R$)]]=LARGE($AJ$168:$AJ$177,1),reservafixaconsolidadomai[[#This Row],[TOTAL (R$)]]=LARGE($AJ$168:$AJ$177,2)),DADOS!$I$11,""))</f>
        <v/>
      </c>
      <c r="E176" s="148" t="n">
        <f aca="false">SUMIFS(tabela_registros[VALOR],tabela_registros[MÊS],$AE$1,tabela_registros[DIA],reservafixaconsolidadomai[[#Headers],[1]],tabela_registros[REGISTRO],DADOS!$N$6,tabela_registros[TIPO],DADOS!$AJ$3,tabela_registros[CATEGORIA],reservafixaconsolidadomai[[#This Row],[ATUAL]])</f>
        <v>0</v>
      </c>
      <c r="F176" s="119" t="n">
        <f aca="false">SUMIFS(tabela_registros[VALOR],tabela_registros[MÊS],$AE$1,tabela_registros[DIA],reservafixaconsolidadomai[[#Headers],[2]],tabela_registros[REGISTRO],DADOS!$N$6,tabela_registros[TIPO],DADOS!$AJ$3,tabela_registros[CATEGORIA],reservafixaconsolidadomai[[#This Row],[ATUAL]])</f>
        <v>0</v>
      </c>
      <c r="G176" s="119" t="n">
        <f aca="false">SUMIFS(tabela_registros[VALOR],tabela_registros[MÊS],$AE$1,tabela_registros[DIA],reservafixaconsolidadomai[[#Headers],[3]],tabela_registros[REGISTRO],DADOS!$N$6,tabela_registros[TIPO],DADOS!$AJ$3,tabela_registros[CATEGORIA],reservafixaconsolidadomai[[#This Row],[ATUAL]])</f>
        <v>0</v>
      </c>
      <c r="H176" s="119" t="n">
        <f aca="false">SUMIFS(tabela_registros[VALOR],tabela_registros[MÊS],$AE$1,tabela_registros[DIA],reservafixaconsolidadomai[[#Headers],[4]],tabela_registros[REGISTRO],DADOS!$N$6,tabela_registros[TIPO],DADOS!$AJ$3,tabela_registros[CATEGORIA],reservafixaconsolidadomai[[#This Row],[ATUAL]])</f>
        <v>0</v>
      </c>
      <c r="I176" s="119" t="n">
        <f aca="false">SUMIFS(tabela_registros[VALOR],tabela_registros[MÊS],$AE$1,tabela_registros[DIA],reservafixaconsolidadomai[[#Headers],[5]],tabela_registros[REGISTRO],DADOS!$N$6,tabela_registros[TIPO],DADOS!$AJ$3,tabela_registros[CATEGORIA],reservafixaconsolidadomai[[#This Row],[ATUAL]])</f>
        <v>0</v>
      </c>
      <c r="J176" s="119" t="n">
        <f aca="false">SUMIFS(tabela_registros[VALOR],tabela_registros[MÊS],$AE$1,tabela_registros[DIA],reservafixaconsolidadomai[[#Headers],[6]],tabela_registros[REGISTRO],DADOS!$N$6,tabela_registros[TIPO],DADOS!$AJ$3,tabela_registros[CATEGORIA],reservafixaconsolidadomai[[#This Row],[ATUAL]])</f>
        <v>0</v>
      </c>
      <c r="K176" s="119" t="n">
        <f aca="false">SUMIFS(tabela_registros[VALOR],tabela_registros[MÊS],$AE$1,tabela_registros[DIA],reservafixaconsolidadomai[[#Headers],[7]],tabela_registros[REGISTRO],DADOS!$N$6,tabela_registros[TIPO],DADOS!$AJ$3,tabela_registros[CATEGORIA],reservafixaconsolidadomai[[#This Row],[ATUAL]])</f>
        <v>0</v>
      </c>
      <c r="L176" s="119" t="n">
        <f aca="false">SUMIFS(tabela_registros[VALOR],tabela_registros[MÊS],$AE$1,tabela_registros[DIA],reservafixaconsolidadomai[[#Headers],[8]],tabela_registros[REGISTRO],DADOS!$N$6,tabela_registros[TIPO],DADOS!$AJ$3,tabela_registros[CATEGORIA],reservafixaconsolidadomai[[#This Row],[ATUAL]])</f>
        <v>0</v>
      </c>
      <c r="M176" s="119" t="n">
        <f aca="false">SUMIFS(tabela_registros[VALOR],tabela_registros[MÊS],$AE$1,tabela_registros[DIA],reservafixaconsolidadomai[[#Headers],[9]],tabela_registros[REGISTRO],DADOS!$N$6,tabela_registros[TIPO],DADOS!$AJ$3,tabela_registros[CATEGORIA],reservafixaconsolidadomai[[#This Row],[ATUAL]])</f>
        <v>0</v>
      </c>
      <c r="N176" s="119" t="n">
        <f aca="false">SUMIFS(tabela_registros[VALOR],tabela_registros[MÊS],$AE$1,tabela_registros[DIA],reservafixaconsolidadomai[[#Headers],[10]],tabela_registros[REGISTRO],DADOS!$N$6,tabela_registros[TIPO],DADOS!$AJ$3,tabela_registros[CATEGORIA],reservafixaconsolidadomai[[#This Row],[ATUAL]])</f>
        <v>0</v>
      </c>
      <c r="O176" s="119" t="n">
        <f aca="false">SUMIFS(tabela_registros[VALOR],tabela_registros[MÊS],$AE$1,tabela_registros[DIA],reservafixaconsolidadomai[[#Headers],[11]],tabela_registros[REGISTRO],DADOS!$N$6,tabela_registros[TIPO],DADOS!$AJ$3,tabela_registros[CATEGORIA],reservafixaconsolidadomai[[#This Row],[ATUAL]])</f>
        <v>0</v>
      </c>
      <c r="P176" s="119" t="n">
        <f aca="false">SUMIFS(tabela_registros[VALOR],tabela_registros[MÊS],$AE$1,tabela_registros[DIA],reservafixaconsolidadomai[[#Headers],[12]],tabela_registros[REGISTRO],DADOS!$N$6,tabela_registros[TIPO],DADOS!$AJ$3,tabela_registros[CATEGORIA],reservafixaconsolidadomai[[#This Row],[ATUAL]])</f>
        <v>0</v>
      </c>
      <c r="Q176" s="119" t="n">
        <f aca="false">SUMIFS(tabela_registros[VALOR],tabela_registros[MÊS],$AE$1,tabela_registros[DIA],reservafixaconsolidadomai[[#Headers],[13]],tabela_registros[REGISTRO],DADOS!$N$6,tabela_registros[TIPO],DADOS!$AJ$3,tabela_registros[CATEGORIA],reservafixaconsolidadomai[[#This Row],[ATUAL]])</f>
        <v>0</v>
      </c>
      <c r="R176" s="119" t="n">
        <f aca="false">SUMIFS(tabela_registros[VALOR],tabela_registros[MÊS],$AE$1,tabela_registros[DIA],reservafixaconsolidadomai[[#Headers],[14]],tabela_registros[REGISTRO],DADOS!$N$6,tabela_registros[TIPO],DADOS!$AJ$3,tabela_registros[CATEGORIA],reservafixaconsolidadomai[[#This Row],[ATUAL]])</f>
        <v>0</v>
      </c>
      <c r="S176" s="119" t="n">
        <f aca="false">SUMIFS(tabela_registros[VALOR],tabela_registros[MÊS],$AE$1,tabela_registros[DIA],reservafixaconsolidadomai[[#Headers],[15]],tabela_registros[REGISTRO],DADOS!$N$6,tabela_registros[TIPO],DADOS!$AJ$3,tabela_registros[CATEGORIA],reservafixaconsolidadomai[[#This Row],[ATUAL]])</f>
        <v>0</v>
      </c>
      <c r="T176" s="119" t="n">
        <f aca="false">SUMIFS(tabela_registros[VALOR],tabela_registros[MÊS],$AE$1,tabela_registros[DIA],reservafixaconsolidadomai[[#Headers],[16]],tabela_registros[REGISTRO],DADOS!$N$6,tabela_registros[TIPO],DADOS!$AJ$3,tabela_registros[CATEGORIA],reservafixaconsolidadomai[[#This Row],[ATUAL]])</f>
        <v>0</v>
      </c>
      <c r="U176" s="119" t="n">
        <f aca="false">SUMIFS(tabela_registros[VALOR],tabela_registros[MÊS],$AE$1,tabela_registros[DIA],reservafixaconsolidadomai[[#Headers],[17]],tabela_registros[REGISTRO],DADOS!$N$6,tabela_registros[TIPO],DADOS!$AJ$3,tabela_registros[CATEGORIA],reservafixaconsolidadomai[[#This Row],[ATUAL]])</f>
        <v>0</v>
      </c>
      <c r="V176" s="119" t="n">
        <f aca="false">SUMIFS(tabela_registros[VALOR],tabela_registros[MÊS],$AE$1,tabela_registros[DIA],reservafixaconsolidadomai[[#Headers],[18]],tabela_registros[REGISTRO],DADOS!$N$6,tabela_registros[TIPO],DADOS!$AJ$3,tabela_registros[CATEGORIA],reservafixaconsolidadomai[[#This Row],[ATUAL]])</f>
        <v>0</v>
      </c>
      <c r="W176" s="119" t="n">
        <f aca="false">SUMIFS(tabela_registros[VALOR],tabela_registros[MÊS],$AE$1,tabela_registros[DIA],reservafixaconsolidadomai[[#Headers],[19]],tabela_registros[REGISTRO],DADOS!$N$6,tabela_registros[TIPO],DADOS!$AJ$3,tabela_registros[CATEGORIA],reservafixaconsolidadomai[[#This Row],[ATUAL]])</f>
        <v>0</v>
      </c>
      <c r="X176" s="119" t="n">
        <f aca="false">SUMIFS(tabela_registros[VALOR],tabela_registros[MÊS],$AE$1,tabela_registros[DIA],reservafixaconsolidadomai[[#Headers],[20]],tabela_registros[REGISTRO],DADOS!$N$6,tabela_registros[TIPO],DADOS!$AJ$3,tabela_registros[CATEGORIA],reservafixaconsolidadomai[[#This Row],[ATUAL]])</f>
        <v>0</v>
      </c>
      <c r="Y176" s="119" t="n">
        <f aca="false">SUMIFS(tabela_registros[VALOR],tabela_registros[MÊS],$AE$1,tabela_registros[DIA],reservafixaconsolidadomai[[#Headers],[21]],tabela_registros[REGISTRO],DADOS!$N$6,tabela_registros[TIPO],DADOS!$AJ$3,tabela_registros[CATEGORIA],reservafixaconsolidadomai[[#This Row],[ATUAL]])</f>
        <v>0</v>
      </c>
      <c r="Z176" s="119" t="n">
        <f aca="false">SUMIFS(tabela_registros[VALOR],tabela_registros[MÊS],$AE$1,tabela_registros[DIA],reservafixaconsolidadomai[[#Headers],[22]],tabela_registros[REGISTRO],DADOS!$N$6,tabela_registros[TIPO],DADOS!$AJ$3,tabela_registros[CATEGORIA],reservafixaconsolidadomai[[#This Row],[ATUAL]])</f>
        <v>0</v>
      </c>
      <c r="AA176" s="119" t="n">
        <f aca="false">SUMIFS(tabela_registros[VALOR],tabela_registros[MÊS],$AE$1,tabela_registros[DIA],reservafixaconsolidadomai[[#Headers],[23]],tabela_registros[REGISTRO],DADOS!$N$6,tabela_registros[TIPO],DADOS!$AJ$3,tabela_registros[CATEGORIA],reservafixaconsolidadomai[[#This Row],[ATUAL]])</f>
        <v>0</v>
      </c>
      <c r="AB176" s="119" t="n">
        <f aca="false">SUMIFS(tabela_registros[VALOR],tabela_registros[MÊS],$AE$1,tabela_registros[DIA],reservafixaconsolidadomai[[#Headers],[24]],tabela_registros[REGISTRO],DADOS!$N$6,tabela_registros[TIPO],DADOS!$AJ$3,tabela_registros[CATEGORIA],reservafixaconsolidadomai[[#This Row],[ATUAL]])</f>
        <v>0</v>
      </c>
      <c r="AC176" s="119" t="n">
        <f aca="false">SUMIFS(tabela_registros[VALOR],tabela_registros[MÊS],$AE$1,tabela_registros[DIA],reservafixaconsolidadomai[[#Headers],[25]],tabela_registros[REGISTRO],DADOS!$N$6,tabela_registros[TIPO],DADOS!$AJ$3,tabela_registros[CATEGORIA],reservafixaconsolidadomai[[#This Row],[ATUAL]])</f>
        <v>0</v>
      </c>
      <c r="AD176" s="119" t="n">
        <f aca="false">SUMIFS(tabela_registros[VALOR],tabela_registros[MÊS],$AE$1,tabela_registros[DIA],reservafixaconsolidadomai[[#Headers],[26]],tabela_registros[REGISTRO],DADOS!$N$6,tabela_registros[TIPO],DADOS!$AJ$3,tabela_registros[CATEGORIA],reservafixaconsolidadomai[[#This Row],[ATUAL]])</f>
        <v>0</v>
      </c>
      <c r="AE176" s="119" t="n">
        <f aca="false">SUMIFS(tabela_registros[VALOR],tabela_registros[MÊS],$AE$1,tabela_registros[DIA],reservafixaconsolidadomai[[#Headers],[27]],tabela_registros[REGISTRO],DADOS!$N$6,tabela_registros[TIPO],DADOS!$AJ$3,tabela_registros[CATEGORIA],reservafixaconsolidadomai[[#This Row],[ATUAL]])</f>
        <v>0</v>
      </c>
      <c r="AF176" s="119" t="n">
        <f aca="false">SUMIFS(tabela_registros[VALOR],tabela_registros[MÊS],$AE$1,tabela_registros[DIA],reservafixaconsolidadomai[[#Headers],[28]],tabela_registros[REGISTRO],DADOS!$N$6,tabela_registros[TIPO],DADOS!$AJ$3,tabela_registros[CATEGORIA],reservafixaconsolidadomai[[#This Row],[ATUAL]])</f>
        <v>0</v>
      </c>
      <c r="AG176" s="119" t="n">
        <f aca="false">SUMIFS(tabela_registros[VALOR],tabela_registros[MÊS],$AE$1,tabela_registros[DIA],reservafixaconsolidadomai[[#Headers],[29]],tabela_registros[REGISTRO],DADOS!$N$6,tabela_registros[TIPO],DADOS!$AJ$3,tabela_registros[CATEGORIA],reservafixaconsolidadomai[[#This Row],[ATUAL]])</f>
        <v>0</v>
      </c>
      <c r="AH176" s="119" t="n">
        <f aca="false">SUMIFS(tabela_registros[VALOR],tabela_registros[MÊS],$AE$1,tabela_registros[DIA],reservafixaconsolidadomai[[#Headers],[30]],tabela_registros[REGISTRO],DADOS!$N$6,tabela_registros[TIPO],DADOS!$AJ$3,tabela_registros[CATEGORIA],reservafixaconsolidadomai[[#This Row],[ATUAL]])</f>
        <v>0</v>
      </c>
      <c r="AI176" s="217" t="n">
        <f aca="false">SUMIFS(tabela_registros[VALOR],tabela_registros[MÊS],$AE$1,tabela_registros[DIA],reservafixaconsolidadomai[[#Headers],[31]],tabela_registros[REGISTRO],DADOS!$N$6,tabela_registros[TIPO],DADOS!$AJ$3,tabela_registros[CATEGORIA],reservafixaconsolidadomai[[#This Row],[ATUAL]])</f>
        <v>0</v>
      </c>
      <c r="AJ176" s="149" t="n">
        <f aca="false">SUM(reservafixaconsolidadomai[[#This Row],[1]:[31]])</f>
        <v>0</v>
      </c>
      <c r="AK176" s="165"/>
    </row>
    <row r="177" customFormat="false" ht="19.5" hidden="false" customHeight="true" outlineLevel="0" collapsed="false">
      <c r="B177" s="143"/>
      <c r="C177" s="144" t="str">
        <f aca="false">DADOS!$AL$12</f>
        <v>📎 OUTROS</v>
      </c>
      <c r="D177" s="145" t="str">
        <f aca="false">IF(reservafixaconsolidadomai[[#This Row],[TOTAL (R$)]]=0,"",IF(OR(reservafixaconsolidadomai[[#This Row],[TOTAL (R$)]]=LARGE($AJ$168:$AJ$177,1),reservafixaconsolidadomai[[#This Row],[TOTAL (R$)]]=LARGE($AJ$168:$AJ$177,2)),DADOS!$I$11,""))</f>
        <v/>
      </c>
      <c r="E177" s="148" t="n">
        <f aca="false">SUMIFS(tabela_registros[VALOR],tabela_registros[MÊS],$AE$1,tabela_registros[DIA],reservafixaconsolidadomai[[#Headers],[1]],tabela_registros[REGISTRO],DADOS!$N$6,tabela_registros[TIPO],DADOS!$AJ$3,tabela_registros[CATEGORIA],reservafixaconsolidadomai[[#This Row],[ATUAL]])</f>
        <v>0</v>
      </c>
      <c r="F177" s="119" t="n">
        <f aca="false">SUMIFS(tabela_registros[VALOR],tabela_registros[MÊS],$AE$1,tabela_registros[DIA],reservafixaconsolidadomai[[#Headers],[2]],tabela_registros[REGISTRO],DADOS!$N$6,tabela_registros[TIPO],DADOS!$AJ$3,tabela_registros[CATEGORIA],reservafixaconsolidadomai[[#This Row],[ATUAL]])</f>
        <v>0</v>
      </c>
      <c r="G177" s="119" t="n">
        <f aca="false">SUMIFS(tabela_registros[VALOR],tabela_registros[MÊS],$AE$1,tabela_registros[DIA],reservafixaconsolidadomai[[#Headers],[3]],tabela_registros[REGISTRO],DADOS!$N$6,tabela_registros[TIPO],DADOS!$AJ$3,tabela_registros[CATEGORIA],reservafixaconsolidadomai[[#This Row],[ATUAL]])</f>
        <v>0</v>
      </c>
      <c r="H177" s="119" t="n">
        <f aca="false">SUMIFS(tabela_registros[VALOR],tabela_registros[MÊS],$AE$1,tabela_registros[DIA],reservafixaconsolidadomai[[#Headers],[4]],tabela_registros[REGISTRO],DADOS!$N$6,tabela_registros[TIPO],DADOS!$AJ$3,tabela_registros[CATEGORIA],reservafixaconsolidadomai[[#This Row],[ATUAL]])</f>
        <v>0</v>
      </c>
      <c r="I177" s="119" t="n">
        <f aca="false">SUMIFS(tabela_registros[VALOR],tabela_registros[MÊS],$AE$1,tabela_registros[DIA],reservafixaconsolidadomai[[#Headers],[5]],tabela_registros[REGISTRO],DADOS!$N$6,tabela_registros[TIPO],DADOS!$AJ$3,tabela_registros[CATEGORIA],reservafixaconsolidadomai[[#This Row],[ATUAL]])</f>
        <v>0</v>
      </c>
      <c r="J177" s="119" t="n">
        <f aca="false">SUMIFS(tabela_registros[VALOR],tabela_registros[MÊS],$AE$1,tabela_registros[DIA],reservafixaconsolidadomai[[#Headers],[6]],tabela_registros[REGISTRO],DADOS!$N$6,tabela_registros[TIPO],DADOS!$AJ$3,tabela_registros[CATEGORIA],reservafixaconsolidadomai[[#This Row],[ATUAL]])</f>
        <v>0</v>
      </c>
      <c r="K177" s="119" t="n">
        <f aca="false">SUMIFS(tabela_registros[VALOR],tabela_registros[MÊS],$AE$1,tabela_registros[DIA],reservafixaconsolidadomai[[#Headers],[7]],tabela_registros[REGISTRO],DADOS!$N$6,tabela_registros[TIPO],DADOS!$AJ$3,tabela_registros[CATEGORIA],reservafixaconsolidadomai[[#This Row],[ATUAL]])</f>
        <v>0</v>
      </c>
      <c r="L177" s="119" t="n">
        <f aca="false">SUMIFS(tabela_registros[VALOR],tabela_registros[MÊS],$AE$1,tabela_registros[DIA],reservafixaconsolidadomai[[#Headers],[8]],tabela_registros[REGISTRO],DADOS!$N$6,tabela_registros[TIPO],DADOS!$AJ$3,tabela_registros[CATEGORIA],reservafixaconsolidadomai[[#This Row],[ATUAL]])</f>
        <v>0</v>
      </c>
      <c r="M177" s="119" t="n">
        <f aca="false">SUMIFS(tabela_registros[VALOR],tabela_registros[MÊS],$AE$1,tabela_registros[DIA],reservafixaconsolidadomai[[#Headers],[9]],tabela_registros[REGISTRO],DADOS!$N$6,tabela_registros[TIPO],DADOS!$AJ$3,tabela_registros[CATEGORIA],reservafixaconsolidadomai[[#This Row],[ATUAL]])</f>
        <v>0</v>
      </c>
      <c r="N177" s="119" t="n">
        <f aca="false">SUMIFS(tabela_registros[VALOR],tabela_registros[MÊS],$AE$1,tabela_registros[DIA],reservafixaconsolidadomai[[#Headers],[10]],tabela_registros[REGISTRO],DADOS!$N$6,tabela_registros[TIPO],DADOS!$AJ$3,tabela_registros[CATEGORIA],reservafixaconsolidadomai[[#This Row],[ATUAL]])</f>
        <v>0</v>
      </c>
      <c r="O177" s="119" t="n">
        <f aca="false">SUMIFS(tabela_registros[VALOR],tabela_registros[MÊS],$AE$1,tabela_registros[DIA],reservafixaconsolidadomai[[#Headers],[11]],tabela_registros[REGISTRO],DADOS!$N$6,tabela_registros[TIPO],DADOS!$AJ$3,tabela_registros[CATEGORIA],reservafixaconsolidadomai[[#This Row],[ATUAL]])</f>
        <v>0</v>
      </c>
      <c r="P177" s="119" t="n">
        <f aca="false">SUMIFS(tabela_registros[VALOR],tabela_registros[MÊS],$AE$1,tabela_registros[DIA],reservafixaconsolidadomai[[#Headers],[12]],tabela_registros[REGISTRO],DADOS!$N$6,tabela_registros[TIPO],DADOS!$AJ$3,tabela_registros[CATEGORIA],reservafixaconsolidadomai[[#This Row],[ATUAL]])</f>
        <v>0</v>
      </c>
      <c r="Q177" s="119" t="n">
        <f aca="false">SUMIFS(tabela_registros[VALOR],tabela_registros[MÊS],$AE$1,tabela_registros[DIA],reservafixaconsolidadomai[[#Headers],[13]],tabela_registros[REGISTRO],DADOS!$N$6,tabela_registros[TIPO],DADOS!$AJ$3,tabela_registros[CATEGORIA],reservafixaconsolidadomai[[#This Row],[ATUAL]])</f>
        <v>0</v>
      </c>
      <c r="R177" s="119" t="n">
        <f aca="false">SUMIFS(tabela_registros[VALOR],tabela_registros[MÊS],$AE$1,tabela_registros[DIA],reservafixaconsolidadomai[[#Headers],[14]],tabela_registros[REGISTRO],DADOS!$N$6,tabela_registros[TIPO],DADOS!$AJ$3,tabela_registros[CATEGORIA],reservafixaconsolidadomai[[#This Row],[ATUAL]])</f>
        <v>0</v>
      </c>
      <c r="S177" s="119" t="n">
        <f aca="false">SUMIFS(tabela_registros[VALOR],tabela_registros[MÊS],$AE$1,tabela_registros[DIA],reservafixaconsolidadomai[[#Headers],[15]],tabela_registros[REGISTRO],DADOS!$N$6,tabela_registros[TIPO],DADOS!$AJ$3,tabela_registros[CATEGORIA],reservafixaconsolidadomai[[#This Row],[ATUAL]])</f>
        <v>0</v>
      </c>
      <c r="T177" s="119" t="n">
        <f aca="false">SUMIFS(tabela_registros[VALOR],tabela_registros[MÊS],$AE$1,tabela_registros[DIA],reservafixaconsolidadomai[[#Headers],[16]],tabela_registros[REGISTRO],DADOS!$N$6,tabela_registros[TIPO],DADOS!$AJ$3,tabela_registros[CATEGORIA],reservafixaconsolidadomai[[#This Row],[ATUAL]])</f>
        <v>0</v>
      </c>
      <c r="U177" s="119" t="n">
        <f aca="false">SUMIFS(tabela_registros[VALOR],tabela_registros[MÊS],$AE$1,tabela_registros[DIA],reservafixaconsolidadomai[[#Headers],[17]],tabela_registros[REGISTRO],DADOS!$N$6,tabela_registros[TIPO],DADOS!$AJ$3,tabela_registros[CATEGORIA],reservafixaconsolidadomai[[#This Row],[ATUAL]])</f>
        <v>0</v>
      </c>
      <c r="V177" s="119" t="n">
        <f aca="false">SUMIFS(tabela_registros[VALOR],tabela_registros[MÊS],$AE$1,tabela_registros[DIA],reservafixaconsolidadomai[[#Headers],[18]],tabela_registros[REGISTRO],DADOS!$N$6,tabela_registros[TIPO],DADOS!$AJ$3,tabela_registros[CATEGORIA],reservafixaconsolidadomai[[#This Row],[ATUAL]])</f>
        <v>0</v>
      </c>
      <c r="W177" s="119" t="n">
        <f aca="false">SUMIFS(tabela_registros[VALOR],tabela_registros[MÊS],$AE$1,tabela_registros[DIA],reservafixaconsolidadomai[[#Headers],[19]],tabela_registros[REGISTRO],DADOS!$N$6,tabela_registros[TIPO],DADOS!$AJ$3,tabela_registros[CATEGORIA],reservafixaconsolidadomai[[#This Row],[ATUAL]])</f>
        <v>0</v>
      </c>
      <c r="X177" s="119" t="n">
        <f aca="false">SUMIFS(tabela_registros[VALOR],tabela_registros[MÊS],$AE$1,tabela_registros[DIA],reservafixaconsolidadomai[[#Headers],[20]],tabela_registros[REGISTRO],DADOS!$N$6,tabela_registros[TIPO],DADOS!$AJ$3,tabela_registros[CATEGORIA],reservafixaconsolidadomai[[#This Row],[ATUAL]])</f>
        <v>0</v>
      </c>
      <c r="Y177" s="119" t="n">
        <f aca="false">SUMIFS(tabela_registros[VALOR],tabela_registros[MÊS],$AE$1,tabela_registros[DIA],reservafixaconsolidadomai[[#Headers],[21]],tabela_registros[REGISTRO],DADOS!$N$6,tabela_registros[TIPO],DADOS!$AJ$3,tabela_registros[CATEGORIA],reservafixaconsolidadomai[[#This Row],[ATUAL]])</f>
        <v>0</v>
      </c>
      <c r="Z177" s="119" t="n">
        <f aca="false">SUMIFS(tabela_registros[VALOR],tabela_registros[MÊS],$AE$1,tabela_registros[DIA],reservafixaconsolidadomai[[#Headers],[22]],tabela_registros[REGISTRO],DADOS!$N$6,tabela_registros[TIPO],DADOS!$AJ$3,tabela_registros[CATEGORIA],reservafixaconsolidadomai[[#This Row],[ATUAL]])</f>
        <v>0</v>
      </c>
      <c r="AA177" s="119" t="n">
        <f aca="false">SUMIFS(tabela_registros[VALOR],tabela_registros[MÊS],$AE$1,tabela_registros[DIA],reservafixaconsolidadomai[[#Headers],[23]],tabela_registros[REGISTRO],DADOS!$N$6,tabela_registros[TIPO],DADOS!$AJ$3,tabela_registros[CATEGORIA],reservafixaconsolidadomai[[#This Row],[ATUAL]])</f>
        <v>0</v>
      </c>
      <c r="AB177" s="119" t="n">
        <f aca="false">SUMIFS(tabela_registros[VALOR],tabela_registros[MÊS],$AE$1,tabela_registros[DIA],reservafixaconsolidadomai[[#Headers],[24]],tabela_registros[REGISTRO],DADOS!$N$6,tabela_registros[TIPO],DADOS!$AJ$3,tabela_registros[CATEGORIA],reservafixaconsolidadomai[[#This Row],[ATUAL]])</f>
        <v>0</v>
      </c>
      <c r="AC177" s="119" t="n">
        <f aca="false">SUMIFS(tabela_registros[VALOR],tabela_registros[MÊS],$AE$1,tabela_registros[DIA],reservafixaconsolidadomai[[#Headers],[25]],tabela_registros[REGISTRO],DADOS!$N$6,tabela_registros[TIPO],DADOS!$AJ$3,tabela_registros[CATEGORIA],reservafixaconsolidadomai[[#This Row],[ATUAL]])</f>
        <v>0</v>
      </c>
      <c r="AD177" s="119" t="n">
        <f aca="false">SUMIFS(tabela_registros[VALOR],tabela_registros[MÊS],$AE$1,tabela_registros[DIA],reservafixaconsolidadomai[[#Headers],[26]],tabela_registros[REGISTRO],DADOS!$N$6,tabela_registros[TIPO],DADOS!$AJ$3,tabela_registros[CATEGORIA],reservafixaconsolidadomai[[#This Row],[ATUAL]])</f>
        <v>0</v>
      </c>
      <c r="AE177" s="119" t="n">
        <f aca="false">SUMIFS(tabela_registros[VALOR],tabela_registros[MÊS],$AE$1,tabela_registros[DIA],reservafixaconsolidadomai[[#Headers],[27]],tabela_registros[REGISTRO],DADOS!$N$6,tabela_registros[TIPO],DADOS!$AJ$3,tabela_registros[CATEGORIA],reservafixaconsolidadomai[[#This Row],[ATUAL]])</f>
        <v>0</v>
      </c>
      <c r="AF177" s="119" t="n">
        <f aca="false">SUMIFS(tabela_registros[VALOR],tabela_registros[MÊS],$AE$1,tabela_registros[DIA],reservafixaconsolidadomai[[#Headers],[28]],tabela_registros[REGISTRO],DADOS!$N$6,tabela_registros[TIPO],DADOS!$AJ$3,tabela_registros[CATEGORIA],reservafixaconsolidadomai[[#This Row],[ATUAL]])</f>
        <v>0</v>
      </c>
      <c r="AG177" s="119" t="n">
        <f aca="false">SUMIFS(tabela_registros[VALOR],tabela_registros[MÊS],$AE$1,tabela_registros[DIA],reservafixaconsolidadomai[[#Headers],[29]],tabela_registros[REGISTRO],DADOS!$N$6,tabela_registros[TIPO],DADOS!$AJ$3,tabela_registros[CATEGORIA],reservafixaconsolidadomai[[#This Row],[ATUAL]])</f>
        <v>0</v>
      </c>
      <c r="AH177" s="119" t="n">
        <f aca="false">SUMIFS(tabela_registros[VALOR],tabela_registros[MÊS],$AE$1,tabela_registros[DIA],reservafixaconsolidadomai[[#Headers],[30]],tabela_registros[REGISTRO],DADOS!$N$6,tabela_registros[TIPO],DADOS!$AJ$3,tabela_registros[CATEGORIA],reservafixaconsolidadomai[[#This Row],[ATUAL]])</f>
        <v>0</v>
      </c>
      <c r="AI177" s="218" t="n">
        <f aca="false">SUMIFS(tabela_registros[VALOR],tabela_registros[MÊS],$AE$1,tabela_registros[DIA],reservafixaconsolidadomai[[#Headers],[31]],tabela_registros[REGISTRO],DADOS!$N$6,tabela_registros[TIPO],DADOS!$AJ$3,tabela_registros[CATEGORIA],reservafixaconsolidadomai[[#This Row],[ATUAL]])</f>
        <v>0</v>
      </c>
      <c r="AJ177" s="149" t="n">
        <f aca="false">SUM(reservafixaconsolidadomai[[#This Row],[1]:[31]])</f>
        <v>0</v>
      </c>
      <c r="AK177" s="165"/>
    </row>
    <row r="178" s="122" customFormat="true" ht="21" hidden="false" customHeight="true" outlineLevel="0" collapsed="false">
      <c r="B178" s="152"/>
      <c r="C178" s="153" t="s">
        <v>2</v>
      </c>
      <c r="D178" s="166"/>
      <c r="E178" s="155" t="n">
        <f aca="false">SUM(E168:E177)</f>
        <v>0</v>
      </c>
      <c r="F178" s="156" t="n">
        <f aca="false">SUM(F168:F177)+reservafixaconsolidadomai[[#This Row],[1]]</f>
        <v>0</v>
      </c>
      <c r="G178" s="156" t="n">
        <f aca="false">SUM(G168:G177)+reservafixaconsolidadomai[[#This Row],[2]]</f>
        <v>0</v>
      </c>
      <c r="H178" s="156" t="n">
        <f aca="false">SUM(H168:H177)+reservafixaconsolidadomai[[#This Row],[3]]</f>
        <v>0</v>
      </c>
      <c r="I178" s="156" t="n">
        <f aca="false">SUM(I168:I177)+reservafixaconsolidadomai[[#This Row],[4]]</f>
        <v>0</v>
      </c>
      <c r="J178" s="156" t="n">
        <f aca="false">SUM(J168:J177)+reservafixaconsolidadomai[[#This Row],[5]]</f>
        <v>0</v>
      </c>
      <c r="K178" s="156" t="n">
        <f aca="false">SUM(K168:K177)+reservafixaconsolidadomai[[#This Row],[6]]</f>
        <v>0</v>
      </c>
      <c r="L178" s="156" t="n">
        <f aca="false">SUM(L168:L177)+reservafixaconsolidadomai[[#This Row],[7]]</f>
        <v>0</v>
      </c>
      <c r="M178" s="156" t="n">
        <f aca="false">SUM(M168:M177)+reservafixaconsolidadomai[[#This Row],[8]]</f>
        <v>0</v>
      </c>
      <c r="N178" s="156" t="n">
        <f aca="false">SUM(N168:N177)+reservafixaconsolidadomai[[#This Row],[9]]</f>
        <v>0</v>
      </c>
      <c r="O178" s="156" t="n">
        <f aca="false">SUM(O168:O177)+reservafixaconsolidadomai[[#This Row],[10]]</f>
        <v>0</v>
      </c>
      <c r="P178" s="156" t="n">
        <f aca="false">SUM(P168:P177)+reservafixaconsolidadomai[[#This Row],[11]]</f>
        <v>0</v>
      </c>
      <c r="Q178" s="156" t="n">
        <f aca="false">SUM(Q168:Q177)+reservafixaconsolidadomai[[#This Row],[12]]</f>
        <v>0</v>
      </c>
      <c r="R178" s="156" t="n">
        <f aca="false">SUM(R168:R177)+reservafixaconsolidadomai[[#This Row],[13]]</f>
        <v>0</v>
      </c>
      <c r="S178" s="156" t="n">
        <f aca="false">SUM(S168:S177)+reservafixaconsolidadomai[[#This Row],[14]]</f>
        <v>0</v>
      </c>
      <c r="T178" s="156" t="n">
        <f aca="false">SUM(T168:T177)+reservafixaconsolidadomai[[#This Row],[15]]</f>
        <v>0</v>
      </c>
      <c r="U178" s="156" t="n">
        <f aca="false">SUM(U168:U177)+reservafixaconsolidadomai[[#This Row],[16]]</f>
        <v>0</v>
      </c>
      <c r="V178" s="156" t="n">
        <f aca="false">SUM(V168:V177)+reservafixaconsolidadomai[[#This Row],[17]]</f>
        <v>0</v>
      </c>
      <c r="W178" s="156" t="n">
        <f aca="false">SUM(W168:W177)+reservafixaconsolidadomai[[#This Row],[18]]</f>
        <v>0</v>
      </c>
      <c r="X178" s="156" t="n">
        <f aca="false">SUM(X168:X177)+reservafixaconsolidadomai[[#This Row],[19]]</f>
        <v>0</v>
      </c>
      <c r="Y178" s="156" t="n">
        <f aca="false">SUM(Y168:Y177)+reservafixaconsolidadomai[[#This Row],[20]]</f>
        <v>0</v>
      </c>
      <c r="Z178" s="156" t="n">
        <f aca="false">SUM(Z168:Z177)+reservafixaconsolidadomai[[#This Row],[21]]</f>
        <v>0</v>
      </c>
      <c r="AA178" s="156" t="n">
        <f aca="false">SUM(AA168:AA177)+reservafixaconsolidadomai[[#This Row],[22]]</f>
        <v>0</v>
      </c>
      <c r="AB178" s="156" t="n">
        <f aca="false">SUM(AB168:AB177)+reservafixaconsolidadomai[[#This Row],[23]]</f>
        <v>0</v>
      </c>
      <c r="AC178" s="156" t="n">
        <f aca="false">SUM(AC168:AC177)+reservafixaconsolidadomai[[#This Row],[24]]</f>
        <v>0</v>
      </c>
      <c r="AD178" s="156" t="n">
        <f aca="false">SUM(AD168:AD177)+reservafixaconsolidadomai[[#This Row],[25]]</f>
        <v>0</v>
      </c>
      <c r="AE178" s="156" t="n">
        <f aca="false">SUM(AE168:AE177)+reservafixaconsolidadomai[[#This Row],[26]]</f>
        <v>0</v>
      </c>
      <c r="AF178" s="156" t="n">
        <f aca="false">SUM(AF168:AF177)+reservafixaconsolidadomai[[#This Row],[27]]</f>
        <v>0</v>
      </c>
      <c r="AG178" s="156" t="n">
        <f aca="false">SUM(AG168:AG177)+reservafixaconsolidadomai[[#This Row],[28]]</f>
        <v>0</v>
      </c>
      <c r="AH178" s="156" t="n">
        <f aca="false">SUM(AH168:AH177)+reservafixaconsolidadomai[[#This Row],[29]]</f>
        <v>0</v>
      </c>
      <c r="AI178" s="223" t="n">
        <f aca="false">SUM(AI168:AI177)+reservafixaconsolidadomai[[#This Row],[30]]</f>
        <v>0</v>
      </c>
      <c r="AJ178" s="157" t="n">
        <f aca="false">reservafixaconsolidadomai[[#This Row],[31]]</f>
        <v>0</v>
      </c>
      <c r="AK178" s="158"/>
    </row>
    <row r="179" customFormat="false" ht="6.75" hidden="false" customHeight="true" outlineLevel="0" collapsed="false">
      <c r="B179" s="97"/>
      <c r="C179" s="162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233"/>
      <c r="AJ179" s="164"/>
      <c r="AK179" s="244"/>
    </row>
    <row r="180" s="78" customFormat="true" ht="12.75" hidden="false" customHeight="false" outlineLevel="0" collapsed="false">
      <c r="E180" s="100"/>
    </row>
    <row r="181" s="78" customFormat="true" ht="12" hidden="false" customHeight="false" outlineLevel="0" collapsed="false"/>
    <row r="182" s="78" customFormat="true" ht="12" hidden="false" customHeight="false" outlineLevel="0" collapsed="false"/>
    <row r="183" customFormat="false" ht="39.75" hidden="false" customHeight="true" outlineLevel="0" collapsed="false">
      <c r="C183" s="101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3" t="s">
        <v>2</v>
      </c>
    </row>
    <row r="184" s="78" customFormat="true" ht="12.75" hidden="false" customHeight="false" outlineLevel="0" collapsed="false">
      <c r="B184" s="161"/>
      <c r="AJ184" s="106" t="s">
        <v>64</v>
      </c>
    </row>
    <row r="185" customFormat="false" ht="6.75" hidden="false" customHeight="true" outlineLevel="0" collapsed="false">
      <c r="B185" s="86"/>
      <c r="C185" s="162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233"/>
      <c r="AK185" s="139"/>
    </row>
    <row r="186" customFormat="false" ht="13.5" hidden="true" customHeight="false" outlineLevel="0" collapsed="false">
      <c r="B186" s="86"/>
      <c r="C186" s="109" t="s">
        <v>68</v>
      </c>
      <c r="D186" s="110" t="s">
        <v>69</v>
      </c>
      <c r="E186" s="110" t="s">
        <v>30</v>
      </c>
      <c r="F186" s="110" t="s">
        <v>31</v>
      </c>
      <c r="G186" s="110" t="s">
        <v>32</v>
      </c>
      <c r="H186" s="110" t="s">
        <v>33</v>
      </c>
      <c r="I186" s="110" t="s">
        <v>34</v>
      </c>
      <c r="J186" s="110" t="s">
        <v>35</v>
      </c>
      <c r="K186" s="110" t="s">
        <v>36</v>
      </c>
      <c r="L186" s="110" t="s">
        <v>37</v>
      </c>
      <c r="M186" s="110" t="s">
        <v>38</v>
      </c>
      <c r="N186" s="110" t="s">
        <v>39</v>
      </c>
      <c r="O186" s="110" t="s">
        <v>40</v>
      </c>
      <c r="P186" s="110" t="s">
        <v>41</v>
      </c>
      <c r="Q186" s="110" t="s">
        <v>81</v>
      </c>
      <c r="R186" s="110" t="s">
        <v>82</v>
      </c>
      <c r="S186" s="110" t="s">
        <v>83</v>
      </c>
      <c r="T186" s="110" t="s">
        <v>84</v>
      </c>
      <c r="U186" s="110" t="s">
        <v>85</v>
      </c>
      <c r="V186" s="110" t="s">
        <v>86</v>
      </c>
      <c r="W186" s="110" t="s">
        <v>87</v>
      </c>
      <c r="X186" s="110" t="s">
        <v>88</v>
      </c>
      <c r="Y186" s="110" t="s">
        <v>89</v>
      </c>
      <c r="Z186" s="110" t="s">
        <v>90</v>
      </c>
      <c r="AA186" s="110" t="s">
        <v>91</v>
      </c>
      <c r="AB186" s="110" t="s">
        <v>92</v>
      </c>
      <c r="AC186" s="110" t="s">
        <v>93</v>
      </c>
      <c r="AD186" s="110" t="s">
        <v>94</v>
      </c>
      <c r="AE186" s="110" t="s">
        <v>95</v>
      </c>
      <c r="AF186" s="110" t="s">
        <v>96</v>
      </c>
      <c r="AG186" s="110" t="s">
        <v>97</v>
      </c>
      <c r="AH186" s="110" t="s">
        <v>98</v>
      </c>
      <c r="AI186" s="110" t="s">
        <v>99</v>
      </c>
      <c r="AJ186" s="111" t="s">
        <v>70</v>
      </c>
      <c r="AK186" s="86"/>
    </row>
    <row r="187" customFormat="false" ht="19.5" hidden="false" customHeight="true" outlineLevel="0" collapsed="false">
      <c r="B187" s="143"/>
      <c r="C187" s="144" t="str">
        <f aca="false">DADOS!$AN$3</f>
        <v>📝 AÇÃO</v>
      </c>
      <c r="D187" s="145" t="str">
        <f aca="false">IF(reservavariáveisconsolidadomai[[#This Row],[TOTAL (R$)]]=0,"",IF(OR(reservavariáveisconsolidadomai[[#This Row],[TOTAL (R$)]]=LARGE($AJ$187:$AJ$196,1),reservavariáveisconsolidadomai[[#This Row],[TOTAL (R$)]]=LARGE($AJ$187:$AJ$196,2)),DADOS!$I$11,""))</f>
        <v/>
      </c>
      <c r="E187" s="148" t="n">
        <f aca="false">SUMIFS(tabela_registros[VALOR],tabela_registros[MÊS],$AE$1,tabela_registros[DIA],reservavariáveisconsolidadomai[[#Headers],[1]],tabela_registros[REGISTRO],DADOS!$N$6,tabela_registros[TIPO],DADOS!$AJ$4,tabela_registros[CATEGORIA],reservavariáveisconsolidadomai[[#This Row],[ATUAL]])</f>
        <v>0</v>
      </c>
      <c r="F187" s="119" t="n">
        <f aca="false">SUMIFS(tabela_registros[VALOR],tabela_registros[MÊS],$AE$1,tabela_registros[DIA],reservavariáveisconsolidadomai[[#Headers],[2]],tabela_registros[REGISTRO],DADOS!$N$6,tabela_registros[TIPO],DADOS!$AJ$4,tabela_registros[CATEGORIA],reservavariáveisconsolidadomai[[#This Row],[ATUAL]])</f>
        <v>0</v>
      </c>
      <c r="G187" s="119" t="n">
        <f aca="false">SUMIFS(tabela_registros[VALOR],tabela_registros[MÊS],$AE$1,tabela_registros[DIA],reservavariáveisconsolidadomai[[#Headers],[3]],tabela_registros[REGISTRO],DADOS!$N$6,tabela_registros[TIPO],DADOS!$AJ$4,tabela_registros[CATEGORIA],reservavariáveisconsolidadomai[[#This Row],[ATUAL]])</f>
        <v>0</v>
      </c>
      <c r="H187" s="119" t="n">
        <f aca="false">SUMIFS(tabela_registros[VALOR],tabela_registros[MÊS],$AE$1,tabela_registros[DIA],reservavariáveisconsolidadomai[[#Headers],[4]],tabela_registros[REGISTRO],DADOS!$N$6,tabela_registros[TIPO],DADOS!$AJ$4,tabela_registros[CATEGORIA],reservavariáveisconsolidadomai[[#This Row],[ATUAL]])</f>
        <v>0</v>
      </c>
      <c r="I187" s="119" t="n">
        <f aca="false">SUMIFS(tabela_registros[VALOR],tabela_registros[MÊS],$AE$1,tabela_registros[DIA],reservavariáveisconsolidadomai[[#Headers],[5]],tabela_registros[REGISTRO],DADOS!$N$6,tabela_registros[TIPO],DADOS!$AJ$4,tabela_registros[CATEGORIA],reservavariáveisconsolidadomai[[#This Row],[ATUAL]])</f>
        <v>0</v>
      </c>
      <c r="J187" s="119" t="n">
        <f aca="false">SUMIFS(tabela_registros[VALOR],tabela_registros[MÊS],$AE$1,tabela_registros[DIA],reservavariáveisconsolidadomai[[#Headers],[6]],tabela_registros[REGISTRO],DADOS!$N$6,tabela_registros[TIPO],DADOS!$AJ$4,tabela_registros[CATEGORIA],reservavariáveisconsolidadomai[[#This Row],[ATUAL]])</f>
        <v>0</v>
      </c>
      <c r="K187" s="119" t="n">
        <f aca="false">SUMIFS(tabela_registros[VALOR],tabela_registros[MÊS],$AE$1,tabela_registros[DIA],reservavariáveisconsolidadomai[[#Headers],[7]],tabela_registros[REGISTRO],DADOS!$N$6,tabela_registros[TIPO],DADOS!$AJ$4,tabela_registros[CATEGORIA],reservavariáveisconsolidadomai[[#This Row],[ATUAL]])</f>
        <v>0</v>
      </c>
      <c r="L187" s="119" t="n">
        <f aca="false">SUMIFS(tabela_registros[VALOR],tabela_registros[MÊS],$AE$1,tabela_registros[DIA],reservavariáveisconsolidadomai[[#Headers],[8]],tabela_registros[REGISTRO],DADOS!$N$6,tabela_registros[TIPO],DADOS!$AJ$4,tabela_registros[CATEGORIA],reservavariáveisconsolidadomai[[#This Row],[ATUAL]])</f>
        <v>0</v>
      </c>
      <c r="M187" s="119" t="n">
        <f aca="false">SUMIFS(tabela_registros[VALOR],tabela_registros[MÊS],$AE$1,tabela_registros[DIA],reservavariáveisconsolidadomai[[#Headers],[9]],tabela_registros[REGISTRO],DADOS!$N$6,tabela_registros[TIPO],DADOS!$AJ$4,tabela_registros[CATEGORIA],reservavariáveisconsolidadomai[[#This Row],[ATUAL]])</f>
        <v>0</v>
      </c>
      <c r="N187" s="119" t="n">
        <f aca="false">SUMIFS(tabela_registros[VALOR],tabela_registros[MÊS],$AE$1,tabela_registros[DIA],reservavariáveisconsolidadomai[[#Headers],[10]],tabela_registros[REGISTRO],DADOS!$N$6,tabela_registros[TIPO],DADOS!$AJ$4,tabela_registros[CATEGORIA],reservavariáveisconsolidadomai[[#This Row],[ATUAL]])</f>
        <v>0</v>
      </c>
      <c r="O187" s="119" t="n">
        <f aca="false">SUMIFS(tabela_registros[VALOR],tabela_registros[MÊS],$AE$1,tabela_registros[DIA],reservavariáveisconsolidadomai[[#Headers],[11]],tabela_registros[REGISTRO],DADOS!$N$6,tabela_registros[TIPO],DADOS!$AJ$4,tabela_registros[CATEGORIA],reservavariáveisconsolidadomai[[#This Row],[ATUAL]])</f>
        <v>0</v>
      </c>
      <c r="P187" s="119" t="n">
        <f aca="false">SUMIFS(tabela_registros[VALOR],tabela_registros[MÊS],$AE$1,tabela_registros[DIA],reservavariáveisconsolidadomai[[#Headers],[12]],tabela_registros[REGISTRO],DADOS!$N$6,tabela_registros[TIPO],DADOS!$AJ$4,tabela_registros[CATEGORIA],reservavariáveisconsolidadomai[[#This Row],[ATUAL]])</f>
        <v>0</v>
      </c>
      <c r="Q187" s="119" t="n">
        <f aca="false">SUMIFS(tabela_registros[VALOR],tabela_registros[MÊS],$AE$1,tabela_registros[DIA],reservavariáveisconsolidadomai[[#Headers],[13]],tabela_registros[REGISTRO],DADOS!$N$6,tabela_registros[TIPO],DADOS!$AJ$4,tabela_registros[CATEGORIA],reservavariáveisconsolidadomai[[#This Row],[ATUAL]])</f>
        <v>0</v>
      </c>
      <c r="R187" s="119" t="n">
        <f aca="false">SUMIFS(tabela_registros[VALOR],tabela_registros[MÊS],$AE$1,tabela_registros[DIA],reservavariáveisconsolidadomai[[#Headers],[14]],tabela_registros[REGISTRO],DADOS!$N$6,tabela_registros[TIPO],DADOS!$AJ$4,tabela_registros[CATEGORIA],reservavariáveisconsolidadomai[[#This Row],[ATUAL]])</f>
        <v>0</v>
      </c>
      <c r="S187" s="119" t="n">
        <f aca="false">SUMIFS(tabela_registros[VALOR],tabela_registros[MÊS],$AE$1,tabela_registros[DIA],reservavariáveisconsolidadomai[[#Headers],[15]],tabela_registros[REGISTRO],DADOS!$N$6,tabela_registros[TIPO],DADOS!$AJ$4,tabela_registros[CATEGORIA],reservavariáveisconsolidadomai[[#This Row],[ATUAL]])</f>
        <v>0</v>
      </c>
      <c r="T187" s="119" t="n">
        <f aca="false">SUMIFS(tabela_registros[VALOR],tabela_registros[MÊS],$AE$1,tabela_registros[DIA],reservavariáveisconsolidadomai[[#Headers],[16]],tabela_registros[REGISTRO],DADOS!$N$6,tabela_registros[TIPO],DADOS!$AJ$4,tabela_registros[CATEGORIA],reservavariáveisconsolidadomai[[#This Row],[ATUAL]])</f>
        <v>0</v>
      </c>
      <c r="U187" s="119" t="n">
        <f aca="false">SUMIFS(tabela_registros[VALOR],tabela_registros[MÊS],$AE$1,tabela_registros[DIA],reservavariáveisconsolidadomai[[#Headers],[17]],tabela_registros[REGISTRO],DADOS!$N$6,tabela_registros[TIPO],DADOS!$AJ$4,tabela_registros[CATEGORIA],reservavariáveisconsolidadomai[[#This Row],[ATUAL]])</f>
        <v>0</v>
      </c>
      <c r="V187" s="119" t="n">
        <f aca="false">SUMIFS(tabela_registros[VALOR],tabela_registros[MÊS],$AE$1,tabela_registros[DIA],reservavariáveisconsolidadomai[[#Headers],[18]],tabela_registros[REGISTRO],DADOS!$N$6,tabela_registros[TIPO],DADOS!$AJ$4,tabela_registros[CATEGORIA],reservavariáveisconsolidadomai[[#This Row],[ATUAL]])</f>
        <v>0</v>
      </c>
      <c r="W187" s="119" t="n">
        <f aca="false">SUMIFS(tabela_registros[VALOR],tabela_registros[MÊS],$AE$1,tabela_registros[DIA],reservavariáveisconsolidadomai[[#Headers],[19]],tabela_registros[REGISTRO],DADOS!$N$6,tabela_registros[TIPO],DADOS!$AJ$4,tabela_registros[CATEGORIA],reservavariáveisconsolidadomai[[#This Row],[ATUAL]])</f>
        <v>0</v>
      </c>
      <c r="X187" s="119" t="n">
        <f aca="false">SUMIFS(tabela_registros[VALOR],tabela_registros[MÊS],$AE$1,tabela_registros[DIA],reservavariáveisconsolidadomai[[#Headers],[20]],tabela_registros[REGISTRO],DADOS!$N$6,tabela_registros[TIPO],DADOS!$AJ$4,tabela_registros[CATEGORIA],reservavariáveisconsolidadomai[[#This Row],[ATUAL]])</f>
        <v>0</v>
      </c>
      <c r="Y187" s="119" t="n">
        <f aca="false">SUMIFS(tabela_registros[VALOR],tabela_registros[MÊS],$AE$1,tabela_registros[DIA],reservavariáveisconsolidadomai[[#Headers],[21]],tabela_registros[REGISTRO],DADOS!$N$6,tabela_registros[TIPO],DADOS!$AJ$4,tabela_registros[CATEGORIA],reservavariáveisconsolidadomai[[#This Row],[ATUAL]])</f>
        <v>0</v>
      </c>
      <c r="Z187" s="119" t="n">
        <f aca="false">SUMIFS(tabela_registros[VALOR],tabela_registros[MÊS],$AE$1,tabela_registros[DIA],reservavariáveisconsolidadomai[[#Headers],[22]],tabela_registros[REGISTRO],DADOS!$N$6,tabela_registros[TIPO],DADOS!$AJ$4,tabela_registros[CATEGORIA],reservavariáveisconsolidadomai[[#This Row],[ATUAL]])</f>
        <v>0</v>
      </c>
      <c r="AA187" s="119" t="n">
        <f aca="false">SUMIFS(tabela_registros[VALOR],tabela_registros[MÊS],$AE$1,tabela_registros[DIA],reservavariáveisconsolidadomai[[#Headers],[23]],tabela_registros[REGISTRO],DADOS!$N$6,tabela_registros[TIPO],DADOS!$AJ$4,tabela_registros[CATEGORIA],reservavariáveisconsolidadomai[[#This Row],[ATUAL]])</f>
        <v>0</v>
      </c>
      <c r="AB187" s="119" t="n">
        <f aca="false">SUMIFS(tabela_registros[VALOR],tabela_registros[MÊS],$AE$1,tabela_registros[DIA],reservavariáveisconsolidadomai[[#Headers],[24]],tabela_registros[REGISTRO],DADOS!$N$6,tabela_registros[TIPO],DADOS!$AJ$4,tabela_registros[CATEGORIA],reservavariáveisconsolidadomai[[#This Row],[ATUAL]])</f>
        <v>0</v>
      </c>
      <c r="AC187" s="119" t="n">
        <f aca="false">SUMIFS(tabela_registros[VALOR],tabela_registros[MÊS],$AE$1,tabela_registros[DIA],reservavariáveisconsolidadomai[[#Headers],[25]],tabela_registros[REGISTRO],DADOS!$N$6,tabela_registros[TIPO],DADOS!$AJ$4,tabela_registros[CATEGORIA],reservavariáveisconsolidadomai[[#This Row],[ATUAL]])</f>
        <v>0</v>
      </c>
      <c r="AD187" s="119" t="n">
        <f aca="false">SUMIFS(tabela_registros[VALOR],tabela_registros[MÊS],$AE$1,tabela_registros[DIA],reservavariáveisconsolidadomai[[#Headers],[26]],tabela_registros[REGISTRO],DADOS!$N$6,tabela_registros[TIPO],DADOS!$AJ$4,tabela_registros[CATEGORIA],reservavariáveisconsolidadomai[[#This Row],[ATUAL]])</f>
        <v>0</v>
      </c>
      <c r="AE187" s="119" t="n">
        <f aca="false">SUMIFS(tabela_registros[VALOR],tabela_registros[MÊS],$AE$1,tabela_registros[DIA],reservavariáveisconsolidadomai[[#Headers],[27]],tabela_registros[REGISTRO],DADOS!$N$6,tabela_registros[TIPO],DADOS!$AJ$4,tabela_registros[CATEGORIA],reservavariáveisconsolidadomai[[#This Row],[ATUAL]])</f>
        <v>0</v>
      </c>
      <c r="AF187" s="119" t="n">
        <f aca="false">SUMIFS(tabela_registros[VALOR],tabela_registros[MÊS],$AE$1,tabela_registros[DIA],reservavariáveisconsolidadomai[[#Headers],[28]],tabela_registros[REGISTRO],DADOS!$N$6,tabela_registros[TIPO],DADOS!$AJ$4,tabela_registros[CATEGORIA],reservavariáveisconsolidadomai[[#This Row],[ATUAL]])</f>
        <v>0</v>
      </c>
      <c r="AG187" s="119" t="n">
        <f aca="false">SUMIFS(tabela_registros[VALOR],tabela_registros[MÊS],$AE$1,tabela_registros[DIA],reservavariáveisconsolidadomai[[#Headers],[29]],tabela_registros[REGISTRO],DADOS!$N$6,tabela_registros[TIPO],DADOS!$AJ$4,tabela_registros[CATEGORIA],reservavariáveisconsolidadomai[[#This Row],[ATUAL]])</f>
        <v>0</v>
      </c>
      <c r="AH187" s="119" t="n">
        <f aca="false">SUMIFS(tabela_registros[VALOR],tabela_registros[MÊS],$AE$1,tabela_registros[DIA],reservavariáveisconsolidadomai[[#Headers],[30]],tabela_registros[REGISTRO],DADOS!$N$6,tabela_registros[TIPO],DADOS!$AJ$4,tabela_registros[CATEGORIA],reservavariáveisconsolidadomai[[#This Row],[ATUAL]])</f>
        <v>0</v>
      </c>
      <c r="AI187" s="217" t="n">
        <f aca="false">SUMIFS(tabela_registros[VALOR],tabela_registros[MÊS],$AE$1,tabela_registros[DIA],reservavariáveisconsolidadomai[[#Headers],[31]],tabela_registros[REGISTRO],DADOS!$N$6,tabela_registros[TIPO],DADOS!$AJ$4,tabela_registros[CATEGORIA],reservavariáveisconsolidadomai[[#This Row],[ATUAL]])</f>
        <v>0</v>
      </c>
      <c r="AJ187" s="149" t="n">
        <f aca="false">SUM(reservavariáveisconsolidadomai[[#This Row],[1]:[31]])</f>
        <v>0</v>
      </c>
      <c r="AK187" s="165"/>
    </row>
    <row r="188" customFormat="false" ht="19.5" hidden="false" customHeight="true" outlineLevel="0" collapsed="false">
      <c r="B188" s="143"/>
      <c r="C188" s="144" t="str">
        <f aca="false">DADOS!$AN$4</f>
        <v>📝 COMÓDITE</v>
      </c>
      <c r="D188" s="145" t="str">
        <f aca="false">IF(reservavariáveisconsolidadomai[[#This Row],[TOTAL (R$)]]=0,"",IF(OR(reservavariáveisconsolidadomai[[#This Row],[TOTAL (R$)]]=LARGE($AJ$187:$AJ$196,1),reservavariáveisconsolidadomai[[#This Row],[TOTAL (R$)]]=LARGE($AJ$187:$AJ$196,2)),DADOS!$I$11,""))</f>
        <v/>
      </c>
      <c r="E188" s="148" t="n">
        <f aca="false">SUMIFS(tabela_registros[VALOR],tabela_registros[MÊS],$AE$1,tabela_registros[DIA],reservavariáveisconsolidadomai[[#Headers],[1]],tabela_registros[REGISTRO],DADOS!$N$6,tabela_registros[TIPO],DADOS!$AJ$4,tabela_registros[CATEGORIA],reservavariáveisconsolidadomai[[#This Row],[ATUAL]])</f>
        <v>0</v>
      </c>
      <c r="F188" s="119" t="n">
        <f aca="false">SUMIFS(tabela_registros[VALOR],tabela_registros[MÊS],$AE$1,tabela_registros[DIA],reservavariáveisconsolidadomai[[#Headers],[2]],tabela_registros[REGISTRO],DADOS!$N$6,tabela_registros[TIPO],DADOS!$AJ$4,tabela_registros[CATEGORIA],reservavariáveisconsolidadomai[[#This Row],[ATUAL]])</f>
        <v>0</v>
      </c>
      <c r="G188" s="119" t="n">
        <f aca="false">SUMIFS(tabela_registros[VALOR],tabela_registros[MÊS],$AE$1,tabela_registros[DIA],reservavariáveisconsolidadomai[[#Headers],[3]],tabela_registros[REGISTRO],DADOS!$N$6,tabela_registros[TIPO],DADOS!$AJ$4,tabela_registros[CATEGORIA],reservavariáveisconsolidadomai[[#This Row],[ATUAL]])</f>
        <v>0</v>
      </c>
      <c r="H188" s="119" t="n">
        <f aca="false">SUMIFS(tabela_registros[VALOR],tabela_registros[MÊS],$AE$1,tabela_registros[DIA],reservavariáveisconsolidadomai[[#Headers],[4]],tabela_registros[REGISTRO],DADOS!$N$6,tabela_registros[TIPO],DADOS!$AJ$4,tabela_registros[CATEGORIA],reservavariáveisconsolidadomai[[#This Row],[ATUAL]])</f>
        <v>0</v>
      </c>
      <c r="I188" s="119" t="n">
        <f aca="false">SUMIFS(tabela_registros[VALOR],tabela_registros[MÊS],$AE$1,tabela_registros[DIA],reservavariáveisconsolidadomai[[#Headers],[5]],tabela_registros[REGISTRO],DADOS!$N$6,tabela_registros[TIPO],DADOS!$AJ$4,tabela_registros[CATEGORIA],reservavariáveisconsolidadomai[[#This Row],[ATUAL]])</f>
        <v>0</v>
      </c>
      <c r="J188" s="119" t="n">
        <f aca="false">SUMIFS(tabela_registros[VALOR],tabela_registros[MÊS],$AE$1,tabela_registros[DIA],reservavariáveisconsolidadomai[[#Headers],[6]],tabela_registros[REGISTRO],DADOS!$N$6,tabela_registros[TIPO],DADOS!$AJ$4,tabela_registros[CATEGORIA],reservavariáveisconsolidadomai[[#This Row],[ATUAL]])</f>
        <v>0</v>
      </c>
      <c r="K188" s="119" t="n">
        <f aca="false">SUMIFS(tabela_registros[VALOR],tabela_registros[MÊS],$AE$1,tabela_registros[DIA],reservavariáveisconsolidadomai[[#Headers],[7]],tabela_registros[REGISTRO],DADOS!$N$6,tabela_registros[TIPO],DADOS!$AJ$4,tabela_registros[CATEGORIA],reservavariáveisconsolidadomai[[#This Row],[ATUAL]])</f>
        <v>0</v>
      </c>
      <c r="L188" s="119" t="n">
        <f aca="false">SUMIFS(tabela_registros[VALOR],tabela_registros[MÊS],$AE$1,tabela_registros[DIA],reservavariáveisconsolidadomai[[#Headers],[8]],tabela_registros[REGISTRO],DADOS!$N$6,tabela_registros[TIPO],DADOS!$AJ$4,tabela_registros[CATEGORIA],reservavariáveisconsolidadomai[[#This Row],[ATUAL]])</f>
        <v>0</v>
      </c>
      <c r="M188" s="119" t="n">
        <f aca="false">SUMIFS(tabela_registros[VALOR],tabela_registros[MÊS],$AE$1,tabela_registros[DIA],reservavariáveisconsolidadomai[[#Headers],[9]],tabela_registros[REGISTRO],DADOS!$N$6,tabela_registros[TIPO],DADOS!$AJ$4,tabela_registros[CATEGORIA],reservavariáveisconsolidadomai[[#This Row],[ATUAL]])</f>
        <v>0</v>
      </c>
      <c r="N188" s="119" t="n">
        <f aca="false">SUMIFS(tabela_registros[VALOR],tabela_registros[MÊS],$AE$1,tabela_registros[DIA],reservavariáveisconsolidadomai[[#Headers],[10]],tabela_registros[REGISTRO],DADOS!$N$6,tabela_registros[TIPO],DADOS!$AJ$4,tabela_registros[CATEGORIA],reservavariáveisconsolidadomai[[#This Row],[ATUAL]])</f>
        <v>0</v>
      </c>
      <c r="O188" s="119" t="n">
        <f aca="false">SUMIFS(tabela_registros[VALOR],tabela_registros[MÊS],$AE$1,tabela_registros[DIA],reservavariáveisconsolidadomai[[#Headers],[11]],tabela_registros[REGISTRO],DADOS!$N$6,tabela_registros[TIPO],DADOS!$AJ$4,tabela_registros[CATEGORIA],reservavariáveisconsolidadomai[[#This Row],[ATUAL]])</f>
        <v>0</v>
      </c>
      <c r="P188" s="119" t="n">
        <f aca="false">SUMIFS(tabela_registros[VALOR],tabela_registros[MÊS],$AE$1,tabela_registros[DIA],reservavariáveisconsolidadomai[[#Headers],[12]],tabela_registros[REGISTRO],DADOS!$N$6,tabela_registros[TIPO],DADOS!$AJ$4,tabela_registros[CATEGORIA],reservavariáveisconsolidadomai[[#This Row],[ATUAL]])</f>
        <v>0</v>
      </c>
      <c r="Q188" s="119" t="n">
        <f aca="false">SUMIFS(tabela_registros[VALOR],tabela_registros[MÊS],$AE$1,tabela_registros[DIA],reservavariáveisconsolidadomai[[#Headers],[13]],tabela_registros[REGISTRO],DADOS!$N$6,tabela_registros[TIPO],DADOS!$AJ$4,tabela_registros[CATEGORIA],reservavariáveisconsolidadomai[[#This Row],[ATUAL]])</f>
        <v>0</v>
      </c>
      <c r="R188" s="119" t="n">
        <f aca="false">SUMIFS(tabela_registros[VALOR],tabela_registros[MÊS],$AE$1,tabela_registros[DIA],reservavariáveisconsolidadomai[[#Headers],[14]],tabela_registros[REGISTRO],DADOS!$N$6,tabela_registros[TIPO],DADOS!$AJ$4,tabela_registros[CATEGORIA],reservavariáveisconsolidadomai[[#This Row],[ATUAL]])</f>
        <v>0</v>
      </c>
      <c r="S188" s="119" t="n">
        <f aca="false">SUMIFS(tabela_registros[VALOR],tabela_registros[MÊS],$AE$1,tabela_registros[DIA],reservavariáveisconsolidadomai[[#Headers],[15]],tabela_registros[REGISTRO],DADOS!$N$6,tabela_registros[TIPO],DADOS!$AJ$4,tabela_registros[CATEGORIA],reservavariáveisconsolidadomai[[#This Row],[ATUAL]])</f>
        <v>0</v>
      </c>
      <c r="T188" s="119" t="n">
        <f aca="false">SUMIFS(tabela_registros[VALOR],tabela_registros[MÊS],$AE$1,tabela_registros[DIA],reservavariáveisconsolidadomai[[#Headers],[16]],tabela_registros[REGISTRO],DADOS!$N$6,tabela_registros[TIPO],DADOS!$AJ$4,tabela_registros[CATEGORIA],reservavariáveisconsolidadomai[[#This Row],[ATUAL]])</f>
        <v>0</v>
      </c>
      <c r="U188" s="119" t="n">
        <f aca="false">SUMIFS(tabela_registros[VALOR],tabela_registros[MÊS],$AE$1,tabela_registros[DIA],reservavariáveisconsolidadomai[[#Headers],[17]],tabela_registros[REGISTRO],DADOS!$N$6,tabela_registros[TIPO],DADOS!$AJ$4,tabela_registros[CATEGORIA],reservavariáveisconsolidadomai[[#This Row],[ATUAL]])</f>
        <v>0</v>
      </c>
      <c r="V188" s="119" t="n">
        <f aca="false">SUMIFS(tabela_registros[VALOR],tabela_registros[MÊS],$AE$1,tabela_registros[DIA],reservavariáveisconsolidadomai[[#Headers],[18]],tabela_registros[REGISTRO],DADOS!$N$6,tabela_registros[TIPO],DADOS!$AJ$4,tabela_registros[CATEGORIA],reservavariáveisconsolidadomai[[#This Row],[ATUAL]])</f>
        <v>0</v>
      </c>
      <c r="W188" s="119" t="n">
        <f aca="false">SUMIFS(tabela_registros[VALOR],tabela_registros[MÊS],$AE$1,tabela_registros[DIA],reservavariáveisconsolidadomai[[#Headers],[19]],tabela_registros[REGISTRO],DADOS!$N$6,tabela_registros[TIPO],DADOS!$AJ$4,tabela_registros[CATEGORIA],reservavariáveisconsolidadomai[[#This Row],[ATUAL]])</f>
        <v>0</v>
      </c>
      <c r="X188" s="119" t="n">
        <f aca="false">SUMIFS(tabela_registros[VALOR],tabela_registros[MÊS],$AE$1,tabela_registros[DIA],reservavariáveisconsolidadomai[[#Headers],[20]],tabela_registros[REGISTRO],DADOS!$N$6,tabela_registros[TIPO],DADOS!$AJ$4,tabela_registros[CATEGORIA],reservavariáveisconsolidadomai[[#This Row],[ATUAL]])</f>
        <v>0</v>
      </c>
      <c r="Y188" s="119" t="n">
        <f aca="false">SUMIFS(tabela_registros[VALOR],tabela_registros[MÊS],$AE$1,tabela_registros[DIA],reservavariáveisconsolidadomai[[#Headers],[21]],tabela_registros[REGISTRO],DADOS!$N$6,tabela_registros[TIPO],DADOS!$AJ$4,tabela_registros[CATEGORIA],reservavariáveisconsolidadomai[[#This Row],[ATUAL]])</f>
        <v>0</v>
      </c>
      <c r="Z188" s="119" t="n">
        <f aca="false">SUMIFS(tabela_registros[VALOR],tabela_registros[MÊS],$AE$1,tabela_registros[DIA],reservavariáveisconsolidadomai[[#Headers],[22]],tabela_registros[REGISTRO],DADOS!$N$6,tabela_registros[TIPO],DADOS!$AJ$4,tabela_registros[CATEGORIA],reservavariáveisconsolidadomai[[#This Row],[ATUAL]])</f>
        <v>0</v>
      </c>
      <c r="AA188" s="119" t="n">
        <f aca="false">SUMIFS(tabela_registros[VALOR],tabela_registros[MÊS],$AE$1,tabela_registros[DIA],reservavariáveisconsolidadomai[[#Headers],[23]],tabela_registros[REGISTRO],DADOS!$N$6,tabela_registros[TIPO],DADOS!$AJ$4,tabela_registros[CATEGORIA],reservavariáveisconsolidadomai[[#This Row],[ATUAL]])</f>
        <v>0</v>
      </c>
      <c r="AB188" s="119" t="n">
        <f aca="false">SUMIFS(tabela_registros[VALOR],tabela_registros[MÊS],$AE$1,tabela_registros[DIA],reservavariáveisconsolidadomai[[#Headers],[24]],tabela_registros[REGISTRO],DADOS!$N$6,tabela_registros[TIPO],DADOS!$AJ$4,tabela_registros[CATEGORIA],reservavariáveisconsolidadomai[[#This Row],[ATUAL]])</f>
        <v>0</v>
      </c>
      <c r="AC188" s="119" t="n">
        <f aca="false">SUMIFS(tabela_registros[VALOR],tabela_registros[MÊS],$AE$1,tabela_registros[DIA],reservavariáveisconsolidadomai[[#Headers],[25]],tabela_registros[REGISTRO],DADOS!$N$6,tabela_registros[TIPO],DADOS!$AJ$4,tabela_registros[CATEGORIA],reservavariáveisconsolidadomai[[#This Row],[ATUAL]])</f>
        <v>0</v>
      </c>
      <c r="AD188" s="119" t="n">
        <f aca="false">SUMIFS(tabela_registros[VALOR],tabela_registros[MÊS],$AE$1,tabela_registros[DIA],reservavariáveisconsolidadomai[[#Headers],[26]],tabela_registros[REGISTRO],DADOS!$N$6,tabela_registros[TIPO],DADOS!$AJ$4,tabela_registros[CATEGORIA],reservavariáveisconsolidadomai[[#This Row],[ATUAL]])</f>
        <v>0</v>
      </c>
      <c r="AE188" s="119" t="n">
        <f aca="false">SUMIFS(tabela_registros[VALOR],tabela_registros[MÊS],$AE$1,tabela_registros[DIA],reservavariáveisconsolidadomai[[#Headers],[27]],tabela_registros[REGISTRO],DADOS!$N$6,tabela_registros[TIPO],DADOS!$AJ$4,tabela_registros[CATEGORIA],reservavariáveisconsolidadomai[[#This Row],[ATUAL]])</f>
        <v>0</v>
      </c>
      <c r="AF188" s="119" t="n">
        <f aca="false">SUMIFS(tabela_registros[VALOR],tabela_registros[MÊS],$AE$1,tabela_registros[DIA],reservavariáveisconsolidadomai[[#Headers],[28]],tabela_registros[REGISTRO],DADOS!$N$6,tabela_registros[TIPO],DADOS!$AJ$4,tabela_registros[CATEGORIA],reservavariáveisconsolidadomai[[#This Row],[ATUAL]])</f>
        <v>0</v>
      </c>
      <c r="AG188" s="119" t="n">
        <f aca="false">SUMIFS(tabela_registros[VALOR],tabela_registros[MÊS],$AE$1,tabela_registros[DIA],reservavariáveisconsolidadomai[[#Headers],[29]],tabela_registros[REGISTRO],DADOS!$N$6,tabela_registros[TIPO],DADOS!$AJ$4,tabela_registros[CATEGORIA],reservavariáveisconsolidadomai[[#This Row],[ATUAL]])</f>
        <v>0</v>
      </c>
      <c r="AH188" s="119" t="n">
        <f aca="false">SUMIFS(tabela_registros[VALOR],tabela_registros[MÊS],$AE$1,tabela_registros[DIA],reservavariáveisconsolidadomai[[#Headers],[30]],tabela_registros[REGISTRO],DADOS!$N$6,tabela_registros[TIPO],DADOS!$AJ$4,tabela_registros[CATEGORIA],reservavariáveisconsolidadomai[[#This Row],[ATUAL]])</f>
        <v>0</v>
      </c>
      <c r="AI188" s="217" t="n">
        <f aca="false">SUMIFS(tabela_registros[VALOR],tabela_registros[MÊS],$AE$1,tabela_registros[DIA],reservavariáveisconsolidadomai[[#Headers],[31]],tabela_registros[REGISTRO],DADOS!$N$6,tabela_registros[TIPO],DADOS!$AJ$4,tabela_registros[CATEGORIA],reservavariáveisconsolidadomai[[#This Row],[ATUAL]])</f>
        <v>0</v>
      </c>
      <c r="AJ188" s="149" t="n">
        <f aca="false">SUM(reservavariáveisconsolidadomai[[#This Row],[1]:[31]])</f>
        <v>0</v>
      </c>
      <c r="AK188" s="165"/>
    </row>
    <row r="189" customFormat="false" ht="19.5" hidden="false" customHeight="true" outlineLevel="0" collapsed="false">
      <c r="B189" s="143"/>
      <c r="C189" s="144" t="str">
        <f aca="false">DADOS!$AN$5</f>
        <v>📝 CONTRATO DE FUTUROS</v>
      </c>
      <c r="D189" s="145" t="str">
        <f aca="false">IF(reservavariáveisconsolidadomai[[#This Row],[TOTAL (R$)]]=0,"",IF(OR(reservavariáveisconsolidadomai[[#This Row],[TOTAL (R$)]]=LARGE($AJ$187:$AJ$196,1),reservavariáveisconsolidadomai[[#This Row],[TOTAL (R$)]]=LARGE($AJ$187:$AJ$196,2)),DADOS!$I$11,""))</f>
        <v/>
      </c>
      <c r="E189" s="148" t="n">
        <f aca="false">SUMIFS(tabela_registros[VALOR],tabela_registros[MÊS],$AE$1,tabela_registros[DIA],reservavariáveisconsolidadomai[[#Headers],[1]],tabela_registros[REGISTRO],DADOS!$N$6,tabela_registros[TIPO],DADOS!$AJ$4,tabela_registros[CATEGORIA],reservavariáveisconsolidadomai[[#This Row],[ATUAL]])</f>
        <v>0</v>
      </c>
      <c r="F189" s="119" t="n">
        <f aca="false">SUMIFS(tabela_registros[VALOR],tabela_registros[MÊS],$AE$1,tabela_registros[DIA],reservavariáveisconsolidadomai[[#Headers],[2]],tabela_registros[REGISTRO],DADOS!$N$6,tabela_registros[TIPO],DADOS!$AJ$4,tabela_registros[CATEGORIA],reservavariáveisconsolidadomai[[#This Row],[ATUAL]])</f>
        <v>0</v>
      </c>
      <c r="G189" s="119" t="n">
        <f aca="false">SUMIFS(tabela_registros[VALOR],tabela_registros[MÊS],$AE$1,tabela_registros[DIA],reservavariáveisconsolidadomai[[#Headers],[3]],tabela_registros[REGISTRO],DADOS!$N$6,tabela_registros[TIPO],DADOS!$AJ$4,tabela_registros[CATEGORIA],reservavariáveisconsolidadomai[[#This Row],[ATUAL]])</f>
        <v>0</v>
      </c>
      <c r="H189" s="119" t="n">
        <f aca="false">SUMIFS(tabela_registros[VALOR],tabela_registros[MÊS],$AE$1,tabela_registros[DIA],reservavariáveisconsolidadomai[[#Headers],[4]],tabela_registros[REGISTRO],DADOS!$N$6,tabela_registros[TIPO],DADOS!$AJ$4,tabela_registros[CATEGORIA],reservavariáveisconsolidadomai[[#This Row],[ATUAL]])</f>
        <v>0</v>
      </c>
      <c r="I189" s="119" t="n">
        <f aca="false">SUMIFS(tabela_registros[VALOR],tabela_registros[MÊS],$AE$1,tabela_registros[DIA],reservavariáveisconsolidadomai[[#Headers],[5]],tabela_registros[REGISTRO],DADOS!$N$6,tabela_registros[TIPO],DADOS!$AJ$4,tabela_registros[CATEGORIA],reservavariáveisconsolidadomai[[#This Row],[ATUAL]])</f>
        <v>0</v>
      </c>
      <c r="J189" s="119" t="n">
        <f aca="false">SUMIFS(tabela_registros[VALOR],tabela_registros[MÊS],$AE$1,tabela_registros[DIA],reservavariáveisconsolidadomai[[#Headers],[6]],tabela_registros[REGISTRO],DADOS!$N$6,tabela_registros[TIPO],DADOS!$AJ$4,tabela_registros[CATEGORIA],reservavariáveisconsolidadomai[[#This Row],[ATUAL]])</f>
        <v>0</v>
      </c>
      <c r="K189" s="119" t="n">
        <f aca="false">SUMIFS(tabela_registros[VALOR],tabela_registros[MÊS],$AE$1,tabela_registros[DIA],reservavariáveisconsolidadomai[[#Headers],[7]],tabela_registros[REGISTRO],DADOS!$N$6,tabela_registros[TIPO],DADOS!$AJ$4,tabela_registros[CATEGORIA],reservavariáveisconsolidadomai[[#This Row],[ATUAL]])</f>
        <v>0</v>
      </c>
      <c r="L189" s="119" t="n">
        <f aca="false">SUMIFS(tabela_registros[VALOR],tabela_registros[MÊS],$AE$1,tabela_registros[DIA],reservavariáveisconsolidadomai[[#Headers],[8]],tabela_registros[REGISTRO],DADOS!$N$6,tabela_registros[TIPO],DADOS!$AJ$4,tabela_registros[CATEGORIA],reservavariáveisconsolidadomai[[#This Row],[ATUAL]])</f>
        <v>0</v>
      </c>
      <c r="M189" s="119" t="n">
        <f aca="false">SUMIFS(tabela_registros[VALOR],tabela_registros[MÊS],$AE$1,tabela_registros[DIA],reservavariáveisconsolidadomai[[#Headers],[9]],tabela_registros[REGISTRO],DADOS!$N$6,tabela_registros[TIPO],DADOS!$AJ$4,tabela_registros[CATEGORIA],reservavariáveisconsolidadomai[[#This Row],[ATUAL]])</f>
        <v>0</v>
      </c>
      <c r="N189" s="119" t="n">
        <f aca="false">SUMIFS(tabela_registros[VALOR],tabela_registros[MÊS],$AE$1,tabela_registros[DIA],reservavariáveisconsolidadomai[[#Headers],[10]],tabela_registros[REGISTRO],DADOS!$N$6,tabela_registros[TIPO],DADOS!$AJ$4,tabela_registros[CATEGORIA],reservavariáveisconsolidadomai[[#This Row],[ATUAL]])</f>
        <v>0</v>
      </c>
      <c r="O189" s="119" t="n">
        <f aca="false">SUMIFS(tabela_registros[VALOR],tabela_registros[MÊS],$AE$1,tabela_registros[DIA],reservavariáveisconsolidadomai[[#Headers],[11]],tabela_registros[REGISTRO],DADOS!$N$6,tabela_registros[TIPO],DADOS!$AJ$4,tabela_registros[CATEGORIA],reservavariáveisconsolidadomai[[#This Row],[ATUAL]])</f>
        <v>0</v>
      </c>
      <c r="P189" s="119" t="n">
        <f aca="false">SUMIFS(tabela_registros[VALOR],tabela_registros[MÊS],$AE$1,tabela_registros[DIA],reservavariáveisconsolidadomai[[#Headers],[12]],tabela_registros[REGISTRO],DADOS!$N$6,tabela_registros[TIPO],DADOS!$AJ$4,tabela_registros[CATEGORIA],reservavariáveisconsolidadomai[[#This Row],[ATUAL]])</f>
        <v>0</v>
      </c>
      <c r="Q189" s="119" t="n">
        <f aca="false">SUMIFS(tabela_registros[VALOR],tabela_registros[MÊS],$AE$1,tabela_registros[DIA],reservavariáveisconsolidadomai[[#Headers],[13]],tabela_registros[REGISTRO],DADOS!$N$6,tabela_registros[TIPO],DADOS!$AJ$4,tabela_registros[CATEGORIA],reservavariáveisconsolidadomai[[#This Row],[ATUAL]])</f>
        <v>0</v>
      </c>
      <c r="R189" s="119" t="n">
        <f aca="false">SUMIFS(tabela_registros[VALOR],tabela_registros[MÊS],$AE$1,tabela_registros[DIA],reservavariáveisconsolidadomai[[#Headers],[14]],tabela_registros[REGISTRO],DADOS!$N$6,tabela_registros[TIPO],DADOS!$AJ$4,tabela_registros[CATEGORIA],reservavariáveisconsolidadomai[[#This Row],[ATUAL]])</f>
        <v>0</v>
      </c>
      <c r="S189" s="119" t="n">
        <f aca="false">SUMIFS(tabela_registros[VALOR],tabela_registros[MÊS],$AE$1,tabela_registros[DIA],reservavariáveisconsolidadomai[[#Headers],[15]],tabela_registros[REGISTRO],DADOS!$N$6,tabela_registros[TIPO],DADOS!$AJ$4,tabela_registros[CATEGORIA],reservavariáveisconsolidadomai[[#This Row],[ATUAL]])</f>
        <v>0</v>
      </c>
      <c r="T189" s="119" t="n">
        <f aca="false">SUMIFS(tabela_registros[VALOR],tabela_registros[MÊS],$AE$1,tabela_registros[DIA],reservavariáveisconsolidadomai[[#Headers],[16]],tabela_registros[REGISTRO],DADOS!$N$6,tabela_registros[TIPO],DADOS!$AJ$4,tabela_registros[CATEGORIA],reservavariáveisconsolidadomai[[#This Row],[ATUAL]])</f>
        <v>0</v>
      </c>
      <c r="U189" s="119" t="n">
        <f aca="false">SUMIFS(tabela_registros[VALOR],tabela_registros[MÊS],$AE$1,tabela_registros[DIA],reservavariáveisconsolidadomai[[#Headers],[17]],tabela_registros[REGISTRO],DADOS!$N$6,tabela_registros[TIPO],DADOS!$AJ$4,tabela_registros[CATEGORIA],reservavariáveisconsolidadomai[[#This Row],[ATUAL]])</f>
        <v>0</v>
      </c>
      <c r="V189" s="119" t="n">
        <f aca="false">SUMIFS(tabela_registros[VALOR],tabela_registros[MÊS],$AE$1,tabela_registros[DIA],reservavariáveisconsolidadomai[[#Headers],[18]],tabela_registros[REGISTRO],DADOS!$N$6,tabela_registros[TIPO],DADOS!$AJ$4,tabela_registros[CATEGORIA],reservavariáveisconsolidadomai[[#This Row],[ATUAL]])</f>
        <v>0</v>
      </c>
      <c r="W189" s="119" t="n">
        <f aca="false">SUMIFS(tabela_registros[VALOR],tabela_registros[MÊS],$AE$1,tabela_registros[DIA],reservavariáveisconsolidadomai[[#Headers],[19]],tabela_registros[REGISTRO],DADOS!$N$6,tabela_registros[TIPO],DADOS!$AJ$4,tabela_registros[CATEGORIA],reservavariáveisconsolidadomai[[#This Row],[ATUAL]])</f>
        <v>0</v>
      </c>
      <c r="X189" s="119" t="n">
        <f aca="false">SUMIFS(tabela_registros[VALOR],tabela_registros[MÊS],$AE$1,tabela_registros[DIA],reservavariáveisconsolidadomai[[#Headers],[20]],tabela_registros[REGISTRO],DADOS!$N$6,tabela_registros[TIPO],DADOS!$AJ$4,tabela_registros[CATEGORIA],reservavariáveisconsolidadomai[[#This Row],[ATUAL]])</f>
        <v>0</v>
      </c>
      <c r="Y189" s="119" t="n">
        <f aca="false">SUMIFS(tabela_registros[VALOR],tabela_registros[MÊS],$AE$1,tabela_registros[DIA],reservavariáveisconsolidadomai[[#Headers],[21]],tabela_registros[REGISTRO],DADOS!$N$6,tabela_registros[TIPO],DADOS!$AJ$4,tabela_registros[CATEGORIA],reservavariáveisconsolidadomai[[#This Row],[ATUAL]])</f>
        <v>0</v>
      </c>
      <c r="Z189" s="119" t="n">
        <f aca="false">SUMIFS(tabela_registros[VALOR],tabela_registros[MÊS],$AE$1,tabela_registros[DIA],reservavariáveisconsolidadomai[[#Headers],[22]],tabela_registros[REGISTRO],DADOS!$N$6,tabela_registros[TIPO],DADOS!$AJ$4,tabela_registros[CATEGORIA],reservavariáveisconsolidadomai[[#This Row],[ATUAL]])</f>
        <v>0</v>
      </c>
      <c r="AA189" s="119" t="n">
        <f aca="false">SUMIFS(tabela_registros[VALOR],tabela_registros[MÊS],$AE$1,tabela_registros[DIA],reservavariáveisconsolidadomai[[#Headers],[23]],tabela_registros[REGISTRO],DADOS!$N$6,tabela_registros[TIPO],DADOS!$AJ$4,tabela_registros[CATEGORIA],reservavariáveisconsolidadomai[[#This Row],[ATUAL]])</f>
        <v>0</v>
      </c>
      <c r="AB189" s="119" t="n">
        <f aca="false">SUMIFS(tabela_registros[VALOR],tabela_registros[MÊS],$AE$1,tabela_registros[DIA],reservavariáveisconsolidadomai[[#Headers],[24]],tabela_registros[REGISTRO],DADOS!$N$6,tabela_registros[TIPO],DADOS!$AJ$4,tabela_registros[CATEGORIA],reservavariáveisconsolidadomai[[#This Row],[ATUAL]])</f>
        <v>0</v>
      </c>
      <c r="AC189" s="119" t="n">
        <f aca="false">SUMIFS(tabela_registros[VALOR],tabela_registros[MÊS],$AE$1,tabela_registros[DIA],reservavariáveisconsolidadomai[[#Headers],[25]],tabela_registros[REGISTRO],DADOS!$N$6,tabela_registros[TIPO],DADOS!$AJ$4,tabela_registros[CATEGORIA],reservavariáveisconsolidadomai[[#This Row],[ATUAL]])</f>
        <v>0</v>
      </c>
      <c r="AD189" s="119" t="n">
        <f aca="false">SUMIFS(tabela_registros[VALOR],tabela_registros[MÊS],$AE$1,tabela_registros[DIA],reservavariáveisconsolidadomai[[#Headers],[26]],tabela_registros[REGISTRO],DADOS!$N$6,tabela_registros[TIPO],DADOS!$AJ$4,tabela_registros[CATEGORIA],reservavariáveisconsolidadomai[[#This Row],[ATUAL]])</f>
        <v>0</v>
      </c>
      <c r="AE189" s="119" t="n">
        <f aca="false">SUMIFS(tabela_registros[VALOR],tabela_registros[MÊS],$AE$1,tabela_registros[DIA],reservavariáveisconsolidadomai[[#Headers],[27]],tabela_registros[REGISTRO],DADOS!$N$6,tabela_registros[TIPO],DADOS!$AJ$4,tabela_registros[CATEGORIA],reservavariáveisconsolidadomai[[#This Row],[ATUAL]])</f>
        <v>0</v>
      </c>
      <c r="AF189" s="119" t="n">
        <f aca="false">SUMIFS(tabela_registros[VALOR],tabela_registros[MÊS],$AE$1,tabela_registros[DIA],reservavariáveisconsolidadomai[[#Headers],[28]],tabela_registros[REGISTRO],DADOS!$N$6,tabela_registros[TIPO],DADOS!$AJ$4,tabela_registros[CATEGORIA],reservavariáveisconsolidadomai[[#This Row],[ATUAL]])</f>
        <v>0</v>
      </c>
      <c r="AG189" s="119" t="n">
        <f aca="false">SUMIFS(tabela_registros[VALOR],tabela_registros[MÊS],$AE$1,tabela_registros[DIA],reservavariáveisconsolidadomai[[#Headers],[29]],tabela_registros[REGISTRO],DADOS!$N$6,tabela_registros[TIPO],DADOS!$AJ$4,tabela_registros[CATEGORIA],reservavariáveisconsolidadomai[[#This Row],[ATUAL]])</f>
        <v>0</v>
      </c>
      <c r="AH189" s="119" t="n">
        <f aca="false">SUMIFS(tabela_registros[VALOR],tabela_registros[MÊS],$AE$1,tabela_registros[DIA],reservavariáveisconsolidadomai[[#Headers],[30]],tabela_registros[REGISTRO],DADOS!$N$6,tabela_registros[TIPO],DADOS!$AJ$4,tabela_registros[CATEGORIA],reservavariáveisconsolidadomai[[#This Row],[ATUAL]])</f>
        <v>0</v>
      </c>
      <c r="AI189" s="217" t="n">
        <f aca="false">SUMIFS(tabela_registros[VALOR],tabela_registros[MÊS],$AE$1,tabela_registros[DIA],reservavariáveisconsolidadomai[[#Headers],[31]],tabela_registros[REGISTRO],DADOS!$N$6,tabela_registros[TIPO],DADOS!$AJ$4,tabela_registros[CATEGORIA],reservavariáveisconsolidadomai[[#This Row],[ATUAL]])</f>
        <v>0</v>
      </c>
      <c r="AJ189" s="149" t="n">
        <f aca="false">SUM(reservavariáveisconsolidadomai[[#This Row],[1]:[31]])</f>
        <v>0</v>
      </c>
      <c r="AK189" s="165"/>
    </row>
    <row r="190" customFormat="false" ht="19.5" hidden="false" customHeight="true" outlineLevel="0" collapsed="false">
      <c r="B190" s="143"/>
      <c r="C190" s="144" t="str">
        <f aca="false">DADOS!$AN$6</f>
        <v>📝 CONTRATO DE OPÇÕES</v>
      </c>
      <c r="D190" s="145" t="str">
        <f aca="false">IF(reservavariáveisconsolidadomai[[#This Row],[TOTAL (R$)]]=0,"",IF(OR(reservavariáveisconsolidadomai[[#This Row],[TOTAL (R$)]]=LARGE($AJ$187:$AJ$196,1),reservavariáveisconsolidadomai[[#This Row],[TOTAL (R$)]]=LARGE($AJ$187:$AJ$196,2)),DADOS!$I$11,""))</f>
        <v/>
      </c>
      <c r="E190" s="148" t="n">
        <f aca="false">SUMIFS(tabela_registros[VALOR],tabela_registros[MÊS],$AE$1,tabela_registros[DIA],reservavariáveisconsolidadomai[[#Headers],[1]],tabela_registros[REGISTRO],DADOS!$N$6,tabela_registros[TIPO],DADOS!$AJ$4,tabela_registros[CATEGORIA],reservavariáveisconsolidadomai[[#This Row],[ATUAL]])</f>
        <v>0</v>
      </c>
      <c r="F190" s="119" t="n">
        <f aca="false">SUMIFS(tabela_registros[VALOR],tabela_registros[MÊS],$AE$1,tabela_registros[DIA],reservavariáveisconsolidadomai[[#Headers],[2]],tabela_registros[REGISTRO],DADOS!$N$6,tabela_registros[TIPO],DADOS!$AJ$4,tabela_registros[CATEGORIA],reservavariáveisconsolidadomai[[#This Row],[ATUAL]])</f>
        <v>0</v>
      </c>
      <c r="G190" s="119" t="n">
        <f aca="false">SUMIFS(tabela_registros[VALOR],tabela_registros[MÊS],$AE$1,tabela_registros[DIA],reservavariáveisconsolidadomai[[#Headers],[3]],tabela_registros[REGISTRO],DADOS!$N$6,tabela_registros[TIPO],DADOS!$AJ$4,tabela_registros[CATEGORIA],reservavariáveisconsolidadomai[[#This Row],[ATUAL]])</f>
        <v>0</v>
      </c>
      <c r="H190" s="119" t="n">
        <f aca="false">SUMIFS(tabela_registros[VALOR],tabela_registros[MÊS],$AE$1,tabela_registros[DIA],reservavariáveisconsolidadomai[[#Headers],[4]],tabela_registros[REGISTRO],DADOS!$N$6,tabela_registros[TIPO],DADOS!$AJ$4,tabela_registros[CATEGORIA],reservavariáveisconsolidadomai[[#This Row],[ATUAL]])</f>
        <v>0</v>
      </c>
      <c r="I190" s="119" t="n">
        <f aca="false">SUMIFS(tabela_registros[VALOR],tabela_registros[MÊS],$AE$1,tabela_registros[DIA],reservavariáveisconsolidadomai[[#Headers],[5]],tabela_registros[REGISTRO],DADOS!$N$6,tabela_registros[TIPO],DADOS!$AJ$4,tabela_registros[CATEGORIA],reservavariáveisconsolidadomai[[#This Row],[ATUAL]])</f>
        <v>0</v>
      </c>
      <c r="J190" s="119" t="n">
        <f aca="false">SUMIFS(tabela_registros[VALOR],tabela_registros[MÊS],$AE$1,tabela_registros[DIA],reservavariáveisconsolidadomai[[#Headers],[6]],tabela_registros[REGISTRO],DADOS!$N$6,tabela_registros[TIPO],DADOS!$AJ$4,tabela_registros[CATEGORIA],reservavariáveisconsolidadomai[[#This Row],[ATUAL]])</f>
        <v>0</v>
      </c>
      <c r="K190" s="119" t="n">
        <f aca="false">SUMIFS(tabela_registros[VALOR],tabela_registros[MÊS],$AE$1,tabela_registros[DIA],reservavariáveisconsolidadomai[[#Headers],[7]],tabela_registros[REGISTRO],DADOS!$N$6,tabela_registros[TIPO],DADOS!$AJ$4,tabela_registros[CATEGORIA],reservavariáveisconsolidadomai[[#This Row],[ATUAL]])</f>
        <v>0</v>
      </c>
      <c r="L190" s="119" t="n">
        <f aca="false">SUMIFS(tabela_registros[VALOR],tabela_registros[MÊS],$AE$1,tabela_registros[DIA],reservavariáveisconsolidadomai[[#Headers],[8]],tabela_registros[REGISTRO],DADOS!$N$6,tabela_registros[TIPO],DADOS!$AJ$4,tabela_registros[CATEGORIA],reservavariáveisconsolidadomai[[#This Row],[ATUAL]])</f>
        <v>0</v>
      </c>
      <c r="M190" s="119" t="n">
        <f aca="false">SUMIFS(tabela_registros[VALOR],tabela_registros[MÊS],$AE$1,tabela_registros[DIA],reservavariáveisconsolidadomai[[#Headers],[9]],tabela_registros[REGISTRO],DADOS!$N$6,tabela_registros[TIPO],DADOS!$AJ$4,tabela_registros[CATEGORIA],reservavariáveisconsolidadomai[[#This Row],[ATUAL]])</f>
        <v>0</v>
      </c>
      <c r="N190" s="119" t="n">
        <f aca="false">SUMIFS(tabela_registros[VALOR],tabela_registros[MÊS],$AE$1,tabela_registros[DIA],reservavariáveisconsolidadomai[[#Headers],[10]],tabela_registros[REGISTRO],DADOS!$N$6,tabela_registros[TIPO],DADOS!$AJ$4,tabela_registros[CATEGORIA],reservavariáveisconsolidadomai[[#This Row],[ATUAL]])</f>
        <v>0</v>
      </c>
      <c r="O190" s="119" t="n">
        <f aca="false">SUMIFS(tabela_registros[VALOR],tabela_registros[MÊS],$AE$1,tabela_registros[DIA],reservavariáveisconsolidadomai[[#Headers],[11]],tabela_registros[REGISTRO],DADOS!$N$6,tabela_registros[TIPO],DADOS!$AJ$4,tabela_registros[CATEGORIA],reservavariáveisconsolidadomai[[#This Row],[ATUAL]])</f>
        <v>0</v>
      </c>
      <c r="P190" s="119" t="n">
        <f aca="false">SUMIFS(tabela_registros[VALOR],tabela_registros[MÊS],$AE$1,tabela_registros[DIA],reservavariáveisconsolidadomai[[#Headers],[12]],tabela_registros[REGISTRO],DADOS!$N$6,tabela_registros[TIPO],DADOS!$AJ$4,tabela_registros[CATEGORIA],reservavariáveisconsolidadomai[[#This Row],[ATUAL]])</f>
        <v>0</v>
      </c>
      <c r="Q190" s="119" t="n">
        <f aca="false">SUMIFS(tabela_registros[VALOR],tabela_registros[MÊS],$AE$1,tabela_registros[DIA],reservavariáveisconsolidadomai[[#Headers],[13]],tabela_registros[REGISTRO],DADOS!$N$6,tabela_registros[TIPO],DADOS!$AJ$4,tabela_registros[CATEGORIA],reservavariáveisconsolidadomai[[#This Row],[ATUAL]])</f>
        <v>0</v>
      </c>
      <c r="R190" s="119" t="n">
        <f aca="false">SUMIFS(tabela_registros[VALOR],tabela_registros[MÊS],$AE$1,tabela_registros[DIA],reservavariáveisconsolidadomai[[#Headers],[14]],tabela_registros[REGISTRO],DADOS!$N$6,tabela_registros[TIPO],DADOS!$AJ$4,tabela_registros[CATEGORIA],reservavariáveisconsolidadomai[[#This Row],[ATUAL]])</f>
        <v>0</v>
      </c>
      <c r="S190" s="119" t="n">
        <f aca="false">SUMIFS(tabela_registros[VALOR],tabela_registros[MÊS],$AE$1,tabela_registros[DIA],reservavariáveisconsolidadomai[[#Headers],[15]],tabela_registros[REGISTRO],DADOS!$N$6,tabela_registros[TIPO],DADOS!$AJ$4,tabela_registros[CATEGORIA],reservavariáveisconsolidadomai[[#This Row],[ATUAL]])</f>
        <v>0</v>
      </c>
      <c r="T190" s="119" t="n">
        <f aca="false">SUMIFS(tabela_registros[VALOR],tabela_registros[MÊS],$AE$1,tabela_registros[DIA],reservavariáveisconsolidadomai[[#Headers],[16]],tabela_registros[REGISTRO],DADOS!$N$6,tabela_registros[TIPO],DADOS!$AJ$4,tabela_registros[CATEGORIA],reservavariáveisconsolidadomai[[#This Row],[ATUAL]])</f>
        <v>0</v>
      </c>
      <c r="U190" s="119" t="n">
        <f aca="false">SUMIFS(tabela_registros[VALOR],tabela_registros[MÊS],$AE$1,tabela_registros[DIA],reservavariáveisconsolidadomai[[#Headers],[17]],tabela_registros[REGISTRO],DADOS!$N$6,tabela_registros[TIPO],DADOS!$AJ$4,tabela_registros[CATEGORIA],reservavariáveisconsolidadomai[[#This Row],[ATUAL]])</f>
        <v>0</v>
      </c>
      <c r="V190" s="119" t="n">
        <f aca="false">SUMIFS(tabela_registros[VALOR],tabela_registros[MÊS],$AE$1,tabela_registros[DIA],reservavariáveisconsolidadomai[[#Headers],[18]],tabela_registros[REGISTRO],DADOS!$N$6,tabela_registros[TIPO],DADOS!$AJ$4,tabela_registros[CATEGORIA],reservavariáveisconsolidadomai[[#This Row],[ATUAL]])</f>
        <v>0</v>
      </c>
      <c r="W190" s="119" t="n">
        <f aca="false">SUMIFS(tabela_registros[VALOR],tabela_registros[MÊS],$AE$1,tabela_registros[DIA],reservavariáveisconsolidadomai[[#Headers],[19]],tabela_registros[REGISTRO],DADOS!$N$6,tabela_registros[TIPO],DADOS!$AJ$4,tabela_registros[CATEGORIA],reservavariáveisconsolidadomai[[#This Row],[ATUAL]])</f>
        <v>0</v>
      </c>
      <c r="X190" s="119" t="n">
        <f aca="false">SUMIFS(tabela_registros[VALOR],tabela_registros[MÊS],$AE$1,tabela_registros[DIA],reservavariáveisconsolidadomai[[#Headers],[20]],tabela_registros[REGISTRO],DADOS!$N$6,tabela_registros[TIPO],DADOS!$AJ$4,tabela_registros[CATEGORIA],reservavariáveisconsolidadomai[[#This Row],[ATUAL]])</f>
        <v>0</v>
      </c>
      <c r="Y190" s="119" t="n">
        <f aca="false">SUMIFS(tabela_registros[VALOR],tabela_registros[MÊS],$AE$1,tabela_registros[DIA],reservavariáveisconsolidadomai[[#Headers],[21]],tabela_registros[REGISTRO],DADOS!$N$6,tabela_registros[TIPO],DADOS!$AJ$4,tabela_registros[CATEGORIA],reservavariáveisconsolidadomai[[#This Row],[ATUAL]])</f>
        <v>0</v>
      </c>
      <c r="Z190" s="119" t="n">
        <f aca="false">SUMIFS(tabela_registros[VALOR],tabela_registros[MÊS],$AE$1,tabela_registros[DIA],reservavariáveisconsolidadomai[[#Headers],[22]],tabela_registros[REGISTRO],DADOS!$N$6,tabela_registros[TIPO],DADOS!$AJ$4,tabela_registros[CATEGORIA],reservavariáveisconsolidadomai[[#This Row],[ATUAL]])</f>
        <v>0</v>
      </c>
      <c r="AA190" s="119" t="n">
        <f aca="false">SUMIFS(tabela_registros[VALOR],tabela_registros[MÊS],$AE$1,tabela_registros[DIA],reservavariáveisconsolidadomai[[#Headers],[23]],tabela_registros[REGISTRO],DADOS!$N$6,tabela_registros[TIPO],DADOS!$AJ$4,tabela_registros[CATEGORIA],reservavariáveisconsolidadomai[[#This Row],[ATUAL]])</f>
        <v>0</v>
      </c>
      <c r="AB190" s="119" t="n">
        <f aca="false">SUMIFS(tabela_registros[VALOR],tabela_registros[MÊS],$AE$1,tabela_registros[DIA],reservavariáveisconsolidadomai[[#Headers],[24]],tabela_registros[REGISTRO],DADOS!$N$6,tabela_registros[TIPO],DADOS!$AJ$4,tabela_registros[CATEGORIA],reservavariáveisconsolidadomai[[#This Row],[ATUAL]])</f>
        <v>0</v>
      </c>
      <c r="AC190" s="119" t="n">
        <f aca="false">SUMIFS(tabela_registros[VALOR],tabela_registros[MÊS],$AE$1,tabela_registros[DIA],reservavariáveisconsolidadomai[[#Headers],[25]],tabela_registros[REGISTRO],DADOS!$N$6,tabela_registros[TIPO],DADOS!$AJ$4,tabela_registros[CATEGORIA],reservavariáveisconsolidadomai[[#This Row],[ATUAL]])</f>
        <v>0</v>
      </c>
      <c r="AD190" s="119" t="n">
        <f aca="false">SUMIFS(tabela_registros[VALOR],tabela_registros[MÊS],$AE$1,tabela_registros[DIA],reservavariáveisconsolidadomai[[#Headers],[26]],tabela_registros[REGISTRO],DADOS!$N$6,tabela_registros[TIPO],DADOS!$AJ$4,tabela_registros[CATEGORIA],reservavariáveisconsolidadomai[[#This Row],[ATUAL]])</f>
        <v>0</v>
      </c>
      <c r="AE190" s="119" t="n">
        <f aca="false">SUMIFS(tabela_registros[VALOR],tabela_registros[MÊS],$AE$1,tabela_registros[DIA],reservavariáveisconsolidadomai[[#Headers],[27]],tabela_registros[REGISTRO],DADOS!$N$6,tabela_registros[TIPO],DADOS!$AJ$4,tabela_registros[CATEGORIA],reservavariáveisconsolidadomai[[#This Row],[ATUAL]])</f>
        <v>0</v>
      </c>
      <c r="AF190" s="119" t="n">
        <f aca="false">SUMIFS(tabela_registros[VALOR],tabela_registros[MÊS],$AE$1,tabela_registros[DIA],reservavariáveisconsolidadomai[[#Headers],[28]],tabela_registros[REGISTRO],DADOS!$N$6,tabela_registros[TIPO],DADOS!$AJ$4,tabela_registros[CATEGORIA],reservavariáveisconsolidadomai[[#This Row],[ATUAL]])</f>
        <v>0</v>
      </c>
      <c r="AG190" s="119" t="n">
        <f aca="false">SUMIFS(tabela_registros[VALOR],tabela_registros[MÊS],$AE$1,tabela_registros[DIA],reservavariáveisconsolidadomai[[#Headers],[29]],tabela_registros[REGISTRO],DADOS!$N$6,tabela_registros[TIPO],DADOS!$AJ$4,tabela_registros[CATEGORIA],reservavariáveisconsolidadomai[[#This Row],[ATUAL]])</f>
        <v>0</v>
      </c>
      <c r="AH190" s="119" t="n">
        <f aca="false">SUMIFS(tabela_registros[VALOR],tabela_registros[MÊS],$AE$1,tabela_registros[DIA],reservavariáveisconsolidadomai[[#Headers],[30]],tabela_registros[REGISTRO],DADOS!$N$6,tabela_registros[TIPO],DADOS!$AJ$4,tabela_registros[CATEGORIA],reservavariáveisconsolidadomai[[#This Row],[ATUAL]])</f>
        <v>0</v>
      </c>
      <c r="AI190" s="217" t="n">
        <f aca="false">SUMIFS(tabela_registros[VALOR],tabela_registros[MÊS],$AE$1,tabela_registros[DIA],reservavariáveisconsolidadomai[[#Headers],[31]],tabela_registros[REGISTRO],DADOS!$N$6,tabela_registros[TIPO],DADOS!$AJ$4,tabela_registros[CATEGORIA],reservavariáveisconsolidadomai[[#This Row],[ATUAL]])</f>
        <v>0</v>
      </c>
      <c r="AJ190" s="149" t="n">
        <f aca="false">SUM(reservavariáveisconsolidadomai[[#This Row],[1]:[31]])</f>
        <v>0</v>
      </c>
      <c r="AK190" s="165"/>
    </row>
    <row r="191" customFormat="false" ht="19.5" hidden="false" customHeight="true" outlineLevel="0" collapsed="false">
      <c r="B191" s="143"/>
      <c r="C191" s="144" t="str">
        <f aca="false">DADOS!$AN$7</f>
        <v>📝 CRIPTOMOEDA</v>
      </c>
      <c r="D191" s="145" t="str">
        <f aca="false">IF(reservavariáveisconsolidadomai[[#This Row],[TOTAL (R$)]]=0,"",IF(OR(reservavariáveisconsolidadomai[[#This Row],[TOTAL (R$)]]=LARGE($AJ$187:$AJ$196,1),reservavariáveisconsolidadomai[[#This Row],[TOTAL (R$)]]=LARGE($AJ$187:$AJ$196,2)),DADOS!$I$11,""))</f>
        <v/>
      </c>
      <c r="E191" s="148" t="n">
        <f aca="false">SUMIFS(tabela_registros[VALOR],tabela_registros[MÊS],$AE$1,tabela_registros[DIA],reservavariáveisconsolidadomai[[#Headers],[1]],tabela_registros[REGISTRO],DADOS!$N$6,tabela_registros[TIPO],DADOS!$AJ$4,tabela_registros[CATEGORIA],reservavariáveisconsolidadomai[[#This Row],[ATUAL]])</f>
        <v>0</v>
      </c>
      <c r="F191" s="119" t="n">
        <f aca="false">SUMIFS(tabela_registros[VALOR],tabela_registros[MÊS],$AE$1,tabela_registros[DIA],reservavariáveisconsolidadomai[[#Headers],[2]],tabela_registros[REGISTRO],DADOS!$N$6,tabela_registros[TIPO],DADOS!$AJ$4,tabela_registros[CATEGORIA],reservavariáveisconsolidadomai[[#This Row],[ATUAL]])</f>
        <v>0</v>
      </c>
      <c r="G191" s="119" t="n">
        <f aca="false">SUMIFS(tabela_registros[VALOR],tabela_registros[MÊS],$AE$1,tabela_registros[DIA],reservavariáveisconsolidadomai[[#Headers],[3]],tabela_registros[REGISTRO],DADOS!$N$6,tabela_registros[TIPO],DADOS!$AJ$4,tabela_registros[CATEGORIA],reservavariáveisconsolidadomai[[#This Row],[ATUAL]])</f>
        <v>0</v>
      </c>
      <c r="H191" s="119" t="n">
        <f aca="false">SUMIFS(tabela_registros[VALOR],tabela_registros[MÊS],$AE$1,tabela_registros[DIA],reservavariáveisconsolidadomai[[#Headers],[4]],tabela_registros[REGISTRO],DADOS!$N$6,tabela_registros[TIPO],DADOS!$AJ$4,tabela_registros[CATEGORIA],reservavariáveisconsolidadomai[[#This Row],[ATUAL]])</f>
        <v>0</v>
      </c>
      <c r="I191" s="119" t="n">
        <f aca="false">SUMIFS(tabela_registros[VALOR],tabela_registros[MÊS],$AE$1,tabela_registros[DIA],reservavariáveisconsolidadomai[[#Headers],[5]],tabela_registros[REGISTRO],DADOS!$N$6,tabela_registros[TIPO],DADOS!$AJ$4,tabela_registros[CATEGORIA],reservavariáveisconsolidadomai[[#This Row],[ATUAL]])</f>
        <v>0</v>
      </c>
      <c r="J191" s="119" t="n">
        <f aca="false">SUMIFS(tabela_registros[VALOR],tabela_registros[MÊS],$AE$1,tabela_registros[DIA],reservavariáveisconsolidadomai[[#Headers],[6]],tabela_registros[REGISTRO],DADOS!$N$6,tabela_registros[TIPO],DADOS!$AJ$4,tabela_registros[CATEGORIA],reservavariáveisconsolidadomai[[#This Row],[ATUAL]])</f>
        <v>0</v>
      </c>
      <c r="K191" s="119" t="n">
        <f aca="false">SUMIFS(tabela_registros[VALOR],tabela_registros[MÊS],$AE$1,tabela_registros[DIA],reservavariáveisconsolidadomai[[#Headers],[7]],tabela_registros[REGISTRO],DADOS!$N$6,tabela_registros[TIPO],DADOS!$AJ$4,tabela_registros[CATEGORIA],reservavariáveisconsolidadomai[[#This Row],[ATUAL]])</f>
        <v>0</v>
      </c>
      <c r="L191" s="119" t="n">
        <f aca="false">SUMIFS(tabela_registros[VALOR],tabela_registros[MÊS],$AE$1,tabela_registros[DIA],reservavariáveisconsolidadomai[[#Headers],[8]],tabela_registros[REGISTRO],DADOS!$N$6,tabela_registros[TIPO],DADOS!$AJ$4,tabela_registros[CATEGORIA],reservavariáveisconsolidadomai[[#This Row],[ATUAL]])</f>
        <v>0</v>
      </c>
      <c r="M191" s="119" t="n">
        <f aca="false">SUMIFS(tabela_registros[VALOR],tabela_registros[MÊS],$AE$1,tabela_registros[DIA],reservavariáveisconsolidadomai[[#Headers],[9]],tabela_registros[REGISTRO],DADOS!$N$6,tabela_registros[TIPO],DADOS!$AJ$4,tabela_registros[CATEGORIA],reservavariáveisconsolidadomai[[#This Row],[ATUAL]])</f>
        <v>0</v>
      </c>
      <c r="N191" s="119" t="n">
        <f aca="false">SUMIFS(tabela_registros[VALOR],tabela_registros[MÊS],$AE$1,tabela_registros[DIA],reservavariáveisconsolidadomai[[#Headers],[10]],tabela_registros[REGISTRO],DADOS!$N$6,tabela_registros[TIPO],DADOS!$AJ$4,tabela_registros[CATEGORIA],reservavariáveisconsolidadomai[[#This Row],[ATUAL]])</f>
        <v>0</v>
      </c>
      <c r="O191" s="119" t="n">
        <f aca="false">SUMIFS(tabela_registros[VALOR],tabela_registros[MÊS],$AE$1,tabela_registros[DIA],reservavariáveisconsolidadomai[[#Headers],[11]],tabela_registros[REGISTRO],DADOS!$N$6,tabela_registros[TIPO],DADOS!$AJ$4,tabela_registros[CATEGORIA],reservavariáveisconsolidadomai[[#This Row],[ATUAL]])</f>
        <v>0</v>
      </c>
      <c r="P191" s="119" t="n">
        <f aca="false">SUMIFS(tabela_registros[VALOR],tabela_registros[MÊS],$AE$1,tabela_registros[DIA],reservavariáveisconsolidadomai[[#Headers],[12]],tabela_registros[REGISTRO],DADOS!$N$6,tabela_registros[TIPO],DADOS!$AJ$4,tabela_registros[CATEGORIA],reservavariáveisconsolidadomai[[#This Row],[ATUAL]])</f>
        <v>0</v>
      </c>
      <c r="Q191" s="119" t="n">
        <f aca="false">SUMIFS(tabela_registros[VALOR],tabela_registros[MÊS],$AE$1,tabela_registros[DIA],reservavariáveisconsolidadomai[[#Headers],[13]],tabela_registros[REGISTRO],DADOS!$N$6,tabela_registros[TIPO],DADOS!$AJ$4,tabela_registros[CATEGORIA],reservavariáveisconsolidadomai[[#This Row],[ATUAL]])</f>
        <v>0</v>
      </c>
      <c r="R191" s="119" t="n">
        <f aca="false">SUMIFS(tabela_registros[VALOR],tabela_registros[MÊS],$AE$1,tabela_registros[DIA],reservavariáveisconsolidadomai[[#Headers],[14]],tabela_registros[REGISTRO],DADOS!$N$6,tabela_registros[TIPO],DADOS!$AJ$4,tabela_registros[CATEGORIA],reservavariáveisconsolidadomai[[#This Row],[ATUAL]])</f>
        <v>0</v>
      </c>
      <c r="S191" s="119" t="n">
        <f aca="false">SUMIFS(tabela_registros[VALOR],tabela_registros[MÊS],$AE$1,tabela_registros[DIA],reservavariáveisconsolidadomai[[#Headers],[15]],tabela_registros[REGISTRO],DADOS!$N$6,tabela_registros[TIPO],DADOS!$AJ$4,tabela_registros[CATEGORIA],reservavariáveisconsolidadomai[[#This Row],[ATUAL]])</f>
        <v>0</v>
      </c>
      <c r="T191" s="119" t="n">
        <f aca="false">SUMIFS(tabela_registros[VALOR],tabela_registros[MÊS],$AE$1,tabela_registros[DIA],reservavariáveisconsolidadomai[[#Headers],[16]],tabela_registros[REGISTRO],DADOS!$N$6,tabela_registros[TIPO],DADOS!$AJ$4,tabela_registros[CATEGORIA],reservavariáveisconsolidadomai[[#This Row],[ATUAL]])</f>
        <v>0</v>
      </c>
      <c r="U191" s="119" t="n">
        <f aca="false">SUMIFS(tabela_registros[VALOR],tabela_registros[MÊS],$AE$1,tabela_registros[DIA],reservavariáveisconsolidadomai[[#Headers],[17]],tabela_registros[REGISTRO],DADOS!$N$6,tabela_registros[TIPO],DADOS!$AJ$4,tabela_registros[CATEGORIA],reservavariáveisconsolidadomai[[#This Row],[ATUAL]])</f>
        <v>0</v>
      </c>
      <c r="V191" s="119" t="n">
        <f aca="false">SUMIFS(tabela_registros[VALOR],tabela_registros[MÊS],$AE$1,tabela_registros[DIA],reservavariáveisconsolidadomai[[#Headers],[18]],tabela_registros[REGISTRO],DADOS!$N$6,tabela_registros[TIPO],DADOS!$AJ$4,tabela_registros[CATEGORIA],reservavariáveisconsolidadomai[[#This Row],[ATUAL]])</f>
        <v>0</v>
      </c>
      <c r="W191" s="119" t="n">
        <f aca="false">SUMIFS(tabela_registros[VALOR],tabela_registros[MÊS],$AE$1,tabela_registros[DIA],reservavariáveisconsolidadomai[[#Headers],[19]],tabela_registros[REGISTRO],DADOS!$N$6,tabela_registros[TIPO],DADOS!$AJ$4,tabela_registros[CATEGORIA],reservavariáveisconsolidadomai[[#This Row],[ATUAL]])</f>
        <v>0</v>
      </c>
      <c r="X191" s="119" t="n">
        <f aca="false">SUMIFS(tabela_registros[VALOR],tabela_registros[MÊS],$AE$1,tabela_registros[DIA],reservavariáveisconsolidadomai[[#Headers],[20]],tabela_registros[REGISTRO],DADOS!$N$6,tabela_registros[TIPO],DADOS!$AJ$4,tabela_registros[CATEGORIA],reservavariáveisconsolidadomai[[#This Row],[ATUAL]])</f>
        <v>0</v>
      </c>
      <c r="Y191" s="119" t="n">
        <f aca="false">SUMIFS(tabela_registros[VALOR],tabela_registros[MÊS],$AE$1,tabela_registros[DIA],reservavariáveisconsolidadomai[[#Headers],[21]],tabela_registros[REGISTRO],DADOS!$N$6,tabela_registros[TIPO],DADOS!$AJ$4,tabela_registros[CATEGORIA],reservavariáveisconsolidadomai[[#This Row],[ATUAL]])</f>
        <v>0</v>
      </c>
      <c r="Z191" s="119" t="n">
        <f aca="false">SUMIFS(tabela_registros[VALOR],tabela_registros[MÊS],$AE$1,tabela_registros[DIA],reservavariáveisconsolidadomai[[#Headers],[22]],tabela_registros[REGISTRO],DADOS!$N$6,tabela_registros[TIPO],DADOS!$AJ$4,tabela_registros[CATEGORIA],reservavariáveisconsolidadomai[[#This Row],[ATUAL]])</f>
        <v>0</v>
      </c>
      <c r="AA191" s="119" t="n">
        <f aca="false">SUMIFS(tabela_registros[VALOR],tabela_registros[MÊS],$AE$1,tabela_registros[DIA],reservavariáveisconsolidadomai[[#Headers],[23]],tabela_registros[REGISTRO],DADOS!$N$6,tabela_registros[TIPO],DADOS!$AJ$4,tabela_registros[CATEGORIA],reservavariáveisconsolidadomai[[#This Row],[ATUAL]])</f>
        <v>0</v>
      </c>
      <c r="AB191" s="119" t="n">
        <f aca="false">SUMIFS(tabela_registros[VALOR],tabela_registros[MÊS],$AE$1,tabela_registros[DIA],reservavariáveisconsolidadomai[[#Headers],[24]],tabela_registros[REGISTRO],DADOS!$N$6,tabela_registros[TIPO],DADOS!$AJ$4,tabela_registros[CATEGORIA],reservavariáveisconsolidadomai[[#This Row],[ATUAL]])</f>
        <v>0</v>
      </c>
      <c r="AC191" s="119" t="n">
        <f aca="false">SUMIFS(tabela_registros[VALOR],tabela_registros[MÊS],$AE$1,tabela_registros[DIA],reservavariáveisconsolidadomai[[#Headers],[25]],tabela_registros[REGISTRO],DADOS!$N$6,tabela_registros[TIPO],DADOS!$AJ$4,tabela_registros[CATEGORIA],reservavariáveisconsolidadomai[[#This Row],[ATUAL]])</f>
        <v>0</v>
      </c>
      <c r="AD191" s="119" t="n">
        <f aca="false">SUMIFS(tabela_registros[VALOR],tabela_registros[MÊS],$AE$1,tabela_registros[DIA],reservavariáveisconsolidadomai[[#Headers],[26]],tabela_registros[REGISTRO],DADOS!$N$6,tabela_registros[TIPO],DADOS!$AJ$4,tabela_registros[CATEGORIA],reservavariáveisconsolidadomai[[#This Row],[ATUAL]])</f>
        <v>0</v>
      </c>
      <c r="AE191" s="119" t="n">
        <f aca="false">SUMIFS(tabela_registros[VALOR],tabela_registros[MÊS],$AE$1,tabela_registros[DIA],reservavariáveisconsolidadomai[[#Headers],[27]],tabela_registros[REGISTRO],DADOS!$N$6,tabela_registros[TIPO],DADOS!$AJ$4,tabela_registros[CATEGORIA],reservavariáveisconsolidadomai[[#This Row],[ATUAL]])</f>
        <v>0</v>
      </c>
      <c r="AF191" s="119" t="n">
        <f aca="false">SUMIFS(tabela_registros[VALOR],tabela_registros[MÊS],$AE$1,tabela_registros[DIA],reservavariáveisconsolidadomai[[#Headers],[28]],tabela_registros[REGISTRO],DADOS!$N$6,tabela_registros[TIPO],DADOS!$AJ$4,tabela_registros[CATEGORIA],reservavariáveisconsolidadomai[[#This Row],[ATUAL]])</f>
        <v>0</v>
      </c>
      <c r="AG191" s="119" t="n">
        <f aca="false">SUMIFS(tabela_registros[VALOR],tabela_registros[MÊS],$AE$1,tabela_registros[DIA],reservavariáveisconsolidadomai[[#Headers],[29]],tabela_registros[REGISTRO],DADOS!$N$6,tabela_registros[TIPO],DADOS!$AJ$4,tabela_registros[CATEGORIA],reservavariáveisconsolidadomai[[#This Row],[ATUAL]])</f>
        <v>0</v>
      </c>
      <c r="AH191" s="119" t="n">
        <f aca="false">SUMIFS(tabela_registros[VALOR],tabela_registros[MÊS],$AE$1,tabela_registros[DIA],reservavariáveisconsolidadomai[[#Headers],[30]],tabela_registros[REGISTRO],DADOS!$N$6,tabela_registros[TIPO],DADOS!$AJ$4,tabela_registros[CATEGORIA],reservavariáveisconsolidadomai[[#This Row],[ATUAL]])</f>
        <v>0</v>
      </c>
      <c r="AI191" s="217" t="n">
        <f aca="false">SUMIFS(tabela_registros[VALOR],tabela_registros[MÊS],$AE$1,tabela_registros[DIA],reservavariáveisconsolidadomai[[#Headers],[31]],tabela_registros[REGISTRO],DADOS!$N$6,tabela_registros[TIPO],DADOS!$AJ$4,tabela_registros[CATEGORIA],reservavariáveisconsolidadomai[[#This Row],[ATUAL]])</f>
        <v>0</v>
      </c>
      <c r="AJ191" s="149" t="n">
        <f aca="false">SUM(reservavariáveisconsolidadomai[[#This Row],[1]:[31]])</f>
        <v>0</v>
      </c>
      <c r="AK191" s="165"/>
    </row>
    <row r="192" customFormat="false" ht="19.5" hidden="false" customHeight="true" outlineLevel="0" collapsed="false">
      <c r="B192" s="143"/>
      <c r="C192" s="144" t="str">
        <f aca="false">DADOS!$AN$8</f>
        <v>📝 ETF</v>
      </c>
      <c r="D192" s="145" t="str">
        <f aca="false">IF(reservavariáveisconsolidadomai[[#This Row],[TOTAL (R$)]]=0,"",IF(OR(reservavariáveisconsolidadomai[[#This Row],[TOTAL (R$)]]=LARGE($AJ$187:$AJ$196,1),reservavariáveisconsolidadomai[[#This Row],[TOTAL (R$)]]=LARGE($AJ$187:$AJ$196,2)),DADOS!$I$11,""))</f>
        <v/>
      </c>
      <c r="E192" s="148" t="n">
        <f aca="false">SUMIFS(tabela_registros[VALOR],tabela_registros[MÊS],$AE$1,tabela_registros[DIA],reservavariáveisconsolidadomai[[#Headers],[1]],tabela_registros[REGISTRO],DADOS!$N$6,tabela_registros[TIPO],DADOS!$AJ$4,tabela_registros[CATEGORIA],reservavariáveisconsolidadomai[[#This Row],[ATUAL]])</f>
        <v>0</v>
      </c>
      <c r="F192" s="119" t="n">
        <f aca="false">SUMIFS(tabela_registros[VALOR],tabela_registros[MÊS],$AE$1,tabela_registros[DIA],reservavariáveisconsolidadomai[[#Headers],[2]],tabela_registros[REGISTRO],DADOS!$N$6,tabela_registros[TIPO],DADOS!$AJ$4,tabela_registros[CATEGORIA],reservavariáveisconsolidadomai[[#This Row],[ATUAL]])</f>
        <v>0</v>
      </c>
      <c r="G192" s="119" t="n">
        <f aca="false">SUMIFS(tabela_registros[VALOR],tabela_registros[MÊS],$AE$1,tabela_registros[DIA],reservavariáveisconsolidadomai[[#Headers],[3]],tabela_registros[REGISTRO],DADOS!$N$6,tabela_registros[TIPO],DADOS!$AJ$4,tabela_registros[CATEGORIA],reservavariáveisconsolidadomai[[#This Row],[ATUAL]])</f>
        <v>0</v>
      </c>
      <c r="H192" s="119" t="n">
        <f aca="false">SUMIFS(tabela_registros[VALOR],tabela_registros[MÊS],$AE$1,tabela_registros[DIA],reservavariáveisconsolidadomai[[#Headers],[4]],tabela_registros[REGISTRO],DADOS!$N$6,tabela_registros[TIPO],DADOS!$AJ$4,tabela_registros[CATEGORIA],reservavariáveisconsolidadomai[[#This Row],[ATUAL]])</f>
        <v>0</v>
      </c>
      <c r="I192" s="119" t="n">
        <f aca="false">SUMIFS(tabela_registros[VALOR],tabela_registros[MÊS],$AE$1,tabela_registros[DIA],reservavariáveisconsolidadomai[[#Headers],[5]],tabela_registros[REGISTRO],DADOS!$N$6,tabela_registros[TIPO],DADOS!$AJ$4,tabela_registros[CATEGORIA],reservavariáveisconsolidadomai[[#This Row],[ATUAL]])</f>
        <v>0</v>
      </c>
      <c r="J192" s="119" t="n">
        <f aca="false">SUMIFS(tabela_registros[VALOR],tabela_registros[MÊS],$AE$1,tabela_registros[DIA],reservavariáveisconsolidadomai[[#Headers],[6]],tabela_registros[REGISTRO],DADOS!$N$6,tabela_registros[TIPO],DADOS!$AJ$4,tabela_registros[CATEGORIA],reservavariáveisconsolidadomai[[#This Row],[ATUAL]])</f>
        <v>0</v>
      </c>
      <c r="K192" s="119" t="n">
        <f aca="false">SUMIFS(tabela_registros[VALOR],tabela_registros[MÊS],$AE$1,tabela_registros[DIA],reservavariáveisconsolidadomai[[#Headers],[7]],tabela_registros[REGISTRO],DADOS!$N$6,tabela_registros[TIPO],DADOS!$AJ$4,tabela_registros[CATEGORIA],reservavariáveisconsolidadomai[[#This Row],[ATUAL]])</f>
        <v>0</v>
      </c>
      <c r="L192" s="119" t="n">
        <f aca="false">SUMIFS(tabela_registros[VALOR],tabela_registros[MÊS],$AE$1,tabela_registros[DIA],reservavariáveisconsolidadomai[[#Headers],[8]],tabela_registros[REGISTRO],DADOS!$N$6,tabela_registros[TIPO],DADOS!$AJ$4,tabela_registros[CATEGORIA],reservavariáveisconsolidadomai[[#This Row],[ATUAL]])</f>
        <v>0</v>
      </c>
      <c r="M192" s="119" t="n">
        <f aca="false">SUMIFS(tabela_registros[VALOR],tabela_registros[MÊS],$AE$1,tabela_registros[DIA],reservavariáveisconsolidadomai[[#Headers],[9]],tabela_registros[REGISTRO],DADOS!$N$6,tabela_registros[TIPO],DADOS!$AJ$4,tabela_registros[CATEGORIA],reservavariáveisconsolidadomai[[#This Row],[ATUAL]])</f>
        <v>0</v>
      </c>
      <c r="N192" s="119" t="n">
        <f aca="false">SUMIFS(tabela_registros[VALOR],tabela_registros[MÊS],$AE$1,tabela_registros[DIA],reservavariáveisconsolidadomai[[#Headers],[10]],tabela_registros[REGISTRO],DADOS!$N$6,tabela_registros[TIPO],DADOS!$AJ$4,tabela_registros[CATEGORIA],reservavariáveisconsolidadomai[[#This Row],[ATUAL]])</f>
        <v>0</v>
      </c>
      <c r="O192" s="119" t="n">
        <f aca="false">SUMIFS(tabela_registros[VALOR],tabela_registros[MÊS],$AE$1,tabela_registros[DIA],reservavariáveisconsolidadomai[[#Headers],[11]],tabela_registros[REGISTRO],DADOS!$N$6,tabela_registros[TIPO],DADOS!$AJ$4,tabela_registros[CATEGORIA],reservavariáveisconsolidadomai[[#This Row],[ATUAL]])</f>
        <v>0</v>
      </c>
      <c r="P192" s="119" t="n">
        <f aca="false">SUMIFS(tabela_registros[VALOR],tabela_registros[MÊS],$AE$1,tabela_registros[DIA],reservavariáveisconsolidadomai[[#Headers],[12]],tabela_registros[REGISTRO],DADOS!$N$6,tabela_registros[TIPO],DADOS!$AJ$4,tabela_registros[CATEGORIA],reservavariáveisconsolidadomai[[#This Row],[ATUAL]])</f>
        <v>0</v>
      </c>
      <c r="Q192" s="119" t="n">
        <f aca="false">SUMIFS(tabela_registros[VALOR],tabela_registros[MÊS],$AE$1,tabela_registros[DIA],reservavariáveisconsolidadomai[[#Headers],[13]],tabela_registros[REGISTRO],DADOS!$N$6,tabela_registros[TIPO],DADOS!$AJ$4,tabela_registros[CATEGORIA],reservavariáveisconsolidadomai[[#This Row],[ATUAL]])</f>
        <v>0</v>
      </c>
      <c r="R192" s="119" t="n">
        <f aca="false">SUMIFS(tabela_registros[VALOR],tabela_registros[MÊS],$AE$1,tabela_registros[DIA],reservavariáveisconsolidadomai[[#Headers],[14]],tabela_registros[REGISTRO],DADOS!$N$6,tabela_registros[TIPO],DADOS!$AJ$4,tabela_registros[CATEGORIA],reservavariáveisconsolidadomai[[#This Row],[ATUAL]])</f>
        <v>0</v>
      </c>
      <c r="S192" s="119" t="n">
        <f aca="false">SUMIFS(tabela_registros[VALOR],tabela_registros[MÊS],$AE$1,tabela_registros[DIA],reservavariáveisconsolidadomai[[#Headers],[15]],tabela_registros[REGISTRO],DADOS!$N$6,tabela_registros[TIPO],DADOS!$AJ$4,tabela_registros[CATEGORIA],reservavariáveisconsolidadomai[[#This Row],[ATUAL]])</f>
        <v>0</v>
      </c>
      <c r="T192" s="119" t="n">
        <f aca="false">SUMIFS(tabela_registros[VALOR],tabela_registros[MÊS],$AE$1,tabela_registros[DIA],reservavariáveisconsolidadomai[[#Headers],[16]],tabela_registros[REGISTRO],DADOS!$N$6,tabela_registros[TIPO],DADOS!$AJ$4,tabela_registros[CATEGORIA],reservavariáveisconsolidadomai[[#This Row],[ATUAL]])</f>
        <v>0</v>
      </c>
      <c r="U192" s="119" t="n">
        <f aca="false">SUMIFS(tabela_registros[VALOR],tabela_registros[MÊS],$AE$1,tabela_registros[DIA],reservavariáveisconsolidadomai[[#Headers],[17]],tabela_registros[REGISTRO],DADOS!$N$6,tabela_registros[TIPO],DADOS!$AJ$4,tabela_registros[CATEGORIA],reservavariáveisconsolidadomai[[#This Row],[ATUAL]])</f>
        <v>0</v>
      </c>
      <c r="V192" s="119" t="n">
        <f aca="false">SUMIFS(tabela_registros[VALOR],tabela_registros[MÊS],$AE$1,tabela_registros[DIA],reservavariáveisconsolidadomai[[#Headers],[18]],tabela_registros[REGISTRO],DADOS!$N$6,tabela_registros[TIPO],DADOS!$AJ$4,tabela_registros[CATEGORIA],reservavariáveisconsolidadomai[[#This Row],[ATUAL]])</f>
        <v>0</v>
      </c>
      <c r="W192" s="119" t="n">
        <f aca="false">SUMIFS(tabela_registros[VALOR],tabela_registros[MÊS],$AE$1,tabela_registros[DIA],reservavariáveisconsolidadomai[[#Headers],[19]],tabela_registros[REGISTRO],DADOS!$N$6,tabela_registros[TIPO],DADOS!$AJ$4,tabela_registros[CATEGORIA],reservavariáveisconsolidadomai[[#This Row],[ATUAL]])</f>
        <v>0</v>
      </c>
      <c r="X192" s="119" t="n">
        <f aca="false">SUMIFS(tabela_registros[VALOR],tabela_registros[MÊS],$AE$1,tabela_registros[DIA],reservavariáveisconsolidadomai[[#Headers],[20]],tabela_registros[REGISTRO],DADOS!$N$6,tabela_registros[TIPO],DADOS!$AJ$4,tabela_registros[CATEGORIA],reservavariáveisconsolidadomai[[#This Row],[ATUAL]])</f>
        <v>0</v>
      </c>
      <c r="Y192" s="119" t="n">
        <f aca="false">SUMIFS(tabela_registros[VALOR],tabela_registros[MÊS],$AE$1,tabela_registros[DIA],reservavariáveisconsolidadomai[[#Headers],[21]],tabela_registros[REGISTRO],DADOS!$N$6,tabela_registros[TIPO],DADOS!$AJ$4,tabela_registros[CATEGORIA],reservavariáveisconsolidadomai[[#This Row],[ATUAL]])</f>
        <v>0</v>
      </c>
      <c r="Z192" s="119" t="n">
        <f aca="false">SUMIFS(tabela_registros[VALOR],tabela_registros[MÊS],$AE$1,tabela_registros[DIA],reservavariáveisconsolidadomai[[#Headers],[22]],tabela_registros[REGISTRO],DADOS!$N$6,tabela_registros[TIPO],DADOS!$AJ$4,tabela_registros[CATEGORIA],reservavariáveisconsolidadomai[[#This Row],[ATUAL]])</f>
        <v>0</v>
      </c>
      <c r="AA192" s="119" t="n">
        <f aca="false">SUMIFS(tabela_registros[VALOR],tabela_registros[MÊS],$AE$1,tabela_registros[DIA],reservavariáveisconsolidadomai[[#Headers],[23]],tabela_registros[REGISTRO],DADOS!$N$6,tabela_registros[TIPO],DADOS!$AJ$4,tabela_registros[CATEGORIA],reservavariáveisconsolidadomai[[#This Row],[ATUAL]])</f>
        <v>0</v>
      </c>
      <c r="AB192" s="119" t="n">
        <f aca="false">SUMIFS(tabela_registros[VALOR],tabela_registros[MÊS],$AE$1,tabela_registros[DIA],reservavariáveisconsolidadomai[[#Headers],[24]],tabela_registros[REGISTRO],DADOS!$N$6,tabela_registros[TIPO],DADOS!$AJ$4,tabela_registros[CATEGORIA],reservavariáveisconsolidadomai[[#This Row],[ATUAL]])</f>
        <v>0</v>
      </c>
      <c r="AC192" s="119" t="n">
        <f aca="false">SUMIFS(tabela_registros[VALOR],tabela_registros[MÊS],$AE$1,tabela_registros[DIA],reservavariáveisconsolidadomai[[#Headers],[25]],tabela_registros[REGISTRO],DADOS!$N$6,tabela_registros[TIPO],DADOS!$AJ$4,tabela_registros[CATEGORIA],reservavariáveisconsolidadomai[[#This Row],[ATUAL]])</f>
        <v>0</v>
      </c>
      <c r="AD192" s="119" t="n">
        <f aca="false">SUMIFS(tabela_registros[VALOR],tabela_registros[MÊS],$AE$1,tabela_registros[DIA],reservavariáveisconsolidadomai[[#Headers],[26]],tabela_registros[REGISTRO],DADOS!$N$6,tabela_registros[TIPO],DADOS!$AJ$4,tabela_registros[CATEGORIA],reservavariáveisconsolidadomai[[#This Row],[ATUAL]])</f>
        <v>0</v>
      </c>
      <c r="AE192" s="119" t="n">
        <f aca="false">SUMIFS(tabela_registros[VALOR],tabela_registros[MÊS],$AE$1,tabela_registros[DIA],reservavariáveisconsolidadomai[[#Headers],[27]],tabela_registros[REGISTRO],DADOS!$N$6,tabela_registros[TIPO],DADOS!$AJ$4,tabela_registros[CATEGORIA],reservavariáveisconsolidadomai[[#This Row],[ATUAL]])</f>
        <v>0</v>
      </c>
      <c r="AF192" s="119" t="n">
        <f aca="false">SUMIFS(tabela_registros[VALOR],tabela_registros[MÊS],$AE$1,tabela_registros[DIA],reservavariáveisconsolidadomai[[#Headers],[28]],tabela_registros[REGISTRO],DADOS!$N$6,tabela_registros[TIPO],DADOS!$AJ$4,tabela_registros[CATEGORIA],reservavariáveisconsolidadomai[[#This Row],[ATUAL]])</f>
        <v>0</v>
      </c>
      <c r="AG192" s="119" t="n">
        <f aca="false">SUMIFS(tabela_registros[VALOR],tabela_registros[MÊS],$AE$1,tabela_registros[DIA],reservavariáveisconsolidadomai[[#Headers],[29]],tabela_registros[REGISTRO],DADOS!$N$6,tabela_registros[TIPO],DADOS!$AJ$4,tabela_registros[CATEGORIA],reservavariáveisconsolidadomai[[#This Row],[ATUAL]])</f>
        <v>0</v>
      </c>
      <c r="AH192" s="119" t="n">
        <f aca="false">SUMIFS(tabela_registros[VALOR],tabela_registros[MÊS],$AE$1,tabela_registros[DIA],reservavariáveisconsolidadomai[[#Headers],[30]],tabela_registros[REGISTRO],DADOS!$N$6,tabela_registros[TIPO],DADOS!$AJ$4,tabela_registros[CATEGORIA],reservavariáveisconsolidadomai[[#This Row],[ATUAL]])</f>
        <v>0</v>
      </c>
      <c r="AI192" s="217" t="n">
        <f aca="false">SUMIFS(tabela_registros[VALOR],tabela_registros[MÊS],$AE$1,tabela_registros[DIA],reservavariáveisconsolidadomai[[#Headers],[31]],tabela_registros[REGISTRO],DADOS!$N$6,tabela_registros[TIPO],DADOS!$AJ$4,tabela_registros[CATEGORIA],reservavariáveisconsolidadomai[[#This Row],[ATUAL]])</f>
        <v>0</v>
      </c>
      <c r="AJ192" s="149" t="n">
        <f aca="false">SUM(reservavariáveisconsolidadomai[[#This Row],[1]:[31]])</f>
        <v>0</v>
      </c>
      <c r="AK192" s="165"/>
    </row>
    <row r="193" customFormat="false" ht="19.5" hidden="false" customHeight="true" outlineLevel="0" collapsed="false">
      <c r="B193" s="143"/>
      <c r="C193" s="144" t="str">
        <f aca="false">DADOS!$AN$9</f>
        <v>📝 EXTERIOR</v>
      </c>
      <c r="D193" s="145" t="str">
        <f aca="false">IF(reservavariáveisconsolidadomai[[#This Row],[TOTAL (R$)]]=0,"",IF(OR(reservavariáveisconsolidadomai[[#This Row],[TOTAL (R$)]]=LARGE($AJ$187:$AJ$196,1),reservavariáveisconsolidadomai[[#This Row],[TOTAL (R$)]]=LARGE($AJ$187:$AJ$196,2)),DADOS!$I$11,""))</f>
        <v/>
      </c>
      <c r="E193" s="148" t="n">
        <f aca="false">SUMIFS(tabela_registros[VALOR],tabela_registros[MÊS],$AE$1,tabela_registros[DIA],reservavariáveisconsolidadomai[[#Headers],[1]],tabela_registros[REGISTRO],DADOS!$N$6,tabela_registros[TIPO],DADOS!$AJ$4,tabela_registros[CATEGORIA],reservavariáveisconsolidadomai[[#This Row],[ATUAL]])</f>
        <v>0</v>
      </c>
      <c r="F193" s="119" t="n">
        <f aca="false">SUMIFS(tabela_registros[VALOR],tabela_registros[MÊS],$AE$1,tabela_registros[DIA],reservavariáveisconsolidadomai[[#Headers],[2]],tabela_registros[REGISTRO],DADOS!$N$6,tabela_registros[TIPO],DADOS!$AJ$4,tabela_registros[CATEGORIA],reservavariáveisconsolidadomai[[#This Row],[ATUAL]])</f>
        <v>0</v>
      </c>
      <c r="G193" s="119" t="n">
        <f aca="false">SUMIFS(tabela_registros[VALOR],tabela_registros[MÊS],$AE$1,tabela_registros[DIA],reservavariáveisconsolidadomai[[#Headers],[3]],tabela_registros[REGISTRO],DADOS!$N$6,tabela_registros[TIPO],DADOS!$AJ$4,tabela_registros[CATEGORIA],reservavariáveisconsolidadomai[[#This Row],[ATUAL]])</f>
        <v>0</v>
      </c>
      <c r="H193" s="119" t="n">
        <f aca="false">SUMIFS(tabela_registros[VALOR],tabela_registros[MÊS],$AE$1,tabela_registros[DIA],reservavariáveisconsolidadomai[[#Headers],[4]],tabela_registros[REGISTRO],DADOS!$N$6,tabela_registros[TIPO],DADOS!$AJ$4,tabela_registros[CATEGORIA],reservavariáveisconsolidadomai[[#This Row],[ATUAL]])</f>
        <v>0</v>
      </c>
      <c r="I193" s="119" t="n">
        <f aca="false">SUMIFS(tabela_registros[VALOR],tabela_registros[MÊS],$AE$1,tabela_registros[DIA],reservavariáveisconsolidadomai[[#Headers],[5]],tabela_registros[REGISTRO],DADOS!$N$6,tabela_registros[TIPO],DADOS!$AJ$4,tabela_registros[CATEGORIA],reservavariáveisconsolidadomai[[#This Row],[ATUAL]])</f>
        <v>0</v>
      </c>
      <c r="J193" s="119" t="n">
        <f aca="false">SUMIFS(tabela_registros[VALOR],tabela_registros[MÊS],$AE$1,tabela_registros[DIA],reservavariáveisconsolidadomai[[#Headers],[6]],tabela_registros[REGISTRO],DADOS!$N$6,tabela_registros[TIPO],DADOS!$AJ$4,tabela_registros[CATEGORIA],reservavariáveisconsolidadomai[[#This Row],[ATUAL]])</f>
        <v>0</v>
      </c>
      <c r="K193" s="119" t="n">
        <f aca="false">SUMIFS(tabela_registros[VALOR],tabela_registros[MÊS],$AE$1,tabela_registros[DIA],reservavariáveisconsolidadomai[[#Headers],[7]],tabela_registros[REGISTRO],DADOS!$N$6,tabela_registros[TIPO],DADOS!$AJ$4,tabela_registros[CATEGORIA],reservavariáveisconsolidadomai[[#This Row],[ATUAL]])</f>
        <v>0</v>
      </c>
      <c r="L193" s="119" t="n">
        <f aca="false">SUMIFS(tabela_registros[VALOR],tabela_registros[MÊS],$AE$1,tabela_registros[DIA],reservavariáveisconsolidadomai[[#Headers],[8]],tabela_registros[REGISTRO],DADOS!$N$6,tabela_registros[TIPO],DADOS!$AJ$4,tabela_registros[CATEGORIA],reservavariáveisconsolidadomai[[#This Row],[ATUAL]])</f>
        <v>0</v>
      </c>
      <c r="M193" s="119" t="n">
        <f aca="false">SUMIFS(tabela_registros[VALOR],tabela_registros[MÊS],$AE$1,tabela_registros[DIA],reservavariáveisconsolidadomai[[#Headers],[9]],tabela_registros[REGISTRO],DADOS!$N$6,tabela_registros[TIPO],DADOS!$AJ$4,tabela_registros[CATEGORIA],reservavariáveisconsolidadomai[[#This Row],[ATUAL]])</f>
        <v>0</v>
      </c>
      <c r="N193" s="119" t="n">
        <f aca="false">SUMIFS(tabela_registros[VALOR],tabela_registros[MÊS],$AE$1,tabela_registros[DIA],reservavariáveisconsolidadomai[[#Headers],[10]],tabela_registros[REGISTRO],DADOS!$N$6,tabela_registros[TIPO],DADOS!$AJ$4,tabela_registros[CATEGORIA],reservavariáveisconsolidadomai[[#This Row],[ATUAL]])</f>
        <v>0</v>
      </c>
      <c r="O193" s="119" t="n">
        <f aca="false">SUMIFS(tabela_registros[VALOR],tabela_registros[MÊS],$AE$1,tabela_registros[DIA],reservavariáveisconsolidadomai[[#Headers],[11]],tabela_registros[REGISTRO],DADOS!$N$6,tabela_registros[TIPO],DADOS!$AJ$4,tabela_registros[CATEGORIA],reservavariáveisconsolidadomai[[#This Row],[ATUAL]])</f>
        <v>0</v>
      </c>
      <c r="P193" s="119" t="n">
        <f aca="false">SUMIFS(tabela_registros[VALOR],tabela_registros[MÊS],$AE$1,tabela_registros[DIA],reservavariáveisconsolidadomai[[#Headers],[12]],tabela_registros[REGISTRO],DADOS!$N$6,tabela_registros[TIPO],DADOS!$AJ$4,tabela_registros[CATEGORIA],reservavariáveisconsolidadomai[[#This Row],[ATUAL]])</f>
        <v>0</v>
      </c>
      <c r="Q193" s="119" t="n">
        <f aca="false">SUMIFS(tabela_registros[VALOR],tabela_registros[MÊS],$AE$1,tabela_registros[DIA],reservavariáveisconsolidadomai[[#Headers],[13]],tabela_registros[REGISTRO],DADOS!$N$6,tabela_registros[TIPO],DADOS!$AJ$4,tabela_registros[CATEGORIA],reservavariáveisconsolidadomai[[#This Row],[ATUAL]])</f>
        <v>0</v>
      </c>
      <c r="R193" s="119" t="n">
        <f aca="false">SUMIFS(tabela_registros[VALOR],tabela_registros[MÊS],$AE$1,tabela_registros[DIA],reservavariáveisconsolidadomai[[#Headers],[14]],tabela_registros[REGISTRO],DADOS!$N$6,tabela_registros[TIPO],DADOS!$AJ$4,tabela_registros[CATEGORIA],reservavariáveisconsolidadomai[[#This Row],[ATUAL]])</f>
        <v>0</v>
      </c>
      <c r="S193" s="119" t="n">
        <f aca="false">SUMIFS(tabela_registros[VALOR],tabela_registros[MÊS],$AE$1,tabela_registros[DIA],reservavariáveisconsolidadomai[[#Headers],[15]],tabela_registros[REGISTRO],DADOS!$N$6,tabela_registros[TIPO],DADOS!$AJ$4,tabela_registros[CATEGORIA],reservavariáveisconsolidadomai[[#This Row],[ATUAL]])</f>
        <v>0</v>
      </c>
      <c r="T193" s="119" t="n">
        <f aca="false">SUMIFS(tabela_registros[VALOR],tabela_registros[MÊS],$AE$1,tabela_registros[DIA],reservavariáveisconsolidadomai[[#Headers],[16]],tabela_registros[REGISTRO],DADOS!$N$6,tabela_registros[TIPO],DADOS!$AJ$4,tabela_registros[CATEGORIA],reservavariáveisconsolidadomai[[#This Row],[ATUAL]])</f>
        <v>0</v>
      </c>
      <c r="U193" s="119" t="n">
        <f aca="false">SUMIFS(tabela_registros[VALOR],tabela_registros[MÊS],$AE$1,tabela_registros[DIA],reservavariáveisconsolidadomai[[#Headers],[17]],tabela_registros[REGISTRO],DADOS!$N$6,tabela_registros[TIPO],DADOS!$AJ$4,tabela_registros[CATEGORIA],reservavariáveisconsolidadomai[[#This Row],[ATUAL]])</f>
        <v>0</v>
      </c>
      <c r="V193" s="119" t="n">
        <f aca="false">SUMIFS(tabela_registros[VALOR],tabela_registros[MÊS],$AE$1,tabela_registros[DIA],reservavariáveisconsolidadomai[[#Headers],[18]],tabela_registros[REGISTRO],DADOS!$N$6,tabela_registros[TIPO],DADOS!$AJ$4,tabela_registros[CATEGORIA],reservavariáveisconsolidadomai[[#This Row],[ATUAL]])</f>
        <v>0</v>
      </c>
      <c r="W193" s="119" t="n">
        <f aca="false">SUMIFS(tabela_registros[VALOR],tabela_registros[MÊS],$AE$1,tabela_registros[DIA],reservavariáveisconsolidadomai[[#Headers],[19]],tabela_registros[REGISTRO],DADOS!$N$6,tabela_registros[TIPO],DADOS!$AJ$4,tabela_registros[CATEGORIA],reservavariáveisconsolidadomai[[#This Row],[ATUAL]])</f>
        <v>0</v>
      </c>
      <c r="X193" s="119" t="n">
        <f aca="false">SUMIFS(tabela_registros[VALOR],tabela_registros[MÊS],$AE$1,tabela_registros[DIA],reservavariáveisconsolidadomai[[#Headers],[20]],tabela_registros[REGISTRO],DADOS!$N$6,tabela_registros[TIPO],DADOS!$AJ$4,tabela_registros[CATEGORIA],reservavariáveisconsolidadomai[[#This Row],[ATUAL]])</f>
        <v>0</v>
      </c>
      <c r="Y193" s="119" t="n">
        <f aca="false">SUMIFS(tabela_registros[VALOR],tabela_registros[MÊS],$AE$1,tabela_registros[DIA],reservavariáveisconsolidadomai[[#Headers],[21]],tabela_registros[REGISTRO],DADOS!$N$6,tabela_registros[TIPO],DADOS!$AJ$4,tabela_registros[CATEGORIA],reservavariáveisconsolidadomai[[#This Row],[ATUAL]])</f>
        <v>0</v>
      </c>
      <c r="Z193" s="119" t="n">
        <f aca="false">SUMIFS(tabela_registros[VALOR],tabela_registros[MÊS],$AE$1,tabela_registros[DIA],reservavariáveisconsolidadomai[[#Headers],[22]],tabela_registros[REGISTRO],DADOS!$N$6,tabela_registros[TIPO],DADOS!$AJ$4,tabela_registros[CATEGORIA],reservavariáveisconsolidadomai[[#This Row],[ATUAL]])</f>
        <v>0</v>
      </c>
      <c r="AA193" s="119" t="n">
        <f aca="false">SUMIFS(tabela_registros[VALOR],tabela_registros[MÊS],$AE$1,tabela_registros[DIA],reservavariáveisconsolidadomai[[#Headers],[23]],tabela_registros[REGISTRO],DADOS!$N$6,tabela_registros[TIPO],DADOS!$AJ$4,tabela_registros[CATEGORIA],reservavariáveisconsolidadomai[[#This Row],[ATUAL]])</f>
        <v>0</v>
      </c>
      <c r="AB193" s="119" t="n">
        <f aca="false">SUMIFS(tabela_registros[VALOR],tabela_registros[MÊS],$AE$1,tabela_registros[DIA],reservavariáveisconsolidadomai[[#Headers],[24]],tabela_registros[REGISTRO],DADOS!$N$6,tabela_registros[TIPO],DADOS!$AJ$4,tabela_registros[CATEGORIA],reservavariáveisconsolidadomai[[#This Row],[ATUAL]])</f>
        <v>0</v>
      </c>
      <c r="AC193" s="119" t="n">
        <f aca="false">SUMIFS(tabela_registros[VALOR],tabela_registros[MÊS],$AE$1,tabela_registros[DIA],reservavariáveisconsolidadomai[[#Headers],[25]],tabela_registros[REGISTRO],DADOS!$N$6,tabela_registros[TIPO],DADOS!$AJ$4,tabela_registros[CATEGORIA],reservavariáveisconsolidadomai[[#This Row],[ATUAL]])</f>
        <v>0</v>
      </c>
      <c r="AD193" s="119" t="n">
        <f aca="false">SUMIFS(tabela_registros[VALOR],tabela_registros[MÊS],$AE$1,tabela_registros[DIA],reservavariáveisconsolidadomai[[#Headers],[26]],tabela_registros[REGISTRO],DADOS!$N$6,tabela_registros[TIPO],DADOS!$AJ$4,tabela_registros[CATEGORIA],reservavariáveisconsolidadomai[[#This Row],[ATUAL]])</f>
        <v>0</v>
      </c>
      <c r="AE193" s="119" t="n">
        <f aca="false">SUMIFS(tabela_registros[VALOR],tabela_registros[MÊS],$AE$1,tabela_registros[DIA],reservavariáveisconsolidadomai[[#Headers],[27]],tabela_registros[REGISTRO],DADOS!$N$6,tabela_registros[TIPO],DADOS!$AJ$4,tabela_registros[CATEGORIA],reservavariáveisconsolidadomai[[#This Row],[ATUAL]])</f>
        <v>0</v>
      </c>
      <c r="AF193" s="119" t="n">
        <f aca="false">SUMIFS(tabela_registros[VALOR],tabela_registros[MÊS],$AE$1,tabela_registros[DIA],reservavariáveisconsolidadomai[[#Headers],[28]],tabela_registros[REGISTRO],DADOS!$N$6,tabela_registros[TIPO],DADOS!$AJ$4,tabela_registros[CATEGORIA],reservavariáveisconsolidadomai[[#This Row],[ATUAL]])</f>
        <v>0</v>
      </c>
      <c r="AG193" s="119" t="n">
        <f aca="false">SUMIFS(tabela_registros[VALOR],tabela_registros[MÊS],$AE$1,tabela_registros[DIA],reservavariáveisconsolidadomai[[#Headers],[29]],tabela_registros[REGISTRO],DADOS!$N$6,tabela_registros[TIPO],DADOS!$AJ$4,tabela_registros[CATEGORIA],reservavariáveisconsolidadomai[[#This Row],[ATUAL]])</f>
        <v>0</v>
      </c>
      <c r="AH193" s="119" t="n">
        <f aca="false">SUMIFS(tabela_registros[VALOR],tabela_registros[MÊS],$AE$1,tabela_registros[DIA],reservavariáveisconsolidadomai[[#Headers],[30]],tabela_registros[REGISTRO],DADOS!$N$6,tabela_registros[TIPO],DADOS!$AJ$4,tabela_registros[CATEGORIA],reservavariáveisconsolidadomai[[#This Row],[ATUAL]])</f>
        <v>0</v>
      </c>
      <c r="AI193" s="217" t="n">
        <f aca="false">SUMIFS(tabela_registros[VALOR],tabela_registros[MÊS],$AE$1,tabela_registros[DIA],reservavariáveisconsolidadomai[[#Headers],[31]],tabela_registros[REGISTRO],DADOS!$N$6,tabela_registros[TIPO],DADOS!$AJ$4,tabela_registros[CATEGORIA],reservavariáveisconsolidadomai[[#This Row],[ATUAL]])</f>
        <v>0</v>
      </c>
      <c r="AJ193" s="149" t="n">
        <f aca="false">SUM(reservavariáveisconsolidadomai[[#This Row],[1]:[31]])</f>
        <v>0</v>
      </c>
      <c r="AK193" s="165"/>
    </row>
    <row r="194" customFormat="false" ht="19.5" hidden="false" customHeight="true" outlineLevel="0" collapsed="false">
      <c r="B194" s="143"/>
      <c r="C194" s="144" t="str">
        <f aca="false">DADOS!$AN$10</f>
        <v>📝 FII</v>
      </c>
      <c r="D194" s="145" t="str">
        <f aca="false">IF(reservavariáveisconsolidadomai[[#This Row],[TOTAL (R$)]]=0,"",IF(OR(reservavariáveisconsolidadomai[[#This Row],[TOTAL (R$)]]=LARGE($AJ$187:$AJ$196,1),reservavariáveisconsolidadomai[[#This Row],[TOTAL (R$)]]=LARGE($AJ$187:$AJ$196,2)),DADOS!$I$11,""))</f>
        <v/>
      </c>
      <c r="E194" s="148" t="n">
        <f aca="false">SUMIFS(tabela_registros[VALOR],tabela_registros[MÊS],$AE$1,tabela_registros[DIA],reservavariáveisconsolidadomai[[#Headers],[1]],tabela_registros[REGISTRO],DADOS!$N$6,tabela_registros[TIPO],DADOS!$AJ$4,tabela_registros[CATEGORIA],reservavariáveisconsolidadomai[[#This Row],[ATUAL]])</f>
        <v>0</v>
      </c>
      <c r="F194" s="119" t="n">
        <f aca="false">SUMIFS(tabela_registros[VALOR],tabela_registros[MÊS],$AE$1,tabela_registros[DIA],reservavariáveisconsolidadomai[[#Headers],[2]],tabela_registros[REGISTRO],DADOS!$N$6,tabela_registros[TIPO],DADOS!$AJ$4,tabela_registros[CATEGORIA],reservavariáveisconsolidadomai[[#This Row],[ATUAL]])</f>
        <v>0</v>
      </c>
      <c r="G194" s="119" t="n">
        <f aca="false">SUMIFS(tabela_registros[VALOR],tabela_registros[MÊS],$AE$1,tabela_registros[DIA],reservavariáveisconsolidadomai[[#Headers],[3]],tabela_registros[REGISTRO],DADOS!$N$6,tabela_registros[TIPO],DADOS!$AJ$4,tabela_registros[CATEGORIA],reservavariáveisconsolidadomai[[#This Row],[ATUAL]])</f>
        <v>0</v>
      </c>
      <c r="H194" s="119" t="n">
        <f aca="false">SUMIFS(tabela_registros[VALOR],tabela_registros[MÊS],$AE$1,tabela_registros[DIA],reservavariáveisconsolidadomai[[#Headers],[4]],tabela_registros[REGISTRO],DADOS!$N$6,tabela_registros[TIPO],DADOS!$AJ$4,tabela_registros[CATEGORIA],reservavariáveisconsolidadomai[[#This Row],[ATUAL]])</f>
        <v>0</v>
      </c>
      <c r="I194" s="119" t="n">
        <f aca="false">SUMIFS(tabela_registros[VALOR],tabela_registros[MÊS],$AE$1,tabela_registros[DIA],reservavariáveisconsolidadomai[[#Headers],[5]],tabela_registros[REGISTRO],DADOS!$N$6,tabela_registros[TIPO],DADOS!$AJ$4,tabela_registros[CATEGORIA],reservavariáveisconsolidadomai[[#This Row],[ATUAL]])</f>
        <v>0</v>
      </c>
      <c r="J194" s="119" t="n">
        <f aca="false">SUMIFS(tabela_registros[VALOR],tabela_registros[MÊS],$AE$1,tabela_registros[DIA],reservavariáveisconsolidadomai[[#Headers],[6]],tabela_registros[REGISTRO],DADOS!$N$6,tabela_registros[TIPO],DADOS!$AJ$4,tabela_registros[CATEGORIA],reservavariáveisconsolidadomai[[#This Row],[ATUAL]])</f>
        <v>0</v>
      </c>
      <c r="K194" s="119" t="n">
        <f aca="false">SUMIFS(tabela_registros[VALOR],tabela_registros[MÊS],$AE$1,tabela_registros[DIA],reservavariáveisconsolidadomai[[#Headers],[7]],tabela_registros[REGISTRO],DADOS!$N$6,tabela_registros[TIPO],DADOS!$AJ$4,tabela_registros[CATEGORIA],reservavariáveisconsolidadomai[[#This Row],[ATUAL]])</f>
        <v>0</v>
      </c>
      <c r="L194" s="119" t="n">
        <f aca="false">SUMIFS(tabela_registros[VALOR],tabela_registros[MÊS],$AE$1,tabela_registros[DIA],reservavariáveisconsolidadomai[[#Headers],[8]],tabela_registros[REGISTRO],DADOS!$N$6,tabela_registros[TIPO],DADOS!$AJ$4,tabela_registros[CATEGORIA],reservavariáveisconsolidadomai[[#This Row],[ATUAL]])</f>
        <v>0</v>
      </c>
      <c r="M194" s="119" t="n">
        <f aca="false">SUMIFS(tabela_registros[VALOR],tabela_registros[MÊS],$AE$1,tabela_registros[DIA],reservavariáveisconsolidadomai[[#Headers],[9]],tabela_registros[REGISTRO],DADOS!$N$6,tabela_registros[TIPO],DADOS!$AJ$4,tabela_registros[CATEGORIA],reservavariáveisconsolidadomai[[#This Row],[ATUAL]])</f>
        <v>0</v>
      </c>
      <c r="N194" s="119" t="n">
        <f aca="false">SUMIFS(tabela_registros[VALOR],tabela_registros[MÊS],$AE$1,tabela_registros[DIA],reservavariáveisconsolidadomai[[#Headers],[10]],tabela_registros[REGISTRO],DADOS!$N$6,tabela_registros[TIPO],DADOS!$AJ$4,tabela_registros[CATEGORIA],reservavariáveisconsolidadomai[[#This Row],[ATUAL]])</f>
        <v>0</v>
      </c>
      <c r="O194" s="119" t="n">
        <f aca="false">SUMIFS(tabela_registros[VALOR],tabela_registros[MÊS],$AE$1,tabela_registros[DIA],reservavariáveisconsolidadomai[[#Headers],[11]],tabela_registros[REGISTRO],DADOS!$N$6,tabela_registros[TIPO],DADOS!$AJ$4,tabela_registros[CATEGORIA],reservavariáveisconsolidadomai[[#This Row],[ATUAL]])</f>
        <v>0</v>
      </c>
      <c r="P194" s="119" t="n">
        <f aca="false">SUMIFS(tabela_registros[VALOR],tabela_registros[MÊS],$AE$1,tabela_registros[DIA],reservavariáveisconsolidadomai[[#Headers],[12]],tabela_registros[REGISTRO],DADOS!$N$6,tabela_registros[TIPO],DADOS!$AJ$4,tabela_registros[CATEGORIA],reservavariáveisconsolidadomai[[#This Row],[ATUAL]])</f>
        <v>0</v>
      </c>
      <c r="Q194" s="119" t="n">
        <f aca="false">SUMIFS(tabela_registros[VALOR],tabela_registros[MÊS],$AE$1,tabela_registros[DIA],reservavariáveisconsolidadomai[[#Headers],[13]],tabela_registros[REGISTRO],DADOS!$N$6,tabela_registros[TIPO],DADOS!$AJ$4,tabela_registros[CATEGORIA],reservavariáveisconsolidadomai[[#This Row],[ATUAL]])</f>
        <v>0</v>
      </c>
      <c r="R194" s="119" t="n">
        <f aca="false">SUMIFS(tabela_registros[VALOR],tabela_registros[MÊS],$AE$1,tabela_registros[DIA],reservavariáveisconsolidadomai[[#Headers],[14]],tabela_registros[REGISTRO],DADOS!$N$6,tabela_registros[TIPO],DADOS!$AJ$4,tabela_registros[CATEGORIA],reservavariáveisconsolidadomai[[#This Row],[ATUAL]])</f>
        <v>0</v>
      </c>
      <c r="S194" s="119" t="n">
        <f aca="false">SUMIFS(tabela_registros[VALOR],tabela_registros[MÊS],$AE$1,tabela_registros[DIA],reservavariáveisconsolidadomai[[#Headers],[15]],tabela_registros[REGISTRO],DADOS!$N$6,tabela_registros[TIPO],DADOS!$AJ$4,tabela_registros[CATEGORIA],reservavariáveisconsolidadomai[[#This Row],[ATUAL]])</f>
        <v>0</v>
      </c>
      <c r="T194" s="119" t="n">
        <f aca="false">SUMIFS(tabela_registros[VALOR],tabela_registros[MÊS],$AE$1,tabela_registros[DIA],reservavariáveisconsolidadomai[[#Headers],[16]],tabela_registros[REGISTRO],DADOS!$N$6,tabela_registros[TIPO],DADOS!$AJ$4,tabela_registros[CATEGORIA],reservavariáveisconsolidadomai[[#This Row],[ATUAL]])</f>
        <v>0</v>
      </c>
      <c r="U194" s="119" t="n">
        <f aca="false">SUMIFS(tabela_registros[VALOR],tabela_registros[MÊS],$AE$1,tabela_registros[DIA],reservavariáveisconsolidadomai[[#Headers],[17]],tabela_registros[REGISTRO],DADOS!$N$6,tabela_registros[TIPO],DADOS!$AJ$4,tabela_registros[CATEGORIA],reservavariáveisconsolidadomai[[#This Row],[ATUAL]])</f>
        <v>0</v>
      </c>
      <c r="V194" s="119" t="n">
        <f aca="false">SUMIFS(tabela_registros[VALOR],tabela_registros[MÊS],$AE$1,tabela_registros[DIA],reservavariáveisconsolidadomai[[#Headers],[18]],tabela_registros[REGISTRO],DADOS!$N$6,tabela_registros[TIPO],DADOS!$AJ$4,tabela_registros[CATEGORIA],reservavariáveisconsolidadomai[[#This Row],[ATUAL]])</f>
        <v>0</v>
      </c>
      <c r="W194" s="119" t="n">
        <f aca="false">SUMIFS(tabela_registros[VALOR],tabela_registros[MÊS],$AE$1,tabela_registros[DIA],reservavariáveisconsolidadomai[[#Headers],[19]],tabela_registros[REGISTRO],DADOS!$N$6,tabela_registros[TIPO],DADOS!$AJ$4,tabela_registros[CATEGORIA],reservavariáveisconsolidadomai[[#This Row],[ATUAL]])</f>
        <v>0</v>
      </c>
      <c r="X194" s="119" t="n">
        <f aca="false">SUMIFS(tabela_registros[VALOR],tabela_registros[MÊS],$AE$1,tabela_registros[DIA],reservavariáveisconsolidadomai[[#Headers],[20]],tabela_registros[REGISTRO],DADOS!$N$6,tabela_registros[TIPO],DADOS!$AJ$4,tabela_registros[CATEGORIA],reservavariáveisconsolidadomai[[#This Row],[ATUAL]])</f>
        <v>0</v>
      </c>
      <c r="Y194" s="119" t="n">
        <f aca="false">SUMIFS(tabela_registros[VALOR],tabela_registros[MÊS],$AE$1,tabela_registros[DIA],reservavariáveisconsolidadomai[[#Headers],[21]],tabela_registros[REGISTRO],DADOS!$N$6,tabela_registros[TIPO],DADOS!$AJ$4,tabela_registros[CATEGORIA],reservavariáveisconsolidadomai[[#This Row],[ATUAL]])</f>
        <v>0</v>
      </c>
      <c r="Z194" s="119" t="n">
        <f aca="false">SUMIFS(tabela_registros[VALOR],tabela_registros[MÊS],$AE$1,tabela_registros[DIA],reservavariáveisconsolidadomai[[#Headers],[22]],tabela_registros[REGISTRO],DADOS!$N$6,tabela_registros[TIPO],DADOS!$AJ$4,tabela_registros[CATEGORIA],reservavariáveisconsolidadomai[[#This Row],[ATUAL]])</f>
        <v>0</v>
      </c>
      <c r="AA194" s="119" t="n">
        <f aca="false">SUMIFS(tabela_registros[VALOR],tabela_registros[MÊS],$AE$1,tabela_registros[DIA],reservavariáveisconsolidadomai[[#Headers],[23]],tabela_registros[REGISTRO],DADOS!$N$6,tabela_registros[TIPO],DADOS!$AJ$4,tabela_registros[CATEGORIA],reservavariáveisconsolidadomai[[#This Row],[ATUAL]])</f>
        <v>0</v>
      </c>
      <c r="AB194" s="119" t="n">
        <f aca="false">SUMIFS(tabela_registros[VALOR],tabela_registros[MÊS],$AE$1,tabela_registros[DIA],reservavariáveisconsolidadomai[[#Headers],[24]],tabela_registros[REGISTRO],DADOS!$N$6,tabela_registros[TIPO],DADOS!$AJ$4,tabela_registros[CATEGORIA],reservavariáveisconsolidadomai[[#This Row],[ATUAL]])</f>
        <v>0</v>
      </c>
      <c r="AC194" s="119" t="n">
        <f aca="false">SUMIFS(tabela_registros[VALOR],tabela_registros[MÊS],$AE$1,tabela_registros[DIA],reservavariáveisconsolidadomai[[#Headers],[25]],tabela_registros[REGISTRO],DADOS!$N$6,tabela_registros[TIPO],DADOS!$AJ$4,tabela_registros[CATEGORIA],reservavariáveisconsolidadomai[[#This Row],[ATUAL]])</f>
        <v>0</v>
      </c>
      <c r="AD194" s="119" t="n">
        <f aca="false">SUMIFS(tabela_registros[VALOR],tabela_registros[MÊS],$AE$1,tabela_registros[DIA],reservavariáveisconsolidadomai[[#Headers],[26]],tabela_registros[REGISTRO],DADOS!$N$6,tabela_registros[TIPO],DADOS!$AJ$4,tabela_registros[CATEGORIA],reservavariáveisconsolidadomai[[#This Row],[ATUAL]])</f>
        <v>0</v>
      </c>
      <c r="AE194" s="119" t="n">
        <f aca="false">SUMIFS(tabela_registros[VALOR],tabela_registros[MÊS],$AE$1,tabela_registros[DIA],reservavariáveisconsolidadomai[[#Headers],[27]],tabela_registros[REGISTRO],DADOS!$N$6,tabela_registros[TIPO],DADOS!$AJ$4,tabela_registros[CATEGORIA],reservavariáveisconsolidadomai[[#This Row],[ATUAL]])</f>
        <v>0</v>
      </c>
      <c r="AF194" s="119" t="n">
        <f aca="false">SUMIFS(tabela_registros[VALOR],tabela_registros[MÊS],$AE$1,tabela_registros[DIA],reservavariáveisconsolidadomai[[#Headers],[28]],tabela_registros[REGISTRO],DADOS!$N$6,tabela_registros[TIPO],DADOS!$AJ$4,tabela_registros[CATEGORIA],reservavariáveisconsolidadomai[[#This Row],[ATUAL]])</f>
        <v>0</v>
      </c>
      <c r="AG194" s="119" t="n">
        <f aca="false">SUMIFS(tabela_registros[VALOR],tabela_registros[MÊS],$AE$1,tabela_registros[DIA],reservavariáveisconsolidadomai[[#Headers],[29]],tabela_registros[REGISTRO],DADOS!$N$6,tabela_registros[TIPO],DADOS!$AJ$4,tabela_registros[CATEGORIA],reservavariáveisconsolidadomai[[#This Row],[ATUAL]])</f>
        <v>0</v>
      </c>
      <c r="AH194" s="119" t="n">
        <f aca="false">SUMIFS(tabela_registros[VALOR],tabela_registros[MÊS],$AE$1,tabela_registros[DIA],reservavariáveisconsolidadomai[[#Headers],[30]],tabela_registros[REGISTRO],DADOS!$N$6,tabela_registros[TIPO],DADOS!$AJ$4,tabela_registros[CATEGORIA],reservavariáveisconsolidadomai[[#This Row],[ATUAL]])</f>
        <v>0</v>
      </c>
      <c r="AI194" s="217" t="n">
        <f aca="false">SUMIFS(tabela_registros[VALOR],tabela_registros[MÊS],$AE$1,tabela_registros[DIA],reservavariáveisconsolidadomai[[#Headers],[31]],tabela_registros[REGISTRO],DADOS!$N$6,tabela_registros[TIPO],DADOS!$AJ$4,tabela_registros[CATEGORIA],reservavariáveisconsolidadomai[[#This Row],[ATUAL]])</f>
        <v>0</v>
      </c>
      <c r="AJ194" s="149" t="n">
        <f aca="false">SUM(reservavariáveisconsolidadomai[[#This Row],[1]:[31]])</f>
        <v>0</v>
      </c>
      <c r="AK194" s="165"/>
    </row>
    <row r="195" customFormat="false" ht="19.5" hidden="false" customHeight="true" outlineLevel="0" collapsed="false">
      <c r="B195" s="143"/>
      <c r="C195" s="144" t="str">
        <f aca="false">DADOS!$AN$11</f>
        <v>📝 MOEDA</v>
      </c>
      <c r="D195" s="145" t="str">
        <f aca="false">IF(reservavariáveisconsolidadomai[[#This Row],[TOTAL (R$)]]=0,"",IF(OR(reservavariáveisconsolidadomai[[#This Row],[TOTAL (R$)]]=LARGE($AJ$187:$AJ$196,1),reservavariáveisconsolidadomai[[#This Row],[TOTAL (R$)]]=LARGE($AJ$187:$AJ$196,2)),DADOS!$I$11,""))</f>
        <v/>
      </c>
      <c r="E195" s="148" t="n">
        <f aca="false">SUMIFS(tabela_registros[VALOR],tabela_registros[MÊS],$AE$1,tabela_registros[DIA],reservavariáveisconsolidadomai[[#Headers],[1]],tabela_registros[REGISTRO],DADOS!$N$6,tabela_registros[TIPO],DADOS!$AJ$4,tabela_registros[CATEGORIA],reservavariáveisconsolidadomai[[#This Row],[ATUAL]])</f>
        <v>0</v>
      </c>
      <c r="F195" s="119" t="n">
        <f aca="false">SUMIFS(tabela_registros[VALOR],tabela_registros[MÊS],$AE$1,tabela_registros[DIA],reservavariáveisconsolidadomai[[#Headers],[2]],tabela_registros[REGISTRO],DADOS!$N$6,tabela_registros[TIPO],DADOS!$AJ$4,tabela_registros[CATEGORIA],reservavariáveisconsolidadomai[[#This Row],[ATUAL]])</f>
        <v>0</v>
      </c>
      <c r="G195" s="119" t="n">
        <f aca="false">SUMIFS(tabela_registros[VALOR],tabela_registros[MÊS],$AE$1,tabela_registros[DIA],reservavariáveisconsolidadomai[[#Headers],[3]],tabela_registros[REGISTRO],DADOS!$N$6,tabela_registros[TIPO],DADOS!$AJ$4,tabela_registros[CATEGORIA],reservavariáveisconsolidadomai[[#This Row],[ATUAL]])</f>
        <v>0</v>
      </c>
      <c r="H195" s="119" t="n">
        <f aca="false">SUMIFS(tabela_registros[VALOR],tabela_registros[MÊS],$AE$1,tabela_registros[DIA],reservavariáveisconsolidadomai[[#Headers],[4]],tabela_registros[REGISTRO],DADOS!$N$6,tabela_registros[TIPO],DADOS!$AJ$4,tabela_registros[CATEGORIA],reservavariáveisconsolidadomai[[#This Row],[ATUAL]])</f>
        <v>0</v>
      </c>
      <c r="I195" s="119" t="n">
        <f aca="false">SUMIFS(tabela_registros[VALOR],tabela_registros[MÊS],$AE$1,tabela_registros[DIA],reservavariáveisconsolidadomai[[#Headers],[5]],tabela_registros[REGISTRO],DADOS!$N$6,tabela_registros[TIPO],DADOS!$AJ$4,tabela_registros[CATEGORIA],reservavariáveisconsolidadomai[[#This Row],[ATUAL]])</f>
        <v>0</v>
      </c>
      <c r="J195" s="119" t="n">
        <f aca="false">SUMIFS(tabela_registros[VALOR],tabela_registros[MÊS],$AE$1,tabela_registros[DIA],reservavariáveisconsolidadomai[[#Headers],[6]],tabela_registros[REGISTRO],DADOS!$N$6,tabela_registros[TIPO],DADOS!$AJ$4,tabela_registros[CATEGORIA],reservavariáveisconsolidadomai[[#This Row],[ATUAL]])</f>
        <v>0</v>
      </c>
      <c r="K195" s="119" t="n">
        <f aca="false">SUMIFS(tabela_registros[VALOR],tabela_registros[MÊS],$AE$1,tabela_registros[DIA],reservavariáveisconsolidadomai[[#Headers],[7]],tabela_registros[REGISTRO],DADOS!$N$6,tabela_registros[TIPO],DADOS!$AJ$4,tabela_registros[CATEGORIA],reservavariáveisconsolidadomai[[#This Row],[ATUAL]])</f>
        <v>0</v>
      </c>
      <c r="L195" s="119" t="n">
        <f aca="false">SUMIFS(tabela_registros[VALOR],tabela_registros[MÊS],$AE$1,tabela_registros[DIA],reservavariáveisconsolidadomai[[#Headers],[8]],tabela_registros[REGISTRO],DADOS!$N$6,tabela_registros[TIPO],DADOS!$AJ$4,tabela_registros[CATEGORIA],reservavariáveisconsolidadomai[[#This Row],[ATUAL]])</f>
        <v>0</v>
      </c>
      <c r="M195" s="119" t="n">
        <f aca="false">SUMIFS(tabela_registros[VALOR],tabela_registros[MÊS],$AE$1,tabela_registros[DIA],reservavariáveisconsolidadomai[[#Headers],[9]],tabela_registros[REGISTRO],DADOS!$N$6,tabela_registros[TIPO],DADOS!$AJ$4,tabela_registros[CATEGORIA],reservavariáveisconsolidadomai[[#This Row],[ATUAL]])</f>
        <v>0</v>
      </c>
      <c r="N195" s="119" t="n">
        <f aca="false">SUMIFS(tabela_registros[VALOR],tabela_registros[MÊS],$AE$1,tabela_registros[DIA],reservavariáveisconsolidadomai[[#Headers],[10]],tabela_registros[REGISTRO],DADOS!$N$6,tabela_registros[TIPO],DADOS!$AJ$4,tabela_registros[CATEGORIA],reservavariáveisconsolidadomai[[#This Row],[ATUAL]])</f>
        <v>0</v>
      </c>
      <c r="O195" s="119" t="n">
        <f aca="false">SUMIFS(tabela_registros[VALOR],tabela_registros[MÊS],$AE$1,tabela_registros[DIA],reservavariáveisconsolidadomai[[#Headers],[11]],tabela_registros[REGISTRO],DADOS!$N$6,tabela_registros[TIPO],DADOS!$AJ$4,tabela_registros[CATEGORIA],reservavariáveisconsolidadomai[[#This Row],[ATUAL]])</f>
        <v>0</v>
      </c>
      <c r="P195" s="119" t="n">
        <f aca="false">SUMIFS(tabela_registros[VALOR],tabela_registros[MÊS],$AE$1,tabela_registros[DIA],reservavariáveisconsolidadomai[[#Headers],[12]],tabela_registros[REGISTRO],DADOS!$N$6,tabela_registros[TIPO],DADOS!$AJ$4,tabela_registros[CATEGORIA],reservavariáveisconsolidadomai[[#This Row],[ATUAL]])</f>
        <v>0</v>
      </c>
      <c r="Q195" s="119" t="n">
        <f aca="false">SUMIFS(tabela_registros[VALOR],tabela_registros[MÊS],$AE$1,tabela_registros[DIA],reservavariáveisconsolidadomai[[#Headers],[13]],tabela_registros[REGISTRO],DADOS!$N$6,tabela_registros[TIPO],DADOS!$AJ$4,tabela_registros[CATEGORIA],reservavariáveisconsolidadomai[[#This Row],[ATUAL]])</f>
        <v>0</v>
      </c>
      <c r="R195" s="119" t="n">
        <f aca="false">SUMIFS(tabela_registros[VALOR],tabela_registros[MÊS],$AE$1,tabela_registros[DIA],reservavariáveisconsolidadomai[[#Headers],[14]],tabela_registros[REGISTRO],DADOS!$N$6,tabela_registros[TIPO],DADOS!$AJ$4,tabela_registros[CATEGORIA],reservavariáveisconsolidadomai[[#This Row],[ATUAL]])</f>
        <v>0</v>
      </c>
      <c r="S195" s="119" t="n">
        <f aca="false">SUMIFS(tabela_registros[VALOR],tabela_registros[MÊS],$AE$1,tabela_registros[DIA],reservavariáveisconsolidadomai[[#Headers],[15]],tabela_registros[REGISTRO],DADOS!$N$6,tabela_registros[TIPO],DADOS!$AJ$4,tabela_registros[CATEGORIA],reservavariáveisconsolidadomai[[#This Row],[ATUAL]])</f>
        <v>0</v>
      </c>
      <c r="T195" s="119" t="n">
        <f aca="false">SUMIFS(tabela_registros[VALOR],tabela_registros[MÊS],$AE$1,tabela_registros[DIA],reservavariáveisconsolidadomai[[#Headers],[16]],tabela_registros[REGISTRO],DADOS!$N$6,tabela_registros[TIPO],DADOS!$AJ$4,tabela_registros[CATEGORIA],reservavariáveisconsolidadomai[[#This Row],[ATUAL]])</f>
        <v>0</v>
      </c>
      <c r="U195" s="119" t="n">
        <f aca="false">SUMIFS(tabela_registros[VALOR],tabela_registros[MÊS],$AE$1,tabela_registros[DIA],reservavariáveisconsolidadomai[[#Headers],[17]],tabela_registros[REGISTRO],DADOS!$N$6,tabela_registros[TIPO],DADOS!$AJ$4,tabela_registros[CATEGORIA],reservavariáveisconsolidadomai[[#This Row],[ATUAL]])</f>
        <v>0</v>
      </c>
      <c r="V195" s="119" t="n">
        <f aca="false">SUMIFS(tabela_registros[VALOR],tabela_registros[MÊS],$AE$1,tabela_registros[DIA],reservavariáveisconsolidadomai[[#Headers],[18]],tabela_registros[REGISTRO],DADOS!$N$6,tabela_registros[TIPO],DADOS!$AJ$4,tabela_registros[CATEGORIA],reservavariáveisconsolidadomai[[#This Row],[ATUAL]])</f>
        <v>0</v>
      </c>
      <c r="W195" s="119" t="n">
        <f aca="false">SUMIFS(tabela_registros[VALOR],tabela_registros[MÊS],$AE$1,tabela_registros[DIA],reservavariáveisconsolidadomai[[#Headers],[19]],tabela_registros[REGISTRO],DADOS!$N$6,tabela_registros[TIPO],DADOS!$AJ$4,tabela_registros[CATEGORIA],reservavariáveisconsolidadomai[[#This Row],[ATUAL]])</f>
        <v>0</v>
      </c>
      <c r="X195" s="119" t="n">
        <f aca="false">SUMIFS(tabela_registros[VALOR],tabela_registros[MÊS],$AE$1,tabela_registros[DIA],reservavariáveisconsolidadomai[[#Headers],[20]],tabela_registros[REGISTRO],DADOS!$N$6,tabela_registros[TIPO],DADOS!$AJ$4,tabela_registros[CATEGORIA],reservavariáveisconsolidadomai[[#This Row],[ATUAL]])</f>
        <v>0</v>
      </c>
      <c r="Y195" s="119" t="n">
        <f aca="false">SUMIFS(tabela_registros[VALOR],tabela_registros[MÊS],$AE$1,tabela_registros[DIA],reservavariáveisconsolidadomai[[#Headers],[21]],tabela_registros[REGISTRO],DADOS!$N$6,tabela_registros[TIPO],DADOS!$AJ$4,tabela_registros[CATEGORIA],reservavariáveisconsolidadomai[[#This Row],[ATUAL]])</f>
        <v>0</v>
      </c>
      <c r="Z195" s="119" t="n">
        <f aca="false">SUMIFS(tabela_registros[VALOR],tabela_registros[MÊS],$AE$1,tabela_registros[DIA],reservavariáveisconsolidadomai[[#Headers],[22]],tabela_registros[REGISTRO],DADOS!$N$6,tabela_registros[TIPO],DADOS!$AJ$4,tabela_registros[CATEGORIA],reservavariáveisconsolidadomai[[#This Row],[ATUAL]])</f>
        <v>0</v>
      </c>
      <c r="AA195" s="119" t="n">
        <f aca="false">SUMIFS(tabela_registros[VALOR],tabela_registros[MÊS],$AE$1,tabela_registros[DIA],reservavariáveisconsolidadomai[[#Headers],[23]],tabela_registros[REGISTRO],DADOS!$N$6,tabela_registros[TIPO],DADOS!$AJ$4,tabela_registros[CATEGORIA],reservavariáveisconsolidadomai[[#This Row],[ATUAL]])</f>
        <v>0</v>
      </c>
      <c r="AB195" s="119" t="n">
        <f aca="false">SUMIFS(tabela_registros[VALOR],tabela_registros[MÊS],$AE$1,tabela_registros[DIA],reservavariáveisconsolidadomai[[#Headers],[24]],tabela_registros[REGISTRO],DADOS!$N$6,tabela_registros[TIPO],DADOS!$AJ$4,tabela_registros[CATEGORIA],reservavariáveisconsolidadomai[[#This Row],[ATUAL]])</f>
        <v>0</v>
      </c>
      <c r="AC195" s="119" t="n">
        <f aca="false">SUMIFS(tabela_registros[VALOR],tabela_registros[MÊS],$AE$1,tabela_registros[DIA],reservavariáveisconsolidadomai[[#Headers],[25]],tabela_registros[REGISTRO],DADOS!$N$6,tabela_registros[TIPO],DADOS!$AJ$4,tabela_registros[CATEGORIA],reservavariáveisconsolidadomai[[#This Row],[ATUAL]])</f>
        <v>0</v>
      </c>
      <c r="AD195" s="119" t="n">
        <f aca="false">SUMIFS(tabela_registros[VALOR],tabela_registros[MÊS],$AE$1,tabela_registros[DIA],reservavariáveisconsolidadomai[[#Headers],[26]],tabela_registros[REGISTRO],DADOS!$N$6,tabela_registros[TIPO],DADOS!$AJ$4,tabela_registros[CATEGORIA],reservavariáveisconsolidadomai[[#This Row],[ATUAL]])</f>
        <v>0</v>
      </c>
      <c r="AE195" s="119" t="n">
        <f aca="false">SUMIFS(tabela_registros[VALOR],tabela_registros[MÊS],$AE$1,tabela_registros[DIA],reservavariáveisconsolidadomai[[#Headers],[27]],tabela_registros[REGISTRO],DADOS!$N$6,tabela_registros[TIPO],DADOS!$AJ$4,tabela_registros[CATEGORIA],reservavariáveisconsolidadomai[[#This Row],[ATUAL]])</f>
        <v>0</v>
      </c>
      <c r="AF195" s="119" t="n">
        <f aca="false">SUMIFS(tabela_registros[VALOR],tabela_registros[MÊS],$AE$1,tabela_registros[DIA],reservavariáveisconsolidadomai[[#Headers],[28]],tabela_registros[REGISTRO],DADOS!$N$6,tabela_registros[TIPO],DADOS!$AJ$4,tabela_registros[CATEGORIA],reservavariáveisconsolidadomai[[#This Row],[ATUAL]])</f>
        <v>0</v>
      </c>
      <c r="AG195" s="119" t="n">
        <f aca="false">SUMIFS(tabela_registros[VALOR],tabela_registros[MÊS],$AE$1,tabela_registros[DIA],reservavariáveisconsolidadomai[[#Headers],[29]],tabela_registros[REGISTRO],DADOS!$N$6,tabela_registros[TIPO],DADOS!$AJ$4,tabela_registros[CATEGORIA],reservavariáveisconsolidadomai[[#This Row],[ATUAL]])</f>
        <v>0</v>
      </c>
      <c r="AH195" s="119" t="n">
        <f aca="false">SUMIFS(tabela_registros[VALOR],tabela_registros[MÊS],$AE$1,tabela_registros[DIA],reservavariáveisconsolidadomai[[#Headers],[30]],tabela_registros[REGISTRO],DADOS!$N$6,tabela_registros[TIPO],DADOS!$AJ$4,tabela_registros[CATEGORIA],reservavariáveisconsolidadomai[[#This Row],[ATUAL]])</f>
        <v>0</v>
      </c>
      <c r="AI195" s="217" t="n">
        <f aca="false">SUMIFS(tabela_registros[VALOR],tabela_registros[MÊS],$AE$1,tabela_registros[DIA],reservavariáveisconsolidadomai[[#Headers],[31]],tabela_registros[REGISTRO],DADOS!$N$6,tabela_registros[TIPO],DADOS!$AJ$4,tabela_registros[CATEGORIA],reservavariáveisconsolidadomai[[#This Row],[ATUAL]])</f>
        <v>0</v>
      </c>
      <c r="AJ195" s="149" t="n">
        <f aca="false">SUM(reservavariáveisconsolidadomai[[#This Row],[1]:[31]])</f>
        <v>0</v>
      </c>
      <c r="AK195" s="165"/>
    </row>
    <row r="196" customFormat="false" ht="19.5" hidden="false" customHeight="true" outlineLevel="0" collapsed="false">
      <c r="B196" s="143"/>
      <c r="C196" s="144" t="str">
        <f aca="false">DADOS!$AN$12</f>
        <v>📎 OUTROS</v>
      </c>
      <c r="D196" s="145" t="str">
        <f aca="false">IF(reservavariáveisconsolidadomai[[#This Row],[TOTAL (R$)]]=0,"",IF(OR(reservavariáveisconsolidadomai[[#This Row],[TOTAL (R$)]]=LARGE($AJ$187:$AJ$196,1),reservavariáveisconsolidadomai[[#This Row],[TOTAL (R$)]]=LARGE($AJ$187:$AJ$196,2)),DADOS!$I$11,""))</f>
        <v/>
      </c>
      <c r="E196" s="148" t="n">
        <f aca="false">SUMIFS(tabela_registros[VALOR],tabela_registros[MÊS],$AE$1,tabela_registros[DIA],reservavariáveisconsolidadomai[[#Headers],[1]],tabela_registros[REGISTRO],DADOS!$N$6,tabela_registros[TIPO],DADOS!$AJ$4,tabela_registros[CATEGORIA],reservavariáveisconsolidadomai[[#This Row],[ATUAL]])</f>
        <v>0</v>
      </c>
      <c r="F196" s="119" t="n">
        <f aca="false">SUMIFS(tabela_registros[VALOR],tabela_registros[MÊS],$AE$1,tabela_registros[DIA],reservavariáveisconsolidadomai[[#Headers],[2]],tabela_registros[REGISTRO],DADOS!$N$6,tabela_registros[TIPO],DADOS!$AJ$4,tabela_registros[CATEGORIA],reservavariáveisconsolidadomai[[#This Row],[ATUAL]])</f>
        <v>0</v>
      </c>
      <c r="G196" s="119" t="n">
        <f aca="false">SUMIFS(tabela_registros[VALOR],tabela_registros[MÊS],$AE$1,tabela_registros[DIA],reservavariáveisconsolidadomai[[#Headers],[3]],tabela_registros[REGISTRO],DADOS!$N$6,tabela_registros[TIPO],DADOS!$AJ$4,tabela_registros[CATEGORIA],reservavariáveisconsolidadomai[[#This Row],[ATUAL]])</f>
        <v>0</v>
      </c>
      <c r="H196" s="119" t="n">
        <f aca="false">SUMIFS(tabela_registros[VALOR],tabela_registros[MÊS],$AE$1,tabela_registros[DIA],reservavariáveisconsolidadomai[[#Headers],[4]],tabela_registros[REGISTRO],DADOS!$N$6,tabela_registros[TIPO],DADOS!$AJ$4,tabela_registros[CATEGORIA],reservavariáveisconsolidadomai[[#This Row],[ATUAL]])</f>
        <v>0</v>
      </c>
      <c r="I196" s="119" t="n">
        <f aca="false">SUMIFS(tabela_registros[VALOR],tabela_registros[MÊS],$AE$1,tabela_registros[DIA],reservavariáveisconsolidadomai[[#Headers],[5]],tabela_registros[REGISTRO],DADOS!$N$6,tabela_registros[TIPO],DADOS!$AJ$4,tabela_registros[CATEGORIA],reservavariáveisconsolidadomai[[#This Row],[ATUAL]])</f>
        <v>0</v>
      </c>
      <c r="J196" s="119" t="n">
        <f aca="false">SUMIFS(tabela_registros[VALOR],tabela_registros[MÊS],$AE$1,tabela_registros[DIA],reservavariáveisconsolidadomai[[#Headers],[6]],tabela_registros[REGISTRO],DADOS!$N$6,tabela_registros[TIPO],DADOS!$AJ$4,tabela_registros[CATEGORIA],reservavariáveisconsolidadomai[[#This Row],[ATUAL]])</f>
        <v>0</v>
      </c>
      <c r="K196" s="119" t="n">
        <f aca="false">SUMIFS(tabela_registros[VALOR],tabela_registros[MÊS],$AE$1,tabela_registros[DIA],reservavariáveisconsolidadomai[[#Headers],[7]],tabela_registros[REGISTRO],DADOS!$N$6,tabela_registros[TIPO],DADOS!$AJ$4,tabela_registros[CATEGORIA],reservavariáveisconsolidadomai[[#This Row],[ATUAL]])</f>
        <v>0</v>
      </c>
      <c r="L196" s="119" t="n">
        <f aca="false">SUMIFS(tabela_registros[VALOR],tabela_registros[MÊS],$AE$1,tabela_registros[DIA],reservavariáveisconsolidadomai[[#Headers],[8]],tabela_registros[REGISTRO],DADOS!$N$6,tabela_registros[TIPO],DADOS!$AJ$4,tabela_registros[CATEGORIA],reservavariáveisconsolidadomai[[#This Row],[ATUAL]])</f>
        <v>0</v>
      </c>
      <c r="M196" s="119" t="n">
        <f aca="false">SUMIFS(tabela_registros[VALOR],tabela_registros[MÊS],$AE$1,tabela_registros[DIA],reservavariáveisconsolidadomai[[#Headers],[9]],tabela_registros[REGISTRO],DADOS!$N$6,tabela_registros[TIPO],DADOS!$AJ$4,tabela_registros[CATEGORIA],reservavariáveisconsolidadomai[[#This Row],[ATUAL]])</f>
        <v>0</v>
      </c>
      <c r="N196" s="119" t="n">
        <f aca="false">SUMIFS(tabela_registros[VALOR],tabela_registros[MÊS],$AE$1,tabela_registros[DIA],reservavariáveisconsolidadomai[[#Headers],[10]],tabela_registros[REGISTRO],DADOS!$N$6,tabela_registros[TIPO],DADOS!$AJ$4,tabela_registros[CATEGORIA],reservavariáveisconsolidadomai[[#This Row],[ATUAL]])</f>
        <v>0</v>
      </c>
      <c r="O196" s="119" t="n">
        <f aca="false">SUMIFS(tabela_registros[VALOR],tabela_registros[MÊS],$AE$1,tabela_registros[DIA],reservavariáveisconsolidadomai[[#Headers],[11]],tabela_registros[REGISTRO],DADOS!$N$6,tabela_registros[TIPO],DADOS!$AJ$4,tabela_registros[CATEGORIA],reservavariáveisconsolidadomai[[#This Row],[ATUAL]])</f>
        <v>0</v>
      </c>
      <c r="P196" s="119" t="n">
        <f aca="false">SUMIFS(tabela_registros[VALOR],tabela_registros[MÊS],$AE$1,tabela_registros[DIA],reservavariáveisconsolidadomai[[#Headers],[12]],tabela_registros[REGISTRO],DADOS!$N$6,tabela_registros[TIPO],DADOS!$AJ$4,tabela_registros[CATEGORIA],reservavariáveisconsolidadomai[[#This Row],[ATUAL]])</f>
        <v>0</v>
      </c>
      <c r="Q196" s="119" t="n">
        <f aca="false">SUMIFS(tabela_registros[VALOR],tabela_registros[MÊS],$AE$1,tabela_registros[DIA],reservavariáveisconsolidadomai[[#Headers],[13]],tabela_registros[REGISTRO],DADOS!$N$6,tabela_registros[TIPO],DADOS!$AJ$4,tabela_registros[CATEGORIA],reservavariáveisconsolidadomai[[#This Row],[ATUAL]])</f>
        <v>0</v>
      </c>
      <c r="R196" s="119" t="n">
        <f aca="false">SUMIFS(tabela_registros[VALOR],tabela_registros[MÊS],$AE$1,tabela_registros[DIA],reservavariáveisconsolidadomai[[#Headers],[14]],tabela_registros[REGISTRO],DADOS!$N$6,tabela_registros[TIPO],DADOS!$AJ$4,tabela_registros[CATEGORIA],reservavariáveisconsolidadomai[[#This Row],[ATUAL]])</f>
        <v>0</v>
      </c>
      <c r="S196" s="119" t="n">
        <f aca="false">SUMIFS(tabela_registros[VALOR],tabela_registros[MÊS],$AE$1,tabela_registros[DIA],reservavariáveisconsolidadomai[[#Headers],[15]],tabela_registros[REGISTRO],DADOS!$N$6,tabela_registros[TIPO],DADOS!$AJ$4,tabela_registros[CATEGORIA],reservavariáveisconsolidadomai[[#This Row],[ATUAL]])</f>
        <v>0</v>
      </c>
      <c r="T196" s="119" t="n">
        <f aca="false">SUMIFS(tabela_registros[VALOR],tabela_registros[MÊS],$AE$1,tabela_registros[DIA],reservavariáveisconsolidadomai[[#Headers],[16]],tabela_registros[REGISTRO],DADOS!$N$6,tabela_registros[TIPO],DADOS!$AJ$4,tabela_registros[CATEGORIA],reservavariáveisconsolidadomai[[#This Row],[ATUAL]])</f>
        <v>0</v>
      </c>
      <c r="U196" s="119" t="n">
        <f aca="false">SUMIFS(tabela_registros[VALOR],tabela_registros[MÊS],$AE$1,tabela_registros[DIA],reservavariáveisconsolidadomai[[#Headers],[17]],tabela_registros[REGISTRO],DADOS!$N$6,tabela_registros[TIPO],DADOS!$AJ$4,tabela_registros[CATEGORIA],reservavariáveisconsolidadomai[[#This Row],[ATUAL]])</f>
        <v>0</v>
      </c>
      <c r="V196" s="119" t="n">
        <f aca="false">SUMIFS(tabela_registros[VALOR],tabela_registros[MÊS],$AE$1,tabela_registros[DIA],reservavariáveisconsolidadomai[[#Headers],[18]],tabela_registros[REGISTRO],DADOS!$N$6,tabela_registros[TIPO],DADOS!$AJ$4,tabela_registros[CATEGORIA],reservavariáveisconsolidadomai[[#This Row],[ATUAL]])</f>
        <v>0</v>
      </c>
      <c r="W196" s="119" t="n">
        <f aca="false">SUMIFS(tabela_registros[VALOR],tabela_registros[MÊS],$AE$1,tabela_registros[DIA],reservavariáveisconsolidadomai[[#Headers],[19]],tabela_registros[REGISTRO],DADOS!$N$6,tabela_registros[TIPO],DADOS!$AJ$4,tabela_registros[CATEGORIA],reservavariáveisconsolidadomai[[#This Row],[ATUAL]])</f>
        <v>0</v>
      </c>
      <c r="X196" s="119" t="n">
        <f aca="false">SUMIFS(tabela_registros[VALOR],tabela_registros[MÊS],$AE$1,tabela_registros[DIA],reservavariáveisconsolidadomai[[#Headers],[20]],tabela_registros[REGISTRO],DADOS!$N$6,tabela_registros[TIPO],DADOS!$AJ$4,tabela_registros[CATEGORIA],reservavariáveisconsolidadomai[[#This Row],[ATUAL]])</f>
        <v>0</v>
      </c>
      <c r="Y196" s="119" t="n">
        <f aca="false">SUMIFS(tabela_registros[VALOR],tabela_registros[MÊS],$AE$1,tabela_registros[DIA],reservavariáveisconsolidadomai[[#Headers],[21]],tabela_registros[REGISTRO],DADOS!$N$6,tabela_registros[TIPO],DADOS!$AJ$4,tabela_registros[CATEGORIA],reservavariáveisconsolidadomai[[#This Row],[ATUAL]])</f>
        <v>0</v>
      </c>
      <c r="Z196" s="119" t="n">
        <f aca="false">SUMIFS(tabela_registros[VALOR],tabela_registros[MÊS],$AE$1,tabela_registros[DIA],reservavariáveisconsolidadomai[[#Headers],[22]],tabela_registros[REGISTRO],DADOS!$N$6,tabela_registros[TIPO],DADOS!$AJ$4,tabela_registros[CATEGORIA],reservavariáveisconsolidadomai[[#This Row],[ATUAL]])</f>
        <v>0</v>
      </c>
      <c r="AA196" s="119" t="n">
        <f aca="false">SUMIFS(tabela_registros[VALOR],tabela_registros[MÊS],$AE$1,tabela_registros[DIA],reservavariáveisconsolidadomai[[#Headers],[23]],tabela_registros[REGISTRO],DADOS!$N$6,tabela_registros[TIPO],DADOS!$AJ$4,tabela_registros[CATEGORIA],reservavariáveisconsolidadomai[[#This Row],[ATUAL]])</f>
        <v>0</v>
      </c>
      <c r="AB196" s="119" t="n">
        <f aca="false">SUMIFS(tabela_registros[VALOR],tabela_registros[MÊS],$AE$1,tabela_registros[DIA],reservavariáveisconsolidadomai[[#Headers],[24]],tabela_registros[REGISTRO],DADOS!$N$6,tabela_registros[TIPO],DADOS!$AJ$4,tabela_registros[CATEGORIA],reservavariáveisconsolidadomai[[#This Row],[ATUAL]])</f>
        <v>0</v>
      </c>
      <c r="AC196" s="119" t="n">
        <f aca="false">SUMIFS(tabela_registros[VALOR],tabela_registros[MÊS],$AE$1,tabela_registros[DIA],reservavariáveisconsolidadomai[[#Headers],[25]],tabela_registros[REGISTRO],DADOS!$N$6,tabela_registros[TIPO],DADOS!$AJ$4,tabela_registros[CATEGORIA],reservavariáveisconsolidadomai[[#This Row],[ATUAL]])</f>
        <v>0</v>
      </c>
      <c r="AD196" s="119" t="n">
        <f aca="false">SUMIFS(tabela_registros[VALOR],tabela_registros[MÊS],$AE$1,tabela_registros[DIA],reservavariáveisconsolidadomai[[#Headers],[26]],tabela_registros[REGISTRO],DADOS!$N$6,tabela_registros[TIPO],DADOS!$AJ$4,tabela_registros[CATEGORIA],reservavariáveisconsolidadomai[[#This Row],[ATUAL]])</f>
        <v>0</v>
      </c>
      <c r="AE196" s="119" t="n">
        <f aca="false">SUMIFS(tabela_registros[VALOR],tabela_registros[MÊS],$AE$1,tabela_registros[DIA],reservavariáveisconsolidadomai[[#Headers],[27]],tabela_registros[REGISTRO],DADOS!$N$6,tabela_registros[TIPO],DADOS!$AJ$4,tabela_registros[CATEGORIA],reservavariáveisconsolidadomai[[#This Row],[ATUAL]])</f>
        <v>0</v>
      </c>
      <c r="AF196" s="119" t="n">
        <f aca="false">SUMIFS(tabela_registros[VALOR],tabela_registros[MÊS],$AE$1,tabela_registros[DIA],reservavariáveisconsolidadomai[[#Headers],[28]],tabela_registros[REGISTRO],DADOS!$N$6,tabela_registros[TIPO],DADOS!$AJ$4,tabela_registros[CATEGORIA],reservavariáveisconsolidadomai[[#This Row],[ATUAL]])</f>
        <v>0</v>
      </c>
      <c r="AG196" s="119" t="n">
        <f aca="false">SUMIFS(tabela_registros[VALOR],tabela_registros[MÊS],$AE$1,tabela_registros[DIA],reservavariáveisconsolidadomai[[#Headers],[29]],tabela_registros[REGISTRO],DADOS!$N$6,tabela_registros[TIPO],DADOS!$AJ$4,tabela_registros[CATEGORIA],reservavariáveisconsolidadomai[[#This Row],[ATUAL]])</f>
        <v>0</v>
      </c>
      <c r="AH196" s="119" t="n">
        <f aca="false">SUMIFS(tabela_registros[VALOR],tabela_registros[MÊS],$AE$1,tabela_registros[DIA],reservavariáveisconsolidadomai[[#Headers],[30]],tabela_registros[REGISTRO],DADOS!$N$6,tabela_registros[TIPO],DADOS!$AJ$4,tabela_registros[CATEGORIA],reservavariáveisconsolidadomai[[#This Row],[ATUAL]])</f>
        <v>0</v>
      </c>
      <c r="AI196" s="218" t="n">
        <f aca="false">SUMIFS(tabela_registros[VALOR],tabela_registros[MÊS],$AE$1,tabela_registros[DIA],reservavariáveisconsolidadomai[[#Headers],[31]],tabela_registros[REGISTRO],DADOS!$N$6,tabela_registros[TIPO],DADOS!$AJ$4,tabela_registros[CATEGORIA],reservavariáveisconsolidadomai[[#This Row],[ATUAL]])</f>
        <v>0</v>
      </c>
      <c r="AJ196" s="149" t="n">
        <f aca="false">SUM(reservavariáveisconsolidadomai[[#This Row],[1]:[31]])</f>
        <v>0</v>
      </c>
      <c r="AK196" s="165"/>
    </row>
    <row r="197" s="122" customFormat="true" ht="21" hidden="false" customHeight="true" outlineLevel="0" collapsed="false">
      <c r="B197" s="152"/>
      <c r="C197" s="153" t="s">
        <v>2</v>
      </c>
      <c r="D197" s="166"/>
      <c r="E197" s="155" t="n">
        <f aca="false">SUM(E187:E196)</f>
        <v>0</v>
      </c>
      <c r="F197" s="156" t="n">
        <f aca="false">SUM(F187:F196)+reservavariáveisconsolidadomai[[#This Row],[1]]</f>
        <v>0</v>
      </c>
      <c r="G197" s="156" t="n">
        <f aca="false">SUM(G187:G196)+reservavariáveisconsolidadomai[[#This Row],[2]]</f>
        <v>0</v>
      </c>
      <c r="H197" s="156" t="n">
        <f aca="false">SUM(H187:H196)+reservavariáveisconsolidadomai[[#This Row],[3]]</f>
        <v>0</v>
      </c>
      <c r="I197" s="156" t="n">
        <f aca="false">SUM(I187:I196)+reservavariáveisconsolidadomai[[#This Row],[4]]</f>
        <v>0</v>
      </c>
      <c r="J197" s="156" t="n">
        <f aca="false">SUM(J187:J196)+reservavariáveisconsolidadomai[[#This Row],[5]]</f>
        <v>0</v>
      </c>
      <c r="K197" s="156" t="n">
        <f aca="false">SUM(K187:K196)+reservavariáveisconsolidadomai[[#This Row],[6]]</f>
        <v>0</v>
      </c>
      <c r="L197" s="156" t="n">
        <f aca="false">SUM(L187:L196)+reservavariáveisconsolidadomai[[#This Row],[7]]</f>
        <v>0</v>
      </c>
      <c r="M197" s="156" t="n">
        <f aca="false">SUM(M187:M196)+reservavariáveisconsolidadomai[[#This Row],[8]]</f>
        <v>0</v>
      </c>
      <c r="N197" s="156" t="n">
        <f aca="false">SUM(N187:N196)+reservavariáveisconsolidadomai[[#This Row],[9]]</f>
        <v>0</v>
      </c>
      <c r="O197" s="156" t="n">
        <f aca="false">SUM(O187:O196)+reservavariáveisconsolidadomai[[#This Row],[10]]</f>
        <v>0</v>
      </c>
      <c r="P197" s="156" t="n">
        <f aca="false">SUM(P187:P196)+reservavariáveisconsolidadomai[[#This Row],[11]]</f>
        <v>0</v>
      </c>
      <c r="Q197" s="156" t="n">
        <f aca="false">SUM(Q187:Q196)+reservavariáveisconsolidadomai[[#This Row],[12]]</f>
        <v>0</v>
      </c>
      <c r="R197" s="156" t="n">
        <f aca="false">SUM(R187:R196)+reservavariáveisconsolidadomai[[#This Row],[13]]</f>
        <v>0</v>
      </c>
      <c r="S197" s="156" t="n">
        <f aca="false">SUM(S187:S196)+reservavariáveisconsolidadomai[[#This Row],[14]]</f>
        <v>0</v>
      </c>
      <c r="T197" s="156" t="n">
        <f aca="false">SUM(T187:T196)+reservavariáveisconsolidadomai[[#This Row],[15]]</f>
        <v>0</v>
      </c>
      <c r="U197" s="156" t="n">
        <f aca="false">SUM(U187:U196)+reservavariáveisconsolidadomai[[#This Row],[16]]</f>
        <v>0</v>
      </c>
      <c r="V197" s="156" t="n">
        <f aca="false">SUM(V187:V196)+reservavariáveisconsolidadomai[[#This Row],[17]]</f>
        <v>0</v>
      </c>
      <c r="W197" s="156" t="n">
        <f aca="false">SUM(W187:W196)+reservavariáveisconsolidadomai[[#This Row],[18]]</f>
        <v>0</v>
      </c>
      <c r="X197" s="156" t="n">
        <f aca="false">SUM(X187:X196)+reservavariáveisconsolidadomai[[#This Row],[19]]</f>
        <v>0</v>
      </c>
      <c r="Y197" s="156" t="n">
        <f aca="false">SUM(Y187:Y196)+reservavariáveisconsolidadomai[[#This Row],[20]]</f>
        <v>0</v>
      </c>
      <c r="Z197" s="156" t="n">
        <f aca="false">SUM(Z187:Z196)+reservavariáveisconsolidadomai[[#This Row],[21]]</f>
        <v>0</v>
      </c>
      <c r="AA197" s="156" t="n">
        <f aca="false">SUM(AA187:AA196)+reservavariáveisconsolidadomai[[#This Row],[22]]</f>
        <v>0</v>
      </c>
      <c r="AB197" s="156" t="n">
        <f aca="false">SUM(AB187:AB196)+reservavariáveisconsolidadomai[[#This Row],[23]]</f>
        <v>0</v>
      </c>
      <c r="AC197" s="156" t="n">
        <f aca="false">SUM(AC187:AC196)+reservavariáveisconsolidadomai[[#This Row],[24]]</f>
        <v>0</v>
      </c>
      <c r="AD197" s="156" t="n">
        <f aca="false">SUM(AD187:AD196)+reservavariáveisconsolidadomai[[#This Row],[25]]</f>
        <v>0</v>
      </c>
      <c r="AE197" s="156" t="n">
        <f aca="false">SUM(AE187:AE196)+reservavariáveisconsolidadomai[[#This Row],[26]]</f>
        <v>0</v>
      </c>
      <c r="AF197" s="156" t="n">
        <f aca="false">SUM(AF187:AF196)+reservavariáveisconsolidadomai[[#This Row],[27]]</f>
        <v>0</v>
      </c>
      <c r="AG197" s="156" t="n">
        <f aca="false">SUM(AG187:AG196)+reservavariáveisconsolidadomai[[#This Row],[28]]</f>
        <v>0</v>
      </c>
      <c r="AH197" s="156" t="n">
        <f aca="false">SUM(AH187:AH196)+reservavariáveisconsolidadomai[[#This Row],[29]]</f>
        <v>0</v>
      </c>
      <c r="AI197" s="223" t="n">
        <f aca="false">SUM(AI187:AI196)+reservavariáveisconsolidadomai[[#This Row],[30]]</f>
        <v>0</v>
      </c>
      <c r="AJ197" s="157" t="n">
        <f aca="false">reservavariáveisconsolidadomai[[#This Row],[31]]</f>
        <v>0</v>
      </c>
      <c r="AK197" s="158"/>
    </row>
    <row r="198" customFormat="false" ht="6.75" hidden="false" customHeight="true" outlineLevel="0" collapsed="false">
      <c r="B198" s="97"/>
      <c r="C198" s="162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233"/>
      <c r="AJ198" s="164"/>
      <c r="AK198" s="244"/>
    </row>
    <row r="199" s="78" customFormat="true" ht="12.75" hidden="false" customHeight="false" outlineLevel="0" collapsed="false">
      <c r="E199" s="100"/>
    </row>
    <row r="200" s="78" customFormat="true" ht="12" hidden="false" customHeight="false" outlineLevel="0" collapsed="false"/>
    <row r="201" s="78" customFormat="true" ht="12" hidden="false" customHeight="false" outlineLevel="0" collapsed="false"/>
    <row r="202" customFormat="false" ht="39.75" hidden="false" customHeight="true" outlineLevel="0" collapsed="false">
      <c r="C202" s="101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3" t="s">
        <v>2</v>
      </c>
    </row>
    <row r="203" s="78" customFormat="true" ht="12.75" hidden="false" customHeight="false" outlineLevel="0" collapsed="false">
      <c r="B203" s="161"/>
      <c r="AJ203" s="106" t="s">
        <v>64</v>
      </c>
    </row>
    <row r="204" customFormat="false" ht="6.75" hidden="false" customHeight="true" outlineLevel="0" collapsed="false">
      <c r="B204" s="86"/>
      <c r="C204" s="162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233"/>
      <c r="AK204" s="139"/>
    </row>
    <row r="205" customFormat="false" ht="13.5" hidden="true" customHeight="false" outlineLevel="0" collapsed="false">
      <c r="B205" s="86"/>
      <c r="C205" s="109" t="s">
        <v>68</v>
      </c>
      <c r="D205" s="110" t="s">
        <v>69</v>
      </c>
      <c r="E205" s="110" t="s">
        <v>30</v>
      </c>
      <c r="F205" s="110" t="s">
        <v>31</v>
      </c>
      <c r="G205" s="110" t="s">
        <v>32</v>
      </c>
      <c r="H205" s="110" t="s">
        <v>33</v>
      </c>
      <c r="I205" s="110" t="s">
        <v>34</v>
      </c>
      <c r="J205" s="110" t="s">
        <v>35</v>
      </c>
      <c r="K205" s="110" t="s">
        <v>36</v>
      </c>
      <c r="L205" s="110" t="s">
        <v>37</v>
      </c>
      <c r="M205" s="110" t="s">
        <v>38</v>
      </c>
      <c r="N205" s="110" t="s">
        <v>39</v>
      </c>
      <c r="O205" s="110" t="s">
        <v>40</v>
      </c>
      <c r="P205" s="110" t="s">
        <v>41</v>
      </c>
      <c r="Q205" s="110" t="s">
        <v>81</v>
      </c>
      <c r="R205" s="110" t="s">
        <v>82</v>
      </c>
      <c r="S205" s="110" t="s">
        <v>83</v>
      </c>
      <c r="T205" s="110" t="s">
        <v>84</v>
      </c>
      <c r="U205" s="110" t="s">
        <v>85</v>
      </c>
      <c r="V205" s="110" t="s">
        <v>86</v>
      </c>
      <c r="W205" s="110" t="s">
        <v>87</v>
      </c>
      <c r="X205" s="110" t="s">
        <v>88</v>
      </c>
      <c r="Y205" s="110" t="s">
        <v>89</v>
      </c>
      <c r="Z205" s="110" t="s">
        <v>90</v>
      </c>
      <c r="AA205" s="110" t="s">
        <v>91</v>
      </c>
      <c r="AB205" s="110" t="s">
        <v>92</v>
      </c>
      <c r="AC205" s="110" t="s">
        <v>93</v>
      </c>
      <c r="AD205" s="110" t="s">
        <v>94</v>
      </c>
      <c r="AE205" s="110" t="s">
        <v>95</v>
      </c>
      <c r="AF205" s="110" t="s">
        <v>96</v>
      </c>
      <c r="AG205" s="110" t="s">
        <v>97</v>
      </c>
      <c r="AH205" s="110" t="s">
        <v>98</v>
      </c>
      <c r="AI205" s="110" t="s">
        <v>99</v>
      </c>
      <c r="AJ205" s="111" t="s">
        <v>70</v>
      </c>
      <c r="AK205" s="86"/>
    </row>
    <row r="206" customFormat="false" ht="19.5" hidden="false" customHeight="true" outlineLevel="0" collapsed="false">
      <c r="B206" s="143"/>
      <c r="C206" s="144" t="str">
        <f aca="false">DADOS!$AP$3</f>
        <v>📝 COE</v>
      </c>
      <c r="D206" s="145" t="str">
        <f aca="false">IF(reservaoutrosconsolidadomai[[#This Row],[TOTAL (R$)]]=0,"",IF(OR(reservaoutrosconsolidadomai[[#This Row],[TOTAL (R$)]]=LARGE($AJ$206:$AJ$213,1),reservaoutrosconsolidadomai[[#This Row],[TOTAL (R$)]]=LARGE($AJ$206:$AJ$213,2)),DADOS!$I$11,""))</f>
        <v/>
      </c>
      <c r="E206" s="148" t="n">
        <f aca="false">SUMIFS(tabela_registros[VALOR],tabela_registros[MÊS],$AE$1,tabela_registros[DIA],reservaoutrosconsolidadomai[[#Headers],[1]],tabela_registros[REGISTRO],DADOS!$N$6,tabela_registros[TIPO],DADOS!$AJ$5,tabela_registros[CATEGORIA],reservaoutrosconsolidadomai[[#This Row],[ATUAL]])</f>
        <v>0</v>
      </c>
      <c r="F206" s="119" t="n">
        <f aca="false">SUMIFS(tabela_registros[VALOR],tabela_registros[MÊS],$AE$1,tabela_registros[DIA],reservaoutrosconsolidadomai[[#Headers],[2]],tabela_registros[REGISTRO],DADOS!$N$6,tabela_registros[TIPO],DADOS!$AJ$5,tabela_registros[CATEGORIA],reservaoutrosconsolidadomai[[#This Row],[ATUAL]])</f>
        <v>0</v>
      </c>
      <c r="G206" s="119" t="n">
        <f aca="false">SUMIFS(tabela_registros[VALOR],tabela_registros[MÊS],$AE$1,tabela_registros[DIA],reservaoutrosconsolidadomai[[#Headers],[3]],tabela_registros[REGISTRO],DADOS!$N$6,tabela_registros[TIPO],DADOS!$AJ$5,tabela_registros[CATEGORIA],reservaoutrosconsolidadomai[[#This Row],[ATUAL]])</f>
        <v>0</v>
      </c>
      <c r="H206" s="119" t="n">
        <f aca="false">SUMIFS(tabela_registros[VALOR],tabela_registros[MÊS],$AE$1,tabela_registros[DIA],reservaoutrosconsolidadomai[[#Headers],[4]],tabela_registros[REGISTRO],DADOS!$N$6,tabela_registros[TIPO],DADOS!$AJ$5,tabela_registros[CATEGORIA],reservaoutrosconsolidadomai[[#This Row],[ATUAL]])</f>
        <v>0</v>
      </c>
      <c r="I206" s="119" t="n">
        <f aca="false">SUMIFS(tabela_registros[VALOR],tabela_registros[MÊS],$AE$1,tabela_registros[DIA],reservaoutrosconsolidadomai[[#Headers],[5]],tabela_registros[REGISTRO],DADOS!$N$6,tabela_registros[TIPO],DADOS!$AJ$5,tabela_registros[CATEGORIA],reservaoutrosconsolidadomai[[#This Row],[ATUAL]])</f>
        <v>0</v>
      </c>
      <c r="J206" s="119" t="n">
        <f aca="false">SUMIFS(tabela_registros[VALOR],tabela_registros[MÊS],$AE$1,tabela_registros[DIA],reservaoutrosconsolidadomai[[#Headers],[6]],tabela_registros[REGISTRO],DADOS!$N$6,tabela_registros[TIPO],DADOS!$AJ$5,tabela_registros[CATEGORIA],reservaoutrosconsolidadomai[[#This Row],[ATUAL]])</f>
        <v>0</v>
      </c>
      <c r="K206" s="119" t="n">
        <f aca="false">SUMIFS(tabela_registros[VALOR],tabela_registros[MÊS],$AE$1,tabela_registros[DIA],reservaoutrosconsolidadomai[[#Headers],[7]],tabela_registros[REGISTRO],DADOS!$N$6,tabela_registros[TIPO],DADOS!$AJ$5,tabela_registros[CATEGORIA],reservaoutrosconsolidadomai[[#This Row],[ATUAL]])</f>
        <v>0</v>
      </c>
      <c r="L206" s="119" t="n">
        <f aca="false">SUMIFS(tabela_registros[VALOR],tabela_registros[MÊS],$AE$1,tabela_registros[DIA],reservaoutrosconsolidadomai[[#Headers],[8]],tabela_registros[REGISTRO],DADOS!$N$6,tabela_registros[TIPO],DADOS!$AJ$5,tabela_registros[CATEGORIA],reservaoutrosconsolidadomai[[#This Row],[ATUAL]])</f>
        <v>0</v>
      </c>
      <c r="M206" s="119" t="n">
        <f aca="false">SUMIFS(tabela_registros[VALOR],tabela_registros[MÊS],$AE$1,tabela_registros[DIA],reservaoutrosconsolidadomai[[#Headers],[9]],tabela_registros[REGISTRO],DADOS!$N$6,tabela_registros[TIPO],DADOS!$AJ$5,tabela_registros[CATEGORIA],reservaoutrosconsolidadomai[[#This Row],[ATUAL]])</f>
        <v>0</v>
      </c>
      <c r="N206" s="119" t="n">
        <f aca="false">SUMIFS(tabela_registros[VALOR],tabela_registros[MÊS],$AE$1,tabela_registros[DIA],reservaoutrosconsolidadomai[[#Headers],[10]],tabela_registros[REGISTRO],DADOS!$N$6,tabela_registros[TIPO],DADOS!$AJ$5,tabela_registros[CATEGORIA],reservaoutrosconsolidadomai[[#This Row],[ATUAL]])</f>
        <v>0</v>
      </c>
      <c r="O206" s="119" t="n">
        <f aca="false">SUMIFS(tabela_registros[VALOR],tabela_registros[MÊS],$AE$1,tabela_registros[DIA],reservaoutrosconsolidadomai[[#Headers],[11]],tabela_registros[REGISTRO],DADOS!$N$6,tabela_registros[TIPO],DADOS!$AJ$5,tabela_registros[CATEGORIA],reservaoutrosconsolidadomai[[#This Row],[ATUAL]])</f>
        <v>0</v>
      </c>
      <c r="P206" s="119" t="n">
        <f aca="false">SUMIFS(tabela_registros[VALOR],tabela_registros[MÊS],$AE$1,tabela_registros[DIA],reservaoutrosconsolidadomai[[#Headers],[12]],tabela_registros[REGISTRO],DADOS!$N$6,tabela_registros[TIPO],DADOS!$AJ$5,tabela_registros[CATEGORIA],reservaoutrosconsolidadomai[[#This Row],[ATUAL]])</f>
        <v>0</v>
      </c>
      <c r="Q206" s="119" t="n">
        <f aca="false">SUMIFS(tabela_registros[VALOR],tabela_registros[MÊS],$AE$1,tabela_registros[DIA],reservaoutrosconsolidadomai[[#Headers],[13]],tabela_registros[REGISTRO],DADOS!$N$6,tabela_registros[TIPO],DADOS!$AJ$5,tabela_registros[CATEGORIA],reservaoutrosconsolidadomai[[#This Row],[ATUAL]])</f>
        <v>0</v>
      </c>
      <c r="R206" s="119" t="n">
        <f aca="false">SUMIFS(tabela_registros[VALOR],tabela_registros[MÊS],$AE$1,tabela_registros[DIA],reservaoutrosconsolidadomai[[#Headers],[14]],tabela_registros[REGISTRO],DADOS!$N$6,tabela_registros[TIPO],DADOS!$AJ$5,tabela_registros[CATEGORIA],reservaoutrosconsolidadomai[[#This Row],[ATUAL]])</f>
        <v>0</v>
      </c>
      <c r="S206" s="119" t="n">
        <f aca="false">SUMIFS(tabela_registros[VALOR],tabela_registros[MÊS],$AE$1,tabela_registros[DIA],reservaoutrosconsolidadomai[[#Headers],[15]],tabela_registros[REGISTRO],DADOS!$N$6,tabela_registros[TIPO],DADOS!$AJ$5,tabela_registros[CATEGORIA],reservaoutrosconsolidadomai[[#This Row],[ATUAL]])</f>
        <v>0</v>
      </c>
      <c r="T206" s="119" t="n">
        <f aca="false">SUMIFS(tabela_registros[VALOR],tabela_registros[MÊS],$AE$1,tabela_registros[DIA],reservaoutrosconsolidadomai[[#Headers],[16]],tabela_registros[REGISTRO],DADOS!$N$6,tabela_registros[TIPO],DADOS!$AJ$5,tabela_registros[CATEGORIA],reservaoutrosconsolidadomai[[#This Row],[ATUAL]])</f>
        <v>0</v>
      </c>
      <c r="U206" s="119" t="n">
        <f aca="false">SUMIFS(tabela_registros[VALOR],tabela_registros[MÊS],$AE$1,tabela_registros[DIA],reservaoutrosconsolidadomai[[#Headers],[17]],tabela_registros[REGISTRO],DADOS!$N$6,tabela_registros[TIPO],DADOS!$AJ$5,tabela_registros[CATEGORIA],reservaoutrosconsolidadomai[[#This Row],[ATUAL]])</f>
        <v>0</v>
      </c>
      <c r="V206" s="119" t="n">
        <f aca="false">SUMIFS(tabela_registros[VALOR],tabela_registros[MÊS],$AE$1,tabela_registros[DIA],reservaoutrosconsolidadomai[[#Headers],[18]],tabela_registros[REGISTRO],DADOS!$N$6,tabela_registros[TIPO],DADOS!$AJ$5,tabela_registros[CATEGORIA],reservaoutrosconsolidadomai[[#This Row],[ATUAL]])</f>
        <v>0</v>
      </c>
      <c r="W206" s="119" t="n">
        <f aca="false">SUMIFS(tabela_registros[VALOR],tabela_registros[MÊS],$AE$1,tabela_registros[DIA],reservaoutrosconsolidadomai[[#Headers],[19]],tabela_registros[REGISTRO],DADOS!$N$6,tabela_registros[TIPO],DADOS!$AJ$5,tabela_registros[CATEGORIA],reservaoutrosconsolidadomai[[#This Row],[ATUAL]])</f>
        <v>0</v>
      </c>
      <c r="X206" s="119" t="n">
        <f aca="false">SUMIFS(tabela_registros[VALOR],tabela_registros[MÊS],$AE$1,tabela_registros[DIA],reservaoutrosconsolidadomai[[#Headers],[20]],tabela_registros[REGISTRO],DADOS!$N$6,tabela_registros[TIPO],DADOS!$AJ$5,tabela_registros[CATEGORIA],reservaoutrosconsolidadomai[[#This Row],[ATUAL]])</f>
        <v>0</v>
      </c>
      <c r="Y206" s="119" t="n">
        <f aca="false">SUMIFS(tabela_registros[VALOR],tabela_registros[MÊS],$AE$1,tabela_registros[DIA],reservaoutrosconsolidadomai[[#Headers],[21]],tabela_registros[REGISTRO],DADOS!$N$6,tabela_registros[TIPO],DADOS!$AJ$5,tabela_registros[CATEGORIA],reservaoutrosconsolidadomai[[#This Row],[ATUAL]])</f>
        <v>0</v>
      </c>
      <c r="Z206" s="119" t="n">
        <f aca="false">SUMIFS(tabela_registros[VALOR],tabela_registros[MÊS],$AE$1,tabela_registros[DIA],reservaoutrosconsolidadomai[[#Headers],[22]],tabela_registros[REGISTRO],DADOS!$N$6,tabela_registros[TIPO],DADOS!$AJ$5,tabela_registros[CATEGORIA],reservaoutrosconsolidadomai[[#This Row],[ATUAL]])</f>
        <v>0</v>
      </c>
      <c r="AA206" s="119" t="n">
        <f aca="false">SUMIFS(tabela_registros[VALOR],tabela_registros[MÊS],$AE$1,tabela_registros[DIA],reservaoutrosconsolidadomai[[#Headers],[23]],tabela_registros[REGISTRO],DADOS!$N$6,tabela_registros[TIPO],DADOS!$AJ$5,tabela_registros[CATEGORIA],reservaoutrosconsolidadomai[[#This Row],[ATUAL]])</f>
        <v>0</v>
      </c>
      <c r="AB206" s="119" t="n">
        <f aca="false">SUMIFS(tabela_registros[VALOR],tabela_registros[MÊS],$AE$1,tabela_registros[DIA],reservaoutrosconsolidadomai[[#Headers],[24]],tabela_registros[REGISTRO],DADOS!$N$6,tabela_registros[TIPO],DADOS!$AJ$5,tabela_registros[CATEGORIA],reservaoutrosconsolidadomai[[#This Row],[ATUAL]])</f>
        <v>0</v>
      </c>
      <c r="AC206" s="119" t="n">
        <f aca="false">SUMIFS(tabela_registros[VALOR],tabela_registros[MÊS],$AE$1,tabela_registros[DIA],reservaoutrosconsolidadomai[[#Headers],[25]],tabela_registros[REGISTRO],DADOS!$N$6,tabela_registros[TIPO],DADOS!$AJ$5,tabela_registros[CATEGORIA],reservaoutrosconsolidadomai[[#This Row],[ATUAL]])</f>
        <v>0</v>
      </c>
      <c r="AD206" s="119" t="n">
        <f aca="false">SUMIFS(tabela_registros[VALOR],tabela_registros[MÊS],$AE$1,tabela_registros[DIA],reservaoutrosconsolidadomai[[#Headers],[26]],tabela_registros[REGISTRO],DADOS!$N$6,tabela_registros[TIPO],DADOS!$AJ$5,tabela_registros[CATEGORIA],reservaoutrosconsolidadomai[[#This Row],[ATUAL]])</f>
        <v>0</v>
      </c>
      <c r="AE206" s="119" t="n">
        <f aca="false">SUMIFS(tabela_registros[VALOR],tabela_registros[MÊS],$AE$1,tabela_registros[DIA],reservaoutrosconsolidadomai[[#Headers],[27]],tabela_registros[REGISTRO],DADOS!$N$6,tabela_registros[TIPO],DADOS!$AJ$5,tabela_registros[CATEGORIA],reservaoutrosconsolidadomai[[#This Row],[ATUAL]])</f>
        <v>0</v>
      </c>
      <c r="AF206" s="119" t="n">
        <f aca="false">SUMIFS(tabela_registros[VALOR],tabela_registros[MÊS],$AE$1,tabela_registros[DIA],reservaoutrosconsolidadomai[[#Headers],[28]],tabela_registros[REGISTRO],DADOS!$N$6,tabela_registros[TIPO],DADOS!$AJ$5,tabela_registros[CATEGORIA],reservaoutrosconsolidadomai[[#This Row],[ATUAL]])</f>
        <v>0</v>
      </c>
      <c r="AG206" s="119" t="n">
        <f aca="false">SUMIFS(tabela_registros[VALOR],tabela_registros[MÊS],$AE$1,tabela_registros[DIA],reservaoutrosconsolidadomai[[#Headers],[29]],tabela_registros[REGISTRO],DADOS!$N$6,tabela_registros[TIPO],DADOS!$AJ$5,tabela_registros[CATEGORIA],reservaoutrosconsolidadomai[[#This Row],[ATUAL]])</f>
        <v>0</v>
      </c>
      <c r="AH206" s="119" t="n">
        <f aca="false">SUMIFS(tabela_registros[VALOR],tabela_registros[MÊS],$AE$1,tabela_registros[DIA],reservaoutrosconsolidadomai[[#Headers],[30]],tabela_registros[REGISTRO],DADOS!$N$6,tabela_registros[TIPO],DADOS!$AJ$5,tabela_registros[CATEGORIA],reservaoutrosconsolidadomai[[#This Row],[ATUAL]])</f>
        <v>0</v>
      </c>
      <c r="AI206" s="217" t="n">
        <f aca="false">SUMIFS(tabela_registros[VALOR],tabela_registros[MÊS],$AE$1,tabela_registros[DIA],reservaoutrosconsolidadomai[[#Headers],[31]],tabela_registros[REGISTRO],DADOS!$N$6,tabela_registros[TIPO],DADOS!$AJ$5,tabela_registros[CATEGORIA],reservaoutrosconsolidadomai[[#This Row],[ATUAL]])</f>
        <v>0</v>
      </c>
      <c r="AJ206" s="149" t="n">
        <f aca="false">SUM(reservaoutrosconsolidadomai[[#This Row],[1]:[31]])</f>
        <v>0</v>
      </c>
      <c r="AK206" s="165"/>
    </row>
    <row r="207" customFormat="false" ht="19.5" hidden="false" customHeight="true" outlineLevel="0" collapsed="false">
      <c r="B207" s="143"/>
      <c r="C207" s="144" t="str">
        <f aca="false">DADOS!$AP$4</f>
        <v>📝 FOREX</v>
      </c>
      <c r="D207" s="145" t="str">
        <f aca="false">IF(reservaoutrosconsolidadomai[[#This Row],[TOTAL (R$)]]=0,"",IF(OR(reservaoutrosconsolidadomai[[#This Row],[TOTAL (R$)]]=LARGE($AJ$206:$AJ$213,1),reservaoutrosconsolidadomai[[#This Row],[TOTAL (R$)]]=LARGE($AJ$206:$AJ$213,2)),DADOS!$I$11,""))</f>
        <v/>
      </c>
      <c r="E207" s="148" t="n">
        <f aca="false">SUMIFS(tabela_registros[VALOR],tabela_registros[MÊS],$AE$1,tabela_registros[DIA],reservaoutrosconsolidadomai[[#Headers],[1]],tabela_registros[REGISTRO],DADOS!$N$6,tabela_registros[TIPO],DADOS!$AJ$5,tabela_registros[CATEGORIA],reservaoutrosconsolidadomai[[#This Row],[ATUAL]])</f>
        <v>0</v>
      </c>
      <c r="F207" s="119" t="n">
        <f aca="false">SUMIFS(tabela_registros[VALOR],tabela_registros[MÊS],$AE$1,tabela_registros[DIA],reservaoutrosconsolidadomai[[#Headers],[2]],tabela_registros[REGISTRO],DADOS!$N$6,tabela_registros[TIPO],DADOS!$AJ$5,tabela_registros[CATEGORIA],reservaoutrosconsolidadomai[[#This Row],[ATUAL]])</f>
        <v>0</v>
      </c>
      <c r="G207" s="119" t="n">
        <f aca="false">SUMIFS(tabela_registros[VALOR],tabela_registros[MÊS],$AE$1,tabela_registros[DIA],reservaoutrosconsolidadomai[[#Headers],[3]],tabela_registros[REGISTRO],DADOS!$N$6,tabela_registros[TIPO],DADOS!$AJ$5,tabela_registros[CATEGORIA],reservaoutrosconsolidadomai[[#This Row],[ATUAL]])</f>
        <v>0</v>
      </c>
      <c r="H207" s="119" t="n">
        <f aca="false">SUMIFS(tabela_registros[VALOR],tabela_registros[MÊS],$AE$1,tabela_registros[DIA],reservaoutrosconsolidadomai[[#Headers],[4]],tabela_registros[REGISTRO],DADOS!$N$6,tabela_registros[TIPO],DADOS!$AJ$5,tabela_registros[CATEGORIA],reservaoutrosconsolidadomai[[#This Row],[ATUAL]])</f>
        <v>0</v>
      </c>
      <c r="I207" s="119" t="n">
        <f aca="false">SUMIFS(tabela_registros[VALOR],tabela_registros[MÊS],$AE$1,tabela_registros[DIA],reservaoutrosconsolidadomai[[#Headers],[5]],tabela_registros[REGISTRO],DADOS!$N$6,tabela_registros[TIPO],DADOS!$AJ$5,tabela_registros[CATEGORIA],reservaoutrosconsolidadomai[[#This Row],[ATUAL]])</f>
        <v>0</v>
      </c>
      <c r="J207" s="119" t="n">
        <f aca="false">SUMIFS(tabela_registros[VALOR],tabela_registros[MÊS],$AE$1,tabela_registros[DIA],reservaoutrosconsolidadomai[[#Headers],[6]],tabela_registros[REGISTRO],DADOS!$N$6,tabela_registros[TIPO],DADOS!$AJ$5,tabela_registros[CATEGORIA],reservaoutrosconsolidadomai[[#This Row],[ATUAL]])</f>
        <v>0</v>
      </c>
      <c r="K207" s="119" t="n">
        <f aca="false">SUMIFS(tabela_registros[VALOR],tabela_registros[MÊS],$AE$1,tabela_registros[DIA],reservaoutrosconsolidadomai[[#Headers],[7]],tabela_registros[REGISTRO],DADOS!$N$6,tabela_registros[TIPO],DADOS!$AJ$5,tabela_registros[CATEGORIA],reservaoutrosconsolidadomai[[#This Row],[ATUAL]])</f>
        <v>0</v>
      </c>
      <c r="L207" s="119" t="n">
        <f aca="false">SUMIFS(tabela_registros[VALOR],tabela_registros[MÊS],$AE$1,tabela_registros[DIA],reservaoutrosconsolidadomai[[#Headers],[8]],tabela_registros[REGISTRO],DADOS!$N$6,tabela_registros[TIPO],DADOS!$AJ$5,tabela_registros[CATEGORIA],reservaoutrosconsolidadomai[[#This Row],[ATUAL]])</f>
        <v>0</v>
      </c>
      <c r="M207" s="119" t="n">
        <f aca="false">SUMIFS(tabela_registros[VALOR],tabela_registros[MÊS],$AE$1,tabela_registros[DIA],reservaoutrosconsolidadomai[[#Headers],[9]],tabela_registros[REGISTRO],DADOS!$N$6,tabela_registros[TIPO],DADOS!$AJ$5,tabela_registros[CATEGORIA],reservaoutrosconsolidadomai[[#This Row],[ATUAL]])</f>
        <v>0</v>
      </c>
      <c r="N207" s="119" t="n">
        <f aca="false">SUMIFS(tabela_registros[VALOR],tabela_registros[MÊS],$AE$1,tabela_registros[DIA],reservaoutrosconsolidadomai[[#Headers],[10]],tabela_registros[REGISTRO],DADOS!$N$6,tabela_registros[TIPO],DADOS!$AJ$5,tabela_registros[CATEGORIA],reservaoutrosconsolidadomai[[#This Row],[ATUAL]])</f>
        <v>0</v>
      </c>
      <c r="O207" s="119" t="n">
        <f aca="false">SUMIFS(tabela_registros[VALOR],tabela_registros[MÊS],$AE$1,tabela_registros[DIA],reservaoutrosconsolidadomai[[#Headers],[11]],tabela_registros[REGISTRO],DADOS!$N$6,tabela_registros[TIPO],DADOS!$AJ$5,tabela_registros[CATEGORIA],reservaoutrosconsolidadomai[[#This Row],[ATUAL]])</f>
        <v>0</v>
      </c>
      <c r="P207" s="119" t="n">
        <f aca="false">SUMIFS(tabela_registros[VALOR],tabela_registros[MÊS],$AE$1,tabela_registros[DIA],reservaoutrosconsolidadomai[[#Headers],[12]],tabela_registros[REGISTRO],DADOS!$N$6,tabela_registros[TIPO],DADOS!$AJ$5,tabela_registros[CATEGORIA],reservaoutrosconsolidadomai[[#This Row],[ATUAL]])</f>
        <v>0</v>
      </c>
      <c r="Q207" s="119" t="n">
        <f aca="false">SUMIFS(tabela_registros[VALOR],tabela_registros[MÊS],$AE$1,tabela_registros[DIA],reservaoutrosconsolidadomai[[#Headers],[13]],tabela_registros[REGISTRO],DADOS!$N$6,tabela_registros[TIPO],DADOS!$AJ$5,tabela_registros[CATEGORIA],reservaoutrosconsolidadomai[[#This Row],[ATUAL]])</f>
        <v>0</v>
      </c>
      <c r="R207" s="119" t="n">
        <f aca="false">SUMIFS(tabela_registros[VALOR],tabela_registros[MÊS],$AE$1,tabela_registros[DIA],reservaoutrosconsolidadomai[[#Headers],[14]],tabela_registros[REGISTRO],DADOS!$N$6,tabela_registros[TIPO],DADOS!$AJ$5,tabela_registros[CATEGORIA],reservaoutrosconsolidadomai[[#This Row],[ATUAL]])</f>
        <v>0</v>
      </c>
      <c r="S207" s="119" t="n">
        <f aca="false">SUMIFS(tabela_registros[VALOR],tabela_registros[MÊS],$AE$1,tabela_registros[DIA],reservaoutrosconsolidadomai[[#Headers],[15]],tabela_registros[REGISTRO],DADOS!$N$6,tabela_registros[TIPO],DADOS!$AJ$5,tabela_registros[CATEGORIA],reservaoutrosconsolidadomai[[#This Row],[ATUAL]])</f>
        <v>0</v>
      </c>
      <c r="T207" s="119" t="n">
        <f aca="false">SUMIFS(tabela_registros[VALOR],tabela_registros[MÊS],$AE$1,tabela_registros[DIA],reservaoutrosconsolidadomai[[#Headers],[16]],tabela_registros[REGISTRO],DADOS!$N$6,tabela_registros[TIPO],DADOS!$AJ$5,tabela_registros[CATEGORIA],reservaoutrosconsolidadomai[[#This Row],[ATUAL]])</f>
        <v>0</v>
      </c>
      <c r="U207" s="119" t="n">
        <f aca="false">SUMIFS(tabela_registros[VALOR],tabela_registros[MÊS],$AE$1,tabela_registros[DIA],reservaoutrosconsolidadomai[[#Headers],[17]],tabela_registros[REGISTRO],DADOS!$N$6,tabela_registros[TIPO],DADOS!$AJ$5,tabela_registros[CATEGORIA],reservaoutrosconsolidadomai[[#This Row],[ATUAL]])</f>
        <v>0</v>
      </c>
      <c r="V207" s="119" t="n">
        <f aca="false">SUMIFS(tabela_registros[VALOR],tabela_registros[MÊS],$AE$1,tabela_registros[DIA],reservaoutrosconsolidadomai[[#Headers],[18]],tabela_registros[REGISTRO],DADOS!$N$6,tabela_registros[TIPO],DADOS!$AJ$5,tabela_registros[CATEGORIA],reservaoutrosconsolidadomai[[#This Row],[ATUAL]])</f>
        <v>0</v>
      </c>
      <c r="W207" s="119" t="n">
        <f aca="false">SUMIFS(tabela_registros[VALOR],tabela_registros[MÊS],$AE$1,tabela_registros[DIA],reservaoutrosconsolidadomai[[#Headers],[19]],tabela_registros[REGISTRO],DADOS!$N$6,tabela_registros[TIPO],DADOS!$AJ$5,tabela_registros[CATEGORIA],reservaoutrosconsolidadomai[[#This Row],[ATUAL]])</f>
        <v>0</v>
      </c>
      <c r="X207" s="119" t="n">
        <f aca="false">SUMIFS(tabela_registros[VALOR],tabela_registros[MÊS],$AE$1,tabela_registros[DIA],reservaoutrosconsolidadomai[[#Headers],[20]],tabela_registros[REGISTRO],DADOS!$N$6,tabela_registros[TIPO],DADOS!$AJ$5,tabela_registros[CATEGORIA],reservaoutrosconsolidadomai[[#This Row],[ATUAL]])</f>
        <v>0</v>
      </c>
      <c r="Y207" s="119" t="n">
        <f aca="false">SUMIFS(tabela_registros[VALOR],tabela_registros[MÊS],$AE$1,tabela_registros[DIA],reservaoutrosconsolidadomai[[#Headers],[21]],tabela_registros[REGISTRO],DADOS!$N$6,tabela_registros[TIPO],DADOS!$AJ$5,tabela_registros[CATEGORIA],reservaoutrosconsolidadomai[[#This Row],[ATUAL]])</f>
        <v>0</v>
      </c>
      <c r="Z207" s="119" t="n">
        <f aca="false">SUMIFS(tabela_registros[VALOR],tabela_registros[MÊS],$AE$1,tabela_registros[DIA],reservaoutrosconsolidadomai[[#Headers],[22]],tabela_registros[REGISTRO],DADOS!$N$6,tabela_registros[TIPO],DADOS!$AJ$5,tabela_registros[CATEGORIA],reservaoutrosconsolidadomai[[#This Row],[ATUAL]])</f>
        <v>0</v>
      </c>
      <c r="AA207" s="119" t="n">
        <f aca="false">SUMIFS(tabela_registros[VALOR],tabela_registros[MÊS],$AE$1,tabela_registros[DIA],reservaoutrosconsolidadomai[[#Headers],[23]],tabela_registros[REGISTRO],DADOS!$N$6,tabela_registros[TIPO],DADOS!$AJ$5,tabela_registros[CATEGORIA],reservaoutrosconsolidadomai[[#This Row],[ATUAL]])</f>
        <v>0</v>
      </c>
      <c r="AB207" s="119" t="n">
        <f aca="false">SUMIFS(tabela_registros[VALOR],tabela_registros[MÊS],$AE$1,tabela_registros[DIA],reservaoutrosconsolidadomai[[#Headers],[24]],tabela_registros[REGISTRO],DADOS!$N$6,tabela_registros[TIPO],DADOS!$AJ$5,tabela_registros[CATEGORIA],reservaoutrosconsolidadomai[[#This Row],[ATUAL]])</f>
        <v>0</v>
      </c>
      <c r="AC207" s="119" t="n">
        <f aca="false">SUMIFS(tabela_registros[VALOR],tabela_registros[MÊS],$AE$1,tabela_registros[DIA],reservaoutrosconsolidadomai[[#Headers],[25]],tabela_registros[REGISTRO],DADOS!$N$6,tabela_registros[TIPO],DADOS!$AJ$5,tabela_registros[CATEGORIA],reservaoutrosconsolidadomai[[#This Row],[ATUAL]])</f>
        <v>0</v>
      </c>
      <c r="AD207" s="119" t="n">
        <f aca="false">SUMIFS(tabela_registros[VALOR],tabela_registros[MÊS],$AE$1,tabela_registros[DIA],reservaoutrosconsolidadomai[[#Headers],[26]],tabela_registros[REGISTRO],DADOS!$N$6,tabela_registros[TIPO],DADOS!$AJ$5,tabela_registros[CATEGORIA],reservaoutrosconsolidadomai[[#This Row],[ATUAL]])</f>
        <v>0</v>
      </c>
      <c r="AE207" s="119" t="n">
        <f aca="false">SUMIFS(tabela_registros[VALOR],tabela_registros[MÊS],$AE$1,tabela_registros[DIA],reservaoutrosconsolidadomai[[#Headers],[27]],tabela_registros[REGISTRO],DADOS!$N$6,tabela_registros[TIPO],DADOS!$AJ$5,tabela_registros[CATEGORIA],reservaoutrosconsolidadomai[[#This Row],[ATUAL]])</f>
        <v>0</v>
      </c>
      <c r="AF207" s="119" t="n">
        <f aca="false">SUMIFS(tabela_registros[VALOR],tabela_registros[MÊS],$AE$1,tabela_registros[DIA],reservaoutrosconsolidadomai[[#Headers],[28]],tabela_registros[REGISTRO],DADOS!$N$6,tabela_registros[TIPO],DADOS!$AJ$5,tabela_registros[CATEGORIA],reservaoutrosconsolidadomai[[#This Row],[ATUAL]])</f>
        <v>0</v>
      </c>
      <c r="AG207" s="119" t="n">
        <f aca="false">SUMIFS(tabela_registros[VALOR],tabela_registros[MÊS],$AE$1,tabela_registros[DIA],reservaoutrosconsolidadomai[[#Headers],[29]],tabela_registros[REGISTRO],DADOS!$N$6,tabela_registros[TIPO],DADOS!$AJ$5,tabela_registros[CATEGORIA],reservaoutrosconsolidadomai[[#This Row],[ATUAL]])</f>
        <v>0</v>
      </c>
      <c r="AH207" s="119" t="n">
        <f aca="false">SUMIFS(tabela_registros[VALOR],tabela_registros[MÊS],$AE$1,tabela_registros[DIA],reservaoutrosconsolidadomai[[#Headers],[30]],tabela_registros[REGISTRO],DADOS!$N$6,tabela_registros[TIPO],DADOS!$AJ$5,tabela_registros[CATEGORIA],reservaoutrosconsolidadomai[[#This Row],[ATUAL]])</f>
        <v>0</v>
      </c>
      <c r="AI207" s="217" t="n">
        <f aca="false">SUMIFS(tabela_registros[VALOR],tabela_registros[MÊS],$AE$1,tabela_registros[DIA],reservaoutrosconsolidadomai[[#Headers],[31]],tabela_registros[REGISTRO],DADOS!$N$6,tabela_registros[TIPO],DADOS!$AJ$5,tabela_registros[CATEGORIA],reservaoutrosconsolidadomai[[#This Row],[ATUAL]])</f>
        <v>0</v>
      </c>
      <c r="AJ207" s="149" t="n">
        <f aca="false">SUM(reservaoutrosconsolidadomai[[#This Row],[1]:[31]])</f>
        <v>0</v>
      </c>
      <c r="AK207" s="165"/>
    </row>
    <row r="208" customFormat="false" ht="19.5" hidden="false" customHeight="true" outlineLevel="0" collapsed="false">
      <c r="B208" s="143"/>
      <c r="C208" s="144" t="str">
        <f aca="false">DADOS!$AP$5</f>
        <v>📝 FUNDO DE INVESTIMENTO</v>
      </c>
      <c r="D208" s="145" t="str">
        <f aca="false">IF(reservaoutrosconsolidadomai[[#This Row],[TOTAL (R$)]]=0,"",IF(OR(reservaoutrosconsolidadomai[[#This Row],[TOTAL (R$)]]=LARGE($AJ$206:$AJ$213,1),reservaoutrosconsolidadomai[[#This Row],[TOTAL (R$)]]=LARGE($AJ$206:$AJ$213,2)),DADOS!$I$11,""))</f>
        <v/>
      </c>
      <c r="E208" s="148" t="n">
        <f aca="false">SUMIFS(tabela_registros[VALOR],tabela_registros[MÊS],$AE$1,tabela_registros[DIA],reservaoutrosconsolidadomai[[#Headers],[1]],tabela_registros[REGISTRO],DADOS!$N$6,tabela_registros[TIPO],DADOS!$AJ$5,tabela_registros[CATEGORIA],reservaoutrosconsolidadomai[[#This Row],[ATUAL]])</f>
        <v>0</v>
      </c>
      <c r="F208" s="119" t="n">
        <f aca="false">SUMIFS(tabela_registros[VALOR],tabela_registros[MÊS],$AE$1,tabela_registros[DIA],reservaoutrosconsolidadomai[[#Headers],[2]],tabela_registros[REGISTRO],DADOS!$N$6,tabela_registros[TIPO],DADOS!$AJ$5,tabela_registros[CATEGORIA],reservaoutrosconsolidadomai[[#This Row],[ATUAL]])</f>
        <v>0</v>
      </c>
      <c r="G208" s="119" t="n">
        <f aca="false">SUMIFS(tabela_registros[VALOR],tabela_registros[MÊS],$AE$1,tabela_registros[DIA],reservaoutrosconsolidadomai[[#Headers],[3]],tabela_registros[REGISTRO],DADOS!$N$6,tabela_registros[TIPO],DADOS!$AJ$5,tabela_registros[CATEGORIA],reservaoutrosconsolidadomai[[#This Row],[ATUAL]])</f>
        <v>0</v>
      </c>
      <c r="H208" s="119" t="n">
        <f aca="false">SUMIFS(tabela_registros[VALOR],tabela_registros[MÊS],$AE$1,tabela_registros[DIA],reservaoutrosconsolidadomai[[#Headers],[4]],tabela_registros[REGISTRO],DADOS!$N$6,tabela_registros[TIPO],DADOS!$AJ$5,tabela_registros[CATEGORIA],reservaoutrosconsolidadomai[[#This Row],[ATUAL]])</f>
        <v>0</v>
      </c>
      <c r="I208" s="119" t="n">
        <f aca="false">SUMIFS(tabela_registros[VALOR],tabela_registros[MÊS],$AE$1,tabela_registros[DIA],reservaoutrosconsolidadomai[[#Headers],[5]],tabela_registros[REGISTRO],DADOS!$N$6,tabela_registros[TIPO],DADOS!$AJ$5,tabela_registros[CATEGORIA],reservaoutrosconsolidadomai[[#This Row],[ATUAL]])</f>
        <v>0</v>
      </c>
      <c r="J208" s="119" t="n">
        <f aca="false">SUMIFS(tabela_registros[VALOR],tabela_registros[MÊS],$AE$1,tabela_registros[DIA],reservaoutrosconsolidadomai[[#Headers],[6]],tabela_registros[REGISTRO],DADOS!$N$6,tabela_registros[TIPO],DADOS!$AJ$5,tabela_registros[CATEGORIA],reservaoutrosconsolidadomai[[#This Row],[ATUAL]])</f>
        <v>0</v>
      </c>
      <c r="K208" s="119" t="n">
        <f aca="false">SUMIFS(tabela_registros[VALOR],tabela_registros[MÊS],$AE$1,tabela_registros[DIA],reservaoutrosconsolidadomai[[#Headers],[7]],tabela_registros[REGISTRO],DADOS!$N$6,tabela_registros[TIPO],DADOS!$AJ$5,tabela_registros[CATEGORIA],reservaoutrosconsolidadomai[[#This Row],[ATUAL]])</f>
        <v>0</v>
      </c>
      <c r="L208" s="119" t="n">
        <f aca="false">SUMIFS(tabela_registros[VALOR],tabela_registros[MÊS],$AE$1,tabela_registros[DIA],reservaoutrosconsolidadomai[[#Headers],[8]],tabela_registros[REGISTRO],DADOS!$N$6,tabela_registros[TIPO],DADOS!$AJ$5,tabela_registros[CATEGORIA],reservaoutrosconsolidadomai[[#This Row],[ATUAL]])</f>
        <v>0</v>
      </c>
      <c r="M208" s="119" t="n">
        <f aca="false">SUMIFS(tabela_registros[VALOR],tabela_registros[MÊS],$AE$1,tabela_registros[DIA],reservaoutrosconsolidadomai[[#Headers],[9]],tabela_registros[REGISTRO],DADOS!$N$6,tabela_registros[TIPO],DADOS!$AJ$5,tabela_registros[CATEGORIA],reservaoutrosconsolidadomai[[#This Row],[ATUAL]])</f>
        <v>0</v>
      </c>
      <c r="N208" s="119" t="n">
        <f aca="false">SUMIFS(tabela_registros[VALOR],tabela_registros[MÊS],$AE$1,tabela_registros[DIA],reservaoutrosconsolidadomai[[#Headers],[10]],tabela_registros[REGISTRO],DADOS!$N$6,tabela_registros[TIPO],DADOS!$AJ$5,tabela_registros[CATEGORIA],reservaoutrosconsolidadomai[[#This Row],[ATUAL]])</f>
        <v>0</v>
      </c>
      <c r="O208" s="119" t="n">
        <f aca="false">SUMIFS(tabela_registros[VALOR],tabela_registros[MÊS],$AE$1,tabela_registros[DIA],reservaoutrosconsolidadomai[[#Headers],[11]],tabela_registros[REGISTRO],DADOS!$N$6,tabela_registros[TIPO],DADOS!$AJ$5,tabela_registros[CATEGORIA],reservaoutrosconsolidadomai[[#This Row],[ATUAL]])</f>
        <v>0</v>
      </c>
      <c r="P208" s="119" t="n">
        <f aca="false">SUMIFS(tabela_registros[VALOR],tabela_registros[MÊS],$AE$1,tabela_registros[DIA],reservaoutrosconsolidadomai[[#Headers],[12]],tabela_registros[REGISTRO],DADOS!$N$6,tabela_registros[TIPO],DADOS!$AJ$5,tabela_registros[CATEGORIA],reservaoutrosconsolidadomai[[#This Row],[ATUAL]])</f>
        <v>0</v>
      </c>
      <c r="Q208" s="119" t="n">
        <f aca="false">SUMIFS(tabela_registros[VALOR],tabela_registros[MÊS],$AE$1,tabela_registros[DIA],reservaoutrosconsolidadomai[[#Headers],[13]],tabela_registros[REGISTRO],DADOS!$N$6,tabela_registros[TIPO],DADOS!$AJ$5,tabela_registros[CATEGORIA],reservaoutrosconsolidadomai[[#This Row],[ATUAL]])</f>
        <v>0</v>
      </c>
      <c r="R208" s="119" t="n">
        <f aca="false">SUMIFS(tabela_registros[VALOR],tabela_registros[MÊS],$AE$1,tabela_registros[DIA],reservaoutrosconsolidadomai[[#Headers],[14]],tabela_registros[REGISTRO],DADOS!$N$6,tabela_registros[TIPO],DADOS!$AJ$5,tabela_registros[CATEGORIA],reservaoutrosconsolidadomai[[#This Row],[ATUAL]])</f>
        <v>0</v>
      </c>
      <c r="S208" s="119" t="n">
        <f aca="false">SUMIFS(tabela_registros[VALOR],tabela_registros[MÊS],$AE$1,tabela_registros[DIA],reservaoutrosconsolidadomai[[#Headers],[15]],tabela_registros[REGISTRO],DADOS!$N$6,tabela_registros[TIPO],DADOS!$AJ$5,tabela_registros[CATEGORIA],reservaoutrosconsolidadomai[[#This Row],[ATUAL]])</f>
        <v>0</v>
      </c>
      <c r="T208" s="119" t="n">
        <f aca="false">SUMIFS(tabela_registros[VALOR],tabela_registros[MÊS],$AE$1,tabela_registros[DIA],reservaoutrosconsolidadomai[[#Headers],[16]],tabela_registros[REGISTRO],DADOS!$N$6,tabela_registros[TIPO],DADOS!$AJ$5,tabela_registros[CATEGORIA],reservaoutrosconsolidadomai[[#This Row],[ATUAL]])</f>
        <v>0</v>
      </c>
      <c r="U208" s="119" t="n">
        <f aca="false">SUMIFS(tabela_registros[VALOR],tabela_registros[MÊS],$AE$1,tabela_registros[DIA],reservaoutrosconsolidadomai[[#Headers],[17]],tabela_registros[REGISTRO],DADOS!$N$6,tabela_registros[TIPO],DADOS!$AJ$5,tabela_registros[CATEGORIA],reservaoutrosconsolidadomai[[#This Row],[ATUAL]])</f>
        <v>0</v>
      </c>
      <c r="V208" s="119" t="n">
        <f aca="false">SUMIFS(tabela_registros[VALOR],tabela_registros[MÊS],$AE$1,tabela_registros[DIA],reservaoutrosconsolidadomai[[#Headers],[18]],tabela_registros[REGISTRO],DADOS!$N$6,tabela_registros[TIPO],DADOS!$AJ$5,tabela_registros[CATEGORIA],reservaoutrosconsolidadomai[[#This Row],[ATUAL]])</f>
        <v>0</v>
      </c>
      <c r="W208" s="119" t="n">
        <f aca="false">SUMIFS(tabela_registros[VALOR],tabela_registros[MÊS],$AE$1,tabela_registros[DIA],reservaoutrosconsolidadomai[[#Headers],[19]],tabela_registros[REGISTRO],DADOS!$N$6,tabela_registros[TIPO],DADOS!$AJ$5,tabela_registros[CATEGORIA],reservaoutrosconsolidadomai[[#This Row],[ATUAL]])</f>
        <v>0</v>
      </c>
      <c r="X208" s="119" t="n">
        <f aca="false">SUMIFS(tabela_registros[VALOR],tabela_registros[MÊS],$AE$1,tabela_registros[DIA],reservaoutrosconsolidadomai[[#Headers],[20]],tabela_registros[REGISTRO],DADOS!$N$6,tabela_registros[TIPO],DADOS!$AJ$5,tabela_registros[CATEGORIA],reservaoutrosconsolidadomai[[#This Row],[ATUAL]])</f>
        <v>0</v>
      </c>
      <c r="Y208" s="119" t="n">
        <f aca="false">SUMIFS(tabela_registros[VALOR],tabela_registros[MÊS],$AE$1,tabela_registros[DIA],reservaoutrosconsolidadomai[[#Headers],[21]],tabela_registros[REGISTRO],DADOS!$N$6,tabela_registros[TIPO],DADOS!$AJ$5,tabela_registros[CATEGORIA],reservaoutrosconsolidadomai[[#This Row],[ATUAL]])</f>
        <v>0</v>
      </c>
      <c r="Z208" s="119" t="n">
        <f aca="false">SUMIFS(tabela_registros[VALOR],tabela_registros[MÊS],$AE$1,tabela_registros[DIA],reservaoutrosconsolidadomai[[#Headers],[22]],tabela_registros[REGISTRO],DADOS!$N$6,tabela_registros[TIPO],DADOS!$AJ$5,tabela_registros[CATEGORIA],reservaoutrosconsolidadomai[[#This Row],[ATUAL]])</f>
        <v>0</v>
      </c>
      <c r="AA208" s="119" t="n">
        <f aca="false">SUMIFS(tabela_registros[VALOR],tabela_registros[MÊS],$AE$1,tabela_registros[DIA],reservaoutrosconsolidadomai[[#Headers],[23]],tabela_registros[REGISTRO],DADOS!$N$6,tabela_registros[TIPO],DADOS!$AJ$5,tabela_registros[CATEGORIA],reservaoutrosconsolidadomai[[#This Row],[ATUAL]])</f>
        <v>0</v>
      </c>
      <c r="AB208" s="119" t="n">
        <f aca="false">SUMIFS(tabela_registros[VALOR],tabela_registros[MÊS],$AE$1,tabela_registros[DIA],reservaoutrosconsolidadomai[[#Headers],[24]],tabela_registros[REGISTRO],DADOS!$N$6,tabela_registros[TIPO],DADOS!$AJ$5,tabela_registros[CATEGORIA],reservaoutrosconsolidadomai[[#This Row],[ATUAL]])</f>
        <v>0</v>
      </c>
      <c r="AC208" s="119" t="n">
        <f aca="false">SUMIFS(tabela_registros[VALOR],tabela_registros[MÊS],$AE$1,tabela_registros[DIA],reservaoutrosconsolidadomai[[#Headers],[25]],tabela_registros[REGISTRO],DADOS!$N$6,tabela_registros[TIPO],DADOS!$AJ$5,tabela_registros[CATEGORIA],reservaoutrosconsolidadomai[[#This Row],[ATUAL]])</f>
        <v>0</v>
      </c>
      <c r="AD208" s="119" t="n">
        <f aca="false">SUMIFS(tabela_registros[VALOR],tabela_registros[MÊS],$AE$1,tabela_registros[DIA],reservaoutrosconsolidadomai[[#Headers],[26]],tabela_registros[REGISTRO],DADOS!$N$6,tabela_registros[TIPO],DADOS!$AJ$5,tabela_registros[CATEGORIA],reservaoutrosconsolidadomai[[#This Row],[ATUAL]])</f>
        <v>0</v>
      </c>
      <c r="AE208" s="119" t="n">
        <f aca="false">SUMIFS(tabela_registros[VALOR],tabela_registros[MÊS],$AE$1,tabela_registros[DIA],reservaoutrosconsolidadomai[[#Headers],[27]],tabela_registros[REGISTRO],DADOS!$N$6,tabela_registros[TIPO],DADOS!$AJ$5,tabela_registros[CATEGORIA],reservaoutrosconsolidadomai[[#This Row],[ATUAL]])</f>
        <v>0</v>
      </c>
      <c r="AF208" s="119" t="n">
        <f aca="false">SUMIFS(tabela_registros[VALOR],tabela_registros[MÊS],$AE$1,tabela_registros[DIA],reservaoutrosconsolidadomai[[#Headers],[28]],tabela_registros[REGISTRO],DADOS!$N$6,tabela_registros[TIPO],DADOS!$AJ$5,tabela_registros[CATEGORIA],reservaoutrosconsolidadomai[[#This Row],[ATUAL]])</f>
        <v>0</v>
      </c>
      <c r="AG208" s="119" t="n">
        <f aca="false">SUMIFS(tabela_registros[VALOR],tabela_registros[MÊS],$AE$1,tabela_registros[DIA],reservaoutrosconsolidadomai[[#Headers],[29]],tabela_registros[REGISTRO],DADOS!$N$6,tabela_registros[TIPO],DADOS!$AJ$5,tabela_registros[CATEGORIA],reservaoutrosconsolidadomai[[#This Row],[ATUAL]])</f>
        <v>0</v>
      </c>
      <c r="AH208" s="119" t="n">
        <f aca="false">SUMIFS(tabela_registros[VALOR],tabela_registros[MÊS],$AE$1,tabela_registros[DIA],reservaoutrosconsolidadomai[[#Headers],[30]],tabela_registros[REGISTRO],DADOS!$N$6,tabela_registros[TIPO],DADOS!$AJ$5,tabela_registros[CATEGORIA],reservaoutrosconsolidadomai[[#This Row],[ATUAL]])</f>
        <v>0</v>
      </c>
      <c r="AI208" s="217" t="n">
        <f aca="false">SUMIFS(tabela_registros[VALOR],tabela_registros[MÊS],$AE$1,tabela_registros[DIA],reservaoutrosconsolidadomai[[#Headers],[31]],tabela_registros[REGISTRO],DADOS!$N$6,tabela_registros[TIPO],DADOS!$AJ$5,tabela_registros[CATEGORIA],reservaoutrosconsolidadomai[[#This Row],[ATUAL]])</f>
        <v>0</v>
      </c>
      <c r="AJ208" s="149" t="n">
        <f aca="false">SUM(reservaoutrosconsolidadomai[[#This Row],[1]:[31]])</f>
        <v>0</v>
      </c>
      <c r="AK208" s="165"/>
    </row>
    <row r="209" customFormat="false" ht="19.5" hidden="false" customHeight="true" outlineLevel="0" collapsed="false">
      <c r="B209" s="143"/>
      <c r="C209" s="144" t="str">
        <f aca="false">DADOS!$AP$6</f>
        <v>📝 NOVA EMPRESA</v>
      </c>
      <c r="D209" s="145" t="str">
        <f aca="false">IF(reservaoutrosconsolidadomai[[#This Row],[TOTAL (R$)]]=0,"",IF(OR(reservaoutrosconsolidadomai[[#This Row],[TOTAL (R$)]]=LARGE($AJ$206:$AJ$213,1),reservaoutrosconsolidadomai[[#This Row],[TOTAL (R$)]]=LARGE($AJ$206:$AJ$213,2)),DADOS!$I$11,""))</f>
        <v/>
      </c>
      <c r="E209" s="148" t="n">
        <f aca="false">SUMIFS(tabela_registros[VALOR],tabela_registros[MÊS],$AE$1,tabela_registros[DIA],reservaoutrosconsolidadomai[[#Headers],[1]],tabela_registros[REGISTRO],DADOS!$N$6,tabela_registros[TIPO],DADOS!$AJ$5,tabela_registros[CATEGORIA],reservaoutrosconsolidadomai[[#This Row],[ATUAL]])</f>
        <v>0</v>
      </c>
      <c r="F209" s="119" t="n">
        <f aca="false">SUMIFS(tabela_registros[VALOR],tabela_registros[MÊS],$AE$1,tabela_registros[DIA],reservaoutrosconsolidadomai[[#Headers],[2]],tabela_registros[REGISTRO],DADOS!$N$6,tabela_registros[TIPO],DADOS!$AJ$5,tabela_registros[CATEGORIA],reservaoutrosconsolidadomai[[#This Row],[ATUAL]])</f>
        <v>0</v>
      </c>
      <c r="G209" s="119" t="n">
        <f aca="false">SUMIFS(tabela_registros[VALOR],tabela_registros[MÊS],$AE$1,tabela_registros[DIA],reservaoutrosconsolidadomai[[#Headers],[3]],tabela_registros[REGISTRO],DADOS!$N$6,tabela_registros[TIPO],DADOS!$AJ$5,tabela_registros[CATEGORIA],reservaoutrosconsolidadomai[[#This Row],[ATUAL]])</f>
        <v>0</v>
      </c>
      <c r="H209" s="119" t="n">
        <f aca="false">SUMIFS(tabela_registros[VALOR],tabela_registros[MÊS],$AE$1,tabela_registros[DIA],reservaoutrosconsolidadomai[[#Headers],[4]],tabela_registros[REGISTRO],DADOS!$N$6,tabela_registros[TIPO],DADOS!$AJ$5,tabela_registros[CATEGORIA],reservaoutrosconsolidadomai[[#This Row],[ATUAL]])</f>
        <v>0</v>
      </c>
      <c r="I209" s="119" t="n">
        <f aca="false">SUMIFS(tabela_registros[VALOR],tabela_registros[MÊS],$AE$1,tabela_registros[DIA],reservaoutrosconsolidadomai[[#Headers],[5]],tabela_registros[REGISTRO],DADOS!$N$6,tabela_registros[TIPO],DADOS!$AJ$5,tabela_registros[CATEGORIA],reservaoutrosconsolidadomai[[#This Row],[ATUAL]])</f>
        <v>0</v>
      </c>
      <c r="J209" s="119" t="n">
        <f aca="false">SUMIFS(tabela_registros[VALOR],tabela_registros[MÊS],$AE$1,tabela_registros[DIA],reservaoutrosconsolidadomai[[#Headers],[6]],tabela_registros[REGISTRO],DADOS!$N$6,tabela_registros[TIPO],DADOS!$AJ$5,tabela_registros[CATEGORIA],reservaoutrosconsolidadomai[[#This Row],[ATUAL]])</f>
        <v>0</v>
      </c>
      <c r="K209" s="119" t="n">
        <f aca="false">SUMIFS(tabela_registros[VALOR],tabela_registros[MÊS],$AE$1,tabela_registros[DIA],reservaoutrosconsolidadomai[[#Headers],[7]],tabela_registros[REGISTRO],DADOS!$N$6,tabela_registros[TIPO],DADOS!$AJ$5,tabela_registros[CATEGORIA],reservaoutrosconsolidadomai[[#This Row],[ATUAL]])</f>
        <v>0</v>
      </c>
      <c r="L209" s="119" t="n">
        <f aca="false">SUMIFS(tabela_registros[VALOR],tabela_registros[MÊS],$AE$1,tabela_registros[DIA],reservaoutrosconsolidadomai[[#Headers],[8]],tabela_registros[REGISTRO],DADOS!$N$6,tabela_registros[TIPO],DADOS!$AJ$5,tabela_registros[CATEGORIA],reservaoutrosconsolidadomai[[#This Row],[ATUAL]])</f>
        <v>0</v>
      </c>
      <c r="M209" s="119" t="n">
        <f aca="false">SUMIFS(tabela_registros[VALOR],tabela_registros[MÊS],$AE$1,tabela_registros[DIA],reservaoutrosconsolidadomai[[#Headers],[9]],tabela_registros[REGISTRO],DADOS!$N$6,tabela_registros[TIPO],DADOS!$AJ$5,tabela_registros[CATEGORIA],reservaoutrosconsolidadomai[[#This Row],[ATUAL]])</f>
        <v>0</v>
      </c>
      <c r="N209" s="119" t="n">
        <f aca="false">SUMIFS(tabela_registros[VALOR],tabela_registros[MÊS],$AE$1,tabela_registros[DIA],reservaoutrosconsolidadomai[[#Headers],[10]],tabela_registros[REGISTRO],DADOS!$N$6,tabela_registros[TIPO],DADOS!$AJ$5,tabela_registros[CATEGORIA],reservaoutrosconsolidadomai[[#This Row],[ATUAL]])</f>
        <v>0</v>
      </c>
      <c r="O209" s="119" t="n">
        <f aca="false">SUMIFS(tabela_registros[VALOR],tabela_registros[MÊS],$AE$1,tabela_registros[DIA],reservaoutrosconsolidadomai[[#Headers],[11]],tabela_registros[REGISTRO],DADOS!$N$6,tabela_registros[TIPO],DADOS!$AJ$5,tabela_registros[CATEGORIA],reservaoutrosconsolidadomai[[#This Row],[ATUAL]])</f>
        <v>0</v>
      </c>
      <c r="P209" s="119" t="n">
        <f aca="false">SUMIFS(tabela_registros[VALOR],tabela_registros[MÊS],$AE$1,tabela_registros[DIA],reservaoutrosconsolidadomai[[#Headers],[12]],tabela_registros[REGISTRO],DADOS!$N$6,tabela_registros[TIPO],DADOS!$AJ$5,tabela_registros[CATEGORIA],reservaoutrosconsolidadomai[[#This Row],[ATUAL]])</f>
        <v>0</v>
      </c>
      <c r="Q209" s="119" t="n">
        <f aca="false">SUMIFS(tabela_registros[VALOR],tabela_registros[MÊS],$AE$1,tabela_registros[DIA],reservaoutrosconsolidadomai[[#Headers],[13]],tabela_registros[REGISTRO],DADOS!$N$6,tabela_registros[TIPO],DADOS!$AJ$5,tabela_registros[CATEGORIA],reservaoutrosconsolidadomai[[#This Row],[ATUAL]])</f>
        <v>0</v>
      </c>
      <c r="R209" s="119" t="n">
        <f aca="false">SUMIFS(tabela_registros[VALOR],tabela_registros[MÊS],$AE$1,tabela_registros[DIA],reservaoutrosconsolidadomai[[#Headers],[14]],tabela_registros[REGISTRO],DADOS!$N$6,tabela_registros[TIPO],DADOS!$AJ$5,tabela_registros[CATEGORIA],reservaoutrosconsolidadomai[[#This Row],[ATUAL]])</f>
        <v>0</v>
      </c>
      <c r="S209" s="119" t="n">
        <f aca="false">SUMIFS(tabela_registros[VALOR],tabela_registros[MÊS],$AE$1,tabela_registros[DIA],reservaoutrosconsolidadomai[[#Headers],[15]],tabela_registros[REGISTRO],DADOS!$N$6,tabela_registros[TIPO],DADOS!$AJ$5,tabela_registros[CATEGORIA],reservaoutrosconsolidadomai[[#This Row],[ATUAL]])</f>
        <v>0</v>
      </c>
      <c r="T209" s="119" t="n">
        <f aca="false">SUMIFS(tabela_registros[VALOR],tabela_registros[MÊS],$AE$1,tabela_registros[DIA],reservaoutrosconsolidadomai[[#Headers],[16]],tabela_registros[REGISTRO],DADOS!$N$6,tabela_registros[TIPO],DADOS!$AJ$5,tabela_registros[CATEGORIA],reservaoutrosconsolidadomai[[#This Row],[ATUAL]])</f>
        <v>0</v>
      </c>
      <c r="U209" s="119" t="n">
        <f aca="false">SUMIFS(tabela_registros[VALOR],tabela_registros[MÊS],$AE$1,tabela_registros[DIA],reservaoutrosconsolidadomai[[#Headers],[17]],tabela_registros[REGISTRO],DADOS!$N$6,tabela_registros[TIPO],DADOS!$AJ$5,tabela_registros[CATEGORIA],reservaoutrosconsolidadomai[[#This Row],[ATUAL]])</f>
        <v>0</v>
      </c>
      <c r="V209" s="119" t="n">
        <f aca="false">SUMIFS(tabela_registros[VALOR],tabela_registros[MÊS],$AE$1,tabela_registros[DIA],reservaoutrosconsolidadomai[[#Headers],[18]],tabela_registros[REGISTRO],DADOS!$N$6,tabela_registros[TIPO],DADOS!$AJ$5,tabela_registros[CATEGORIA],reservaoutrosconsolidadomai[[#This Row],[ATUAL]])</f>
        <v>0</v>
      </c>
      <c r="W209" s="119" t="n">
        <f aca="false">SUMIFS(tabela_registros[VALOR],tabela_registros[MÊS],$AE$1,tabela_registros[DIA],reservaoutrosconsolidadomai[[#Headers],[19]],tabela_registros[REGISTRO],DADOS!$N$6,tabela_registros[TIPO],DADOS!$AJ$5,tabela_registros[CATEGORIA],reservaoutrosconsolidadomai[[#This Row],[ATUAL]])</f>
        <v>0</v>
      </c>
      <c r="X209" s="119" t="n">
        <f aca="false">SUMIFS(tabela_registros[VALOR],tabela_registros[MÊS],$AE$1,tabela_registros[DIA],reservaoutrosconsolidadomai[[#Headers],[20]],tabela_registros[REGISTRO],DADOS!$N$6,tabela_registros[TIPO],DADOS!$AJ$5,tabela_registros[CATEGORIA],reservaoutrosconsolidadomai[[#This Row],[ATUAL]])</f>
        <v>0</v>
      </c>
      <c r="Y209" s="119" t="n">
        <f aca="false">SUMIFS(tabela_registros[VALOR],tabela_registros[MÊS],$AE$1,tabela_registros[DIA],reservaoutrosconsolidadomai[[#Headers],[21]],tabela_registros[REGISTRO],DADOS!$N$6,tabela_registros[TIPO],DADOS!$AJ$5,tabela_registros[CATEGORIA],reservaoutrosconsolidadomai[[#This Row],[ATUAL]])</f>
        <v>0</v>
      </c>
      <c r="Z209" s="119" t="n">
        <f aca="false">SUMIFS(tabela_registros[VALOR],tabela_registros[MÊS],$AE$1,tabela_registros[DIA],reservaoutrosconsolidadomai[[#Headers],[22]],tabela_registros[REGISTRO],DADOS!$N$6,tabela_registros[TIPO],DADOS!$AJ$5,tabela_registros[CATEGORIA],reservaoutrosconsolidadomai[[#This Row],[ATUAL]])</f>
        <v>0</v>
      </c>
      <c r="AA209" s="119" t="n">
        <f aca="false">SUMIFS(tabela_registros[VALOR],tabela_registros[MÊS],$AE$1,tabela_registros[DIA],reservaoutrosconsolidadomai[[#Headers],[23]],tabela_registros[REGISTRO],DADOS!$N$6,tabela_registros[TIPO],DADOS!$AJ$5,tabela_registros[CATEGORIA],reservaoutrosconsolidadomai[[#This Row],[ATUAL]])</f>
        <v>0</v>
      </c>
      <c r="AB209" s="119" t="n">
        <f aca="false">SUMIFS(tabela_registros[VALOR],tabela_registros[MÊS],$AE$1,tabela_registros[DIA],reservaoutrosconsolidadomai[[#Headers],[24]],tabela_registros[REGISTRO],DADOS!$N$6,tabela_registros[TIPO],DADOS!$AJ$5,tabela_registros[CATEGORIA],reservaoutrosconsolidadomai[[#This Row],[ATUAL]])</f>
        <v>0</v>
      </c>
      <c r="AC209" s="119" t="n">
        <f aca="false">SUMIFS(tabela_registros[VALOR],tabela_registros[MÊS],$AE$1,tabela_registros[DIA],reservaoutrosconsolidadomai[[#Headers],[25]],tabela_registros[REGISTRO],DADOS!$N$6,tabela_registros[TIPO],DADOS!$AJ$5,tabela_registros[CATEGORIA],reservaoutrosconsolidadomai[[#This Row],[ATUAL]])</f>
        <v>0</v>
      </c>
      <c r="AD209" s="119" t="n">
        <f aca="false">SUMIFS(tabela_registros[VALOR],tabela_registros[MÊS],$AE$1,tabela_registros[DIA],reservaoutrosconsolidadomai[[#Headers],[26]],tabela_registros[REGISTRO],DADOS!$N$6,tabela_registros[TIPO],DADOS!$AJ$5,tabela_registros[CATEGORIA],reservaoutrosconsolidadomai[[#This Row],[ATUAL]])</f>
        <v>0</v>
      </c>
      <c r="AE209" s="119" t="n">
        <f aca="false">SUMIFS(tabela_registros[VALOR],tabela_registros[MÊS],$AE$1,tabela_registros[DIA],reservaoutrosconsolidadomai[[#Headers],[27]],tabela_registros[REGISTRO],DADOS!$N$6,tabela_registros[TIPO],DADOS!$AJ$5,tabela_registros[CATEGORIA],reservaoutrosconsolidadomai[[#This Row],[ATUAL]])</f>
        <v>0</v>
      </c>
      <c r="AF209" s="119" t="n">
        <f aca="false">SUMIFS(tabela_registros[VALOR],tabela_registros[MÊS],$AE$1,tabela_registros[DIA],reservaoutrosconsolidadomai[[#Headers],[28]],tabela_registros[REGISTRO],DADOS!$N$6,tabela_registros[TIPO],DADOS!$AJ$5,tabela_registros[CATEGORIA],reservaoutrosconsolidadomai[[#This Row],[ATUAL]])</f>
        <v>0</v>
      </c>
      <c r="AG209" s="119" t="n">
        <f aca="false">SUMIFS(tabela_registros[VALOR],tabela_registros[MÊS],$AE$1,tabela_registros[DIA],reservaoutrosconsolidadomai[[#Headers],[29]],tabela_registros[REGISTRO],DADOS!$N$6,tabela_registros[TIPO],DADOS!$AJ$5,tabela_registros[CATEGORIA],reservaoutrosconsolidadomai[[#This Row],[ATUAL]])</f>
        <v>0</v>
      </c>
      <c r="AH209" s="119" t="n">
        <f aca="false">SUMIFS(tabela_registros[VALOR],tabela_registros[MÊS],$AE$1,tabela_registros[DIA],reservaoutrosconsolidadomai[[#Headers],[30]],tabela_registros[REGISTRO],DADOS!$N$6,tabela_registros[TIPO],DADOS!$AJ$5,tabela_registros[CATEGORIA],reservaoutrosconsolidadomai[[#This Row],[ATUAL]])</f>
        <v>0</v>
      </c>
      <c r="AI209" s="217" t="n">
        <f aca="false">SUMIFS(tabela_registros[VALOR],tabela_registros[MÊS],$AE$1,tabela_registros[DIA],reservaoutrosconsolidadomai[[#Headers],[31]],tabela_registros[REGISTRO],DADOS!$N$6,tabela_registros[TIPO],DADOS!$AJ$5,tabela_registros[CATEGORIA],reservaoutrosconsolidadomai[[#This Row],[ATUAL]])</f>
        <v>0</v>
      </c>
      <c r="AJ209" s="149" t="n">
        <f aca="false">SUM(reservaoutrosconsolidadomai[[#This Row],[1]:[31]])</f>
        <v>0</v>
      </c>
      <c r="AK209" s="165"/>
    </row>
    <row r="210" customFormat="false" ht="19.5" hidden="false" customHeight="true" outlineLevel="0" collapsed="false">
      <c r="B210" s="143"/>
      <c r="C210" s="144" t="str">
        <f aca="false">DADOS!$AP$7</f>
        <v>📝 PEER TO COMPANY</v>
      </c>
      <c r="D210" s="145" t="str">
        <f aca="false">IF(reservaoutrosconsolidadomai[[#This Row],[TOTAL (R$)]]=0,"",IF(OR(reservaoutrosconsolidadomai[[#This Row],[TOTAL (R$)]]=LARGE($AJ$206:$AJ$213,1),reservaoutrosconsolidadomai[[#This Row],[TOTAL (R$)]]=LARGE($AJ$206:$AJ$213,2)),DADOS!$I$11,""))</f>
        <v/>
      </c>
      <c r="E210" s="148" t="n">
        <f aca="false">SUMIFS(tabela_registros[VALOR],tabela_registros[MÊS],$AE$1,tabela_registros[DIA],reservaoutrosconsolidadomai[[#Headers],[1]],tabela_registros[REGISTRO],DADOS!$N$6,tabela_registros[TIPO],DADOS!$AJ$5,tabela_registros[CATEGORIA],reservaoutrosconsolidadomai[[#This Row],[ATUAL]])</f>
        <v>0</v>
      </c>
      <c r="F210" s="119" t="n">
        <f aca="false">SUMIFS(tabela_registros[VALOR],tabela_registros[MÊS],$AE$1,tabela_registros[DIA],reservaoutrosconsolidadomai[[#Headers],[2]],tabela_registros[REGISTRO],DADOS!$N$6,tabela_registros[TIPO],DADOS!$AJ$5,tabela_registros[CATEGORIA],reservaoutrosconsolidadomai[[#This Row],[ATUAL]])</f>
        <v>0</v>
      </c>
      <c r="G210" s="119" t="n">
        <f aca="false">SUMIFS(tabela_registros[VALOR],tabela_registros[MÊS],$AE$1,tabela_registros[DIA],reservaoutrosconsolidadomai[[#Headers],[3]],tabela_registros[REGISTRO],DADOS!$N$6,tabela_registros[TIPO],DADOS!$AJ$5,tabela_registros[CATEGORIA],reservaoutrosconsolidadomai[[#This Row],[ATUAL]])</f>
        <v>0</v>
      </c>
      <c r="H210" s="119" t="n">
        <f aca="false">SUMIFS(tabela_registros[VALOR],tabela_registros[MÊS],$AE$1,tabela_registros[DIA],reservaoutrosconsolidadomai[[#Headers],[4]],tabela_registros[REGISTRO],DADOS!$N$6,tabela_registros[TIPO],DADOS!$AJ$5,tabela_registros[CATEGORIA],reservaoutrosconsolidadomai[[#This Row],[ATUAL]])</f>
        <v>0</v>
      </c>
      <c r="I210" s="119" t="n">
        <f aca="false">SUMIFS(tabela_registros[VALOR],tabela_registros[MÊS],$AE$1,tabela_registros[DIA],reservaoutrosconsolidadomai[[#Headers],[5]],tabela_registros[REGISTRO],DADOS!$N$6,tabela_registros[TIPO],DADOS!$AJ$5,tabela_registros[CATEGORIA],reservaoutrosconsolidadomai[[#This Row],[ATUAL]])</f>
        <v>0</v>
      </c>
      <c r="J210" s="119" t="n">
        <f aca="false">SUMIFS(tabela_registros[VALOR],tabela_registros[MÊS],$AE$1,tabela_registros[DIA],reservaoutrosconsolidadomai[[#Headers],[6]],tabela_registros[REGISTRO],DADOS!$N$6,tabela_registros[TIPO],DADOS!$AJ$5,tabela_registros[CATEGORIA],reservaoutrosconsolidadomai[[#This Row],[ATUAL]])</f>
        <v>0</v>
      </c>
      <c r="K210" s="119" t="n">
        <f aca="false">SUMIFS(tabela_registros[VALOR],tabela_registros[MÊS],$AE$1,tabela_registros[DIA],reservaoutrosconsolidadomai[[#Headers],[7]],tabela_registros[REGISTRO],DADOS!$N$6,tabela_registros[TIPO],DADOS!$AJ$5,tabela_registros[CATEGORIA],reservaoutrosconsolidadomai[[#This Row],[ATUAL]])</f>
        <v>0</v>
      </c>
      <c r="L210" s="119" t="n">
        <f aca="false">SUMIFS(tabela_registros[VALOR],tabela_registros[MÊS],$AE$1,tabela_registros[DIA],reservaoutrosconsolidadomai[[#Headers],[8]],tabela_registros[REGISTRO],DADOS!$N$6,tabela_registros[TIPO],DADOS!$AJ$5,tabela_registros[CATEGORIA],reservaoutrosconsolidadomai[[#This Row],[ATUAL]])</f>
        <v>0</v>
      </c>
      <c r="M210" s="119" t="n">
        <f aca="false">SUMIFS(tabela_registros[VALOR],tabela_registros[MÊS],$AE$1,tabela_registros[DIA],reservaoutrosconsolidadomai[[#Headers],[9]],tabela_registros[REGISTRO],DADOS!$N$6,tabela_registros[TIPO],DADOS!$AJ$5,tabela_registros[CATEGORIA],reservaoutrosconsolidadomai[[#This Row],[ATUAL]])</f>
        <v>0</v>
      </c>
      <c r="N210" s="119" t="n">
        <f aca="false">SUMIFS(tabela_registros[VALOR],tabela_registros[MÊS],$AE$1,tabela_registros[DIA],reservaoutrosconsolidadomai[[#Headers],[10]],tabela_registros[REGISTRO],DADOS!$N$6,tabela_registros[TIPO],DADOS!$AJ$5,tabela_registros[CATEGORIA],reservaoutrosconsolidadomai[[#This Row],[ATUAL]])</f>
        <v>0</v>
      </c>
      <c r="O210" s="119" t="n">
        <f aca="false">SUMIFS(tabela_registros[VALOR],tabela_registros[MÊS],$AE$1,tabela_registros[DIA],reservaoutrosconsolidadomai[[#Headers],[11]],tabela_registros[REGISTRO],DADOS!$N$6,tabela_registros[TIPO],DADOS!$AJ$5,tabela_registros[CATEGORIA],reservaoutrosconsolidadomai[[#This Row],[ATUAL]])</f>
        <v>0</v>
      </c>
      <c r="P210" s="119" t="n">
        <f aca="false">SUMIFS(tabela_registros[VALOR],tabela_registros[MÊS],$AE$1,tabela_registros[DIA],reservaoutrosconsolidadomai[[#Headers],[12]],tabela_registros[REGISTRO],DADOS!$N$6,tabela_registros[TIPO],DADOS!$AJ$5,tabela_registros[CATEGORIA],reservaoutrosconsolidadomai[[#This Row],[ATUAL]])</f>
        <v>0</v>
      </c>
      <c r="Q210" s="119" t="n">
        <f aca="false">SUMIFS(tabela_registros[VALOR],tabela_registros[MÊS],$AE$1,tabela_registros[DIA],reservaoutrosconsolidadomai[[#Headers],[13]],tabela_registros[REGISTRO],DADOS!$N$6,tabela_registros[TIPO],DADOS!$AJ$5,tabela_registros[CATEGORIA],reservaoutrosconsolidadomai[[#This Row],[ATUAL]])</f>
        <v>0</v>
      </c>
      <c r="R210" s="119" t="n">
        <f aca="false">SUMIFS(tabela_registros[VALOR],tabela_registros[MÊS],$AE$1,tabela_registros[DIA],reservaoutrosconsolidadomai[[#Headers],[14]],tabela_registros[REGISTRO],DADOS!$N$6,tabela_registros[TIPO],DADOS!$AJ$5,tabela_registros[CATEGORIA],reservaoutrosconsolidadomai[[#This Row],[ATUAL]])</f>
        <v>0</v>
      </c>
      <c r="S210" s="119" t="n">
        <f aca="false">SUMIFS(tabela_registros[VALOR],tabela_registros[MÊS],$AE$1,tabela_registros[DIA],reservaoutrosconsolidadomai[[#Headers],[15]],tabela_registros[REGISTRO],DADOS!$N$6,tabela_registros[TIPO],DADOS!$AJ$5,tabela_registros[CATEGORIA],reservaoutrosconsolidadomai[[#This Row],[ATUAL]])</f>
        <v>0</v>
      </c>
      <c r="T210" s="119" t="n">
        <f aca="false">SUMIFS(tabela_registros[VALOR],tabela_registros[MÊS],$AE$1,tabela_registros[DIA],reservaoutrosconsolidadomai[[#Headers],[16]],tabela_registros[REGISTRO],DADOS!$N$6,tabela_registros[TIPO],DADOS!$AJ$5,tabela_registros[CATEGORIA],reservaoutrosconsolidadomai[[#This Row],[ATUAL]])</f>
        <v>0</v>
      </c>
      <c r="U210" s="119" t="n">
        <f aca="false">SUMIFS(tabela_registros[VALOR],tabela_registros[MÊS],$AE$1,tabela_registros[DIA],reservaoutrosconsolidadomai[[#Headers],[17]],tabela_registros[REGISTRO],DADOS!$N$6,tabela_registros[TIPO],DADOS!$AJ$5,tabela_registros[CATEGORIA],reservaoutrosconsolidadomai[[#This Row],[ATUAL]])</f>
        <v>0</v>
      </c>
      <c r="V210" s="119" t="n">
        <f aca="false">SUMIFS(tabela_registros[VALOR],tabela_registros[MÊS],$AE$1,tabela_registros[DIA],reservaoutrosconsolidadomai[[#Headers],[18]],tabela_registros[REGISTRO],DADOS!$N$6,tabela_registros[TIPO],DADOS!$AJ$5,tabela_registros[CATEGORIA],reservaoutrosconsolidadomai[[#This Row],[ATUAL]])</f>
        <v>0</v>
      </c>
      <c r="W210" s="119" t="n">
        <f aca="false">SUMIFS(tabela_registros[VALOR],tabela_registros[MÊS],$AE$1,tabela_registros[DIA],reservaoutrosconsolidadomai[[#Headers],[19]],tabela_registros[REGISTRO],DADOS!$N$6,tabela_registros[TIPO],DADOS!$AJ$5,tabela_registros[CATEGORIA],reservaoutrosconsolidadomai[[#This Row],[ATUAL]])</f>
        <v>0</v>
      </c>
      <c r="X210" s="119" t="n">
        <f aca="false">SUMIFS(tabela_registros[VALOR],tabela_registros[MÊS],$AE$1,tabela_registros[DIA],reservaoutrosconsolidadomai[[#Headers],[20]],tabela_registros[REGISTRO],DADOS!$N$6,tabela_registros[TIPO],DADOS!$AJ$5,tabela_registros[CATEGORIA],reservaoutrosconsolidadomai[[#This Row],[ATUAL]])</f>
        <v>0</v>
      </c>
      <c r="Y210" s="119" t="n">
        <f aca="false">SUMIFS(tabela_registros[VALOR],tabela_registros[MÊS],$AE$1,tabela_registros[DIA],reservaoutrosconsolidadomai[[#Headers],[21]],tabela_registros[REGISTRO],DADOS!$N$6,tabela_registros[TIPO],DADOS!$AJ$5,tabela_registros[CATEGORIA],reservaoutrosconsolidadomai[[#This Row],[ATUAL]])</f>
        <v>0</v>
      </c>
      <c r="Z210" s="119" t="n">
        <f aca="false">SUMIFS(tabela_registros[VALOR],tabela_registros[MÊS],$AE$1,tabela_registros[DIA],reservaoutrosconsolidadomai[[#Headers],[22]],tabela_registros[REGISTRO],DADOS!$N$6,tabela_registros[TIPO],DADOS!$AJ$5,tabela_registros[CATEGORIA],reservaoutrosconsolidadomai[[#This Row],[ATUAL]])</f>
        <v>0</v>
      </c>
      <c r="AA210" s="119" t="n">
        <f aca="false">SUMIFS(tabela_registros[VALOR],tabela_registros[MÊS],$AE$1,tabela_registros[DIA],reservaoutrosconsolidadomai[[#Headers],[23]],tabela_registros[REGISTRO],DADOS!$N$6,tabela_registros[TIPO],DADOS!$AJ$5,tabela_registros[CATEGORIA],reservaoutrosconsolidadomai[[#This Row],[ATUAL]])</f>
        <v>0</v>
      </c>
      <c r="AB210" s="119" t="n">
        <f aca="false">SUMIFS(tabela_registros[VALOR],tabela_registros[MÊS],$AE$1,tabela_registros[DIA],reservaoutrosconsolidadomai[[#Headers],[24]],tabela_registros[REGISTRO],DADOS!$N$6,tabela_registros[TIPO],DADOS!$AJ$5,tabela_registros[CATEGORIA],reservaoutrosconsolidadomai[[#This Row],[ATUAL]])</f>
        <v>0</v>
      </c>
      <c r="AC210" s="119" t="n">
        <f aca="false">SUMIFS(tabela_registros[VALOR],tabela_registros[MÊS],$AE$1,tabela_registros[DIA],reservaoutrosconsolidadomai[[#Headers],[25]],tabela_registros[REGISTRO],DADOS!$N$6,tabela_registros[TIPO],DADOS!$AJ$5,tabela_registros[CATEGORIA],reservaoutrosconsolidadomai[[#This Row],[ATUAL]])</f>
        <v>0</v>
      </c>
      <c r="AD210" s="119" t="n">
        <f aca="false">SUMIFS(tabela_registros[VALOR],tabela_registros[MÊS],$AE$1,tabela_registros[DIA],reservaoutrosconsolidadomai[[#Headers],[26]],tabela_registros[REGISTRO],DADOS!$N$6,tabela_registros[TIPO],DADOS!$AJ$5,tabela_registros[CATEGORIA],reservaoutrosconsolidadomai[[#This Row],[ATUAL]])</f>
        <v>0</v>
      </c>
      <c r="AE210" s="119" t="n">
        <f aca="false">SUMIFS(tabela_registros[VALOR],tabela_registros[MÊS],$AE$1,tabela_registros[DIA],reservaoutrosconsolidadomai[[#Headers],[27]],tabela_registros[REGISTRO],DADOS!$N$6,tabela_registros[TIPO],DADOS!$AJ$5,tabela_registros[CATEGORIA],reservaoutrosconsolidadomai[[#This Row],[ATUAL]])</f>
        <v>0</v>
      </c>
      <c r="AF210" s="119" t="n">
        <f aca="false">SUMIFS(tabela_registros[VALOR],tabela_registros[MÊS],$AE$1,tabela_registros[DIA],reservaoutrosconsolidadomai[[#Headers],[28]],tabela_registros[REGISTRO],DADOS!$N$6,tabela_registros[TIPO],DADOS!$AJ$5,tabela_registros[CATEGORIA],reservaoutrosconsolidadomai[[#This Row],[ATUAL]])</f>
        <v>0</v>
      </c>
      <c r="AG210" s="119" t="n">
        <f aca="false">SUMIFS(tabela_registros[VALOR],tabela_registros[MÊS],$AE$1,tabela_registros[DIA],reservaoutrosconsolidadomai[[#Headers],[29]],tabela_registros[REGISTRO],DADOS!$N$6,tabela_registros[TIPO],DADOS!$AJ$5,tabela_registros[CATEGORIA],reservaoutrosconsolidadomai[[#This Row],[ATUAL]])</f>
        <v>0</v>
      </c>
      <c r="AH210" s="119" t="n">
        <f aca="false">SUMIFS(tabela_registros[VALOR],tabela_registros[MÊS],$AE$1,tabela_registros[DIA],reservaoutrosconsolidadomai[[#Headers],[30]],tabela_registros[REGISTRO],DADOS!$N$6,tabela_registros[TIPO],DADOS!$AJ$5,tabela_registros[CATEGORIA],reservaoutrosconsolidadomai[[#This Row],[ATUAL]])</f>
        <v>0</v>
      </c>
      <c r="AI210" s="217" t="n">
        <f aca="false">SUMIFS(tabela_registros[VALOR],tabela_registros[MÊS],$AE$1,tabela_registros[DIA],reservaoutrosconsolidadomai[[#Headers],[31]],tabela_registros[REGISTRO],DADOS!$N$6,tabela_registros[TIPO],DADOS!$AJ$5,tabela_registros[CATEGORIA],reservaoutrosconsolidadomai[[#This Row],[ATUAL]])</f>
        <v>0</v>
      </c>
      <c r="AJ210" s="149" t="n">
        <f aca="false">SUM(reservaoutrosconsolidadomai[[#This Row],[1]:[31]])</f>
        <v>0</v>
      </c>
      <c r="AK210" s="165"/>
    </row>
    <row r="211" customFormat="false" ht="19.5" hidden="false" customHeight="true" outlineLevel="0" collapsed="false">
      <c r="B211" s="143"/>
      <c r="C211" s="144" t="str">
        <f aca="false">DADOS!$AP$8</f>
        <v>📝 PEER TO PEER</v>
      </c>
      <c r="D211" s="145" t="str">
        <f aca="false">IF(reservaoutrosconsolidadomai[[#This Row],[TOTAL (R$)]]=0,"",IF(OR(reservaoutrosconsolidadomai[[#This Row],[TOTAL (R$)]]=LARGE($AJ$206:$AJ$213,1),reservaoutrosconsolidadomai[[#This Row],[TOTAL (R$)]]=LARGE($AJ$206:$AJ$213,2)),DADOS!$I$11,""))</f>
        <v/>
      </c>
      <c r="E211" s="148" t="n">
        <f aca="false">SUMIFS(tabela_registros[VALOR],tabela_registros[MÊS],$AE$1,tabela_registros[DIA],reservaoutrosconsolidadomai[[#Headers],[1]],tabela_registros[REGISTRO],DADOS!$N$6,tabela_registros[TIPO],DADOS!$AJ$5,tabela_registros[CATEGORIA],reservaoutrosconsolidadomai[[#This Row],[ATUAL]])</f>
        <v>0</v>
      </c>
      <c r="F211" s="119" t="n">
        <f aca="false">SUMIFS(tabela_registros[VALOR],tabela_registros[MÊS],$AE$1,tabela_registros[DIA],reservaoutrosconsolidadomai[[#Headers],[2]],tabela_registros[REGISTRO],DADOS!$N$6,tabela_registros[TIPO],DADOS!$AJ$5,tabela_registros[CATEGORIA],reservaoutrosconsolidadomai[[#This Row],[ATUAL]])</f>
        <v>0</v>
      </c>
      <c r="G211" s="119" t="n">
        <f aca="false">SUMIFS(tabela_registros[VALOR],tabela_registros[MÊS],$AE$1,tabela_registros[DIA],reservaoutrosconsolidadomai[[#Headers],[3]],tabela_registros[REGISTRO],DADOS!$N$6,tabela_registros[TIPO],DADOS!$AJ$5,tabela_registros[CATEGORIA],reservaoutrosconsolidadomai[[#This Row],[ATUAL]])</f>
        <v>0</v>
      </c>
      <c r="H211" s="119" t="n">
        <f aca="false">SUMIFS(tabela_registros[VALOR],tabela_registros[MÊS],$AE$1,tabela_registros[DIA],reservaoutrosconsolidadomai[[#Headers],[4]],tabela_registros[REGISTRO],DADOS!$N$6,tabela_registros[TIPO],DADOS!$AJ$5,tabela_registros[CATEGORIA],reservaoutrosconsolidadomai[[#This Row],[ATUAL]])</f>
        <v>0</v>
      </c>
      <c r="I211" s="119" t="n">
        <f aca="false">SUMIFS(tabela_registros[VALOR],tabela_registros[MÊS],$AE$1,tabela_registros[DIA],reservaoutrosconsolidadomai[[#Headers],[5]],tabela_registros[REGISTRO],DADOS!$N$6,tabela_registros[TIPO],DADOS!$AJ$5,tabela_registros[CATEGORIA],reservaoutrosconsolidadomai[[#This Row],[ATUAL]])</f>
        <v>0</v>
      </c>
      <c r="J211" s="119" t="n">
        <f aca="false">SUMIFS(tabela_registros[VALOR],tabela_registros[MÊS],$AE$1,tabela_registros[DIA],reservaoutrosconsolidadomai[[#Headers],[6]],tabela_registros[REGISTRO],DADOS!$N$6,tabela_registros[TIPO],DADOS!$AJ$5,tabela_registros[CATEGORIA],reservaoutrosconsolidadomai[[#This Row],[ATUAL]])</f>
        <v>0</v>
      </c>
      <c r="K211" s="119" t="n">
        <f aca="false">SUMIFS(tabela_registros[VALOR],tabela_registros[MÊS],$AE$1,tabela_registros[DIA],reservaoutrosconsolidadomai[[#Headers],[7]],tabela_registros[REGISTRO],DADOS!$N$6,tabela_registros[TIPO],DADOS!$AJ$5,tabela_registros[CATEGORIA],reservaoutrosconsolidadomai[[#This Row],[ATUAL]])</f>
        <v>0</v>
      </c>
      <c r="L211" s="119" t="n">
        <f aca="false">SUMIFS(tabela_registros[VALOR],tabela_registros[MÊS],$AE$1,tabela_registros[DIA],reservaoutrosconsolidadomai[[#Headers],[8]],tabela_registros[REGISTRO],DADOS!$N$6,tabela_registros[TIPO],DADOS!$AJ$5,tabela_registros[CATEGORIA],reservaoutrosconsolidadomai[[#This Row],[ATUAL]])</f>
        <v>0</v>
      </c>
      <c r="M211" s="119" t="n">
        <f aca="false">SUMIFS(tabela_registros[VALOR],tabela_registros[MÊS],$AE$1,tabela_registros[DIA],reservaoutrosconsolidadomai[[#Headers],[9]],tabela_registros[REGISTRO],DADOS!$N$6,tabela_registros[TIPO],DADOS!$AJ$5,tabela_registros[CATEGORIA],reservaoutrosconsolidadomai[[#This Row],[ATUAL]])</f>
        <v>0</v>
      </c>
      <c r="N211" s="119" t="n">
        <f aca="false">SUMIFS(tabela_registros[VALOR],tabela_registros[MÊS],$AE$1,tabela_registros[DIA],reservaoutrosconsolidadomai[[#Headers],[10]],tabela_registros[REGISTRO],DADOS!$N$6,tabela_registros[TIPO],DADOS!$AJ$5,tabela_registros[CATEGORIA],reservaoutrosconsolidadomai[[#This Row],[ATUAL]])</f>
        <v>0</v>
      </c>
      <c r="O211" s="119" t="n">
        <f aca="false">SUMIFS(tabela_registros[VALOR],tabela_registros[MÊS],$AE$1,tabela_registros[DIA],reservaoutrosconsolidadomai[[#Headers],[11]],tabela_registros[REGISTRO],DADOS!$N$6,tabela_registros[TIPO],DADOS!$AJ$5,tabela_registros[CATEGORIA],reservaoutrosconsolidadomai[[#This Row],[ATUAL]])</f>
        <v>0</v>
      </c>
      <c r="P211" s="119" t="n">
        <f aca="false">SUMIFS(tabela_registros[VALOR],tabela_registros[MÊS],$AE$1,tabela_registros[DIA],reservaoutrosconsolidadomai[[#Headers],[12]],tabela_registros[REGISTRO],DADOS!$N$6,tabela_registros[TIPO],DADOS!$AJ$5,tabela_registros[CATEGORIA],reservaoutrosconsolidadomai[[#This Row],[ATUAL]])</f>
        <v>0</v>
      </c>
      <c r="Q211" s="119" t="n">
        <f aca="false">SUMIFS(tabela_registros[VALOR],tabela_registros[MÊS],$AE$1,tabela_registros[DIA],reservaoutrosconsolidadomai[[#Headers],[13]],tabela_registros[REGISTRO],DADOS!$N$6,tabela_registros[TIPO],DADOS!$AJ$5,tabela_registros[CATEGORIA],reservaoutrosconsolidadomai[[#This Row],[ATUAL]])</f>
        <v>0</v>
      </c>
      <c r="R211" s="119" t="n">
        <f aca="false">SUMIFS(tabela_registros[VALOR],tabela_registros[MÊS],$AE$1,tabela_registros[DIA],reservaoutrosconsolidadomai[[#Headers],[14]],tabela_registros[REGISTRO],DADOS!$N$6,tabela_registros[TIPO],DADOS!$AJ$5,tabela_registros[CATEGORIA],reservaoutrosconsolidadomai[[#This Row],[ATUAL]])</f>
        <v>0</v>
      </c>
      <c r="S211" s="119" t="n">
        <f aca="false">SUMIFS(tabela_registros[VALOR],tabela_registros[MÊS],$AE$1,tabela_registros[DIA],reservaoutrosconsolidadomai[[#Headers],[15]],tabela_registros[REGISTRO],DADOS!$N$6,tabela_registros[TIPO],DADOS!$AJ$5,tabela_registros[CATEGORIA],reservaoutrosconsolidadomai[[#This Row],[ATUAL]])</f>
        <v>0</v>
      </c>
      <c r="T211" s="119" t="n">
        <f aca="false">SUMIFS(tabela_registros[VALOR],tabela_registros[MÊS],$AE$1,tabela_registros[DIA],reservaoutrosconsolidadomai[[#Headers],[16]],tabela_registros[REGISTRO],DADOS!$N$6,tabela_registros[TIPO],DADOS!$AJ$5,tabela_registros[CATEGORIA],reservaoutrosconsolidadomai[[#This Row],[ATUAL]])</f>
        <v>0</v>
      </c>
      <c r="U211" s="119" t="n">
        <f aca="false">SUMIFS(tabela_registros[VALOR],tabela_registros[MÊS],$AE$1,tabela_registros[DIA],reservaoutrosconsolidadomai[[#Headers],[17]],tabela_registros[REGISTRO],DADOS!$N$6,tabela_registros[TIPO],DADOS!$AJ$5,tabela_registros[CATEGORIA],reservaoutrosconsolidadomai[[#This Row],[ATUAL]])</f>
        <v>0</v>
      </c>
      <c r="V211" s="119" t="n">
        <f aca="false">SUMIFS(tabela_registros[VALOR],tabela_registros[MÊS],$AE$1,tabela_registros[DIA],reservaoutrosconsolidadomai[[#Headers],[18]],tabela_registros[REGISTRO],DADOS!$N$6,tabela_registros[TIPO],DADOS!$AJ$5,tabela_registros[CATEGORIA],reservaoutrosconsolidadomai[[#This Row],[ATUAL]])</f>
        <v>0</v>
      </c>
      <c r="W211" s="119" t="n">
        <f aca="false">SUMIFS(tabela_registros[VALOR],tabela_registros[MÊS],$AE$1,tabela_registros[DIA],reservaoutrosconsolidadomai[[#Headers],[19]],tabela_registros[REGISTRO],DADOS!$N$6,tabela_registros[TIPO],DADOS!$AJ$5,tabela_registros[CATEGORIA],reservaoutrosconsolidadomai[[#This Row],[ATUAL]])</f>
        <v>0</v>
      </c>
      <c r="X211" s="119" t="n">
        <f aca="false">SUMIFS(tabela_registros[VALOR],tabela_registros[MÊS],$AE$1,tabela_registros[DIA],reservaoutrosconsolidadomai[[#Headers],[20]],tabela_registros[REGISTRO],DADOS!$N$6,tabela_registros[TIPO],DADOS!$AJ$5,tabela_registros[CATEGORIA],reservaoutrosconsolidadomai[[#This Row],[ATUAL]])</f>
        <v>0</v>
      </c>
      <c r="Y211" s="119" t="n">
        <f aca="false">SUMIFS(tabela_registros[VALOR],tabela_registros[MÊS],$AE$1,tabela_registros[DIA],reservaoutrosconsolidadomai[[#Headers],[21]],tabela_registros[REGISTRO],DADOS!$N$6,tabela_registros[TIPO],DADOS!$AJ$5,tabela_registros[CATEGORIA],reservaoutrosconsolidadomai[[#This Row],[ATUAL]])</f>
        <v>0</v>
      </c>
      <c r="Z211" s="119" t="n">
        <f aca="false">SUMIFS(tabela_registros[VALOR],tabela_registros[MÊS],$AE$1,tabela_registros[DIA],reservaoutrosconsolidadomai[[#Headers],[22]],tabela_registros[REGISTRO],DADOS!$N$6,tabela_registros[TIPO],DADOS!$AJ$5,tabela_registros[CATEGORIA],reservaoutrosconsolidadomai[[#This Row],[ATUAL]])</f>
        <v>0</v>
      </c>
      <c r="AA211" s="119" t="n">
        <f aca="false">SUMIFS(tabela_registros[VALOR],tabela_registros[MÊS],$AE$1,tabela_registros[DIA],reservaoutrosconsolidadomai[[#Headers],[23]],tabela_registros[REGISTRO],DADOS!$N$6,tabela_registros[TIPO],DADOS!$AJ$5,tabela_registros[CATEGORIA],reservaoutrosconsolidadomai[[#This Row],[ATUAL]])</f>
        <v>0</v>
      </c>
      <c r="AB211" s="119" t="n">
        <f aca="false">SUMIFS(tabela_registros[VALOR],tabela_registros[MÊS],$AE$1,tabela_registros[DIA],reservaoutrosconsolidadomai[[#Headers],[24]],tabela_registros[REGISTRO],DADOS!$N$6,tabela_registros[TIPO],DADOS!$AJ$5,tabela_registros[CATEGORIA],reservaoutrosconsolidadomai[[#This Row],[ATUAL]])</f>
        <v>0</v>
      </c>
      <c r="AC211" s="119" t="n">
        <f aca="false">SUMIFS(tabela_registros[VALOR],tabela_registros[MÊS],$AE$1,tabela_registros[DIA],reservaoutrosconsolidadomai[[#Headers],[25]],tabela_registros[REGISTRO],DADOS!$N$6,tabela_registros[TIPO],DADOS!$AJ$5,tabela_registros[CATEGORIA],reservaoutrosconsolidadomai[[#This Row],[ATUAL]])</f>
        <v>0</v>
      </c>
      <c r="AD211" s="119" t="n">
        <f aca="false">SUMIFS(tabela_registros[VALOR],tabela_registros[MÊS],$AE$1,tabela_registros[DIA],reservaoutrosconsolidadomai[[#Headers],[26]],tabela_registros[REGISTRO],DADOS!$N$6,tabela_registros[TIPO],DADOS!$AJ$5,tabela_registros[CATEGORIA],reservaoutrosconsolidadomai[[#This Row],[ATUAL]])</f>
        <v>0</v>
      </c>
      <c r="AE211" s="119" t="n">
        <f aca="false">SUMIFS(tabela_registros[VALOR],tabela_registros[MÊS],$AE$1,tabela_registros[DIA],reservaoutrosconsolidadomai[[#Headers],[27]],tabela_registros[REGISTRO],DADOS!$N$6,tabela_registros[TIPO],DADOS!$AJ$5,tabela_registros[CATEGORIA],reservaoutrosconsolidadomai[[#This Row],[ATUAL]])</f>
        <v>0</v>
      </c>
      <c r="AF211" s="119" t="n">
        <f aca="false">SUMIFS(tabela_registros[VALOR],tabela_registros[MÊS],$AE$1,tabela_registros[DIA],reservaoutrosconsolidadomai[[#Headers],[28]],tabela_registros[REGISTRO],DADOS!$N$6,tabela_registros[TIPO],DADOS!$AJ$5,tabela_registros[CATEGORIA],reservaoutrosconsolidadomai[[#This Row],[ATUAL]])</f>
        <v>0</v>
      </c>
      <c r="AG211" s="119" t="n">
        <f aca="false">SUMIFS(tabela_registros[VALOR],tabela_registros[MÊS],$AE$1,tabela_registros[DIA],reservaoutrosconsolidadomai[[#Headers],[29]],tabela_registros[REGISTRO],DADOS!$N$6,tabela_registros[TIPO],DADOS!$AJ$5,tabela_registros[CATEGORIA],reservaoutrosconsolidadomai[[#This Row],[ATUAL]])</f>
        <v>0</v>
      </c>
      <c r="AH211" s="119" t="n">
        <f aca="false">SUMIFS(tabela_registros[VALOR],tabela_registros[MÊS],$AE$1,tabela_registros[DIA],reservaoutrosconsolidadomai[[#Headers],[30]],tabela_registros[REGISTRO],DADOS!$N$6,tabela_registros[TIPO],DADOS!$AJ$5,tabela_registros[CATEGORIA],reservaoutrosconsolidadomai[[#This Row],[ATUAL]])</f>
        <v>0</v>
      </c>
      <c r="AI211" s="217" t="n">
        <f aca="false">SUMIFS(tabela_registros[VALOR],tabela_registros[MÊS],$AE$1,tabela_registros[DIA],reservaoutrosconsolidadomai[[#Headers],[31]],tabela_registros[REGISTRO],DADOS!$N$6,tabela_registros[TIPO],DADOS!$AJ$5,tabela_registros[CATEGORIA],reservaoutrosconsolidadomai[[#This Row],[ATUAL]])</f>
        <v>0</v>
      </c>
      <c r="AJ211" s="149" t="n">
        <f aca="false">SUM(reservaoutrosconsolidadomai[[#This Row],[1]:[31]])</f>
        <v>0</v>
      </c>
      <c r="AK211" s="165"/>
    </row>
    <row r="212" customFormat="false" ht="19.5" hidden="false" customHeight="true" outlineLevel="0" collapsed="false">
      <c r="B212" s="143"/>
      <c r="C212" s="144" t="str">
        <f aca="false">DADOS!$AP$9</f>
        <v>📝 PREVIDÊNCIA PRIVADA</v>
      </c>
      <c r="D212" s="145" t="str">
        <f aca="false">IF(reservaoutrosconsolidadomai[[#This Row],[TOTAL (R$)]]=0,"",IF(OR(reservaoutrosconsolidadomai[[#This Row],[TOTAL (R$)]]=LARGE($AJ$206:$AJ$213,1),reservaoutrosconsolidadomai[[#This Row],[TOTAL (R$)]]=LARGE($AJ$206:$AJ$213,2)),DADOS!$I$11,""))</f>
        <v/>
      </c>
      <c r="E212" s="148" t="n">
        <f aca="false">SUMIFS(tabela_registros[VALOR],tabela_registros[MÊS],$AE$1,tabela_registros[DIA],reservaoutrosconsolidadomai[[#Headers],[1]],tabela_registros[REGISTRO],DADOS!$N$6,tabela_registros[TIPO],DADOS!$AJ$5,tabela_registros[CATEGORIA],reservaoutrosconsolidadomai[[#This Row],[ATUAL]])</f>
        <v>0</v>
      </c>
      <c r="F212" s="119" t="n">
        <f aca="false">SUMIFS(tabela_registros[VALOR],tabela_registros[MÊS],$AE$1,tabela_registros[DIA],reservaoutrosconsolidadomai[[#Headers],[2]],tabela_registros[REGISTRO],DADOS!$N$6,tabela_registros[TIPO],DADOS!$AJ$5,tabela_registros[CATEGORIA],reservaoutrosconsolidadomai[[#This Row],[ATUAL]])</f>
        <v>0</v>
      </c>
      <c r="G212" s="119" t="n">
        <f aca="false">SUMIFS(tabela_registros[VALOR],tabela_registros[MÊS],$AE$1,tabela_registros[DIA],reservaoutrosconsolidadomai[[#Headers],[3]],tabela_registros[REGISTRO],DADOS!$N$6,tabela_registros[TIPO],DADOS!$AJ$5,tabela_registros[CATEGORIA],reservaoutrosconsolidadomai[[#This Row],[ATUAL]])</f>
        <v>0</v>
      </c>
      <c r="H212" s="119" t="n">
        <f aca="false">SUMIFS(tabela_registros[VALOR],tabela_registros[MÊS],$AE$1,tabela_registros[DIA],reservaoutrosconsolidadomai[[#Headers],[4]],tabela_registros[REGISTRO],DADOS!$N$6,tabela_registros[TIPO],DADOS!$AJ$5,tabela_registros[CATEGORIA],reservaoutrosconsolidadomai[[#This Row],[ATUAL]])</f>
        <v>0</v>
      </c>
      <c r="I212" s="119" t="n">
        <f aca="false">SUMIFS(tabela_registros[VALOR],tabela_registros[MÊS],$AE$1,tabela_registros[DIA],reservaoutrosconsolidadomai[[#Headers],[5]],tabela_registros[REGISTRO],DADOS!$N$6,tabela_registros[TIPO],DADOS!$AJ$5,tabela_registros[CATEGORIA],reservaoutrosconsolidadomai[[#This Row],[ATUAL]])</f>
        <v>0</v>
      </c>
      <c r="J212" s="119" t="n">
        <f aca="false">SUMIFS(tabela_registros[VALOR],tabela_registros[MÊS],$AE$1,tabela_registros[DIA],reservaoutrosconsolidadomai[[#Headers],[6]],tabela_registros[REGISTRO],DADOS!$N$6,tabela_registros[TIPO],DADOS!$AJ$5,tabela_registros[CATEGORIA],reservaoutrosconsolidadomai[[#This Row],[ATUAL]])</f>
        <v>0</v>
      </c>
      <c r="K212" s="119" t="n">
        <f aca="false">SUMIFS(tabela_registros[VALOR],tabela_registros[MÊS],$AE$1,tabela_registros[DIA],reservaoutrosconsolidadomai[[#Headers],[7]],tabela_registros[REGISTRO],DADOS!$N$6,tabela_registros[TIPO],DADOS!$AJ$5,tabela_registros[CATEGORIA],reservaoutrosconsolidadomai[[#This Row],[ATUAL]])</f>
        <v>0</v>
      </c>
      <c r="L212" s="119" t="n">
        <f aca="false">SUMIFS(tabela_registros[VALOR],tabela_registros[MÊS],$AE$1,tabela_registros[DIA],reservaoutrosconsolidadomai[[#Headers],[8]],tabela_registros[REGISTRO],DADOS!$N$6,tabela_registros[TIPO],DADOS!$AJ$5,tabela_registros[CATEGORIA],reservaoutrosconsolidadomai[[#This Row],[ATUAL]])</f>
        <v>0</v>
      </c>
      <c r="M212" s="119" t="n">
        <f aca="false">SUMIFS(tabela_registros[VALOR],tabela_registros[MÊS],$AE$1,tabela_registros[DIA],reservaoutrosconsolidadomai[[#Headers],[9]],tabela_registros[REGISTRO],DADOS!$N$6,tabela_registros[TIPO],DADOS!$AJ$5,tabela_registros[CATEGORIA],reservaoutrosconsolidadomai[[#This Row],[ATUAL]])</f>
        <v>0</v>
      </c>
      <c r="N212" s="119" t="n">
        <f aca="false">SUMIFS(tabela_registros[VALOR],tabela_registros[MÊS],$AE$1,tabela_registros[DIA],reservaoutrosconsolidadomai[[#Headers],[10]],tabela_registros[REGISTRO],DADOS!$N$6,tabela_registros[TIPO],DADOS!$AJ$5,tabela_registros[CATEGORIA],reservaoutrosconsolidadomai[[#This Row],[ATUAL]])</f>
        <v>0</v>
      </c>
      <c r="O212" s="119" t="n">
        <f aca="false">SUMIFS(tabela_registros[VALOR],tabela_registros[MÊS],$AE$1,tabela_registros[DIA],reservaoutrosconsolidadomai[[#Headers],[11]],tabela_registros[REGISTRO],DADOS!$N$6,tabela_registros[TIPO],DADOS!$AJ$5,tabela_registros[CATEGORIA],reservaoutrosconsolidadomai[[#This Row],[ATUAL]])</f>
        <v>0</v>
      </c>
      <c r="P212" s="119" t="n">
        <f aca="false">SUMIFS(tabela_registros[VALOR],tabela_registros[MÊS],$AE$1,tabela_registros[DIA],reservaoutrosconsolidadomai[[#Headers],[12]],tabela_registros[REGISTRO],DADOS!$N$6,tabela_registros[TIPO],DADOS!$AJ$5,tabela_registros[CATEGORIA],reservaoutrosconsolidadomai[[#This Row],[ATUAL]])</f>
        <v>0</v>
      </c>
      <c r="Q212" s="119" t="n">
        <f aca="false">SUMIFS(tabela_registros[VALOR],tabela_registros[MÊS],$AE$1,tabela_registros[DIA],reservaoutrosconsolidadomai[[#Headers],[13]],tabela_registros[REGISTRO],DADOS!$N$6,tabela_registros[TIPO],DADOS!$AJ$5,tabela_registros[CATEGORIA],reservaoutrosconsolidadomai[[#This Row],[ATUAL]])</f>
        <v>0</v>
      </c>
      <c r="R212" s="119" t="n">
        <f aca="false">SUMIFS(tabela_registros[VALOR],tabela_registros[MÊS],$AE$1,tabela_registros[DIA],reservaoutrosconsolidadomai[[#Headers],[14]],tabela_registros[REGISTRO],DADOS!$N$6,tabela_registros[TIPO],DADOS!$AJ$5,tabela_registros[CATEGORIA],reservaoutrosconsolidadomai[[#This Row],[ATUAL]])</f>
        <v>0</v>
      </c>
      <c r="S212" s="119" t="n">
        <f aca="false">SUMIFS(tabela_registros[VALOR],tabela_registros[MÊS],$AE$1,tabela_registros[DIA],reservaoutrosconsolidadomai[[#Headers],[15]],tabela_registros[REGISTRO],DADOS!$N$6,tabela_registros[TIPO],DADOS!$AJ$5,tabela_registros[CATEGORIA],reservaoutrosconsolidadomai[[#This Row],[ATUAL]])</f>
        <v>0</v>
      </c>
      <c r="T212" s="119" t="n">
        <f aca="false">SUMIFS(tabela_registros[VALOR],tabela_registros[MÊS],$AE$1,tabela_registros[DIA],reservaoutrosconsolidadomai[[#Headers],[16]],tabela_registros[REGISTRO],DADOS!$N$6,tabela_registros[TIPO],DADOS!$AJ$5,tabela_registros[CATEGORIA],reservaoutrosconsolidadomai[[#This Row],[ATUAL]])</f>
        <v>0</v>
      </c>
      <c r="U212" s="119" t="n">
        <f aca="false">SUMIFS(tabela_registros[VALOR],tabela_registros[MÊS],$AE$1,tabela_registros[DIA],reservaoutrosconsolidadomai[[#Headers],[17]],tabela_registros[REGISTRO],DADOS!$N$6,tabela_registros[TIPO],DADOS!$AJ$5,tabela_registros[CATEGORIA],reservaoutrosconsolidadomai[[#This Row],[ATUAL]])</f>
        <v>0</v>
      </c>
      <c r="V212" s="119" t="n">
        <f aca="false">SUMIFS(tabela_registros[VALOR],tabela_registros[MÊS],$AE$1,tabela_registros[DIA],reservaoutrosconsolidadomai[[#Headers],[18]],tabela_registros[REGISTRO],DADOS!$N$6,tabela_registros[TIPO],DADOS!$AJ$5,tabela_registros[CATEGORIA],reservaoutrosconsolidadomai[[#This Row],[ATUAL]])</f>
        <v>0</v>
      </c>
      <c r="W212" s="119" t="n">
        <f aca="false">SUMIFS(tabela_registros[VALOR],tabela_registros[MÊS],$AE$1,tabela_registros[DIA],reservaoutrosconsolidadomai[[#Headers],[19]],tabela_registros[REGISTRO],DADOS!$N$6,tabela_registros[TIPO],DADOS!$AJ$5,tabela_registros[CATEGORIA],reservaoutrosconsolidadomai[[#This Row],[ATUAL]])</f>
        <v>0</v>
      </c>
      <c r="X212" s="119" t="n">
        <f aca="false">SUMIFS(tabela_registros[VALOR],tabela_registros[MÊS],$AE$1,tabela_registros[DIA],reservaoutrosconsolidadomai[[#Headers],[20]],tabela_registros[REGISTRO],DADOS!$N$6,tabela_registros[TIPO],DADOS!$AJ$5,tabela_registros[CATEGORIA],reservaoutrosconsolidadomai[[#This Row],[ATUAL]])</f>
        <v>0</v>
      </c>
      <c r="Y212" s="119" t="n">
        <f aca="false">SUMIFS(tabela_registros[VALOR],tabela_registros[MÊS],$AE$1,tabela_registros[DIA],reservaoutrosconsolidadomai[[#Headers],[21]],tabela_registros[REGISTRO],DADOS!$N$6,tabela_registros[TIPO],DADOS!$AJ$5,tabela_registros[CATEGORIA],reservaoutrosconsolidadomai[[#This Row],[ATUAL]])</f>
        <v>0</v>
      </c>
      <c r="Z212" s="119" t="n">
        <f aca="false">SUMIFS(tabela_registros[VALOR],tabela_registros[MÊS],$AE$1,tabela_registros[DIA],reservaoutrosconsolidadomai[[#Headers],[22]],tabela_registros[REGISTRO],DADOS!$N$6,tabela_registros[TIPO],DADOS!$AJ$5,tabela_registros[CATEGORIA],reservaoutrosconsolidadomai[[#This Row],[ATUAL]])</f>
        <v>0</v>
      </c>
      <c r="AA212" s="119" t="n">
        <f aca="false">SUMIFS(tabela_registros[VALOR],tabela_registros[MÊS],$AE$1,tabela_registros[DIA],reservaoutrosconsolidadomai[[#Headers],[23]],tabela_registros[REGISTRO],DADOS!$N$6,tabela_registros[TIPO],DADOS!$AJ$5,tabela_registros[CATEGORIA],reservaoutrosconsolidadomai[[#This Row],[ATUAL]])</f>
        <v>0</v>
      </c>
      <c r="AB212" s="119" t="n">
        <f aca="false">SUMIFS(tabela_registros[VALOR],tabela_registros[MÊS],$AE$1,tabela_registros[DIA],reservaoutrosconsolidadomai[[#Headers],[24]],tabela_registros[REGISTRO],DADOS!$N$6,tabela_registros[TIPO],DADOS!$AJ$5,tabela_registros[CATEGORIA],reservaoutrosconsolidadomai[[#This Row],[ATUAL]])</f>
        <v>0</v>
      </c>
      <c r="AC212" s="119" t="n">
        <f aca="false">SUMIFS(tabela_registros[VALOR],tabela_registros[MÊS],$AE$1,tabela_registros[DIA],reservaoutrosconsolidadomai[[#Headers],[25]],tabela_registros[REGISTRO],DADOS!$N$6,tabela_registros[TIPO],DADOS!$AJ$5,tabela_registros[CATEGORIA],reservaoutrosconsolidadomai[[#This Row],[ATUAL]])</f>
        <v>0</v>
      </c>
      <c r="AD212" s="119" t="n">
        <f aca="false">SUMIFS(tabela_registros[VALOR],tabela_registros[MÊS],$AE$1,tabela_registros[DIA],reservaoutrosconsolidadomai[[#Headers],[26]],tabela_registros[REGISTRO],DADOS!$N$6,tabela_registros[TIPO],DADOS!$AJ$5,tabela_registros[CATEGORIA],reservaoutrosconsolidadomai[[#This Row],[ATUAL]])</f>
        <v>0</v>
      </c>
      <c r="AE212" s="119" t="n">
        <f aca="false">SUMIFS(tabela_registros[VALOR],tabela_registros[MÊS],$AE$1,tabela_registros[DIA],reservaoutrosconsolidadomai[[#Headers],[27]],tabela_registros[REGISTRO],DADOS!$N$6,tabela_registros[TIPO],DADOS!$AJ$5,tabela_registros[CATEGORIA],reservaoutrosconsolidadomai[[#This Row],[ATUAL]])</f>
        <v>0</v>
      </c>
      <c r="AF212" s="119" t="n">
        <f aca="false">SUMIFS(tabela_registros[VALOR],tabela_registros[MÊS],$AE$1,tabela_registros[DIA],reservaoutrosconsolidadomai[[#Headers],[28]],tabela_registros[REGISTRO],DADOS!$N$6,tabela_registros[TIPO],DADOS!$AJ$5,tabela_registros[CATEGORIA],reservaoutrosconsolidadomai[[#This Row],[ATUAL]])</f>
        <v>0</v>
      </c>
      <c r="AG212" s="119" t="n">
        <f aca="false">SUMIFS(tabela_registros[VALOR],tabela_registros[MÊS],$AE$1,tabela_registros[DIA],reservaoutrosconsolidadomai[[#Headers],[29]],tabela_registros[REGISTRO],DADOS!$N$6,tabela_registros[TIPO],DADOS!$AJ$5,tabela_registros[CATEGORIA],reservaoutrosconsolidadomai[[#This Row],[ATUAL]])</f>
        <v>0</v>
      </c>
      <c r="AH212" s="119" t="n">
        <f aca="false">SUMIFS(tabela_registros[VALOR],tabela_registros[MÊS],$AE$1,tabela_registros[DIA],reservaoutrosconsolidadomai[[#Headers],[30]],tabela_registros[REGISTRO],DADOS!$N$6,tabela_registros[TIPO],DADOS!$AJ$5,tabela_registros[CATEGORIA],reservaoutrosconsolidadomai[[#This Row],[ATUAL]])</f>
        <v>0</v>
      </c>
      <c r="AI212" s="217" t="n">
        <f aca="false">SUMIFS(tabela_registros[VALOR],tabela_registros[MÊS],$AE$1,tabela_registros[DIA],reservaoutrosconsolidadomai[[#Headers],[31]],tabela_registros[REGISTRO],DADOS!$N$6,tabela_registros[TIPO],DADOS!$AJ$5,tabela_registros[CATEGORIA],reservaoutrosconsolidadomai[[#This Row],[ATUAL]])</f>
        <v>0</v>
      </c>
      <c r="AJ212" s="149" t="n">
        <f aca="false">SUM(reservaoutrosconsolidadomai[[#This Row],[1]:[31]])</f>
        <v>0</v>
      </c>
      <c r="AK212" s="165"/>
    </row>
    <row r="213" customFormat="false" ht="19.5" hidden="false" customHeight="true" outlineLevel="0" collapsed="false">
      <c r="B213" s="143"/>
      <c r="C213" s="144" t="str">
        <f aca="false">DADOS!$AP$10</f>
        <v>📎 OUTROS</v>
      </c>
      <c r="D213" s="145" t="str">
        <f aca="false">IF(reservaoutrosconsolidadomai[[#This Row],[TOTAL (R$)]]=0,"",IF(OR(reservaoutrosconsolidadomai[[#This Row],[TOTAL (R$)]]=LARGE($AJ$206:$AJ$213,1),reservaoutrosconsolidadomai[[#This Row],[TOTAL (R$)]]=LARGE($AJ$206:$AJ$213,2)),DADOS!$I$11,""))</f>
        <v/>
      </c>
      <c r="E213" s="148" t="n">
        <f aca="false">SUMIFS(tabela_registros[VALOR],tabela_registros[MÊS],$AE$1,tabela_registros[DIA],reservaoutrosconsolidadomai[[#Headers],[1]],tabela_registros[REGISTRO],DADOS!$N$6,tabela_registros[TIPO],DADOS!$AJ$5,tabela_registros[CATEGORIA],reservaoutrosconsolidadomai[[#This Row],[ATUAL]])</f>
        <v>0</v>
      </c>
      <c r="F213" s="119" t="n">
        <f aca="false">SUMIFS(tabela_registros[VALOR],tabela_registros[MÊS],$AE$1,tabela_registros[DIA],reservaoutrosconsolidadomai[[#Headers],[2]],tabela_registros[REGISTRO],DADOS!$N$6,tabela_registros[TIPO],DADOS!$AJ$5,tabela_registros[CATEGORIA],reservaoutrosconsolidadomai[[#This Row],[ATUAL]])</f>
        <v>0</v>
      </c>
      <c r="G213" s="119" t="n">
        <f aca="false">SUMIFS(tabela_registros[VALOR],tabela_registros[MÊS],$AE$1,tabela_registros[DIA],reservaoutrosconsolidadomai[[#Headers],[3]],tabela_registros[REGISTRO],DADOS!$N$6,tabela_registros[TIPO],DADOS!$AJ$5,tabela_registros[CATEGORIA],reservaoutrosconsolidadomai[[#This Row],[ATUAL]])</f>
        <v>0</v>
      </c>
      <c r="H213" s="119" t="n">
        <f aca="false">SUMIFS(tabela_registros[VALOR],tabela_registros[MÊS],$AE$1,tabela_registros[DIA],reservaoutrosconsolidadomai[[#Headers],[4]],tabela_registros[REGISTRO],DADOS!$N$6,tabela_registros[TIPO],DADOS!$AJ$5,tabela_registros[CATEGORIA],reservaoutrosconsolidadomai[[#This Row],[ATUAL]])</f>
        <v>0</v>
      </c>
      <c r="I213" s="119" t="n">
        <f aca="false">SUMIFS(tabela_registros[VALOR],tabela_registros[MÊS],$AE$1,tabela_registros[DIA],reservaoutrosconsolidadomai[[#Headers],[5]],tabela_registros[REGISTRO],DADOS!$N$6,tabela_registros[TIPO],DADOS!$AJ$5,tabela_registros[CATEGORIA],reservaoutrosconsolidadomai[[#This Row],[ATUAL]])</f>
        <v>0</v>
      </c>
      <c r="J213" s="119" t="n">
        <f aca="false">SUMIFS(tabela_registros[VALOR],tabela_registros[MÊS],$AE$1,tabela_registros[DIA],reservaoutrosconsolidadomai[[#Headers],[6]],tabela_registros[REGISTRO],DADOS!$N$6,tabela_registros[TIPO],DADOS!$AJ$5,tabela_registros[CATEGORIA],reservaoutrosconsolidadomai[[#This Row],[ATUAL]])</f>
        <v>0</v>
      </c>
      <c r="K213" s="119" t="n">
        <f aca="false">SUMIFS(tabela_registros[VALOR],tabela_registros[MÊS],$AE$1,tabela_registros[DIA],reservaoutrosconsolidadomai[[#Headers],[7]],tabela_registros[REGISTRO],DADOS!$N$6,tabela_registros[TIPO],DADOS!$AJ$5,tabela_registros[CATEGORIA],reservaoutrosconsolidadomai[[#This Row],[ATUAL]])</f>
        <v>0</v>
      </c>
      <c r="L213" s="119" t="n">
        <f aca="false">SUMIFS(tabela_registros[VALOR],tabela_registros[MÊS],$AE$1,tabela_registros[DIA],reservaoutrosconsolidadomai[[#Headers],[8]],tabela_registros[REGISTRO],DADOS!$N$6,tabela_registros[TIPO],DADOS!$AJ$5,tabela_registros[CATEGORIA],reservaoutrosconsolidadomai[[#This Row],[ATUAL]])</f>
        <v>0</v>
      </c>
      <c r="M213" s="119" t="n">
        <f aca="false">SUMIFS(tabela_registros[VALOR],tabela_registros[MÊS],$AE$1,tabela_registros[DIA],reservaoutrosconsolidadomai[[#Headers],[9]],tabela_registros[REGISTRO],DADOS!$N$6,tabela_registros[TIPO],DADOS!$AJ$5,tabela_registros[CATEGORIA],reservaoutrosconsolidadomai[[#This Row],[ATUAL]])</f>
        <v>0</v>
      </c>
      <c r="N213" s="119" t="n">
        <f aca="false">SUMIFS(tabela_registros[VALOR],tabela_registros[MÊS],$AE$1,tabela_registros[DIA],reservaoutrosconsolidadomai[[#Headers],[10]],tabela_registros[REGISTRO],DADOS!$N$6,tabela_registros[TIPO],DADOS!$AJ$5,tabela_registros[CATEGORIA],reservaoutrosconsolidadomai[[#This Row],[ATUAL]])</f>
        <v>0</v>
      </c>
      <c r="O213" s="119" t="n">
        <f aca="false">SUMIFS(tabela_registros[VALOR],tabela_registros[MÊS],$AE$1,tabela_registros[DIA],reservaoutrosconsolidadomai[[#Headers],[11]],tabela_registros[REGISTRO],DADOS!$N$6,tabela_registros[TIPO],DADOS!$AJ$5,tabela_registros[CATEGORIA],reservaoutrosconsolidadomai[[#This Row],[ATUAL]])</f>
        <v>0</v>
      </c>
      <c r="P213" s="119" t="n">
        <f aca="false">SUMIFS(tabela_registros[VALOR],tabela_registros[MÊS],$AE$1,tabela_registros[DIA],reservaoutrosconsolidadomai[[#Headers],[12]],tabela_registros[REGISTRO],DADOS!$N$6,tabela_registros[TIPO],DADOS!$AJ$5,tabela_registros[CATEGORIA],reservaoutrosconsolidadomai[[#This Row],[ATUAL]])</f>
        <v>0</v>
      </c>
      <c r="Q213" s="119" t="n">
        <f aca="false">SUMIFS(tabela_registros[VALOR],tabela_registros[MÊS],$AE$1,tabela_registros[DIA],reservaoutrosconsolidadomai[[#Headers],[13]],tabela_registros[REGISTRO],DADOS!$N$6,tabela_registros[TIPO],DADOS!$AJ$5,tabela_registros[CATEGORIA],reservaoutrosconsolidadomai[[#This Row],[ATUAL]])</f>
        <v>0</v>
      </c>
      <c r="R213" s="119" t="n">
        <f aca="false">SUMIFS(tabela_registros[VALOR],tabela_registros[MÊS],$AE$1,tabela_registros[DIA],reservaoutrosconsolidadomai[[#Headers],[14]],tabela_registros[REGISTRO],DADOS!$N$6,tabela_registros[TIPO],DADOS!$AJ$5,tabela_registros[CATEGORIA],reservaoutrosconsolidadomai[[#This Row],[ATUAL]])</f>
        <v>0</v>
      </c>
      <c r="S213" s="119" t="n">
        <f aca="false">SUMIFS(tabela_registros[VALOR],tabela_registros[MÊS],$AE$1,tabela_registros[DIA],reservaoutrosconsolidadomai[[#Headers],[15]],tabela_registros[REGISTRO],DADOS!$N$6,tabela_registros[TIPO],DADOS!$AJ$5,tabela_registros[CATEGORIA],reservaoutrosconsolidadomai[[#This Row],[ATUAL]])</f>
        <v>0</v>
      </c>
      <c r="T213" s="119" t="n">
        <f aca="false">SUMIFS(tabela_registros[VALOR],tabela_registros[MÊS],$AE$1,tabela_registros[DIA],reservaoutrosconsolidadomai[[#Headers],[16]],tabela_registros[REGISTRO],DADOS!$N$6,tabela_registros[TIPO],DADOS!$AJ$5,tabela_registros[CATEGORIA],reservaoutrosconsolidadomai[[#This Row],[ATUAL]])</f>
        <v>0</v>
      </c>
      <c r="U213" s="119" t="n">
        <f aca="false">SUMIFS(tabela_registros[VALOR],tabela_registros[MÊS],$AE$1,tabela_registros[DIA],reservaoutrosconsolidadomai[[#Headers],[17]],tabela_registros[REGISTRO],DADOS!$N$6,tabela_registros[TIPO],DADOS!$AJ$5,tabela_registros[CATEGORIA],reservaoutrosconsolidadomai[[#This Row],[ATUAL]])</f>
        <v>0</v>
      </c>
      <c r="V213" s="119" t="n">
        <f aca="false">SUMIFS(tabela_registros[VALOR],tabela_registros[MÊS],$AE$1,tabela_registros[DIA],reservaoutrosconsolidadomai[[#Headers],[18]],tabela_registros[REGISTRO],DADOS!$N$6,tabela_registros[TIPO],DADOS!$AJ$5,tabela_registros[CATEGORIA],reservaoutrosconsolidadomai[[#This Row],[ATUAL]])</f>
        <v>0</v>
      </c>
      <c r="W213" s="119" t="n">
        <f aca="false">SUMIFS(tabela_registros[VALOR],tabela_registros[MÊS],$AE$1,tabela_registros[DIA],reservaoutrosconsolidadomai[[#Headers],[19]],tabela_registros[REGISTRO],DADOS!$N$6,tabela_registros[TIPO],DADOS!$AJ$5,tabela_registros[CATEGORIA],reservaoutrosconsolidadomai[[#This Row],[ATUAL]])</f>
        <v>0</v>
      </c>
      <c r="X213" s="119" t="n">
        <f aca="false">SUMIFS(tabela_registros[VALOR],tabela_registros[MÊS],$AE$1,tabela_registros[DIA],reservaoutrosconsolidadomai[[#Headers],[20]],tabela_registros[REGISTRO],DADOS!$N$6,tabela_registros[TIPO],DADOS!$AJ$5,tabela_registros[CATEGORIA],reservaoutrosconsolidadomai[[#This Row],[ATUAL]])</f>
        <v>0</v>
      </c>
      <c r="Y213" s="119" t="n">
        <f aca="false">SUMIFS(tabela_registros[VALOR],tabela_registros[MÊS],$AE$1,tabela_registros[DIA],reservaoutrosconsolidadomai[[#Headers],[21]],tabela_registros[REGISTRO],DADOS!$N$6,tabela_registros[TIPO],DADOS!$AJ$5,tabela_registros[CATEGORIA],reservaoutrosconsolidadomai[[#This Row],[ATUAL]])</f>
        <v>0</v>
      </c>
      <c r="Z213" s="119" t="n">
        <f aca="false">SUMIFS(tabela_registros[VALOR],tabela_registros[MÊS],$AE$1,tabela_registros[DIA],reservaoutrosconsolidadomai[[#Headers],[22]],tabela_registros[REGISTRO],DADOS!$N$6,tabela_registros[TIPO],DADOS!$AJ$5,tabela_registros[CATEGORIA],reservaoutrosconsolidadomai[[#This Row],[ATUAL]])</f>
        <v>0</v>
      </c>
      <c r="AA213" s="119" t="n">
        <f aca="false">SUMIFS(tabela_registros[VALOR],tabela_registros[MÊS],$AE$1,tabela_registros[DIA],reservaoutrosconsolidadomai[[#Headers],[23]],tabela_registros[REGISTRO],DADOS!$N$6,tabela_registros[TIPO],DADOS!$AJ$5,tabela_registros[CATEGORIA],reservaoutrosconsolidadomai[[#This Row],[ATUAL]])</f>
        <v>0</v>
      </c>
      <c r="AB213" s="119" t="n">
        <f aca="false">SUMIFS(tabela_registros[VALOR],tabela_registros[MÊS],$AE$1,tabela_registros[DIA],reservaoutrosconsolidadomai[[#Headers],[24]],tabela_registros[REGISTRO],DADOS!$N$6,tabela_registros[TIPO],DADOS!$AJ$5,tabela_registros[CATEGORIA],reservaoutrosconsolidadomai[[#This Row],[ATUAL]])</f>
        <v>0</v>
      </c>
      <c r="AC213" s="119" t="n">
        <f aca="false">SUMIFS(tabela_registros[VALOR],tabela_registros[MÊS],$AE$1,tabela_registros[DIA],reservaoutrosconsolidadomai[[#Headers],[25]],tabela_registros[REGISTRO],DADOS!$N$6,tabela_registros[TIPO],DADOS!$AJ$5,tabela_registros[CATEGORIA],reservaoutrosconsolidadomai[[#This Row],[ATUAL]])</f>
        <v>0</v>
      </c>
      <c r="AD213" s="119" t="n">
        <f aca="false">SUMIFS(tabela_registros[VALOR],tabela_registros[MÊS],$AE$1,tabela_registros[DIA],reservaoutrosconsolidadomai[[#Headers],[26]],tabela_registros[REGISTRO],DADOS!$N$6,tabela_registros[TIPO],DADOS!$AJ$5,tabela_registros[CATEGORIA],reservaoutrosconsolidadomai[[#This Row],[ATUAL]])</f>
        <v>0</v>
      </c>
      <c r="AE213" s="119" t="n">
        <f aca="false">SUMIFS(tabela_registros[VALOR],tabela_registros[MÊS],$AE$1,tabela_registros[DIA],reservaoutrosconsolidadomai[[#Headers],[27]],tabela_registros[REGISTRO],DADOS!$N$6,tabela_registros[TIPO],DADOS!$AJ$5,tabela_registros[CATEGORIA],reservaoutrosconsolidadomai[[#This Row],[ATUAL]])</f>
        <v>0</v>
      </c>
      <c r="AF213" s="119" t="n">
        <f aca="false">SUMIFS(tabela_registros[VALOR],tabela_registros[MÊS],$AE$1,tabela_registros[DIA],reservaoutrosconsolidadomai[[#Headers],[28]],tabela_registros[REGISTRO],DADOS!$N$6,tabela_registros[TIPO],DADOS!$AJ$5,tabela_registros[CATEGORIA],reservaoutrosconsolidadomai[[#This Row],[ATUAL]])</f>
        <v>0</v>
      </c>
      <c r="AG213" s="119" t="n">
        <f aca="false">SUMIFS(tabela_registros[VALOR],tabela_registros[MÊS],$AE$1,tabela_registros[DIA],reservaoutrosconsolidadomai[[#Headers],[29]],tabela_registros[REGISTRO],DADOS!$N$6,tabela_registros[TIPO],DADOS!$AJ$5,tabela_registros[CATEGORIA],reservaoutrosconsolidadomai[[#This Row],[ATUAL]])</f>
        <v>0</v>
      </c>
      <c r="AH213" s="119" t="n">
        <f aca="false">SUMIFS(tabela_registros[VALOR],tabela_registros[MÊS],$AE$1,tabela_registros[DIA],reservaoutrosconsolidadomai[[#Headers],[30]],tabela_registros[REGISTRO],DADOS!$N$6,tabela_registros[TIPO],DADOS!$AJ$5,tabela_registros[CATEGORIA],reservaoutrosconsolidadomai[[#This Row],[ATUAL]])</f>
        <v>0</v>
      </c>
      <c r="AI213" s="218" t="n">
        <f aca="false">SUMIFS(tabela_registros[VALOR],tabela_registros[MÊS],$AE$1,tabela_registros[DIA],reservaoutrosconsolidadomai[[#Headers],[31]],tabela_registros[REGISTRO],DADOS!$N$6,tabela_registros[TIPO],DADOS!$AJ$5,tabela_registros[CATEGORIA],reservaoutrosconsolidadomai[[#This Row],[ATUAL]])</f>
        <v>0</v>
      </c>
      <c r="AJ213" s="149" t="n">
        <f aca="false">SUM(reservaoutrosconsolidadomai[[#This Row],[1]:[31]])</f>
        <v>0</v>
      </c>
      <c r="AK213" s="165"/>
    </row>
    <row r="214" s="122" customFormat="true" ht="21" hidden="false" customHeight="true" outlineLevel="0" collapsed="false">
      <c r="B214" s="152"/>
      <c r="C214" s="153" t="s">
        <v>2</v>
      </c>
      <c r="D214" s="166"/>
      <c r="E214" s="155" t="n">
        <f aca="false">SUM(E206:E213)</f>
        <v>0</v>
      </c>
      <c r="F214" s="156" t="n">
        <f aca="false">SUM(F206:F213)+reservaoutrosconsolidadomai[[#This Row],[1]]</f>
        <v>0</v>
      </c>
      <c r="G214" s="156" t="n">
        <f aca="false">SUM(G206:G213)+reservaoutrosconsolidadomai[[#This Row],[2]]</f>
        <v>0</v>
      </c>
      <c r="H214" s="156" t="n">
        <f aca="false">SUM(H206:H213)+reservaoutrosconsolidadomai[[#This Row],[3]]</f>
        <v>0</v>
      </c>
      <c r="I214" s="156" t="n">
        <f aca="false">SUM(I206:I213)+reservaoutrosconsolidadomai[[#This Row],[4]]</f>
        <v>0</v>
      </c>
      <c r="J214" s="156" t="n">
        <f aca="false">SUM(J206:J213)+reservaoutrosconsolidadomai[[#This Row],[5]]</f>
        <v>0</v>
      </c>
      <c r="K214" s="156" t="n">
        <f aca="false">SUM(K206:K213)+reservaoutrosconsolidadomai[[#This Row],[6]]</f>
        <v>0</v>
      </c>
      <c r="L214" s="156" t="n">
        <f aca="false">SUM(L206:L213)+reservaoutrosconsolidadomai[[#This Row],[7]]</f>
        <v>0</v>
      </c>
      <c r="M214" s="156" t="n">
        <f aca="false">SUM(M206:M213)+reservaoutrosconsolidadomai[[#This Row],[8]]</f>
        <v>0</v>
      </c>
      <c r="N214" s="156" t="n">
        <f aca="false">SUM(N206:N213)+reservaoutrosconsolidadomai[[#This Row],[9]]</f>
        <v>0</v>
      </c>
      <c r="O214" s="156" t="n">
        <f aca="false">SUM(O206:O213)+reservaoutrosconsolidadomai[[#This Row],[10]]</f>
        <v>0</v>
      </c>
      <c r="P214" s="156" t="n">
        <f aca="false">SUM(P206:P213)+reservaoutrosconsolidadomai[[#This Row],[11]]</f>
        <v>0</v>
      </c>
      <c r="Q214" s="156" t="n">
        <f aca="false">SUM(Q206:Q213)+reservaoutrosconsolidadomai[[#This Row],[12]]</f>
        <v>0</v>
      </c>
      <c r="R214" s="156" t="n">
        <f aca="false">SUM(R206:R213)+reservaoutrosconsolidadomai[[#This Row],[13]]</f>
        <v>0</v>
      </c>
      <c r="S214" s="156" t="n">
        <f aca="false">SUM(S206:S213)+reservaoutrosconsolidadomai[[#This Row],[14]]</f>
        <v>0</v>
      </c>
      <c r="T214" s="156" t="n">
        <f aca="false">SUM(T206:T213)+reservaoutrosconsolidadomai[[#This Row],[15]]</f>
        <v>0</v>
      </c>
      <c r="U214" s="156" t="n">
        <f aca="false">SUM(U206:U213)+reservaoutrosconsolidadomai[[#This Row],[16]]</f>
        <v>0</v>
      </c>
      <c r="V214" s="156" t="n">
        <f aca="false">SUM(V206:V213)+reservaoutrosconsolidadomai[[#This Row],[17]]</f>
        <v>0</v>
      </c>
      <c r="W214" s="156" t="n">
        <f aca="false">SUM(W206:W213)+reservaoutrosconsolidadomai[[#This Row],[18]]</f>
        <v>0</v>
      </c>
      <c r="X214" s="156" t="n">
        <f aca="false">SUM(X206:X213)+reservaoutrosconsolidadomai[[#This Row],[19]]</f>
        <v>0</v>
      </c>
      <c r="Y214" s="156" t="n">
        <f aca="false">SUM(Y206:Y213)+reservaoutrosconsolidadomai[[#This Row],[20]]</f>
        <v>0</v>
      </c>
      <c r="Z214" s="156" t="n">
        <f aca="false">SUM(Z206:Z213)+reservaoutrosconsolidadomai[[#This Row],[21]]</f>
        <v>0</v>
      </c>
      <c r="AA214" s="156" t="n">
        <f aca="false">SUM(AA206:AA213)+reservaoutrosconsolidadomai[[#This Row],[22]]</f>
        <v>0</v>
      </c>
      <c r="AB214" s="156" t="n">
        <f aca="false">SUM(AB206:AB213)+reservaoutrosconsolidadomai[[#This Row],[23]]</f>
        <v>0</v>
      </c>
      <c r="AC214" s="156" t="n">
        <f aca="false">SUM(AC206:AC213)+reservaoutrosconsolidadomai[[#This Row],[24]]</f>
        <v>0</v>
      </c>
      <c r="AD214" s="156" t="n">
        <f aca="false">SUM(AD206:AD213)+reservaoutrosconsolidadomai[[#This Row],[25]]</f>
        <v>0</v>
      </c>
      <c r="AE214" s="156" t="n">
        <f aca="false">SUM(AE206:AE213)+reservaoutrosconsolidadomai[[#This Row],[26]]</f>
        <v>0</v>
      </c>
      <c r="AF214" s="156" t="n">
        <f aca="false">SUM(AF206:AF213)+reservaoutrosconsolidadomai[[#This Row],[27]]</f>
        <v>0</v>
      </c>
      <c r="AG214" s="156" t="n">
        <f aca="false">SUM(AG206:AG213)+reservaoutrosconsolidadomai[[#This Row],[28]]</f>
        <v>0</v>
      </c>
      <c r="AH214" s="156" t="n">
        <f aca="false">SUM(AH206:AH213)+reservaoutrosconsolidadomai[[#This Row],[29]]</f>
        <v>0</v>
      </c>
      <c r="AI214" s="223" t="n">
        <f aca="false">SUM(AI206:AI213)+reservaoutrosconsolidadomai[[#This Row],[30]]</f>
        <v>0</v>
      </c>
      <c r="AJ214" s="157" t="n">
        <f aca="false">reservaoutrosconsolidadomai[[#This Row],[31]]</f>
        <v>0</v>
      </c>
      <c r="AK214" s="158"/>
    </row>
    <row r="215" customFormat="false" ht="6.75" hidden="false" customHeight="true" outlineLevel="0" collapsed="false">
      <c r="B215" s="97"/>
      <c r="C215" s="162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233"/>
      <c r="AJ215" s="164"/>
      <c r="AK215" s="244"/>
    </row>
    <row r="216" customFormat="false" ht="12.75" hidden="false" customHeight="false" outlineLevel="0" collapsed="false"/>
    <row r="217" customFormat="false" ht="12" hidden="false" customHeight="false" outlineLevel="0" collapsed="false"/>
  </sheetData>
  <sheetProtection algorithmName="SHA-512" hashValue="vOjed9j/JctzVXclxH99E15drcgJi2mqeKB6dfPbPXzGF/469TgiH2UuG8jNJkWyw/YKGYmmcq4o8NZDqAH/2Q==" saltValue="vsCkznKQPQrMKja0fxLIOw==" spinCount="100000" sheet="true" objects="true" scenarios="true" selectLockedCells="true" selectUnlockedCells="true"/>
  <mergeCells count="26">
    <mergeCell ref="C2:C6"/>
    <mergeCell ref="E3:G3"/>
    <mergeCell ref="I3:K3"/>
    <mergeCell ref="M3:O3"/>
    <mergeCell ref="Q3:S3"/>
    <mergeCell ref="U3:W3"/>
    <mergeCell ref="Z3:AA4"/>
    <mergeCell ref="AC3:AD4"/>
    <mergeCell ref="AF3:AG4"/>
    <mergeCell ref="E4:G4"/>
    <mergeCell ref="I4:K4"/>
    <mergeCell ref="M4:O4"/>
    <mergeCell ref="Q4:S4"/>
    <mergeCell ref="U4:W4"/>
    <mergeCell ref="E10:AI10"/>
    <mergeCell ref="E21:AI21"/>
    <mergeCell ref="E33:AI33"/>
    <mergeCell ref="E56:AI56"/>
    <mergeCell ref="E78:AI78"/>
    <mergeCell ref="E92:AI92"/>
    <mergeCell ref="E109:AI109"/>
    <mergeCell ref="E128:AI128"/>
    <mergeCell ref="E147:AI147"/>
    <mergeCell ref="E164:AI164"/>
    <mergeCell ref="E183:AI183"/>
    <mergeCell ref="E202:AI202"/>
  </mergeCells>
  <hyperlinks>
    <hyperlink ref="Z3" location="'🔒'!A1" display="REGISTROS"/>
    <hyperlink ref="AC3" location="'📈'!A1" display="RADAR"/>
    <hyperlink ref="AF3" location="ANUAL!A1" display="ANUA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CEB51A73F5FD4280103BC87FD511C8" ma:contentTypeVersion="14" ma:contentTypeDescription="Crie um novo documento." ma:contentTypeScope="" ma:versionID="ca94f2eea7b4b2c53df391178818ec3b">
  <xsd:schema xmlns:xsd="http://www.w3.org/2001/XMLSchema" xmlns:xs="http://www.w3.org/2001/XMLSchema" xmlns:p="http://schemas.microsoft.com/office/2006/metadata/properties" xmlns:ns1="http://schemas.microsoft.com/sharepoint/v3" xmlns:ns2="3fd92d43-9184-4f78-8bb3-8f7d0e949203" xmlns:ns3="bdce7308-e1b3-4380-bb82-866639b8819e" targetNamespace="http://schemas.microsoft.com/office/2006/metadata/properties" ma:root="true" ma:fieldsID="884c3c2664f7b399ed0383aa2ca11502" ns1:_="" ns2:_="" ns3:_="">
    <xsd:import namespace="http://schemas.microsoft.com/sharepoint/v3"/>
    <xsd:import namespace="3fd92d43-9184-4f78-8bb3-8f7d0e949203"/>
    <xsd:import namespace="bdce7308-e1b3-4380-bb82-866639b881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d92d43-9184-4f78-8bb3-8f7d0e949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ce7308-e1b3-4380-bb82-866639b8819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F5959C-4CC1-4972-88D3-8F533FBC0D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E242B7-B4DE-46FC-BEBA-57E4F28DBC98}">
  <ds:schemaRefs>
    <ds:schemaRef ds:uri="http://schemas.microsoft.com/office/infopath/2007/PartnerControls"/>
    <ds:schemaRef ds:uri="http://schemas.microsoft.com/sharepoint/v3"/>
    <ds:schemaRef ds:uri="3fd92d43-9184-4f78-8bb3-8f7d0e949203"/>
    <ds:schemaRef ds:uri="http://schemas.microsoft.com/office/2006/documentManagement/types"/>
    <ds:schemaRef ds:uri="http://schemas.microsoft.com/office/2006/metadata/properties"/>
    <ds:schemaRef ds:uri="http://purl.org/dc/terms/"/>
    <ds:schemaRef ds:uri="bdce7308-e1b3-4380-bb82-866639b8819e"/>
    <ds:schemaRef ds:uri="http://purl.org/dc/dcmitype/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A54D3EB-B777-4391-95BB-3FDEF6CD08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d92d43-9184-4f78-8bb3-8f7d0e949203"/>
    <ds:schemaRef ds:uri="bdce7308-e1b3-4380-bb82-866639b881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2020-08-13T16:26:54Z</dcterms:created>
  <dc:creator>Luis Fernando Grigolon Rodrigues</dc:creator>
  <dc:description/>
  <dc:language>pt-BR</dc:language>
  <cp:lastModifiedBy>Luis Fernando Grigolon Rodrigues</cp:lastModifiedBy>
  <dcterms:modified xsi:type="dcterms:W3CDTF">2020-10-07T15:05:50Z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0x010100F3CEB51A73F5FD4280103BC87FD511C8</vt:lpwstr>
  </property>
</Properties>
</file>